
<file path=[Content_Types].xml><?xml version="1.0" encoding="utf-8"?>
<Types xmlns="http://schemas.openxmlformats.org/package/2006/content-types">
  <Default ContentType="application/vnd.openxmlformats-package.relationships+xml" Extension="rels"/>
  <Default ContentType="application/xml" Extension="xml"/>
  <Override ContentType="application/vnd.openxmlformats-officedocument.spreadsheetml.styles+xml" PartName="/xl/styles.xml"/>
  <Override ContentType="application/vnd.openxmlformats-officedocument.theme+xml" PartName="/xl/theme/theme1.xml"/>
  <Override ContentType="application/vnd.openxmlformats-package.core-properties+xml" PartName="/docProps/core.xml"/>
  <Override ContentType="application/vnd.openxmlformats-officedocument.extended-properties+xml" PartName="/docProps/app.xml"/>
  <Override ContentType="application/vnd.openxmlformats-officedocument.spreadsheetml.worksheet+xml" PartName="/xl/worksheets/sheet1.xml"/>
  <Override ContentType="application/vnd.openxmlformats-officedocument.spreadsheetml.sheet.main+xml" PartName="/xl/workbook.xml"/>
</Types>
</file>

<file path=_rels/.rels><Relationships xmlns="http://schemas.openxmlformats.org/package/2006/relationships"><Relationship Id="rId1" Target="xl/workbook.xml" Type="http://schemas.openxmlformats.org/officeDocument/2006/relationships/officeDocument" /><Relationship Id="rId2" Target="docProps/core.xml" Type="http://schemas.openxmlformats.org/package/2006/relationships/metadata/core-properties" /><Relationship Id="rId3" Target="docProps/app.xml" Type="http://schemas.openxmlformats.org/officeDocument/2006/relationships/extended-properties" /></Relationships>
</file>

<file path=xl/workbook.xml><?xml version="1.0" encoding="utf-8"?>
<workbook xmlns:r="http://schemas.openxmlformats.org/officeDocument/2006/relationships" xmlns="http://schemas.openxmlformats.org/spreadsheetml/2006/main">
  <workbookPr/>
  <workbookProtection/>
  <bookViews>
    <workbookView activeTab="0" autoFilterDateGrouping="1" firstSheet="0" minimized="0" showHorizontalScroll="1" showSheetTabs="1" showVerticalScroll="1" tabRatio="600" visibility="visible"/>
  </bookViews>
  <sheets>
    <sheet name="Sheet1" sheetId="1" state="visible" r:id="rId1"/>
  </sheets>
  <definedNames/>
  <calcPr calcId="124519" fullCalcOnLoad="1"/>
</workbook>
</file>

<file path=xl/styles.xml><?xml version="1.0" encoding="utf-8"?>
<styleSheet xmlns="http://schemas.openxmlformats.org/spreadsheetml/2006/main">
  <numFmts count="0"/>
  <fonts count="2">
    <font>
      <name val="Calibri"/>
      <family val="2"/>
      <color theme="1"/>
      <sz val="11"/>
      <scheme val="minor"/>
    </font>
    <font>
      <b val="1"/>
    </font>
  </fonts>
  <fills count="2">
    <fill>
      <patternFill/>
    </fill>
    <fill>
      <patternFill patternType="gray125"/>
    </fill>
  </fills>
  <borders count="2">
    <border>
      <left/>
      <right/>
      <top/>
      <bottom/>
      <diagonal/>
    </border>
    <border>
      <left style="thin"/>
      <right style="thin"/>
      <top style="thin"/>
      <bottom style="thin"/>
      <diagonal/>
    </border>
  </borders>
  <cellStyleXfs count="1">
    <xf borderId="0" fillId="0" fontId="0" numFmtId="0"/>
  </cellStyleXfs>
  <cellXfs count="2">
    <xf borderId="0" fillId="0" fontId="0" numFmtId="0" pivotButton="0" quotePrefix="0" xfId="0"/>
    <xf applyAlignment="1" borderId="1" fillId="0" fontId="1" numFmtId="0" pivotButton="0" quotePrefix="0" xfId="0">
      <alignment horizontal="center" vertical="top"/>
    </xf>
  </cellXfs>
  <cellStyles count="1">
    <cellStyle builtinId="0" hidden="0" name="Normal" xfId="0"/>
  </cellStyles>
  <tableStyles count="0" defaultPivotStyle="PivotStyleLight16" defaultTableStyle="TableStyleMedium9"/>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Id="rId1" Target="/xl/worksheets/sheet1.xml" Type="http://schemas.openxmlformats.org/officeDocument/2006/relationships/worksheet" /><Relationship Id="rId2" Target="styles.xml" Type="http://schemas.openxmlformats.org/officeDocument/2006/relationships/styles" /><Relationship Id="rId3" Target="theme/theme1.xml" Type="http://schemas.openxmlformats.org/officeDocument/2006/relationships/theme" /></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sheetPr>
    <outlinePr summaryBelow="1" summaryRight="1"/>
    <pageSetUpPr/>
  </sheetPr>
  <dimension ref="A1:H11086"/>
  <sheetViews>
    <sheetView workbookViewId="0">
      <selection activeCell="A1" sqref="A1"/>
    </sheetView>
  </sheetViews>
  <sheetFormatPr baseColWidth="8" defaultRowHeight="15"/>
  <sheetData>
    <row r="1">
      <c r="A1" s="1" t="inlineStr">
        <is>
          <t>ID</t>
        </is>
      </c>
      <c r="B1" s="1" t="inlineStr">
        <is>
          <t>Title</t>
        </is>
      </c>
      <c r="C1" s="1" t="inlineStr">
        <is>
          <t>Body</t>
        </is>
      </c>
      <c r="D1" s="1" t="inlineStr">
        <is>
          <t>Score</t>
        </is>
      </c>
      <c r="E1" s="1" t="inlineStr">
        <is>
          <t>Comments</t>
        </is>
      </c>
      <c r="F1" s="1" t="inlineStr">
        <is>
          <t>Link</t>
        </is>
      </c>
      <c r="G1" s="1" t="inlineStr">
        <is>
          <t>Date</t>
        </is>
      </c>
      <c r="H1" s="1" t="inlineStr">
        <is>
          <t>flair</t>
        </is>
      </c>
    </row>
    <row r="2">
      <c r="A2" t="inlineStr">
        <is>
          <t>abdidw</t>
        </is>
      </c>
      <c r="B2" t="inlineStr">
        <is>
          <t>If any of you had a brain tumor what were the symptoms that gave it away</t>
        </is>
      </c>
      <c r="C2" t="inlineStr">
        <is>
          <t>Hey guys just wanted to know just In case.</t>
        </is>
      </c>
      <c r="D2" t="n">
        <v>1</v>
      </c>
      <c r="E2" t="n">
        <v>1</v>
      </c>
      <c r="F2">
        <f>HYPERLINK("https://www.reddit.com/r/cancer/comments/abdidw/if_any_of_you_had_a_brain_tumor_what_were_the/")</f>
        <v/>
      </c>
      <c r="G2" t="inlineStr">
        <is>
          <t>2018-12-31 17:14:18</t>
        </is>
      </c>
      <c r="H2" t="inlineStr"/>
    </row>
    <row r="3">
      <c r="A3" t="inlineStr">
        <is>
          <t>abdqpm</t>
        </is>
      </c>
      <c r="B3" t="inlineStr">
        <is>
          <t>Bad news on Christmas Eve</t>
        </is>
      </c>
      <c r="C3" t="inlineStr">
        <is>
          <t>Man, found out mom's melanoma has spread from rectum and liver, lymph nodes, and adrenal gland to also pancreas and gallbladder. She had a pancreatitis attack on Christmas Eve and continues to have pancreatic pain everyday. I was planning on getting a job due to other changing life circumstances but now I think I shouldn't, because I'm afraid to leave her alone qnd just want to spend as much time with her as possible. Oncologist refuses to tell us how much time she might have left so I have NO CLUE how to plan my life. I'm her sole caregiver. What are your experiences?</t>
        </is>
      </c>
      <c r="D3" t="n">
        <v>1</v>
      </c>
      <c r="E3" t="n">
        <v>6</v>
      </c>
      <c r="F3">
        <f>HYPERLINK("https://www.reddit.com/r/cancer/comments/abdqpm/bad_news_on_christmas_eve/")</f>
        <v/>
      </c>
      <c r="G3" t="inlineStr">
        <is>
          <t>2018-12-31 17:43:36</t>
        </is>
      </c>
      <c r="H3" t="inlineStr"/>
    </row>
    <row r="4">
      <c r="A4" t="inlineStr">
        <is>
          <t>abffi8</t>
        </is>
      </c>
      <c r="B4" t="inlineStr">
        <is>
          <t>Found out I have lung cancer today. Trying to hold it together.</t>
        </is>
      </c>
      <c r="C4" t="inlineStr">
        <is>
          <t xml:space="preserve">I'm 42, and I went to the ER with sudden extreme pains in my left abdomen the day after Thanksgiving. I thought it was kidneystones, so did they, until the ultrasound didn't show any, but x-ray caught part of a mass in my lower left lung. I went in for CT scans and then a PET scan, which came back negative. I had a biopsy on Christmas Eve and another 3 days later because the first had to be stopped due to me not being sedated deeply enough. With the PET scan being negative, my pulmonologist was really not expecting cancer, but today I found out they found neuroendocrine carcinoid tumors with metaplastic bone formation. I have a large spherical mass about 3.8cm diameter in my lower left lung, and other growths in my airway. It is spread to my lymph nodes.
The doctors from the different disciplines are all getting together to have a meeting to discuss the diagnosis/prognosis/treatment. So I don't know exactly what stage it is classified as, but I know it's not good.
So it's a tough NYE, and I'm wondering if I will see another. Probably being overdramatic, but it's definitely in my thoughts. I'm trying to take it all in and enjoy my family and the festivities. My kids and step kids are playing, my wife is making dinner, and there is cheesecake in the fridge. There's so much to enjoy.  Tell them all how much you love them, everyday. 
May this new year bring you all you hope for. </t>
        </is>
      </c>
      <c r="D4" t="n">
        <v>1</v>
      </c>
      <c r="E4" t="n">
        <v>64</v>
      </c>
      <c r="F4">
        <f>HYPERLINK("https://www.reddit.com/r/cancer/comments/abffi8/found_out_i_have_lung_cancer_today_trying_to_hold/")</f>
        <v/>
      </c>
      <c r="G4" t="inlineStr">
        <is>
          <t>2018-12-31 21:32:58</t>
        </is>
      </c>
      <c r="H4" t="inlineStr"/>
    </row>
    <row r="5">
      <c r="A5" t="inlineStr">
        <is>
          <t>abh20z</t>
        </is>
      </c>
      <c r="B5" t="inlineStr">
        <is>
          <t>Diet for cancer: what is healthy?</t>
        </is>
      </c>
      <c r="C5" t="inlineStr">
        <is>
          <t xml:space="preserve">  
# Diet for cancer: what is healthy?
 In the case of cancer, the body needs a special, balanceddiet. What cancer patients should pay attention to Susanne Weg-Remers from theCancer Information Service
Healthy and tasty: A balanced diet is especially important for cancer
### How should cancer patients feed the best?
During cancer [therapy](http://treatmentsofcancer.com/tag/therapy), patients with underweight or imminent malnutrition are treated specifically. All other patients need about the same amount of energy as healthy, but in a slightly different composition: They should, for example, eat more protein than healthy: Instead of at least 0.8 grams of protein per kilo of body weight per day, it should be 1.2 to 1.5 grams , in poor nutritional status even up to 2 grams. Because tumor patients have an increased protein turnover and otherwise may lose muscle .
In addition, cancer patients should consume more carbohydrates than healthy people – 60 instead of 50 percent of the energy consumed daily. The need for nutrients and vitamins, however, also depends on the type of tumor, the age and physical activity of the patient, so that it is usually not possible to give blanket recommendations.
### Do cancer patients need special vitamin supplements?
Additional vitamins usually need at most patients who have a clinically proven vitamin deficiency. This may for example be the case in patients who had to be completely or partially removed due to a tumor disease of the stomach. Among other things, they can not absorb enough vitamin B12 . Cancer patients without vitamin deficiency we recommend no dietary supplements. Not only are they unnecessary – additional vitamins can even be harmful. Instead, eat lots of fruits and vegetables.
### What about individual foods that are supposed to help with cancer, like broccoli or sea fish?
When reports that fat fish, broccoli , soy or other food helps against cancer , you should be careful. Because a one-sided diet is definitely not recommended and can lead to nutrient deficiencies. Of course, for example, fish is generally healthy and a good source of protein, a good substitute for meat. The German Nutrition Society recommends eating red meat and sausages only in small quantities, as larger amounts can increase the risk of cancer.
Generally we recommend – as well as the German Society of Nutritional Medicine – no special cancer diets. Because for none of the numerous diets that are proposed by different sides, an effectiveness is proven. Attempts to “starve” the cancer by using a strict diet are not advisable and can be harmful.
Even overweight should not starve during therapy. Your body then needs all its energy to fight the cancer and put away the side effects of the treatment. Only after completion of the initial treatment, for example in rehab , should they start to lose weight. This is especially important for certain cancers. For example, the risk of relapse in breast cancer is reduced by losing weight and a reduced-fat, fiber-rich diet.
Are there special cancer diets?
### Why do not many patients manage to absorb enough energy?
In cancer, different problems can occur: loss of appetite is a common complication. In that case, it makes sense for the patient to eat well and, above all, eat what he likes best. But also appetite-enhancing drugs can help.
Chemo- or [radiotherapy](http://treatmentsofcancer.com/tag/radiotherapy) may lead to inflammation of the mucous membranes, which makes it difficult to eat. In addition, nausea and vomiting may occur. All of these can cause nutrient uptake problems. Appropriate drugs can help against nausea, with nutrient deficiency, there is additional supplemental food.
Cachexia is the name given when metabolic changes through the tumor itself lead to wasting and the patient greatly decreases. An increased food intake then usually does not help – often a nutritional therapy is necessary.
### When is the weight loss so severe that it needs to be treated?
The nutritional status of each patient should be checked every four to six weeks at admission to the clinic and during treatment. Malnutrition threatens when the BMI is below 18.5 or the patient has recently lost more than 10 percent of his weight without his intervention. It is also true for people with BMI under 20 who have recently lost more than 5 percent. Especially before a major surgery, a patient should be sufficiently nourished. In case of imminent or existing malnutrition, diet therapy can help. It is also ordered by doctors when it is foreseeable that the patient will not be able to eat regularly for five to seven days because of a planned operation.
### How exactly does a nutritional therapy look like?
The doctor follows a step-by-step procedure: First, he prescribes nutritional counseling, where the patient learns how to cover his calorie need and what he should pay attention to. If this fails, the doctor will recommend food fortification next. The patient stirs high-energy powder under his food or supplements it with drinking food. In some cancers, swallowing is difficult or their digestion is impaired. Then they can be fed using a probe. If this is not enough or not possible, the doctor can administer a nutrient solution via a vein.
### Why is nutritional counseling so important in the beginning?
Cancer patients should be able to eat normally if at all possible, nutritional therapy should, if necessary, be just a supplement. In general, a balanced diet is particularly important for cancer. However, we often observe that many people are not sure what they mean by it. Therefore, the nutritional advice by a qualified specialist makes sense in any case. It is usually paid for cancer patients by the health insurance and offered according to medical prescription, for example in the tumor centers.
During cancer treatment, patients should definitely be careful to eat with pleasure. There’s no point in resisting everything in order to literally starve the tumor. Instead, sufferers should treat themselves to a piece of cake. This is an important piece of quality of life that you should not miss.</t>
        </is>
      </c>
      <c r="D5" t="n">
        <v>1</v>
      </c>
      <c r="E5" t="n">
        <v>1</v>
      </c>
      <c r="F5">
        <f>HYPERLINK("https://www.reddit.com/r/cancer/comments/abh20z/diet_for_cancer_what_is_healthy/")</f>
        <v/>
      </c>
      <c r="G5" t="inlineStr">
        <is>
          <t>2019-01-01 01:58:47</t>
        </is>
      </c>
      <c r="H5" t="inlineStr"/>
    </row>
    <row r="6">
      <c r="A6" t="inlineStr">
        <is>
          <t>abhu60</t>
        </is>
      </c>
      <c r="B6" t="inlineStr">
        <is>
          <t>Waiting for results</t>
        </is>
      </c>
      <c r="C6" t="inlineStr">
        <is>
          <t xml:space="preserve">My daughter (24) was seen at the ER on Saturday for a vision issue. A CT of her head and neck was done and the doctor saw enlarged lymph nodes in the neck and mediastinal area. She said she suspected lymphoma.  We were shocked, so we went to another hospital on Sunday to get a CT of her chest and abdomen. They saw the same and she stayed the night for further evaluation. Yesterday, they took an ultrasound guided biopsy of some lymph nodes in her neck/upper chest. So now we wait for results. 
She is getting ready to head back to college in two weeks. It is her last semester before graduation.  
Has anyone been through early stage lymphoma treatment that would be able to share their experiences with this?
Has anyone taken college classes while doing treatments?  
</t>
        </is>
      </c>
      <c r="D6" t="n">
        <v>1</v>
      </c>
      <c r="E6" t="n">
        <v>11</v>
      </c>
      <c r="F6">
        <f>HYPERLINK("https://www.reddit.com/r/cancer/comments/abhu60/waiting_for_results/")</f>
        <v/>
      </c>
      <c r="G6" t="inlineStr">
        <is>
          <t>2019-01-01 04:26:03</t>
        </is>
      </c>
      <c r="H6" t="inlineStr"/>
    </row>
    <row r="7">
      <c r="A7" t="inlineStr">
        <is>
          <t>abjnwa</t>
        </is>
      </c>
      <c r="B7" t="inlineStr">
        <is>
          <t>Hello to you all, immune therapy and a question about discussing cancer</t>
        </is>
      </c>
      <c r="C7" t="inlineStr">
        <is>
          <t>Hello to you all! 
To cut right to the chase, in 2016 my partner, 26 at the time, was diagnosed with HER-negative ER-positive (Luminal A) breast cancer on the left side. Her breast was removed, as well as some lymph nodes and she had chemo-endocrine therapy. Having all of this behind us all seemed well until after a year she didn’t feel well, we went to the hospital and she got the diagnosis of metastatic breast cancer. They give her life-extending chemo tablets. 
For just over a year now everything has been going well, she doesn’t have that much pain (only when she feels down or has a stressful moment). She is physically very active yet does feel tired nearly all the time. Every 3 weeks the hospital checks her CA 15.3 marker and for the last couple of weeks it has been between 35 and 28. 
As a profession I myself am a physiotherapist. We work a lot with evidence based practice and therapy build upon literature so I’m no stranger to PubMed and sites alike. Metastatic breast cancer is normally the end of the line. The focus shifts to prolonging life and managing the pain. There is the possibility to take part in experimental treatments but even with those you won’t grow old, grey and wrinkly. 
In June last year… yeah it is the first day of 2019 and I’m talking about cancer… my jaw dropped to the floor. There, in pixels on my screen, I read the following title “Immune recognition of somatic mutations leading to complete durable regression in metastatic breast cancer”. 
Full article: Immune recognition of somatic mutations leading to complete durable regression in metastatic breast cancer. (2018). Zacharakis et al. Nature Medicine, volume 24, pages 724–730 
In this article they describe how a bodies own immune cells have been used to clean a body with metastases of its cancers. For four month now I have thrown myself into the world of oncology. Learned about the immune system, how cells work and kill, apoptosis etc. Studied the landscape of breast cancer, medication, different treatments and the latest treatment developments. 
It is very clear for me that this is a case report (one single person) meaning this might not work for everybody and that the world of cancers is very complex yet this has given me a lot of hope and isn’t that what we all have… hope… hope that somehow… 
My reason for writing is that I’m searching for other people or forums that are collecting and processing data, articles and other info regarding breast cancer. To read what others have found, exchange and compare data and discuss these findings. I know there is this part of reddit :) yet I'm looking for people really discussing the above mentioned subject. 
Currently we are trying to get a WES-analyse (Whole Exome Sequencing) to see which types of mutated DNA from the tumours are circulating in the blood. Every and all tips are welcome. This being the first day of 2019 I wish you all a very happy new year, the best wishes and good luck this year. Stay strong and f\*%# cancer!</t>
        </is>
      </c>
      <c r="D7" t="n">
        <v>1</v>
      </c>
      <c r="E7" t="n">
        <v>5</v>
      </c>
      <c r="F7">
        <f>HYPERLINK("https://www.reddit.com/r/cancer/comments/abjnwa/hello_to_you_all_immune_therapy_and_a_question/")</f>
        <v/>
      </c>
      <c r="G7" t="inlineStr">
        <is>
          <t>2019-01-01 08:56:37</t>
        </is>
      </c>
      <c r="H7" t="inlineStr"/>
    </row>
    <row r="8">
      <c r="A8" t="inlineStr">
        <is>
          <t>abk726</t>
        </is>
      </c>
      <c r="B8" t="inlineStr">
        <is>
          <t>What can a caregiver do to relax?</t>
        </is>
      </c>
      <c r="C8" t="inlineStr">
        <is>
          <t xml:space="preserve">  
Hi, I’m not entirely sure of the proper etiquette here, so please forgive me. My counselor actually recommended using this sub. Also, I apologize if I come across as selfish with my questions, I realize I am.
&amp;amp;#x200B;
My boyfriend was diagnosed two months ago with brain cancer, at a young age. We’ve been together four years, and I can’t imagine that he may not make it to our fifth. He’s been in radiation since mid November, and – it’s just not good. He needs to drink more fluids, needs to quit smoking, etc. He finds it all pointless. He’s regressed physically that’s led to some stories I won’t repeat for his privacy. Sometimes his personality changes, sometimes he can’t stand to be touched. I want to make him better but it isn’t possible. 
&amp;amp;#x200B;
I’m doing all I can to help him, but the thing is I’m learning I need to help myself. I can’t relax, I can’t be bothered to focus on anything at all, cook, I can maintain basic hygiene at least – hell, I’ve been shaking since he was diagnosed. I’ve tried exercise, yoga, meditation, you name it and it just hasn’t helped so far. I just sleep for way too long. Funny enough, I’ve found painting my nails multiple times a day keeps me busy, but my fingers are damaged from it. I’ve tried getting a pet twice, but I’ve returned them because I cannot deal with it so far. 
&amp;amp;#x200B;
Is there anything a caregiver can do to relax? My boyfriend doesn’t live with me, but I'm with him every day. Sometimes I can relax around him to a certain extent. I do have an appointment to possibly receive medication, but I don’t want to rely on that. I know that to help him properly I need to not be a wreck myself.
&amp;amp;#x200B;
More so, he doesn’t appear to have trouble relaxing, but I bet it’s because he’s tired. What can he do? Or, what could I do for him? Is there something I could read up on? To have a normal day would help, but with the weather we’ll have this season and his physical condition, it doesn’t seem likely.</t>
        </is>
      </c>
      <c r="D8" t="n">
        <v>1</v>
      </c>
      <c r="E8" t="n">
        <v>24</v>
      </c>
      <c r="F8">
        <f>HYPERLINK("https://www.reddit.com/r/cancer/comments/abk726/what_can_a_caregiver_do_to_relax/")</f>
        <v/>
      </c>
      <c r="G8" t="inlineStr">
        <is>
          <t>2019-01-01 09:56:35</t>
        </is>
      </c>
      <c r="H8" t="inlineStr"/>
    </row>
    <row r="9">
      <c r="A9" t="inlineStr">
        <is>
          <t>abkmjc</t>
        </is>
      </c>
      <c r="B9" t="inlineStr">
        <is>
          <t>Question about treatment, etc!</t>
        </is>
      </c>
      <c r="C9" t="inlineStr">
        <is>
          <t>Hi! I posted around Thanksgiving about my dad recently being diagnosed with lung cancer. At this point, we still know nothing and it's getting me a little frustrated. He had an appointment on 12/18 where we learned nothing because he was supposed to have been scheduled an appointment prior to that where they ran some tests. Since the tests weren't done, they rescheduled him for 12/27 and 12/28 (tests and then go over results). But that got cancelled for some reason and now he has an appointment for 1/11. 
My question is, is it normal for his doctors to not urgently get him his treatment plan? I've seen people be diagnosed and then starting chemo the next week. I'm just not sure what's going on at this point!</t>
        </is>
      </c>
      <c r="D9" t="n">
        <v>1</v>
      </c>
      <c r="E9" t="n">
        <v>4</v>
      </c>
      <c r="F9">
        <f>HYPERLINK("https://www.reddit.com/r/cancer/comments/abkmjc/question_about_treatment_etc/")</f>
        <v/>
      </c>
      <c r="G9" t="inlineStr">
        <is>
          <t>2019-01-01 10:42:32</t>
        </is>
      </c>
      <c r="H9" t="inlineStr"/>
    </row>
    <row r="10">
      <c r="A10" t="inlineStr">
        <is>
          <t>abkoru</t>
        </is>
      </c>
      <c r="B10" t="inlineStr">
        <is>
          <t>I got my biopsy results yesterday and I'm trying to keep my head straight before i talk to an oncologist.</t>
        </is>
      </c>
      <c r="C10" t="inlineStr">
        <is>
          <t>My background: 46M, married but no kids. I have a super supportive wife and immediate family.
I went to the ER last week, Dec 18, because I thought I had gallstones. An ultrasound and CT scan revealed "innumerable" lesions on my liver, with growths present on my lungs and thickening of my colon wall. I had a biopsy last Wednesday and it came back as colorectal adenocarcinoma with mets to the liver and lungs. Not unsurprising given the imaging results, but obviously bad news.
I received an invitation to call Dana Farber in Boston tomorrow from a connected family friend, so I kind of had to look at the biopsy results in order to be able to explain my situation. I have an appointment with a local oncologist on Friday. I really wish I could get more information before then, but I guess that's the way it goes. I'm lucky that my local teaching hospital has their own pathology lab, the turnaround was very fast.
I guess I'm just wondering if anyone here has had a similar diagnosis and, if so, how were you able to keep yourself from getting ahead of yourself. I'm already jumping to conclusions and scaring the shit out of myself.
Thanks for reading and I hope most of you are starting 2019 in a good place.</t>
        </is>
      </c>
      <c r="D10" t="n">
        <v>1</v>
      </c>
      <c r="E10" t="n">
        <v>22</v>
      </c>
      <c r="F10">
        <f>HYPERLINK("https://www.reddit.com/r/cancer/comments/abkoru/i_got_my_biopsy_results_yesterday_and_im_trying/")</f>
        <v/>
      </c>
      <c r="G10" t="inlineStr">
        <is>
          <t>2019-01-01 10:49:07</t>
        </is>
      </c>
      <c r="H10" t="inlineStr"/>
    </row>
    <row r="11">
      <c r="A11" t="inlineStr">
        <is>
          <t>ablk46</t>
        </is>
      </c>
      <c r="B11" t="inlineStr">
        <is>
          <t>Friend with Sarcoma, what to do ?</t>
        </is>
      </c>
      <c r="C11" t="inlineStr">
        <is>
          <t>Hello reddit.
So I have this very close friend, one month ago they found out that he has Sarcoma in his thige, that made his bones really weak and got broken two months ago 'that how he found out about his Sarcoma'.
He's super aktive guy, biking all over Europe, mountains climbing and jogging. Now he's in a bad condition because of his Sarcoma. 
I really want to help or be more around him, but I do understand that he needs his space, I have a contact to his brother so I call him to ask about my friend and that he still can't get a visit now, he already finished his first Cheom phase.
What I can do ? what can I give him to support him and help him get better without being annoying to him ?
&amp;amp;#x200B;
Thanks   
&amp;amp;#x200B;</t>
        </is>
      </c>
      <c r="D11" t="n">
        <v>1</v>
      </c>
      <c r="E11" t="n">
        <v>13</v>
      </c>
      <c r="F11">
        <f>HYPERLINK("https://www.reddit.com/r/cancer/comments/ablk46/friend_with_sarcoma_what_to_do/")</f>
        <v/>
      </c>
      <c r="G11" t="inlineStr">
        <is>
          <t>2019-01-01 12:20:17</t>
        </is>
      </c>
      <c r="H11" t="inlineStr"/>
    </row>
    <row r="12">
      <c r="A12" t="inlineStr">
        <is>
          <t>ablxk9</t>
        </is>
      </c>
      <c r="B12" t="inlineStr">
        <is>
          <t>Found out my father has bile duct cancer.</t>
        </is>
      </c>
      <c r="C12" t="inlineStr">
        <is>
          <t xml:space="preserve">Hey Happy New Year to all.  Unfortunately I found out with my father being admitted to the hospital Saturday with Jaundice, that it’s not liver cancer that my parents wanted to sugarcoat to me rather bile duct cancer. My dad is 77 years old who for 40 years has dealt with diabetes, Thyroid cancer (removal in 1981),  open heart surgery, stomach cancer (recession done in 2016), and now 3 years later he discovered from a routine quarterly blood test that his alkaline phosphate was at 188 rather than 43 at his last blood test. Since then which was one month he has been to see a prominent surgeon who deals with transplants each week and also a professor at the medical school, told my father that from the CAT scan, MRI, and other reports that the tumor is 3mm large and he cannot operate until it’s shrunk to 2 mm.  It’s in a difficult place unless the tumor is shrunk. He also has other options but removal would be the best alternative. Being that the bile duct is blocked, they tried to install a stent to help the bile in its process but after some poking and prodding that ducts became swollen and he couldn’t put in the stent but the doctor who performed the endoscopy believes that he can do it tomorrow on another attempt now that he has my father’s anatomy mapped out so to speak.  My question to anyone in this subreddit have you dealt with bile duct cancer and what has been the success rate on chemotherapy shrinking tumor in the bile duct? Any information would be great before I accompany my parents to the first appointment to the oncologist for his consultation for the chemotherapy. Not because he’s my dad but the man has been through a lot and he not a person to give up and being this cancer is so rare ( 8,000 people last year in US), I firgure I reach out to my Reddit world for some help. Thanks for any information and take care of yourselves. </t>
        </is>
      </c>
      <c r="D12" t="n">
        <v>1</v>
      </c>
      <c r="E12" t="n">
        <v>1</v>
      </c>
      <c r="F12">
        <f>HYPERLINK("https://www.reddit.com/r/cancer/comments/ablxk9/found_out_my_father_has_bile_duct_cancer/")</f>
        <v/>
      </c>
      <c r="G12" t="inlineStr">
        <is>
          <t>2019-01-01 12:59:48</t>
        </is>
      </c>
      <c r="H12" t="inlineStr"/>
    </row>
    <row r="13">
      <c r="A13" t="inlineStr">
        <is>
          <t>abm6vs</t>
        </is>
      </c>
      <c r="B13" t="inlineStr">
        <is>
          <t>Should i worry?</t>
        </is>
      </c>
      <c r="C13" t="inlineStr">
        <is>
          <t>On Christmas morning i woke up with a large, swollen, painful bump under my armpit. I figured it was an ingrown hair and ignored it. A week later it is now a kidney bean shaped hard, painless lump. Im going to call the doctor tomorrow, but im freaking out over here...
Any advice or words of encouragement would help right now...</t>
        </is>
      </c>
      <c r="D13" t="n">
        <v>1</v>
      </c>
      <c r="E13" t="n">
        <v>1</v>
      </c>
      <c r="F13">
        <f>HYPERLINK("https://www.reddit.com/r/cancer/comments/abm6vs/should_i_worry/")</f>
        <v/>
      </c>
      <c r="G13" t="inlineStr">
        <is>
          <t>2019-01-01 13:27:09</t>
        </is>
      </c>
      <c r="H13" t="inlineStr"/>
    </row>
    <row r="14">
      <c r="A14" t="inlineStr">
        <is>
          <t>abn6el</t>
        </is>
      </c>
      <c r="B14" t="inlineStr">
        <is>
          <t>Stage 4 Cervical Cancer - Questions about pursuing litigation</t>
        </is>
      </c>
      <c r="C14" t="inlineStr">
        <is>
          <t>I was given a clean bill of gynecological health in May 2018 by my PCP.  Prior to that, I had a few years of odd health issues - extreme psoriasis on my hands, an infected lymph node on my left side and a butterfly rash on my face that lasted 3 weeks, but my PCP never found anything.  I had an ultrasound and MRI 2.5 years ago that found hematosalpinx (blood filled mass) on my left Fallopian tube and was told it would self-resolve, which I now know not to be true.
In August 2018, I started having discharge and became incontinent.  I went to a gynecologist in September 2018 and the first thing she said upon examination was that my cervix was like stone.  Pap Smear confirmed cancerous tissue.  I was scheduled to meet with a Gyn Onc who took a biopsy that was positive for cervical cancer.  My tumor is very large, 8cm. PET scan showed that the cancer had metastasized into the media stinal lymph nodes in my chest.  Things moved fast from there and I just had my 4th chemo infusion last Thursday.
I got my medical records from my PCP and I am just floored.  She gave me a clean bill of Gyn health in May - but she didn't take a Pap Smear! Further, my blood tests from the same exam show high platelets - the number has been circled with "scan?" written next to it.  A scan was never mentioned to me, nor were these abnormal results.
I think I will pursue litigation.  I would appreciate any advice or insights from others that have sued for medical malpractice.</t>
        </is>
      </c>
      <c r="D14" t="n">
        <v>1</v>
      </c>
      <c r="E14" t="n">
        <v>51</v>
      </c>
      <c r="F14">
        <f>HYPERLINK("https://www.reddit.com/r/cancer/comments/abn6el/stage_4_cervical_cancer_questions_about_pursuing/")</f>
        <v/>
      </c>
      <c r="G14" t="inlineStr">
        <is>
          <t>2019-01-01 15:14:28</t>
        </is>
      </c>
      <c r="H14" t="inlineStr"/>
    </row>
    <row r="15">
      <c r="A15" t="inlineStr">
        <is>
          <t>abon08</t>
        </is>
      </c>
      <c r="B15" t="inlineStr">
        <is>
          <t>esophageal cancer diagnosis</t>
        </is>
      </c>
      <c r="C15" t="inlineStr">
        <is>
          <t>in the last few days i have had some really bad heartburn and reflux along with pain in the sternum and pain when swallowing food and liquids almost like i have a lump in my throat/chest that hurt a few seconds after it passes through 
i went to the hospital and had blood tests and a chest x-ray and was told this was GERD and the doctor seemed confident there was no need for further tests like an endo
should i go for a second opinion? i have been a heavy drinker for 3 years i dont smoke but have suffered refulx for a number of years i have no weight loss as of yet</t>
        </is>
      </c>
      <c r="D15" t="n">
        <v>1</v>
      </c>
      <c r="E15" t="n">
        <v>5</v>
      </c>
      <c r="F15">
        <f>HYPERLINK("https://www.reddit.com/r/cancer/comments/abon08/esophageal_cancer_diagnosis/")</f>
        <v/>
      </c>
      <c r="G15" t="inlineStr">
        <is>
          <t>2019-01-01 18:00:17</t>
        </is>
      </c>
      <c r="H15" t="inlineStr"/>
    </row>
    <row r="16">
      <c r="A16" t="inlineStr">
        <is>
          <t>abp2ru</t>
        </is>
      </c>
      <c r="B16" t="inlineStr">
        <is>
          <t>Melanoma journey</t>
        </is>
      </c>
      <c r="C16" t="inlineStr">
        <is>
          <t>Ive been diagnosed with melanoma since 2016 had more surgeries than i can remember to be honest. The whole time i have only been under just a melanoma surgeon through a awesome cancer part of my local hospital and now suddenly since my last surgery showed new melanoma i have been sent to a medical oncologist and im really scared. 
It all started when i had a mole on my right thigh and it was itchy then when i put anything in my pocket it bumped it, it would hurt like crazy. I went to my local dr to get him to remove it and it came back melanoma and so my journey began. 
I dont have anyone to talk about it at all . So i thought i would make a post. 
Sorry for the grammer and spelling mistakes</t>
        </is>
      </c>
      <c r="D16" t="n">
        <v>1</v>
      </c>
      <c r="E16" t="n">
        <v>2</v>
      </c>
      <c r="F16">
        <f>HYPERLINK("https://www.reddit.com/r/cancer/comments/abp2ru/melanoma_journey/")</f>
        <v/>
      </c>
      <c r="G16" t="inlineStr">
        <is>
          <t>2019-01-01 18:52:44</t>
        </is>
      </c>
      <c r="H16" t="inlineStr"/>
    </row>
    <row r="17">
      <c r="A17" t="inlineStr">
        <is>
          <t>abp7vu</t>
        </is>
      </c>
      <c r="B17" t="inlineStr">
        <is>
          <t>First appointment at oncologist tomorrow (ovary)</t>
        </is>
      </c>
      <c r="C17" t="inlineStr">
        <is>
          <t xml:space="preserve">Hi, I’m 20, my birthday is in 16 days, and I have my first appointment at a cancer center tomorrow morning. Just looking to vent I guess. 
I went to the same center but the breast group last year around August for a suspicious abnormality that turned out to be benign in my right breast. The stress then is really helping me control my emotions this time around. It was about 2 months of waiting all in all which really took a number on me mentally.
Now I’m headed to the obgyn building because of a complex cyst with inconclusive features on my left ovary. My right ovary is not ovulating and the mass is just under 4cm at the time it was found. I went to an Er with severe side pain and they found the cyst plus fluid on the outside of it. 
It has papillary points, very septated with thick solid lines in between, fluid around it, no shadow etc. 
I went to the dr the Er referred me to but he dismissed me because of my age. He said my bloating that makes me look 6 months pregnant was my period or me being pregnant despite multiple negative tests. I did get my period(late) and the bloating hasn’t changed. I still have pain. He said it’s hemorrhagic but I wanted a second opinion considering my family history of the brca gene and my paternal grandma having a complete hysterectomy due to ovarian cancer. 
No one wants to touch me down there at all because they don’t want to ruin my ability to have kids but if it’s cancer I’d rather it be taken care of and my life saved than my ability to create new life, which I haven’t wanted to do since I was a kid. 
I just hope it can all get figured out soon. Has anyone else been through similar? I feel really alone. </t>
        </is>
      </c>
      <c r="D17" t="n">
        <v>1</v>
      </c>
      <c r="E17" t="n">
        <v>11</v>
      </c>
      <c r="F17">
        <f>HYPERLINK("https://www.reddit.com/r/cancer/comments/abp7vu/first_appointment_at_oncologist_tomorrow_ovary/")</f>
        <v/>
      </c>
      <c r="G17" t="inlineStr">
        <is>
          <t>2019-01-01 19:09:38</t>
        </is>
      </c>
      <c r="H17" t="inlineStr"/>
    </row>
    <row r="18">
      <c r="A18" t="inlineStr">
        <is>
          <t>abpq7v</t>
        </is>
      </c>
      <c r="B18" t="inlineStr">
        <is>
          <t>About to begin radiotherapy and chemotherapy, wish to know what to expect</t>
        </is>
      </c>
      <c r="C18" t="inlineStr">
        <is>
          <t>Hi, I looked for similar posts but didnt find anything. Im a stage 2 endometrial cancer, i recently had a hysterectomy to remove the bigger concentration of the tumor. Now my doctor tells me i need to begin preparing mentally for chemo and radiotherapy (adjuvant therapy) i was under the impression that once i had my uterus removed i wouldnt need any treatment, but i guess that isnt the case. My question is; aside from mentally preparing, is there anything else i should be doing to physically or emotionally plan or prevent for my therapy? Also, if anyone can give me and idea of what to expect for chemo and radiotherapy i would really appreciate it. Thank you!</t>
        </is>
      </c>
      <c r="D18" t="n">
        <v>1</v>
      </c>
      <c r="E18" t="n">
        <v>19</v>
      </c>
      <c r="F18">
        <f>HYPERLINK("https://www.reddit.com/r/cancer/comments/abpq7v/about_to_begin_radiotherapy_and_chemotherapy_wish/")</f>
        <v/>
      </c>
      <c r="G18" t="inlineStr">
        <is>
          <t>2019-01-01 20:13:16</t>
        </is>
      </c>
      <c r="H18" t="inlineStr"/>
    </row>
    <row r="19">
      <c r="A19" t="inlineStr">
        <is>
          <t>abr3dv</t>
        </is>
      </c>
      <c r="B19" t="inlineStr">
        <is>
          <t>I think my father has cancer and he's hiding it from me</t>
        </is>
      </c>
      <c r="C19" t="inlineStr">
        <is>
          <t xml:space="preserve">My dad is 68. He has a very stressful life, so for the longest time, I thought his weight loss was just stress related. I'm not convinced any more. He's been losing weight for a couple of years now. He's six foot and used to weigh about 180 pounds and now he looks like he weighs maybe 130. I'm really worried. He keeps telling me he's fine and he's just not sleeping enough but this doesn't make any sense to me. I just saw him tonight and his cheeks are completely caved in and I can see his cheek bones very prominently jutting out of his face. His arms and legs look like pencils so much so that his elbows and knees look huge compared to the rest of his arms and legs. He isn't starving, I know that. He likes food and he eats a lot of food- a lot of it very fatty. he has pizza every night. How can he be losing so much weight? he had me convinced for over a year that it was just stress and lack of sleep. He tried to kill himself at the end of 2016 and I know he's been very anguished and I just wrote his weight loss off as a repairable and temporary thing. But now he looks like he's going to waste away into oblivion. I confronted him about it tonight and asked him flat out if he had cancer and he screamed at me at the top of his lungs "Leave me alone I don't want to fucking talk about it!".
I'm scared and worried and I don't know what to do. He's not stupid enough to have not talked to his doctor about this, and his doctor isn't stupid enough to not have done tests. My father is the kind of person who would keep something like this to himself and I don't know what to do. I can't sleep tonight after seeing him.
Please help me. </t>
        </is>
      </c>
      <c r="D19" t="n">
        <v>1</v>
      </c>
      <c r="E19" t="n">
        <v>6</v>
      </c>
      <c r="F19">
        <f>HYPERLINK("https://www.reddit.com/r/cancer/comments/abr3dv/i_think_my_father_has_cancer_and_hes_hiding_it/")</f>
        <v/>
      </c>
      <c r="G19" t="inlineStr">
        <is>
          <t>2019-01-01 23:18:27</t>
        </is>
      </c>
      <c r="H19" t="inlineStr"/>
    </row>
    <row r="20">
      <c r="A20" t="inlineStr">
        <is>
          <t>abr4bq</t>
        </is>
      </c>
      <c r="B20" t="inlineStr">
        <is>
          <t>Things to get a person starting Chemo and Radio?</t>
        </is>
      </c>
      <c r="C20" t="inlineStr">
        <is>
          <t xml:space="preserve">My mom is about to start both this month and I wanted to get her a bag of "essentials" so it can ease the process. Things like books, neck pillow, and such. Do you guys have any suggestions? 
</t>
        </is>
      </c>
      <c r="D20" t="n">
        <v>1</v>
      </c>
      <c r="E20" t="n">
        <v>9</v>
      </c>
      <c r="F20">
        <f>HYPERLINK("https://www.reddit.com/r/cancer/comments/abr4bq/things_to_get_a_person_starting_chemo_and_radio/")</f>
        <v/>
      </c>
      <c r="G20" t="inlineStr">
        <is>
          <t>2019-01-01 23:22:42</t>
        </is>
      </c>
      <c r="H20" t="inlineStr"/>
    </row>
    <row r="21">
      <c r="A21" t="inlineStr">
        <is>
          <t>abslnk</t>
        </is>
      </c>
      <c r="B21" t="inlineStr">
        <is>
          <t>Taking tamoxifen again after a month?</t>
        </is>
      </c>
      <c r="C21" t="inlineStr">
        <is>
          <t>A relative (currently 55, female), was diagnosed with grade 2 invasive ductal Breast Cancer in April 2014, and underwent surgery and radiotherapy before undergoing a course of Tamoxifen that the surgeon recommended go for 5 years. In August 2017, the relative underwent treatment for Endometrial Hyperplasia and the same surgeon recommended that the relative should finish the course of Tamoxifen. At the end of November 2018 (approximately 4.5 years of tamoxifen use), an oncologist that the relative saw recommended that she stop using Tamoxifen and start a three year course of Anastrozole. However, due to a pathology report, something about hormonal levels (relative left this vague) rendered her unable to use the latter therapy. Can or should the relative start taking Tamoxifen again after a month of disuse?</t>
        </is>
      </c>
      <c r="D21" t="n">
        <v>1</v>
      </c>
      <c r="E21" t="n">
        <v>1</v>
      </c>
      <c r="F21">
        <f>HYPERLINK("https://www.reddit.com/r/cancer/comments/abslnk/taking_tamoxifen_again_after_a_month/")</f>
        <v/>
      </c>
      <c r="G21" t="inlineStr">
        <is>
          <t>2019-01-02 03:29:59</t>
        </is>
      </c>
      <c r="H21" t="inlineStr"/>
    </row>
    <row r="22">
      <c r="A22" t="inlineStr">
        <is>
          <t>abt1cp</t>
        </is>
      </c>
      <c r="B22" t="inlineStr">
        <is>
          <t>Something positive for the New Year</t>
        </is>
      </c>
      <c r="C22" t="inlineStr">
        <is>
          <t xml:space="preserve">Hey everyone, I just wanted to say how appreciative I am of this sub. I have posted here a bit and have been talking privately to others I have met through here. It has really really helped me to cope (husband has stage 4 colorectal cancer with mets to liver, given 2-3 yrs).  
Hopefully this doesn’t sound too conceited , but I’m feeling positive today and wanted to share. Despite my husband’s diagnosis we decided to move forward with some of our dreams . We’re moving from our one bedroom apartment into a townhouse next month. We’ve also applied to adopt our very first dog! He’s half basset hound half German Shepard and is a senior dog, we want to name him Billy. I have also started IUI fertility treatment. Even though we’re going through some of the worst times in our life, it is comforting to know there can still be moments of happiness despite everything else. My heart goes out to all of you going through this horrific disease or watching someone you love go through it, and I wish you all good health and happiness this year . </t>
        </is>
      </c>
      <c r="D22" t="n">
        <v>1</v>
      </c>
      <c r="E22" t="n">
        <v>17</v>
      </c>
      <c r="F22">
        <f>HYPERLINK("https://www.reddit.com/r/cancer/comments/abt1cp/something_positive_for_the_new_year/")</f>
        <v/>
      </c>
      <c r="G22" t="inlineStr">
        <is>
          <t>2019-01-02 04:38:08</t>
        </is>
      </c>
      <c r="H22" t="inlineStr"/>
    </row>
    <row r="23">
      <c r="A23" t="inlineStr">
        <is>
          <t>abubjc</t>
        </is>
      </c>
      <c r="B23" t="inlineStr">
        <is>
          <t>Doctors of Reddit, how would you treat a eleven years old girl with a desmoplastic small-round-cell tumor?</t>
        </is>
      </c>
      <c r="C23" t="inlineStr">
        <is>
          <t>She has been struggling for the past four years and today it has gotten worse. We did everything we could but labs do not accept her sometimes even because of her gender. This cancer type is usually observed in men. What can we do now?</t>
        </is>
      </c>
      <c r="D23" t="n">
        <v>1</v>
      </c>
      <c r="E23" t="n">
        <v>1</v>
      </c>
      <c r="F23">
        <f>HYPERLINK("https://www.reddit.com/r/cancer/comments/abubjc/doctors_of_reddit_how_would_you_treat_a_eleven/")</f>
        <v/>
      </c>
      <c r="G23" t="inlineStr">
        <is>
          <t>2019-01-02 07:24:36</t>
        </is>
      </c>
      <c r="H23" t="inlineStr"/>
    </row>
    <row r="24">
      <c r="A24" t="inlineStr">
        <is>
          <t>abvbsk</t>
        </is>
      </c>
      <c r="B24" t="inlineStr">
        <is>
          <t>AML genetic mutation</t>
        </is>
      </c>
      <c r="C24" t="inlineStr">
        <is>
          <t>My mom has AML. She has officially been in remission for one week. We.just found out that her original bone marrow biopsy showed the 7q- marker. Her last two biopsies didn't show that she had any (including the 7q- that was on her first.) So, I guess my question is can that mutation come back? Is she still considered to have that mutation even though it went away? Does this mean her prognosis is poor even though she is in a remission?</t>
        </is>
      </c>
      <c r="D24" t="n">
        <v>1</v>
      </c>
      <c r="E24" t="n">
        <v>11</v>
      </c>
      <c r="F24">
        <f>HYPERLINK("https://www.reddit.com/r/cancer/comments/abvbsk/aml_genetic_mutation/")</f>
        <v/>
      </c>
      <c r="G24" t="inlineStr">
        <is>
          <t>2019-01-02 09:13:27</t>
        </is>
      </c>
      <c r="H24" t="inlineStr"/>
    </row>
    <row r="25">
      <c r="A25" t="inlineStr">
        <is>
          <t>abwj3l</t>
        </is>
      </c>
      <c r="B25" t="inlineStr">
        <is>
          <t>Urgent you can cure CANCER in China</t>
        </is>
      </c>
      <c r="C25" t="inlineStr">
        <is>
          <t>A global event being haunted by medical experts announcing the end of the deadly cancer.
When the hospital in Vienna repaired the disease and removed it, thousands of flights began. The whole world is about to go to this system for five days. Cancer is then eliminated without chemicals after this research team. The hospital ruled out the deadly disease. They are now looking into how to prevent the disease and may be able to pass a vaccine against it.
&amp;amp;#x200B;
**China Hospital Phone: 00862034471288**</t>
        </is>
      </c>
      <c r="D25" t="n">
        <v>1</v>
      </c>
      <c r="E25" t="n">
        <v>0</v>
      </c>
      <c r="F25">
        <f>HYPERLINK("https://www.reddit.com/r/cancer/comments/abwj3l/urgent_you_can_cure_cancer_in_china/")</f>
        <v/>
      </c>
      <c r="G25" t="inlineStr">
        <is>
          <t>2019-01-02 11:12:14</t>
        </is>
      </c>
      <c r="H25" t="inlineStr"/>
    </row>
    <row r="26">
      <c r="A26" t="inlineStr">
        <is>
          <t>abxqw0</t>
        </is>
      </c>
      <c r="B26" t="inlineStr">
        <is>
          <t>I think I'm dying.</t>
        </is>
      </c>
      <c r="C26" t="inlineStr">
        <is>
          <t xml:space="preserve">NHL Follicular D Cell - I have been coughing and having symptoms of bronchitis for 3 months. I've been going to the doctor but ended up in the ER over the weekend. They diagnosed it as a type of lung damage. He said that people with lupus get this. I'm on my second round of antibiotics and steroids. I'm in so much pain from coughing. I'm weak and wake up crying because I feel so miserable. 
Has this problem happened to you and did you recover? </t>
        </is>
      </c>
      <c r="D26" t="n">
        <v>1</v>
      </c>
      <c r="E26" t="n">
        <v>21</v>
      </c>
      <c r="F26">
        <f>HYPERLINK("https://www.reddit.com/r/cancer/comments/abxqw0/i_think_im_dying/")</f>
        <v/>
      </c>
      <c r="G26" t="inlineStr">
        <is>
          <t>2019-01-02 13:07:41</t>
        </is>
      </c>
      <c r="H26" t="inlineStr"/>
    </row>
    <row r="27">
      <c r="A27" t="inlineStr">
        <is>
          <t>abyiuq</t>
        </is>
      </c>
      <c r="B27" t="inlineStr">
        <is>
          <t>Sudden stage IV lung cancer with mets to bones and pancreas? Confused and wondering what to expect?</t>
        </is>
      </c>
      <c r="C27" t="inlineStr">
        <is>
          <t xml:space="preserve">I’m not sure if this is where I need to be posting this. But I just need some clarification or someone to break down this diagnoses for me. 
My grandma had a cancerous mass in her kidney last year. It was removed along with one ureter. And she was deemed cancer free. 
Fast forward 8 months and she’s suddenly in the hospital for pneumonia. They found one mass the size of a fist in one lung. And smaller tumors in the other. 
They do a bronchoscopy and decide chemo for treatment. 
3 weeks later and I get informed (today) they found another mass in her pancreas AND her entire femur is riddled with cancer. 
The information online is so scattered and there’s so many different answers. I’d like some input from real people who experienced this sort of thing. 
Can this much cancer spread within 8 months? I’m lost as to how this can happen so fast. 
What kind of life expectancy should I be aware of? I know it’s nearly impossible to estimate but from your experience, how long may she have? 
There’s so many organs involved, I can’t really pinpoint what to expect. Or how this happened to this extreme when she was cancer free months ago. </t>
        </is>
      </c>
      <c r="D27" t="n">
        <v>1</v>
      </c>
      <c r="E27" t="n">
        <v>1</v>
      </c>
      <c r="F27">
        <f>HYPERLINK("https://www.reddit.com/r/cancer/comments/abyiuq/sudden_stage_iv_lung_cancer_with_mets_to_bones/")</f>
        <v/>
      </c>
      <c r="G27" t="inlineStr">
        <is>
          <t>2019-01-02 14:24:18</t>
        </is>
      </c>
      <c r="H27" t="inlineStr"/>
    </row>
    <row r="28">
      <c r="A28" t="inlineStr">
        <is>
          <t>abzhqz</t>
        </is>
      </c>
      <c r="B28" t="inlineStr">
        <is>
          <t>AP Biology help.</t>
        </is>
      </c>
      <c r="C28" t="inlineStr">
        <is>
          <t>So, I have an assignment for AP Biology, and it is a research project where i have to figure out a way to help someone who is Her2 posotive, but their Her2 receptors mutated in a way the makes Herceptin no longer works. I have done the research, and found two follow up treatments, both attempt to stop angiogenesis. One, a pairing of drugs that should stop the VEGFR2 pathway completely. And two, because my teacher asked for a method that attacks "signals downstream a pathway" so i have compiled four drugs that inhibit specific parts of the the VEGFR2 pathway. I essentially want to know if these two treatments I have made are healthy to do. 
Treatment 1:
Using Taxotere (docetaxel) and Orantnib to inhibit the VEFGR2 pathway completely.
Treatment 2:
Using BI-853520 to inhibit FAK, BKM120 to inhibit PI3K, and U73122 to inhibit calcium ions that will be a result of PLCy, and finally Gleevec to inhibit ERK.</t>
        </is>
      </c>
      <c r="D28" t="n">
        <v>1</v>
      </c>
      <c r="E28" t="n">
        <v>0</v>
      </c>
      <c r="F28">
        <f>HYPERLINK("https://www.reddit.com/r/cancer/comments/abzhqz/ap_biology_help/")</f>
        <v/>
      </c>
      <c r="G28" t="inlineStr">
        <is>
          <t>2019-01-02 16:01:43</t>
        </is>
      </c>
      <c r="H28" t="inlineStr"/>
    </row>
    <row r="29">
      <c r="A29" t="inlineStr">
        <is>
          <t>ac0am7</t>
        </is>
      </c>
      <c r="B29" t="inlineStr">
        <is>
          <t>Biopsy from small sample different from surgical sample taken.</t>
        </is>
      </c>
      <c r="C29" t="inlineStr">
        <is>
          <t xml:space="preserve">My mother has diagnosed with tumor in colon, they get sample through colonoscopy. The doctor sugested to have sergury asap since it starts bleeding. They get the whole mass by cutting her colon then join it and do some biopsy out of that cutted part too.
We got the first result in the surgery. 
The result in the sample gotten from the cutted colon is r/o-ca. And that it is the lining is also clear. And some medical descriptions of the large polyph.
The doctor said in about two to three years it will be cancer. We are very happy with the result to figure it earlier. And the mass has also gotten rid since they cut part of the colon.
Days later we got the result in sample through colonoscopy it is adenocarcinoma, well-differnciated something like that.
I have researched it and it is cancer.
I'm very worried right now, we havent get back to doctor yet. And I havent got chance to tell my mom about the meaing of it.
 I'm really worried.
</t>
        </is>
      </c>
      <c r="D29" t="n">
        <v>1</v>
      </c>
      <c r="E29" t="n">
        <v>1</v>
      </c>
      <c r="F29">
        <f>HYPERLINK("https://www.reddit.com/r/cancer/comments/ac0am7/biopsy_from_small_sample_different_from_surgical/")</f>
        <v/>
      </c>
      <c r="G29" t="inlineStr">
        <is>
          <t>2019-01-02 17:28:06</t>
        </is>
      </c>
      <c r="H29" t="inlineStr"/>
    </row>
    <row r="30">
      <c r="A30" t="inlineStr">
        <is>
          <t>ac0mh3</t>
        </is>
      </c>
      <c r="B30" t="inlineStr">
        <is>
          <t>Resolve Sprey (carpet cleaner) Worried</t>
        </is>
      </c>
      <c r="C30" t="inlineStr">
        <is>
          <t xml:space="preserve">so I touched something called resolve spray and it noticed my finger started turning white so i was worried i cant find anything on it so im asking you if you know anything about and im really worried about getting cancer from touching the resolve sprey with my fingers rubbing it into the carpet so is there anything that can happen like Cancer im not sure what happend also but after a muinite after touching it my neck started to turn red and a lil bump appeard and now im worried, so if there any chance you can help find something about it or if you knew anything, thanks for your time -Jared H </t>
        </is>
      </c>
      <c r="D30" t="n">
        <v>1</v>
      </c>
      <c r="E30" t="n">
        <v>0</v>
      </c>
      <c r="F30">
        <f>HYPERLINK("https://www.reddit.com/r/cancer/comments/ac0mh3/resolve_sprey_carpet_cleaner_worried/")</f>
        <v/>
      </c>
      <c r="G30" t="inlineStr">
        <is>
          <t>2019-01-02 18:04:13</t>
        </is>
      </c>
      <c r="H30" t="inlineStr"/>
    </row>
    <row r="31">
      <c r="A31" t="inlineStr">
        <is>
          <t>ac2dyh</t>
        </is>
      </c>
      <c r="B31" t="inlineStr">
        <is>
          <t>A Cancer Anniversary</t>
        </is>
      </c>
      <c r="C31" t="inlineStr">
        <is>
          <t>Exactly one year ago today I was diagnosed with Stage II Endometrial Adenocarcinoma.  A year ago, I was afraid to say that word, afraid what that meant and afraid of how it would impact my life.  It's been a long journey and I am exhausted but alive and more importantly, in remission.   As I try to navigate a life that now includes the many ways that cancer has permeated it, I hope to  soon feel true joy again, to get my sexy back, to not be as afraid of what might happen and enjoy what just is.  So on this day, I celebrate my diagnosis day not to be negative but to celebrate the positive.  I've reached a hard earned milestone. As I raise my tequila shot high and my fuck you finger to cancer even higher, I give thanks for the excellent care I've received and continue to receive.  I am especially grateful that I have another chance for another 27 years with the love of my life.</t>
        </is>
      </c>
      <c r="D31" t="n">
        <v>1</v>
      </c>
      <c r="E31" t="n">
        <v>5</v>
      </c>
      <c r="F31">
        <f>HYPERLINK("https://www.reddit.com/r/cancer/comments/ac2dyh/a_cancer_anniversary/")</f>
        <v/>
      </c>
      <c r="G31" t="inlineStr">
        <is>
          <t>2019-01-02 21:22:57</t>
        </is>
      </c>
      <c r="H31" t="inlineStr"/>
    </row>
    <row r="32">
      <c r="A32" t="inlineStr">
        <is>
          <t>ac2nma</t>
        </is>
      </c>
      <c r="B32" t="inlineStr">
        <is>
          <t>My mom (patient) suddenly needed several breakthrough pain pills today after not needing any. So glad doc appt is tomorrow.</t>
        </is>
      </c>
      <c r="C32" t="inlineStr">
        <is>
          <t xml:space="preserve">She just got diagnosed with stage 4 lung cancer. It’s been a long 10 days or so before she is finally having her first oncology appt (besides the ER) where she’ll find out her treatment. Today she just seemed much worse than before. Much paler and is having more pain. Maybe she’s just getting tolerant to the morphine, but I don’t think so, bc I’ve given her 4 HC’s today when she usually hasn’t needed any. I feel like the tumor has grown today or something. I knew she’d be leaving me sooner than I and she had hoped, but wow, it seems much more imminent now. I’m afraid to go to sleep in case she needs something. It was too painful for her to twist to grab her water, and she’s so thirsty. Just wanted to share I guess, </t>
        </is>
      </c>
      <c r="D32" t="n">
        <v>1</v>
      </c>
      <c r="E32" t="n">
        <v>5</v>
      </c>
      <c r="F32">
        <f>HYPERLINK("https://www.reddit.com/r/cancer/comments/ac2nma/my_mom_patient_suddenly_needed_several/")</f>
        <v/>
      </c>
      <c r="G32" t="inlineStr">
        <is>
          <t>2019-01-02 21:56:20</t>
        </is>
      </c>
      <c r="H32" t="inlineStr"/>
    </row>
    <row r="33">
      <c r="A33" t="inlineStr">
        <is>
          <t>ac3d1l</t>
        </is>
      </c>
      <c r="B33" t="inlineStr">
        <is>
          <t>Could it be cancer?</t>
        </is>
      </c>
      <c r="C33" t="inlineStr">
        <is>
          <t>So I've been having a headache for about a week. It's getting better but it's still here. When I wake up it's not there but after I start my day it gets worse.
Pain is located at the back of my head and it's pulsating.
I also lost some weight, about 3 kg. But that could be because of my panical fear of having cancer. I also get random muscle twitching but only like 5 times a day.
I visited my doctor today. The usual happened, blood tests, she looked at my neck she said it's looking normal. She also asked me to close and open my eyes ( that was fine she said ). My blood pressure is also normal. 
I also get nausea but that is from my anxiety because it goes away if I do something with my family ( board games etc. ). 
Could this be cancer?</t>
        </is>
      </c>
      <c r="D33" t="n">
        <v>1</v>
      </c>
      <c r="E33" t="n">
        <v>2</v>
      </c>
      <c r="F33">
        <f>HYPERLINK("https://www.reddit.com/r/cancer/comments/ac3d1l/could_it_be_cancer/")</f>
        <v/>
      </c>
      <c r="G33" t="inlineStr">
        <is>
          <t>2019-01-02 23:30:10</t>
        </is>
      </c>
      <c r="H33" t="inlineStr"/>
    </row>
    <row r="34">
      <c r="A34" t="inlineStr">
        <is>
          <t>ac51dk</t>
        </is>
      </c>
      <c r="B34" t="inlineStr">
        <is>
          <t>so my dad got only 3 months left</t>
        </is>
      </c>
      <c r="C34" t="inlineStr">
        <is>
          <t>He has stage 4 liver cancer, we did the chemo and all of the of  the  stuff it didnt help.The tumor has grown pretty big and yesterday the doctor's said,that they can't do anything about it and said at this stage surgery is very risky,so they don't wanna do it, hes 63 btw.
We have no idea what to do now...how can we make this better for him?? what we can we do to make him feel better ??? im just a loss for words...</t>
        </is>
      </c>
      <c r="D34" t="n">
        <v>1</v>
      </c>
      <c r="E34" t="n">
        <v>11</v>
      </c>
      <c r="F34">
        <f>HYPERLINK("https://www.reddit.com/r/cancer/comments/ac51dk/so_my_dad_got_only_3_months_left/")</f>
        <v/>
      </c>
      <c r="G34" t="inlineStr">
        <is>
          <t>2019-01-03 03:54:57</t>
        </is>
      </c>
      <c r="H34" t="inlineStr"/>
    </row>
    <row r="35">
      <c r="A35" t="inlineStr">
        <is>
          <t>ac59i7</t>
        </is>
      </c>
      <c r="B35" t="inlineStr">
        <is>
          <t>NHL - any advice for staying positive?</t>
        </is>
      </c>
      <c r="C35" t="inlineStr">
        <is>
          <t xml:space="preserve"> Hey all, 26M - about 2 and a half weeks or so ago i was admitted to hospital and pretty quickly I was diagnosed with non-hodgkins lymphoma. Apparently I have a high chance of remission, but i find myself struggling everyday to remind myself of that, partially as my tumor is quite large. I always keep thinking 'what if I'm one of the unlucky ones? What if the chemo doesn't work?' I've got chemo for 6 months, 5 days of 24 hours treatment with 21 days off. So far I've done 1 round of chemo, and my body has apparently tolerated it pretty well. But again despite this I can't help but let the anxiety of the situation get to me, and honestly I'm scared. Does anyone have advice on helping me stay positive? Thanks :)</t>
        </is>
      </c>
      <c r="D35" t="n">
        <v>1</v>
      </c>
      <c r="E35" t="n">
        <v>17</v>
      </c>
      <c r="F35">
        <f>HYPERLINK("https://www.reddit.com/r/cancer/comments/ac59i7/nhl_any_advice_for_staying_positive/")</f>
        <v/>
      </c>
      <c r="G35" t="inlineStr">
        <is>
          <t>2019-01-03 04:27:34</t>
        </is>
      </c>
      <c r="H35" t="inlineStr"/>
    </row>
    <row r="36">
      <c r="A36" t="inlineStr">
        <is>
          <t>ac5tfo</t>
        </is>
      </c>
      <c r="B36" t="inlineStr">
        <is>
          <t>Terminal Diagnosis - How to Cope</t>
        </is>
      </c>
      <c r="C36" t="inlineStr">
        <is>
          <t xml:space="preserve">is anyone else here stage iv or with a terminal diagnosis at a young age? i'm 21 and i'm being delivered some big news tomorrow on my diagnosis, and based on my symptoms, i'm kind of assuming the worst. i just want to hear other peoples' perspectives or mindsets. it's really difficult to grapple with that diagnosis - how do you cope? 
i've been thinking about it a lot, like about dying in a random accident vs dying slowly and getting the chance to say your goodbyes. i feel like saying goodbye is better, but then, when you die randomly you don't have the chance to mull about your lost future, and you don't have to witness the pain your death will cause. i've been trying to grapple with this in preparation, in hopes of finding some kind of silver lining or acceptance. 
also, do you believe in an afterlife? or any kind of spiritual future? </t>
        </is>
      </c>
      <c r="D36" t="n">
        <v>1</v>
      </c>
      <c r="E36" t="n">
        <v>32</v>
      </c>
      <c r="F36">
        <f>HYPERLINK("https://www.reddit.com/r/cancer/comments/ac5tfo/terminal_diagnosis_how_to_cope/")</f>
        <v/>
      </c>
      <c r="G36" t="inlineStr">
        <is>
          <t>2019-01-03 05:42:16</t>
        </is>
      </c>
      <c r="H36" t="inlineStr"/>
    </row>
    <row r="37">
      <c r="A37" t="inlineStr">
        <is>
          <t>ac5yv0</t>
        </is>
      </c>
      <c r="B37" t="inlineStr">
        <is>
          <t>How I dealt with my dads cancer</t>
        </is>
      </c>
      <c r="C37" t="inlineStr">
        <is>
          <t xml:space="preserve">I’ve never been on this subreddit before but I wish I found it earlier, my dad got diagnosed with cancer in the early summer but has finally completed the chemo on the 31st of December and as a boy I know some boys don’t like to share their emotions to anyone.
When I first heard about my dads cancer I knew I had to be their for my mum and do everything I can to help her round the house. To me this was the most important in helping others who may be more emotional than me e.g my mum
However I put in this strong face for my mum and all friends acting like I was completely fine and nothing was wrong, but at nights I would see myself cry a little and just think about the worst. That brings me to my first point, try to not think about the worst, it’ll only make you feel worse about yourself and the situation. 
I never spoke to anyone about my dads cancer, and I wish I did, even if it’s a small comment on how they are  doing or letting everything out to someone close to you, it will make you feel better, trust me. 
I was luckily enough that my gf was always there for me to talk to it about whenever I needed to when I was at my lowest points, find someone like that in which you can let ya feelings out to and be comforted by them.
Here’s a few things I learnt to help you get through the situation: 
1. Just cause your a boy does not mean you should not have feelings, it makes you more of a man to express them, even a little bit 
2. You are not alone, if you don’t feel comfortable in talking to a person in real life, Reddit is a great place to tell you story and feeing so others can help you
3. Your family is always there if you need help to get through it
4. But do stay strong for the people who need you, they will appreciate it and that might make you feel better about yourself
5. Don’t treat the person with cancer any different to before, they want to be seen as the Same person as before, which they are
6. When it’s all over it is worth the pain everyone wen through, trust me
Even if no one sees this I’m glad I got this off of my chest, even tho it’s over for me and my dad, it’s starting for millions of people around the world and I hope this can help someone out there </t>
        </is>
      </c>
      <c r="D37" t="n">
        <v>1</v>
      </c>
      <c r="E37" t="n">
        <v>5</v>
      </c>
      <c r="F37">
        <f>HYPERLINK("https://www.reddit.com/r/cancer/comments/ac5yv0/how_i_dealt_with_my_dads_cancer/")</f>
        <v/>
      </c>
      <c r="G37" t="inlineStr">
        <is>
          <t>2019-01-03 06:02:12</t>
        </is>
      </c>
      <c r="H37" t="inlineStr"/>
    </row>
    <row r="38">
      <c r="A38" t="inlineStr">
        <is>
          <t>ac6ufg</t>
        </is>
      </c>
      <c r="B38" t="inlineStr">
        <is>
          <t>what is the Alternative Cancer Therapy ?</t>
        </is>
      </c>
      <c r="C38" t="inlineStr">
        <is>
          <t>**What is the Alternative Cancer Therapy: Help With Side Effects**
Around five million world are treated for cancer. The current methods such as [surgery](http://treatmentsofcancer.com/tag/surgery), chemotherapy and [radiotherapy](http://treatmentsofcancer.com/tag/radiotherapy) often promise healing today, but they have clear side effects. There are alternative methods to mitigate these.
Due to the side effects of [chemotherapy](http://treatmentsofcancer.com/chemotherapy-treatment-for-brain-tumor.html), many cancer patients receive complementary extracts of the medicinal mistletoe plant. It reduces the side effects without weakening the effect of the [therapy](http://treatmentsofcancer.com/tag/therapy).
&amp;amp;#x200B;
[Which Foods that kill Cancer Cels?](https://i.redd.it/dx0ae4cja8821.jpg)
 With the needle method from Traditional Chinese Medicine (TCM), the expert has had good experiences: “**This can affect the hot flashes that occur under a hormone treatment.**” Even with nausea during chemotherapy and pain, this technique can help .
Fragrant vegetable oils lend themselves to external applications, such as in the form of rubbings and wrapping. “This is a wonderful self-help, which also relatives can use”, summarizes Dr. med. Huber together. Rosemary stimulates and lavender soothes. St. John’s wort oil can be used to treat scars and muscle aches, aconite oil with an iron hat improves nerve pain, peppermint oil relieves headache (pharmacy).
Many patients receive additional extracts of the medicinal plant mistletoe per injection. “**We have good data that it reduces side effects during chemotherapy, without weakening their effects**,” says the cancer specialist. She also improves fatigue and fatigue, the so-called fatigue. Preparations with valerian, hops and melissa relieve nervousness and restlessness, creams with aloe vera promote wound healing. Rinse with lukewarm marigold tea is also good for sore mucous membranes.
&amp;amp;#x200B;
[How Food Can Protect ?](https://i.redd.it/ig108kzna8821.jpg)</t>
        </is>
      </c>
      <c r="D38" t="n">
        <v>1</v>
      </c>
      <c r="E38" t="n">
        <v>0</v>
      </c>
      <c r="F38">
        <f>HYPERLINK("https://www.reddit.com/r/cancer/comments/ac6ufg/what_is_the_alternative_cancer_therapy/")</f>
        <v/>
      </c>
      <c r="G38" t="inlineStr">
        <is>
          <t>2019-01-03 07:43:04</t>
        </is>
      </c>
      <c r="H38" t="inlineStr"/>
    </row>
    <row r="39">
      <c r="A39" t="inlineStr">
        <is>
          <t>ac7wct</t>
        </is>
      </c>
      <c r="B39" t="inlineStr">
        <is>
          <t>Has anyone had a reverse ostomy?</t>
        </is>
      </c>
      <c r="C39" t="inlineStr">
        <is>
          <t>After diagnosed with gallbladder cancer, they gave me an ostomy. 
My doctor said to me that what I have could be reversed. Anyone have experience with this? Thanks.</t>
        </is>
      </c>
      <c r="D39" t="n">
        <v>1</v>
      </c>
      <c r="E39" t="n">
        <v>6</v>
      </c>
      <c r="F39">
        <f>HYPERLINK("https://www.reddit.com/r/cancer/comments/ac7wct/has_anyone_had_a_reverse_ostomy/")</f>
        <v/>
      </c>
      <c r="G39" t="inlineStr">
        <is>
          <t>2019-01-03 09:27:41</t>
        </is>
      </c>
      <c r="H39" t="inlineStr"/>
    </row>
    <row r="40">
      <c r="A40" t="inlineStr">
        <is>
          <t>ac964u</t>
        </is>
      </c>
      <c r="B40" t="inlineStr">
        <is>
          <t>How did you deal with your "chemo-brain" or brain fog?</t>
        </is>
      </c>
      <c r="C40" t="inlineStr">
        <is>
          <t xml:space="preserve">I went through chemotherapy in 2015 I've had delayed mental processing since then. When I went back to highschool in 2016 to finish my senior in year, I noticed that I was slower than I used to be, I couldn't solve math equations in my head like I used to. I've been graduated since 2017 and I've been rediagnosed and went into remission again since then, but no chemo the second time. I'm getting ready to work and go to college and I was curious to know if any other cancer survivors experienced this and had some methods of dealing with it. </t>
        </is>
      </c>
      <c r="D40" t="n">
        <v>1</v>
      </c>
      <c r="E40" t="n">
        <v>18</v>
      </c>
      <c r="F40">
        <f>HYPERLINK("https://www.reddit.com/r/cancer/comments/ac964u/how_did_you_deal_with_your_chemobrain_or_brain_fog/")</f>
        <v/>
      </c>
      <c r="G40" t="inlineStr">
        <is>
          <t>2019-01-03 11:28:17</t>
        </is>
      </c>
      <c r="H40" t="inlineStr"/>
    </row>
    <row r="41">
      <c r="A41" t="inlineStr">
        <is>
          <t>ac99j2</t>
        </is>
      </c>
      <c r="B41" t="inlineStr">
        <is>
          <t>Get to know more about Pleural Mesothelioma!!</t>
        </is>
      </c>
      <c r="C41" t="inlineStr">
        <is>
          <t xml:space="preserve">   
Pleural mesothelioma is a sort of growth that influences the covering of the lungs, also called the pleura. Caused by presentation to asbestos, pleural mesothelioma is the most widely recognized of the three kinds of mesothelioma, where over 75% of all analyzed mesothelioma cases influence the pleura.  
The pleura is a sack of delicate tissue that contains the lungs and also a thin film known as the mesothelium, which secretes an imperative liquid that empowers the lungs to grow and contract. While there might be no manifestations present until the later phases of the tumor, first indications of the illness incorporate shortness of breath and chest torment because of the manner in which the disease influences this zone.  
The 20 to multi-year inertness period among introduction and beginning of the ailment additionally represents the poor visualization related with pleural mesothelioma, which is generally under a year and a half, however, this isn't generally the situation.  
### Reasons for Pleural Mesothelioma 
The essential driver of pleural mesothelioma is an asbestos presentation. Whenever breathed in, asbestos strands wind up implanted in the lung lining. In time, these sharp filaments bother the pleural film and prompt incessant irritation and scar tissue.  
In people who are vigorously uncovered, 80 percent of whom are more seasoned men who worked in modern occupations, these strands can prompt the wild development of harmful cells in the pleura, in the end framing tumors.  
Following a conclusion, patients more often than not display various tumor masses influencing both the instinctive (advance from the lung) and parietal (closer to the lung) surfaces of the pleura. The parietal surface is more frequently influenced than the instinctive surface, and the correct lung, because of its bigger size, regularly endures more harm than the littler left lung. More asbestos tends to settle in the lower lungs than the upper lungs.  
These tumors regularly develop rapidly in size and can cover the whole lung depression, making it extremely hard to inhale and causing serious agony. In the propelled phases of pleural mesothelioma, the tumor may spread, or metastasize, to other adjacent organs, including the heart, stomach area, and lymph hubs.  
### Side effects of Pleural Mesothelioma 
Pleural mesothelioma is hard to analyze on the grounds that the indications of the ailment, if and when present right off the bat, look like those of other more typical ailments, including this season's cold virus, a cool, laryngitis, pneumonia, or challenging hack.  
Chest agony and trouble breathing is normally the principal sign of an issue, caused by the developing tumors that expand the pleural space and cause it to load up with an excessive amount of liquid. Such chest torment is regularly mixed up for heart issues and some yet-to-be-analyzed mesothelioma unfortunate casualties trust they are showing at least a bit of kindness assault or experiencing coronary illness. To additionally confound finding, side effects don't normally create until stages III or IV of the malignancy.  
**Basic side effects of pleural mesothelioma, caused by the nearness of tumors, include:**   
* Chest, rub, or lower back torment 
* Determined hacking 
* Hacking up blood (hemoptysis) 
* Trouble gulping (dysphagia) 
* Shortness of breath (dyspnea) 
* Liquid around the lungs (pleural radiation) 
* Raspiness or trouble talking 
* Blood clumps (less normal) 
**The inconvenience caused by the above manifestations can likewise result in:**   
* Loss of craving 
* Weight reduction 
* Exhaustion 
* Analysis 
### Diagnosis
It regularly takes weeks or even a very long time before a right analysis is made, and in light of the fact that the ailment more often than not takes somewhere in the range of 20 and 50 years to surface, past introduction to asbestos frequently doesn't ring a bell when endeavoring to make a determination or when a patient is giving a restorative history. Additionally, various other lung and respiratory infections, including this season's flu virus and pneumonia, have indistinguishable indications from pleural mesothelioma, making a right conclusion significantly all the more difficult to affirm.  
Eventually, an authoritative determination of harmful pleural mesothelioma is accomplished by the utilization of modern x-beams, for example, CT outputs and MRIs, and in addition gathering, liquid and tissue biopsies accomplished utilizing thoracoscopy, where a specialist can look at the patient's chest with a little camera. Sweeps can uncover the nearness of pleural emanation and a biopsy, ideally, a needle biopsy can finish the determination. While to some degree awkward, this test is speedy and offers a decent achievement rate for exact finding.  
* Chest X-beams are utilized to distinguish pleural emanations. 
* CT Scans enable doctors to distinguish proof of asbestos presentation. 
* PET outputs may uncover where the disease has spread. 
* Thoracentesis enable specialists to test pleural liquid. 
* Biopsies are utilized to gather pleural tissue tests. 
In the wake of playing out a progression of the above sweeps, tests, and biopsies, a treatment plan is the following stage.  
### Treatment 
Since pleural mesothelioma is so hard to analyze, the illness is regularly in a propelled stage when found. That makes mesothelioma treatment choices constrained. Basic treatment choices for pleural mesothelioma include:  
* Medical procedure 
* Chemotherapy
* Radiation 
* Multimodal 
### Medical procedure 
Just a bunch of mesothelioma patients tormented with this type of the malady are the contender for a medical procedure to expel tumors, particularly since the tumors are regularly expansive and across the board when of determination. Careful resection might be a choice later if the oncologist figures the expulsion of a lung would profit the patient. Careful choices incorporate pleurectomy/decortication (P/D), where the tumor and infected pleura are evacuated, an extrapleural pneumonectomy (EPP), where the pleura, influenced lung, stomach and pericardium are expelled.  
### Chemotherapy 
All the more frequently, pleural mesothelioma patients are treated with radiation or chemotherapy. Chemotherapy includes the utilization of medications to both wreck growth cells recoil tumors. Notwithstanding progressions, the achievement rate of chemotherapy alone is low. Various clinical preliminaries are endeavoring to discover a mix of chemotherapy tranquilizes that will fix pleural mesothelioma.  
### Radiation 
Radiation treatment, which is additionally intended to murder growth cells and diminish tumor measure, is frequently just fruitful in dealing with the manifestations of pleural mesothelioma.  
A few specialists choose what is generally known as multimodal treatment, which is a mix of at least two treatments, typically chemo, and radiation as well as medical procedure. Most specialists concur that a multimodal approach gives the best odds of survival. Late research has likewise incited experimentation with various mixes of chemotherapy drugs, bringing about positive results when certain ones are utilized in the meantime.  
When mesothelioma is analyzed, it's vital for patients to keep up a sound way of life with the end goal to more readily battle the sickness. This incorporates appropriate nourishment, exercise, and stress-alleviating treatments.  
### Anticipation 
After an analysis and intensive examination of the sickness, specialists build up a plausible result or forecast, however doing as such precisely for pleural mesothelioma is troublesome.  
**Elements that decide forecast include:**   
* Patient's age and sexual orientation 
* The phase of ailment when analyzed 
* Patient's history of smoking 
* Nearness of torment when relaxing 
Presently, the guess for those determined to have pleural mesothelioma isn't great given that analysis regularly happens in a late, propelled organize. Numerous patients bite the dust inside a half year of determination; some satisfy a year, however, survival much past that time allotment is uncommon. Clinical preliminaries are always in progress with expectations of finding a solution for the sickness or an approach to additionally drag out the life of a pleural mesothelioma sufferer </t>
        </is>
      </c>
      <c r="D41" t="n">
        <v>1</v>
      </c>
      <c r="E41" t="n">
        <v>0</v>
      </c>
      <c r="F41">
        <f>HYPERLINK("https://www.reddit.com/r/cancer/comments/ac99j2/get_to_know_more_about_pleural_mesothelioma/")</f>
        <v/>
      </c>
      <c r="G41" t="inlineStr">
        <is>
          <t>2019-01-03 11:37:30</t>
        </is>
      </c>
      <c r="H41" t="inlineStr"/>
    </row>
    <row r="42">
      <c r="A42" t="inlineStr">
        <is>
          <t>acav8f</t>
        </is>
      </c>
      <c r="B42" t="inlineStr">
        <is>
          <t>Cancer is winning</t>
        </is>
      </c>
      <c r="C42" t="inlineStr">
        <is>
          <t xml:space="preserve">My dad has stage IV metastatic liver, lung a day stomach cancer. He was diagnosed at the end of November of his disease.
Tomorrow it's January 4th, days and days of neglecting my father.
Dad is going tomorrow to the ER with his attorney and will be put in hospital for better care.
He only can walk a few steps. 
Has no energy to bathe himself.
Doesn't eat.
Dizziness. Tiredness. Soreness from being too much on bed.
All these symptoms appeared in the span of four days. The deterioration was so incredibly fast.
Here the felony is called "neglect of person" and his attorney will go to the ultimate consequences.
I hope he makes it until tomorrow for proper medical care. </t>
        </is>
      </c>
      <c r="D42" t="n">
        <v>1</v>
      </c>
      <c r="E42" t="n">
        <v>0</v>
      </c>
      <c r="F42">
        <f>HYPERLINK("https://www.reddit.com/r/cancer/comments/acav8f/cancer_is_winning/")</f>
        <v/>
      </c>
      <c r="G42" t="inlineStr">
        <is>
          <t>2019-01-03 14:07:31</t>
        </is>
      </c>
      <c r="H42" t="inlineStr"/>
    </row>
    <row r="43">
      <c r="A43" t="inlineStr">
        <is>
          <t>accier</t>
        </is>
      </c>
      <c r="B43" t="inlineStr">
        <is>
          <t>Need new housing</t>
        </is>
      </c>
      <c r="C43" t="inlineStr">
        <is>
          <t xml:space="preserve">Pretty heartbroken.. I'm not sure what I did today but I did the worst of all and now I just need to find a new bedroom to rent. It sucks. </t>
        </is>
      </c>
      <c r="D43" t="n">
        <v>1</v>
      </c>
      <c r="E43" t="n">
        <v>1</v>
      </c>
      <c r="F43">
        <f>HYPERLINK("https://www.reddit.com/r/cancer/comments/accier/need_new_housing/")</f>
        <v/>
      </c>
      <c r="G43" t="inlineStr">
        <is>
          <t>2019-01-03 16:52:45</t>
        </is>
      </c>
      <c r="H43" t="inlineStr"/>
    </row>
    <row r="44">
      <c r="A44" t="inlineStr">
        <is>
          <t>accrhy</t>
        </is>
      </c>
      <c r="B44" t="inlineStr">
        <is>
          <t>Cervical cancer.</t>
        </is>
      </c>
      <c r="C44" t="inlineStr">
        <is>
          <t xml:space="preserve">Yesterday, I was diagnosed with AIS, Adenocarcinoma in situ with invasion, cervical cancer. 
I will have a PET scan Monday then meet with the oncologist Friday. 
I feel like I’m floating outside my old life. Looking through a window at my husband and 3 small children. </t>
        </is>
      </c>
      <c r="D44" t="n">
        <v>1</v>
      </c>
      <c r="E44" t="n">
        <v>0</v>
      </c>
      <c r="F44">
        <f>HYPERLINK("https://www.reddit.com/r/cancer/comments/accrhy/cervical_cancer/")</f>
        <v/>
      </c>
      <c r="G44" t="inlineStr">
        <is>
          <t>2019-01-03 17:19:13</t>
        </is>
      </c>
      <c r="H44" t="inlineStr"/>
    </row>
    <row r="45">
      <c r="A45" t="inlineStr">
        <is>
          <t>acd4ja</t>
        </is>
      </c>
      <c r="B45" t="inlineStr">
        <is>
          <t>My fiancé wants to send his mom to Integrative Cancer Centers of America</t>
        </is>
      </c>
      <c r="C45" t="inlineStr">
        <is>
          <t xml:space="preserve">Hopefully this is appropriate for here. I read the posts and I love how supportive of a community this is. I am hoping to seek some advice.
My mother passed away from a complicated version of endometrial cancer in 2015. They found uterine cancer in 2011, and performed a complete hysterectomy. There was very little follow up (we had been under the impression that the cancer had been removed, I was only 18 and didn’t understand much about cancer and healthcare). In 2014 she started having a lot of back pains and eventually ended up in the ER, where they found tumors and did biopsies and found that the cancer had been growing. She had 5 tumors, one wrapping from her back to her stomach. Apparently the standard is to receive radiation after a hysterectomy, but no one had ever told us this or offered it. She went through chemo and radiation, and passed away 9 months after the 2014 diagnosis. We took on trip to MD Anderson, but it was not very useful and they sent us back home.
I am sharing my story because this is my experience with cancer. My fiancé’s mother may have lung cancer, and my fiancé has contacted alternative cancer centers like the one mentioned in the title (integrativecancercentersofamerica.com) and does not want his mother to undergo chemo or radiation or any traditional treatment by a doctor because he believes that the treatment hurts you even more. I’m very torn because the chemo and treatment did shrink my mother’s tumors at one point, but also caused her a lot of discomfort and was stressful for us. He has heard about things like frequency generators, Vitamin C drips and cleanses that claim to heal cancer. I am very much on the fence about these alternative therapies, but he is also against using traditional treatment because he believes they are made to hurt the patient rather than help (a little but cynical of the government and our health care system). I am hoping to get some opinions and hear from others who are impacted by cancer. I was the primary caregiver for my mother (my sister is in the military and we were only raised by our mom) and I still struggle with guilt and I hope she knows I did my best to take good care of her and that I love her. I don’t know what to think about these alternative cancer treatments because I only have my experience which seems to be typical, of talking with doctors and nurses and following their advice. 
I should also note that his mother passive and scared and will follow whatever course he recommends I’m sure.
I’m sorry for the rambling post, I think it was a bit therapeutic for me as well as seeking discussion from all of the strong and caring people here, so thank you very much for reading and I wish you well on whatever path you are right now. </t>
        </is>
      </c>
      <c r="D45" t="n">
        <v>1</v>
      </c>
      <c r="E45" t="n">
        <v>7</v>
      </c>
      <c r="F45">
        <f>HYPERLINK("https://www.reddit.com/r/cancer/comments/acd4ja/my_fiancé_wants_to_send_his_mom_to_integrative/")</f>
        <v/>
      </c>
      <c r="G45" t="inlineStr">
        <is>
          <t>2019-01-03 17:58:54</t>
        </is>
      </c>
      <c r="H45" t="inlineStr"/>
    </row>
    <row r="46">
      <c r="A46" t="inlineStr">
        <is>
          <t>acd718</t>
        </is>
      </c>
      <c r="B46" t="inlineStr">
        <is>
          <t>My mom has been cancer free for years. Today she had to go to the doctor for a collapsed lung. They found a tumor. [UPDATE]</t>
        </is>
      </c>
      <c r="C46" t="inlineStr">
        <is>
          <t>Hello. A few days ago I wrote about a tumor the doc found on my mom's lung. Today, we got the results of the biopsy back. She is Stage III or IV lung cancer, and the tumor is so large, it has moved her trachea, and it is blocking most of the air coming into that lung. Right now, the only option is chemo. It's certainly not what I was hoping for, and is honestly a pretty shitty start to this year.
I might continue to update this just so I have a place to kind of vent. I'm just really fucking sad right now.
TL;DR Stage III or IV lung cancer. It's inoperable, so we have to go with chemo. I'm scared.</t>
        </is>
      </c>
      <c r="D46" t="n">
        <v>1</v>
      </c>
      <c r="E46" t="n">
        <v>3</v>
      </c>
      <c r="F46">
        <f>HYPERLINK("https://www.reddit.com/r/cancer/comments/acd718/my_mom_has_been_cancer_free_for_years_today_she/")</f>
        <v/>
      </c>
      <c r="G46" t="inlineStr">
        <is>
          <t>2019-01-03 18:06:20</t>
        </is>
      </c>
      <c r="H46" t="inlineStr"/>
    </row>
    <row r="47">
      <c r="A47" t="inlineStr">
        <is>
          <t>acdy2g</t>
        </is>
      </c>
      <c r="B47" t="inlineStr">
        <is>
          <t>AstraZenica is running sponsored posts across Reddit promoting Tagrisso (osimertinib) as a cancer drug. Here's my first hand experience.</t>
        </is>
      </c>
      <c r="C47" t="inlineStr">
        <is>
          <t>My wife was diagnosed with stage four adenocarcinoma lung cancer. Prescribed Tarceva (erlotinib), and she improved for a year, then started to decline. Nearly two years after diagnosis - and getting worse - doctor decides she is a candidate for Tagrisso.
What a difference. Within two weeks of starting Tagrisso it is like watching her contracting Alzheimer's disease in fast motion.  My wife completely stops being able to form new memories AT ALL (anterograde amnesia).  She starts talking nonsense, and we have to play "20 questions" to figure out what she means.  "Please bring me my far colors."  Which means "please bring me my vegetable tray."  Six weeks on this drug and she doesn't even seem to understand that she is dying of cancer - because the Tagrisso had ZERO effect on her tumors, which continue to spread unabated, but it completely wiped out her mind.
Maybe this drug does somebody somewhere some good but for my wife, it transformed her from a sick, aware human being into a rapidly dying zombie.</t>
        </is>
      </c>
      <c r="D47" t="n">
        <v>1</v>
      </c>
      <c r="E47" t="n">
        <v>4</v>
      </c>
      <c r="F47">
        <f>HYPERLINK("https://www.reddit.com/r/cancer/comments/acdy2g/astrazenica_is_running_sponsored_posts_across/")</f>
        <v/>
      </c>
      <c r="G47" t="inlineStr">
        <is>
          <t>2019-01-03 19:30:24</t>
        </is>
      </c>
      <c r="H47" t="inlineStr"/>
    </row>
    <row r="48">
      <c r="A48" t="inlineStr">
        <is>
          <t>acdzy0</t>
        </is>
      </c>
      <c r="B48" t="inlineStr">
        <is>
          <t>Type of cancer my best friends mom has</t>
        </is>
      </c>
      <c r="C48" t="inlineStr">
        <is>
          <t>Hi guys. My best friends mom was just diagnosed with cancer. We are both 17 and her dad isn’t telling her a lot of information and what he is telling her is a bit confusing and I’m trying to figure out what type of cancer she has if there is any way of telling from my description. This is what I know: she had had radiation in her spine in her upper, mid and lower back. According to my friend the doctors had plans of doing radiation in her neck as well.  They just got tests back today and the doctors said she only has weeks to live because apparently it’s in her spinal fluids. I researched spinal cancer and everything that popped up said lymphoma? I’m confused. Any help would be great.</t>
        </is>
      </c>
      <c r="D48" t="n">
        <v>1</v>
      </c>
      <c r="E48" t="n">
        <v>4</v>
      </c>
      <c r="F48">
        <f>HYPERLINK("https://www.reddit.com/r/cancer/comments/acdzy0/type_of_cancer_my_best_friends_mom_has/")</f>
        <v/>
      </c>
      <c r="G48" t="inlineStr">
        <is>
          <t>2019-01-03 19:36:13</t>
        </is>
      </c>
      <c r="H48" t="inlineStr"/>
    </row>
    <row r="49">
      <c r="A49" t="inlineStr">
        <is>
          <t>acebfl</t>
        </is>
      </c>
      <c r="B49" t="inlineStr">
        <is>
          <t>Any uveal melanoma patients?</t>
        </is>
      </c>
      <c r="C49" t="inlineStr">
        <is>
          <t xml:space="preserve">Hello all, I’ve been quietly lurking here a while but wanted to say hello, everyone here seems so kind and supportive. 
I have uveal melanoma in my right eye, I was diagnosed in July 2018 during my routine eye exam. I’d gone in for my annual eye exam and left with a referral to an ocular oncologist, quite the surprise. I had brachytherapy radiation in September 2018, and I have my first “big” post radiation appointment tomorrow morning. I’m incredibly nervous to find out how much my tumor, Lucious, has shrunk in the past few months. (Did anyone else name their tumor?  That’s weird, isn’t it?). 
I had a fine needle biopsy done on Lucious during the brachytherapy surgery, and the genetic test results came back that I’m likely to get Mets, probably in my liver (I don’t know what class, I’m going to ask my oncologist tomorrow). I’ll be having an ultrasound of my liver every three months, and if anything looks suspicious, I’ll be sent for a CT scan.  Lucious is cuddled up next to my optic nerve, so I have hardly any vision in that eye, and my oncologist isn’t hopeful that it will improve much. 
I know that uveal melanoma is one of the less common cancers, does anyone here have this type of tumor? Have you had mets, and did you have brachytherapy done?  Thank you in advance for any replies, most of my family and friends don’t know I have cancer, so I don’t have much of an outlet to talk about it. </t>
        </is>
      </c>
      <c r="D49" t="n">
        <v>1</v>
      </c>
      <c r="E49" t="n">
        <v>11</v>
      </c>
      <c r="F49">
        <f>HYPERLINK("https://www.reddit.com/r/cancer/comments/acebfl/any_uveal_melanoma_patients/")</f>
        <v/>
      </c>
      <c r="G49" t="inlineStr">
        <is>
          <t>2019-01-03 20:12:57</t>
        </is>
      </c>
      <c r="H49" t="inlineStr"/>
    </row>
    <row r="50">
      <c r="A50" t="inlineStr">
        <is>
          <t>acemrw</t>
        </is>
      </c>
      <c r="B50" t="inlineStr">
        <is>
          <t>It’s been weeks and I’m still struggling to accept my ex-fiancés diagnosis - can anyone help?</t>
        </is>
      </c>
      <c r="C50" t="inlineStr">
        <is>
          <t>I really hope this is the right place to ask this question, sorry if it’s not! 
At the start of 2018 my fiancé was diagnosed with cancer. It was the scariest thing ever but we dealt with it together and the treatment was over quickly. 
Fast forward to the end of 2018, he out of the blue gives up on the relationship and ends it after 7 years. Two weeks later he is diagnosed with more advanced metastatic cancer, followed by just over two months of chemo. 
It has been ages since I received the news of the diagnosis, but I am still really struggling to accept it. I am still feeling as though it can’t be real and must be a nightmare. 
I think it is partly because I love him so much but I haven’t been able to be part of any of this journey - it would have been easier to come to terms with if I was actually there. Instead I’ve been totally cut off, constantly wondering what’s going on. He hasn’t been speaking to me (I don’t really know why), so at times it’s been so long since I’d heard back that I didn’t know if he was even alive. 
It’s probably a different situation to most people here but I’m just wondering whether anyone else has experienced this inability to come to terms with a diagnosis? If you have experienced it, how would you suggest I move forwards? I’m already getting counselling on this issue. Any advice appreciated! 
Tl;dr - wondering whether anyone else out there has struggled to accept a diagnosis for a long time and how they moved past it</t>
        </is>
      </c>
      <c r="D50" t="n">
        <v>1</v>
      </c>
      <c r="E50" t="n">
        <v>4</v>
      </c>
      <c r="F50">
        <f>HYPERLINK("https://www.reddit.com/r/cancer/comments/acemrw/its_been_weeks_and_im_still_struggling_to_accept/")</f>
        <v/>
      </c>
      <c r="G50" t="inlineStr">
        <is>
          <t>2019-01-03 20:50:44</t>
        </is>
      </c>
      <c r="H50" t="inlineStr"/>
    </row>
    <row r="51">
      <c r="A51" t="inlineStr">
        <is>
          <t>acesl1</t>
        </is>
      </c>
      <c r="B51" t="inlineStr">
        <is>
          <t>My wife’s “cancer buddy” died today.</t>
        </is>
      </c>
      <c r="C51" t="inlineStr">
        <is>
          <t>My wife is four months into chemo for Stage IV pancreatic cancer which was diagnosed over the summer. About a year or so before her diagnosis, a former coworker of hers that she’d reconnected with (albeit long distance) learned she also had Stage IV colon cancer, and after my wife was diagnosed, they bonded even closer. Her friend seemed to be well into remission, but we just learned that she succumbed this morning.
Not only is my wife mourning the loss of her friend, she’s also feeling like she’s lost a lot of the hope that she had placed in watching her friend appearing to beat the illness. I’m trying to console her the best I can, but it’s a huge blow to her.
No advice really needed, just felt I had to vent. Thanks for listening 😀</t>
        </is>
      </c>
      <c r="D51" t="n">
        <v>1</v>
      </c>
      <c r="E51" t="n">
        <v>6</v>
      </c>
      <c r="F51">
        <f>HYPERLINK("https://www.reddit.com/r/cancer/comments/acesl1/my_wifes_cancer_buddy_died_today/")</f>
        <v/>
      </c>
      <c r="G51" t="inlineStr">
        <is>
          <t>2019-01-03 21:10:26</t>
        </is>
      </c>
      <c r="H51" t="inlineStr"/>
    </row>
    <row r="52">
      <c r="A52" t="inlineStr">
        <is>
          <t>acesxb</t>
        </is>
      </c>
      <c r="B52" t="inlineStr">
        <is>
          <t>Chronic Leukemia (CLL/MDS) and regular transfusions</t>
        </is>
      </c>
      <c r="C52" t="inlineStr">
        <is>
          <t>Looking for anecdotal stories/evidence:
Father has CLL/MDS, Dx was last Summer.  
We're now receiving 2 units of whole blood and 1 unit of platelets (along with chemo and another drug) every  seven-ten DAYS.  Accompanied by weight loss of about a freedom pound/week.
Wondering how that trends with other experiences...</t>
        </is>
      </c>
      <c r="D52" t="n">
        <v>1</v>
      </c>
      <c r="E52" t="n">
        <v>2</v>
      </c>
      <c r="F52">
        <f>HYPERLINK("https://www.reddit.com/r/cancer/comments/acesxb/chronic_leukemia_cllmds_and_regular_transfusions/")</f>
        <v/>
      </c>
      <c r="G52" t="inlineStr">
        <is>
          <t>2019-01-03 21:11:33</t>
        </is>
      </c>
      <c r="H52" t="inlineStr"/>
    </row>
    <row r="53">
      <c r="A53" t="inlineStr">
        <is>
          <t>aceze3</t>
        </is>
      </c>
      <c r="B53" t="inlineStr">
        <is>
          <t>how much does it actually cost to get a cancer diagnosis?</t>
        </is>
      </c>
      <c r="C53" t="inlineStr">
        <is>
          <t>TL;DR: OP thinks he has skin cancer, is poor and doesn't know anything about getting it actually diagnosed
Im just a dishwasher. not a smart guy and its what i can do. theres been a spot on my back right leg for some years now. I thought nothing of it, figuring maybe when super drunk i burnt myself for shits and giggles with a cigarette. recently I had a wound near the area, and while it has healed. the skin in the spot remains a funky color. Im paranoid af and want to get myself checked for skin cancer but dont have health insurance and dont really make enough think about walking into a hospital. lol.</t>
        </is>
      </c>
      <c r="D53" t="n">
        <v>1</v>
      </c>
      <c r="E53" t="n">
        <v>8</v>
      </c>
      <c r="F53">
        <f>HYPERLINK("https://www.reddit.com/r/cancer/comments/aceze3/how_much_does_it_actually_cost_to_get_a_cancer/")</f>
        <v/>
      </c>
      <c r="G53" t="inlineStr">
        <is>
          <t>2019-01-03 21:33:50</t>
        </is>
      </c>
      <c r="H53" t="inlineStr"/>
    </row>
    <row r="54">
      <c r="A54" t="inlineStr">
        <is>
          <t>acfp4a</t>
        </is>
      </c>
      <c r="B54" t="inlineStr">
        <is>
          <t>Nilotinib Capsules (Tasigna Capsules ): Side Effects, Interactions, Warning, Dosage &amp;amp; Uses</t>
        </is>
      </c>
      <c r="C54" t="inlineStr">
        <is>
          <t xml:space="preserve"> Learn about Tasigna Capsules ([Nilotinib](https://blueberrypharma.com/nilotinib.php)Capsules) may treat, uses, dosage, side effects, drug interactions, warnings, patient labeling, reviews, and related medications and more on Blueberry pharmaceuticals </t>
        </is>
      </c>
      <c r="D54" t="n">
        <v>1</v>
      </c>
      <c r="E54" t="n">
        <v>0</v>
      </c>
      <c r="F54">
        <f>HYPERLINK("https://www.reddit.com/r/cancer/comments/acfp4a/nilotinib_capsules_tasigna_capsules_side_effects/")</f>
        <v/>
      </c>
      <c r="G54" t="inlineStr">
        <is>
          <t>2019-01-03 23:08:35</t>
        </is>
      </c>
      <c r="H54" t="inlineStr"/>
    </row>
    <row r="55">
      <c r="A55" t="inlineStr">
        <is>
          <t>acg67a</t>
        </is>
      </c>
      <c r="B55" t="inlineStr">
        <is>
          <t>1 and a half years in remission but getting colds all the time.</t>
        </is>
      </c>
      <c r="C55" t="inlineStr">
        <is>
          <t xml:space="preserve">So I realise this is far less serious than most of what you guys are going through but I wasnt sure where else to ask. I had hodgkins disease and thankfully after 3 months of chemo it had all cleared. Its been a year and a half since then and thankfully no signs of it returning. However, I feel like I'm getting bad fluey colds atleast once a month. They knock me out for a few days at a time and I never used to get ill this regularly. Is there anyone else who experienced this in remission? And is there anything I can do to help strengthen my immune system?
Thanks. </t>
        </is>
      </c>
      <c r="D55" t="n">
        <v>1</v>
      </c>
      <c r="E55" t="n">
        <v>7</v>
      </c>
      <c r="F55">
        <f>HYPERLINK("https://www.reddit.com/r/cancer/comments/acg67a/1_and_a_half_years_in_remission_but_getting_colds/")</f>
        <v/>
      </c>
      <c r="G55" t="inlineStr">
        <is>
          <t>2019-01-04 00:22:04</t>
        </is>
      </c>
      <c r="H55" t="inlineStr"/>
    </row>
    <row r="56">
      <c r="A56" t="inlineStr">
        <is>
          <t>acgkao</t>
        </is>
      </c>
      <c r="B56" t="inlineStr">
        <is>
          <t>Need advice on how to help my mom</t>
        </is>
      </c>
      <c r="C56" t="inlineStr">
        <is>
          <t>My mom was diagnosed with lung cancer last September and as scary as that was we wereincredibly lucky to hear it was discovered early. She will surgery at the end of the month to remove part of her lung and is expect to have a full recovery in 2 monts time.
However since the diagnosis she has been extremely depressed and we don't how to help. We have tried to be supportive  but every gesture is met with anger, arguments, emotional blackmail, temper tantrums, suicide threats... although all of this has happened before, many times over the years since she has postpartum depression and has chronic depression, we desperately feel we need to do something. This situation is the last thing she needs.
She has threatened to sabotage her recovery process and refuses to seek guidance with therapists or anything of the sort, resenting the implication that she is "insane". I am worried she will do something stupid.
As someone who has dealt with cancer, what suggestions can you give me?</t>
        </is>
      </c>
      <c r="D56" t="n">
        <v>1</v>
      </c>
      <c r="E56" t="n">
        <v>0</v>
      </c>
      <c r="F56">
        <f>HYPERLINK("https://www.reddit.com/r/cancer/comments/acgkao/need_advice_on_how_to_help_my_mom/")</f>
        <v/>
      </c>
      <c r="G56" t="inlineStr">
        <is>
          <t>2019-01-04 01:29:01</t>
        </is>
      </c>
      <c r="H56" t="inlineStr"/>
    </row>
    <row r="57">
      <c r="A57" t="inlineStr">
        <is>
          <t>acgngu</t>
        </is>
      </c>
      <c r="B57" t="inlineStr">
        <is>
          <t>Shall he start Palliative Care?</t>
        </is>
      </c>
      <c r="C57" t="inlineStr">
        <is>
          <t>My dad (60M) has stage IV metastatic liver, lung a day stomach cancer. He was diagnosed at the end of November of his disease.
Tomorrow it's January 4th, days and days of neglecting my father.
Dad is going tomorrow to the ER with his attorney and will be put in hospital for better care.
He only can walk a few steps. 
Has no energy to bathe himself.
Doesn't eat.
Dizziness. Tiredness. Soreness from being too much on bed.
All these symptoms appeared in the span of four days. The deterioration was so incredibly fast.
Here the felony is called "neglect of person" and his attorney will go to the ultimate consequences.
My question is: he has only a few months to live, right? The deterioration has been swift. His body cannot cope with chemo, they will kill him. Shall he start palliative care?</t>
        </is>
      </c>
      <c r="D57" t="n">
        <v>1</v>
      </c>
      <c r="E57" t="n">
        <v>3</v>
      </c>
      <c r="F57">
        <f>HYPERLINK("https://www.reddit.com/r/cancer/comments/acgngu/shall_he_start_palliative_care/")</f>
        <v/>
      </c>
      <c r="G57" t="inlineStr">
        <is>
          <t>2019-01-04 01:43:32</t>
        </is>
      </c>
      <c r="H57" t="inlineStr"/>
    </row>
    <row r="58">
      <c r="A58" t="inlineStr">
        <is>
          <t>achzlw</t>
        </is>
      </c>
      <c r="B58" t="inlineStr">
        <is>
          <t>Need food advice</t>
        </is>
      </c>
      <c r="C58" t="inlineStr">
        <is>
          <t>Hi! 
My father, who has cardia cancer, starts chemo next week, and we are trying to find some dishes and meals that would be good for him without ruining his mood as he likes to eat. Since his diet and a lot of things he likes are to be deleted from his diet (fruits, cheese...) my mom and I would love some advice or meal ideas for him. Thanks a lot, and keep fighting !</t>
        </is>
      </c>
      <c r="D58" t="n">
        <v>1</v>
      </c>
      <c r="E58" t="n">
        <v>7</v>
      </c>
      <c r="F58">
        <f>HYPERLINK("https://www.reddit.com/r/cancer/comments/achzlw/need_food_advice/")</f>
        <v/>
      </c>
      <c r="G58" t="inlineStr">
        <is>
          <t>2019-01-04 05:06:38</t>
        </is>
      </c>
      <c r="H58" t="inlineStr"/>
    </row>
    <row r="59">
      <c r="A59" t="inlineStr">
        <is>
          <t>aci8a0</t>
        </is>
      </c>
      <c r="B59" t="inlineStr">
        <is>
          <t>Radical nephrectomy</t>
        </is>
      </c>
      <c r="C59" t="inlineStr">
        <is>
          <t>I'm going in to hospital for a radical nephrectomy this coming Thursday, and am rather terrified...  it didn't help much that the surgeon warned me that it was 'major major surgery' and 'do not underestimate how much recovery time you'll need'.  
Has anybody else here had such a procedure, and would you mind sharing a bit about your experiences?</t>
        </is>
      </c>
      <c r="D59" t="n">
        <v>1</v>
      </c>
      <c r="E59" t="n">
        <v>6</v>
      </c>
      <c r="F59">
        <f>HYPERLINK("https://www.reddit.com/r/cancer/comments/aci8a0/radical_nephrectomy/")</f>
        <v/>
      </c>
      <c r="G59" t="inlineStr">
        <is>
          <t>2019-01-04 05:38:07</t>
        </is>
      </c>
      <c r="H59" t="inlineStr"/>
    </row>
    <row r="60">
      <c r="A60" t="inlineStr">
        <is>
          <t>acic9l</t>
        </is>
      </c>
      <c r="B60" t="inlineStr">
        <is>
          <t>Fuck cancer for being so expensive! (advice welcomed)</t>
        </is>
      </c>
      <c r="C60" t="inlineStr">
        <is>
          <t>We are one year in from hubby's diagnosis with stage 4 kidney cancer. I wouldn't give back a single day.
What I could do without is already receiving threats for collections from the hospital and the oncologist.
-I've applied for financial assistance with both places, providing every detail of our financial status; not sure how those will turn out.
-We have insurance through my work, with a high deductible and average premiums.
-He uses medical marijuana, which is not covered by insurance and is cash-only.
-Credit card balances just keep creeping up.
-And obviously he no longer works, so we're on my salary only.
Does anyone have any tips for handling the medical bills???</t>
        </is>
      </c>
      <c r="D60" t="n">
        <v>1</v>
      </c>
      <c r="E60" t="n">
        <v>15</v>
      </c>
      <c r="F60">
        <f>HYPERLINK("https://www.reddit.com/r/cancer/comments/acic9l/fuck_cancer_for_being_so_expensive_advice_welcomed/")</f>
        <v/>
      </c>
      <c r="G60" t="inlineStr">
        <is>
          <t>2019-01-04 05:51:47</t>
        </is>
      </c>
      <c r="H60" t="inlineStr"/>
    </row>
    <row r="61">
      <c r="A61" t="inlineStr">
        <is>
          <t>acj38b</t>
        </is>
      </c>
      <c r="B61" t="inlineStr">
        <is>
          <t>Personal transplant experiences - I am 28M</t>
        </is>
      </c>
      <c r="C61" t="inlineStr">
        <is>
          <t>Hi all I have lurked this sub for awhile but never made an actual post. In mid 2017 I relapsed from 2014 with F-NHL again, tried numerous chemos but was refractory and ending up having radio to get into remission then rushed to U-Allo. I have struggled with chronic depression and anxiety for over a decade, this went into overdrive when my mum passed after a short cancer fight in '14 around the months I got into remission the first time. Somehow despite everything I dragged myself off the canvas, got a good job, steady partner, bought a house/dog etc etc. Then I relapsed mid/end of 2017, did all the chemo and radio then rushed to u-allo in June. During last year I lost my job/partner/dog/house/finances the works, but it has been the transplant thats has taken the wind from my sails somehow. I live in different country to my father, and have only couple friends so have pretty much done the last 6 months on my own. My transplant has given me ptsd to go with my dep/anx, and pushed me to suicidal over the last 3 months I have had it all planned out everything for end of January. I don't leave the house except for drs apps and groceries(usually same trip). I am so confused as to why transplant has put me in this frozen spot, but never was like this when fighting cancer/or after first remission. For some reason the fear of the unknown with transplant/gvhd has destroyed my will. Why would it be so different??
Sorry for long story, and bad structure as I just blabbed it out. I don't know what I hope to gain from this, as have never told anyone this stuff but needed to get it out.
Has anyone had such problems after transplant?? If not what was your transplant like, and how are you now??</t>
        </is>
      </c>
      <c r="D61" t="n">
        <v>1</v>
      </c>
      <c r="E61" t="n">
        <v>7</v>
      </c>
      <c r="F61">
        <f>HYPERLINK("https://www.reddit.com/r/cancer/comments/acj38b/personal_transplant_experiences_i_am_28m/")</f>
        <v/>
      </c>
      <c r="G61" t="inlineStr">
        <is>
          <t>2019-01-04 07:18:13</t>
        </is>
      </c>
      <c r="H61" t="inlineStr"/>
    </row>
    <row r="62">
      <c r="A62" t="inlineStr">
        <is>
          <t>ack2tv</t>
        </is>
      </c>
      <c r="B62" t="inlineStr">
        <is>
          <t>Melanoma pt. 2</t>
        </is>
      </c>
      <c r="C62" t="inlineStr">
        <is>
          <t xml:space="preserve">Hi guys, a little over 6 months ago I went in to get a biopsy done on a birthmark ( behind the back of my ear ) at the request of my GF which came back positive for melanoma.
They could not definitively tell if it was stage 1 or 2 thought it appeared to be limited to the dermis so they decided to remove it at the consult and have that sent to the pathologist for further evaluation. 
I was then referred to a plastic surgeon who then excised the growth with wide margins and I was sent on my merry way. 
Through out the whole thing it never really hit me that even though I have melanoma that it was a thing that could change my life since well there going to take the thing off and boom back to training hard and living life with a James bond looking scar on the side of my head. 
Today I got a call that they need me to come in again because the pathology report is saying that the cancer is deeper than previously thought. 
Everything kinda finally just hit me that this is more of a serious matter than I believed it to be and I feel like I'm going to throw up ( I have never been one to take bad news in this way but this really could change my life in major ways. 
They don't have complete details from my charts yet but they do need me to come in asap to get more of it excised. I'm not sure whether they know if it has infiltrated the lymph nodes or not but il post updates as I get them. 
All I have to say about this whole ordeal and I truly mean it from the bottom of my heart is FUCK YOU CANCER 
</t>
        </is>
      </c>
      <c r="D62" t="n">
        <v>1</v>
      </c>
      <c r="E62" t="n">
        <v>35</v>
      </c>
      <c r="F62">
        <f>HYPERLINK("https://www.reddit.com/r/cancer/comments/ack2tv/melanoma_pt_2/")</f>
        <v/>
      </c>
      <c r="G62" t="inlineStr">
        <is>
          <t>2019-01-04 08:58:53</t>
        </is>
      </c>
      <c r="H62" t="inlineStr"/>
    </row>
    <row r="63">
      <c r="A63" t="inlineStr">
        <is>
          <t>acmt9c</t>
        </is>
      </c>
      <c r="B63" t="inlineStr">
        <is>
          <t>I can’t breath.</t>
        </is>
      </c>
      <c r="C63" t="inlineStr">
        <is>
          <t xml:space="preserve">I’ve had a cancer diagnosis for a couple of months now. The process has taken forever though because I can only go to a clinic and there’s long wait times. So finally after waiting two months, I will finally get a full diagnosis next week. The doctors will tell me if cancer has spread or not, then they’ll plan my treatment. These past few days have been rough. I feel like I can’t breath and my chest is tight. I know it’s just my anxiety but it’s getting worse as the day I see the doctor approaches. I’m not really sure what I’m trying to say, but, I just want these horrible feeling to go away. I can’t breath. </t>
        </is>
      </c>
      <c r="D63" t="n">
        <v>1</v>
      </c>
      <c r="E63" t="n">
        <v>9</v>
      </c>
      <c r="F63">
        <f>HYPERLINK("https://www.reddit.com/r/cancer/comments/acmt9c/i_cant_breath/")</f>
        <v/>
      </c>
      <c r="G63" t="inlineStr">
        <is>
          <t>2019-01-04 13:20:44</t>
        </is>
      </c>
      <c r="H63" t="inlineStr"/>
    </row>
    <row r="64">
      <c r="A64" t="inlineStr">
        <is>
          <t>acn27n</t>
        </is>
      </c>
      <c r="B64" t="inlineStr">
        <is>
          <t>VA cancer center in Seattle?</t>
        </is>
      </c>
      <c r="C64" t="inlineStr">
        <is>
          <t>we originally went to scca for my partner's topping and info session but the VA now says he has to go to the VA center. how bad is this? he is now terrified, because he's had botched surgery at a VA hospital twice now.
(bone marrow transplant)</t>
        </is>
      </c>
      <c r="D64" t="n">
        <v>1</v>
      </c>
      <c r="E64" t="n">
        <v>3</v>
      </c>
      <c r="F64">
        <f>HYPERLINK("https://www.reddit.com/r/cancer/comments/acn27n/va_cancer_center_in_seattle/")</f>
        <v/>
      </c>
      <c r="G64" t="inlineStr">
        <is>
          <t>2019-01-04 13:44:57</t>
        </is>
      </c>
      <c r="H64" t="inlineStr"/>
    </row>
    <row r="65">
      <c r="A65" t="inlineStr">
        <is>
          <t>acn45o</t>
        </is>
      </c>
      <c r="B65" t="inlineStr">
        <is>
          <t>How/What/When to tell my 5yo and 9yo kids about my cancer?</t>
        </is>
      </c>
      <c r="C65" t="inlineStr">
        <is>
          <t xml:space="preserve">On New Years Eve I got a diagnosis of neuroendcrine carcinoid lung cancer with metaplastic bone formation. I have a 3.8cm main tumor and other growths in my airways, lots of calcifications and it is spread to the lymph nodes. I'm still waiting for the prognosis and treatment plan.
My kids know that I haven't been feeling well , that the doctors are trying to find out why, and that I had to have a couple of operations (biopsies) over the holidays. I think my daughter (9yo) and son (5yo) aren't especially concerned at this point, but it's hard to tell with kids sometimes. I also have 9yo and 11yo stepson and stepdaughter who I and my children are very close with. I think they may understand a bit more about the situation. 
When did you tell your kids? What kind of questions should I expect? How much did you share? Any advice?
Thank you! </t>
        </is>
      </c>
      <c r="D65" t="n">
        <v>1</v>
      </c>
      <c r="E65" t="n">
        <v>21</v>
      </c>
      <c r="F65">
        <f>HYPERLINK("https://www.reddit.com/r/cancer/comments/acn45o/howwhatwhen_to_tell_my_5yo_and_9yo_kids_about_my/")</f>
        <v/>
      </c>
      <c r="G65" t="inlineStr">
        <is>
          <t>2019-01-04 13:50:15</t>
        </is>
      </c>
      <c r="H65" t="inlineStr"/>
    </row>
    <row r="66">
      <c r="A66" t="inlineStr">
        <is>
          <t>acnde9</t>
        </is>
      </c>
      <c r="B66" t="inlineStr">
        <is>
          <t>Little brother recently diagnosed with Hodgkin's Lymphoma...looking for a little reassurance or advice</t>
        </is>
      </c>
      <c r="C66" t="inlineStr">
        <is>
          <t xml:space="preserve">Hi all.  Brand new to this subreddit so hopefully I'm not breaking any sub rules or anything like that. 
My little brother was diagnosed with Hodgkin's Lymphoma a few weeks ago and just started chemo this week.  I know that there are statistics out there that say remission is likely with this cancer, and I hold on to that, but I'm also a worst case scenario type of person with pretty bad anxiety issues.  I've kept my scared and anxious feelings away from my brother during all of this and I don't want them to get worse and bleed out in to my interactions with him, because that's not what he needs.  
I guess I'm just looking to hear from people who have dealt with this before, because I think hearing from actual people instead of just seeing statistics will help me stop going worst case.  </t>
        </is>
      </c>
      <c r="D66" t="n">
        <v>1</v>
      </c>
      <c r="E66" t="n">
        <v>12</v>
      </c>
      <c r="F66">
        <f>HYPERLINK("https://www.reddit.com/r/cancer/comments/acnde9/little_brother_recently_diagnosed_with_hodgkins/")</f>
        <v/>
      </c>
      <c r="G66" t="inlineStr">
        <is>
          <t>2019-01-04 14:15:36</t>
        </is>
      </c>
      <c r="H66" t="inlineStr"/>
    </row>
    <row r="67">
      <c r="A67" t="inlineStr">
        <is>
          <t>acobuz</t>
        </is>
      </c>
      <c r="B67" t="inlineStr">
        <is>
          <t>I need your help.</t>
        </is>
      </c>
      <c r="C67" t="inlineStr">
        <is>
          <t>My aunt was diagnosed with leiomyosarcoma near the end of 2018/beginning of 2019. At first the doctors said it hadn’t spread yet and that they’re going to do surgery to get it removed. However, as of today they said they cannot touch it because if they do it will spread. The tumor is located at the upper part of her leg / near the joint of the femur and hip. They said they need to do extensive Chemotherapy to treat her tumor. The thing I’m confused about is that I see so many articles of separate “experimental” cancer treatment that cure people with far stage cancer, and was wondering if their is an alternative way to treat this tumor without having to go through Chemotherapy. Please help</t>
        </is>
      </c>
      <c r="D67" t="n">
        <v>1</v>
      </c>
      <c r="E67" t="n">
        <v>9</v>
      </c>
      <c r="F67">
        <f>HYPERLINK("https://www.reddit.com/r/cancer/comments/acobuz/i_need_your_help/")</f>
        <v/>
      </c>
      <c r="G67" t="inlineStr">
        <is>
          <t>2019-01-04 15:53:41</t>
        </is>
      </c>
      <c r="H67" t="inlineStr"/>
    </row>
    <row r="68">
      <c r="A68" t="inlineStr">
        <is>
          <t>acosps</t>
        </is>
      </c>
      <c r="B68" t="inlineStr">
        <is>
          <t>Meet My Dad. Just Diagnosed with Stage IV Pancreatic Cancer</t>
        </is>
      </c>
      <c r="C68" t="inlineStr">
        <is>
          <t>[Dad and I](https://i.redd.it/e8adhzwd2i821.jpg)
I want to introduce you to my dad (and me). He is my hero, the man, an absolute badass and his heart is the size of the Andromeda galaxy.
A cough for a few months hit us hard a few hours ago with the PC diagnosis. I'm terrified to see this man who I've witnessed break his knee and continue the 11 mile white-water rafting trip down the Upper Gauley River. 
If you have any thoughts. Anything at all. Advice. Love. Support. Whatever. I just know my family is going to need a little support from you all.  Please, let me know.
\- Max</t>
        </is>
      </c>
      <c r="D68" t="n">
        <v>1</v>
      </c>
      <c r="E68" t="n">
        <v>14</v>
      </c>
      <c r="F68">
        <f>HYPERLINK("https://www.reddit.com/r/cancer/comments/acosps/meet_my_dad_just_diagnosed_with_stage_iv/")</f>
        <v/>
      </c>
      <c r="G68" t="inlineStr">
        <is>
          <t>2019-01-04 16:43:20</t>
        </is>
      </c>
      <c r="H68" t="inlineStr"/>
    </row>
    <row r="69">
      <c r="A69" t="inlineStr">
        <is>
          <t>acqgyn</t>
        </is>
      </c>
      <c r="B69" t="inlineStr">
        <is>
          <t>She was ready</t>
        </is>
      </c>
      <c r="C69" t="inlineStr">
        <is>
          <t>The last couple of years have been rough for my family. My grandparents had 10 kids between the two of them. My grandpa pasted away a few years ago along with 2 of my uncles pretty shortly after him. We lost my mother and my aunt in the last two years. My uncle was diagnosed with cancer not long after that. 
My grandma was was the rock that held our family together. We were told less than a year ago that the doctor found a cancerous tumor. We watched as she went from the strong, loving woman that was there for all of us to a small, seemingly helpless person. 
She didn't tell everyone that the cancer had moved to her brain. My sister and I had a very deep conversation with her on one of the few good days she had. She was ready. She didn't want to fight it anymore. She wanted to be with her husband, mother and father, and children that have gone before her. She knew that by letting go of this life she would be able to join them.
We tried our best to let her know that we loved her and she would be missed by all of us. Our family sat with her and made sure her last little bit of time on earth was spent with those that loved her most and she was not alone. My grandma was and will forever be the strongest woman I have ever known. 
She would've 75 years old a couple of weeks after she passed. This was just a couple of weeks ago and I'm still trying to come to terms with losing her but I know it's what she wanted and she was ready.</t>
        </is>
      </c>
      <c r="D69" t="n">
        <v>1</v>
      </c>
      <c r="E69" t="n">
        <v>1</v>
      </c>
      <c r="F69">
        <f>HYPERLINK("https://www.reddit.com/r/cancer/comments/acqgyn/she_was_ready/")</f>
        <v/>
      </c>
      <c r="G69" t="inlineStr">
        <is>
          <t>2019-01-04 19:58:47</t>
        </is>
      </c>
      <c r="H69" t="inlineStr"/>
    </row>
    <row r="70">
      <c r="A70" t="inlineStr">
        <is>
          <t>acqmg9</t>
        </is>
      </c>
      <c r="B70" t="inlineStr">
        <is>
          <t>Dad diagnosed with 3B colon cancer due to a satellite that may have been a lymph node. Can someone help me understand?</t>
        </is>
      </c>
      <c r="C70" t="inlineStr">
        <is>
          <t xml:space="preserve">My Dad was recently diagnosed with colon cancer, a complete blockage, and had 36” of his large intestine removed. The pathologist and oncologist came back and said it was stage 3B because, while it hadnt spread through the colon wall or to any lymph nodes, they found a “satellite” (while going through the removed intestine) that wasnt recognizable. They said it may have been a lymph node that had been completely taken over, or could be something else.
Wouldn’t you know if it was a lymph node because one would be missing? How do satellites like this form? Can they just be a random ball of cancer cells not attached to anything? 
Hes getting a port installed next week and will do 6 months of chemo after that. Just trying to better understand whats going on and what they discovered. 
Thanks!
</t>
        </is>
      </c>
      <c r="D70" t="n">
        <v>1</v>
      </c>
      <c r="E70" t="n">
        <v>2</v>
      </c>
      <c r="F70">
        <f>HYPERLINK("https://www.reddit.com/r/cancer/comments/acqmg9/dad_diagnosed_with_3b_colon_cancer_due_to_a/")</f>
        <v/>
      </c>
      <c r="G70" t="inlineStr">
        <is>
          <t>2019-01-04 20:18:18</t>
        </is>
      </c>
      <c r="H70" t="inlineStr"/>
    </row>
    <row r="71">
      <c r="A71" t="inlineStr">
        <is>
          <t>acrkrr</t>
        </is>
      </c>
      <c r="B71" t="inlineStr">
        <is>
          <t>My father was just diagnosed with cancer.</t>
        </is>
      </c>
      <c r="C71" t="inlineStr">
        <is>
          <t xml:space="preserve">My father was just diagnosed with an aggressive form of cancer today and I’m not quite sure what to do or expect. I am 19 years old and still live at home with him and my mom, he is 55. I was with him when the oncologist broke the news and told us there wasn’t much hope. I held his hand as he cried in front of me for the first time in my life. The biopsy showing us how long he can expect and what stage the cancer is will not be completed until Monday so we’re kind of in this limbo. I just don’t know how I feel. I want to be there for my dad as much as I can but it’s just so overwhelming. Have any of you been through or are going through a similar situation? I would love to connect and hear stories and advice from anyone. </t>
        </is>
      </c>
      <c r="D71" t="n">
        <v>1</v>
      </c>
      <c r="E71" t="n">
        <v>10</v>
      </c>
      <c r="F71">
        <f>HYPERLINK("https://www.reddit.com/r/cancer/comments/acrkrr/my_father_was_just_diagnosed_with_cancer/")</f>
        <v/>
      </c>
      <c r="G71" t="inlineStr">
        <is>
          <t>2019-01-04 22:22:38</t>
        </is>
      </c>
      <c r="H71" t="inlineStr"/>
    </row>
    <row r="72">
      <c r="A72" t="inlineStr">
        <is>
          <t>acs9g1</t>
        </is>
      </c>
      <c r="B72" t="inlineStr">
        <is>
          <t>Moving Forward</t>
        </is>
      </c>
      <c r="C72" t="inlineStr">
        <is>
          <t>My fiancé died December 14th at approximately 4:10 PM. He left behind the most beautiful sunset that I have ever and will ever have seen. I haven't had the courage to write about it until now because I'm positive that there are absolutely NO words to describe what I (and many others) have gone through the past few weeks. I've witnessed his last few, weeks, days, hours, minutes, seconds... I hear the rasping of his last breaths in my waking moments and dreams. I am eternally thankful that I was there to hold his hand until the end. I pray that he heard me tell him it is okay. That we (his family and I) are with him forever no matter where he goes. 
After he died, it was like a black comedy. His mother arrived and so did his younger brother, his two sisters in law, to talk to his still corpse. We all acted like it was okay (or as okay as it could be) and joked as much as we could while his body was still in the room (it took quite a while for someone ((the assigned nurse from hospice)) to pronounce him deceased). When the funeral people came, however, it was quite a different story. 
I was told by my fiance's older brother to not witness his body being lifted onto the stretcher and taken away because (bless these people) they would handle him as a body, as a job, which is not what I would have wanted to see at that time. So I listened and I spoke with the older brother's wife while I heard my finance's body being transferred and then carried out. I regret to his day that I didn't follow him but I'm not sure that I would have survived as I have if I had done so. 
His funeral services and reception were done that next Monday. His mother and father paid for everything with only the closest friends and family invited at the discretion of his family. His younger brother was responsible for the eulogy which had been cut down to 2 minutes during the formal ceremony and extended to 8 during the informal reception. We all smiled, laughed and cried in that order. 
Afterwards I moved from California to my hometown. My closest friends and family helped me pack and move my belongings in almost an entire day. I'm moving into an apartment within the next 7 days and I'll be reentering my previous job in the next 30 days. It's weird thinking that i'll be returning to how I was almost a year ago but without him. 
Every day I miss him. I miss the way he would slip from his work shoes into his sandals then head straight to the grill. The way he would sigh and then hug me close after a hard day at work. The way he would slip a hand around my shoulders and mutter something hilariously funny while he stoked the coals.
Even more, I miss the way that he would smile with his green-brown eyes and watch Jeopardy whenever it was on or force me to exit my social comfort zone to edge a little closer to his but, without that exuberance, I wouldn't have the support system I have now. 
&amp;amp;#x200B;</t>
        </is>
      </c>
      <c r="D72" t="n">
        <v>1</v>
      </c>
      <c r="E72" t="n">
        <v>24</v>
      </c>
      <c r="F72">
        <f>HYPERLINK("https://www.reddit.com/r/cancer/comments/acs9g1/moving_forward/")</f>
        <v/>
      </c>
      <c r="G72" t="inlineStr">
        <is>
          <t>2019-01-05 00:07:40</t>
        </is>
      </c>
      <c r="H72" t="inlineStr"/>
    </row>
    <row r="73">
      <c r="A73" t="inlineStr">
        <is>
          <t>act5f8</t>
        </is>
      </c>
      <c r="B73" t="inlineStr">
        <is>
          <t>Mom died - I'm so fucking lost.</t>
        </is>
      </c>
      <c r="C73" t="inlineStr">
        <is>
          <t xml:space="preserve">I apologize if this is the wrong sub...
My mother died 'unexpectedly' (was at home in hospice, no indicators she would die so... Suddenly) on 11-11-2018 and I am so fucking lost, confused, angry at literally everyone, including her, my family and definitely myself. I just.. I don't know. Every fucking day. Every. Fucking. Day. She isn't here anymore. I wake up and the sick, terrible reality settles over me. I miss her so fucking much. She believed in me, she loved me, she was the only person who would ever love me unconditionally. I miss her so fucking much and I cannot seem to stop fucking crying. Fuck. Fuck. Fuck. Help. </t>
        </is>
      </c>
      <c r="D73" t="n">
        <v>1</v>
      </c>
      <c r="E73" t="n">
        <v>22</v>
      </c>
      <c r="F73">
        <f>HYPERLINK("https://www.reddit.com/r/cancer/comments/act5f8/mom_died_im_so_fucking_lost/")</f>
        <v/>
      </c>
      <c r="G73" t="inlineStr">
        <is>
          <t>2019-01-05 02:44:30</t>
        </is>
      </c>
      <c r="H73" t="inlineStr"/>
    </row>
    <row r="74">
      <c r="A74" t="inlineStr">
        <is>
          <t>actbl5</t>
        </is>
      </c>
      <c r="B74" t="inlineStr">
        <is>
          <t>Ahcc?</t>
        </is>
      </c>
      <c r="C74" t="inlineStr">
        <is>
          <t>Hi all,
Has anyone used ahcc and if so did it help? My father was diagnosed with stage 4 prostate cancer and I was trying to research things I could buy to help him.
Thank you</t>
        </is>
      </c>
      <c r="D74" t="n">
        <v>1</v>
      </c>
      <c r="E74" t="n">
        <v>1</v>
      </c>
      <c r="F74">
        <f>HYPERLINK("https://www.reddit.com/r/cancer/comments/actbl5/ahcc/")</f>
        <v/>
      </c>
      <c r="G74" t="inlineStr">
        <is>
          <t>2019-01-05 03:14:18</t>
        </is>
      </c>
      <c r="H74" t="inlineStr"/>
    </row>
    <row r="75">
      <c r="A75" t="inlineStr">
        <is>
          <t>acu6en</t>
        </is>
      </c>
      <c r="B75" t="inlineStr">
        <is>
          <t>Funding - Cure vs Awareness</t>
        </is>
      </c>
      <c r="C75" t="inlineStr">
        <is>
          <t>i was thinking about this recently (not necessarily in regard to cancers where symptoms are less well-established in the public consciousness) but it seems to me that there's a lot of money and funding being poured into campaigns for "awareness" of "bigger" cancers, like melanoma and breast cancer.
while i'm sure these campaigns have definitely left a positive impact, i was thinking about how they might be futile at a point. nowadays, everyone knows what these cancers are and that you should check for them traditionally, but there are various different types of melanoma and breast cancers that present differently. for some, campaigns may have little to no effect on whether personal checks are conducted; furthermore, people are only human and miss things all the time. there are plenty of stories of misdiagnosis by doctors, even. further still, even if these cancers are caught at an early stage, there's some chance they can metastasize in the future with no warnings. ((there's also a layer of self-blame, almost? a "if you are diagnosed with this late-stage cancer, why didn't you catch it earlier yourself" type attitude.))
anyway, wouldn't it make more sense to funnel this money into further studying on how to control or even cure stage iv melanoma/breast/ect. cancer rather than awareness campaigns? more funding into immunotherapies and other new treatments rather than pink ribbons and awareness marketing? i'm 100% certain that there are organizations who provide this type of funding, but it seems to me like there are more associations that promote certain behaviors rather than give focus to the reason people are dying of the disease in the first place - metastasis. i'd love to hear other peoples' thoughts on this.</t>
        </is>
      </c>
      <c r="D75" t="n">
        <v>1</v>
      </c>
      <c r="E75" t="n">
        <v>3</v>
      </c>
      <c r="F75">
        <f>HYPERLINK("https://www.reddit.com/r/cancer/comments/acu6en/funding_cure_vs_awareness/")</f>
        <v/>
      </c>
      <c r="G75" t="inlineStr">
        <is>
          <t>2019-01-05 05:33:00</t>
        </is>
      </c>
      <c r="H75" t="inlineStr"/>
    </row>
    <row r="76">
      <c r="A76" t="inlineStr">
        <is>
          <t>acvbc9</t>
        </is>
      </c>
      <c r="B76" t="inlineStr">
        <is>
          <t>Am I being overly sensitive?</t>
        </is>
      </c>
      <c r="C76" t="inlineStr">
        <is>
          <t>Hello! 
Long time lurker, first time posting! 
Sorry if I’m doing this wrong or anything - I don’t post much on reddit in general - please let me know if I need to change or remove or anything! 
TL;DR: manager is telling coworkers about me having had cancer without me knowing. told manager it makes me uncomfortable and was told I’m being overly sensitive.
Some background: for my job (I was hired in this past November) I had to  give a medical history as we work with vulnerable populations and also in health care settings often. And so my managers know that I’ve beaten cancer 3 times (well 2 and currently in remission). 
Recently co workers have been telling me how they can’t believe what I’ve been through and if I need to talk or anything. I was confused at first and found out a manager had told people about my history with cancer because one of the children we work with has had it. 
Personally I don’t mind people knowing but I feel incredibly uncomfortable having people know without me telling them. Just from experience I find people can treat you differently when they find or you’ve had cancer  and it’s rather frustrating for me because I feel like I get babied. Also I just prefer to tell people myself rather than know people are talking about it/me without me knowing at work.  When I talked to my manager about it she basically was implying that I was too sensitive because I didn’t it want her sharing it with anyone, especially because it didn’t seem like she was sharing it with the child as a comforting thing since it was almost all staff who knew.
I don’t know maybe I am overly sensitive but I feel uncomfortable with the whole thing.
I’m curious if folks similar experiences feel the same way or anything? 
Sorry for the long post! I don’t have a lot of spaces to vent about cancer related stuff.</t>
        </is>
      </c>
      <c r="D76" t="n">
        <v>1</v>
      </c>
      <c r="E76" t="n">
        <v>18</v>
      </c>
      <c r="F76">
        <f>HYPERLINK("https://www.reddit.com/r/cancer/comments/acvbc9/am_i_being_overly_sensitive/")</f>
        <v/>
      </c>
      <c r="G76" t="inlineStr">
        <is>
          <t>2019-01-05 08:02:14</t>
        </is>
      </c>
      <c r="H76" t="inlineStr"/>
    </row>
    <row r="77">
      <c r="A77" t="inlineStr">
        <is>
          <t>acxt10</t>
        </is>
      </c>
      <c r="B77" t="inlineStr">
        <is>
          <t>Clothing for open hemicolectomy recovery?</t>
        </is>
      </c>
      <c r="C77" t="inlineStr">
        <is>
          <t>My appendix didn’t look right on a recent CT scan, so I got an appendectomy and they found a 3cm carcinoid tumor. I guess it was the aggressive kind and showed signs of having spread, so I’m going back in for a right hemicolectomy later this month.
They want to be able to look around and take everything they need, so my surgeon is planning to do open surgery. That means I’ll have a pretty big incision. Wondering if anyone has been through this and has recommendations for clothing to wear during recovery?
I’ve had abdominal surgery before (C-Section &amp;amp; the laparoscopic appendectomy) but neither of those had an incision that large. Wondering what to have around to wear once I’m home. Maternity leggings? Or maybe soft long dresses / nightgowns? (It’s winter where I am and COLD.)</t>
        </is>
      </c>
      <c r="D77" t="n">
        <v>1</v>
      </c>
      <c r="E77" t="n">
        <v>4</v>
      </c>
      <c r="F77">
        <f>HYPERLINK("https://www.reddit.com/r/cancer/comments/acxt10/clothing_for_open_hemicolectomy_recovery/")</f>
        <v/>
      </c>
      <c r="G77" t="inlineStr">
        <is>
          <t>2019-01-05 12:20:19</t>
        </is>
      </c>
      <c r="H77" t="inlineStr"/>
    </row>
    <row r="78">
      <c r="A78" t="inlineStr">
        <is>
          <t>ad1qvj</t>
        </is>
      </c>
      <c r="B78" t="inlineStr">
        <is>
          <t>Current state of scientific findings on Turkey Tail (Trametes versicolor) ?</t>
        </is>
      </c>
      <c r="C78" t="inlineStr">
        <is>
          <t>So... There is a mushroom *Trametes versicolor* (commonly  known as "Turkey Tail") that produces a compound called  Polysaccharide-K that appears to have notable cancer fighting benefits.  Here's a highly relevant (4 min) TedX talk that zeros in on why I think  this is worth your time [https://www.youtube.com/watch?v=mWT09ZDqFlE](https://www.youtube.com/watch?v=mWT09ZDqFlE) \- the speaker is renowned mycologist Paul Stamets. I'm particularly interested in fighting breast cancer. 
Now I know when people are ill they often have a tendency to grasp at potential solutions regardless of whether the proposed remediation has validated or not. I know I do to some extent and this is why I'm hoping to find something more promising than just anecdotes from around the internet. 
The only breast cancer related study that I can find any information about is being done at Bastyr University. Despite my skepticism about a study produced by an institution that sells homeopathic services I'd be willing to suspend my disbelief if the study itself was scientifically legitimate. That said, I can't find any actual published results. 
While not breast cancer specifically, this looks promising for other cancers (or at least colorectal cancer) "The results of this meta-analysis suggest that adjuvant  immunochemotherapy with PSK can improve both survival and disease-free  survival of patients with curatively resected colorectal cancer."  from the abstract  of [https://link.springer.com/article/10.1007/s00262-005-0054-1](https://link.springer.com/article/10.1007/s00262-005-0054-1) 
Does anyone have better search skills and/or know of where I can learn more about the current scientific understanding of Turkey Tail mushrooms' effect on cancer ?  
&amp;amp;#x200B;</t>
        </is>
      </c>
      <c r="D78" t="n">
        <v>1</v>
      </c>
      <c r="E78" t="n">
        <v>3</v>
      </c>
      <c r="F78">
        <f>HYPERLINK("https://www.reddit.com/r/cancer/comments/ad1qvj/current_state_of_scientific_findings_on_turkey/")</f>
        <v/>
      </c>
      <c r="G78" t="inlineStr">
        <is>
          <t>2019-01-05 19:20:28</t>
        </is>
      </c>
      <c r="H78" t="inlineStr"/>
    </row>
    <row r="79">
      <c r="A79" t="inlineStr">
        <is>
          <t>ad3e4x</t>
        </is>
      </c>
      <c r="B79" t="inlineStr">
        <is>
          <t>Trying to be positive.</t>
        </is>
      </c>
      <c r="C79" t="inlineStr">
        <is>
          <t xml:space="preserve">I made a pretty large goal for myself this 2019 and it's turning into a harder time than I ever imagined. I wanted to find myself again. That being said I was making full effort to overcome my depression, be active daily with my therapy dog and be a better partner. 
Today I put all of our belongings into a storage unit and I am trying to mentally prepare to live in the car. I am homeless on daily maximum dose chemotherapy. My partner works nights with a paralyzed man. 
I am only homeless.  we had secured a housing solution through a 3rd party that we've used numerous times before in multiple states. We hopefully can get a refund when the case is closed, but who knows how long it will take. 
I'm just worried about my partner and baby girl ( therapy dog) who has always been there for me. 
Temps ranging from the low 50s in the days to 30 at night. </t>
        </is>
      </c>
      <c r="D79" t="n">
        <v>1</v>
      </c>
      <c r="E79" t="n">
        <v>2</v>
      </c>
      <c r="F79">
        <f>HYPERLINK("https://www.reddit.com/r/cancer/comments/ad3e4x/trying_to_be_positive/")</f>
        <v/>
      </c>
      <c r="G79" t="inlineStr">
        <is>
          <t>2019-01-05 23:04:09</t>
        </is>
      </c>
      <c r="H79" t="inlineStr"/>
    </row>
    <row r="80">
      <c r="A80" t="inlineStr">
        <is>
          <t>ad3m7j</t>
        </is>
      </c>
      <c r="B80" t="inlineStr">
        <is>
          <t>Determined Dad With A Two-Year Old Recently Diagnosed With Brain Cancer</t>
        </is>
      </c>
      <c r="C80" t="inlineStr">
        <is>
          <t>Sometime at the end of November, a week after his second birthday, my 2 yr-old son be the agonizing process of teething of the molar variety. As a doctor would later confirm, he was certainly teething, but with not one - not two, but 4 molars. As you can imagine, it was hell on him and he wanted nothing to do with the world around him, as nothing mattered but relief. As with my 3 others, I went through the usual remedies; Kid's Tylenol Pain Relief, Pedia-lite for rehydrating and electrolytes, soft foods, his favorite songs and shows, and the love of mommy and daddy.
A couple weeks later, he was back to his old self again... or so we thought. Once he was back to running about, singing, cuddling, and being playful all seemed well.
Not too long after Christmas I took my son to the ER because he was displaying .
We'd been looking more closely at him because we were in the process of having his 8yr-old older brother assessed for autism, and wanted to make sure we didn't miss any possible signs that we might have missed with his brother when he was two also. It was because of this closer look for any display of behaviors on the spectrum, coupled with some of his behaviors and movements that extended beyond mere symptoms common with teething. I and my wife were able to see beyond what was commonplace, and found reason enough to take our son to the ER at 3am on Dec 27th.
That day, after an ER visit, transfers to 2 other hospitals, CT and MRI scans, an emergency surgery, and preliminary results of a biopsy; all within 72 hours, doctors revealed that my son has a 10cm x 10cm brain cancerous tumor - about the size of a softball - in the left hemisphere. The type of tumor is Choroid Plexus Carcinoma (a rare and cancerous kind) in addition to hydrocephalus (excess of cerebrospinal fluid pooled in the brain) in the right-hemisphere.
My wife and I have been discussing the matter but are flying blind in how to deal with all of this from a medical stand-point. We are aware that surgery, chemo and radiation therapy are the standard forms of treatment, but I've read in passing of other treatment methods and resources for children patients and for families of cancer patients, but I am here to connect with people who can help in whatever way you can to point me in the right direction to begin ensuring the continuation of the best care for our son, and aid me and helping my family navigate this life altering terrain, as well as the financial hardship that comes along with this, as we were already a low-income working family of six.
Share your suggestions, recommendations, and relevant resources. Any information or relatable stories, especially one's related to pediatric brain cancer care would be deeply helpful.</t>
        </is>
      </c>
      <c r="D80" t="n">
        <v>1</v>
      </c>
      <c r="E80" t="n">
        <v>9</v>
      </c>
      <c r="F80">
        <f>HYPERLINK("https://www.reddit.com/r/cancer/comments/ad3m7j/determined_dad_with_a_twoyear_old_recently/")</f>
        <v/>
      </c>
      <c r="G80" t="inlineStr">
        <is>
          <t>2019-01-05 23:41:22</t>
        </is>
      </c>
      <c r="H80" t="inlineStr"/>
    </row>
    <row r="81">
      <c r="A81" t="inlineStr">
        <is>
          <t>ad4jxi</t>
        </is>
      </c>
      <c r="B81" t="inlineStr">
        <is>
          <t>Neck Lump. Being sent for ultrasound and bloods.</t>
        </is>
      </c>
      <c r="C81" t="inlineStr">
        <is>
          <t xml:space="preserve">I hope that you don't mind me posting here, but I thought maybe this could give me some sort of idea as to what I'm looking at.
I found a large lump under my jaw in October that's quite deep in there. You can feel it a little bit when you dig your fingers there, but you can feel it a lot more when I turn my head as it kinda pops out. I didn't have any other symptoms at that point and the doctor said she thinks it looks like a swollen glands.
There wasn't any change in size, but I started getting very minor jaw pain, a little pain around my back teeth, and ear pain, as well as pain where the lump is. Went back to a different doctor a few days ago who had a look and felt it and said he thinks it's the submandibular gland that's swollen. He looked in my ear and it was all clear, no issues there. He's sent me for an ultrasound and bloods to find out what it could be. I have no other symptoms apart from those.
Do you guys have any idea? I'm really scared at the moment because obviously I've always been told that any lumps in your neck usually mean cancer. I'm 25 and relatively healthy otherwise.
</t>
        </is>
      </c>
      <c r="D81" t="n">
        <v>1</v>
      </c>
      <c r="E81" t="n">
        <v>3</v>
      </c>
      <c r="F81">
        <f>HYPERLINK("https://www.reddit.com/r/cancer/comments/ad4jxi/neck_lump_being_sent_for_ultrasound_and_bloods/")</f>
        <v/>
      </c>
      <c r="G81" t="inlineStr">
        <is>
          <t>2019-01-06 02:31:55</t>
        </is>
      </c>
      <c r="H81" t="inlineStr"/>
    </row>
    <row r="82">
      <c r="A82" t="inlineStr">
        <is>
          <t>ad528a</t>
        </is>
      </c>
      <c r="B82" t="inlineStr">
        <is>
          <t>Looking for post-sternotomy stories</t>
        </is>
      </c>
      <c r="C82" t="inlineStr">
        <is>
          <t>I'm getting surgery to remove a thymoma at the end of this month. My surgeon has recommended I undergo partial sternotomy and while he's been very upfront about the surgery itself, I'm still not sure what to expect in the weeks after, and I am absolutely terrified of having my sternum cut open. 
I was hoping someone else who has had a sternotomy can share their experiences. I know I'm probably panicking over nothing, but the idea of having my sternum cut is really freaking me out. I am hoping if other people share their stories, I might be able to ground myself a bit more in reality and better prepare. My main questions are:
1. How badly was your movement restricted after you woke up from surgery?
2. How long before you could use your arms and move around normally? 
3. How long before your chest started to feel 'normal'?
4. If you're a woman, were you provided with special chest support? I'm concerned about my breasts pulling on the scar but a regular bra might irritate the incision.
5. Is there anything you wish you had been warned about or had arranged before the surgery happened?</t>
        </is>
      </c>
      <c r="D82" t="n">
        <v>1</v>
      </c>
      <c r="E82" t="n">
        <v>7</v>
      </c>
      <c r="F82">
        <f>HYPERLINK("https://www.reddit.com/r/cancer/comments/ad528a/looking_for_poststernotomy_stories/")</f>
        <v/>
      </c>
      <c r="G82" t="inlineStr">
        <is>
          <t>2019-01-06 04:04:39</t>
        </is>
      </c>
      <c r="H82" t="inlineStr"/>
    </row>
    <row r="83">
      <c r="A83" t="inlineStr">
        <is>
          <t>ad5898</t>
        </is>
      </c>
      <c r="B83" t="inlineStr">
        <is>
          <t>Lung Cancer caused by ceasing to be a smoker?</t>
        </is>
      </c>
      <c r="C83" t="inlineStr">
        <is>
          <t xml:space="preserve">Friend has been diagnosed with lung cancer two years after pneumonia.  (An exray was taken at that time reflecting clear lungs.) One year ago she quit.  
I have heard a number of times in my life the belief that some people do not quite smoking because of the number of people that come down with lung cancer AFTER they quit smoking.  It never sounded like good sense, but after umpteen examples in my lifetime, I'm beginning to wonder if there isn't some type of relationship between the two.
Has there ever been such a study?
Thank you. </t>
        </is>
      </c>
      <c r="D83" t="n">
        <v>1</v>
      </c>
      <c r="E83" t="n">
        <v>11</v>
      </c>
      <c r="F83">
        <f>HYPERLINK("https://www.reddit.com/r/cancer/comments/ad5898/lung_cancer_caused_by_ceasing_to_be_a_smoker/")</f>
        <v/>
      </c>
      <c r="G83" t="inlineStr">
        <is>
          <t>2019-01-06 04:33:54</t>
        </is>
      </c>
      <c r="H83" t="inlineStr"/>
    </row>
    <row r="84">
      <c r="A84" t="inlineStr">
        <is>
          <t>ad6y8t</t>
        </is>
      </c>
      <c r="B84" t="inlineStr">
        <is>
          <t>Throat cancer symptoms? Afraid I have it.</t>
        </is>
      </c>
      <c r="C84" t="inlineStr">
        <is>
          <t xml:space="preserve">There has been a pain on the right side of my esophagus as well as near my lymph node. There has been some pain in my right ear as well. Pain with swallowing here and there but it’s mild. I’ve noticed random coughs and hoarseness in my voice as well. I do drink somewhat regularly, but not daily, and I do smoke marijuana. Anyone on this sub have experience with this? I’m very worried. </t>
        </is>
      </c>
      <c r="D84" t="n">
        <v>1</v>
      </c>
      <c r="E84" t="n">
        <v>9</v>
      </c>
      <c r="F84">
        <f>HYPERLINK("https://www.reddit.com/r/cancer/comments/ad6y8t/throat_cancer_symptoms_afraid_i_have_it/")</f>
        <v/>
      </c>
      <c r="G84" t="inlineStr">
        <is>
          <t>2019-01-06 08:22:54</t>
        </is>
      </c>
      <c r="H84" t="inlineStr"/>
    </row>
    <row r="85">
      <c r="A85" t="inlineStr">
        <is>
          <t>ad6zs6</t>
        </is>
      </c>
      <c r="B85" t="inlineStr">
        <is>
          <t>Close ones of cancer patients, how do you cope?</t>
        </is>
      </c>
      <c r="C85" t="inlineStr">
        <is>
          <t xml:space="preserve">My very close relative got diagnosis recently (stage IV, cancer in lungs and about 14 metastasis in head). It was a shock for everybody in our family (and relatives) because she is the one who is holding our family together (active, always hosting celebrations etc). 
So I'm in shock, too. She is my aunt and I have known her all my life, I even lived in her place about 5 years when going to high school and university and we talked few times per week. 
Now it seems so unreal, I just can't believe it although I understand that it is new reality now.  Everywhere I look I only see that stage IV is so bad that no operations anymore and only radiation and chemo (and some kind of hormonal drugs). But doctor said that it is possible to live with that. I understand that the possibility is if this treatment stops cancer cells. 
What can I do? How can I cope? I just need that I don't know what to do and very often I want to just cry although I understand that it doesn't helo. Should I go to pscyhologist? Although my aunt is very loved by a big family and she gets all the support I see that everyone is dealing with it different way - some started to make her home more comfortable (other bed etc), some are just talking about happy thinga etc but I feel I can't be "happy" all the time and I don't know which way is best to be because I feel that my aunt should also feel that she is allowed to have sad feelings too although she is taking calming pills now and it helps quite a lot. 
So what should I do or how should I act to be best support for my aunt and be abld to still work with a smiling face and cope with the knowledge that this is quite a bad diagnosis and my only hope and anchor is doctor's one sentence that there is a possible way to live with that. </t>
        </is>
      </c>
      <c r="D85" t="n">
        <v>1</v>
      </c>
      <c r="E85" t="n">
        <v>3</v>
      </c>
      <c r="F85">
        <f>HYPERLINK("https://www.reddit.com/r/cancer/comments/ad6zs6/close_ones_of_cancer_patients_how_do_you_cope/")</f>
        <v/>
      </c>
      <c r="G85" t="inlineStr">
        <is>
          <t>2019-01-06 08:27:33</t>
        </is>
      </c>
      <c r="H85" t="inlineStr"/>
    </row>
    <row r="86">
      <c r="A86" t="inlineStr">
        <is>
          <t>ad7jws</t>
        </is>
      </c>
      <c r="B86" t="inlineStr">
        <is>
          <t>Houston! We need your help! We need white blood cell donations to help save a 20 year old cancer patient.</t>
        </is>
      </c>
      <c r="C86" t="inlineStr">
        <is>
          <t>Hi Redditors of r/Cancer,
My little sister is in need of your help. She just had a bone marrow transplant but it was not successful. She has multiple infections but cannot fight the infections unless we receive white blood cell donations. This is her third time relapsing with leukemia. Please help save my little sister!
How to help:
- Must be in Houston area 
- Must be willing to donate white blood cells
- Blood type does not matter 
- Please contact Danielle Brown (Donor Operations) @ MD Anderson Hospital for more information. Please mention Shayla Morales- or PM me for medical number
-  ➡️ (713) 745-8836 or www.mdandersonbloodbank.org
Thank you! Please share! 🙏🏼🙏🏼🙏🏼</t>
        </is>
      </c>
      <c r="D86" t="n">
        <v>1</v>
      </c>
      <c r="E86" t="n">
        <v>28</v>
      </c>
      <c r="F86">
        <f>HYPERLINK("https://www.reddit.com/r/cancer/comments/ad7jws/houston_we_need_your_help_we_need_white_blood/")</f>
        <v/>
      </c>
      <c r="G86" t="inlineStr">
        <is>
          <t>2019-01-06 09:25:02</t>
        </is>
      </c>
      <c r="H86" t="inlineStr"/>
    </row>
    <row r="87">
      <c r="A87" t="inlineStr">
        <is>
          <t>ad8iqz</t>
        </is>
      </c>
      <c r="B87" t="inlineStr">
        <is>
          <t>How to stay positive while taking care of father with very aggressive cancer</t>
        </is>
      </c>
      <c r="C87" t="inlineStr">
        <is>
          <t xml:space="preserve">I am only 22 years old (female) and this week my dad was diagnosed with terminal lung cancer with a terrible metastasis on the brain (by terrible i mean he has 30 tumors up in there). Everything was fine until like 10 days ago when he just started acting like he had a mini stroke. Slight difficulty walking, major difficulty talking and holding a conversation, memory span of a goldfish (this has improved but is still a problem), seeming very depressed and in his own world. He was very healthy the last 10 years but I guess this is genetics since his dad died of the exact same thing. 
My dad has no siblings, relatives or parents. He and my mom divorced many moons ago. My brother is only 14 and can't take care of him. He has many acquaintances but was very argumentative in the last couple of years and got in fights with most of his best friends. So I am the only one that can fully take care for him and I don't know how. This happened so suddenly. Right now I put my life on hold and I moved in with him and am cleaning, cooking, taking him to hospitals, making sure he remembers things and just keeping him a lot of company (so he can excercise his brain a bit). My GP prescribed me xanax to sleep and not have panic attacks but I have to be careful with it since I was addicted to benzos when I was 15. My dad's ex girlfriend comes over frequently and is such help to me because then I can have a little nap and not worry that he'll have a seizure or die while I'm away. 
Everything is so bleak right now. Also my uncle (mom's brother) is dying of cancer as well but he has had it for 5 years now and has a lot of support (2 fully grown children, a wife and a sister). I wish I had the cancer instead of them. I am not exaggerating, if I could just take their cancer and die I'd happily do it. My dad's biggest fear through his whole life was aging and death (we weren't even allowed to talk about it in front of him) and to see him so lost and afraid right now is devastating. 
Nights are the worst. Being alone with him, just watching TV or having dinner, is so god damn scary. Hearing him have a little innocent cough sends me over the edge completely. I wonder if anyone has any advice on how to be more positive day in day out. I have come to terms with everything but I'm just wrecked in other ways. How do I find a bit of happines every day? Other than knowing I'm here for my dad and helping him out. </t>
        </is>
      </c>
      <c r="D87" t="n">
        <v>1</v>
      </c>
      <c r="E87" t="n">
        <v>4</v>
      </c>
      <c r="F87">
        <f>HYPERLINK("https://www.reddit.com/r/cancer/comments/ad8iqz/how_to_stay_positive_while_taking_care_of_father/")</f>
        <v/>
      </c>
      <c r="G87" t="inlineStr">
        <is>
          <t>2019-01-06 10:59:53</t>
        </is>
      </c>
      <c r="H87" t="inlineStr"/>
    </row>
    <row r="88">
      <c r="A88" t="inlineStr">
        <is>
          <t>ad8sl6</t>
        </is>
      </c>
      <c r="B88" t="inlineStr">
        <is>
          <t>how to stay calm while waiting for dads pet scan results/lung cancer</t>
        </is>
      </c>
      <c r="C88" t="inlineStr">
        <is>
          <t>My dad was diagnosed with lung cancer last year. He had surgery and removed his lung and had chemo as well. The tumour was 14 cm, so taking this into account, he did extremely well. On his first scan the doc noticed the initial cancer had moved into his lymph node and he had 1 month of radiation. Tomorrow we are getting his pet scan results after the second treatment. He seems fine. He has put on weight he is eating fine etc. 
But im extremely nervous. I live 3,000 miles away due to the financial crisis in my home country..unfortunately. 
The problem is that anxiety leads me to drinking. I never drunk before and im 33. Its the only way to calm my nerves. 
&amp;amp;#x200B;</t>
        </is>
      </c>
      <c r="D88" t="n">
        <v>1</v>
      </c>
      <c r="E88" t="n">
        <v>2</v>
      </c>
      <c r="F88">
        <f>HYPERLINK("https://www.reddit.com/r/cancer/comments/ad8sl6/how_to_stay_calm_while_waiting_for_dads_pet_scan/")</f>
        <v/>
      </c>
      <c r="G88" t="inlineStr">
        <is>
          <t>2019-01-06 11:24:20</t>
        </is>
      </c>
      <c r="H88" t="inlineStr"/>
    </row>
    <row r="89">
      <c r="A89" t="inlineStr">
        <is>
          <t>ad90ag</t>
        </is>
      </c>
      <c r="B89" t="inlineStr">
        <is>
          <t>My mother’s partner has cancer. It’s making her depressed, how can I support her?</t>
        </is>
      </c>
      <c r="C89" t="inlineStr">
        <is>
          <t xml:space="preserve">My Mum’s boyfriend is lovely and we get along well but his cancer has returned after 8 years. He has a brain tumour, as for the exact type of cancer I’m not sure. But he’s quite unwell as you can imagine, he’s taking some form of chemo but has suggested that if that doesn’t work he’s not interested in pursuing anything else because of how horrible he felt last time.
He’s quite adamant about that. 
She takes great care of him but the responsibility is too much, I can see it and I know she can too. Recently she’s grown quite depressed, I’ve insisted she see a therapist or at least join a support group but to no avail. 
What can I say and do to support her? </t>
        </is>
      </c>
      <c r="D89" t="n">
        <v>1</v>
      </c>
      <c r="E89" t="n">
        <v>2</v>
      </c>
      <c r="F89">
        <f>HYPERLINK("https://www.reddit.com/r/cancer/comments/ad90ag/my_mothers_partner_has_cancer_its_making_her/")</f>
        <v/>
      </c>
      <c r="G89" t="inlineStr">
        <is>
          <t>2019-01-06 11:44:06</t>
        </is>
      </c>
      <c r="H89" t="inlineStr"/>
    </row>
    <row r="90">
      <c r="A90" t="inlineStr">
        <is>
          <t>ad9erz</t>
        </is>
      </c>
      <c r="B90" t="inlineStr">
        <is>
          <t>how long does lung cancer go from stage 1 to stage 4?</t>
        </is>
      </c>
      <c r="C90" t="inlineStr">
        <is>
          <t>my mom passed away from lung cancer yesterday. when the tumor was found it already spread from inside the lung to the fluid surrounding it. im not sure when but it also spread to her brain, but that tumor was discovered later.
i was wondering, at what time before the first discovery would an ct scan or x-ray would have showed the tumor when it was stage 1.</t>
        </is>
      </c>
      <c r="D90" t="n">
        <v>1</v>
      </c>
      <c r="E90" t="n">
        <v>8</v>
      </c>
      <c r="F90">
        <f>HYPERLINK("https://www.reddit.com/r/cancer/comments/ad9erz/how_long_does_lung_cancer_go_from_stage_1_to/")</f>
        <v/>
      </c>
      <c r="G90" t="inlineStr">
        <is>
          <t>2019-01-06 12:22:00</t>
        </is>
      </c>
      <c r="H90" t="inlineStr"/>
    </row>
    <row r="91">
      <c r="A91" t="inlineStr">
        <is>
          <t>ad9j19</t>
        </is>
      </c>
      <c r="B91" t="inlineStr">
        <is>
          <t>Anyone tried "EmeTerm Antiemetic Electrode Stimulator? " wanting to help a relative with sickness if yes what are your thoughts</t>
        </is>
      </c>
      <c r="C91" t="inlineStr">
        <is>
          <t xml:space="preserve">
</t>
        </is>
      </c>
      <c r="D91" t="n">
        <v>1</v>
      </c>
      <c r="E91" t="n">
        <v>0</v>
      </c>
      <c r="F91">
        <f>HYPERLINK("https://www.reddit.com/r/cancer/comments/ad9j19/anyone_tried_emeterm_antiemetic_electrode/")</f>
        <v/>
      </c>
      <c r="G91" t="inlineStr">
        <is>
          <t>2019-01-06 12:33:27</t>
        </is>
      </c>
      <c r="H91" t="inlineStr"/>
    </row>
    <row r="92">
      <c r="A92" t="inlineStr">
        <is>
          <t>ad9m8d</t>
        </is>
      </c>
      <c r="B92" t="inlineStr">
        <is>
          <t>Do you have recurring necropathy after chemo?</t>
        </is>
      </c>
      <c r="C92" t="inlineStr">
        <is>
          <t>Hello to all,
Question here (TLDR version) -- I wanted to double-check around here and see if anyone experienced recurrent necropathy after a stint of no necropathy post chemotherapy treatment.  If yes, what were the evaluated causes?  I want to make sure I'm not overlooking anything here.
I'm experiencing some unusual necropathy that creeped back up after a two-month stint with no chemotherapy.  I finished my chemotherapy on November 6th for rectal cancer treatment, and it took about two weeks for necropathy to resolve itself.  Excellent, I thought - I'm one of the lucky ones that did not have persistent necropathy damage.   
 Unfortunately, yesterday necropathy on my finger tips suddenly resurfaced making me wonder if this is a recurrent type of side effect of chemotherapy.  In other words, is it possible to get necropathy months after you finish chemotherapy treatment?  
Furthermore, I did some research and my understanding here is that necropathy can also be caused from liver damage.  Now, liver damage is somewhat related to chemotherapy in the sense the treatment destroys the liver gradually.  However, it should be recovering post-treatment unless there are some other conditions preventing recovery (god forbid recurrent cancer, recent scans are showing nothing).  
I had my blood checked recently at end of December and my blood tests and kidney check out well from the doctor's POV.  However, there are slightly high alkaline phosphatase which shows 162 international units when the referenced range topped at 115 international units.  I double-checked the bloodwork during my final chemo back in November, and November's blood test showed this was way higher at 275 international units.  
If I compare the two blood tests, the recent blood test shows an improvement in alkaline phosphatase counts by dropping down a hundred international units.  So it is difficult for me to ascertain whether this is actually liver damage or whether the liver is still "healing".  Meanwhile, my PCP is working on narrowing this down with further blood work to confirm where the source for the 162 high alkaline phosphatase count is coming from.  
Putting blood work aside -- I am curious if anyone else had recurrent necropathy and if yes -- what are the possible causes identified on your end?</t>
        </is>
      </c>
      <c r="D92" t="n">
        <v>1</v>
      </c>
      <c r="E92" t="n">
        <v>8</v>
      </c>
      <c r="F92">
        <f>HYPERLINK("https://www.reddit.com/r/cancer/comments/ad9m8d/do_you_have_recurring_necropathy_after_chemo/")</f>
        <v/>
      </c>
      <c r="G92" t="inlineStr">
        <is>
          <t>2019-01-06 12:42:20</t>
        </is>
      </c>
      <c r="H92" t="inlineStr"/>
    </row>
    <row r="93">
      <c r="A93" t="inlineStr">
        <is>
          <t>ad9nph</t>
        </is>
      </c>
      <c r="B93" t="inlineStr">
        <is>
          <t>Hi Reddit , my name is Oisin and My friends parents really need your help so she can get the right treatment for her cancer.</t>
        </is>
      </c>
      <c r="C93" t="inlineStr">
        <is>
          <t>Hi, my name is Oisin and I am 14 years old. One of my closest friends since we were infants mother just contracted a severe and life threatening liver cancer. His father is also in remission from stage 4 cancer. This is a huge shock to all of us and my mother and local friends decided to create a go fund me page to reach her 65,000 goal and pay for her treatment. It would mean so much if you could share the post or even donate. Thank you so much.
This is my first time visiting here so I’m not quite sure how this works but I will leave the go fund me link in the comments.</t>
        </is>
      </c>
      <c r="D93" t="n">
        <v>1</v>
      </c>
      <c r="E93" t="n">
        <v>2</v>
      </c>
      <c r="F93">
        <f>HYPERLINK("https://www.reddit.com/r/cancer/comments/ad9nph/hi_reddit_my_name_is_oisin_and_my_friends_parents/")</f>
        <v/>
      </c>
      <c r="G93" t="inlineStr">
        <is>
          <t>2019-01-06 12:46:20</t>
        </is>
      </c>
      <c r="H93" t="inlineStr"/>
    </row>
    <row r="94">
      <c r="A94" t="inlineStr">
        <is>
          <t>ada420</t>
        </is>
      </c>
      <c r="B94" t="inlineStr">
        <is>
          <t>Any advice on dealing with regrets after loved one passes?</t>
        </is>
      </c>
      <c r="C94" t="inlineStr">
        <is>
          <t xml:space="preserve">My dad passed a week ago from bladder cancer. I moved back home to live with him the last few months and spent a lot of time with him and mum - we had a great relationship (always have).
Since he died though I’ve been suffering from sever regrets and guilt, feeling that I didn’t do enough to show him I loved him - despite telling him I loved him almost constantly.
I was with him all the time but can’t stop  evaluating everything I said and did during his final days, and putting a negative spin on even the slightest details.
Anyone got advice on how best to manage these kinds of thoughts? 
</t>
        </is>
      </c>
      <c r="D94" t="n">
        <v>1</v>
      </c>
      <c r="E94" t="n">
        <v>6</v>
      </c>
      <c r="F94">
        <f>HYPERLINK("https://www.reddit.com/r/cancer/comments/ada420/any_advice_on_dealing_with_regrets_after_loved/")</f>
        <v/>
      </c>
      <c r="G94" t="inlineStr">
        <is>
          <t>2019-01-06 13:30:12</t>
        </is>
      </c>
      <c r="H94" t="inlineStr"/>
    </row>
    <row r="95">
      <c r="A95" t="inlineStr">
        <is>
          <t>ada63o</t>
        </is>
      </c>
      <c r="B95" t="inlineStr">
        <is>
          <t>Anyone else get annoyed at hearing 'You'll get through this' over and over?</t>
        </is>
      </c>
      <c r="C95" t="inlineStr">
        <is>
          <t xml:space="preserve">I might sound unappreciative but I get so irrationally upset whenever I hear people say something along the lines of 'You'll fight this' or 'You'll beat this'.
 Maybe it's just me but I've heard it so much that at this point I want to just say to people 'I know alright. I get it.'. I understand that people are just trying to say something nice about my diagnosis but I keep hearing the same things over and over. 
Does/did anyone else have the problem of just wanting to be talked to like before they were diagnosed? 
When I have friends visit me I end up taking the first 5-10 minutes assuring them that I'm still me and not much has changed. It's like they are nervous and awkward, which, to be fair I would've been had the situation been reversed. My treatment is just something I do now. Like someone who gets a new hobby. It's just that my new hobby happens to be having cancer. </t>
        </is>
      </c>
      <c r="D95" t="n">
        <v>1</v>
      </c>
      <c r="E95" t="n">
        <v>22</v>
      </c>
      <c r="F95">
        <f>HYPERLINK("https://www.reddit.com/r/cancer/comments/ada63o/anyone_else_get_annoyed_at_hearing_youll_get/")</f>
        <v/>
      </c>
      <c r="G95" t="inlineStr">
        <is>
          <t>2019-01-06 13:35:22</t>
        </is>
      </c>
      <c r="H95" t="inlineStr"/>
    </row>
    <row r="96">
      <c r="A96" t="inlineStr">
        <is>
          <t>adaw54</t>
        </is>
      </c>
      <c r="B96" t="inlineStr">
        <is>
          <t>Symptoms of Breast Cancer in Women</t>
        </is>
      </c>
      <c r="C96" t="inlineStr">
        <is>
          <t xml:space="preserve"> **Breast Cancer Stages Expository strategies**
Right off the bat, we portrayed the recurrence of recorded displaying indications and related correct certainty breaks, and the circulation of the patient and essential consideration breaks for [every side effect among women](https://www.medfaw.com/symptoms-of-breast-cancer-in-women.html) with finish interim qualities. Past condensing mean, middle and key centile interim qualities, we have additionally revealed the extent of females with every indication that accomplished at least 2 pre-referral meetings. Moreover, we determined the extent of women with interim qualities surpassing 90 days, given earlier proof of poorer survival among women encountering indicative breaks of 3 months or longer.
We built up a scientific classification of displaying side effects by ordering singular manifestations into three fundamental side effect classes: (a) breast protuberance, (b) non-bump breast indications (counting breast torment, breast skin or shape irregularities and areola variations from the norm), and (c) non-breast side effects (counting weariness, shortness of breath, axillary side effects, neck knot, and back torment). A few women had numerous indications crosswise over various side effect classifications. From the subsequent seven blends of the three manifestation classifications, we concentrated on the four biggest gatherings (‘bump’, ‘knot and non-irregularity’, ‘non-protuberance’, and ‘non-breast’).
[ReadMore](https://www.medfaw.com/symptoms-of-breast-cancer-in-women.html)</t>
        </is>
      </c>
      <c r="D96" t="n">
        <v>1</v>
      </c>
      <c r="E96" t="n">
        <v>1</v>
      </c>
      <c r="F96">
        <f>HYPERLINK("https://www.reddit.com/r/cancer/comments/adaw54/symptoms_of_breast_cancer_in_women/")</f>
        <v/>
      </c>
      <c r="G96" t="inlineStr">
        <is>
          <t>2019-01-06 14:46:49</t>
        </is>
      </c>
      <c r="H96" t="inlineStr"/>
    </row>
    <row r="97">
      <c r="A97" t="inlineStr">
        <is>
          <t>adc4pv</t>
        </is>
      </c>
      <c r="B97" t="inlineStr">
        <is>
          <t>C-125 tomorrow</t>
        </is>
      </c>
      <c r="C97" t="inlineStr">
        <is>
          <t xml:space="preserve">Tomorrow I’m having my first C-125 blood test post full hysterectomy, 8 rounds of chemo, and 5 weeks of radiation. Then I meet with my chemo oncologist on weds to get the results. 
I don’t know where else to post or talk about this because I don’t know exactly how to word the weird feeling of being a-ok with it coming back indicating tumours, even kinda having a hunch it is still there and worrying more how my friends and family will take it. I’m scraping up the courage to talk to my partner about the possibility of it coming back, and sooner than we thought. 
Or, this is just all in my head and every little goddamn pinch or future fart or mysterious bruise or minor pain is “proof” that it’s back.
Fuck. This is my life now. </t>
        </is>
      </c>
      <c r="D97" t="n">
        <v>1</v>
      </c>
      <c r="E97" t="n">
        <v>3</v>
      </c>
      <c r="F97">
        <f>HYPERLINK("https://www.reddit.com/r/cancer/comments/adc4pv/c125_tomorrow/")</f>
        <v/>
      </c>
      <c r="G97" t="inlineStr">
        <is>
          <t>2019-01-06 16:55:12</t>
        </is>
      </c>
      <c r="H97" t="inlineStr"/>
    </row>
    <row r="98">
      <c r="A98" t="inlineStr">
        <is>
          <t>addfej</t>
        </is>
      </c>
      <c r="B98" t="inlineStr">
        <is>
          <t>Will see a doctor this week regarding lump in armpit</t>
        </is>
      </c>
      <c r="C98" t="inlineStr">
        <is>
          <t xml:space="preserve">It’s not painful and it’s not movable. It doesn’t feel like a marble or bean, but rather a large knotted muscle if that makes any sense. Anyone deal with something like this? I have been feeling more tired than usual lately, but now sure they are connected. </t>
        </is>
      </c>
      <c r="D98" t="n">
        <v>1</v>
      </c>
      <c r="E98" t="n">
        <v>1</v>
      </c>
      <c r="F98">
        <f>HYPERLINK("https://www.reddit.com/r/cancer/comments/addfej/will_see_a_doctor_this_week_regarding_lump_in/")</f>
        <v/>
      </c>
      <c r="G98" t="inlineStr">
        <is>
          <t>2019-01-06 19:16:28</t>
        </is>
      </c>
      <c r="H98" t="inlineStr"/>
    </row>
    <row r="99">
      <c r="A99" t="inlineStr">
        <is>
          <t>addipz</t>
        </is>
      </c>
      <c r="B99" t="inlineStr">
        <is>
          <t>Radiation Treatment and Dandruff</t>
        </is>
      </c>
      <c r="C99" t="inlineStr">
        <is>
          <t>Hey everyone,
I have been on Reddit for sometime now, but this is my first time to this subreddit. I should have checked out this sub sooner then now. Anyways I was diagnosed with brain cancer back in 2016 and went through radiation treatment in April 2016, followed by PCV chemo until the very end of October of the same year. 
With the radiation, the doctors let me know that once my hair grew back they said I would have a bit more dandruff since they were radiating my head. However they were not too specific on how long this may last. Has anyone here had brain radiation and a similar issue? I would get dandruff time to time pre-cancer treatment if I didn't wash my hair for a while. Now it seems even after I wash my hair with treated shampoo, it doesn't help very much.</t>
        </is>
      </c>
      <c r="D99" t="n">
        <v>1</v>
      </c>
      <c r="E99" t="n">
        <v>0</v>
      </c>
      <c r="F99">
        <f>HYPERLINK("https://www.reddit.com/r/cancer/comments/addipz/radiation_treatment_and_dandruff/")</f>
        <v/>
      </c>
      <c r="G99" t="inlineStr">
        <is>
          <t>2019-01-06 19:27:22</t>
        </is>
      </c>
      <c r="H99" t="inlineStr"/>
    </row>
    <row r="100">
      <c r="A100" t="inlineStr">
        <is>
          <t>adeiev</t>
        </is>
      </c>
      <c r="B100" t="inlineStr">
        <is>
          <t>What should I do?</t>
        </is>
      </c>
      <c r="C100" t="inlineStr">
        <is>
          <t>I(m/19) have recently discovered a small pea sized lump on my testicle, I am worried but have no symptoms other than the lump that I found. I am wondering what to do from people that may have been in the same situation because I am quite scared about what this could mean.</t>
        </is>
      </c>
      <c r="D100" t="n">
        <v>1</v>
      </c>
      <c r="E100" t="n">
        <v>3</v>
      </c>
      <c r="F100">
        <f>HYPERLINK("https://www.reddit.com/r/cancer/comments/adeiev/what_should_i_do/")</f>
        <v/>
      </c>
      <c r="G100" t="inlineStr">
        <is>
          <t>2019-01-06 21:29:57</t>
        </is>
      </c>
      <c r="H100" t="inlineStr"/>
    </row>
    <row r="101">
      <c r="A101" t="inlineStr">
        <is>
          <t>aderyr</t>
        </is>
      </c>
      <c r="B101" t="inlineStr">
        <is>
          <t>Getting Past Anger</t>
        </is>
      </c>
      <c r="C101" t="inlineStr">
        <is>
          <t>This is mostly a vent but also getting advice from people who have been there, done that.
I got my diagnosis of vulvar cancer on the 20th of last month. Just had my exam under anesthesia last week to take more biopsies and for my oncologist to be able to fully examine me, as well as my CT to check for distant metastasis.
The CT was good news that there appeared to be no spread to my chest, abdomen, or pelvis. However, after surgery I got the “we have to wait for the biopsies to come back, but I want to prepare you” talk from my oncologist. He thinks it’s possible that the cancer spread to my colorectal system and my urethra, we have to wait for the biopsies to confirm but I could be looking at stage IV-A right now. Regardless though, he’s thinks I should have at minimum 5 chemoradiation cycles because the size of the primary tumor before surgery. That would render me infertile and we don’t have the money for egg freezing.
I thought I was fine, I was fine, with that info for the past few days, but now I’m just absolutely pissed. I’m pissed at every gynecologist I saw that told me I was too young to have this cancer. I’m pissed at my parents for not getting me the stupid gardisal vaccine because it was “too new”. I’m pissed at my partner for still being Mr. sunshine and rainbows trying to tell me “there’s still hope it’s not that bad” anytime I show any emotion about it, especially with him knowing my oncologist is prepping me for not good news. I’m pissed at my own body for doing this for no discernible reason and I’m incredibly pissed at cancer for even just existing.
I’m 29, we wanted to have another kid within the next year. Instead, I’m not going to be able to have any more kids and am possibly looking at a 16% five year survival rate, so I might not even get to see my one child turn 10.
I pissed, but I know that pissed doesn’t help. I know it’s normal to go through the grief stages, and I’m planning on seeing a therapist soon. But how on earth do you get past being angry all the time about this?</t>
        </is>
      </c>
      <c r="D101" t="n">
        <v>1</v>
      </c>
      <c r="E101" t="n">
        <v>7</v>
      </c>
      <c r="F101">
        <f>HYPERLINK("https://www.reddit.com/r/cancer/comments/aderyr/getting_past_anger/")</f>
        <v/>
      </c>
      <c r="G101" t="inlineStr">
        <is>
          <t>2019-01-06 22:04:54</t>
        </is>
      </c>
      <c r="H101" t="inlineStr"/>
    </row>
    <row r="102">
      <c r="A102" t="inlineStr">
        <is>
          <t>adf1a5</t>
        </is>
      </c>
      <c r="B102" t="inlineStr">
        <is>
          <t>Smoking</t>
        </is>
      </c>
      <c r="C102" t="inlineStr">
        <is>
          <t>So I've smoked for 1.5 years maybe more, this went on and off for some time. I'm 22. I've recently quit and it's been about 3.5 month since my last stick. I'm scared of catching lung cancer or whatever kind of cancer (mouth/lungs/throat) but also I don't know if cancer is hereditary since a lot of my family members are heavy smokers (even smoking the cigarette backwards) but no one has died or acquired any of the three cancers above. After quitting, my mom still smoked heavily (she seems fine, she's 55) but I inhale her second hand smoke which I heard was worse.
Am I in danger of getting cancer? How can I prevent these? I've quit smoking alread but the thought still haunts me. What are the signs of lung cancer?</t>
        </is>
      </c>
      <c r="D102" t="n">
        <v>1</v>
      </c>
      <c r="E102" t="n">
        <v>5</v>
      </c>
      <c r="F102">
        <f>HYPERLINK("https://www.reddit.com/r/cancer/comments/adf1a5/smoking/")</f>
        <v/>
      </c>
      <c r="G102" t="inlineStr">
        <is>
          <t>2019-01-06 22:40:41</t>
        </is>
      </c>
      <c r="H102" t="inlineStr"/>
    </row>
    <row r="103">
      <c r="A103" t="inlineStr">
        <is>
          <t>adfhc4</t>
        </is>
      </c>
      <c r="B103" t="inlineStr">
        <is>
          <t>Cancer won.</t>
        </is>
      </c>
      <c r="C103" t="inlineStr">
        <is>
          <t xml:space="preserve">This user's wife is writing this. I created this account for him, hoping to get him interested and that Reddit might help to entertain him during various treatments, etc. He passed away yesterday, emaciated and exhausted from the ridiculous and (in his case) ineffective chemotherapies and immunotherapies. I'll never know for sure but can only wonder if his last six months would have been more pleasant for him had he forgone any treatment. I'm beating myself up with all the what ifs and I just want to die and be with him. I have a kitchen counter full of his leftover pain medicines so it would be so easy to join him. </t>
        </is>
      </c>
      <c r="D103" t="n">
        <v>1</v>
      </c>
      <c r="E103" t="n">
        <v>52</v>
      </c>
      <c r="F103">
        <f>HYPERLINK("https://www.reddit.com/r/cancer/comments/adfhc4/cancer_won/")</f>
        <v/>
      </c>
      <c r="G103" t="inlineStr">
        <is>
          <t>2019-01-06 23:47:22</t>
        </is>
      </c>
      <c r="H103" t="inlineStr"/>
    </row>
    <row r="104">
      <c r="A104" t="inlineStr">
        <is>
          <t>adfte6</t>
        </is>
      </c>
      <c r="B104" t="inlineStr">
        <is>
          <t>Today cancer won but my mom kicked ass</t>
        </is>
      </c>
      <c r="C104" t="inlineStr">
        <is>
          <t xml:space="preserve">My mom died of pancreatic cancer she was 60. I knew it was coming and I was prepared but it still hurts. All I ask is you all just please go to the people you love and tell them you love them. I hugged my mom at 12:30pm and went home she passed away at 11:20 pm and it was graceful. She was a bitch in all the good ways to make me who i am today. I miss her already but I am relieved she’s free of pain. Cancer can suck it but it’s not what defines us it’s love. </t>
        </is>
      </c>
      <c r="D104" t="n">
        <v>1</v>
      </c>
      <c r="E104" t="n">
        <v>5</v>
      </c>
      <c r="F104">
        <f>HYPERLINK("https://www.reddit.com/r/cancer/comments/adfte6/today_cancer_won_but_my_mom_kicked_ass/")</f>
        <v/>
      </c>
      <c r="G104" t="inlineStr">
        <is>
          <t>2019-01-07 00:43:00</t>
        </is>
      </c>
      <c r="H104" t="inlineStr"/>
    </row>
    <row r="105">
      <c r="A105" t="inlineStr">
        <is>
          <t>adg268</t>
        </is>
      </c>
      <c r="B105" t="inlineStr">
        <is>
          <t>It’s been 3 weeks since my diagnosis, I’m tired. I’m 26, I have Stage IV Pancreatic Cancer.</t>
        </is>
      </c>
      <c r="C105" t="inlineStr">
        <is>
          <t xml:space="preserve">I’m in high spirits, I really am. My friends and family have been so amazing. My wife....I can’t even begin to describe how great she is. I wish there’s something I can do for her. 
I was told I have 6-12 months to live and that’s with chemo. So far my case has been an anomaly to doctors. I was a very healthy, fit, successful, and active 26 year old male. No one in my family has ever had cancer. I suddenly got some stomach pains in October and by mid December I was diagnosed. 
I’m still checked in at the hospital and I did my first round of chemo end of December. That went well, I was only sick for the following 3 days after chemo. I’m doing my next round in a few days. 
How do you “repay” your loved ones? My beautiful and amazing wife has become my caregiver. I feel so bad but that’s what she wants. She’s on top of everything, my meds, my appointments, etc. 
I have friends and family who are doing whatever they can to support me. How do I repay them? I say thank you and show my gratitude. I just don’t feel like that’s enough. </t>
        </is>
      </c>
      <c r="D105" t="n">
        <v>1</v>
      </c>
      <c r="E105" t="n">
        <v>20</v>
      </c>
      <c r="F105">
        <f>HYPERLINK("https://www.reddit.com/r/cancer/comments/adg268/its_been_3_weeks_since_my_diagnosis_im_tired_im/")</f>
        <v/>
      </c>
      <c r="G105" t="inlineStr">
        <is>
          <t>2019-01-07 01:23:04</t>
        </is>
      </c>
      <c r="H105" t="inlineStr"/>
    </row>
    <row r="106">
      <c r="A106" t="inlineStr">
        <is>
          <t>adh0gi</t>
        </is>
      </c>
      <c r="B106" t="inlineStr">
        <is>
          <t>Need help</t>
        </is>
      </c>
      <c r="C106" t="inlineStr">
        <is>
          <t xml:space="preserve">My wife and I are both 33. Her grandmother and mother both died of ovarian cancer, and in December she finished her chemo and surgery for Stage 2b Breast Cancer, with radiation and more surgery to follow this year. We have two daughters, ages 3 and almost 2, and she is the primary earner in our family. 
We got through chemo great. We prepared ourselves for the worst and she actually handled it all much better than we anticipated. Because of her family’s past and my wife’s amazing mentality, she already had a network of cancer survivors and patients to lean on during everything. Ever since her mom passed away about 10 years ago, she’s devoted her life and career to advocacy and volunteering in the cancer community.
But now that she’s out of the immediate danger, we are facing some marital problems. I blame myself mostly due to my emotional inadequacies. We only had one major blowout fight right after her diagnosis, and have gotten through chemo mostly unscathed. But ever since her surgery and now recovery, we have been bickering and those bickers have blown up into huge fights. I’ve been secretly drinking wine after everyone goes to sleep just to be able to unwind a little bit (I know that’s not a good solution but I’m weak). We’re looking into counseling because we can’t stand the way we’ve been acting and can’t put our kids through what we both went through growing up.
Sorry for the rant. I’ve read a lot on the Internet and that this is normal, or at least common. But I just needed to vent and hopefully hear from others and let others know that’s it’s not easy. Cancer fucking sucks. </t>
        </is>
      </c>
      <c r="D106" t="n">
        <v>1</v>
      </c>
      <c r="E106" t="n">
        <v>3</v>
      </c>
      <c r="F106">
        <f>HYPERLINK("https://www.reddit.com/r/cancer/comments/adh0gi/need_help/")</f>
        <v/>
      </c>
      <c r="G106" t="inlineStr">
        <is>
          <t>2019-01-07 03:57:33</t>
        </is>
      </c>
      <c r="H106" t="inlineStr"/>
    </row>
    <row r="107">
      <c r="A107" t="inlineStr">
        <is>
          <t>adi3qr</t>
        </is>
      </c>
      <c r="B107" t="inlineStr">
        <is>
          <t>Hope for Bile Duct Cancer</t>
        </is>
      </c>
      <c r="C107" t="inlineStr">
        <is>
          <t>When my dad was diagnosed with bile duct cancer last year I was devastated. I spent weeks constantly searching reddit and other sites for positive stories to help keep the hope alive.
I wanted to pass on that he has now spent 4 months in a clinical trial and preliminary results are showing stop in tumor growth and diminished cancer in his lymph nodes. He is staying in the protocol another 3 months before they retest again. We are very hopeful that the trial is working enough for surgery. He is in good spirits and doing well! There is hope out there for others.
Peace and positive vibes in 2019</t>
        </is>
      </c>
      <c r="D107" t="n">
        <v>1</v>
      </c>
      <c r="E107" t="n">
        <v>2</v>
      </c>
      <c r="F107">
        <f>HYPERLINK("https://www.reddit.com/r/cancer/comments/adi3qr/hope_for_bile_duct_cancer/")</f>
        <v/>
      </c>
      <c r="G107" t="inlineStr">
        <is>
          <t>2019-01-07 06:21:51</t>
        </is>
      </c>
      <c r="H107" t="inlineStr"/>
    </row>
    <row r="108">
      <c r="A108" t="inlineStr">
        <is>
          <t>adi7g6</t>
        </is>
      </c>
      <c r="B108" t="inlineStr">
        <is>
          <t>Scared</t>
        </is>
      </c>
      <c r="C108" t="inlineStr">
        <is>
          <t xml:space="preserve">Hi... so... a little background: I was diagnosed AML 2 year ish ago(Aug2016) when I was 29 and got my ASCT in Feb 2017 in NL. Was declared AML free in Aug 2017 (or sometime later) 
Back in June 2018 I go back to Indonesia and has been drawing blood regularly and report it back to my doctor in NL.
This month I just did my draw earlier today. I just got my test result back with an elevated WBC. I’m freaking out as I fear the AML recurring. Trying not to freak to much as I was fighting a slight fever in the weekend...
As I am now self employed with half shitty insurance that will only cover my treatment march 2019 onward I’m freaking out on how to cover the cost, as well as finding treatment in Indonesia. And I think I still owe the hospital in NL ~€30,000, I need to check the hospital again as they told me that they’re sending a bill that I haven’t received yet...
Fuck. Will have to have another draw next week to confirm... and maybe contacting hemato-oncology specialist here in Indonesia...
Sorry for the rambling. Thanks guys. </t>
        </is>
      </c>
      <c r="D108" t="n">
        <v>1</v>
      </c>
      <c r="E108" t="n">
        <v>3</v>
      </c>
      <c r="F108">
        <f>HYPERLINK("https://www.reddit.com/r/cancer/comments/adi7g6/scared/")</f>
        <v/>
      </c>
      <c r="G108" t="inlineStr">
        <is>
          <t>2019-01-07 06:33:54</t>
        </is>
      </c>
      <c r="H108" t="inlineStr"/>
    </row>
    <row r="109">
      <c r="A109" t="inlineStr">
        <is>
          <t>adjqgc</t>
        </is>
      </c>
      <c r="B109" t="inlineStr">
        <is>
          <t>Cancer and finances</t>
        </is>
      </c>
      <c r="C109" t="inlineStr">
        <is>
          <t>Hello! I’m inquiring about experiences with cancer and the financial burden acquired. My mother was diagnosed with ovarian cancer a week before Christmas and underwent surgery immediately. As soon as she has recovered, she will undergo chemo therapy.
She wanted me to reach out to “my reddit buddies” to gain a better perspective on what costs can be associated with all the medical services required. She has insurance through her work (USA state roadways job), spent 6 days in the hospital, and will undergo 6 rounds of chemo (one round every three weeks). 
I think she’s nervous about how chemo will prevent her from getting back to work. Any information would help. Thanks in advance!</t>
        </is>
      </c>
      <c r="D109" t="n">
        <v>1</v>
      </c>
      <c r="E109" t="n">
        <v>2</v>
      </c>
      <c r="F109">
        <f>HYPERLINK("https://www.reddit.com/r/cancer/comments/adjqgc/cancer_and_finances/")</f>
        <v/>
      </c>
      <c r="G109" t="inlineStr">
        <is>
          <t>2019-01-07 09:10:32</t>
        </is>
      </c>
      <c r="H109" t="inlineStr"/>
    </row>
    <row r="110">
      <c r="A110" t="inlineStr">
        <is>
          <t>adjv1k</t>
        </is>
      </c>
      <c r="B110" t="inlineStr">
        <is>
          <t>Bad news again. (Why is there so much bad news?!)</t>
        </is>
      </c>
      <c r="C110" t="inlineStr">
        <is>
          <t>It's hard how the important news is almost always bad. Just got off the phone with my oncologist, and the cancer is in my brain now. 
I'm not sad, but I am surprised. I thought I was doing well.
Crazy timing - I also just got confirmation about a concert of my music, a big part of which is about living with cancer. It's happening on April 6 in Toronto!! Just hope I am still in good shape then...</t>
        </is>
      </c>
      <c r="D110" t="n">
        <v>1</v>
      </c>
      <c r="E110" t="n">
        <v>38</v>
      </c>
      <c r="F110">
        <f>HYPERLINK("https://www.reddit.com/r/cancer/comments/adjv1k/bad_news_again_why_is_there_so_much_bad_news/")</f>
        <v/>
      </c>
      <c r="G110" t="inlineStr">
        <is>
          <t>2019-01-07 09:22:38</t>
        </is>
      </c>
      <c r="H110" t="inlineStr"/>
    </row>
    <row r="111">
      <c r="A111" t="inlineStr">
        <is>
          <t>adjy5d</t>
        </is>
      </c>
      <c r="B111" t="inlineStr">
        <is>
          <t>Best friend’s [20M] Mom [50s] has terminal cancer. Advice on how to help him?</t>
        </is>
      </c>
      <c r="C111" t="inlineStr">
        <is>
          <t xml:space="preserve">She has very advanced brain cancer and is currently in a rehabilitation facility. We don’t have a timeline but she has a number of weeks/months. 
He is taking a semester off from his school to be with her, taking some classes locally.  He’s very upset and I am pretty much the only person he feels comfortable talking with. Any advice would be appreciated. </t>
        </is>
      </c>
      <c r="D111" t="n">
        <v>1</v>
      </c>
      <c r="E111" t="n">
        <v>2</v>
      </c>
      <c r="F111">
        <f>HYPERLINK("https://www.reddit.com/r/cancer/comments/adjy5d/best_friends_20m_mom_50s_has_terminal_cancer/")</f>
        <v/>
      </c>
      <c r="G111" t="inlineStr">
        <is>
          <t>2019-01-07 09:31:11</t>
        </is>
      </c>
      <c r="H111" t="inlineStr"/>
    </row>
    <row r="112">
      <c r="A112" t="inlineStr">
        <is>
          <t>adkmnt</t>
        </is>
      </c>
      <c r="B112" t="inlineStr">
        <is>
          <t>Woman told to eat only bacon during her chemotherapy. What is it about?</t>
        </is>
      </c>
      <c r="C112" t="inlineStr">
        <is>
          <t xml:space="preserve">My mom's friend has been diagnosed with a bad type of stomach cancer. She's in her 50's and lives in Bosnia and Herzegovina. The doctors told her to eat only a really fat-laden type of bacon and to avoid all types of fruits, vegetables etc. for the sake of gaining strength. When I heard it, I was outraged. IMO they told her that so she would die sooner for the sake of saving money on chemo, as B&amp;amp;H is a really poor country. Is there really something about it, or are they seriously trying to kill her? </t>
        </is>
      </c>
      <c r="D112" t="n">
        <v>1</v>
      </c>
      <c r="E112" t="n">
        <v>5</v>
      </c>
      <c r="F112">
        <f>HYPERLINK("https://www.reddit.com/r/cancer/comments/adkmnt/woman_told_to_eat_only_bacon_during_her/")</f>
        <v/>
      </c>
      <c r="G112" t="inlineStr">
        <is>
          <t>2019-01-07 10:35:37</t>
        </is>
      </c>
      <c r="H112" t="inlineStr"/>
    </row>
    <row r="113">
      <c r="A113" t="inlineStr">
        <is>
          <t>admkmf</t>
        </is>
      </c>
      <c r="B113" t="inlineStr">
        <is>
          <t>Stress Management and Resilience Program for Cancer Survivors (still recruiting!)</t>
        </is>
      </c>
      <c r="C113" t="inlineStr">
        <is>
          <t>https://i.redd.it/kdy70aaqz1921.jpg
Hi! We are still recruiting! I am a research coordinator at the Massachusetts General Hospital Cancer Center. We are recruiting for a research study to support adolescent and young adults who were diagnosed between the ages of 15-27 and have completed treatment for cancer (any type) in the past 5 years. The program will be held for virtually (over videoconferencing) for 8 weeks and participants will be compensated up to $70 for their time. Please don’t hesitate to reach out if you are interested in learning more or have any questions. Thank you! @MGHBounceBack</t>
        </is>
      </c>
      <c r="D113" t="n">
        <v>1</v>
      </c>
      <c r="E113" t="n">
        <v>6</v>
      </c>
      <c r="F113">
        <f>HYPERLINK("https://www.reddit.com/r/cancer/comments/admkmf/stress_management_and_resilience_program_for/")</f>
        <v/>
      </c>
      <c r="G113" t="inlineStr">
        <is>
          <t>2019-01-07 13:36:33</t>
        </is>
      </c>
      <c r="H113" t="inlineStr"/>
    </row>
    <row r="114">
      <c r="A114" t="inlineStr">
        <is>
          <t>adpqpd</t>
        </is>
      </c>
      <c r="B114" t="inlineStr">
        <is>
          <t>I’m 10,000km away from my Mum with stage IV cancer</t>
        </is>
      </c>
      <c r="C114" t="inlineStr">
        <is>
          <t xml:space="preserve">My 63 year old mum was diagnosed with colon cancer in September 2017, it spread to the liver, lymph nodes and recently the hip bone. She’s made it through everything but we don’t know what’s next, or how fast could it spread to somewhere else. For now, the colon tumor is gone, as well as the affected part of the liver. So we’re taking care of a stubborn lymph node that’s not getting smaller and a hip bone with metastases that she’ll have to learn how to live with, as they said it’s permanent. They can do radiotherapy to help with the pain, but it can’t be healed. She’ll start another round of chemo and meds soon and we’ll see from there.
Me and my husband live more than 10,000km away from my mum. We have our jobs, home, friends and family here, and moving back is not an option for now.
In 15 months, I’ve been away from home to be with her for 6. This has been rough on everyone. Me and my husband are struggling with keeping our relationship healthy. We’ve become pretty nasty and distant to each other. We’ve been dealing with infertility for 4 years and this is made everything even more complicated. I know it’s because of how sad and stressed I am, but I don’t know how to be more positive about it.
I decided to quit my job because I wanted to be free to go whenever it was needed, but now I regret not living my own life, and I’m at home every day, far in a foreign country, feeling guilty about everything.
I want to work so I get out of the house, and I become more active and healthy. But I don’t know what kind of job would allow me to have the flexibility I need. 
I want to be a better wife and a better daughter, but it seems impossible to have both.
I have no idea what to do. I’ve never felt so lost, alone and depressed.
</t>
        </is>
      </c>
      <c r="D114" t="n">
        <v>1</v>
      </c>
      <c r="E114" t="n">
        <v>2</v>
      </c>
      <c r="F114">
        <f>HYPERLINK("https://www.reddit.com/r/cancer/comments/adpqpd/im_10000km_away_from_my_mum_with_stage_iv_cancer/")</f>
        <v/>
      </c>
      <c r="G114" t="inlineStr">
        <is>
          <t>2019-01-07 18:56:33</t>
        </is>
      </c>
      <c r="H114" t="inlineStr"/>
    </row>
    <row r="115">
      <c r="A115" t="inlineStr">
        <is>
          <t>adqz5g</t>
        </is>
      </c>
      <c r="B115" t="inlineStr">
        <is>
          <t>Cancer survivor, Found a new lump that hurts. Scared, no insurance.</t>
        </is>
      </c>
      <c r="C115" t="inlineStr">
        <is>
          <t>Long story short I survived mesenchymal chondrosarcoma in 2011, a very very rare bone cancer that often if you beat it it comes back to get you 5-10 years later. Im 8 years in.
A few weeks ago, I got a very bad pain in my radiation/rib resection area. To the touch it seemed normal but it hurt to touch.
Now When I touch it there seems to be a tiny pea sized bump that comes out with the muscle (when I flex the muscle below my shoulder blade) or when I cough but cant be felt any other way. Im inclined to think its not bone cancer because it seems to be in my muscle, but its RIGHT over the cut on my rib where they took 6 inches of rib out.
I lost my insurance in august due to turning 26. Im a glassblower, and tbh Ive barely made money at it for a while but im now going full time and making money as of december., My income was shit, and right now I cant give good numbers or 12 months of statements that back that income up. I can't apply to marketplace insurance because the amount I make qualifies me for medicaid but medicaid keeps denying me due to lack of income proof (it seriously just doesnt exist minus checks I got in december).
I just want a CT scan, i visited my oncologist and he thinks we should do one once I get insurance sorted, and now its dragging on and im becoming TERRIFIED.
Im not sure who to ask for help here, or anywhere, and im just reaching at this point but does anyone have advice for what I should do =[</t>
        </is>
      </c>
      <c r="D115" t="n">
        <v>1</v>
      </c>
      <c r="E115" t="n">
        <v>9</v>
      </c>
      <c r="F115">
        <f>HYPERLINK("https://www.reddit.com/r/cancer/comments/adqz5g/cancer_survivor_found_a_new_lump_that_hurts/")</f>
        <v/>
      </c>
      <c r="G115" t="inlineStr">
        <is>
          <t>2019-01-07 21:20:11</t>
        </is>
      </c>
      <c r="H115" t="inlineStr"/>
    </row>
    <row r="116">
      <c r="A116" t="inlineStr">
        <is>
          <t>adrh71</t>
        </is>
      </c>
      <c r="B116" t="inlineStr">
        <is>
          <t>Finally a small victory.</t>
        </is>
      </c>
      <c r="C116" t="inlineStr">
        <is>
          <t>My wife has been battling breast cancer on and off for 30 years.  She had it at 29 initially.   It came back in her airway in 2012.  It came back in her spine in 2016.   She's been on pill form chemo since 2016 and started full blown infusion Taxol in June of 2018.  It's been a shit 3 years.  She started hitting toxicity in November.  But the chemo was working and had driven the cancer back enough that the oncologist suggested we take a holiday.  So for 7 weeks there has been no chemo.   We had scans last week and our latest oncology appointment today.  Her cancer is stable.  It didn't shrink in further....but it didn't grow either.  So we are continuing our holiday for another 2 months.   This is the first time she's felt decent in almost 3 years.   I'm calling it a small victory.</t>
        </is>
      </c>
      <c r="D116" t="n">
        <v>1</v>
      </c>
      <c r="E116" t="n">
        <v>17</v>
      </c>
      <c r="F116">
        <f>HYPERLINK("https://www.reddit.com/r/cancer/comments/adrh71/finally_a_small_victory/")</f>
        <v/>
      </c>
      <c r="G116" t="inlineStr">
        <is>
          <t>2019-01-07 22:28:18</t>
        </is>
      </c>
      <c r="H116" t="inlineStr"/>
    </row>
    <row r="117">
      <c r="A117" t="inlineStr">
        <is>
          <t>adrkf7</t>
        </is>
      </c>
      <c r="B117" t="inlineStr">
        <is>
          <t>Bortenat Injection | Bortecad 2mg | Myezom | Velcade</t>
        </is>
      </c>
      <c r="C117" t="inlineStr">
        <is>
          <t xml:space="preserve">[Bortezomib](https://myapplepharma.com/bortenat.php) injection is used for mantle cell lymphoma, multiple myeloma, and other conditions. To buy bortenat injection, bortecad 2mg, myezom and Velcade at best price in India contact Apple Pharmaceuticals. </t>
        </is>
      </c>
      <c r="D117" t="n">
        <v>1</v>
      </c>
      <c r="E117" t="n">
        <v>0</v>
      </c>
      <c r="F117">
        <f>HYPERLINK("https://www.reddit.com/r/cancer/comments/adrkf7/bortenat_injection_bortecad_2mg_myezom_velcade/")</f>
        <v/>
      </c>
      <c r="G117" t="inlineStr">
        <is>
          <t>2019-01-07 22:41:09</t>
        </is>
      </c>
      <c r="H117" t="inlineStr"/>
    </row>
    <row r="118">
      <c r="A118" t="inlineStr">
        <is>
          <t>adrwwr</t>
        </is>
      </c>
      <c r="B118" t="inlineStr">
        <is>
          <t>Need some info from people with testicular or breast cancer.</t>
        </is>
      </c>
      <c r="C118" t="inlineStr">
        <is>
          <t>Sorry for being blunt.I really am.
I am a medical student trying to find my way through a trend that I have been observing and which can potentially help in the betterment of people with cancer if I finish this study.
People who had testicular and breast cancer,have you lost any of your kids few months prior to the diagnosis ? Especially if the death was sudden.
I cannot be more sorry for being blunt or hurtful.</t>
        </is>
      </c>
      <c r="D118" t="n">
        <v>1</v>
      </c>
      <c r="E118" t="n">
        <v>0</v>
      </c>
      <c r="F118">
        <f>HYPERLINK("https://www.reddit.com/r/cancer/comments/adrwwr/need_some_info_from_people_with_testicular_or/")</f>
        <v/>
      </c>
      <c r="G118" t="inlineStr">
        <is>
          <t>2019-01-07 23:31:41</t>
        </is>
      </c>
      <c r="H118" t="inlineStr"/>
    </row>
    <row r="119">
      <c r="A119" t="inlineStr">
        <is>
          <t>ads361</t>
        </is>
      </c>
      <c r="B119" t="inlineStr">
        <is>
          <t>I am a med student observing a trend.</t>
        </is>
      </c>
      <c r="C119" t="inlineStr">
        <is>
          <t>Sorry for being blunt.I really am.
I am a medical student trying to find my way through a trend that I have been observing and which can potentially help in the betterment of people with cancer if I finish this study.
People who had testicular and breast cancer,have you lost any kids few months prior to the diagnosis ? Especially if the death was sudden.
I cannot be more sorry for being blunt or hurtful.</t>
        </is>
      </c>
      <c r="D119" t="n">
        <v>1</v>
      </c>
      <c r="E119" t="n">
        <v>17</v>
      </c>
      <c r="F119">
        <f>HYPERLINK("https://www.reddit.com/r/cancer/comments/ads361/i_am_a_med_student_observing_a_trend/")</f>
        <v/>
      </c>
      <c r="G119" t="inlineStr">
        <is>
          <t>2019-01-07 23:59:07</t>
        </is>
      </c>
      <c r="H119" t="inlineStr"/>
    </row>
    <row r="120">
      <c r="A120" t="inlineStr">
        <is>
          <t>adtegr</t>
        </is>
      </c>
      <c r="B120" t="inlineStr">
        <is>
          <t>Global Cancer Therapeutics Market</t>
        </is>
      </c>
      <c r="C120" t="inlineStr">
        <is>
          <t xml:space="preserve"> Know the latest developments in the [cancer therapeutics research](https://www.jsbmarketresearch.com/pharmaceuticals/global-cancer-therapeutics-market-emphasis-on-recurrent-and-metastatic-divisions) at the global level. The research report offers in-depth insights into the market.  
&amp;amp;#x200B;
[ Global Cancer Therapeutics Market ](https://i.redd.it/6erwzv2fr6921.jpg)</t>
        </is>
      </c>
      <c r="D120" t="n">
        <v>1</v>
      </c>
      <c r="E120" t="n">
        <v>0</v>
      </c>
      <c r="F120">
        <f>HYPERLINK("https://www.reddit.com/r/cancer/comments/adtegr/global_cancer_therapeutics_market/")</f>
        <v/>
      </c>
      <c r="G120" t="inlineStr">
        <is>
          <t>2019-01-08 03:38:16</t>
        </is>
      </c>
      <c r="H120" t="inlineStr"/>
    </row>
    <row r="121">
      <c r="A121" t="inlineStr">
        <is>
          <t>adu1wo</t>
        </is>
      </c>
      <c r="B121" t="inlineStr">
        <is>
          <t>Today I found I have Cancer stage III</t>
        </is>
      </c>
      <c r="C121" t="inlineStr">
        <is>
          <t xml:space="preserve">I am 17 years old.
I have Lung cancer stage III, that's for now I don't know what to say anymore.
I am not scared but not sad I am very confused.
</t>
        </is>
      </c>
      <c r="D121" t="n">
        <v>1</v>
      </c>
      <c r="E121" t="n">
        <v>17</v>
      </c>
      <c r="F121">
        <f>HYPERLINK("https://www.reddit.com/r/cancer/comments/adu1wo/today_i_found_i_have_cancer_stage_iii/")</f>
        <v/>
      </c>
      <c r="G121" t="inlineStr">
        <is>
          <t>2019-01-08 05:12:03</t>
        </is>
      </c>
      <c r="H121" t="inlineStr"/>
    </row>
    <row r="122">
      <c r="A122" t="inlineStr">
        <is>
          <t>advbzo</t>
        </is>
      </c>
      <c r="B122" t="inlineStr">
        <is>
          <t>Obsessed with food</t>
        </is>
      </c>
      <c r="C122" t="inlineStr">
        <is>
          <t xml:space="preserve">I am the caregiver for my 50 year old mother with GBM. She has had surgery, radiation, chemo, and is now using the Optune. She has swelling in her brain so she is on a pretty good dose of steroids. 
Here’s the thing: she is OBSESSED with food. Like, I understand steroids make you ravenous and want to eat everything. But she is obsessed with junk. She wants sweets sweets sweets all the time. I have tried replacing everything with good sweets like fruits. I’ve even done sugar free things like ice cream and jello. Nothing works. She finds ways to sneak candy bars and stuff like that. It’s kind of at the all or nothing stage right now. 
I don’t want to deprive her of anything she wants, especially since she’s terminal. I want her to enjoy. But she’s missing out on life because she’s not taking care of the little bit of abled body she has now. The drugs have made her put on so much weight that she can’t be as active as she wants. And the sugar and junk make her feel even more sluggish and gross. 
She believes she is going to kick GBM’s ass and will live for 20 more years. I’m ok letting her believe this but I’m more than aware of her prognosis. I just know my mom (the one that is in there somewhere) wouldn’t want to spend the last bit of her life stuck on a couch eating ice cream by the carton. I’m just at a loss on what to do. </t>
        </is>
      </c>
      <c r="D122" t="n">
        <v>1</v>
      </c>
      <c r="E122" t="n">
        <v>20</v>
      </c>
      <c r="F122">
        <f>HYPERLINK("https://www.reddit.com/r/cancer/comments/advbzo/obsessed_with_food/")</f>
        <v/>
      </c>
      <c r="G122" t="inlineStr">
        <is>
          <t>2019-01-08 07:34:58</t>
        </is>
      </c>
      <c r="H122" t="inlineStr"/>
    </row>
    <row r="123">
      <c r="A123" t="inlineStr">
        <is>
          <t>adx5vm</t>
        </is>
      </c>
      <c r="B123" t="inlineStr">
        <is>
          <t>Guided journal recommendations?</t>
        </is>
      </c>
      <c r="C123" t="inlineStr">
        <is>
          <t xml:space="preserve">My mother in law is recovering at home from a bone marrow transplant for CML. She has a good prognosis, but a long road ahead. 
I would like to give her a gift along the lines of a guided journal. I think prior to her cancer, she would have loved the mindfulness or positivity journals that are popular on amazon right now- where there might be a short prompt or silly phrase to encourage you to write something to help you be more positive. 
However, the last thing I want to do is give her an insensitive gift that makes her feel like I think she can just “act positive” and forget about the emotional trauma that she has been and continues to go through. 
Has anyone used a particular brand/type of journal or guided meditation book that brought some piece of mind in any way? Or am I way off base in thinking this would be well received?
Thanks </t>
        </is>
      </c>
      <c r="D123" t="n">
        <v>1</v>
      </c>
      <c r="E123" t="n">
        <v>0</v>
      </c>
      <c r="F123">
        <f>HYPERLINK("https://www.reddit.com/r/cancer/comments/adx5vm/guided_journal_recommendations/")</f>
        <v/>
      </c>
      <c r="G123" t="inlineStr">
        <is>
          <t>2019-01-08 10:17:29</t>
        </is>
      </c>
      <c r="H123" t="inlineStr"/>
    </row>
    <row r="124">
      <c r="A124" t="inlineStr">
        <is>
          <t>adxidp</t>
        </is>
      </c>
      <c r="B124" t="inlineStr">
        <is>
          <t>I lost my angel today...</t>
        </is>
      </c>
      <c r="C124" t="inlineStr">
        <is>
          <t>At 8:43am EST this morning, my mother was called to heaven to be with her savior. She had stage IV pancreatic cancer. She suffered hard and fought valiantly from August 2017 until her final breath this morning. I don't know what else to say besides FUCK CANCER.</t>
        </is>
      </c>
      <c r="D124" t="n">
        <v>1</v>
      </c>
      <c r="E124" t="n">
        <v>50</v>
      </c>
      <c r="F124">
        <f>HYPERLINK("https://www.reddit.com/r/cancer/comments/adxidp/i_lost_my_angel_today/")</f>
        <v/>
      </c>
      <c r="G124" t="inlineStr">
        <is>
          <t>2019-01-08 10:47:36</t>
        </is>
      </c>
      <c r="H124" t="inlineStr"/>
    </row>
    <row r="125">
      <c r="A125" t="inlineStr">
        <is>
          <t>adxntj</t>
        </is>
      </c>
      <c r="B125" t="inlineStr">
        <is>
          <t>I feel fine?</t>
        </is>
      </c>
      <c r="C125" t="inlineStr">
        <is>
          <t xml:space="preserve">So I found out today my grandad has terminal lung cancer. He hasn’t been told how long he has as there are still more tests being done. 
I just don’t have any emotion towards this. Obviously it really fucking sucks but I’m not upset. I’m not worried. I don’t feel any different than I did before I found out. Is this normal? </t>
        </is>
      </c>
      <c r="D125" t="n">
        <v>1</v>
      </c>
      <c r="E125" t="n">
        <v>0</v>
      </c>
      <c r="F125">
        <f>HYPERLINK("https://www.reddit.com/r/cancer/comments/adxntj/i_feel_fine/")</f>
        <v/>
      </c>
      <c r="G125" t="inlineStr">
        <is>
          <t>2019-01-08 11:02:33</t>
        </is>
      </c>
      <c r="H125" t="inlineStr"/>
    </row>
    <row r="126">
      <c r="A126" t="inlineStr">
        <is>
          <t>adypmn</t>
        </is>
      </c>
      <c r="B126" t="inlineStr">
        <is>
          <t>My father was diagnosed with colon cancer</t>
        </is>
      </c>
      <c r="C126" t="inlineStr">
        <is>
          <t>He was diagnosed about two weeks ago. It was early stage fortunately. I’m currently in the US and could not travel back to him due to visa issues.
What are some information I could gather? What could I do for him from half way around the world? I’m concerned and feel lost.
Thank you.</t>
        </is>
      </c>
      <c r="D126" t="n">
        <v>1</v>
      </c>
      <c r="E126" t="n">
        <v>4</v>
      </c>
      <c r="F126">
        <f>HYPERLINK("https://www.reddit.com/r/cancer/comments/adypmn/my_father_was_diagnosed_with_colon_cancer/")</f>
        <v/>
      </c>
      <c r="G126" t="inlineStr">
        <is>
          <t>2019-01-08 12:43:43</t>
        </is>
      </c>
      <c r="H126" t="inlineStr"/>
    </row>
    <row r="127">
      <c r="A127" t="inlineStr">
        <is>
          <t>adyrqs</t>
        </is>
      </c>
      <c r="B127" t="inlineStr">
        <is>
          <t>Ten year anniversary, also I hate cancer</t>
        </is>
      </c>
      <c r="C127" t="inlineStr">
        <is>
          <t xml:space="preserve">I’ll keep this short. I’ve been married for ten years today to the greatest love of my life, my best friend, my favourite person. He has non-Hodgkin lymphoma, and it’s ruining our anniversary, and quite frankly our lives. I’m grateful his team sent him home for our anniversary, but he’s bedridden, fatigued, and barely able to eat. I guess I’ll be toasting to us alone. 
I hate cancer. </t>
        </is>
      </c>
      <c r="D127" t="n">
        <v>1</v>
      </c>
      <c r="E127" t="n">
        <v>8</v>
      </c>
      <c r="F127">
        <f>HYPERLINK("https://www.reddit.com/r/cancer/comments/adyrqs/ten_year_anniversary_also_i_hate_cancer/")</f>
        <v/>
      </c>
      <c r="G127" t="inlineStr">
        <is>
          <t>2019-01-08 12:49:15</t>
        </is>
      </c>
      <c r="H127" t="inlineStr"/>
    </row>
    <row r="128">
      <c r="A128" t="inlineStr">
        <is>
          <t>ae0fzb</t>
        </is>
      </c>
      <c r="B128" t="inlineStr">
        <is>
          <t>My best friend passed away on NYD.</t>
        </is>
      </c>
      <c r="C128" t="inlineStr">
        <is>
          <t>I only just learned about it yesterday. It hit me like a damn truck and I'm still in denial. He has to be in the hospital still right? I'll get a text when he gets out because the wifi is shit inside. I'll be patiently waiting and he's going to tell me the cancer stopped growing and he can try to relax again.
He had terminal leptomeningeal carcinomatosis. Was diagnosed almost 2 years ago...
I'm only 15 almost 16 still. How the hell do I deal with losing my best friend who was almost 17 himself?
Sorry if my writing makes no sense. I am frazzled to all hell</t>
        </is>
      </c>
      <c r="D128" t="n">
        <v>1</v>
      </c>
      <c r="E128" t="n">
        <v>6</v>
      </c>
      <c r="F128">
        <f>HYPERLINK("https://www.reddit.com/r/cancer/comments/ae0fzb/my_best_friend_passed_away_on_nyd/")</f>
        <v/>
      </c>
      <c r="G128" t="inlineStr">
        <is>
          <t>2019-01-08 15:33:10</t>
        </is>
      </c>
      <c r="H128" t="inlineStr"/>
    </row>
    <row r="129">
      <c r="A129" t="inlineStr">
        <is>
          <t>ae0wci</t>
        </is>
      </c>
      <c r="B129" t="inlineStr">
        <is>
          <t>I probably saw my great uncle today for the last time today.</t>
        </is>
      </c>
      <c r="C129" t="inlineStr">
        <is>
          <t>A couple of weeks ago my great uncle went to the doctor's because he felt unwell, and we learned a few days later that he had cancer. 
When the cancer came back (he had his cancerous colon removed a few years ago), he deteriorated very quickly. For example, he'd fall and have to call the nurses in his seniors home for help, whereas he had previously been independent for the most part. 
We don't know for sure, but we don't think he has more than a couple of weeks left. He was moved to hospice today, and I visited him today for what could be the last time. He was very tired because of all the pain meds he was given, and he was drifting in and out. We talked a bit and I tried to keep the conversation light. 
It's just starting to sink in that I probably won't see him again. We weren't always close because he lived far away, but after his first bout with cancer we moved him closer to us (in around 2013) and would drive him to all of our family gatherings. His brother - my grandpa - already died a couple of years ago, so this'll leave another void of sorts at gatherings. He's a good man, and I'm really going to miss him when he passes.</t>
        </is>
      </c>
      <c r="D129" t="n">
        <v>1</v>
      </c>
      <c r="E129" t="n">
        <v>1</v>
      </c>
      <c r="F129">
        <f>HYPERLINK("https://www.reddit.com/r/cancer/comments/ae0wci/i_probably_saw_my_great_uncle_today_for_the_last/")</f>
        <v/>
      </c>
      <c r="G129" t="inlineStr">
        <is>
          <t>2019-01-08 16:18:34</t>
        </is>
      </c>
      <c r="H129" t="inlineStr"/>
    </row>
    <row r="130">
      <c r="A130" t="inlineStr">
        <is>
          <t>ae3lui</t>
        </is>
      </c>
      <c r="B130" t="inlineStr">
        <is>
          <t>Just found out that my friend's been battling cancer for the last year.</t>
        </is>
      </c>
      <c r="C130" t="inlineStr">
        <is>
          <t xml:space="preserve">I just found out hes been battling cancer for the last year a few weeks ago from another friend of ours. I havent talked to him in forever, years at least.
Life just gets that far ahead of you sometimes. After high school and college, you start furthering your life and dont have time for everyone that you used to.
From what i gathered, i thought he was making it through just fine.
When I found out he was getting married i was so happy for him. When i found out about his amazing job i was overjoyed.
Sure, i didnt talk to him hardly ever, but i loved knowing that he was doing great.
I was just told about him going to hospice care in his home now a few hours ago.
Its been years since i said anything to him. I should say something, oh he only lives two hours away, maybe i should visit. His wife is coordinating stuff like that right now.
It wouldnt be right of me. I wouldnt necessarily say we were close friends, but when we hung out on the weekends years ago he was always so amazing to the rest of us. Always an inspiration, always someone you had to be around. Always so positive and, there for you. He put others before himself, in his spare time and work.
Id just cry some more if i saw him. Bring him down and make him sad which isnt right. He was always so positive for everyones sake and I don't want to bring him down with my sad emotions. Hes got an amazing support group and it would just be greedy of me to try and visit to get my goodbyes in, id just be trying to make sure i dont feel guilty about not saying anything all these years.....right?
He doesnt deserve this. Fuck cancer. Whyd it have to do this to him
Im such an awful friend for not having found out till now or saying/doing anything about it.
</t>
        </is>
      </c>
      <c r="D130" t="n">
        <v>1</v>
      </c>
      <c r="E130" t="n">
        <v>4</v>
      </c>
      <c r="F130">
        <f>HYPERLINK("https://www.reddit.com/r/cancer/comments/ae3lui/just_found_out_that_my_friends_been_battling/")</f>
        <v/>
      </c>
      <c r="G130" t="inlineStr">
        <is>
          <t>2019-01-08 21:20:10</t>
        </is>
      </c>
      <c r="H130" t="inlineStr"/>
    </row>
    <row r="131">
      <c r="A131" t="inlineStr">
        <is>
          <t>ae3mbd</t>
        </is>
      </c>
      <c r="B131" t="inlineStr">
        <is>
          <t>Life throws a curveball. Sister is......I don't want to finish that sentence.</t>
        </is>
      </c>
      <c r="C131" t="inlineStr">
        <is>
          <t xml:space="preserve">Suddenly when you are faced with mortality of another person everything in your life doesn't matter. you could be unemployed and broke and losing your face and all you can think about is hoping that other person will live. especially when its your sibling, your sister. and even though the two of us have not spoken in years for some reason its weird. i didnt care when i found out. i was angry. i even said 'i dont care'. and walked away from my dad. then i got home about 20 minutes later. i type this
right now where i am rock bottom. not a druggie or anything like that...just unemployed (which isnt my fault) and broke (since i have no job). i love my sister to death. i would take a bullet for her. there are reasons why i stopped talking with her but that is not why i type this. she deserves to live. she is married and has a son. im single and have no children. it makes more sense for her to be the one to live. and both of my parents are alive and no parent should ever bury a child. i type this when i am so
full of emotions and very conflicted on how to act. but, my sister, Kelley, deserves to live. This is a bad day. if you have never had to deal with death it is way more complicated then you think. And I say this never thinking it is complicated. I can only think about how many things it would change. She will leave behind a kid and a father. A mother and dad. Friends. I can already feel the emotional toll it is taking on me and it has not been even a day (this isnt about me). I don't even know why I am typing this
but I just want others know that death really does affect a ton of people. I had a manager die once. I attended the funeral out of respect. It never bothered me. But when it comes to someone you love and care about it does and you start to think about everything. My parents are going to watch their daughter die. That is not fair. I feel so selfish and I hate myself for saying this. </t>
        </is>
      </c>
      <c r="D131" t="n">
        <v>1</v>
      </c>
      <c r="E131" t="n">
        <v>6</v>
      </c>
      <c r="F131">
        <f>HYPERLINK("https://www.reddit.com/r/cancer/comments/ae3mbd/life_throws_a_curveball_sister_isi_dont_want_to/")</f>
        <v/>
      </c>
      <c r="G131" t="inlineStr">
        <is>
          <t>2019-01-08 21:21:52</t>
        </is>
      </c>
      <c r="H131" t="inlineStr"/>
    </row>
    <row r="132">
      <c r="A132" t="inlineStr">
        <is>
          <t>ae5su4</t>
        </is>
      </c>
      <c r="B132" t="inlineStr">
        <is>
          <t>I was officially cleared from cancer after 2 months of treatment but now have anxiety</t>
        </is>
      </c>
      <c r="C132" t="inlineStr">
        <is>
          <t xml:space="preserve">I was diagnosed with cancer (stage 2b cervical) in September and after 5.5 weeks of chemoradiotherapy and 3 weeks of brachytherapy, I was officially cleared for cancer the day after Christmas. The doctor said my MRI scans pre-brachy were already clear and at that point, brachy was just a precautionary measure. My doctors have been very pleased with how I have responded to treatment. 
I should be relieved, right? Everyone’s happy for me and I know I should be happy too but now I am more anxious than I was when I was undergoing treatment. Idk how people can feel happy post-treatment, I feel like I’m not doing enough and that it can come back anytime. I’ve fallen into an almost-depression just remembering how I’d go for radiotherapy everyday and chemo every week. I felt so much better about my disease then and I was just so happy to be going for treatment. 
Is this normal? I have worries about it coming back, worse than before. I haven’t been too good at maintaining a healthy nutritious diet. I am more physically active now though. Just being away from the hospital makes me so worried. 
For those who have successfully battled cancer, what changes did you make to your diet and lifestyle that you believe prevented cancer from coming back? Were there any foods you cut out or cut down? Is it normal to feel this anxious after treatment? </t>
        </is>
      </c>
      <c r="D132" t="n">
        <v>1</v>
      </c>
      <c r="E132" t="n">
        <v>14</v>
      </c>
      <c r="F132">
        <f>HYPERLINK("https://www.reddit.com/r/cancer/comments/ae5su4/i_was_officially_cleared_from_cancer_after_2/")</f>
        <v/>
      </c>
      <c r="G132" t="inlineStr">
        <is>
          <t>2019-01-09 03:02:26</t>
        </is>
      </c>
      <c r="H132" t="inlineStr"/>
    </row>
    <row r="133">
      <c r="A133" t="inlineStr">
        <is>
          <t>ae6n2j</t>
        </is>
      </c>
      <c r="B133" t="inlineStr">
        <is>
          <t>My mom was diagnosed with breast cancer yesterday</t>
        </is>
      </c>
      <c r="C133" t="inlineStr">
        <is>
          <t xml:space="preserve">I've never felt so lost in my entire life. 
My mom and I are best friends and I can't tell you how much I've cried since the second she told me yesterday.
We don't know what stage yet until she goes again Thursday, but they said they could see it in her lymph nodes too and all the doctor would tell her was "it looked bad." So it's probably at best stage 3..
I don't know what to do 
I've been comforting her but she's more worried about me being upset than her own self.
are there any breast cancer survivors on here with good stories 
anything to give me hope 
I just feel so fucking helpless 
</t>
        </is>
      </c>
      <c r="D133" t="n">
        <v>1</v>
      </c>
      <c r="E133" t="n">
        <v>21</v>
      </c>
      <c r="F133">
        <f>HYPERLINK("https://www.reddit.com/r/cancer/comments/ae6n2j/my_mom_was_diagnosed_with_breast_cancer_yesterday/")</f>
        <v/>
      </c>
      <c r="G133" t="inlineStr">
        <is>
          <t>2019-01-09 05:05:28</t>
        </is>
      </c>
      <c r="H133" t="inlineStr"/>
    </row>
    <row r="134">
      <c r="A134" t="inlineStr">
        <is>
          <t>ae779j</t>
        </is>
      </c>
      <c r="B134" t="inlineStr">
        <is>
          <t>Husbands 1 year check up is tomorrow.</t>
        </is>
      </c>
      <c r="C134" t="inlineStr">
        <is>
          <t xml:space="preserve">Yeah, so in May of 2017 he was diagnosed with primary mediastinal nonseminomatous germ cell cancer. There are a few other adjectives they throw in there but that’s the gist, they never actually used only one name for it. It’s rare (200 cases worldwide per year, 20 in the US) and because of that there’s not a lot of research on it.
Anyways, he had 4 rounds of VIP June-August 2017, surgery in September and then 2 more rounds of preventative chemo (EP) in November and December. In January he was officially put into remission, so this appointment is the one year mark. 
I am so nervous. I’m always on edge around his checkups but this one just seems worse, like we have gotten good news for so long we are bound to get bad news sometime. So prayers/thoughts/good vibes would be welcome. </t>
        </is>
      </c>
      <c r="D134" t="n">
        <v>1</v>
      </c>
      <c r="E134" t="n">
        <v>7</v>
      </c>
      <c r="F134">
        <f>HYPERLINK("https://www.reddit.com/r/cancer/comments/ae779j/husbands_1_year_check_up_is_tomorrow/")</f>
        <v/>
      </c>
      <c r="G134" t="inlineStr">
        <is>
          <t>2019-01-09 06:14:01</t>
        </is>
      </c>
      <c r="H134" t="inlineStr"/>
    </row>
    <row r="135">
      <c r="A135" t="inlineStr">
        <is>
          <t>ae7ntx</t>
        </is>
      </c>
      <c r="B135" t="inlineStr">
        <is>
          <t>If you get cancer, do you lose your pubes?</t>
        </is>
      </c>
      <c r="C135" t="inlineStr">
        <is>
          <t>The title says it all</t>
        </is>
      </c>
      <c r="D135" t="n">
        <v>1</v>
      </c>
      <c r="E135" t="n">
        <v>15</v>
      </c>
      <c r="F135">
        <f>HYPERLINK("https://www.reddit.com/r/cancer/comments/ae7ntx/if_you_get_cancer_do_you_lose_your_pubes/")</f>
        <v/>
      </c>
      <c r="G135" t="inlineStr">
        <is>
          <t>2019-01-09 07:06:46</t>
        </is>
      </c>
      <c r="H135" t="inlineStr"/>
    </row>
    <row r="136">
      <c r="A136" t="inlineStr">
        <is>
          <t>ae8eoo</t>
        </is>
      </c>
      <c r="B136" t="inlineStr">
        <is>
          <t>Starting a new trial today</t>
        </is>
      </c>
      <c r="C136" t="inlineStr">
        <is>
          <t xml:space="preserve">Please send all the good vibes you can. I need this one to work. </t>
        </is>
      </c>
      <c r="D136" t="n">
        <v>1</v>
      </c>
      <c r="E136" t="n">
        <v>20</v>
      </c>
      <c r="F136">
        <f>HYPERLINK("https://www.reddit.com/r/cancer/comments/ae8eoo/starting_a_new_trial_today/")</f>
        <v/>
      </c>
      <c r="G136" t="inlineStr">
        <is>
          <t>2019-01-09 08:22:58</t>
        </is>
      </c>
      <c r="H136" t="inlineStr"/>
    </row>
    <row r="137">
      <c r="A137" t="inlineStr">
        <is>
          <t>ae8w84</t>
        </is>
      </c>
      <c r="B137" t="inlineStr">
        <is>
          <t>Is it possible that I have cancer? CA125 and HEP4 levels.</t>
        </is>
      </c>
      <c r="C137" t="inlineStr">
        <is>
          <t xml:space="preserve">Hey everyone, 
I'm kind of freaking out here and I hope this is the right thread to ask in. 
I'm 24, female, with advanced endometriosis. Recently, my doc found a huge endometrioma on my right ovary and my MRI showed it to be about 8x7cm in size. He had tested for CA125 which came back at 235 units and he is now testing for HEP4. I know my CA125 is elevated and now I'm worried he thinks I have cancer because he's testing for HEP4. Have any of you gone through something similar and could give me numbers for comparison? I would appreciate it. </t>
        </is>
      </c>
      <c r="D137" t="n">
        <v>1</v>
      </c>
      <c r="E137" t="n">
        <v>1</v>
      </c>
      <c r="F137">
        <f>HYPERLINK("https://www.reddit.com/r/cancer/comments/ae8w84/is_it_possible_that_i_have_cancer_ca125_and_hep4/")</f>
        <v/>
      </c>
      <c r="G137" t="inlineStr">
        <is>
          <t>2019-01-09 09:10:08</t>
        </is>
      </c>
      <c r="H137" t="inlineStr"/>
    </row>
    <row r="138">
      <c r="A138" t="inlineStr">
        <is>
          <t>ae98kh</t>
        </is>
      </c>
      <c r="B138" t="inlineStr">
        <is>
          <t>HELP ALEKSA</t>
        </is>
      </c>
      <c r="C138" t="inlineStr">
        <is>
          <t xml:space="preserve"> 
He is sick with blood cancer please help! You can help by just sharing this or donating to paypal. Please dont ignore. You never know how bad it is to have someone that you love or a close friend to have a deadly disease. He lives in Bosnia and Herzegovina. Here is the information (In Bosnian. Paypal in down right corner) :
&amp;amp;#x200B;
&amp;amp;#x200B;
https://i.redd.it/m003zrilpf921.jpg</t>
        </is>
      </c>
      <c r="D138" t="n">
        <v>1</v>
      </c>
      <c r="E138" t="n">
        <v>11</v>
      </c>
      <c r="F138">
        <f>HYPERLINK("https://www.reddit.com/r/cancer/comments/ae98kh/help_aleksa/")</f>
        <v/>
      </c>
      <c r="G138" t="inlineStr">
        <is>
          <t>2019-01-09 09:43:10</t>
        </is>
      </c>
      <c r="H138" t="inlineStr"/>
    </row>
    <row r="139">
      <c r="A139" t="inlineStr">
        <is>
          <t>ae9srb</t>
        </is>
      </c>
      <c r="B139" t="inlineStr">
        <is>
          <t>I just heard my grandma has cancer</t>
        </is>
      </c>
      <c r="C139" t="inlineStr">
        <is>
          <t>Last year my grandma went to the hospital, because she stopped eating and drinking less.. They couldn't really find out what it was and eventually she was sent home. After a year she got in the hospital again. This was three weeks ago. Today they had the family conversation in the hospital with my mom and uncles.. My mom just called me and told me my grandma has terminal stomach cancer. She won't make it for a year.. maybe three months and I have no idea what to do now. Also I am mostly sad they found out so late. She might had this for years.
What should I do now?</t>
        </is>
      </c>
      <c r="D139" t="n">
        <v>1</v>
      </c>
      <c r="E139" t="n">
        <v>2</v>
      </c>
      <c r="F139">
        <f>HYPERLINK("https://www.reddit.com/r/cancer/comments/ae9srb/i_just_heard_my_grandma_has_cancer/")</f>
        <v/>
      </c>
      <c r="G139" t="inlineStr">
        <is>
          <t>2019-01-09 10:36:26</t>
        </is>
      </c>
      <c r="H139" t="inlineStr"/>
    </row>
    <row r="140">
      <c r="A140" t="inlineStr">
        <is>
          <t>ae9xcg</t>
        </is>
      </c>
      <c r="B140" t="inlineStr">
        <is>
          <t>I lost my mother</t>
        </is>
      </c>
      <c r="C140" t="inlineStr">
        <is>
          <t>On 3th jan at 12:50pm, i lost my mom(54) to stage 4 Cervical Carcinosarcoma with advanced metastatis. She was too weak to handle chemo and suffered a lot before giving up. She had painful fibroid in her abdomen, couldn't eat properly, had problems with urine discharge and at the end was incubated twice, she couldn't even speak at the end and died without even speaking to anyone close to her. I (her 21yr old son) have never had to face death before but after looking at her condition and i feel very traumatic now. I have a father (65) and now i think it would be in his best interest if i, along with him, went on to live with our sister. I just cant get over the fact that she is no more. I'm neither sad nor enraged, but i feel very weird very weird now. I'm jealous of my friends because they have healthy parents. I constantly think about what i could have done to save her. It's all maling my head hurt. Anyway thanks for reading and may God bless her soul, wherever she is.</t>
        </is>
      </c>
      <c r="D140" t="n">
        <v>1</v>
      </c>
      <c r="E140" t="n">
        <v>7</v>
      </c>
      <c r="F140">
        <f>HYPERLINK("https://www.reddit.com/r/cancer/comments/ae9xcg/i_lost_my_mother/")</f>
        <v/>
      </c>
      <c r="G140" t="inlineStr">
        <is>
          <t>2019-01-09 10:49:06</t>
        </is>
      </c>
      <c r="H140" t="inlineStr"/>
    </row>
    <row r="141">
      <c r="A141" t="inlineStr">
        <is>
          <t>aeb8fi</t>
        </is>
      </c>
      <c r="B141" t="inlineStr">
        <is>
          <t>My College friend is testing for cancer tomorrow</t>
        </is>
      </c>
      <c r="C141" t="inlineStr">
        <is>
          <t>Hello, it's my first time on this sub. For the past month I have not been able to contact my best friend much because of some "health issues". Today she finally told me the real thing. This is how she described it. I could not force much conversation because she's already traumatized and I didn't want to stress her out further. Please help me get an idea of what this situation exactly is:
It all started a month ago with a kidney stone. While passing the stone, apparently the crystalline stone cut the walls of the tract. To prevent the bleeding, some kind of growth appeared to stop it. (It's the body's way of fighting it?) and even after the bleeding stopped, the growth did not stop and it kept growing. This started creating pressure on her ovaries and now she's in extreme pain day and night on slight movements. Her WBCs are low and hemoglobin is only 9. She did some tests. The doctor's said there's only a 3-5% chance cause something like this is very rare to turn into a cancer, but still we have to be sure.
I am freaking out and I don't know who to talk to with about this, cause she's the one I usually go to for stuff, and I can't. 
Doctors, medical students, people good at google in finding legit information, please. Make me understand this situation as better as possible, highly appreciated. I'm freaking out.</t>
        </is>
      </c>
      <c r="D141" t="n">
        <v>1</v>
      </c>
      <c r="E141" t="n">
        <v>0</v>
      </c>
      <c r="F141">
        <f>HYPERLINK("https://www.reddit.com/r/cancer/comments/aeb8fi/my_college_friend_is_testing_for_cancer_tomorrow/")</f>
        <v/>
      </c>
      <c r="G141" t="inlineStr">
        <is>
          <t>2019-01-09 12:54:54</t>
        </is>
      </c>
      <c r="H141" t="inlineStr"/>
    </row>
    <row r="142">
      <c r="A142" t="inlineStr">
        <is>
          <t>aebkre</t>
        </is>
      </c>
      <c r="B142" t="inlineStr">
        <is>
          <t>Dad diagnosed with Hairy Cell Leukemia</t>
        </is>
      </c>
      <c r="C142" t="inlineStr">
        <is>
          <t>TL;DR: Unsure of how to feel emotionally and afraid to tell friends.
I was told a couple days ago and I really don't know how to feel. Admittedly I haven't done a ton of research on it, but I do know it has a 90% 5 year survival rate and that's what is really messing with me. On one end, there's a high chance he'll survive and life will go on pretty much unchanged. On the other, he dies. I haven't had a chance to talk to him since he started chemo a few days ago, but before he said he felt fine. So I feel wrong for being upset because he's fine now and has a high survival rate, but obviously I still get upset with the increased probability of death. This mentality is definitely negative so any guidance would be very helpful.
Also I have held back from telling my friends because I don't want to be pitied. I don't know why I care so much, maybe being pitied isn't such a bad thing, but I've always hated the idea of being treated differently(better) out of pity. But sometimes it gets hard to hold it in, avoiding the conversation completely. Like earlier today someone made a comment like "so you didn't get a chance to see your family much over break" and I was just thinking about how it was especially bad because of this. But I held it in and I got kinda awkward and responded something like "yea...uh...yea...mhm..." wanting to say it but again afraid to be felt sorry for. 
Not sure what I'm really asking for in this post, but again any guidance or personal relating story is appreciated.</t>
        </is>
      </c>
      <c r="D142" t="n">
        <v>1</v>
      </c>
      <c r="E142" t="n">
        <v>4</v>
      </c>
      <c r="F142">
        <f>HYPERLINK("https://www.reddit.com/r/cancer/comments/aebkre/dad_diagnosed_with_hairy_cell_leukemia/")</f>
        <v/>
      </c>
      <c r="G142" t="inlineStr">
        <is>
          <t>2019-01-09 13:27:19</t>
        </is>
      </c>
      <c r="H142" t="inlineStr"/>
    </row>
    <row r="143">
      <c r="A143" t="inlineStr">
        <is>
          <t>aec4gh</t>
        </is>
      </c>
      <c r="B143" t="inlineStr">
        <is>
          <t>Getting Tested for Myeloma</t>
        </is>
      </c>
      <c r="C143" t="inlineStr">
        <is>
          <t xml:space="preserve">I'm a 31/m with a ton of autoimmune issues and a 7 month pregnant wife. my IgG came back spiked. I have a full body scan tomorrow due to hairline fractures in my left elbow, I don't feel them because of damage to my cubital nerve. Which I have broken twice. My doctor is being preemptive and has me referred  me to a hematology oncologist to go over the results and to do some more testing. I feel like my doctor is jumping the gun and is assuming I have something that I might not. Does anyone have experience with Myeloma or what I'm about to go through?  I don't want my wife to worry or stress for the baby's health. </t>
        </is>
      </c>
      <c r="D143" t="n">
        <v>1</v>
      </c>
      <c r="E143" t="n">
        <v>10</v>
      </c>
      <c r="F143">
        <f>HYPERLINK("https://www.reddit.com/r/cancer/comments/aec4gh/getting_tested_for_myeloma/")</f>
        <v/>
      </c>
      <c r="G143" t="inlineStr">
        <is>
          <t>2019-01-09 14:19:30</t>
        </is>
      </c>
      <c r="H143" t="inlineStr"/>
    </row>
    <row r="144">
      <c r="A144" t="inlineStr">
        <is>
          <t>aec66k</t>
        </is>
      </c>
      <c r="B144" t="inlineStr">
        <is>
          <t>Should I be worried</t>
        </is>
      </c>
      <c r="C144" t="inlineStr">
        <is>
          <t>Yesterday while at the beach I forgot to put on sunscreen and I was out bare in the sun for about 3 hours. I live in NZ so the sun is very strong and there were no clouds in the sky. I am 14 and have fairly white skin as I'm from China. This caused my back, and only my back, to get a sunburn, and although it is not blistering, my entire back became red, but not too much. 
I have barely been sunburnt before and this is my first major sunburn, with every other one being slight red marks around my neck and face.
After reading some online articles I got really paranoid that I will develop skin cancer. Is this a problem or not and should I be worried.</t>
        </is>
      </c>
      <c r="D144" t="n">
        <v>1</v>
      </c>
      <c r="E144" t="n">
        <v>6</v>
      </c>
      <c r="F144">
        <f>HYPERLINK("https://www.reddit.com/r/cancer/comments/aec66k/should_i_be_worried/")</f>
        <v/>
      </c>
      <c r="G144" t="inlineStr">
        <is>
          <t>2019-01-09 14:24:20</t>
        </is>
      </c>
      <c r="H144" t="inlineStr"/>
    </row>
    <row r="145">
      <c r="A145" t="inlineStr">
        <is>
          <t>aechbv</t>
        </is>
      </c>
      <c r="B145" t="inlineStr">
        <is>
          <t>Dating while going through chemo?</t>
        </is>
      </c>
      <c r="C145" t="inlineStr">
        <is>
          <t>I guess I'm wondering what kind of experiences others have had in dating while on chemo, and how it went for them.</t>
        </is>
      </c>
      <c r="D145" t="n">
        <v>1</v>
      </c>
      <c r="E145" t="n">
        <v>5</v>
      </c>
      <c r="F145">
        <f>HYPERLINK("https://www.reddit.com/r/cancer/comments/aechbv/dating_while_going_through_chemo/")</f>
        <v/>
      </c>
      <c r="G145" t="inlineStr">
        <is>
          <t>2019-01-09 14:55:19</t>
        </is>
      </c>
      <c r="H145" t="inlineStr"/>
    </row>
    <row r="146">
      <c r="A146" t="inlineStr">
        <is>
          <t>aecl79</t>
        </is>
      </c>
      <c r="B146" t="inlineStr">
        <is>
          <t>How am I supposed to carry my family through this?</t>
        </is>
      </c>
      <c r="C146" t="inlineStr">
        <is>
          <t xml:space="preserve">My husband’s best friend, our best man, uncle to my kids, father to two boys, is dying. He’s 34. And he’s on death’s door, waiting for it to open. 
He was diagnosed with stage 4 liver cancer in April of last year, right after our second kid was born. A 15 centimeter tumor in his liver. He had no symptoms, thought he hurt his shoulder. He was given months to a year without treatment. They did everything. Internal chemotherapy beads. Radiation. Multiple IV and oral chemo. Nothing has worked. The tumor has grown. Last week we got the news that it had spread to his lung. A new chemo, and fingers crossed. 
Yesterday he was suddenly doing worse. His liver has shut down and his kidneys are following suit. He suddenly has days, maybe two weeks to live. We found out today. My husband went over to get the news in person and I texted his wife because I couldn’t wait, I knew it was bad, I needed to know. And then I cried. And I’ve been crying since. It’s been four hours of almost nonstop crying. My 3 year old told me not to worry because uncle jon would be better soon. And that he was so so sorry that I was sad because he’s sick. So I cried harder. 
We went over, he’s asking to see everyone. I cried more. And then I got nauseated, and suddenly wanted to go home. I left the kids with my husband and left. I’m sitting in the bathroom with the shower running unable to move. To think of anything else. 
This man is more of a family than my husband has ever had. He’s his BEST friend. The one he calls for everything. The one that’s always been here for him and was supposed to be here for him for a long, long time. He is numb. He started to hyperventilate when he got the news but now he’s just numb. Staring into space. I don’t know how I’m supposed to help him when I can’t even get up off the floor. Someone has to be the rock and it can’t be my husband. He’s known our friend for over 20 years. I’ve known him for 11, but it’s not the same. 
I feel like I’m drowning. How are we supposed to get through this? Why does this have to happen? I don’t know what to do. </t>
        </is>
      </c>
      <c r="D146" t="n">
        <v>1</v>
      </c>
      <c r="E146" t="n">
        <v>2</v>
      </c>
      <c r="F146">
        <f>HYPERLINK("https://www.reddit.com/r/cancer/comments/aecl79/how_am_i_supposed_to_carry_my_family_through_this/")</f>
        <v/>
      </c>
      <c r="G146" t="inlineStr">
        <is>
          <t>2019-01-09 15:05:58</t>
        </is>
      </c>
      <c r="H146" t="inlineStr"/>
    </row>
    <row r="147">
      <c r="A147" t="inlineStr">
        <is>
          <t>aecorm</t>
        </is>
      </c>
      <c r="B147" t="inlineStr">
        <is>
          <t>My gram passed away</t>
        </is>
      </c>
      <c r="C147" t="inlineStr">
        <is>
          <t>Tues night she passed. She had strokes breast cancer and alzheimer's. She reverted back to being in her 30s thinking her husband was alive. Everyone was happy she survived cancer 4 times but the last time it came back they left it go to do its thing. I'm happy she passed away cause she is no longer in pain but I do miss her even if the woman she became after everything wasn't the woman I remember. I'll keep my good memories of the strong willed woman she was but I get looked at like im the bad person cause I'm happy she isn't in pain.</t>
        </is>
      </c>
      <c r="D147" t="n">
        <v>1</v>
      </c>
      <c r="E147" t="n">
        <v>3</v>
      </c>
      <c r="F147">
        <f>HYPERLINK("https://www.reddit.com/r/cancer/comments/aecorm/my_gram_passed_away/")</f>
        <v/>
      </c>
      <c r="G147" t="inlineStr">
        <is>
          <t>2019-01-09 15:15:52</t>
        </is>
      </c>
      <c r="H147" t="inlineStr"/>
    </row>
    <row r="148">
      <c r="A148" t="inlineStr">
        <is>
          <t>aecxeo</t>
        </is>
      </c>
      <c r="B148" t="inlineStr">
        <is>
          <t>Do you have recently diagnosed cancer, and do you smoke? This is a resource for quitting smoking, check it out if you like.</t>
        </is>
      </c>
      <c r="C148" t="inlineStr">
        <is>
          <t xml:space="preserve"> Have you recently been diagnosed with cancer, and smoke cigarettes? There is a quit-smoking resource I want to share with you from my research team at Fred Hutchinson Cancer Research Center. It's a pilot research trial testing a quit smoking app designed with the concerns of cancer patients and smoking. We know quitting smoking is so difficult. Quitting smoking can improve cancer outcomes, helping you heal faster and helping the treatment to work better. Anyway, check it out if you are interested. Let me know if you are interested and please feel free to forward to people who may benefit from this.
[www.quit2heal.org](http://www.quit2heal.org/)</t>
        </is>
      </c>
      <c r="D148" t="n">
        <v>1</v>
      </c>
      <c r="E148" t="n">
        <v>0</v>
      </c>
      <c r="F148">
        <f>HYPERLINK("https://www.reddit.com/r/cancer/comments/aecxeo/do_you_have_recently_diagnosed_cancer_and_do_you/")</f>
        <v/>
      </c>
      <c r="G148" t="inlineStr">
        <is>
          <t>2019-01-09 15:40:55</t>
        </is>
      </c>
      <c r="H148" t="inlineStr"/>
    </row>
    <row r="149">
      <c r="A149" t="inlineStr">
        <is>
          <t>aedbrq</t>
        </is>
      </c>
      <c r="B149" t="inlineStr">
        <is>
          <t>I have Lynch syndrome (HNPCC) and terminal cancer. I'm 35.</t>
        </is>
      </c>
      <c r="C149" t="inlineStr">
        <is>
          <t>Don't really know why I'm posting this, I suppose it's cathartic to talk about it!
Just over 2 years ago I was diagnosed with bowel cancer, had a subtotal colectomy and now live with an ileostomy. I originally had my small intestine rejoined to my remaining bowel so I didn't have to have the ileostomy but the rejoin failed which led to me getting sepsis and nearly dying a couple of times. Found out a year ago that the cancer had spread to my peritoneum and that it was incurable. I've been having chemo for a year and start my 4th cycle tomorrow. The chemo is doing a fairly good job of controlling the cancer right now so I can't complain too much.
Having lynch syndrome gives me an 80% chance of getting certain cancers, just a shame I was the first in my family to be tested for it! My mother and aunty have recently tested positive for lynch syndrome too.
Anyways, life can be shit but I'll try and make the most of whatever time I have left. Hope this wasn't too long and depressing!</t>
        </is>
      </c>
      <c r="D149" t="n">
        <v>1</v>
      </c>
      <c r="E149" t="n">
        <v>27</v>
      </c>
      <c r="F149">
        <f>HYPERLINK("https://www.reddit.com/r/cancer/comments/aedbrq/i_have_lynch_syndrome_hnpcc_and_terminal_cancer/")</f>
        <v/>
      </c>
      <c r="G149" t="inlineStr">
        <is>
          <t>2019-01-09 16:23:34</t>
        </is>
      </c>
      <c r="H149" t="inlineStr"/>
    </row>
    <row r="150">
      <c r="A150" t="inlineStr">
        <is>
          <t>aediww</t>
        </is>
      </c>
      <c r="B150" t="inlineStr">
        <is>
          <t>How are we all feeling about hair?</t>
        </is>
      </c>
      <c r="C150" t="inlineStr">
        <is>
          <t xml:space="preserve">Nurses said she might not loose her hair but my wife found waiting worrisome. We were seeing some hair loss. Not patches but definitely quite a few falling out when she runs her hands through her hair. Our stylist will shave her head for free. She does this for any cancer patient. But our earliest appointment opportunity is weeks from now. You know, the usual, timed between chemo rounds and everybody’s vacation. 
So today she decided to just shave it off with our Norelco shaver. 
She looks fantastic and feels great about it. 
So how was this for you all? Did you wait? How did it feel to have hair loss? Wigs, hats or just let it hang out? Survivors, did your hair come back? How about others reactions? </t>
        </is>
      </c>
      <c r="D150" t="n">
        <v>1</v>
      </c>
      <c r="E150" t="n">
        <v>34</v>
      </c>
      <c r="F150">
        <f>HYPERLINK("https://www.reddit.com/r/cancer/comments/aediww/how_are_we_all_feeling_about_hair/")</f>
        <v/>
      </c>
      <c r="G150" t="inlineStr">
        <is>
          <t>2019-01-09 16:45:32</t>
        </is>
      </c>
      <c r="H150" t="inlineStr"/>
    </row>
    <row r="151">
      <c r="A151" t="inlineStr">
        <is>
          <t>aedn6t</t>
        </is>
      </c>
      <c r="B151" t="inlineStr">
        <is>
          <t>My Mom's tastebuds are shot after bone marrow transplant for Acute Myeloid Leukemia. She eats and drinks almost nothing all day anything and it scares me.</t>
        </is>
      </c>
      <c r="C151" t="inlineStr">
        <is>
          <t xml:space="preserve">My mother is roughly 130 days out of recieving a bone marrow transplant for AML. She is doing excellent! As expected, she is very low energy and dealing with post cancer related depression. However, the main problem right now is her sense of taste. EVERYTHING tastes terrible to her. Water, salty snacks, sweets, dairy, etc. She will take 3-4 bites of whatever is on her plate and then trash the rest. I practically have to stand over her and watch her eat and drink or else she just won't do it.
She claims it is not an appetite issue, but a taste problem. I feel this is a major problem because she has been having regular diarrhea. Doctors have not diagnosed why, but I believe it may have to do with her diet (or lack thereof).
Have any of your loved ones or you experienced this coming out of a bone marrow transplant? </t>
        </is>
      </c>
      <c r="D151" t="n">
        <v>1</v>
      </c>
      <c r="E151" t="n">
        <v>17</v>
      </c>
      <c r="F151">
        <f>HYPERLINK("https://www.reddit.com/r/cancer/comments/aedn6t/my_moms_tastebuds_are_shot_after_bone_marrow/")</f>
        <v/>
      </c>
      <c r="G151" t="inlineStr">
        <is>
          <t>2019-01-09 16:59:00</t>
        </is>
      </c>
      <c r="H151" t="inlineStr"/>
    </row>
    <row r="152">
      <c r="A152" t="inlineStr">
        <is>
          <t>aeevk7</t>
        </is>
      </c>
      <c r="B152" t="inlineStr">
        <is>
          <t>What to expect after lobectomy or pneumonectomy?</t>
        </is>
      </c>
      <c r="C152" t="inlineStr">
        <is>
          <t xml:space="preserve">I have neuroendcrine carcinoid of the lung with metaplastic bone formation, main tumor is 4cm, and it has spread to local lymph nodes at least. My PET scan was negative, but all biopsies were positive.
I'm due to be scheduled for either a lobectomy or pneumonectomy, not sure yet, but I was wondering if anyone could share what the experience and recovery has been? Is pain a problem? Custody curious about others' opinion on the procedure, as the thought of being on a ventilator for 3 or 4 days is scaring the shot out me.
Thanks! </t>
        </is>
      </c>
      <c r="D152" t="n">
        <v>1</v>
      </c>
      <c r="E152" t="n">
        <v>21</v>
      </c>
      <c r="F152">
        <f>HYPERLINK("https://www.reddit.com/r/cancer/comments/aeevk7/what_to_expect_after_lobectomy_or_pneumonectomy/")</f>
        <v/>
      </c>
      <c r="G152" t="inlineStr">
        <is>
          <t>2019-01-09 19:17:24</t>
        </is>
      </c>
      <c r="H152" t="inlineStr"/>
    </row>
    <row r="153">
      <c r="A153" t="inlineStr">
        <is>
          <t>aef0gk</t>
        </is>
      </c>
      <c r="B153" t="inlineStr">
        <is>
          <t>I just have a question</t>
        </is>
      </c>
      <c r="C153" t="inlineStr">
        <is>
          <t xml:space="preserve">I've dipped for about a year and like 2 weeks after I started I felt a lump in my throat that would always be there but would vary in intensity, does any one know what this could be Ive dipped from August 6 2017 and I quit 2 days ago and I've felt a  bit better but the lump is still there and it also gets worse when I worry and think about it </t>
        </is>
      </c>
      <c r="D153" t="n">
        <v>1</v>
      </c>
      <c r="E153" t="n">
        <v>2</v>
      </c>
      <c r="F153">
        <f>HYPERLINK("https://www.reddit.com/r/cancer/comments/aef0gk/i_just_have_a_question/")</f>
        <v/>
      </c>
      <c r="G153" t="inlineStr">
        <is>
          <t>2019-01-09 19:34:20</t>
        </is>
      </c>
      <c r="H153" t="inlineStr"/>
    </row>
    <row r="154">
      <c r="A154" t="inlineStr">
        <is>
          <t>aef4mw</t>
        </is>
      </c>
      <c r="B154" t="inlineStr">
        <is>
          <t>Unwanted and unhelpful “support” / advice</t>
        </is>
      </c>
      <c r="C154" t="inlineStr">
        <is>
          <t xml:space="preserve">Uhhg. I was diagnosed with carcinoid cancer about a week ago. I’ve only talked to my doctor on the phone about the pathology results and I’m going in later this week to talk in person more about specifics. It’s all super new and I don’t even know that much yet. I still have to get more scans and a second surgery to see how far it has spread and what I’m really dealing with.
I’ve told a couple of people, including my family, mostly just to coordinate care for my kid when I’m in the hospital. And almost immediately the advice started pouring in.
I had to set a boundary with my parents today to knock it off with the email forwards they have been sending me. They are vegans and devotees of a certain doctor who believes a vegan diet is the cure for everything. So they have been sending me articles about the link between certain foods (animal products) and cancer. 
None of it is specifically about carcinoid.  I’m not knocking a plant based diet, lots of people thrive on them, but this shit is really not helpful right now.
I have a 16 month old daughter. I already feel guilty about her having a sick parent and I am afraid this is going to keep me from seeing her grow up. Hearing about how to prevent cancer makes me feel even more guilty. That ship has sailed, my friends.
Plus, it’s not like I haven’t been reading a ton myself trying to figure out how to best fight this and keep it from growing &amp;amp; spreading. I’m increasing my protein intake to help with surgery recovery. I’m taking this seriously and figuring it all out as much as I can, and most importantly I’m listening to my doctors.
I guess I just needed to vent to people who might understand. 
I could drive myself insane going down a rabbit hole of how this happened and if I could have prevented it. I used to smoke in my 20’s, I’ve been overweight a lot of my adult life, I eat bacon a few times a year. I have microwaved plastic and eaten out of it, I drink tap water, etc... I’m not going to do that to myself.
My parents accepted the boundary and apologized. I know they are just trying to help and are scared too. I can’t imagine having a sick kid, even if my kid was an adult. But damn, it’s just not helpful.
</t>
        </is>
      </c>
      <c r="D154" t="n">
        <v>1</v>
      </c>
      <c r="E154" t="n">
        <v>24</v>
      </c>
      <c r="F154">
        <f>HYPERLINK("https://www.reddit.com/r/cancer/comments/aef4mw/unwanted_and_unhelpful_support_advice/")</f>
        <v/>
      </c>
      <c r="G154" t="inlineStr">
        <is>
          <t>2019-01-09 19:48:32</t>
        </is>
      </c>
      <c r="H154" t="inlineStr"/>
    </row>
    <row r="155">
      <c r="A155" t="inlineStr">
        <is>
          <t>aeghwi</t>
        </is>
      </c>
      <c r="B155" t="inlineStr">
        <is>
          <t>Tafinalr (dabrafenib) + Mekinist (trametinib) for Melanoma</t>
        </is>
      </c>
      <c r="C155" t="inlineStr">
        <is>
          <t xml:space="preserve">(19F here) 
In October of last year I was diagnosed with melanoma. The lesion was right on the top of my scalp, and it was removed from that location. However, after my initial surgery I was told that five of the eight lymph nodes that were removed from the sides of my face/neck during my sentinel node biopsy were positive with melanoma, confirming my melanoma was/is at Stage IIIC. I went in a week later for multiple scans, and fortunately my medical team did not find any signs of metasis. I was then told that I was positive for the BRAF V600E mutation, meaning I had the choice between taking a combination of pills, or immunotherapy. My oncologist recommended the pills, and it sounded like a good fit for me. I will be starting the treatment within the next couple of weeks, and it will continue until the beginning of 2020.  I have an entire list of possible side effects, but I'm curious as to the experiences others have had while under going this  treatment. </t>
        </is>
      </c>
      <c r="D155" t="n">
        <v>1</v>
      </c>
      <c r="E155" t="n">
        <v>4</v>
      </c>
      <c r="F155">
        <f>HYPERLINK("https://www.reddit.com/r/cancer/comments/aeghwi/tafinalr_dabrafenib_mekinist_trametinib_for/")</f>
        <v/>
      </c>
      <c r="G155" t="inlineStr">
        <is>
          <t>2019-01-09 22:46:21</t>
        </is>
      </c>
      <c r="H155" t="inlineStr"/>
    </row>
    <row r="156">
      <c r="A156" t="inlineStr">
        <is>
          <t>aeh6g4</t>
        </is>
      </c>
      <c r="B156" t="inlineStr">
        <is>
          <t>Advice for loved one that has leukemia</t>
        </is>
      </c>
      <c r="C156" t="inlineStr">
        <is>
          <t xml:space="preserve">My future sister in law is diagnosed with leukemia it is really hard to process and accept the news. I just want advice and how the treatment process is like. Thank you </t>
        </is>
      </c>
      <c r="D156" t="n">
        <v>1</v>
      </c>
      <c r="E156" t="n">
        <v>0</v>
      </c>
      <c r="F156">
        <f>HYPERLINK("https://www.reddit.com/r/cancer/comments/aeh6g4/advice_for_loved_one_that_has_leukemia/")</f>
        <v/>
      </c>
      <c r="G156" t="inlineStr">
        <is>
          <t>2019-01-10 00:34:39</t>
        </is>
      </c>
      <c r="H156" t="inlineStr"/>
    </row>
    <row r="157">
      <c r="A157" t="inlineStr">
        <is>
          <t>aehvpr</t>
        </is>
      </c>
      <c r="B157" t="inlineStr">
        <is>
          <t>Experience with medical marijuana?</t>
        </is>
      </c>
      <c r="C157" t="inlineStr">
        <is>
          <t xml:space="preserve">I recently was given my medical marijuana card, and wanted to know if anybody has experience with this method primarily for pain relief. 
I am in remission for about a year now. Due to side effects from three different types if chemo, and immunotherapy (which finally put me in remission), I have been suffering from neuropathy in both of my legs. 
I successfully weened off of all narcotic pain medications, which by the way was absolute hell to do, and to alleviate the nearly crippling pain from the nerve damage, was suggested to try this pain relief method. 
I have very little experience with marijuana, so as the title implies, wanted to hear from others what they have personally experienced. Thanks in advance, and apologies for the lazy writing/grammar, I just woke up and still half asleep :| </t>
        </is>
      </c>
      <c r="D157" t="n">
        <v>1</v>
      </c>
      <c r="E157" t="n">
        <v>17</v>
      </c>
      <c r="F157">
        <f>HYPERLINK("https://www.reddit.com/r/cancer/comments/aehvpr/experience_with_medical_marijuana/")</f>
        <v/>
      </c>
      <c r="G157" t="inlineStr">
        <is>
          <t>2019-01-10 02:35:50</t>
        </is>
      </c>
      <c r="H157" t="inlineStr"/>
    </row>
    <row r="158">
      <c r="A158" t="inlineStr">
        <is>
          <t>aek9qo</t>
        </is>
      </c>
      <c r="B158" t="inlineStr">
        <is>
          <t>My Beautiful Mother Lost Her Battle But Never Gave Up Hope</t>
        </is>
      </c>
      <c r="C158" t="inlineStr">
        <is>
          <t>I’d like to briefly tell you about my hero and mom who lost her battle last week to pancreatic cancer after three years at 56.  
She faced hardships all her life from the time she left Korea without speaking any English as young girl to her dad passing at age 8 to Melanoma and her stepdad dying 7 years ago.  She suffered all this hardships but still had Hope that she’d continue on and that God loved and had a plan for her.
While I’m proud of her for this, I’m more proud of what she did while fighting terminal cancer in the Mayo Clinic.  She saw a bus full sick children.  It is easy to pass them off as being in the same boat and going on but it affected my mother SO much that in her last three years she gave numerous donations to saint Jude children’s hospital because she thought “everyone deserves a chance at living” 
She never bragged or had a sense of superiority, she did it for the sake of her fellow man and a hope and love for life.  I can never be as great as my mom and it’s important that everyone hears of my mom because she would never brag herself.
The world lost a precious person last week, BUT DONT GIVE UP HOPE.  HOPE  CAN SAVE YOURS OR SO MANY OTHERS OTHERS LIFE.
And that’s what my mom would say to you all today, thank you for your time if you read this.  She would be happy I think</t>
        </is>
      </c>
      <c r="D158" t="n">
        <v>1</v>
      </c>
      <c r="E158" t="n">
        <v>22</v>
      </c>
      <c r="F158">
        <f>HYPERLINK("https://www.reddit.com/r/cancer/comments/aek9qo/my_beautiful_mother_lost_her_battle_but_never/")</f>
        <v/>
      </c>
      <c r="G158" t="inlineStr">
        <is>
          <t>2019-01-10 07:56:02</t>
        </is>
      </c>
      <c r="H158" t="inlineStr"/>
    </row>
    <row r="159">
      <c r="A159" t="inlineStr">
        <is>
          <t>aekdca</t>
        </is>
      </c>
      <c r="B159" t="inlineStr">
        <is>
          <t>I survived APL. I'm cancer free!</t>
        </is>
      </c>
      <c r="C159" t="inlineStr">
        <is>
          <t>Monthly chemotherapy along with other medications had been my life for the past six months. A combination of three chemo drugs (Ara-C, Vesanoid, and the infamous Doxorubicin which is also known as 'The Red Devil') on high-dosage made my body frail and sluggish. It felt like I was dying after infusions, and endured it like hell. Arsenic Trioxide wasn't an option since it isn't available yet here in our country and only reserved if I relapsed, which I hope it won't happen at all. Looking back to those days of treatment still makes me nauseated and frightened, like I'm traumatized to their nasty side-effects: a headache, vomiting, hair loss, exhaustion, and so on, not to mention being vulnerable to infections that I almost spent weeks every after cycle being infused with antibiotics whenever I caught one. It was heart-breaking; I almost pity myself. I even came to the point of giving up because I don't want to suffer anymore, that I only wanted peace and stillness, without doctors or nurses constantly poking me with needles. Having cancer seems like you're in a death sentence, but dying has been a constant feeling throughout the treatment even if it keeps you alive.
Nevertheless, I didn't give up. There are millions of ways we should've died before today and a million ways we can die before tomorrow, but I'm not looking forward to dying of cancer. I choose to fight for every second I get to live, for every chance in every option that's available to abolish it. Whether if we only have five years or months to live, we don't give that up. I don't give that up. Within those years or months, maybe things will get different. Maybe things will get all right, and medication for cancer will get better. I choose to see our situation with a silver lining, and to be grateful -- that life could be still beautiful despite the circumstances.
After six months of non-stop treatments, I have undergone into what may be my last bone marrow biopsy. Waiting for the result was quite unsettling, even unbearable. I struggled to keep my composure every day. Anxiety has been my constant friend. Christmas and New Year has passed and even had a celebration that I made it to 2019, but still wondering if I'm still okay or not.
Today, the much-awaited results are finally in after one and a half months of waiting. I went to my doctor being nervous and alone, full of uncertainties in my mind, full of what-ifs and negativity. He gave me the results after he read it, and reads, "No PML/RARA fusion gene detected." First thing, I cried. Second, I almost had a breakdown in front of my doctor. Lastly, I still couldn't believe that I'm now cancer-free, in complete remission!
Even though I have to take oral chemo (a combination of Vesanoid, 6-MP, and Methotrexate) since I'm a high-risk for two years as per my doctor's, I'm still thankful that I have another chance to live a normal life, to realize everything I wanted to do, and not to take for granted life again. I’ve realized how short and important life is, and there’s hope regardless of how bad the situation you are in right now.
I also wanted to share my this to everyone who is still on their fights especially with other APL patients who are on their induction and consolidation phase. Our type of leukemia is rare, hence the few stories posted here on Reddit. So here's one. 
I wanted you to know that there's still light at the end of the tunnel; that there's a way with every struggle, and a hope to live and shine again. If others make it, you can make it too. So hold on. I believe in you.</t>
        </is>
      </c>
      <c r="D159" t="n">
        <v>1</v>
      </c>
      <c r="E159" t="n">
        <v>9</v>
      </c>
      <c r="F159">
        <f>HYPERLINK("https://www.reddit.com/r/cancer/comments/aekdca/i_survived_apl_im_cancer_free/")</f>
        <v/>
      </c>
      <c r="G159" t="inlineStr">
        <is>
          <t>2019-01-10 08:05:29</t>
        </is>
      </c>
      <c r="H159" t="inlineStr"/>
    </row>
    <row r="160">
      <c r="A160" t="inlineStr">
        <is>
          <t>aekmml</t>
        </is>
      </c>
      <c r="B160" t="inlineStr">
        <is>
          <t>Mom wants to refuse treament</t>
        </is>
      </c>
      <c r="C160" t="inlineStr">
        <is>
          <t xml:space="preserve">I don't know if I'm posting this for advice or just to vent out my troubles to people who might relate.
My mom has Stage 4 metastatic malignant melanoma. It started in the rectum and now has mets to the liver, adrenal gland, pancreas, and gallbladder, with the liver being especially bad.
We've done 10 treatments of immunotherapy, 6 Opdivo and 4 Yervoy, and 10 treatments of radiation on the rectum. And this is only in the last 8 months. Everything is still spreading
Her oncologist wants to start her on Abraxane, a chemotherapy drug. I am worried because she's been hospitalized twice; once for liver failure and once for pancreatitis over this last Christmas. I'm afraid the chemo will kill her.
We are being referred out to Stanford for a second opinion. 
She is already in pain and sick from the minute she wakes up to the minute she goes to bed. She doesn't want the chemo if it won't give her any relief, or won't extend her life for more than a couple months. I guess the average extended life expectancy for Abraxane is only 2.5 months or something.
She says why would I want to stay alive a few extra months if I'm sick and in pain the entire time? She says feeling horrible all day every day is exhausting and she wants to give up.
I want to support her however she wants and needs. But I also don't want her to die because she's my mom. She has no husband or boyfriend to help her and I am her only child, and I live with her to help with my two children. 
I'm not sure why I'm posting this, maybe just in case someone understands and sympathizes.
 </t>
        </is>
      </c>
      <c r="D160" t="n">
        <v>1</v>
      </c>
      <c r="E160" t="n">
        <v>10</v>
      </c>
      <c r="F160">
        <f>HYPERLINK("https://www.reddit.com/r/cancer/comments/aekmml/mom_wants_to_refuse_treament/")</f>
        <v/>
      </c>
      <c r="G160" t="inlineStr">
        <is>
          <t>2019-01-10 08:30:54</t>
        </is>
      </c>
      <c r="H160" t="inlineStr"/>
    </row>
    <row r="161">
      <c r="A161" t="inlineStr">
        <is>
          <t>ael17s</t>
        </is>
      </c>
      <c r="B161" t="inlineStr">
        <is>
          <t>Chemo Question??</t>
        </is>
      </c>
      <c r="C161" t="inlineStr">
        <is>
          <t xml:space="preserve">Hi everyone! 
I have little experience with this topic but I have just been informed that my dad is going to be doing chemotherapy for the brain tumor that he has. He has been having problems with this for about 5 years, as well as other psychological problems.  I really don't want to bore you with all of his medical history. 
Anyway, I always thought as chemotherapy as something that was very hard to survive. And so, my dad right now has a whole list of medical problems. Because of the tumor (I think) he can't walk, talk, or manage his left arm and leg properly (he's currently in a wheelchair). He recently had an injury in his arm (he fell and injured it). I just heard also that he has urethral stones. Also, because of his first treatment about 5 years ago, his right eye is totally asleep/dead/idk). In addition to this, he eats a lot of candy and doesn't drink anyyyy water. Unless it's from a sugary drink. 
Am I crazy to think that it is a waste of time and energy from him and from everyone of my family to do this chemotherapy? I don't think he even wants to get better. But he also (I don't think) can accept that it's time for him to, well, die. 
Thank you and any comment is welcome. Good vibes to everyone!! &amp;lt;3 </t>
        </is>
      </c>
      <c r="D161" t="n">
        <v>1</v>
      </c>
      <c r="E161" t="n">
        <v>4</v>
      </c>
      <c r="F161">
        <f>HYPERLINK("https://www.reddit.com/r/cancer/comments/ael17s/chemo_question/")</f>
        <v/>
      </c>
      <c r="G161" t="inlineStr">
        <is>
          <t>2019-01-10 09:09:31</t>
        </is>
      </c>
      <c r="H161" t="inlineStr"/>
    </row>
    <row r="162">
      <c r="A162" t="inlineStr">
        <is>
          <t>aelmki</t>
        </is>
      </c>
      <c r="B162" t="inlineStr">
        <is>
          <t>High grade NE Carcinoma with multiple Mets. How high is the rate of survival?</t>
        </is>
      </c>
      <c r="C162" t="inlineStr">
        <is>
          <t xml:space="preserve">My dad started Cisplatin and Epotoside yesterday in his chemo. With this stage IV cancer. Has he got much possibility? </t>
        </is>
      </c>
      <c r="D162" t="n">
        <v>1</v>
      </c>
      <c r="E162" t="n">
        <v>1</v>
      </c>
      <c r="F162">
        <f>HYPERLINK("https://www.reddit.com/r/cancer/comments/aelmki/high_grade_ne_carcinoma_with_multiple_mets_how/")</f>
        <v/>
      </c>
      <c r="G162" t="inlineStr">
        <is>
          <t>2019-01-10 10:06:21</t>
        </is>
      </c>
      <c r="H162" t="inlineStr"/>
    </row>
    <row r="163">
      <c r="A163" t="inlineStr">
        <is>
          <t>aem050</t>
        </is>
      </c>
      <c r="B163" t="inlineStr">
        <is>
          <t>Temozolomide and my immune system weaker</t>
        </is>
      </c>
      <c r="C163" t="inlineStr">
        <is>
          <t>Does Temozolomide make my immune system weaker?  Will I be able to stay with my family and all the germs and Virii they bring from school?</t>
        </is>
      </c>
      <c r="D163" t="n">
        <v>1</v>
      </c>
      <c r="E163" t="n">
        <v>2</v>
      </c>
      <c r="F163">
        <f>HYPERLINK("https://www.reddit.com/r/cancer/comments/aem050/temozolomide_and_my_immune_system_weaker/")</f>
        <v/>
      </c>
      <c r="G163" t="inlineStr">
        <is>
          <t>2019-01-10 10:42:51</t>
        </is>
      </c>
      <c r="H163" t="inlineStr"/>
    </row>
    <row r="164">
      <c r="A164" t="inlineStr">
        <is>
          <t>aemo6g</t>
        </is>
      </c>
      <c r="B164" t="inlineStr">
        <is>
          <t>Question about my fathers condition.</t>
        </is>
      </c>
      <c r="C164" t="inlineStr">
        <is>
          <t xml:space="preserve">The past ten months have been a roller coast ride. In march my father was diagnosed with rectal cancer affecting 6 lymph nodes. They started him on chemo and radiation to which he responded well to. His surgery though was botched terrible causing his muscles on the right side of his hip to start to degenerate along with the inability to reverse his ileostomy due to infection. But, in October he had x-ray done of his chest where they found one node then a scan where they found 6 with other smaller ones. They took a biopsy and it came back positive. So now has been told he has 6 months. Maybe 2 years with constant treatment that he doesn't want. So for me, his son, I'm racked with the question of how long until x,y, or z happens. The doctors were so emphatic that besides radiation there was nothing that they could do. He is depressed and doesn't get up to walk around or attempt to be active. He is so stressed and concerned with things that arnt his problem anymore he doesn't sleep or eat. All the while he complains of retuning UTI's, pain, and chest pressure constantly. I'm not asking for a diagnosis or a "he has this much time" but I wanted to see if anyone has or have had a similar experience and wouldn't mind sharing what to expect. I'm petrified and don't know what to tell him any more besides it will be ok. And I don't think he's buying it anymore and neither am I. </t>
        </is>
      </c>
      <c r="D164" t="n">
        <v>1</v>
      </c>
      <c r="E164" t="n">
        <v>3</v>
      </c>
      <c r="F164">
        <f>HYPERLINK("https://www.reddit.com/r/cancer/comments/aemo6g/question_about_my_fathers_condition/")</f>
        <v/>
      </c>
      <c r="G164" t="inlineStr">
        <is>
          <t>2019-01-10 11:48:04</t>
        </is>
      </c>
      <c r="H164" t="inlineStr"/>
    </row>
    <row r="165">
      <c r="A165" t="inlineStr">
        <is>
          <t>aentf0</t>
        </is>
      </c>
      <c r="B165" t="inlineStr">
        <is>
          <t>My mom has been diagnosed with ovarian cancer</t>
        </is>
      </c>
      <c r="C165" t="inlineStr">
        <is>
          <t xml:space="preserve">I don’t know where to begin. It started as a swollen abdomen which then spread upwards, pressing in her lungs. She went into The we on NYE and found out at midnight that the chances were ovarian cancer. Official diagnosis the other day was stage 4 ovarian cancer. 
She starts chemo tomorrow. 
My mind can’t think straight, I can’t sleep, been signed off work but I need to be strong for her. 
They expect her to live for a good few years and I’m hoping it’s way more then that. 
Also found out it’s likely to be the BRCA gene, which I’ll be getting tested for ASAP. 
I’m terrier of what’s going to happen and can’t imagine my mother going through so much. My head just can’t wrap its way around it. I have to be strong and positive for her and my family, but the last few days all I’ve wanted to do was hide under my blanket. 
And help open for families of those who are fighting out there? I feel utterly useless </t>
        </is>
      </c>
      <c r="D165" t="n">
        <v>2</v>
      </c>
      <c r="E165" t="n">
        <v>3</v>
      </c>
      <c r="F165">
        <f>HYPERLINK("https://www.reddit.com/r/cancer/comments/aentf0/my_mom_has_been_diagnosed_with_ovarian_cancer/")</f>
        <v/>
      </c>
      <c r="G165" t="inlineStr">
        <is>
          <t>2019-01-10 13:37:27</t>
        </is>
      </c>
      <c r="H165" t="inlineStr"/>
    </row>
    <row r="166">
      <c r="A166" t="inlineStr">
        <is>
          <t>aeo774</t>
        </is>
      </c>
      <c r="B166" t="inlineStr">
        <is>
          <t>Advice on next step .</t>
        </is>
      </c>
      <c r="C166" t="inlineStr">
        <is>
          <t>Hello . This is my first reddit post . I’m just looking for some advice before I make my next decision. I’ll try to keep this short but put in as much detail as I can . About five weeks ago I woke up with a pain in my neck . Then I started to get “flu like” symptoms. I didn’t think much of it because I usually get over the flu in a few days . This time I haven’t been getting better . I finally went to a walk in clinic because my sickness was worsening and the pain in my neck turned into a full on swollen lump . I was blood tested for what I was hoping it was “mono” but everything has come back negative . They recommend I get a ultrasound for my neck and I do . The results come back that I need to get a CT scan to figure out exactly what’s going on . I CT scanned today and the results come back telling me I need to go see someone else . This is all fine but in the meanwhile I have been fever sick for almost a month . I can’t work . I’m sweating pools every night . I’m hot im cold I’ve lost a ton of weight . I have a constant fever . So my question is do I keep paying money to go to these next steps in the meanwhile I’m receiving no medicine or really advice for that matter . They told me today to see a oncologist but this is now 1500 dollars later with just as must confusion as I had on day 1.</t>
        </is>
      </c>
      <c r="D166" t="n">
        <v>1</v>
      </c>
      <c r="E166" t="n">
        <v>6</v>
      </c>
      <c r="F166">
        <f>HYPERLINK("https://www.reddit.com/r/cancer/comments/aeo774/advice_on_next_step/")</f>
        <v/>
      </c>
      <c r="G166" t="inlineStr">
        <is>
          <t>2019-01-10 14:12:30</t>
        </is>
      </c>
      <c r="H166" t="inlineStr"/>
    </row>
    <row r="167">
      <c r="A167" t="inlineStr">
        <is>
          <t>aepif5</t>
        </is>
      </c>
      <c r="B167" t="inlineStr">
        <is>
          <t>Transplant advice for living accommodations.</t>
        </is>
      </c>
      <c r="C167" t="inlineStr">
        <is>
          <t xml:space="preserve">Hello, I will be going in to a transplant in the next 1-2 months. 
I support my sister and her kids. So they live with me. I am extremely afraid that by living with them post transplant they will get me sick and cause complications. They are always sick. (They are young kids after all, 2.5years, and 5)
So I had the thought of staying in a hotel. It was built 2 years ago, so it’s pretty new so hopefully very clean still. But then I thought travelers, and its pet friendly, maybe it’s not so clean. 
What are your thoughts? 
</t>
        </is>
      </c>
      <c r="D167" t="n">
        <v>1</v>
      </c>
      <c r="E167" t="n">
        <v>3</v>
      </c>
      <c r="F167">
        <f>HYPERLINK("https://www.reddit.com/r/cancer/comments/aepif5/transplant_advice_for_living_accommodations/")</f>
        <v/>
      </c>
      <c r="G167" t="inlineStr">
        <is>
          <t>2019-01-10 16:22:31</t>
        </is>
      </c>
      <c r="H167" t="inlineStr"/>
    </row>
    <row r="168">
      <c r="A168" t="inlineStr">
        <is>
          <t>aepn0q</t>
        </is>
      </c>
      <c r="B168" t="inlineStr">
        <is>
          <t>Recently had Testicular Cancer, got it removed in surgery. Got put on observation without chemo or radiation. One week later the oncologist calls and says my markers haven't gone down much. Any similar experience? My next appointment to draw blood is Monday and i'm getting nervous.</t>
        </is>
      </c>
      <c r="C168" t="inlineStr">
        <is>
          <t>Title</t>
        </is>
      </c>
      <c r="D168" t="n">
        <v>1</v>
      </c>
      <c r="E168" t="n">
        <v>8</v>
      </c>
      <c r="F168">
        <f>HYPERLINK("https://www.reddit.com/r/cancer/comments/aepn0q/recently_had_testicular_cancer_got_it_removed_in/")</f>
        <v/>
      </c>
      <c r="G168" t="inlineStr">
        <is>
          <t>2019-01-10 16:37:11</t>
        </is>
      </c>
      <c r="H168" t="inlineStr"/>
    </row>
    <row r="169">
      <c r="A169" t="inlineStr">
        <is>
          <t>aepw6r</t>
        </is>
      </c>
      <c r="B169" t="inlineStr">
        <is>
          <t>I hate meeting w/ doctor day after 6 months scans... The horrifying scared anxiety comes rushing back.</t>
        </is>
      </c>
      <c r="C169" t="inlineStr">
        <is>
          <t>Have had several clear 6 month scans now and even getting a CT is a piece of cake. But... Yet again the night before actually going to talk to my oncologist about the CT scan results I suddenly find myself freaking out mentally inside. What if my scans are not clear again? There is a difference between being pretty sure you're fine and facing the possibility that you *could* not be. I had cancer and there isn't a 100 percent chance that I'm fine even though I've been eating like a champ/living well/trying not to stress/etc... Ugh.</t>
        </is>
      </c>
      <c r="D169" t="n">
        <v>1</v>
      </c>
      <c r="E169" t="n">
        <v>20</v>
      </c>
      <c r="F169">
        <f>HYPERLINK("https://www.reddit.com/r/cancer/comments/aepw6r/i_hate_meeting_w_doctor_day_after_6_months_scans/")</f>
        <v/>
      </c>
      <c r="G169" t="inlineStr">
        <is>
          <t>2019-01-10 17:05:48</t>
        </is>
      </c>
      <c r="H169" t="inlineStr"/>
    </row>
    <row r="170">
      <c r="A170" t="inlineStr">
        <is>
          <t>aeq1hm</t>
        </is>
      </c>
      <c r="B170" t="inlineStr">
        <is>
          <t>How do I convince my parents to let me use marijuana as medicine.</t>
        </is>
      </c>
      <c r="C170" t="inlineStr">
        <is>
          <t xml:space="preserve">     My name is Joe I'm a 15 year old cancer patient with ewing's sarcoma. I want to use marijuana to treat low appetite and nausea. Cannabis is really the only thing that helps with nausea without making me extremely drowsy like benadryl/ativan for example.
     My parents allowed me to smoke for a few days as a last ditch effort to try and get me to eat. My parents decided against it because they thought it was bad for my lungs. My parents and I are both aware I don't have to smoke it. I've tried to convince my parents to allow me to use it multiple times and still they won't allow it. How do I convince my parents to allow me to use marijuana as medicine.</t>
        </is>
      </c>
      <c r="D170" t="n">
        <v>1</v>
      </c>
      <c r="E170" t="n">
        <v>10</v>
      </c>
      <c r="F170">
        <f>HYPERLINK("https://www.reddit.com/r/cancer/comments/aeq1hm/how_do_i_convince_my_parents_to_let_me_use/")</f>
        <v/>
      </c>
      <c r="G170" t="inlineStr">
        <is>
          <t>2019-01-10 17:22:25</t>
        </is>
      </c>
      <c r="H170" t="inlineStr"/>
    </row>
    <row r="171">
      <c r="A171" t="inlineStr">
        <is>
          <t>aeqbe3</t>
        </is>
      </c>
      <c r="B171" t="inlineStr">
        <is>
          <t>My mom has been in the Keytruda trial study for mastatic bone cancer. I want to tell her ENOUGH ALREADY!!</t>
        </is>
      </c>
      <c r="C171" t="inlineStr">
        <is>
          <t xml:space="preserve">God this has been years and years of cancer with my mother. First breast cancer in " 99 " then a whole diffrent cancer uterine in " 2012 " then bone cancer "2014"  that was matasisized from uterine. My mother actually has been with cancer since her 20's with the breast cancer but she never saw a doctor or told anyone untill it was obvious when she almost bleed out in the shower due to the cancer exploding from her breast. Years of treatment, she was a stage 4-B one stage away from terminal but she fought like a trooper. She still worked and cared for her family. She scedualed her treatment for the sickness to come on the weekends when she had two days off. To cook from the inside out. Never once complained or showed she was in any distress. I wouldn't know she had cancer if she didn't tell me. She lost a breast to that cancer. She went into remission after 5 years the levels were so low that they say your good. Things were great then she was going thru the womanly change of life. She was hemorrhaging. Her doctor did all the tests and there was no cancer. She needed blood transfusions every couple of weeks due to the blood loss. The doctor finally says " let's just take and give you a hysterectomy " that sounded like the next logical thing to do. Never in a million years did we think what was gonna happen during surgery would happen. Her doctor did think smart though she had a doctor from Dana Farber from boston in on the surgery. It was supposed to be a day surgery in and out. Lapercopic. A couple little incisions and she'd be a little sore and minus her female parts. Holy shit. Was not prepared for the doctor to come out crying. I thought they lost her on the operating table. Far from it..i was relieved to hear that she was alive. But as the doctor was talking everything went blank. She sounded like she was talking in slow motion. And like Charlie Brown's teacher. Wahaa - whaa -whaa- CANCER!! We all were crying now. The doctor was crying. Explaining as she was going in lapercopic she had pulled back the uterus and saw the hugest tumor but she had knicked it with the blade of the instrument. She explained that she had backed out and had to go in and do her surgery the old fashioned way and how thankful she was that she had the doctor from Dana Farber there. They had to go and do the surgery the old fasion was as not to disturb the tumor. But they had knicked it wich means that it could travel. Meaning cancer cells. After my mom woke up we all were there to tell her what had happened and that she had cancer again. She didn't cry. I didn't understand. And she hates when we cry. Her saying is " dont cry around her, nothing is as bad as cancer " meaning we can't cry. I cryed. I couldn't help it. Immediately they wanted to start treatments. It was bone cancer. It had matasisized from her uterus. It was on her l-3 lumbar spine area. Then the news right after she's had her life time supply of chemotherapy and radiation. Now what does she just die. What were they saying. And as sad as we all were they threw a lifeline. They said there was this new immune therapy drug that they have been noticing slows and sometimes shrinks the cancer. They have been seeing great results with lung cancer. It's an immune gene therapy called keytruda.  But we would have to go to Boston Dana Farber to get her tested and see if she carried the gene that would respond favorably to this. So we rush up to Boston and they took so much blood to test. We had to wait two weeks to get the results. It was tourcher. We got something in the mail that said she was a candidate for this new treatment. That was the best news. We had done our research and we saw great things. My mother was beyond excited. She was willing to try anything. She was in severe pain daily. So she started on her keytruda study program. The company who makes keytruda pays for the medication so she can have it. Her insurance wasn't going to pay. Every treatment wich is every three weeks cost almost 7 thousand dollars. But because she's in a study to see if her tumor will shrink or all together just go away.i get why she wants to do these treatments. To her she feels they are doing something. I belive that this has dragged on long enoughf. She seems to be getting worse. I belive the cancer is all thru her now. In her last scsn it showed the tumor almost engulfing her whole abdomen. Her cancer doctor asked her if she still wanted the treatments she said yes. Thet just put her on fentanyl patches cause she is in constant pain. But i feel there keeping her on this keytruda till she dies cause they want to see how long she can live. The company who makes this drug doesnt see what it does to the person whos taling it. Her skin is like creap paper. It's so dry and scaly.she has no energy. She's needed two pints of blood every two weeks. She has barely any energy. But she still is doing the Keytruda. Maybe it's just giving her hope. But as her caregiver i don't see her getting better. She has two huge ulcers on her feet. It takes two people to move her. She is fully dependent on myself and my sister for all her care. I asked her " mama aren't you tiered of suffering? " she told me she didn't think she was going to die anytime soon. Wich makes me happy that she still has fight in her left. But i'm also sad seeing how they won't just call it and let ger go. Are they gonna keep her on this study till she dies?  I'm not in anyway saying i want her to die but i belive it's time to stop the Keytruda. She's so tiered and her body i nbelive is one more treatment away from death. I am no doctor but i think they got their info. She really belives the Keytruda is helping her live longer. I honestly don't think so. She's basically bed riden and we have to do evetything for her. Not that o'm complaining. I want her to live but not as the keytruda ginnie pig. I don't even know if i'm making sence. I hate that she has to go thru this everyday. I just want this over. It kills me to seeher decline everyday and her doctir still order this Keytruda. I love my mother. I just wish this all never happened. So very sad. </t>
        </is>
      </c>
      <c r="D171" t="n">
        <v>1</v>
      </c>
      <c r="E171" t="n">
        <v>19</v>
      </c>
      <c r="F171">
        <f>HYPERLINK("https://www.reddit.com/r/cancer/comments/aeqbe3/my_mom_has_been_in_the_keytruda_trial_study_for/")</f>
        <v/>
      </c>
      <c r="G171" t="inlineStr">
        <is>
          <t>2019-01-10 17:53:23</t>
        </is>
      </c>
      <c r="H171" t="inlineStr"/>
    </row>
    <row r="172">
      <c r="A172" t="inlineStr">
        <is>
          <t>aeqt5w</t>
        </is>
      </c>
      <c r="B172" t="inlineStr">
        <is>
          <t>Asking Hospice the Hard Questions.</t>
        </is>
      </c>
      <c r="C172" t="inlineStr">
        <is>
          <t>So I am primary caretaker for my mom, who's small cell lung cancer that has mets to her brain, liver, and most painfully - to most of her torso bones. We have done surgeries, chemo and keytruda. Unfortunately, we stopped all treatments and have called in home hospice. 
She was perfectly fine, and functional, on Sunday.  By Thursday, she is cognitively confused, lung is filled "gunk", they believe brain tumor is affecting a whole bunch of things - balance, cognitive ability, etc. Her lungs are not functioning - her O2 levels were 68% this morning. 
I do not want this to sound harsh, and I hope that others sincerely understand my questions. I love my mom. I moved her in with me right after her initial lung cancer diagnosis 2.5 yrs ago. I have actively participated in her treatment. I am so very sad that we are where we are. 
My sister, who lives 600 miles away, keeps asking when she should come. For a shorter visit, for the end, etc. She has come many times. The last at Thanksgiving - and coming up, over Valentine's Day.  She wants to know if she should be coming sooner, or... ?  She works on a strict budget (don't we all) and is trying to plan the best time to be here for mom. Maybe before she completely loses all cognitive function, and then again at the end. 
Here's my question - how do I ask mom's, very competent and sweet, hospice nurse, about timing?  I \*know\* it's all a guessing game, and nothing is exact. But she's been a hospice nurse for several years - she would have the best guesstimate. I don't want to sound like I am being cruel or harsh or pushing things along, etc.  I just want to know how best to ask the nurse about her experience with the timing of it all.  My aunt, who my mom is very close to, is also scheduled to leave the country for a month, and is wondering if she should go at all, should plan to come home early, etc.  
How do I approach the nurse about her experience regarding timing?   
TLDR:  How do you ask the hospice nurse about her guesstimate regarding timing in my mother losing her cognitive ability and ultimate passing, taking into consider out of town relatives?  Without sounding cold and heartless??</t>
        </is>
      </c>
      <c r="D172" t="n">
        <v>1</v>
      </c>
      <c r="E172" t="n">
        <v>11</v>
      </c>
      <c r="F172">
        <f>HYPERLINK("https://www.reddit.com/r/cancer/comments/aeqt5w/asking_hospice_the_hard_questions/")</f>
        <v/>
      </c>
      <c r="G172" t="inlineStr">
        <is>
          <t>2019-01-10 18:48:12</t>
        </is>
      </c>
      <c r="H172" t="inlineStr"/>
    </row>
    <row r="173">
      <c r="A173" t="inlineStr">
        <is>
          <t>aeral4</t>
        </is>
      </c>
      <c r="B173" t="inlineStr">
        <is>
          <t>When will I start feeling normal again</t>
        </is>
      </c>
      <c r="C173" t="inlineStr">
        <is>
          <t>I was diagnosed with ALL little over a year ago. I have already completed my transplant. And I'm doing relatively well. I should be off of my tacrolimus/prograf medicine in about 2 months. I'm still struggling with fatigue and pain (nothing too serious). I'm 19 years old and I can't keep up with my 50 year-old mother nor my 60 year-old father. I'm just not pushing myself hard enough or will I eventually regain my old strength?</t>
        </is>
      </c>
      <c r="D173" t="n">
        <v>1</v>
      </c>
      <c r="E173" t="n">
        <v>4</v>
      </c>
      <c r="F173">
        <f>HYPERLINK("https://www.reddit.com/r/cancer/comments/aeral4/when_will_i_start_feeling_normal_again/")</f>
        <v/>
      </c>
      <c r="G173" t="inlineStr">
        <is>
          <t>2019-01-10 19:43:52</t>
        </is>
      </c>
      <c r="H173" t="inlineStr"/>
    </row>
    <row r="174">
      <c r="A174" t="inlineStr">
        <is>
          <t>aernkh</t>
        </is>
      </c>
      <c r="B174" t="inlineStr">
        <is>
          <t>Dad just died</t>
        </is>
      </c>
      <c r="C174" t="inlineStr">
        <is>
          <t xml:space="preserve">Hepatocellular carcinoma, with the perfect storm of kidney and heart disease. He was diagnosed with the cancer in July. Brought him home with hospice in mid December. It finally got to be too much for him. I am sitting with him now waiting for the funeral home to come and take him. The hospice nurse fixed his face so he looks like he is peacefully napping. I’ve been waiting for this moment for a month by his side and now that it’s here it’s fucking surreal. It’s just me and dad and his dog and cat who are both so sad it’s painful. Can’t believe I’ll never see him again after they take him. 
Fuck cancer. 
Much love to everyone who has the suck ass reason to be a part of this group. 
Thanks for letting me vent. 
Rest In Peace, Dad. I love you. </t>
        </is>
      </c>
      <c r="D174" t="n">
        <v>1</v>
      </c>
      <c r="E174" t="n">
        <v>20</v>
      </c>
      <c r="F174">
        <f>HYPERLINK("https://www.reddit.com/r/cancer/comments/aernkh/dad_just_died/")</f>
        <v/>
      </c>
      <c r="G174" t="inlineStr">
        <is>
          <t>2019-01-10 20:25:45</t>
        </is>
      </c>
      <c r="H174" t="inlineStr"/>
    </row>
    <row r="175">
      <c r="A175" t="inlineStr">
        <is>
          <t>aes2y3</t>
        </is>
      </c>
      <c r="B175" t="inlineStr">
        <is>
          <t>I just need to talk.</t>
        </is>
      </c>
      <c r="C175" t="inlineStr">
        <is>
          <t xml:space="preserve">I am having a hard time right now. I was diagnosed with pNETS, a form of pancreatic cancer. Battery of tests and I go back to MD Anderson on Monday, after several weeks due to the holidays. Gallium-68 rest is supposed to tell me when it spread to; if anywhere. I like to think I started off fine, mentally and emotionally but it feels like this reality is just slowly pressing down on my soul. I don’t know what the tests said so I have a range of “a quick surgery and cut it out” to “oh shit! It’s in my liver and shit is fucked!”
It has been a gradual grind towards the worst case. 
I notice it is bothering me at work but then I feel like I shouldn’t think about it. Chin up, it will work out! But I sure as fuck don’t feel that way.  They asked me if I wanted to go home today and just not work but I said no because if I go home, that means something is wrong and if something is wrong then I have to accept that and I don’t like that idea. I flash towards “what if it is nothing, I over reacted to a simple procedure and blew out my emotional O-ring for nothing. 
I just feel like I can’t get steady. It is this precarious wire act of moving forward with a belief structure that I can’t defend but I know I need OR embrace the reality that I don’t know what will happen and I don’t get a real in the fucking matter!
Look, I don’t know if this makes sense, if I’m alone here in this or not with how I feel but I just had to write it down and send it out. This is the closest I can get to naming my fear without having to actually do so. 
Anyhow, if you read this, thank you. </t>
        </is>
      </c>
      <c r="D175" t="n">
        <v>1</v>
      </c>
      <c r="E175" t="n">
        <v>7</v>
      </c>
      <c r="F175">
        <f>HYPERLINK("https://www.reddit.com/r/cancer/comments/aes2y3/i_just_need_to_talk/")</f>
        <v/>
      </c>
      <c r="G175" t="inlineStr">
        <is>
          <t>2019-01-10 21:19:45</t>
        </is>
      </c>
      <c r="H175" t="inlineStr"/>
    </row>
    <row r="176">
      <c r="A176" t="inlineStr">
        <is>
          <t>aetytm</t>
        </is>
      </c>
      <c r="B176" t="inlineStr">
        <is>
          <t>Clear cell carcinoma Doctor recommendations anyone?</t>
        </is>
      </c>
      <c r="C176" t="inlineStr">
        <is>
          <t>Hi all, my mom got diagnosed ovarian clear cell carcinoma cancer in oct 2017. She got a surgery in China, and had it removed. 
But recently we did a petscan and found that the cancer has came back to “near the kidney” area. 
And this time we would like to perform the surgery And medical plans in the states (Nevada/Cali area). But I have no idea how to find a good doctor (the hospital we are currently at seems not so reliable, we would like to see some more experienced medical crew)
Feeling really lost right now, and just wondering if anyone has any recommendations on good hospitals or doctors! 
Sincerely thank you!</t>
        </is>
      </c>
      <c r="D176" t="n">
        <v>1</v>
      </c>
      <c r="E176" t="n">
        <v>4</v>
      </c>
      <c r="F176">
        <f>HYPERLINK("https://www.reddit.com/r/cancer/comments/aetytm/clear_cell_carcinoma_doctor_recommendations_anyone/")</f>
        <v/>
      </c>
      <c r="G176" t="inlineStr">
        <is>
          <t>2019-01-11 02:05:48</t>
        </is>
      </c>
      <c r="H176" t="inlineStr"/>
    </row>
    <row r="177">
      <c r="A177" t="inlineStr">
        <is>
          <t>aev5rx</t>
        </is>
      </c>
      <c r="B177" t="inlineStr">
        <is>
          <t>Information about cancer</t>
        </is>
      </c>
      <c r="C177" t="inlineStr">
        <is>
          <t>As I have a sample result from turt my mother had and as the weekend is coming and my mother has a visit on Monday with the doctor I would like to know some basic information about following type of cancer:
Carcinoma urotheliale medicoriter differentiatum laminae muscularis infitrans (sorry for potential mistakes, but the font the doctor was not so clear)
What does in mean?
Cancer is in G2/T2
I have little medical knowledge.
Can anyone give me some information about it? Any articles? Someone maybe has experience and could give some advices? What are the chances?
Thank you for any information</t>
        </is>
      </c>
      <c r="D177" t="n">
        <v>1</v>
      </c>
      <c r="E177" t="n">
        <v>5</v>
      </c>
      <c r="F177">
        <f>HYPERLINK("https://www.reddit.com/r/cancer/comments/aev5rx/information_about_cancer/")</f>
        <v/>
      </c>
      <c r="G177" t="inlineStr">
        <is>
          <t>2019-01-11 05:03:08</t>
        </is>
      </c>
      <c r="H177" t="inlineStr"/>
    </row>
    <row r="178">
      <c r="A178" t="inlineStr">
        <is>
          <t>aevbk2</t>
        </is>
      </c>
      <c r="B178" t="inlineStr">
        <is>
          <t>It it possible to volunteer to work in Cancer Research?</t>
        </is>
      </c>
      <c r="C178" t="inlineStr">
        <is>
          <t>Has anyone done this before? I've always wanted to spend part of my time helping out in cancer research or something, nothing amazing but I imagine just helping around, taking notes or being a technician or something during the weekends or after work stuff.
I've always kind of wanted to help reduce cancer but I don't really have money to donate any more then I already do and I don't enjoy salesy type work (so wouldn't want to be someone calling for donations or asking for it).
I do have a 2 degrees in engineering and some biotech subjects at uni though unsure if it will be super helpful.
Do you think I could just email up a place? Ask them if they need a helper around for free? Apologies if this isn't the right sub.</t>
        </is>
      </c>
      <c r="D178" t="n">
        <v>1</v>
      </c>
      <c r="E178" t="n">
        <v>12</v>
      </c>
      <c r="F178">
        <f>HYPERLINK("https://www.reddit.com/r/cancer/comments/aevbk2/it_it_possible_to_volunteer_to_work_in_cancer/")</f>
        <v/>
      </c>
      <c r="G178" t="inlineStr">
        <is>
          <t>2019-01-11 05:22:42</t>
        </is>
      </c>
      <c r="H178" t="inlineStr"/>
    </row>
    <row r="179">
      <c r="A179" t="inlineStr">
        <is>
          <t>aewa2k</t>
        </is>
      </c>
      <c r="B179" t="inlineStr">
        <is>
          <t>Looking for Answers - My dad has Cancer</t>
        </is>
      </c>
      <c r="C179" t="inlineStr">
        <is>
          <t xml:space="preserve">S my dad has cancer - He is going to have 7 weeks of Chemo and Radiation.  Not sure what to expect - We are all positive at the moment but he is older.  I mean I am trying to figure out a lot of things.  If someone could give me insight on what to expect and how he will feel etc. 
&amp;amp;#x200B;
Thanks </t>
        </is>
      </c>
      <c r="D179" t="n">
        <v>1</v>
      </c>
      <c r="E179" t="n">
        <v>17</v>
      </c>
      <c r="F179">
        <f>HYPERLINK("https://www.reddit.com/r/cancer/comments/aewa2k/looking_for_answers_my_dad_has_cancer/")</f>
        <v/>
      </c>
      <c r="G179" t="inlineStr">
        <is>
          <t>2019-01-11 07:11:24</t>
        </is>
      </c>
      <c r="H179" t="inlineStr"/>
    </row>
    <row r="180">
      <c r="A180" t="inlineStr">
        <is>
          <t>aexac0</t>
        </is>
      </c>
      <c r="B180" t="inlineStr">
        <is>
          <t>Anxiety about hospitals and results</t>
        </is>
      </c>
      <c r="C180" t="inlineStr">
        <is>
          <t xml:space="preserve">Next weekend I have my 4th chemo treatment and then after (not sure when exactly yet) another PET to see if it's working. The anxiety is boiling up again. I'm actually getting sever anxiety just going into any doctor's office or hospital now.  Any advice?  </t>
        </is>
      </c>
      <c r="D180" t="n">
        <v>1</v>
      </c>
      <c r="E180" t="n">
        <v>9</v>
      </c>
      <c r="F180">
        <f>HYPERLINK("https://www.reddit.com/r/cancer/comments/aexac0/anxiety_about_hospitals_and_results/")</f>
        <v/>
      </c>
      <c r="G180" t="inlineStr">
        <is>
          <t>2019-01-11 08:53:06</t>
        </is>
      </c>
      <c r="H180" t="inlineStr"/>
    </row>
    <row r="181">
      <c r="A181" t="inlineStr">
        <is>
          <t>aexosh</t>
        </is>
      </c>
      <c r="B181" t="inlineStr">
        <is>
          <t>Is stage 3 prostate cancer 'basically dying'?</t>
        </is>
      </c>
      <c r="C181" t="inlineStr">
        <is>
          <t>My grandfather has stage 3 prostate cancer. My abusive mum said he's 'basically dying'. I don't know jack about cancer, is it true?</t>
        </is>
      </c>
      <c r="D181" t="n">
        <v>1</v>
      </c>
      <c r="E181" t="n">
        <v>13</v>
      </c>
      <c r="F181">
        <f>HYPERLINK("https://www.reddit.com/r/cancer/comments/aexosh/is_stage_3_prostate_cancer_basically_dying/")</f>
        <v/>
      </c>
      <c r="G181" t="inlineStr">
        <is>
          <t>2019-01-11 09:31:27</t>
        </is>
      </c>
      <c r="H181" t="inlineStr"/>
    </row>
    <row r="182">
      <c r="A182" t="inlineStr">
        <is>
          <t>aey2sl</t>
        </is>
      </c>
      <c r="B182" t="inlineStr">
        <is>
          <t>Why is Breast cancer so high lighted? Ffs it has its own month</t>
        </is>
      </c>
      <c r="C182" t="inlineStr">
        <is>
          <t>Lung cancer is more dangerous and bigger (common), I'd wager to say that prostate cancer comes second why is Breast Cancer so highlighted?  Why isn't there a lung cancer awareness month my father is suffering from it, 30years of smoking, my mom has smoking related issues as well she NEVER had breast problems I've met a lot of women with smoking problems not a lot with breast issues (by that i mean dangerous medical conditions/Cancer/Abnormality, excluding aesthetic issues. ) why don't we just have a cancer awareness month with the top 3 biggest/most common/dangerous cancers? Why is breast cancer so fucking Important it's like complaining about people not being able to dine at fancy restaurants while there are starving children in Africa ? (I know there is, I live in South Africa and we have a 24% unemployment rate and a whole lotta hobos, we have like slums on the side of the road that aren't in cities, it's like slum cities/temp housing in some places, heck in some places they literally built their own houses and are living semi self dependably)</t>
        </is>
      </c>
      <c r="D182" t="n">
        <v>1</v>
      </c>
      <c r="E182" t="n">
        <v>53</v>
      </c>
      <c r="F182">
        <f>HYPERLINK("https://www.reddit.com/r/cancer/comments/aey2sl/why_is_breast_cancer_so_high_lighted_ffs_it_has/")</f>
        <v/>
      </c>
      <c r="G182" t="inlineStr">
        <is>
          <t>2019-01-11 10:07:30</t>
        </is>
      </c>
      <c r="H182" t="inlineStr"/>
    </row>
    <row r="183">
      <c r="A183" t="inlineStr">
        <is>
          <t>aeyu3p</t>
        </is>
      </c>
      <c r="B183" t="inlineStr">
        <is>
          <t>CBD/THC ratio for pain/sleep</t>
        </is>
      </c>
      <c r="C183" t="inlineStr">
        <is>
          <t>My dad was recently diagnosed with pancreatic cancer and has been having a lot of pain and issues sleeping. 
He’s been trying hemp oil and he said it helped a little bit but after the official diagnosis he’s been really struggling sleeping/pain. 
I’ve been reading up a lot about CBD:THC ratios and was wondering what would be best. My dad says he’d prefer something with as little THC as possible. I’ve been looking at this brand called humbolt and thy have a 16:1 ratio but I’m trying to get some more options
Any suggestions would be great. Thanks</t>
        </is>
      </c>
      <c r="D183" t="n">
        <v>1</v>
      </c>
      <c r="E183" t="n">
        <v>16</v>
      </c>
      <c r="F183">
        <f>HYPERLINK("https://www.reddit.com/r/cancer/comments/aeyu3p/cbdthc_ratio_for_painsleep/")</f>
        <v/>
      </c>
      <c r="G183" t="inlineStr">
        <is>
          <t>2019-01-11 11:21:56</t>
        </is>
      </c>
      <c r="H183" t="inlineStr"/>
    </row>
    <row r="184">
      <c r="A184" t="inlineStr">
        <is>
          <t>af2drh</t>
        </is>
      </c>
      <c r="B184" t="inlineStr">
        <is>
          <t>Anxiety and sleeplessness meds</t>
        </is>
      </c>
      <c r="C184" t="inlineStr">
        <is>
          <t xml:space="preserve">Does anyone take anything occasionally for anxiety, depression and sleeplessness?  What do you take and how often?
I’m an currently in treatment and now feeling overwhelmed. I’m not generally a depressed person and don’t feel I need something everyday just occasionally. Besides cancer I have had 8 of the 10 most stressful life situations happen in the last 18 mo. This week scan-anxiety and working on a second opinion has got me. I see my GP next week starts I’m thinking of asking for something. 
</t>
        </is>
      </c>
      <c r="D184" t="n">
        <v>1</v>
      </c>
      <c r="E184" t="n">
        <v>27</v>
      </c>
      <c r="F184">
        <f>HYPERLINK("https://www.reddit.com/r/cancer/comments/af2drh/anxiety_and_sleeplessness_meds/")</f>
        <v/>
      </c>
      <c r="G184" t="inlineStr">
        <is>
          <t>2019-01-11 17:14:55</t>
        </is>
      </c>
      <c r="H184" t="inlineStr"/>
    </row>
    <row r="185">
      <c r="A185" t="inlineStr">
        <is>
          <t>af2r0j</t>
        </is>
      </c>
      <c r="B185" t="inlineStr">
        <is>
          <t>Imrt + adt (prostate cancer)</t>
        </is>
      </c>
      <c r="C185" t="inlineStr">
        <is>
          <t xml:space="preserve">Hi!
Just wondering if anyone has done these therapies before? My 82 yo grandpa was diagnosed today with Gleason 8 stage iib and just wondering what he should expect to experience? Would love advice that I could pass along to him.
Thanks! </t>
        </is>
      </c>
      <c r="D185" t="n">
        <v>1</v>
      </c>
      <c r="E185" t="n">
        <v>0</v>
      </c>
      <c r="F185">
        <f>HYPERLINK("https://www.reddit.com/r/cancer/comments/af2r0j/imrt_adt_prostate_cancer/")</f>
        <v/>
      </c>
      <c r="G185" t="inlineStr">
        <is>
          <t>2019-01-11 17:57:43</t>
        </is>
      </c>
      <c r="H185" t="inlineStr"/>
    </row>
    <row r="186">
      <c r="A186" t="inlineStr">
        <is>
          <t>af2ub5</t>
        </is>
      </c>
      <c r="B186" t="inlineStr">
        <is>
          <t>I need help with advice on my husbands stage three testicular cancer</t>
        </is>
      </c>
      <c r="C186" t="inlineStr">
        <is>
          <t xml:space="preserve">My husband has had testicular cancer for ten years now. He has had surgeries, stem cell transplants, numerous heavy chemo treatments, clinical trials, and radiation treatment. His cancer has metastasized to his lungs and back in July he got a tumor removed from his brain. He is unable to get anymore chemo treatment not only because it’s not working but he is at high risk for infection. 
His oncologist told us today that there is not much else we can do other than seeking clinical trials all though my husband is not in the proper health to qualify for clinical trials. They are recommending looking into hospice.
We are not ready to give up. Is there anything else out there? My husband just turned 30 in September we have and 18 month old daughter.. we don’t want to give into his cancer. </t>
        </is>
      </c>
      <c r="D186" t="n">
        <v>1</v>
      </c>
      <c r="E186" t="n">
        <v>12</v>
      </c>
      <c r="F186">
        <f>HYPERLINK("https://www.reddit.com/r/cancer/comments/af2ub5/i_need_help_with_advice_on_my_husbands_stage/")</f>
        <v/>
      </c>
      <c r="G186" t="inlineStr">
        <is>
          <t>2019-01-11 18:08:32</t>
        </is>
      </c>
      <c r="H186" t="inlineStr"/>
    </row>
    <row r="187">
      <c r="A187" t="inlineStr">
        <is>
          <t>af3fgr</t>
        </is>
      </c>
      <c r="B187" t="inlineStr">
        <is>
          <t>Losing my mom</t>
        </is>
      </c>
      <c r="C187" t="inlineStr">
        <is>
          <t>So my mom was diagnosed less than a month ago with lung cancer but it was too late for treatment. She passed earlier this morning. She was 57.  I’m still in shock and it just doesn’t seem real. I was with her in hospice all last night and went home to sleep a few hours. Woke up around 8 to a call from my dad telling me she was gone. I can’t shake the feeling of guilt for not being there during her final moments/not being as good of a son as I could’ve been. Not entirely sure why I’m posting this other than to hear from people who have been through similar things.</t>
        </is>
      </c>
      <c r="D187" t="n">
        <v>1</v>
      </c>
      <c r="E187" t="n">
        <v>3</v>
      </c>
      <c r="F187">
        <f>HYPERLINK("https://www.reddit.com/r/cancer/comments/af3fgr/losing_my_mom/")</f>
        <v/>
      </c>
      <c r="G187" t="inlineStr">
        <is>
          <t>2019-01-11 19:22:45</t>
        </is>
      </c>
      <c r="H187" t="inlineStr"/>
    </row>
    <row r="188">
      <c r="A188" t="inlineStr">
        <is>
          <t>af3gaf</t>
        </is>
      </c>
      <c r="B188" t="inlineStr">
        <is>
          <t>Phones</t>
        </is>
      </c>
      <c r="C188" t="inlineStr">
        <is>
          <t>Guys so I accidentally fell asleep while using my phone. Its has happened before but only for one or two hours but now I slept a full 8 hours with it  know it emmits radiation and I was worried about the possibility of this giving me cancer can someone tell me?</t>
        </is>
      </c>
      <c r="D188" t="n">
        <v>1</v>
      </c>
      <c r="E188" t="n">
        <v>4</v>
      </c>
      <c r="F188">
        <f>HYPERLINK("https://www.reddit.com/r/cancer/comments/af3gaf/phones/")</f>
        <v/>
      </c>
      <c r="G188" t="inlineStr">
        <is>
          <t>2019-01-11 19:25:58</t>
        </is>
      </c>
      <c r="H188" t="inlineStr"/>
    </row>
    <row r="189">
      <c r="A189" t="inlineStr">
        <is>
          <t>af41pg</t>
        </is>
      </c>
      <c r="B189" t="inlineStr">
        <is>
          <t>Questions for any others been on Octreotide long term (for NETs/Carcinoid Syndrome)</t>
        </is>
      </c>
      <c r="C189" t="inlineStr">
        <is>
          <t>If there are others out there who have been on Octreotide long term, have any side effects gotten worse or better over time? Has it ever seemed like it worked better or worse as time went on?  Mainly just looking for others experiences with the drug.
I have been on it for over a year now and it doesn't seem like much has changed other than it seems like my fatigue is increasing, and the predictability of good and bad days has been decreasing. I used to be able to know for sure when the bad and good days would be based upon my injection schedule, but that has gotten less predictable as time went on.
I guess the main issue is determining what the Octreotide is responsible for and what the tumors and syndrome are responsible for.  Hence, asking for general input from others.</t>
        </is>
      </c>
      <c r="D189" t="n">
        <v>1</v>
      </c>
      <c r="E189" t="n">
        <v>0</v>
      </c>
      <c r="F189">
        <f>HYPERLINK("https://www.reddit.com/r/cancer/comments/af41pg/questions_for_any_others_been_on_octreotide_long/")</f>
        <v/>
      </c>
      <c r="G189" t="inlineStr">
        <is>
          <t>2019-01-11 20:45:47</t>
        </is>
      </c>
      <c r="H189" t="inlineStr"/>
    </row>
    <row r="190">
      <c r="A190" t="inlineStr">
        <is>
          <t>af4k47</t>
        </is>
      </c>
      <c r="B190" t="inlineStr">
        <is>
          <t>Is there no hope after stage 3 stomach cancer?</t>
        </is>
      </c>
      <c r="C190" t="inlineStr">
        <is>
          <t xml:space="preserve">Hiii. I haven’t been on here in a while bc I’ve been spending time with my mom. Anyway, we’re moving sooner than earlier which is great but my mom got checked out here, finally. She has stomach 3 or maybe 4. I think it’s 3 but she really won’t tell me because she doesn’t want me to worrying about her. How is the survival rate for stomach cancer in stage 3? Is it completely hopeless there? She hasn’t switched over to her new doctors yet to start her treatment or her surgery but I’m just asking if anyone could tell me. </t>
        </is>
      </c>
      <c r="D190" t="n">
        <v>1</v>
      </c>
      <c r="E190" t="n">
        <v>4</v>
      </c>
      <c r="F190">
        <f>HYPERLINK("https://www.reddit.com/r/cancer/comments/af4k47/is_there_no_hope_after_stage_3_stomach_cancer/")</f>
        <v/>
      </c>
      <c r="G190" t="inlineStr">
        <is>
          <t>2019-01-11 21:53:42</t>
        </is>
      </c>
      <c r="H190" t="inlineStr"/>
    </row>
    <row r="191">
      <c r="A191" t="inlineStr">
        <is>
          <t>af4qf7</t>
        </is>
      </c>
      <c r="B191" t="inlineStr">
        <is>
          <t>A couple questions</t>
        </is>
      </c>
      <c r="C191" t="inlineStr">
        <is>
          <t xml:space="preserve">I was diagnosed with ALL in September and have been undergoing treatment for the past several months with great success. My doc says that I’m currently cancer-free and that in a couple months I’ll be starting my maintence period, which will last 2 years. My first question: When will my hair really start growing back? I didn’t lose all my hair but it thinned out pretty well. I used to have a full head of hair and I’d really like to see it again. 
Second question: when can I drink again? I’m gonna be honest, I really miss getting drunk with my friends and I just want to get super shitfaced and have a good time. Is drinking during maintenance therapy for ALL safe? I don’t really want to ask my doc because I may or may not be under 21 but I’ll probably end up asking him anyway. </t>
        </is>
      </c>
      <c r="D191" t="n">
        <v>1</v>
      </c>
      <c r="E191" t="n">
        <v>16</v>
      </c>
      <c r="F191">
        <f>HYPERLINK("https://www.reddit.com/r/cancer/comments/af4qf7/a_couple_questions/")</f>
        <v/>
      </c>
      <c r="G191" t="inlineStr">
        <is>
          <t>2019-01-11 22:18:38</t>
        </is>
      </c>
      <c r="H191" t="inlineStr"/>
    </row>
    <row r="192">
      <c r="A192" t="inlineStr">
        <is>
          <t>af5ltb</t>
        </is>
      </c>
      <c r="B192" t="inlineStr">
        <is>
          <t>Esophageal Cancer - 6mo Post Radiation - Cannot Eat for 3 weeks now?</t>
        </is>
      </c>
      <c r="C192" t="inlineStr">
        <is>
          <t>Hello,  
My father was diagnosed with Late Stage 3 Esophageal Cancer (Barrett's Cancer) in August 2017. He underwent decently strong doses of chemo &amp;amp; radiation, and they had worked to remove all signs of cancer. A CT scan was done in August of 2018 and an Endoscopy was done in October, both showing no signs of cancer left anywhere in/around his esophagus. However - as of November 2018 he has had trouble swallowing. He was only able to eat small meals and take his meds. On Dec 22nd it became painful to swallow and food intake was minimal. Anytime he would eat more than his esophagus allowed, he would throw up. I just found out 2 days ago he lost the ability to eat/drink anything. He has dropped back to chemo weight and I am driving him to the hospital in the morning.
&amp;amp;#x200B;
My dad had a barium swallow test scheduled for Early Feb to show what the problem is. But at this point, it seems he cannot swallow - not sure if the test will even be administered because of this. He was trying for the past 2 weeks to move the date of the barium swallow test sooner - but the soonest they were able to give was late Jan. Does anyone have any input or familiar with this situation? Anything that might help him eat? We've tried giving him soft food, liquid food, but at this point, we're just very lost and worried.   
&amp;amp;#x200B;</t>
        </is>
      </c>
      <c r="D192" t="n">
        <v>1</v>
      </c>
      <c r="E192" t="n">
        <v>4</v>
      </c>
      <c r="F192">
        <f>HYPERLINK("https://www.reddit.com/r/cancer/comments/af5ltb/esophageal_cancer_6mo_post_radiation_cannot_eat/")</f>
        <v/>
      </c>
      <c r="G192" t="inlineStr">
        <is>
          <t>2019-01-12 00:39:21</t>
        </is>
      </c>
      <c r="H192" t="inlineStr"/>
    </row>
    <row r="193">
      <c r="A193" t="inlineStr">
        <is>
          <t>af7msb</t>
        </is>
      </c>
      <c r="B193" t="inlineStr">
        <is>
          <t>My dad was diagnosed</t>
        </is>
      </c>
      <c r="C193" t="inlineStr">
        <is>
          <t xml:space="preserve">The resettle came back and they were conclusive for prostate cancer. overheard my dad saying something on the phone to someone and he mentioned a psa of 22. I don’t really know what that means and googling all this doctor and cancer stuff makes me very anxious. </t>
        </is>
      </c>
      <c r="D193" t="n">
        <v>1</v>
      </c>
      <c r="E193" t="n">
        <v>0</v>
      </c>
      <c r="F193">
        <f>HYPERLINK("https://www.reddit.com/r/cancer/comments/af7msb/my_dad_was_diagnosed/")</f>
        <v/>
      </c>
      <c r="G193" t="inlineStr">
        <is>
          <t>2019-01-12 06:02:47</t>
        </is>
      </c>
      <c r="H193" t="inlineStr"/>
    </row>
    <row r="194">
      <c r="A194" t="inlineStr">
        <is>
          <t>afa3zp</t>
        </is>
      </c>
      <c r="B194" t="inlineStr">
        <is>
          <t>Dad diagnosed with Small lymphocytic lymphoma</t>
        </is>
      </c>
      <c r="C194" t="inlineStr">
        <is>
          <t>Hello I was wondering if anyone here has experienced or is familiar in any way with SLL or small lymphocytic Lymphoma. My father just got diagnosed with it and the doctor was trying telling my mom that it was a type non Hodgkin’s lymphoma and that he does not need treatment right now because he does not have any symptoms. She said usually the prognosis for this is better than other cancers. I’m still just shocked and worried.
Thanks</t>
        </is>
      </c>
      <c r="D194" t="n">
        <v>1</v>
      </c>
      <c r="E194" t="n">
        <v>2</v>
      </c>
      <c r="F194">
        <f>HYPERLINK("https://www.reddit.com/r/cancer/comments/afa3zp/dad_diagnosed_with_small_lymphocytic_lymphoma/")</f>
        <v/>
      </c>
      <c r="G194" t="inlineStr">
        <is>
          <t>2019-01-12 10:28:27</t>
        </is>
      </c>
      <c r="H194" t="inlineStr"/>
    </row>
    <row r="195">
      <c r="A195" t="inlineStr">
        <is>
          <t>afahfz</t>
        </is>
      </c>
      <c r="B195" t="inlineStr">
        <is>
          <t>Helpless</t>
        </is>
      </c>
      <c r="C195" t="inlineStr">
        <is>
          <t xml:space="preserve">My partner spent 7 weeks vomiting and was taken into hospital just after new years with abdominal pain. Today the blood results and ct confirmed cancer in the liver but not primary. Awaiting MRI and biopsy.
I came here to read and learn and selfishly read posts to feed on some word of positivity that will cure my broken heart. My world just collapsed around me. Friends and family are all here and I can't look her in the face because every time it feels like the last.
Im usually her rock, but the news broke me. The impending fear of being given a death clock when results are in is reducing me to a shell of a human. I have 3 children with her and I can't even face them which is making me feel like a piece of shit parent. 
I don't even know the full extent but given the symptoms but I'm fearing the worst. How do you mentally carry on? I can't fight this fight for her and supporting from the corner just isn't enough. I'm so very lost. </t>
        </is>
      </c>
      <c r="D195" t="n">
        <v>1</v>
      </c>
      <c r="E195" t="n">
        <v>26</v>
      </c>
      <c r="F195">
        <f>HYPERLINK("https://www.reddit.com/r/cancer/comments/afahfz/helpless/")</f>
        <v/>
      </c>
      <c r="G195" t="inlineStr">
        <is>
          <t>2019-01-12 11:06:02</t>
        </is>
      </c>
      <c r="H195" t="inlineStr"/>
    </row>
    <row r="196">
      <c r="A196" t="inlineStr">
        <is>
          <t>afajxm</t>
        </is>
      </c>
      <c r="B196" t="inlineStr">
        <is>
          <t>First post here: Dad's head and neck cancer has grown over a cm and is near the carotid artery. How to deal?</t>
        </is>
      </c>
      <c r="C196" t="inlineStr">
        <is>
          <t>Hey r/cancer, as the title says..my Dad's last scan came back with very bad news. My family is shocked and obviously upset. We thought his last surgery was a success.  His tumor is growing fast and is on the path to the carotid artery. 
Anyone have experience or words? 
Thanks.</t>
        </is>
      </c>
      <c r="D196" t="n">
        <v>1</v>
      </c>
      <c r="E196" t="n">
        <v>2</v>
      </c>
      <c r="F196">
        <f>HYPERLINK("https://www.reddit.com/r/cancer/comments/afajxm/first_post_here_dads_head_and_neck_cancer_has/")</f>
        <v/>
      </c>
      <c r="G196" t="inlineStr">
        <is>
          <t>2019-01-12 11:13:16</t>
        </is>
      </c>
      <c r="H196" t="inlineStr"/>
    </row>
    <row r="197">
      <c r="A197" t="inlineStr">
        <is>
          <t>afb31t</t>
        </is>
      </c>
      <c r="B197" t="inlineStr">
        <is>
          <t>I'm confused about radiation and fertility</t>
        </is>
      </c>
      <c r="C197" t="inlineStr">
        <is>
          <t xml:space="preserve">So I've been in hospital for the past week and a bit being very unwell. I have spinal ependymoma and my doctor has now told me that he advises that I undertake localised radiation to shrink my tumor before surgery is attempted to remove it. But to be honest I'm fucking terrified. 
All I've wanted my whole life is to be a mum and have children someday. I'm only 21 and I'm scared that this could take that away. I know my family's opinion and my doctors but I'm just not sure. I know if I do the radiation it doesn't necessarily mean I won't be able to have children but there's a chance it could effect my fertility. 
Anyone else had these thoughts or been in a similar situation? </t>
        </is>
      </c>
      <c r="D197" t="n">
        <v>1</v>
      </c>
      <c r="E197" t="n">
        <v>0</v>
      </c>
      <c r="F197">
        <f>HYPERLINK("https://www.reddit.com/r/cancer/comments/afb31t/im_confused_about_radiation_and_fertility/")</f>
        <v/>
      </c>
      <c r="G197" t="inlineStr">
        <is>
          <t>2019-01-12 12:08:01</t>
        </is>
      </c>
      <c r="H197" t="inlineStr"/>
    </row>
    <row r="198">
      <c r="A198" t="inlineStr">
        <is>
          <t>afdt6e</t>
        </is>
      </c>
      <c r="B198" t="inlineStr">
        <is>
          <t>Cancer and the colonization of Mars (stop motion video)</t>
        </is>
      </c>
      <c r="C198" t="inlineStr">
        <is>
          <t>This is a Lego stop-motion video about the colonization of Mars. It's also a comment and inspiration in cancer. Or maybe it's just a vent for me.
I'm 36 years old, I'm the father of a 7 year old daughter and a 4 month old son. When my son was 2 months old, I got diagnosed with Hodgkin's Lymphoma, stage 4B. I started chemotherapy immediately.
Today I came out after round 2 of my BEACOPP chemo. It's so harsh. I've never tried anything like it. I moved back to my own parents while I'm in the active treatment  phase - that's about ten days each round. My wife can only handle two kids on her own. My parents then handle their chemo-incapacitated 36-old kid. Me. I miss my kids.  
So this morning was the first in the resting phase, me back home. We ate breakfast together, my kids, my wife, me. My 7-year old daughter made me promise we'd do something fun together. I had a cup of coffee for the first time in ten days. I could feel thoughts starting to run through my head again, at a normal pace for the first time. Then they sped up and kept speeding up. I've never felt this manic ever. Such an odd feeling.  
She wanted to play Lego with me. The brick toy. That's fine. I love Lego myself. The post-chemo manic accelerated. This was not just coffee. The project became more and more ambitious. The first humble space lego designs turned into bigger space base aspirations. The plans kept growing. And my daughter loved it. We even decided to make it a live stop-motion record for our project. A acyery-treatment manic 36 old and a Lego-crazy 7-year old is a fantastic combination when it comes to such.  
If you didn't already, now is the time to click the video and watch it. We made this, today - in mutual planning. This building there, this robot there. I don't know where the idea for the final meteor shower came from, but I know we both agreed my chemo-bald head would be the perfect meteor.  
So here it is. Our proud creation for today. A meticulously planned execution of the colonization of Mars. Probably also a comment on the dangers that always hang over the heads of brave explorers. And just maybe - there's a hidden metaphor in there, for life, cancer, getting hit out of wack, and hopefully pulling trough.  
(Hint; it's the fact that the meteor is a chemo-bald head. It symbolises cancer)  
Big shout out to /u/Ressuuuu who is going through the same right now. Thanks for sharing.  
![video](jouz7faj23a21)</t>
        </is>
      </c>
      <c r="D198" t="n">
        <v>1</v>
      </c>
      <c r="E198" t="n">
        <v>2</v>
      </c>
      <c r="F198">
        <f>HYPERLINK("https://www.reddit.com/r/cancer/comments/afdt6e/cancer_and_the_colonization_of_mars_stop_motion/")</f>
        <v/>
      </c>
      <c r="G198" t="inlineStr">
        <is>
          <t>2019-01-12 16:41:32</t>
        </is>
      </c>
      <c r="H198" t="inlineStr"/>
    </row>
    <row r="199">
      <c r="A199" t="inlineStr">
        <is>
          <t>afe430</t>
        </is>
      </c>
      <c r="B199" t="inlineStr">
        <is>
          <t>Cancer and the colonization of Mars (stop motion video)</t>
        </is>
      </c>
      <c r="C199" t="inlineStr">
        <is>
          <t>This is a Lego stop-motion video about the colonization of Mars. It's also a comment and inspiration in cancer. Or maybe it's just a vent for me.
I'm 36 years old, I'm the father of a 7 year old daughter and a 4 month old son. When my son was 2 months old, I got diagnosed with Hodgkin's Lymphoma, stage 4B. I started chemotherapy immediately.
Today I came out after round 2 of my BEACOPP chemo. It's so harsh. I've never tried anything like it. I moved back to my own parents while I'm in the active treatment  phase - that's about ten days each round. My wife can only handle two kids on her own. My parents then handle their chemo-incapacitated 36-old kid. Me. I miss my kids.  
So this morning was the first in the resting phase, me back home. We ate breakfast together, my kids, my wife, me. My 7-year old daughter made me promise we'd do something fun together. I had a cup of coffee for the first time in ten days. I could feel thoughts starting to run through my head again, at a normal pace for the first time. Then they sped up and kept speeding up. I've never felt this manic ever. Such an odd feeling.  
She wanted to play Lego with me. The brick toy. That's fine. I love Lego myself. The post-chemo manic accelerated. This was not just coffee. The project became more and more ambitious. The first humble space lego designs turned into bigger space base aspirations. The plans kept growing. And my daughter loved it. We even decided to make it a live stop-motion record for our project. A acyery-treatment manic 36 old and a Lego-crazy 7-year old is a fantastic combination when it comes to such.  
If you didn't already, now is the time to click the video and watch it. We made this, today - in mutual planning. This building there, this robot there. I don't know where the idea for the final meteor shower came from, but I know we both agreed my chemo-bald head would be the perfect meteor.  
So here it is. Our proud creation for today. A meticulously planned execution of the colonization of Mars. Probably also a comment on the dangers that always hang over the heads of brave explorers. And just maybe - there's a hidden metaphor in there, for life, cancer, getting hit out of wack, and hopefully pulling trough.  
(Hint; it's the fact that the meteor is a chemo-bald head. It symbolises cancer)  
Big shout out to /u/Ressuuuu who is going through the same right now. Thanks for sharing.  
![video](uwapkn4s93a21)</t>
        </is>
      </c>
      <c r="D199" t="n">
        <v>1</v>
      </c>
      <c r="E199" t="n">
        <v>12</v>
      </c>
      <c r="F199">
        <f>HYPERLINK("https://www.reddit.com/r/cancer/comments/afe430/cancer_and_the_colonization_of_mars_stop_motion/")</f>
        <v/>
      </c>
      <c r="G199" t="inlineStr">
        <is>
          <t>2019-01-12 17:14:12</t>
        </is>
      </c>
      <c r="H199" t="inlineStr"/>
    </row>
    <row r="200">
      <c r="A200" t="inlineStr">
        <is>
          <t>affdwa</t>
        </is>
      </c>
      <c r="B200" t="inlineStr">
        <is>
          <t>Cancer worries in our society</t>
        </is>
      </c>
      <c r="C200" t="inlineStr">
        <is>
          <t xml:space="preserve">Hi I’m seeing a lot of people around me get cancer. What can I be doing to avoid it at all costs? What are some health habits that won’t hurt and may reduce my risks? I’m trying to avoid dairy and processed foods and I’m also vegetarian. I’ve even started using all natural body wash and deodorants. Any suggestions? Thanks. </t>
        </is>
      </c>
      <c r="D200" t="n">
        <v>1</v>
      </c>
      <c r="E200" t="n">
        <v>16</v>
      </c>
      <c r="F200">
        <f>HYPERLINK("https://www.reddit.com/r/cancer/comments/affdwa/cancer_worries_in_our_society/")</f>
        <v/>
      </c>
      <c r="G200" t="inlineStr">
        <is>
          <t>2019-01-12 19:40:38</t>
        </is>
      </c>
      <c r="H200" t="inlineStr"/>
    </row>
    <row r="201">
      <c r="A201" t="inlineStr">
        <is>
          <t>afhxsj</t>
        </is>
      </c>
      <c r="B201" t="inlineStr">
        <is>
          <t>Unknown author perfect analogy of what’s its like to have cancer and go through treatment</t>
        </is>
      </c>
      <c r="C201" t="inlineStr">
        <is>
          <t xml:space="preserve">I don’t know who wrote this. I saw it someplace else and just had to share. I’ve never seen it here so hopefully not a repost.  Great read. 
What it's like to go thru cancer and treatment 
What’s it like to go through cancer treatment? 
It’s something like this: One day, you’re minding your own business, you open the fridge to get some breakfast, and OH MY GOD THERE’S A MOUNTAIN LION IN YOUR FRIDGE.
Wait, what? How? Why is there a mountain lion in your fridge? NO TIME TO EXPLAIN. RUN! THE MOUNTAIN LION WILL KILL YOU! UNLESS YOU FIND SOMETHING EVEN MORE FEROCIOUS TO KILL IT FIRST!
So you take off running, and the mountain lion is right behind you. You know the only thing that can kill a mountain lion is a bear, and the only bear is on top of the mountain, so you better find that bear. You start running up the mountain in hopes of finding the bear. Your friends desperately want to help, but they are powerless against mountain lions, as mountain lions are godless killing machines. But they really want to help, so they’re cheering you on and bringing you paper cups of water and orange slices as you run up the mountain and yelling at the mountain lion - “GET LOST, MOUNTAIN LION, NO ONE LIKES YOU” - and you really appreciate the support, but the mountain lion is still coming.
Also, for some reason, there’s someone in the crowd who’s yelling “that’s not really a mountain lion, it’s a puma” and another person yelling “I read that mountain lions are allergic to kale, have you tried rubbing kale on it?”
As you’re running up the mountain, you see other people fleeing their own mountain lions. Some of the mountain lions seem comparatively wimpy - they’re half grown and only have three legs or whatever, and you think to yourself - why couldn’t I have gotten one of those mountain lions? But then you look over at the people who are fleeing mountain lions the size of a monster truck with huge prehistoric saber fangs, and you feel like an asshole for even thinking that - and besides, who in their right mind would want to fight a mountain lion, even a three-legged one?
Finally, the person closest to you, whose job it is to take care of you - maybe a parent or sibling or best friend or, in my case, my husband - comes barging out of the woods and jumps on the mountain lion, whaling on it and screaming “GODDAMMIT MOUNTAIN LION, STOP TRYING TO EAT MY WIFE,” and the mountain lion punches your husband right in the face. Now your husband (or whoever) is rolling around on the ground clutching his nose, and he’s bought you some time, but you still need to get to the top of the mountain.
Eventually you reach the top, finally, and the bear is there. Waiting. For both of you. You rush right up to the bear, and the bear rushes the mountain lion, but the bear has to go through you to get to the mountain lion, and in doing so, the bear TOTALLY KICKS YOUR ASS, but not before it *also* punches your husband in the face. And your husband is now staggering around with a black eye and bloody nose, and saying, “Can I get some help, I’ve been punched in the face by two apex predators and I think my nose is broken,” and all you can say is “I’M KIND OF BUSY IN CASE YOU HADN’T NOTICED I’M FIGHTING A MOUNTAIN LION.”
Then, IF YOU ARE LUCKY, the bear leaps on the mountain lion and they are locked in epic battle until finally the two of them roll off a cliff edge together, and the mountain lion is dead. 
Maybe. You’re not sure - it fell off the cliff, but mountain lions are crafty. It could come back at any moment.
And all your friends come running up to you and say, “That was amazing! You’re so brave, we’re so proud of you! You didn’t die! That must be a huge relief!” 
Meanwhile, you blew out both your knees, you’re having an asthma attack, you twisted your ankle, and also you have been mauled by a bear. And everyone says “Boy, you must be excited to walk down the mountain!” And all you can think as you stagger to your feet is “Fuck this mountain, I never wanted to climb it in the first place.😳”
</t>
        </is>
      </c>
      <c r="D201" t="n">
        <v>1</v>
      </c>
      <c r="E201" t="n">
        <v>68</v>
      </c>
      <c r="F201">
        <f>HYPERLINK("https://www.reddit.com/r/cancer/comments/afhxsj/unknown_author_perfect_analogy_of_whats_its_like/")</f>
        <v/>
      </c>
      <c r="G201" t="inlineStr">
        <is>
          <t>2019-01-13 01:51:56</t>
        </is>
      </c>
      <c r="H201" t="inlineStr"/>
    </row>
    <row r="202">
      <c r="A202" t="inlineStr">
        <is>
          <t>afk8h2</t>
        </is>
      </c>
      <c r="B202" t="inlineStr">
        <is>
          <t>Cancer Prevention 7 tips to reduce your risk</t>
        </is>
      </c>
      <c r="C202" t="inlineStr">
        <is>
          <t>[https://www.treatmentsnew.com/cancer-prevention-7-tips-to-reduce-your-risk-2/](https://www.treatmentsnew.com/cancer-prevention-7-tips-to-reduce-your-risk-2/)</t>
        </is>
      </c>
      <c r="D202" t="n">
        <v>1</v>
      </c>
      <c r="E202" t="n">
        <v>0</v>
      </c>
      <c r="F202">
        <f>HYPERLINK("https://www.reddit.com/r/cancer/comments/afk8h2/cancer_prevention_7_tips_to_reduce_your_risk/")</f>
        <v/>
      </c>
      <c r="G202" t="inlineStr">
        <is>
          <t>2019-01-13 07:21:23</t>
        </is>
      </c>
      <c r="H202" t="inlineStr"/>
    </row>
    <row r="203">
      <c r="A203" t="inlineStr">
        <is>
          <t>afkpjx</t>
        </is>
      </c>
      <c r="B203" t="inlineStr">
        <is>
          <t>Can we still use herceptin(Trastuzumab) if we have stored in +5 +20 degrees for couple of hours?</t>
        </is>
      </c>
      <c r="C203" t="inlineStr">
        <is>
          <t>One of my close relatives have breast cancer (HER2 positive). Herceptin is quite expensive in my country so we decided to buy from other country nearby (Russia).  I just learned that it was not stored properly during the flight. Instead of storing it in container with ice (bags) , it was taken out of container wrapped with ice bags and clothes. It was transported in baggage during the flight. I check temperature of baggage  containment it is +5 to +15 ^(0)C. Recommended temperature for storing herceptin is 2-8 ^(0)C. Flight is about 3-4 hours , and it was during winter time (cold and snow outside).
I am really worried if herceptin is already expired due to temperature. I will be really happy if you can share you know knowledge about stability of herceptin at elevated temperature. 
&amp;amp;#x200B;
Thanks a lot!
&amp;amp;#x200B;
&amp;amp;#x200B;</t>
        </is>
      </c>
      <c r="D203" t="n">
        <v>1</v>
      </c>
      <c r="E203" t="n">
        <v>2</v>
      </c>
      <c r="F203">
        <f>HYPERLINK("https://www.reddit.com/r/cancer/comments/afkpjx/can_we_still_use_herceptintrastuzumab_if_we_have/")</f>
        <v/>
      </c>
      <c r="G203" t="inlineStr">
        <is>
          <t>2019-01-13 08:12:31</t>
        </is>
      </c>
      <c r="H203" t="inlineStr"/>
    </row>
    <row r="204">
      <c r="A204" t="inlineStr">
        <is>
          <t>afmi0b</t>
        </is>
      </c>
      <c r="B204" t="inlineStr">
        <is>
          <t>Feeling horrible</t>
        </is>
      </c>
      <c r="C204" t="inlineStr">
        <is>
          <t>While I was in the hospital for a round of chemo last week my parents came to visit me. Backstory, I’m 28 with a very rare form of cancer with less than 100 cases in literature. My chemo regimen is 2 doses of Cisplatin and 4 straight days of Doxorubicin followed by 2 rounds of high dose Methotrexate once my counts recover. I’ve had surgery to remove the tumor already that was in my hip. I’m now left with a rebuilt hip, from part of my pelvis being cut out and replaced to a quarter of my femur being replaced. I have an almost 3 year old daughter and my wife and I really want at least 1 more. I’ve always been active with sports and saw myself teaching/coaching/playing sports with my kids but I’ll never be able to even run again. Nothing above low impact on my leg or I’ll dislocate my hip.
While my parents were visiting my dad told me again that if he could trade places and take this from me he would. It’s not the first time he’s told me this and being a dad myself now I would feel the exact same. The difference this time is that for the first time, I honestly felt like I wish I could let him take it. I don’t know if it hadn’t set in before just how much my life was going to change but I always thought to myself that I wouldn’t want him to have this. I can’t help but feel guilty that I wish he could take it. Has anyone else felt this way before? I wouldn’t wish cancer on anyone, save for people like Hitler maybe, and I hate that I wish I could let my dad take this for me.</t>
        </is>
      </c>
      <c r="D204" t="n">
        <v>1</v>
      </c>
      <c r="E204" t="n">
        <v>8</v>
      </c>
      <c r="F204">
        <f>HYPERLINK("https://www.reddit.com/r/cancer/comments/afmi0b/feeling_horrible/")</f>
        <v/>
      </c>
      <c r="G204" t="inlineStr">
        <is>
          <t>2019-01-13 11:00:47</t>
        </is>
      </c>
      <c r="H204" t="inlineStr"/>
    </row>
    <row r="205">
      <c r="A205" t="inlineStr">
        <is>
          <t>afmrc4</t>
        </is>
      </c>
      <c r="B205" t="inlineStr">
        <is>
          <t>Anyone go into the medical field after getting their diagnosis or being a caregiver?</t>
        </is>
      </c>
      <c r="C205" t="inlineStr">
        <is>
          <t xml:space="preserve">I've always been interested in medicine, but always balked at the amount of time it takes to get a degree. I am high school graduate, some college, but never finished. I got into the tech field when I was 22, since I was already into computers from a very young age. Now at 42, I have a six figure salary, I work at a great company with people I enjoy being around, the work is challenging. 
But the work feels so empty since I got my diagnosis. I've found myself wondering if I could make a switch. You know, big cancer thoughts about what I am doing with my life, now that I know I don't have as much left of it as I thought.
I've been fascinated spending time in the hospital around the staff, researching  my condition, and just learning about the complexity of the human body. Most of all though, I love the idea of having a job where showing someone a small kindness can make a huge difference in that person's life. My anesthesiologist, for example, who comforted me and held my hand when I was having a breakdown because I thought I was cancer free up until moments before they started the procedure. Or the nurse that joked with me about ice chips. These little things really move me deeply and I wish I could do that for others.
Sorry for such a long-winded post, but has anyone ever moved into this field after having cancer enter their lives? If not, does anyone know of volunteer type opportunities at hospitals that could take advantage of my tech talents or just spend time with people? 
Thanks for reading, good luck, and good health to you all. </t>
        </is>
      </c>
      <c r="D205" t="n">
        <v>1</v>
      </c>
      <c r="E205" t="n">
        <v>1</v>
      </c>
      <c r="F205">
        <f>HYPERLINK("https://www.reddit.com/r/cancer/comments/afmrc4/anyone_go_into_the_medical_field_after_getting/")</f>
        <v/>
      </c>
      <c r="G205" t="inlineStr">
        <is>
          <t>2019-01-13 11:24:07</t>
        </is>
      </c>
      <c r="H205" t="inlineStr"/>
    </row>
    <row r="206">
      <c r="A206" t="inlineStr">
        <is>
          <t>afowd2</t>
        </is>
      </c>
      <c r="B206" t="inlineStr">
        <is>
          <t>Terrified of cancer</t>
        </is>
      </c>
      <c r="C206" t="inlineStr">
        <is>
          <t>Hey guys, first post here. I’m afraid I have penile cancer. I have every symptom and my lymph nodes are extremely swollen. I’m absolutely terrified and I was hoping some of you could help me thru this period and answer some of my questions. I know I haven’t been thru half of the stuff you guys have but I’d love to talk to some of you. Thanks for your time.</t>
        </is>
      </c>
      <c r="D206" t="n">
        <v>1</v>
      </c>
      <c r="E206" t="n">
        <v>2</v>
      </c>
      <c r="F206">
        <f>HYPERLINK("https://www.reddit.com/r/cancer/comments/afowd2/terrified_of_cancer/")</f>
        <v/>
      </c>
      <c r="G206" t="inlineStr">
        <is>
          <t>2019-01-13 14:41:38</t>
        </is>
      </c>
      <c r="H206" t="inlineStr"/>
    </row>
    <row r="207">
      <c r="A207" t="inlineStr">
        <is>
          <t>afp1ix</t>
        </is>
      </c>
      <c r="B207" t="inlineStr">
        <is>
          <t>Hair growth after cancer??</t>
        </is>
      </c>
      <c r="C207" t="inlineStr">
        <is>
          <t xml:space="preserve">It’s been three years after I have beat cancer (non-Hodgkins lymphoma). However the top half of my head is basically still bald and the hairs are very thin. I wore a hat all through chemo and for two years after, for I was embarrassed about my baldness. But now the area that the hat covered is the only part which hasn’t grown back yet. I’ve learned to except my hair and have stopped wearing a hat all together. The hair constantly falls off at this location at the roots (I can see the white bulbs of skin on the end of the hair strains) . My hair is like that of a babies and is not recovering. 
Is it possible that my hat has cause damage to my scalp and it’s ability to regrow it’s hair? And is there any recommendations to help with its growth ex. Shave my head to allow it to start over, or certain shampoos?
Note I don’t expose my head to hot waters which could further damage my hair. I use a biotin infused shampoo and conditioner that lacks harmful chemicals and wash it every three days or so unless it gets super oily. I have tried “natural” vitamins that claim to help with hair growth with no results.Any advise will be helpful as I want to have a little thicker hair by the time I go off to college in about 8 months time.
Thanks!!
Ps. I am 18 and in healthy condition and have a pretty good diet. I am active and fit. 
PPS. I plan on posting this to multiple subreddits
</t>
        </is>
      </c>
      <c r="D207" t="n">
        <v>1</v>
      </c>
      <c r="E207" t="n">
        <v>13</v>
      </c>
      <c r="F207">
        <f>HYPERLINK("https://www.reddit.com/r/cancer/comments/afp1ix/hair_growth_after_cancer/")</f>
        <v/>
      </c>
      <c r="G207" t="inlineStr">
        <is>
          <t>2019-01-13 14:56:18</t>
        </is>
      </c>
      <c r="H207" t="inlineStr"/>
    </row>
    <row r="208">
      <c r="A208" t="inlineStr">
        <is>
          <t>afq19h</t>
        </is>
      </c>
      <c r="B208" t="inlineStr">
        <is>
          <t>What is the chance I get a 2nd cancer?</t>
        </is>
      </c>
      <c r="C208" t="inlineStr">
        <is>
          <t>I’m 27 I just found out a month ago that I’ve had a slow growing cancer since I was 20. It was skin cancer and I had it removed last week with clear margins.
Since then I’ve been very anxious, my aunt got cancer and so that only builds on my anxiety.
My question is does getting skin cancer already, mean that the odds of me getting another is reduced? I heard along time ago that 1/3 males get a cancer in their lifetime?
The cancer I had was a very rare slow growing, non metabolizing cancer that has a low rate of remission, but still every little pain I get gives me anxiety.
Thank you</t>
        </is>
      </c>
      <c r="D208" t="n">
        <v>1</v>
      </c>
      <c r="E208" t="n">
        <v>11</v>
      </c>
      <c r="F208">
        <f>HYPERLINK("https://www.reddit.com/r/cancer/comments/afq19h/what_is_the_chance_i_get_a_2nd_cancer/")</f>
        <v/>
      </c>
      <c r="G208" t="inlineStr">
        <is>
          <t>2019-01-13 16:39:09</t>
        </is>
      </c>
      <c r="H208" t="inlineStr"/>
    </row>
    <row r="209">
      <c r="A209" t="inlineStr">
        <is>
          <t>afq5q2</t>
        </is>
      </c>
      <c r="B209" t="inlineStr">
        <is>
          <t>I can’t help it but feel like I’m just being dramatic.</t>
        </is>
      </c>
      <c r="C209" t="inlineStr">
        <is>
          <t xml:space="preserve">I don’t know why my mind goes there. I’m only stage 1 cervical cancer, which is great. Stage 1 is definitely curable. However, I’m only 31 and don’t even have a boyfriend. Last week I saw my doctors and they will be scheduling surgery within the next few weeks. Surgery will be a full hysterectomy, which means I won’t ever be able to have children. As surgery approaches, the more days I spent thinking about the fact that I will never be able to have children of my own. The doctor said they will refer me to a fertility specialist to discuss the positivity of freezing my eggs. I can talk all about it but the fact remains that I don’t have 6K-10K dollars to freeze my eggs. My family helped me raise 5k dollars to help with medical expenses but that’s all gone. All of this is messing with me so much. Then I hate when people tell me, “oh but you have other options, like adopting or fostering”. It’s not the same. I know I have those options, but again, it’s not the same. Now I’m starting to feel guilty and thinking I’m making a big deal is this because other people have it worse. I should be happy that I’m only stage 1. I’m just so sad. </t>
        </is>
      </c>
      <c r="D209" t="n">
        <v>1</v>
      </c>
      <c r="E209" t="n">
        <v>27</v>
      </c>
      <c r="F209">
        <f>HYPERLINK("https://www.reddit.com/r/cancer/comments/afq5q2/i_cant_help_it_but_feel_like_im_just_being/")</f>
        <v/>
      </c>
      <c r="G209" t="inlineStr">
        <is>
          <t>2019-01-13 16:52:25</t>
        </is>
      </c>
      <c r="H209" t="inlineStr"/>
    </row>
    <row r="210">
      <c r="A210" t="inlineStr">
        <is>
          <t>afqtpd</t>
        </is>
      </c>
      <c r="B210" t="inlineStr">
        <is>
          <t>Wondering how to support a dear friend from afar?</t>
        </is>
      </c>
      <c r="C210" t="inlineStr">
        <is>
          <t xml:space="preserve">TL;DR: Any suggestions for how to support a friend [28] diagnosed with lung cancer from afar? Aside from phone calls and cards. 
Hi, firstly, I’m so humbled by all of you here. The way you’re facing this (either directly or by supporting someone else) is awe inspiring. 
Secondly, fuck cancer. 
Ok—so a very dear friend of mine has just been diagnosed with lung cancer. They’ve not really told me much more about what’s going on (like how bad is it, etc) than the basics and I’m not interested in pressing that. I call and text and I’m available absolutely whenever they need/want to talk. They have started treatment this week and I know it’s going to be really hard and scary. 
I live far away but I’m going to visit them next week. After that though, I likely won’t be able to see them in person for a long while. 
Does anyone have suggestions for things I can do/send them from afar? I thought about sending a care package(s) but I don’t know what makes life easier for someone in this situation and I don’t think they’ll want to talk about symptoms. Also I thought about sending Grubhub credit or somehow ordering a meal for them once a month or something. I want them to feel loved and supported. 
</t>
        </is>
      </c>
      <c r="D210" t="n">
        <v>1</v>
      </c>
      <c r="E210" t="n">
        <v>17</v>
      </c>
      <c r="F210">
        <f>HYPERLINK("https://www.reddit.com/r/cancer/comments/afqtpd/wondering_how_to_support_a_dear_friend_from_afar/")</f>
        <v/>
      </c>
      <c r="G210" t="inlineStr">
        <is>
          <t>2019-01-13 18:04:34</t>
        </is>
      </c>
      <c r="H210" t="inlineStr"/>
    </row>
    <row r="211">
      <c r="A211" t="inlineStr">
        <is>
          <t>afrai3</t>
        </is>
      </c>
      <c r="B211" t="inlineStr">
        <is>
          <t>Best support for terminal diagnosis?</t>
        </is>
      </c>
      <c r="C211" t="inlineStr">
        <is>
          <t xml:space="preserve">This is my first time posting here and I will keep it short and to the point. I have an extremely close family friend with multiple stage 4 brain tumours who's treatment has recently been stopped and who has been told she only has months left to live. We are very close and my family/myself have been trying to support her as best as we can. This has come as a massive shock as she was about to get the all clear, so this has happened over a short period of time. We are trying to go about day to day life with as much normality as possible and keeping things light humoured. I am just wondering if anyone has any pointers/suggestions of what my family and I can do to best support this individual - the advice I have been giving my family is to just try to maintain normality, be there when needed and enjoy each day we have. I am not experienced in dealing close relatives who are terminally ill and at times am finding it hard to process. I am wondering if there is anything else I can to help? </t>
        </is>
      </c>
      <c r="D211" t="n">
        <v>1</v>
      </c>
      <c r="E211" t="n">
        <v>9</v>
      </c>
      <c r="F211">
        <f>HYPERLINK("https://www.reddit.com/r/cancer/comments/afrai3/best_support_for_terminal_diagnosis/")</f>
        <v/>
      </c>
      <c r="G211" t="inlineStr">
        <is>
          <t>2019-01-13 18:56:38</t>
        </is>
      </c>
      <c r="H211" t="inlineStr"/>
    </row>
    <row r="212">
      <c r="A212" t="inlineStr">
        <is>
          <t>afrhqx</t>
        </is>
      </c>
      <c r="B212" t="inlineStr">
        <is>
          <t>Questions regarding symptoms.</t>
        </is>
      </c>
      <c r="C212" t="inlineStr">
        <is>
          <t xml:space="preserve">I am a 26(M) and for the past year, I have had a little bit of blood on toilet paper when wiping. But just two days ago and last night I had a lot of blood come out. When I say a lot I mean the whole toilet is full of bright red blood and a lot of blood when I wipe. It just recently tonight got a little better with only a little bit of blood in stool at the end and some on toilet paper. My Great-grandpa died from colon cancer and my Grandpa just recently got diagnosed with coloncancer and I believe is beating it. This is freaking me out and I don't know what to do as I don't even have insurance. </t>
        </is>
      </c>
      <c r="D212" t="n">
        <v>1</v>
      </c>
      <c r="E212" t="n">
        <v>8</v>
      </c>
      <c r="F212">
        <f>HYPERLINK("https://www.reddit.com/r/cancer/comments/afrhqx/questions_regarding_symptoms/")</f>
        <v/>
      </c>
      <c r="G212" t="inlineStr">
        <is>
          <t>2019-01-13 19:19:27</t>
        </is>
      </c>
      <c r="H212" t="inlineStr"/>
    </row>
    <row r="213">
      <c r="A213" t="inlineStr">
        <is>
          <t>afrtfn</t>
        </is>
      </c>
      <c r="B213" t="inlineStr">
        <is>
          <t>Multiple different cancers simultaneously - rare?</t>
        </is>
      </c>
      <c r="C213" t="inlineStr">
        <is>
          <t xml:space="preserve">It’s been... a year.
In January 2018 my mother was diagnosed with high grade utterance cancer and had a radical hysterectomy. Luckily they found it early. It was stage 1a, but given the high grade and the rareness of the type, it was quite scary since it’s aggressive with high rate or recurrence. Not to mention the biopsy noted there were TWO different cancers in her uterus - clear cell, and endometroid carcinoma.
My mother had tonnes of complications from her surgery: internal bleeding, blood clots, and infection, and then C-diff. It was six months of constant hospitalizations. During that time they did a cavity scan and found a node in her lung. One year almost to the day from her last surgery, she just had the node removed. It was malignant, but not a metastasis... it’s apparently a THIRD type of cancer - a slow growing one.
Luckily it appears it is again low stage (knock on wood, since we haven’t gotten the pathology back and I don’t want to jinx it) but... I can’t help but feel like my mother must be literally the most lucky unlucky person in the world. I mean, what are the odds? How is this possible? It’s so... freaky.
Has anyone had multiple different simultaneous cancers? </t>
        </is>
      </c>
      <c r="D213" t="n">
        <v>1</v>
      </c>
      <c r="E213" t="n">
        <v>7</v>
      </c>
      <c r="F213">
        <f>HYPERLINK("https://www.reddit.com/r/cancer/comments/afrtfn/multiple_different_cancers_simultaneously_rare/")</f>
        <v/>
      </c>
      <c r="G213" t="inlineStr">
        <is>
          <t>2019-01-13 19:57:21</t>
        </is>
      </c>
      <c r="H213" t="inlineStr"/>
    </row>
    <row r="214">
      <c r="A214" t="inlineStr">
        <is>
          <t>afsc1m</t>
        </is>
      </c>
      <c r="B214" t="inlineStr">
        <is>
          <t>Do the memories ever come back?</t>
        </is>
      </c>
      <c r="C214" t="inlineStr">
        <is>
          <t>It’s been long year, but my dad’s battle with glioblastoma is finally over. He was diagnosed in Febuary 2018. Even after a craniotomy, radiation and chemotherapy, nothing stopped the growth of the tumor. He was placed in a palliative unit in November after losing most of the motor function on his left side, and was placed in a medically induced coma yesterday due to major respiratory distress. I got a call this evening from my mom saying he was gone, so I rushed over to the hospital. It was really emotional seeing his mom and dad and other family there, so I just kinda sat and looked at his body for an hour. I felt like I could almost see him breathing.
I started to realize that his body just looked unfamiliar after a while. And when I thought about it, I realized I couldn’t even remember his voice anymore. He was only 47 years old when he passed, so I only had 20 years of memories with him, but even now, it feels like all of those have been wiped away. I just broke down when I realized I couldn’t remember anything, and even though my family and friends were saying they’ll come back, I just wanted to ask someone who’s gone through this whole process. Do they come back? Do you remember the good and the bad times? Do you remember their voices eventually? I’m just scared those memories will be gone forever, and those memories are the only thing I had left.</t>
        </is>
      </c>
      <c r="D214" t="n">
        <v>1</v>
      </c>
      <c r="E214" t="n">
        <v>7</v>
      </c>
      <c r="F214">
        <f>HYPERLINK("https://www.reddit.com/r/cancer/comments/afsc1m/do_the_memories_ever_come_back/")</f>
        <v/>
      </c>
      <c r="G214" t="inlineStr">
        <is>
          <t>2019-01-13 20:59:30</t>
        </is>
      </c>
      <c r="H214" t="inlineStr"/>
    </row>
    <row r="215">
      <c r="A215" t="inlineStr">
        <is>
          <t>afuxwi</t>
        </is>
      </c>
      <c r="B215" t="inlineStr">
        <is>
          <t>Long term survivors: how do you deal with it?</t>
        </is>
      </c>
      <c r="C215" t="inlineStr">
        <is>
          <t xml:space="preserve">I’ve always been sort of reclusive in that I’d rather not tell people how I’m doing. On the internet when I’m anonymous or at a club where I probably won’t see the other person again, I don’t really care so I can open up in those circumstances. 
With my family and friends I feel like I have to keep it all inside. Nothing they say or do can change what’s been, what I say or do can change the way they view me. I don’t really know how I got in this situation, with friends telling me how strong I am and telling me I’m a motivation etc. I’ve never really felt that, I’ve just chosen not to open up about how I really feel. I didn’t really have a goal with not opening, all I knew was that I’d see the pain in their eyes and I wanted that to go away. By acting like I wasn’t fazed by anything it feels like they don’t really know who I am anymore. Every time I think about opening up I just feel like I’d let them all down, it’s been so long now. 
The cancer started growing age 10. I got the diagnosis age 14, after years of pain. I was too young so I didn’t really understand what was happening, I didn’t know what to do so I just acted like I was fine. After a few years of chemo/radiation therapy and surgeries I was free of cancer at age 17. For no reason I just continued acting like I was fine. In reality I was suppressing my emotions and getting worse by the day. Then the cancer returned a year ago when I was 22 and my leg was amputated, and again I acted like I wasn’t bothered. I feel like I’m losing myself and I don’t really know what to do to stop it. 
I’ve talked with many different therapists and I do think I’m getting sort of better, I guess I’m just looking for advice from someone that’s gone through something similar. Any thoughts/ideas on how to handle this?
</t>
        </is>
      </c>
      <c r="D215" t="n">
        <v>1</v>
      </c>
      <c r="E215" t="n">
        <v>12</v>
      </c>
      <c r="F215">
        <f>HYPERLINK("https://www.reddit.com/r/cancer/comments/afuxwi/long_term_survivors_how_do_you_deal_with_it/")</f>
        <v/>
      </c>
      <c r="G215" t="inlineStr">
        <is>
          <t>2019-01-14 03:28:59</t>
        </is>
      </c>
      <c r="H215" t="inlineStr"/>
    </row>
    <row r="216">
      <c r="A216" t="inlineStr">
        <is>
          <t>afv3ne</t>
        </is>
      </c>
      <c r="B216" t="inlineStr">
        <is>
          <t>BORTENAT 2MG INJECTION ( NATCO ) - Buy BORTENAT 2MG INJECTION Online at best Price in India-Blueberry pharmaceuticals</t>
        </is>
      </c>
      <c r="C216" t="inlineStr">
        <is>
          <t xml:space="preserve">[Bortenat 2mg](https://blueberrypharma.com/bortenat-2mg.php)Injection is an anticancer agent used in the treatment of multiple myeloma (a cancer of the bone marrow), and mantle cell lymphoma @Blueberry pharmaceuticals </t>
        </is>
      </c>
      <c r="D216" t="n">
        <v>1</v>
      </c>
      <c r="E216" t="n">
        <v>0</v>
      </c>
      <c r="F216">
        <f>HYPERLINK("https://www.reddit.com/r/cancer/comments/afv3ne/bortenat_2mg_injection_natco_buy_bortenat_2mg/")</f>
        <v/>
      </c>
      <c r="G216" t="inlineStr">
        <is>
          <t>2019-01-14 03:53:53</t>
        </is>
      </c>
      <c r="H216" t="inlineStr"/>
    </row>
    <row r="217">
      <c r="A217" t="inlineStr">
        <is>
          <t>afx9oi</t>
        </is>
      </c>
      <c r="B217" t="inlineStr">
        <is>
          <t>Family asks for people worldwide to send cards, letters to boy, 4, diagnosed with cancer</t>
        </is>
      </c>
      <c r="C217" t="inlineStr">
        <is>
          <t xml:space="preserve">
A family is asking for people across the globe to help support a boy with cancer. 
Malcolm McGregor, 4, learned on Dec. 24 he has cancer, his family said. He has already begun undergoing chemotherapy treatment.
“We’ve only been home four days since Christmas Eve,” his mom, Tracy McGregor, said Sunday.
Malcolm has neuroblastoma. It forms in immature nerve tissue, often in early childhood, according to the National Cancer Institute.
A superheroes fan, he named his tumor Shredder, the Teenage Mutant Ninja Turtles' archnemesis, the Wisconsin Rapids Tribune reported.  When he’s asked who his favorite superhero is, he responds, “All of them.” His mom said he likes any of them that are blue.
On Wednesday the family said it’s looking for cards and letters from people all over the world. People from about five states have already sent their support, and they often call Malcolm their superhero.
Tracy McGregor said he doesn’t quite understand the severity of it, but he thinks it’s cool that people are thinking about him.
Cards can be sent to the following address:
Malcolm McGregor 
P.O. Box 322 
Wisconsin Rapids, WI 54495-0322
</t>
        </is>
      </c>
      <c r="D217" t="n">
        <v>1</v>
      </c>
      <c r="E217" t="n">
        <v>11</v>
      </c>
      <c r="F217">
        <f>HYPERLINK("https://www.reddit.com/r/cancer/comments/afx9oi/family_asks_for_people_worldwide_to_send_cards/")</f>
        <v/>
      </c>
      <c r="G217" t="inlineStr">
        <is>
          <t>2019-01-14 08:09:45</t>
        </is>
      </c>
      <c r="H217" t="inlineStr"/>
    </row>
    <row r="218">
      <c r="A218" t="inlineStr">
        <is>
          <t>afz2so</t>
        </is>
      </c>
      <c r="B218" t="inlineStr">
        <is>
          <t>Mom has a mass in breast</t>
        </is>
      </c>
      <c r="C218" t="inlineStr">
        <is>
          <t>My mother is going tomorrow for a biopsy. Does anyone know of any eastern medicinal interventions like homeopathic stuff??</t>
        </is>
      </c>
      <c r="D218" t="n">
        <v>1</v>
      </c>
      <c r="E218" t="n">
        <v>3</v>
      </c>
      <c r="F218">
        <f>HYPERLINK("https://www.reddit.com/r/cancer/comments/afz2so/mom_has_a_mass_in_breast/")</f>
        <v/>
      </c>
      <c r="G218" t="inlineStr">
        <is>
          <t>2019-01-14 11:03:12</t>
        </is>
      </c>
      <c r="H218" t="inlineStr"/>
    </row>
    <row r="219">
      <c r="A219" t="inlineStr">
        <is>
          <t>ag0ynd</t>
        </is>
      </c>
      <c r="B219" t="inlineStr">
        <is>
          <t>I've been dealing with cancer for 5 years, we just found out my husband joined the club and has colon cancer.</t>
        </is>
      </c>
      <c r="C219" t="inlineStr">
        <is>
          <t>I'm mostly just venting. We're young, both under 45. We have kids. They caught his cancer early, it hasn't spread, and isn't aggressive. Right now, since it was all surgically removed, no treatment. He'll get scanned in a few months and it's unlikely to return. I mean it is pretty good news in the cancer realm. After having cancer we know there's cancer that isn't so bad and cancer that is really bad. 
But damn. Both of us. It's so upsetting. We aren't going to even tell the kids since he isn't getting treatment and it seems silly to stress them further.
I'm just venting. I'm thankful they got it early and got it all. But I'm just reeling from the news there's no longer a good back-up parent.</t>
        </is>
      </c>
      <c r="D219" t="n">
        <v>1</v>
      </c>
      <c r="E219" t="n">
        <v>26</v>
      </c>
      <c r="F219">
        <f>HYPERLINK("https://www.reddit.com/r/cancer/comments/ag0ynd/ive_been_dealing_with_cancer_for_5_years_we_just/")</f>
        <v/>
      </c>
      <c r="G219" t="inlineStr">
        <is>
          <t>2019-01-14 13:58:52</t>
        </is>
      </c>
      <c r="H219" t="inlineStr"/>
    </row>
    <row r="220">
      <c r="A220" t="inlineStr">
        <is>
          <t>ag207v</t>
        </is>
      </c>
      <c r="B220" t="inlineStr">
        <is>
          <t>Doing It For Laura - 19yr old diagnosed with Glioblastoma (GBM) Stage 4 brain cancer.</t>
        </is>
      </c>
      <c r="C220" t="inlineStr">
        <is>
          <t>Laura Nuttall - a family friend has recently been diagnosed with Glioblastoma (GBM) Stage 4 brain cancer - incurable and aggressive, with a common length of survival of 12 to 15 months.  Tragically, she is only 19 years old and had so much life ahead of her.
&amp;amp;#x200B;
Laura is an incredibly strong character and this year had completed her first running Marathon around Lake Windermere in the UK.  Her local running club Trawden AC has been fundraising and raising awareness under the name 'Doing It For Laura'
&amp;amp;#x200B;
Her family has setup a GoFundMe page to fund experimental treatments, specifically DCVax immunotherapy treatments.  
[https://www.gofundme.com/ngdq37-doing-it-for-laura](https://www.gofundme.com/ngdq37-doing-it-for-laura)
&amp;amp;#x200B;
Here is a local news video of Laura and her family....  please take a minute to watch and share.  If you feel you could help by making a small donation, the family would be so very grateful. 
&amp;amp;#x200B;
\#doingitforlaura  www.doingitforlaura.co.uk
&amp;amp;#x200B;
![video](jiz62rtt3ha21)</t>
        </is>
      </c>
      <c r="D220" t="n">
        <v>1</v>
      </c>
      <c r="E220" t="n">
        <v>0</v>
      </c>
      <c r="F220">
        <f>HYPERLINK("https://www.reddit.com/r/cancer/comments/ag207v/doing_it_for_laura_19yr_old_diagnosed_with/")</f>
        <v/>
      </c>
      <c r="G220" t="inlineStr">
        <is>
          <t>2019-01-14 15:39:42</t>
        </is>
      </c>
      <c r="H220" t="inlineStr"/>
    </row>
    <row r="221">
      <c r="A221" t="inlineStr">
        <is>
          <t>ag21f6</t>
        </is>
      </c>
      <c r="B221" t="inlineStr">
        <is>
          <t>I miss you so much daddy</t>
        </is>
      </c>
      <c r="C221" t="inlineStr">
        <is>
          <t xml:space="preserve">It’s been 2 months and 9 days and I still cry about you in the shower. I got a tattoo on my arm to honor you. I miss you so much and as selfish as it may seem, I do wish you were still here with me. But I’m happy you are free </t>
        </is>
      </c>
      <c r="D221" t="n">
        <v>1</v>
      </c>
      <c r="E221" t="n">
        <v>2</v>
      </c>
      <c r="F221">
        <f>HYPERLINK("https://www.reddit.com/r/cancer/comments/ag21f6/i_miss_you_so_much_daddy/")</f>
        <v/>
      </c>
      <c r="G221" t="inlineStr">
        <is>
          <t>2019-01-14 15:43:05</t>
        </is>
      </c>
      <c r="H221" t="inlineStr"/>
    </row>
    <row r="222">
      <c r="A222" t="inlineStr">
        <is>
          <t>ag2ynn</t>
        </is>
      </c>
      <c r="B222" t="inlineStr">
        <is>
          <t>Dear friend w/Stage 4 GBM, who is the only parent of 14 yr old</t>
        </is>
      </c>
      <c r="C222" t="inlineStr">
        <is>
          <t>Hello all,
My friend was told to expect another month or so.  She has raised her daughter alone, so they were/are quite a pair.  The daughter will be living with a good family (family friend).  Diagnosis came a year ago, and daughter is currently in "angry teenager mode", and it's directed at Mom.  Also, the daughter is a very very deep emotional thinker.
I'm sure that if the daughter lets herself stop being angry at Mom, then she'll be realizing that Mom is REALLY dying.
But now, Mom really is dying....
Please, thoughts?</t>
        </is>
      </c>
      <c r="D222" t="n">
        <v>1</v>
      </c>
      <c r="E222" t="n">
        <v>8</v>
      </c>
      <c r="F222">
        <f>HYPERLINK("https://www.reddit.com/r/cancer/comments/ag2ynn/dear_friend_wstage_4_gbm_who_is_the_only_parent/")</f>
        <v/>
      </c>
      <c r="G222" t="inlineStr">
        <is>
          <t>2019-01-14 17:19:17</t>
        </is>
      </c>
      <c r="H222" t="inlineStr"/>
    </row>
    <row r="223">
      <c r="A223" t="inlineStr">
        <is>
          <t>ag2yzs</t>
        </is>
      </c>
      <c r="B223" t="inlineStr">
        <is>
          <t>Getting drug API from China</t>
        </is>
      </c>
      <c r="C223" t="inlineStr">
        <is>
          <t>My close friend have multiple myeloma, he needs a drug called Melphalan. It is expansive and we are having problem paying for it. I have heard people getting API from China and getting good results. Can anyone give me some instructions on how to get it?</t>
        </is>
      </c>
      <c r="D223" t="n">
        <v>1</v>
      </c>
      <c r="E223" t="n">
        <v>0</v>
      </c>
      <c r="F223">
        <f>HYPERLINK("https://www.reddit.com/r/cancer/comments/ag2yzs/getting_drug_api_from_china/")</f>
        <v/>
      </c>
      <c r="G223" t="inlineStr">
        <is>
          <t>2019-01-14 17:20:21</t>
        </is>
      </c>
      <c r="H223" t="inlineStr"/>
    </row>
    <row r="224">
      <c r="A224" t="inlineStr">
        <is>
          <t>ag4ucn</t>
        </is>
      </c>
      <c r="B224" t="inlineStr">
        <is>
          <t>Everything is riding on tomorrow</t>
        </is>
      </c>
      <c r="C224" t="inlineStr">
        <is>
          <t xml:space="preserve">Tomorrow, my mom gets back part of the results from her recent bone marrow biopsy. In September of 2017, she was diagnosed with a rare form of blood cancer. She underwent a bone marrow transplant in January 2018 and was declared disease-free shortly thereafter. The cancer then returned this past June, only to disappear a second time after she received treatment. 
My father is an oncologist and is intensely involved in her treatment and care. According to him, if the results are negative that means she will have no choice but to undergo a second transplant, or simply give up and die. The mortality rate of patients receiving a second transplant is 30% (meaning the people who die during the process of receiving the transplant). 50% of patients will survive the transplant and not be cured (dying a couple weeks later, at most a month). The other 20% fall under the category of "cured." 
In other words, the results that come back tomorrow will essentially tell us whether she will live, or whether she will die. She is in deep denial over the severity of her situation. She refuses to even consider the fact that she could die. It makes me sick to my stomach thinking of how she'll react if/when she's finally forced to acknowledge that the end is near. 
How do you guys cope with the anxiety of waiting for test results? I have a ton of work to do, but my mind is racing and I can't think about anything else. I want to think positive thoughts, but the past year has been filled with so much negativity and bad news that the thought of tomorrow going well is unfathomable to me. </t>
        </is>
      </c>
      <c r="D224" t="n">
        <v>1</v>
      </c>
      <c r="E224" t="n">
        <v>0</v>
      </c>
      <c r="F224">
        <f>HYPERLINK("https://www.reddit.com/r/cancer/comments/ag4ucn/everything_is_riding_on_tomorrow/")</f>
        <v/>
      </c>
      <c r="G224" t="inlineStr">
        <is>
          <t>2019-01-14 20:47:41</t>
        </is>
      </c>
      <c r="H224" t="inlineStr"/>
    </row>
    <row r="225">
      <c r="A225" t="inlineStr">
        <is>
          <t>ag4wwu</t>
        </is>
      </c>
      <c r="B225" t="inlineStr">
        <is>
          <t>Sexuality and Cervical/Uterine Cancer?</t>
        </is>
      </c>
      <c r="C225" t="inlineStr">
        <is>
          <t>Ladies that have had cervical/uterine cancer, do you ever get your sex drive back?
I just gave birth, then had several surgeries for cervical cancer and then uterine vascular bleeding (another surgery coming up this week). Both surgeries are through the cervix and now I'm having a hard time imagining anyone touching me again, including my incredible husband. Just too much going on down there. Has anyone else gone through this?</t>
        </is>
      </c>
      <c r="D225" t="n">
        <v>1</v>
      </c>
      <c r="E225" t="n">
        <v>3</v>
      </c>
      <c r="F225">
        <f>HYPERLINK("https://www.reddit.com/r/cancer/comments/ag4wwu/sexuality_and_cervicaluterine_cancer/")</f>
        <v/>
      </c>
      <c r="G225" t="inlineStr">
        <is>
          <t>2019-01-14 20:56:40</t>
        </is>
      </c>
      <c r="H225" t="inlineStr"/>
    </row>
    <row r="226">
      <c r="A226" t="inlineStr">
        <is>
          <t>ag4x74</t>
        </is>
      </c>
      <c r="B226" t="inlineStr">
        <is>
          <t>Everything is riding on tomorrow</t>
        </is>
      </c>
      <c r="C226" t="inlineStr">
        <is>
          <t>Tomorrow, my mom gets back part of the results from her recent bone marrow biopsy. In September of 2017, she was diagnosed with a rare form of blood cancer. She underwent a bone marrow transplant in January 2018 and was declared disease-free shortly thereafter. The cancer then returned this past June, only to disappear a second time after she received treatment.
My father is an oncologist and is intensely involved in her treatment and care. According to him, if the results are positive that means she will have no choice but to undergo a second transplant, or simply give up and die. The mortality rate of patients receiving a second transplant is 30% (meaning the people who die during the process of receiving the transplant). 50% of patients will survive the transplant and not be cured (dying a couple weeks later, at most a month). The other 20% fall under the category of "cured."
In other words, the results that come back tomorrow will essentially tell us whether she will live, or whether she will die. She is in deep denial over the severity of her situation. She refuses to even consider the fact that she could die. It makes me sick to my stomach thinking of how she'll react if/when she's finally forced to acknowledge that the end is near.
How do you guys cope with the anxiety of waiting for test results? I have a ton of work to do, but my mind is racing and I can't think about anything else. I want to think positive thoughts, but the past year has been filled with so much negativity and bad news that the thought of tomorrow going well is unfathomable to me.</t>
        </is>
      </c>
      <c r="D226" t="n">
        <v>1</v>
      </c>
      <c r="E226" t="n">
        <v>10</v>
      </c>
      <c r="F226">
        <f>HYPERLINK("https://www.reddit.com/r/cancer/comments/ag4x74/everything_is_riding_on_tomorrow/")</f>
        <v/>
      </c>
      <c r="G226" t="inlineStr">
        <is>
          <t>2019-01-14 20:57:43</t>
        </is>
      </c>
      <c r="H226" t="inlineStr"/>
    </row>
    <row r="227">
      <c r="A227" t="inlineStr">
        <is>
          <t>ag5bjg</t>
        </is>
      </c>
      <c r="B227" t="inlineStr">
        <is>
          <t>I lost my mom to breast cancer when I turned 9</t>
        </is>
      </c>
      <c r="C227" t="inlineStr">
        <is>
          <t>She was diagnosed when I was 2. I don’t know much about the actual cancer, but it started in her breasts, then spread to her liver and brain. She fought a long 7-year battle, my dad was devastated.
I’m 19 now, and her 10 year anniversary passed a few months ago. A lot of the people who were in our lives when I was growing up have naturally fallen out, especially with my dad getting remarried. My aunt ended up with pancreatic cancer and passed away a little over a month after my mom. Their mother, my grandma, ironically developed Alzheimer’s shortly after and forgot everything that happened. She died a few years later, too. My counselor who had helped me through the process of healing also had cancer. She was in remission when counseling me, but later had an aggressive flare-up of lung cancer and died 2 years ago. 
As I’ve passed the anniversary of living longer without a mom than with one, I’m taunted with the feeling of having no memories of my mom. My dad is fairly dismissive of it - he’s not an emotional guy. I don’t know too many people who have been through the experience at a young age like myself. Sometimes I just feel so alone.</t>
        </is>
      </c>
      <c r="D227" t="n">
        <v>1</v>
      </c>
      <c r="E227" t="n">
        <v>14</v>
      </c>
      <c r="F227">
        <f>HYPERLINK("https://www.reddit.com/r/cancer/comments/ag5bjg/i_lost_my_mom_to_breast_cancer_when_i_turned_9/")</f>
        <v/>
      </c>
      <c r="G227" t="inlineStr">
        <is>
          <t>2019-01-14 21:46:06</t>
        </is>
      </c>
      <c r="H227" t="inlineStr"/>
    </row>
    <row r="228">
      <c r="A228" t="inlineStr">
        <is>
          <t>ag5y5q</t>
        </is>
      </c>
      <c r="B228" t="inlineStr">
        <is>
          <t>[22M] Neck lumps for 3 years</t>
        </is>
      </c>
      <c r="C228" t="inlineStr">
        <is>
          <t>Hi all, i noticed a lump in my armpit and one in my neck during fall 2015. When i noticed those i started reading around about hodgkins lymphoma and feeling for more, there was 1 more on the left side of my neck, and one more at the lower right side. All of them i'd say are 0.5-0.8x1.2-1.5cm, they are hard, not warm, moves around rather easily expect the left one that is quite a bit softer and deeper, can barely feel it unless i pinch in the exact spot where it is. The one in the armpit seem to have dissappeared. What could they be when they have stayed for such long time without developing? 
&amp;amp;#x200B;
I got in to my dream school now and now when i have something to "lose" i started worrying about those lumps again.  I believe they are about the exact same size as when i found them, i don't have any fevers or other common symptoms so do you think i should be worried when i've had the lumps for 3+ years without symptoms? Would be grateful for your thoughts, Thanks.</t>
        </is>
      </c>
      <c r="D228" t="n">
        <v>1</v>
      </c>
      <c r="E228" t="n">
        <v>1</v>
      </c>
      <c r="F228">
        <f>HYPERLINK("https://www.reddit.com/r/cancer/comments/ag5y5q/22m_neck_lumps_for_3_years/")</f>
        <v/>
      </c>
      <c r="G228" t="inlineStr">
        <is>
          <t>2019-01-14 23:14:32</t>
        </is>
      </c>
      <c r="H228" t="inlineStr"/>
    </row>
    <row r="229">
      <c r="A229" t="inlineStr">
        <is>
          <t>ag7f01</t>
        </is>
      </c>
      <c r="B229" t="inlineStr">
        <is>
          <t>Howdy</t>
        </is>
      </c>
      <c r="C229" t="inlineStr">
        <is>
          <t xml:space="preserve">Good morning guys. I’ve been lurking on this sub now for about 6 months, and I finally wanted to post. 
I’ve been having some very weird things happening to me for about a year. 23/M 
Loss of appetite 
Itching all over (5 years) Always told it was exczema but it is literally everywhere with no rash. 
Hard painless cervical lymph node 
Night sweats 
Severe fatigue. 
Last 3 months flu like symptoms. 
I’ve now seen 4 doctors had every type of blood test you could think of and every result has come back normal. I’ve had 2 abdominal ultrasounds and a CT scan of my kidneys and bladder. Nothing has turned up any results. 
I’m so sick and tired of feeling unwell. It has destroyed my up until recently excellent relationship and almost cost me my job. I never have any energy even after hours of rest and I never want to do anything due to this. 
I’m not asking you to diagnose me. I’m aware this could be nothing but could be something. 
What I’m asking is for some help. I don’t know where to go next. I’ve been back to my gp 10+ times and due to normal bloods, they have told me that I’m depressed and a hypochondriac. My gp has told me a referral to an ENT is not necessary but every day I feel worse and worse. I cannot self refer as I am in the UK and I can’t afford private treatment. 
What are my next steps? Please help a desperate man. 
</t>
        </is>
      </c>
      <c r="D229" t="n">
        <v>1</v>
      </c>
      <c r="E229" t="n">
        <v>3</v>
      </c>
      <c r="F229">
        <f>HYPERLINK("https://www.reddit.com/r/cancer/comments/ag7f01/howdy/")</f>
        <v/>
      </c>
      <c r="G229" t="inlineStr">
        <is>
          <t>2019-01-15 03:08:47</t>
        </is>
      </c>
      <c r="H229" t="inlineStr"/>
    </row>
    <row r="230">
      <c r="A230" t="inlineStr">
        <is>
          <t>ag7zm5</t>
        </is>
      </c>
      <c r="B230" t="inlineStr">
        <is>
          <t>large tumor in left ovary, no one is telling me anything</t>
        </is>
      </c>
      <c r="C230" t="inlineStr">
        <is>
          <t xml:space="preserve">i feel like no one is telling me the truth here.. i am 44, two little kids
had a CT scan yesterday,  doctor said she doesn't have the complete report at appointment today, but we "caught it early"
i do not really believe this because before the CT scan she said they looked like cysts on the ultrasound and no big deal, she sees them every day.  plus i remember when my stomach started puffing out.. it was like 3 years ago.
since then i have had every symptom for a year or two.
1. what is considered "catching it early"
so if there is one big tumor and liquid around in a few spots is this bad or what?  i kept getting brushed off..
&amp;amp;#x200B;
2. can they tell what kind of cancer it is by the scan or do they need to do surgery?
&amp;amp;#x200B;
i am having surgery to remove the tumor in a few days now.  what will they be doing?  what will the scar look like?  what are the chances it is dangerous?  i have no idea about anything.  </t>
        </is>
      </c>
      <c r="D230" t="n">
        <v>1</v>
      </c>
      <c r="E230" t="n">
        <v>13</v>
      </c>
      <c r="F230">
        <f>HYPERLINK("https://www.reddit.com/r/cancer/comments/ag7zm5/large_tumor_in_left_ovary_no_one_is_telling_me/")</f>
        <v/>
      </c>
      <c r="G230" t="inlineStr">
        <is>
          <t>2019-01-15 04:28:05</t>
        </is>
      </c>
      <c r="H230" t="inlineStr"/>
    </row>
    <row r="231">
      <c r="A231" t="inlineStr">
        <is>
          <t>ag8gl9</t>
        </is>
      </c>
      <c r="B231" t="inlineStr">
        <is>
          <t>Caregiver mental health declining fast.</t>
        </is>
      </c>
      <c r="C231" t="inlineStr">
        <is>
          <t>Good morning fellow caregivers and fighters of this disease. As a reminder, I want to tell you that I am the primary caregiver of my father, who has a Stage IV high grade neuroendocrine carcinoma that has spread to liver and lungs. 
He got his first chemo session and his decline was exponential. He cannot get out of bed, he cannot bathe himself, he only can stand up two minutes to go to the bathroom and come back. He cannot eat without being nauseous, he weighs 110 pounds. (one month ago he was in 185).
Yesterday I asked him what was wrong and was yelled at with "I'M DYING THAT IS WRONG ". He is losing his voice as well. I know my dad has it the worst, but I am more at the verge of a mental breakdown. I dream every single night of my father breathing with the death rattle (side note: my daughter died nine months ago and I unfortunately know when someone is close to death, that is why the death rattle haunts me). What can I do to get my shit together? I haven't bathed in a week, dread waking up with me not having died of respiratory failure, and I can't cope. I can't. I suggested palliative care because he is having a horrible mental time and now he thinks I want to kill him. 
HOW CAN I GET MY SHIT TOGETHER? I AM A WEEK AWAY OF RUNNING INTO A MOVING BUS.</t>
        </is>
      </c>
      <c r="D231" t="n">
        <v>1</v>
      </c>
      <c r="E231" t="n">
        <v>20</v>
      </c>
      <c r="F231">
        <f>HYPERLINK("https://www.reddit.com/r/cancer/comments/ag8gl9/caregiver_mental_health_declining_fast/")</f>
        <v/>
      </c>
      <c r="G231" t="inlineStr">
        <is>
          <t>2019-01-15 05:24:49</t>
        </is>
      </c>
      <c r="H231" t="inlineStr"/>
    </row>
    <row r="232">
      <c r="A232" t="inlineStr">
        <is>
          <t>ag9adi</t>
        </is>
      </c>
      <c r="B232" t="inlineStr">
        <is>
          <t>I just need some encouragement</t>
        </is>
      </c>
      <c r="C232" t="inlineStr">
        <is>
          <t xml:space="preserve">About 2 and a half months ago I went from being a completely healthy 32 year old with a pesky stomach ulcer to having stage IV stomach ccancer that had spread to my chest wall (though they said they "cut that out" during a laparoscopy?) and Lynch syndrome.  This is all really a lot to take in.  My boyfriend and I had just moved to the midwest so he could earn his MBA. We bought a house and are in the middle of a remodel. I'm the only one working because he has school full time (though he will have a very well paid internship during the summers) and I'm missing a lot of work because of the chemo.  Thankfully my company is 100% working with me and I know my job is secure. 
I'm going through chemo and immunotherapy(Keytruda). It's not nearly as bad as I expected. The nausea is negligible, just a little off on the day after chemo and my only real side effect is exhaustion. For 4 days after the chemo I am utterly and completely exhausted. I've done 3 treatments so far. Still have all my hair but I'm shedding a lot more. But beyond this I feel normal, I feel fine.  The heaviest toll has been my mental health.  I had generalized anxiety before I found out about the cancer.  Now I can't get through a day without dwelling on it.  I just can't wrap my head around feeling so normal and being so sick. 
I want to fight this. I clearly CAN fight this but I can't help but wonder if fighting will even do anything at this point.  My doctor seems hopeful(?) but he's hard to read. He feels optimistic about the keutruda. I want to. My 4th treatment is Friday and then I have another PET to check what's going on. I'm so completely overwhelmed and scared for my future. </t>
        </is>
      </c>
      <c r="D232" t="n">
        <v>1</v>
      </c>
      <c r="E232" t="n">
        <v>30</v>
      </c>
      <c r="F232">
        <f>HYPERLINK("https://www.reddit.com/r/cancer/comments/ag9adi/i_just_need_some_encouragement/")</f>
        <v/>
      </c>
      <c r="G232" t="inlineStr">
        <is>
          <t>2019-01-15 06:55:55</t>
        </is>
      </c>
      <c r="H232" t="inlineStr"/>
    </row>
    <row r="233">
      <c r="A233" t="inlineStr">
        <is>
          <t>ag9jrz</t>
        </is>
      </c>
      <c r="B233" t="inlineStr">
        <is>
          <t>Juvenile Polyposis/ Hereditary Colon Cancer</t>
        </is>
      </c>
      <c r="C233" t="inlineStr">
        <is>
          <t xml:space="preserve">My three year old son is currently undergoing genetic testing for Juvenile Polyposis and it’s so rare that I’m having a hard time finding any type of personal stories and experiences. Has anyone here had experience or advice for this?
As far as we know, he has a random mutation because there’s literally no history of colon cancer or polyps in our family. This is all a surprise and it’s terrifying and I just don’t know what to do. It feels like a ticking time bomb in my sweet baby. </t>
        </is>
      </c>
      <c r="D233" t="n">
        <v>1</v>
      </c>
      <c r="E233" t="n">
        <v>5</v>
      </c>
      <c r="F233">
        <f>HYPERLINK("https://www.reddit.com/r/cancer/comments/ag9jrz/juvenile_polyposis_hereditary_colon_cancer/")</f>
        <v/>
      </c>
      <c r="G233" t="inlineStr">
        <is>
          <t>2019-01-15 07:21:44</t>
        </is>
      </c>
      <c r="H233" t="inlineStr"/>
    </row>
    <row r="234">
      <c r="A234" t="inlineStr">
        <is>
          <t>agah1g</t>
        </is>
      </c>
      <c r="B234" t="inlineStr">
        <is>
          <t>Hope to cope when someone is given one year to live?</t>
        </is>
      </c>
      <c r="C234" t="inlineStr">
        <is>
          <t>My [25F] long term boyfriend’s [28M] father [55M] was given one year to live. He has stage 4 lung cancer. He’s starting treatment this week, but we have no idea what will happen.
How can I cope with the everyday stress of knowing someone in my life might be dying? How do I cope knowing that my boyfriend is so stressed? 
I’m ready to be there for them as a support system, but how can I cope as a second and third party caregiver?
I’ve been doing my best to get sleep, eat well, and exercise, but I’m still getting chronic stress headaches. Please, let me know of any tips you may have. This is a hard year.</t>
        </is>
      </c>
      <c r="D234" t="n">
        <v>1</v>
      </c>
      <c r="E234" t="n">
        <v>4</v>
      </c>
      <c r="F234">
        <f>HYPERLINK("https://www.reddit.com/r/cancer/comments/agah1g/hope_to_cope_when_someone_is_given_one_year_to/")</f>
        <v/>
      </c>
      <c r="G234" t="inlineStr">
        <is>
          <t>2019-01-15 08:49:07</t>
        </is>
      </c>
      <c r="H234" t="inlineStr"/>
    </row>
    <row r="235">
      <c r="A235" t="inlineStr">
        <is>
          <t>agaus3</t>
        </is>
      </c>
      <c r="B235" t="inlineStr">
        <is>
          <t>Cancer and applying to jobs</t>
        </is>
      </c>
      <c r="C235" t="inlineStr">
        <is>
          <t xml:space="preserve">I'm in early remission, ovarian cancer and was just laid off from my work. How do you handle cancer during interviews and job offer, especially as I will need some maintenance infusions for a couple hours every three weeks? 
I'm thinking better not to disclose I have cancer even though I'm technically in remission </t>
        </is>
      </c>
      <c r="D235" t="n">
        <v>1</v>
      </c>
      <c r="E235" t="n">
        <v>9</v>
      </c>
      <c r="F235">
        <f>HYPERLINK("https://www.reddit.com/r/cancer/comments/agaus3/cancer_and_applying_to_jobs/")</f>
        <v/>
      </c>
      <c r="G235" t="inlineStr">
        <is>
          <t>2019-01-15 09:24:57</t>
        </is>
      </c>
      <c r="H235" t="inlineStr"/>
    </row>
    <row r="236">
      <c r="A236" t="inlineStr">
        <is>
          <t>agb404</t>
        </is>
      </c>
      <c r="B236" t="inlineStr">
        <is>
          <t>My mom has breast cancer</t>
        </is>
      </c>
      <c r="C236" t="inlineStr">
        <is>
          <t>My mom is being treated in the hospital because of breast cancer</t>
        </is>
      </c>
      <c r="D236" t="n">
        <v>1</v>
      </c>
      <c r="E236" t="n">
        <v>3</v>
      </c>
      <c r="F236">
        <f>HYPERLINK("https://www.reddit.com/r/cancer/comments/agb404/my_mom_has_breast_cancer/")</f>
        <v/>
      </c>
      <c r="G236" t="inlineStr">
        <is>
          <t>2019-01-15 09:48:38</t>
        </is>
      </c>
      <c r="H236" t="inlineStr"/>
    </row>
    <row r="237">
      <c r="A237" t="inlineStr">
        <is>
          <t>agci55</t>
        </is>
      </c>
      <c r="B237" t="inlineStr">
        <is>
          <t>I had an unprovoked DVT in my arm and a pulmonary embolism, and now the doctors are exploring cancer</t>
        </is>
      </c>
      <c r="C237" t="inlineStr">
        <is>
          <t xml:space="preserve">28/F here and I'm fucking terrified, and I can't stop obsessing. On top of all this, I've been told I can't work for 3 weeks so I can let my body try to break down this blood clot, so I'm just bored and have way too much time on my hands to think about everything. Last week I was doing a pretty good job keeping myself busy, but at my first appointment with the hematologist on Friday I finally had the word cancer spoken to me, and that he wanted to get a CT on my pelvis and abdomen because of irregular bleeding I've had between my period. That still hasn't been scheduled, and I'm anxiously waiting a phone call. He also did a ton of tests on different blood clotting disorders and so far they have all come back negative. Which my friends and family keep saying is good, but to me it just makes cancer feel like more of a possibility. 
&amp;amp;#x200B;
Yesterday I had an appointment with my Primary Care, and we did a pap (I was do for one anyway). She was concerned about a blood clot that sounded like it was basically stuck on my cervix. Mind you, I am on my period currently and on blood thinners, so I've been bleeding heavily and there's been a lot of clots. It took her some time to get it off, and she said she was going to also get it sent out to get looked at just to be sure. She did say 2 or 3 times that everything looked normal, other then that. 
&amp;amp;#x200B;
This waiting period is the fucking worst. Honestly, at this point I just want someone to tell me what the fuck is happening to my body, tell me I have cancer, I don't care, at least then I can start fighting this, and I don't have to be sitting around unsure. I know I should be trying to stay as positive as possible, but I'm having a really hard time not assuming the worst. If I didn't have the unprovoked blood clot, I don't think I would be so sure that this could really be cancer. 
&amp;amp;#x200B;
I went on a little bit of a drinking bender over the weekend. I didn't drink last night and I'm mentally feeling a little bit better today, and the urge to drink the way I was is gone. I think I just needed to word vomit some of this out, and now I'm going to just try to work on some art, clean the kitchen, take the dog on a long walk. That's all I can do until I start getting some more answers, so I'm going to try to motivate myself to do those things. </t>
        </is>
      </c>
      <c r="D237" t="n">
        <v>1</v>
      </c>
      <c r="E237" t="n">
        <v>4</v>
      </c>
      <c r="F237">
        <f>HYPERLINK("https://www.reddit.com/r/cancer/comments/agci55/i_had_an_unprovoked_dvt_in_my_arm_and_a_pulmonary/")</f>
        <v/>
      </c>
      <c r="G237" t="inlineStr">
        <is>
          <t>2019-01-15 11:52:55</t>
        </is>
      </c>
      <c r="H237" t="inlineStr"/>
    </row>
    <row r="238">
      <c r="A238" t="inlineStr">
        <is>
          <t>agckhc</t>
        </is>
      </c>
      <c r="B238" t="inlineStr">
        <is>
          <t>Advice needed - Are there cleaning services for houses when a patient must be isolated from contagions at home?</t>
        </is>
      </c>
      <c r="C238" t="inlineStr">
        <is>
          <t>Sorry if this is the wrong place. This is day two for me.
&amp;amp;#x200B;
My 4 year old nephew with downs syndrome has just been diagnosed with b-ALL. The doctors are optimistic as they caught it early and it's the "easy" form of leukemia. He only has to be in hospital during treatment and can go home in between. However, at home he has to be quarantined because of the severe risk of complications from a cold. My sister has obviously not had the time to process anything, and I'm trying to do what I can while under a "don't come visit or you might give him a cold" order. I was thinking, one thing she really stresses over is cleaning, and she'll be extra stressed now. My question is: Are there cleaning services that specialize in protecting people with compromised immune systems? How would I find them? Is there any other ways I can make their lives easier without breaking quarantine?
&amp;amp;#x200B;
Thank you so much.</t>
        </is>
      </c>
      <c r="D238" t="n">
        <v>1</v>
      </c>
      <c r="E238" t="n">
        <v>4</v>
      </c>
      <c r="F238">
        <f>HYPERLINK("https://www.reddit.com/r/cancer/comments/agckhc/advice_needed_are_there_cleaning_services_for/")</f>
        <v/>
      </c>
      <c r="G238" t="inlineStr">
        <is>
          <t>2019-01-15 11:59:04</t>
        </is>
      </c>
      <c r="H238" t="inlineStr"/>
    </row>
    <row r="239">
      <c r="A239" t="inlineStr">
        <is>
          <t>agcug1</t>
        </is>
      </c>
      <c r="B239" t="inlineStr">
        <is>
          <t>Delegating Tasks During Treatment</t>
        </is>
      </c>
      <c r="C239" t="inlineStr">
        <is>
          <t>I'm going in for an open abdominal RH next week and am really struggling about how to delegate tasks for a few weeks. 
&amp;amp;#x200B;
I (29F) have 3 children and a fiance.  We both work full time, but because I'm a neat freak, I tend to take over most of the work with the house.  Don't get me wrong, if there are dishes in the sink, a full trash can or a spot on the floor...it isn't just left for me to handle.  But when it comes to deep cleaning, organization and those smaller details, I'm the one handling it.   
I am so incredibly worried about coming off as a nutjob to my family when I'm stuck in bed and telling them the baseboards near the backdoor need to be cleaned and the bolts around the toiled need to be bleached and scrubbed. My fiance wouldn't complain in a million years if I asked him to do any of these things, but I also worry I would feel like I was being excessive and taking advantage.
&amp;amp;#x200B;
There are so many things around the house that *I* am weird about, so I do them without ever pointing them out.  If they're not done for a few weeks, it wouldn't be the end of the world.  But if I'm sitting in the house and know they're not done, there is a 100% chance I'll be scrubbing the entire downstairs grout when I'm supposed to be resting. 
How do you balance letting things do, delegating, and not having the "I will handle it myself" attitude?
&amp;amp;#x200B;
&amp;amp;#x200B;
&amp;amp;#x200B;
&amp;amp;#x200B;</t>
        </is>
      </c>
      <c r="D239" t="n">
        <v>1</v>
      </c>
      <c r="E239" t="n">
        <v>1</v>
      </c>
      <c r="F239">
        <f>HYPERLINK("https://www.reddit.com/r/cancer/comments/agcug1/delegating_tasks_during_treatment/")</f>
        <v/>
      </c>
      <c r="G239" t="inlineStr">
        <is>
          <t>2019-01-15 12:23:48</t>
        </is>
      </c>
      <c r="H239" t="inlineStr"/>
    </row>
    <row r="240">
      <c r="A240" t="inlineStr">
        <is>
          <t>agd1zg</t>
        </is>
      </c>
      <c r="B240" t="inlineStr">
        <is>
          <t>RANT: Bitterness About GoFundMes</t>
        </is>
      </c>
      <c r="C240" t="inlineStr">
        <is>
          <t>So mods, feel free to remove this if you think it's not productive, but I feel like this would be the only place where maybe someone can help me understand how I'm feeling.
I had started a GoFundMe when I was first diagnosed to raise money for plane tickets for my mom to fly out and be with me as much as she could. I lived 2,000 miles away from home in a city that I had no family in. I thankfully had great insurance, so medical expenses weren't an issue, but as all of us who've been through this process know, medical services can only do so much and personal support and relationships can do **SO MUCH**. I ended up raising about $400 which was fine. It at least got me one ticket and my mom dipped into her meager savings to get another one. I am now in remission 3 years, which is amazing.
But where the bitterness comes in is when I see GoFundMes and the like for "my 18+ year old cat needs a liver transplant, please help" at it gets thousands and thousands of dollars in donations. I am an animal lover, don't get me wrong. But I feel so sick and worthless inside that people mustered up that much more support and enthusiasm for a cat over my personal human suffering. It's not even really about the money. I also look back and see the people around me, especially at work, who treated me really shittily as someone going through cancer. It just makes me really really bitter inside.
I try and cheer myself up, though, by looking at the few people in my life who went above and beyond what would be expected from our relationship and really pulled me out of the most depressing part of the process. I know I should focus on that, but something just bugs me about it all. Am I way out of line? Does anyone else feel like this?</t>
        </is>
      </c>
      <c r="D240" t="n">
        <v>1</v>
      </c>
      <c r="E240" t="n">
        <v>12</v>
      </c>
      <c r="F240">
        <f>HYPERLINK("https://www.reddit.com/r/cancer/comments/agd1zg/rant_bitterness_about_gofundmes/")</f>
        <v/>
      </c>
      <c r="G240" t="inlineStr">
        <is>
          <t>2019-01-15 12:43:34</t>
        </is>
      </c>
      <c r="H240" t="inlineStr"/>
    </row>
    <row r="241">
      <c r="A241" t="inlineStr">
        <is>
          <t>agdiwd</t>
        </is>
      </c>
      <c r="B241" t="inlineStr">
        <is>
          <t>They've said my Dad has about a week left. He's coming home from the hospital for hospice hopefully tomorrow and I just am overwhelmed and dealing with a lot of guilt</t>
        </is>
      </c>
      <c r="C241" t="inlineStr">
        <is>
          <t>My dad has been fighting esophageal cancer for about 3 years and it looks like his battle is coming to an end. He was on hospice for a few weeks before Christmas but he and my mom made the decision to bring him to the hospital a a few days after Christmas because he had suddenly become too weak to stand up. They gave him several blood transfusions in the hospital but between bleeding into his stomach and the spread of the cancer through his lungs, bones, and just everywhere there just isnt anything else that can be done. 
I go to college but live at home and have been around for most of the time he's been sick but I feel overwhelming guilt. I feel like I didnt do enough, didnt give him enough neck rubs, didnt spend enough time with him, didnt visit him at the hospital enough, didn't record his life stories like my brother (who moved to Germany 6 months ago) wanted me to. Part of the intensity of the guilt is from my OCD but I still feel like I shouldn't have gone out with my friends or taken weekend trips I took over a year ago. I was irrationally angry with myself earlier for wasting time dating an ex because it turned out to be during the last "good" months of my dads life and took me away on weekends a lot. I also wish my brother would come home but he's saying he'll probably just come for the funeral. I'm going in to see him for a while at the hospital tonight. 
Sorry this was long and rambly, I think I'm just looking for some outside perspective and support. What are some things that helped you in the last days of hospice care?</t>
        </is>
      </c>
      <c r="D241" t="n">
        <v>1</v>
      </c>
      <c r="E241" t="n">
        <v>14</v>
      </c>
      <c r="F241">
        <f>HYPERLINK("https://www.reddit.com/r/cancer/comments/agdiwd/theyve_said_my_dad_has_about_a_week_left_hes/")</f>
        <v/>
      </c>
      <c r="G241" t="inlineStr">
        <is>
          <t>2019-01-15 13:25:45</t>
        </is>
      </c>
      <c r="H241" t="inlineStr"/>
    </row>
    <row r="242">
      <c r="A242" t="inlineStr">
        <is>
          <t>agdiz0</t>
        </is>
      </c>
      <c r="B242" t="inlineStr">
        <is>
          <t>One more day (of sunlight)</t>
        </is>
      </c>
      <c r="C242" t="inlineStr">
        <is>
          <t xml:space="preserve">I’m about to enter a new clinical trial for treatment. The side effects are minimal this time save for one major thing... UV sensitivity. I will be so incredibly sensitive to sunlight, any exposure will cause my skin to peel and fall off and send my whole body into and auto immune war like I’ve never had to deal with before. This could last for the duration of treatment, or the rest of my life... we have no idea what to expect. All that said let’s get to the point
I start treatment this Thursday. Wednesday is potentially the LAST day that I’ll ever get to see the sun. After this I will be nocturnal unless otherwise required. To go outside or Ben in a room with windows during the day I must prepare. I have to be covered in sunblock (head to toe) UV protective sleeves, shirts, and head/face wear. I will also be wearing a full hajib/burka. I mean no offense to anyone’s gender or religion. I only meant to stay alive. I basically have to live like a vampire without the cool powers. 
So.... if you had ONE MORE DAY of sunlight, what would you do with it?
I live in Ohio BTW, so sadly no beaches. (I’d gladly take any sunny beach pictures in the comments section though). Every time I start to freak out about this, I put myself back at this little beach I found almost 10 yrs ago. I drove straight from NE Ohio all the way down to the Florida keys once. Slept in my car, just got away from society for awhile. That’s my safe space. That secluded beach. Off season. Hundreds of miles away from anyone and anhthing that could ever get to me. </t>
        </is>
      </c>
      <c r="D242" t="n">
        <v>1</v>
      </c>
      <c r="E242" t="n">
        <v>1</v>
      </c>
      <c r="F242">
        <f>HYPERLINK("https://www.reddit.com/r/cancer/comments/agdiz0/one_more_day_of_sunlight/")</f>
        <v/>
      </c>
      <c r="G242" t="inlineStr">
        <is>
          <t>2019-01-15 13:25:56</t>
        </is>
      </c>
      <c r="H242" t="inlineStr"/>
    </row>
    <row r="243">
      <c r="A243" t="inlineStr">
        <is>
          <t>agdu3d</t>
        </is>
      </c>
      <c r="B243" t="inlineStr">
        <is>
          <t>Update: dad's lung cancer</t>
        </is>
      </c>
      <c r="C243" t="inlineStr">
        <is>
          <t>This is kind of update no. 2, as my first update was that my dad had not received a treatment plan after having his diagnosis for almost a month. Well, good news! He's got a treatment plan! After looking at some tests his doctors declared the cancer in his lung has not spread and did not come from anywhere else. He will not be receiving traditional chemo or radiation but will have the tumor removed via cyber knife. We are all in good spirits. Especially him! 
That being said, does anyone have any experience with cyber knife? I'd love to hear about it! Also, thank you to everyone who reached out and answered any questions I had.</t>
        </is>
      </c>
      <c r="D243" t="n">
        <v>1</v>
      </c>
      <c r="E243" t="n">
        <v>12</v>
      </c>
      <c r="F243">
        <f>HYPERLINK("https://www.reddit.com/r/cancer/comments/agdu3d/update_dads_lung_cancer/")</f>
        <v/>
      </c>
      <c r="G243" t="inlineStr">
        <is>
          <t>2019-01-15 13:54:47</t>
        </is>
      </c>
      <c r="H243" t="inlineStr"/>
    </row>
    <row r="244">
      <c r="A244" t="inlineStr">
        <is>
          <t>age098</t>
        </is>
      </c>
      <c r="B244" t="inlineStr">
        <is>
          <t>I need help</t>
        </is>
      </c>
      <c r="C244" t="inlineStr">
        <is>
          <t xml:space="preserve">After a brief relapse I have obtained a molecular remission for a second time. (Philadelphia + ALL) which means I am being rushed for a stem cell transplant. It is scheduled to start 01/22. So 1 week away. 
I really can’t convince myself to go through with it. I have a gut feeling that I will die in transplant. I don’t know why, I can’t explain it. I have never thought my cancer will kill me. I have never been scared of my chemo, or immunotherapy. I just knew everything was going to work out. 
But I can’t shake this feeling that a transplant is the wrong thing to do. 
Every doctor agrees it’s my best option, and the facility I will get it at has a very good track record with them. I know statistically I need to do it. 
But I just can’t convince myself it’s the right choice. </t>
        </is>
      </c>
      <c r="D244" t="n">
        <v>1</v>
      </c>
      <c r="E244" t="n">
        <v>16</v>
      </c>
      <c r="F244">
        <f>HYPERLINK("https://www.reddit.com/r/cancer/comments/age098/i_need_help/")</f>
        <v/>
      </c>
      <c r="G244" t="inlineStr">
        <is>
          <t>2019-01-15 14:11:16</t>
        </is>
      </c>
      <c r="H244" t="inlineStr"/>
    </row>
    <row r="245">
      <c r="A245" t="inlineStr">
        <is>
          <t>ageacw</t>
        </is>
      </c>
      <c r="B245" t="inlineStr">
        <is>
          <t>Concerned best friend.</t>
        </is>
      </c>
      <c r="C245" t="inlineStr">
        <is>
          <t>My best friend was diagnosed with testicular cancer January 4th and had surgery to remove the tumor on his testicle the following day. 
He had been waiting for his pathologist to start chemo to remove some of the cancer that spread to his abdomen/stomach area. 
This past Saturday they told him it was stage 4 but didn’t rush chemo or any other procedure.
I’m very concerned and worried about my best friend, and everything I read confuses me even more. Can someone please tell me what to expect? 
Thank you.</t>
        </is>
      </c>
      <c r="D245" t="n">
        <v>1</v>
      </c>
      <c r="E245" t="n">
        <v>3</v>
      </c>
      <c r="F245">
        <f>HYPERLINK("https://www.reddit.com/r/cancer/comments/ageacw/concerned_best_friend/")</f>
        <v/>
      </c>
      <c r="G245" t="inlineStr">
        <is>
          <t>2019-01-15 14:38:42</t>
        </is>
      </c>
      <c r="H245" t="inlineStr"/>
    </row>
    <row r="246">
      <c r="A246" t="inlineStr">
        <is>
          <t>agf1gp</t>
        </is>
      </c>
      <c r="B246" t="inlineStr">
        <is>
          <t>Question about my father’s cancer</t>
        </is>
      </c>
      <c r="C246" t="inlineStr">
        <is>
          <t xml:space="preserve">I’m trying to find information online, but it seems like all the resources I find are scholarly journals and tough to read and understand. 
My father was first diagnosed with oral cancer almost two years ago. He had two lymph nodes in his neck removed via surgery, along with a part on his tongue. He recovered and about 14 months later, after he had several successful checkups (so well that they cut back his appointments), it came back. 
He says it came back in the same places, so I believe it’s classified as local recurrence. He really won’t tell me any more than what I’ve just said above. 
He’s never smoked a cigarette in his life and hasn’t has an alcoholic drink in 30 years. He’s otherwise healthy and has been for 30 years since he met my mom. The past 4-5 years he’s been eating only plants and fish. He exercises almost daily and is of good health otherwise. 
Basically, I’m hoping someone can point me in the direction of resources I can have to better understand his cancer in terms that make sense to a non health technical person. I don’t even know what facet or oral cancer he has, what his prognosis is, how he can get better, or what his best chance of curing it is. He has said he doesn’t want to do chemo and doesn’t think he will have surgery again. He’s only 58. 
Any help I appreciated! Thanks everyone. </t>
        </is>
      </c>
      <c r="D246" t="n">
        <v>1</v>
      </c>
      <c r="E246" t="n">
        <v>5</v>
      </c>
      <c r="F246">
        <f>HYPERLINK("https://www.reddit.com/r/cancer/comments/agf1gp/question_about_my_fathers_cancer/")</f>
        <v/>
      </c>
      <c r="G246" t="inlineStr">
        <is>
          <t>2019-01-15 15:54:42</t>
        </is>
      </c>
      <c r="H246" t="inlineStr"/>
    </row>
    <row r="247">
      <c r="A247" t="inlineStr">
        <is>
          <t>agfl4c</t>
        </is>
      </c>
      <c r="B247" t="inlineStr">
        <is>
          <t>Countdown to Radiation</t>
        </is>
      </c>
      <c r="C247" t="inlineStr">
        <is>
          <t xml:space="preserve">Decided to post despite my hesitation. I'm glad I found this sub. 
I'm hesitant to post, since like that story someone posted earlier, I feel like a pussy since a lot of you are facing giant monster-truck mountain lions, while mine is just a man-eater of the normal variety. You have my respect and good wishes for your courage and honesty. 
Next Wednesday, I have the 1st of 33 radiation treatments...with a side of chemo. I'm scared as fuck. I'm doing everything I can to prepare for this, but when the hospital gives you a freaking class to go over side-effects, you know you're in for it. I have Stage 1 or 2 HPV-related squamous cell carcinoma. Pecan-sized alien at the base of my tongue that's colonizing the lymph nodes on both sides of my neck. They keep telling me I'll be fine...after. It seems that most everyone around me is going through some kind of crisis. I've got 4 kids, and 3 of them are having trouble. My SO is dealing with a bunch of life drama as well. I'm trying to quietly be strong and optimistic. The message seems to be that I need to learn to be vulnerable and let other folks take care of me for a change. Why is that so hard? Ugh. </t>
        </is>
      </c>
      <c r="D247" t="n">
        <v>1</v>
      </c>
      <c r="E247" t="n">
        <v>29</v>
      </c>
      <c r="F247">
        <f>HYPERLINK("https://www.reddit.com/r/cancer/comments/agfl4c/countdown_to_radiation/")</f>
        <v/>
      </c>
      <c r="G247" t="inlineStr">
        <is>
          <t>2019-01-15 16:51:16</t>
        </is>
      </c>
      <c r="H247" t="inlineStr"/>
    </row>
    <row r="248">
      <c r="A248" t="inlineStr">
        <is>
          <t>aggap7</t>
        </is>
      </c>
      <c r="B248" t="inlineStr">
        <is>
          <t>Fuck cancer</t>
        </is>
      </c>
      <c r="C248" t="inlineStr">
        <is>
          <t>I just want to rant somewhere and found this subreddit.
I just want to say fuck cancer. My dad has been fighting liver cancer for about two years now and I fucking hate seeing him being destroyed by this disease. 
I go to college right now about an hour away, and every time I come home during the weekend, he's always suffering from some sort of ailment from his chemo. 
I just heard today that his TACE procedure went bad and he has to stay in the hospital for a night. I hate how much stress it puts on the family, especially my mom. 
I'm just frustrated, thanks for hearing me out.</t>
        </is>
      </c>
      <c r="D248" t="n">
        <v>1</v>
      </c>
      <c r="E248" t="n">
        <v>12</v>
      </c>
      <c r="F248">
        <f>HYPERLINK("https://www.reddit.com/r/cancer/comments/aggap7/fuck_cancer/")</f>
        <v/>
      </c>
      <c r="G248" t="inlineStr">
        <is>
          <t>2019-01-15 18:11:14</t>
        </is>
      </c>
      <c r="H248" t="inlineStr"/>
    </row>
    <row r="249">
      <c r="A249" t="inlineStr">
        <is>
          <t>aggrjg</t>
        </is>
      </c>
      <c r="B249" t="inlineStr">
        <is>
          <t>Question regarding recently found Cancer. Please help.</t>
        </is>
      </c>
      <c r="C249" t="inlineStr">
        <is>
          <t>My friend lives in India and he had a root canal done about two and a half months ago. They never put a cap on the tooth and he ended up getting a blister around his tongue. The blister never went away and just recently he decided to get it checked out. The docs in India recommended he get the blister checked for cancer so they took a sample and just yesterday, the results came back and confirmed he has cancer. That is all we know. What does this mean and what are our next steps? He is close to me and has no one there to support him. I will go there but I am also devestated and worried. I would appreciate if someone could let me know if this is curable or not and my next steps :( 
FUCK CANCER.</t>
        </is>
      </c>
      <c r="D249" t="n">
        <v>1</v>
      </c>
      <c r="E249" t="n">
        <v>2</v>
      </c>
      <c r="F249">
        <f>HYPERLINK("https://www.reddit.com/r/cancer/comments/aggrjg/question_regarding_recently_found_cancer_please/")</f>
        <v/>
      </c>
      <c r="G249" t="inlineStr">
        <is>
          <t>2019-01-15 19:04:04</t>
        </is>
      </c>
      <c r="H249" t="inlineStr"/>
    </row>
    <row r="250">
      <c r="A250" t="inlineStr">
        <is>
          <t>aggxh1</t>
        </is>
      </c>
      <c r="B250" t="inlineStr">
        <is>
          <t>Finishing treatment?</t>
        </is>
      </c>
      <c r="C250" t="inlineStr">
        <is>
          <t>Tomorrow I finish what should be the last of 6 cycles of ABVD.  My last scans were clear and everything should be fine, but there is still a month until my final scan and it is hard for me to process that it is "ending".  I was cleared by my doctor to return to college this semester, which I am doing next week, but instead of feeling the relief of no longer being isolated and across the country from all my friends, I am more stressed than ever that I will have a month of normalcy before it crashes down again and I find out that I need more treatment.   All of my already greatly limited mental energy is being spent worrying about hypotheticals.  Does anyone have any advice/experience dealing with this?  I fear that distraction is going to make a workload that is already much heavier than what I have been doing for the past 6 months impossible.</t>
        </is>
      </c>
      <c r="D250" t="n">
        <v>1</v>
      </c>
      <c r="E250" t="n">
        <v>6</v>
      </c>
      <c r="F250">
        <f>HYPERLINK("https://www.reddit.com/r/cancer/comments/aggxh1/finishing_treatment/")</f>
        <v/>
      </c>
      <c r="G250" t="inlineStr">
        <is>
          <t>2019-01-15 19:22:37</t>
        </is>
      </c>
      <c r="H250" t="inlineStr"/>
    </row>
    <row r="251">
      <c r="A251" t="inlineStr">
        <is>
          <t>agh24l</t>
        </is>
      </c>
      <c r="B251" t="inlineStr">
        <is>
          <t>how to help family cope?</t>
        </is>
      </c>
      <c r="C251" t="inlineStr">
        <is>
          <t>hi! i mostly lurk on here and i'm not really sure how to go about this, but. 
my grandfathers both were diagnosed with cancer about a week between each other. (both with lung cancer and paternal i believe with another type that i don't recall.)
&amp;amp;#x200B;
my paternal grandfather passed in late october, and i believe my maternal one is soon to follow. he can't tell if it's night or day and iirc leaving incoherent notes around that my mother finds (which makes her worry it's spread to his brain.)
&amp;amp;#x200B;
how do i help my mother cope for when he passes soon? i want to help her prepare for this as much as i can so it's a bit easier on her (though i know it will be hard.)
&amp;amp;#x200B;
thank you.;;</t>
        </is>
      </c>
      <c r="D251" t="n">
        <v>1</v>
      </c>
      <c r="E251" t="n">
        <v>2</v>
      </c>
      <c r="F251">
        <f>HYPERLINK("https://www.reddit.com/r/cancer/comments/agh24l/how_to_help_family_cope/")</f>
        <v/>
      </c>
      <c r="G251" t="inlineStr">
        <is>
          <t>2019-01-15 19:37:51</t>
        </is>
      </c>
      <c r="H251" t="inlineStr"/>
    </row>
    <row r="252">
      <c r="A252" t="inlineStr">
        <is>
          <t>aghla3</t>
        </is>
      </c>
      <c r="B252" t="inlineStr">
        <is>
          <t>Unexpected cancer</t>
        </is>
      </c>
      <c r="C252" t="inlineStr">
        <is>
          <t>Hi guys,
My grandma was diagnosed with lung cancer. We are trying to find out the issue. My uncle stated that she did smoke once because her son told her around 6 months ago (the cancer was estimated to begin roughly 4 months ago, she was diagnosed last week at stage 4 unfortunately).
Can this be true? I know there’s a higher chance for 2nd hand smokin but my question is if it can be effected just from her one time of Smoking hookah.
Thanks</t>
        </is>
      </c>
      <c r="D252" t="n">
        <v>1</v>
      </c>
      <c r="E252" t="n">
        <v>4</v>
      </c>
      <c r="F252">
        <f>HYPERLINK("https://www.reddit.com/r/cancer/comments/aghla3/unexpected_cancer/")</f>
        <v/>
      </c>
      <c r="G252" t="inlineStr">
        <is>
          <t>2019-01-15 20:43:04</t>
        </is>
      </c>
      <c r="H252" t="inlineStr"/>
    </row>
    <row r="253">
      <c r="A253" t="inlineStr">
        <is>
          <t>agho7q</t>
        </is>
      </c>
      <c r="B253" t="inlineStr">
        <is>
          <t>People with Lynch Syndrome? 21M here needing some help</t>
        </is>
      </c>
      <c r="C253" t="inlineStr">
        <is>
          <t xml:space="preserve">Hi everyone. Up until today my life had its ups and downs, but I managed. We all have our baggage I guess. I've lost 4 family members to cancer and it was always a scary thing growing up. 
Today, me and my mother both got our test results and found out we have Lynch Syndrome. Putting it simply, we both have high chance to have certain cancer types.
I'll have to do exams yearly so I can get treated if something shows up. Still, I feel like this can go bad real quick. I was always a pessimist and this is not helping much. I'm still young and I don't wanna die or lose my mother.
I don't want to leave my younger siblings without a big brother. And I still have a lot of shit I want to do.
I know I'm not in a position to complain since I don't have cancer, I just have a high chance of ending up having. But I can't stop thinking about it, I don't know how to cope.
So I ask of you, if any one is kind enough to share their experience with me, I'll gladly appreciate it.
Thank you. </t>
        </is>
      </c>
      <c r="D253" t="n">
        <v>1</v>
      </c>
      <c r="E253" t="n">
        <v>2</v>
      </c>
      <c r="F253">
        <f>HYPERLINK("https://www.reddit.com/r/cancer/comments/agho7q/people_with_lynch_syndrome_21m_here_needing_some/")</f>
        <v/>
      </c>
      <c r="G253" t="inlineStr">
        <is>
          <t>2019-01-15 20:53:18</t>
        </is>
      </c>
      <c r="H253" t="inlineStr"/>
    </row>
    <row r="254">
      <c r="A254" t="inlineStr">
        <is>
          <t>ago1rg</t>
        </is>
      </c>
      <c r="B254" t="inlineStr">
        <is>
          <t>Mom with Metastatic Triple Negative Breast responding well to treatment. Question for next steps</t>
        </is>
      </c>
      <c r="C254" t="inlineStr">
        <is>
          <t xml:space="preserve">This indication is notoriously difficult to treat since there aren’t any targeted therapies, however Mom is currently responding well to her two agent chemo treatment (gemcitabine and cisplatin). I understand that many patients respond well to chemo for a short period of time and then the cancer becomes resistant to chemotherapy. I want to help Mom prepare physically for that possibility during the period where they knock the cancer down and she goes on a maintence treatment like a chemo pill (is this a thing for Triple Neg?) or a PARP inhibitor (she has the BRCA2 mutation). Especially since immunotherapies which may be an option can be quite toxic and I want her to be physically strong enough to take the medication. 
I have encouraged her to set up physical therapy appointments which she is beginning soon and I’ve gotten her to eat better by ordering healthier prepared meals through local delivery services. What else can I do without being physically present since I am out of town. One specific request I have is if you have suggestions for improving her fatigue. I went shopping for a new bed recently with them and for some nice lounge chairs. We FaceTime everyday and I visit every few months. She’ll be a grandmother soon to two grand babies which is a great distraction. 
Thanks for taking the time to read this. I hope you and your loved ones are healing as well. </t>
        </is>
      </c>
      <c r="D254" t="n">
        <v>1</v>
      </c>
      <c r="E254" t="n">
        <v>8</v>
      </c>
      <c r="F254">
        <f>HYPERLINK("https://www.reddit.com/r/cancer/comments/ago1rg/mom_with_metastatic_triple_negative_breast/")</f>
        <v/>
      </c>
      <c r="G254" t="inlineStr">
        <is>
          <t>2019-01-16 10:23:59</t>
        </is>
      </c>
      <c r="H254" t="inlineStr"/>
    </row>
    <row r="255">
      <c r="A255" t="inlineStr">
        <is>
          <t>ags8jk</t>
        </is>
      </c>
      <c r="B255" t="inlineStr">
        <is>
          <t>Father needs radiation (USA) but is no longer working - 63 years old</t>
        </is>
      </c>
      <c r="C255" t="inlineStr">
        <is>
          <t xml:space="preserve">My father was diagnosed with tonsillar cancer in 2015 and chose to follow alternative methods of treatment up until a month ago when the tumor growth became too painful.
Long story short, they have been at a clinic in Mexico that does blended therapy and the clinicians were able to convince him to incorporate radiation. He has a 10 day course of treatment in Tiajuaw, after which he will be returning to Texas this weekend.
My parents are (understandably) having a hard time thinking into the future, so I have been trying to find options for them to continue radiation here in Texas when they return.
Is there any form of insurance or anything along those lines that they can work with to gain health coverage in the US?
Thanks in advance for your input. </t>
        </is>
      </c>
      <c r="D255" t="n">
        <v>1</v>
      </c>
      <c r="E255" t="n">
        <v>3</v>
      </c>
      <c r="F255">
        <f>HYPERLINK("https://www.reddit.com/r/cancer/comments/ags8jk/father_needs_radiation_usa_but_is_no_longer/")</f>
        <v/>
      </c>
      <c r="G255" t="inlineStr">
        <is>
          <t>2019-01-16 17:02:16</t>
        </is>
      </c>
      <c r="H255" t="inlineStr"/>
    </row>
    <row r="256">
      <c r="A256" t="inlineStr">
        <is>
          <t>agsab4</t>
        </is>
      </c>
      <c r="B256" t="inlineStr">
        <is>
          <t>Fuck... please don’t let that be true...</t>
        </is>
      </c>
      <c r="C256" t="inlineStr">
        <is>
          <t>I’ve been diagnosed with melanoma (stage 3c) in July 2017 and I’ve been „clean“ since... and just a few moments ago... I was like FUCK... i just noticed a small knot on my thighs... I mean it’s not where the main lymph knots usually are but I’m really fucking terrified right now... 
this while thing never really touched/affected me in any way but now I am really really fucking scared...
Good thing is I’m up to my checkup in just about a week and I will ask my doctor what she thinks about it (I mean it a really uncomfortable spot to show but... I think it’s got to be done...) 
I mean just... PLEASE DON‘T LET THIS BE TRUE... I mean I’m not even 19... still fucking virgin etc. fuck there’s just so much I still want to do... and... please I really really don’t want to put my mom through all this again... FUUUUUUCK
Sorry... I really just needed to get this of my chest... I mean it’s not like it’s making anything even just a little bit better but... yeah... fuck...</t>
        </is>
      </c>
      <c r="D256" t="n">
        <v>1</v>
      </c>
      <c r="E256" t="n">
        <v>20</v>
      </c>
      <c r="F256">
        <f>HYPERLINK("https://www.reddit.com/r/cancer/comments/agsab4/fuck_please_dont_let_that_be_true/")</f>
        <v/>
      </c>
      <c r="G256" t="inlineStr">
        <is>
          <t>2019-01-16 17:07:26</t>
        </is>
      </c>
      <c r="H256" t="inlineStr"/>
    </row>
    <row r="257">
      <c r="A257" t="inlineStr">
        <is>
          <t>agsafx</t>
        </is>
      </c>
      <c r="B257" t="inlineStr">
        <is>
          <t>Anyone?</t>
        </is>
      </c>
      <c r="C257" t="inlineStr">
        <is>
          <t>I’ve received multiple stem cell transplants making me a walking talking chimera. I’ve had roughly 4-5 (maybe more) different types of chemo therapy, I’ve had remission last as short as a month, to almost 2+ years before relapse. I am currently undergoing an extremely new clinical trial. The goal is to begin steering the future of not just lymphoma treatment, but all cancer treatments in this direction. While most of the side effects are lessened, I will potentially never be able to be exposed to any natural sunlight ever again. No overcast days, no rooms with tinted windows, UV protective clothing and sunscreen head to toe. 
I’m curious if there would be any interest in an AMA. I have no problem being candid about any details of the cancer, the symptoms, the treatments, side effects, how it’s warped and changed my life and relationships, and what, if any, kind of future can I expect. So my wife is pushing for me to do it. She believes I have a pretty unique and extremely... thorough cancer experience and any single part of my experiences could help someone or a family member.
So... I dunno... if any of you have questions, or are generally interested in some crazy medical factoids experienced first-hand, alls you gots to do is lemme know and/or ask! Just call me Jona if you wanna avoid screen names, and I’m a 34 yr old married father of 2. Thanks, and I hope this doesn’t come across as me being self absorbed!</t>
        </is>
      </c>
      <c r="D257" t="n">
        <v>1</v>
      </c>
      <c r="E257" t="n">
        <v>15</v>
      </c>
      <c r="F257">
        <f>HYPERLINK("https://www.reddit.com/r/cancer/comments/agsafx/anyone/")</f>
        <v/>
      </c>
      <c r="G257" t="inlineStr">
        <is>
          <t>2019-01-16 17:07:48</t>
        </is>
      </c>
      <c r="H257" t="inlineStr"/>
    </row>
    <row r="258">
      <c r="A258" t="inlineStr">
        <is>
          <t>agt2rz</t>
        </is>
      </c>
      <c r="B258" t="inlineStr">
        <is>
          <t>Help! Family doctor referred my 9 month old to the dermatologist for a growing spot on her shoulder.</t>
        </is>
      </c>
      <c r="C258" t="inlineStr">
        <is>
          <t>My baby girl has a doctors appointment tomorrow at a “skin and cancer” center  the name alone makes me want to cry.
About 6(?) months ago, on her right shoulder I notice 3 very small red dots that formed a perfect triangle. At her 6 month check up I mentioned it. He said keep and eye on it and at her 9 month check up we’ll take a look at it. Well, yesterday was her 9 month check up and the three small dots are now just one large dot. About the size of a pea. So tomorrow we’re going to a dermatologist. 
My question is, is there anyone here with some advice? Questions you wish you’d asked on your first drs. visit? Just any advice at all would be so helpful. 
Thank you all ❤️</t>
        </is>
      </c>
      <c r="D258" t="n">
        <v>1</v>
      </c>
      <c r="E258" t="n">
        <v>4</v>
      </c>
      <c r="F258">
        <f>HYPERLINK("https://www.reddit.com/r/cancer/comments/agt2rz/help_family_doctor_referred_my_9_month_old_to_the/")</f>
        <v/>
      </c>
      <c r="G258" t="inlineStr">
        <is>
          <t>2019-01-16 18:34:55</t>
        </is>
      </c>
      <c r="H258" t="inlineStr"/>
    </row>
    <row r="259">
      <c r="A259" t="inlineStr">
        <is>
          <t>agtti0</t>
        </is>
      </c>
      <c r="B259" t="inlineStr">
        <is>
          <t>my mom was given 6 months to live</t>
        </is>
      </c>
      <c r="C259" t="inlineStr">
        <is>
          <t>this has been so fast and so bad. doctors originally found a tumor that they could be removed with 1 surgery, they literally said "it will probably cure you" after the surgery we found out she has stage 3c cancer, which is a huge jump from being "cured". next thing we know her belly starts growing a ton from tumor, she looks almost 5 or 6 months pregnant. a few weeks ago she was given until june 18th. the weird thing is i havent felt that sad. from the first time i heard i started crying, and from that point on, even with every bad update, i feel the same. everything other than this has been going great in my life. minus the cancer my life has never been this good, and for some reason when i am not thinking about cancer i feel so happy. maybe its made me greatful, but i think something might be wrong with me, im 15 and ive never experienced death of a close family member. theoterically, this should be destroying my life but its only in the bad moments i feel really bad? im rambling, hopefully someone knows what i mean</t>
        </is>
      </c>
      <c r="D259" t="n">
        <v>1</v>
      </c>
      <c r="E259" t="n">
        <v>0</v>
      </c>
      <c r="F259">
        <f>HYPERLINK("https://www.reddit.com/r/cancer/comments/agtti0/my_mom_was_given_6_months_to_live/")</f>
        <v/>
      </c>
      <c r="G259" t="inlineStr">
        <is>
          <t>2019-01-16 19:58:58</t>
        </is>
      </c>
      <c r="H259" t="inlineStr"/>
    </row>
    <row r="260">
      <c r="A260" t="inlineStr">
        <is>
          <t>agu7os</t>
        </is>
      </c>
      <c r="B260" t="inlineStr">
        <is>
          <t>Hair not growing back after lymphoma</t>
        </is>
      </c>
      <c r="C260" t="inlineStr">
        <is>
          <t>I was diagnosed with stage 2 Classical Hodgkin's Lymphoma in Oct 2016. I received 4 cycles of chemotherapy and 3 weeks of radiotherapy. The treatment was completed in Feb 2017,but now, even after 2 years my hair fall has not stopped. My hair grew back after chemo but I can see my hair line getting thinner and thinner. I lose lot of hair every day. What should I do ?? BTW I'm only 23 years old and I had dense &amp;amp; thick hair before chemo but after it the hair that grew back are lot thinner.</t>
        </is>
      </c>
      <c r="D260" t="n">
        <v>1</v>
      </c>
      <c r="E260" t="n">
        <v>10</v>
      </c>
      <c r="F260">
        <f>HYPERLINK("https://www.reddit.com/r/cancer/comments/agu7os/hair_not_growing_back_after_lymphoma/")</f>
        <v/>
      </c>
      <c r="G260" t="inlineStr">
        <is>
          <t>2019-01-16 20:47:48</t>
        </is>
      </c>
      <c r="H260" t="inlineStr"/>
    </row>
    <row r="261">
      <c r="A261" t="inlineStr">
        <is>
          <t>agueas</t>
        </is>
      </c>
      <c r="B261" t="inlineStr">
        <is>
          <t>What are the "hard but important" questions I'll need to ask my dad in the case of his passing from cancer?</t>
        </is>
      </c>
      <c r="C261" t="inlineStr">
        <is>
          <t xml:space="preserve">My dad has stage 4 lung cancer that has spread to his brain and the lining of his heart. He's in his 50s and has been a smoker for 30+ years. Never in his life did he bother getting checkups so we're just barely finding out that he has many other problems too such as pneumonia and diabetes. We're not sure how much longer has and his condition only seems to be deteriorating this past month.  
What is the sort of things I should ask my dad in case that he passes away? Questions such as like "do you want to be buried or cremated?" Or even anything of general importance than that would make it easier on my family if he does pass?
</t>
        </is>
      </c>
      <c r="D261" t="n">
        <v>1</v>
      </c>
      <c r="E261" t="n">
        <v>19</v>
      </c>
      <c r="F261">
        <f>HYPERLINK("https://www.reddit.com/r/cancer/comments/agueas/what_are_the_hard_but_important_questions_ill/")</f>
        <v/>
      </c>
      <c r="G261" t="inlineStr">
        <is>
          <t>2019-01-16 21:12:06</t>
        </is>
      </c>
      <c r="H261" t="inlineStr"/>
    </row>
    <row r="262">
      <c r="A262" t="inlineStr">
        <is>
          <t>aguoqq</t>
        </is>
      </c>
      <c r="B262" t="inlineStr">
        <is>
          <t>My grandfather recently passed and my family wants me to speak at the funeral.</t>
        </is>
      </c>
      <c r="C262" t="inlineStr">
        <is>
          <t xml:space="preserve">My grandfather passed away a few weeks ago after a 5 year long battle with prostate and bone cancer and were finally having his funeral next week (I know, long wait, military funerals have a long waiting list). I spoke with my mom today and she said after talking to my aunt and uncle they want me to speak at the funeral on behalf of all of the grandkids because I’m the oldest (I’m 22). He was my very favorite person on this earth and he did so much for me over the years. He came out of retirement and went back to work while going through chemo so he could pay for me to go to my dream college when my dad said he couldn’t afford to help me anymore. After he passed and we were closing old accounts we found out that my name was his password to absolutely everything. We shared a birthday and every year I always said I wanted to go to red lobster even though I kind of hate their food but I knew it was his favorite. He included in his will that I and I alone would be trusted with the care of his beloved dog because he knew how much I loved and cared for her. He was my best friend and I loved him with every fiber of me being and I just wanna say the right things. I have no words that will ever be good enough to honor how amazing of a man he was but I want to at least try. Where do I start? What can I say? What would you want someone to say about you at your funeral? Help. </t>
        </is>
      </c>
      <c r="D262" t="n">
        <v>1</v>
      </c>
      <c r="E262" t="n">
        <v>20</v>
      </c>
      <c r="F262">
        <f>HYPERLINK("https://www.reddit.com/r/cancer/comments/aguoqq/my_grandfather_recently_passed_and_my_family/")</f>
        <v/>
      </c>
      <c r="G262" t="inlineStr">
        <is>
          <t>2019-01-16 21:50:54</t>
        </is>
      </c>
      <c r="H262" t="inlineStr"/>
    </row>
    <row r="263">
      <c r="A263" t="inlineStr">
        <is>
          <t>agutnj</t>
        </is>
      </c>
      <c r="B263" t="inlineStr">
        <is>
          <t>BF diagnosed with stage 3 choriocarcinoma</t>
        </is>
      </c>
      <c r="C263" t="inlineStr">
        <is>
          <t>Hello first time posting here.
I cant fall asleep tonight and thought it might be a good idea to just let it spill all out. My boyfriend and I will be together for 5 years next month. We were doing so well before cancer came into our lives. We had moved out together just a year prior, even started looking at houses. In October he noticed a lump growing. In November it was officially diagnosed as stage 3 choriocarcinoma. It had met to a lymphnode to his lungs. After his 1 rounds of chemo of a 4 part chemo treatment he had lost all strength in his right side of his body overnight. The cancer has reached his brain and was pushing up against his motor skill area that effected his right side limbs. We continued with the chemo and even got radiation for the brain tumors. 
In between all of that he also had a chemo leak in his port. Resulted in emergency surgery. Got put back on chemo before healing completed and got an infection due to the open wound not being allowed time to heal. After chemo he had 2 seizures, got put on seizure medication, did the radiation, then put on steroids for almost the entire year. Thankfully no more seizures. 
In July of 2017 we thought it was over. August they told us it was back and with a vengeance. This cancer wasn't going down without a fight. Here in came the 2 rounds of high dosage chemo and bmt. The first round kicked his ass. I have never seen him look so defeated but he pulled through. His second round was completed on January 2nd of this year, it also went much more smoothly for him as well. He did amazing and we thought "this is finally over!". These past 2 weeks have been a blur and just... disheartening. His counts are coming back up, the cancer is still there.. 
Now they're talking about surgery. There's still a few tumors in his lungs. We found out today only 2/5 of these tumors are operable, the other 3 are too close to major arteries. Also with his history of the seizures the surgeons are too skeptical to put him under for this major surgery. They suggest radiation again to "zap" the more difficult ones and try to surgically remove the other 2. We still have a few scans to do and more doctor visits become they come up with any concrete plans. At this point we are slowly losing our faith in this medicine. I can tell BF is going in a very dark place at this point. If all else fails I think we're going to give good ol holistic practices a shot and get/make him rso at my own risk. I dont know how but I feel like a sitting duck at this point. What we are doing now doesnt seem to be helping. 
I dont know...</t>
        </is>
      </c>
      <c r="D263" t="n">
        <v>1</v>
      </c>
      <c r="E263" t="n">
        <v>10</v>
      </c>
      <c r="F263">
        <f>HYPERLINK("https://www.reddit.com/r/cancer/comments/agutnj/bf_diagnosed_with_stage_3_choriocarcinoma/")</f>
        <v/>
      </c>
      <c r="G263" t="inlineStr">
        <is>
          <t>2019-01-16 22:10:25</t>
        </is>
      </c>
      <c r="H263" t="inlineStr"/>
    </row>
    <row r="264">
      <c r="A264" t="inlineStr">
        <is>
          <t>agyuv1</t>
        </is>
      </c>
      <c r="B264" t="inlineStr">
        <is>
          <t>Anyone have experiences w MDM2 inhibitors (AMG232 for example) to restore p53 function ?</t>
        </is>
      </c>
      <c r="C264" t="inlineStr">
        <is>
          <t xml:space="preserve">Hi All, I am a cancer researcher beginning to oversee a new study involving AMG232 which is a second generation MDM2 inhibitor. This is a fairly new compound and seems to have a lot of promise in helping the body restore it's natural p53 tumor suppressor pathway.  This study will be in soft tissue sarcoma, but this pathway dis-regulation is seen extensively in osteosarcoma and breast cancer so will be studied in those cancers as well. Just wanted to see if anyone had any first hand experiences? Impressions ? Side effects ? thanks all for your time reading. </t>
        </is>
      </c>
      <c r="D264" t="n">
        <v>1</v>
      </c>
      <c r="E264" t="n">
        <v>3</v>
      </c>
      <c r="F264">
        <f>HYPERLINK("https://www.reddit.com/r/cancer/comments/agyuv1/anyone_have_experiences_w_mdm2_inhibitors_amg232/")</f>
        <v/>
      </c>
      <c r="G264" t="inlineStr">
        <is>
          <t>2019-01-17 07:29:01</t>
        </is>
      </c>
      <c r="H264" t="inlineStr"/>
    </row>
    <row r="265">
      <c r="A265" t="inlineStr">
        <is>
          <t>agzhac</t>
        </is>
      </c>
      <c r="B265" t="inlineStr">
        <is>
          <t>Oncological role of peroxisome proliferator activators (PPAR) and tumor suppression</t>
        </is>
      </c>
      <c r="C265" t="inlineStr">
        <is>
          <t>When discussing oncological therapies, there are multiple pathways to induce apoptosis and suppress metastasis. One such nuclear pathway is PPAR targets. Subtypes include PPAR alpha (a), Beta (b), sigma (o) and gamma (y). PPAR-γ activation has been shown to inhibit the proliferation of malignant cells, especially in breast cancer cells by means of deactivation of aromatase in cytochrome P450 (CYP19) in adipose tissue. Aromatase expression in adipose tissue is regulated via the distal promoter I.4, under the control of glucocorticoids and class I cytokines such as oncostatin M, interleukin 6, and interleukin 11, as well as tumor necrosis factor alpha, with cytokines inhibiting adipose differentiation. With regards to PPAR-y which has been shown to induce adipose tissue differentiation, PPAR-y ligands inhibit aromatase of estrogen in adipose tissue, most useful in postmenopausal women.
&amp;amp;#x200B;
PPARy decresed cell proliferation: [https://www.ncbi.nlm.nih.gov/pubmed/15325034](https://www.ncbi.nlm.nih.gov/pubmed/15325034)
PPAR-y inhibition of metastasis in breast cancer: [https://www.ncbi.nlm.nih.gov/pubmed/10749129](https://www.ncbi.nlm.nih.gov/pubmed/10749129)
PPAR Overview: [https://www.ncbi.nlm.nih.gov/pmc/articles/PMC3255347/](https://www.ncbi.nlm.nih.gov/pmc/articles/PMC3255347/)
PPAR-y induction of apoptosis in malignant cells: [https://www.ncbi.nlm.nih.gov/pubmed/10861801](https://www.ncbi.nlm.nih.gov/pubmed/10861801)
&amp;amp;#x200B;</t>
        </is>
      </c>
      <c r="D265" t="n">
        <v>1</v>
      </c>
      <c r="E265" t="n">
        <v>0</v>
      </c>
      <c r="F265">
        <f>HYPERLINK("https://www.reddit.com/r/cancer/comments/agzhac/oncological_role_of_peroxisome_proliferator/")</f>
        <v/>
      </c>
      <c r="G265" t="inlineStr">
        <is>
          <t>2019-01-17 08:28:27</t>
        </is>
      </c>
      <c r="H265" t="inlineStr"/>
    </row>
    <row r="266">
      <c r="A266" t="inlineStr">
        <is>
          <t>agzuvz</t>
        </is>
      </c>
      <c r="B266" t="inlineStr">
        <is>
          <t>Stage 4 colorectal folks, how's it going?</t>
        </is>
      </c>
      <c r="C266" t="inlineStr">
        <is>
          <t>I was diagnosed with stage 4 colorectal adenocarcinoma with mets to my liver and lungs on December 18. Not curable, no surgical options (after a second opinion at a major cancer hospital), and my liver is HUGE right now. I'm going in for my first FOLFOX chemo infusion tomorrow.
I'm just wondering how some of you who are further down the road than me are doing in general, and if you might have some general practical advice for dealing with all of this. Have you gotten to a new "normal?" Are you happy with your quality of life? Honestly I'll take anything you've got. Cheers.</t>
        </is>
      </c>
      <c r="D266" t="n">
        <v>1</v>
      </c>
      <c r="E266" t="n">
        <v>62</v>
      </c>
      <c r="F266">
        <f>HYPERLINK("https://www.reddit.com/r/cancer/comments/agzuvz/stage_4_colorectal_folks_hows_it_going/")</f>
        <v/>
      </c>
      <c r="G266" t="inlineStr">
        <is>
          <t>2019-01-17 09:03:37</t>
        </is>
      </c>
      <c r="H266" t="inlineStr"/>
    </row>
    <row r="267">
      <c r="A267" t="inlineStr">
        <is>
          <t>ah04on</t>
        </is>
      </c>
      <c r="B267" t="inlineStr">
        <is>
          <t>4 months after allogeneic stem cell transplant for MDS and my dad still can’t taste anything</t>
        </is>
      </c>
      <c r="C267" t="inlineStr">
        <is>
          <t>The heavy doses of chemo and radiation before transplant destroyed my dad’s taste buds and food was always a joy for my dad, including trying new restaurants, cooking the perfect steak, having the foods he’s loved all his life at Christmas and thanksgiving, etc. this is just about the worst thing that could be taken from him. His doctors say they’ll come back, but it’s been 4 months. I can’t find information online other than that taste should return in a month or so. 
It has destroyed his quality of life, and although my main concern is keeping my dad around, I hate to think that if he god forbid doesn’t make it that he suffered and grew frailer and couldn’t enjoy one of the things that brought him joy all his life at the end. Does anyone have experience with taste changes and did they EVER come back? His hair also hasn’t grown back in 4 months. What do we do?</t>
        </is>
      </c>
      <c r="D267" t="n">
        <v>1</v>
      </c>
      <c r="E267" t="n">
        <v>24</v>
      </c>
      <c r="F267">
        <f>HYPERLINK("https://www.reddit.com/r/cancer/comments/ah04on/4_months_after_allogeneic_stem_cell_transplant/")</f>
        <v/>
      </c>
      <c r="G267" t="inlineStr">
        <is>
          <t>2019-01-17 09:29:23</t>
        </is>
      </c>
      <c r="H267" t="inlineStr"/>
    </row>
    <row r="268">
      <c r="A268" t="inlineStr">
        <is>
          <t>ah0c45</t>
        </is>
      </c>
      <c r="B268" t="inlineStr">
        <is>
          <t>Any survivors of adenocarcinoma of the pancreas?</t>
        </is>
      </c>
      <c r="C268" t="inlineStr">
        <is>
          <t>Just need a little hope.</t>
        </is>
      </c>
      <c r="D268" t="n">
        <v>1</v>
      </c>
      <c r="E268" t="n">
        <v>12</v>
      </c>
      <c r="F268">
        <f>HYPERLINK("https://www.reddit.com/r/cancer/comments/ah0c45/any_survivors_of_adenocarcinoma_of_the_pancreas/")</f>
        <v/>
      </c>
      <c r="G268" t="inlineStr">
        <is>
          <t>2019-01-17 09:47:17</t>
        </is>
      </c>
      <c r="H268" t="inlineStr"/>
    </row>
    <row r="269">
      <c r="A269" t="inlineStr">
        <is>
          <t>ah2zvf</t>
        </is>
      </c>
      <c r="B269" t="inlineStr">
        <is>
          <t>Skin cancer scare</t>
        </is>
      </c>
      <c r="C269" t="inlineStr">
        <is>
          <t xml:space="preserve">I have a mole on my chest that just recently got irritated and started feeling inflamed. Almost like a pimple. I have horrible insurance and I would like to know who I should make an appointment with. I can't afford to go to a GP only to refer me somewhere else. </t>
        </is>
      </c>
      <c r="D269" t="n">
        <v>1</v>
      </c>
      <c r="E269" t="n">
        <v>2</v>
      </c>
      <c r="F269">
        <f>HYPERLINK("https://www.reddit.com/r/cancer/comments/ah2zvf/skin_cancer_scare/")</f>
        <v/>
      </c>
      <c r="G269" t="inlineStr">
        <is>
          <t>2019-01-17 13:50:16</t>
        </is>
      </c>
      <c r="H269" t="inlineStr"/>
    </row>
    <row r="270">
      <c r="A270" t="inlineStr">
        <is>
          <t>ah3t2h</t>
        </is>
      </c>
      <c r="B270" t="inlineStr">
        <is>
          <t>Cancer Resource Podcast by Cancer Patients | Any suggested organizations we can learn more about?</t>
        </is>
      </c>
      <c r="C270" t="inlineStr">
        <is>
          <t>I am a metastatic testicular cancer survivor and current medical student. My co-host, Anna, is a melanoma survivor. 
We're both early 20s and conducting interviews with organizations that help those deal with cancer (aka [Catalyze Living](https://open.spotify.com/show/2JPUQF1x2ROIX2baNp9LaK?si=wrw0CxngQSecnrZlNIQx2A)). 
We've reached out to the sidebar organizations previously with missed results, but if anyone has any contacts or suggestions we would appreciate it.
Feel free to [contact us](https://catalyzeliving.com) with any questions.</t>
        </is>
      </c>
      <c r="D270" t="n">
        <v>1</v>
      </c>
      <c r="E270" t="n">
        <v>1</v>
      </c>
      <c r="F270">
        <f>HYPERLINK("https://www.reddit.com/r/cancer/comments/ah3t2h/cancer_resource_podcast_by_cancer_patients_any/")</f>
        <v/>
      </c>
      <c r="G270" t="inlineStr">
        <is>
          <t>2019-01-17 15:07:26</t>
        </is>
      </c>
      <c r="H270" t="inlineStr"/>
    </row>
    <row r="271">
      <c r="A271" t="inlineStr">
        <is>
          <t>ah431n</t>
        </is>
      </c>
      <c r="B271" t="inlineStr">
        <is>
          <t>Breast cancer and lymph node infection?</t>
        </is>
      </c>
      <c r="C271" t="inlineStr">
        <is>
          <t xml:space="preserve">Hello all,
My mom had breast cancer and they removed 2 lymph nodes. 1 lymph node was clean, 1 had the breast cancer spread to it. They removed the breast cancer with surgery and then used radiation and some sort of hormone pills after surgery. But why didn’t they remove more lymph nodes to be sure the cancer hasn’t spread to other lymph nodes? </t>
        </is>
      </c>
      <c r="D271" t="n">
        <v>1</v>
      </c>
      <c r="E271" t="n">
        <v>3</v>
      </c>
      <c r="F271">
        <f>HYPERLINK("https://www.reddit.com/r/cancer/comments/ah431n/breast_cancer_and_lymph_node_infection/")</f>
        <v/>
      </c>
      <c r="G271" t="inlineStr">
        <is>
          <t>2019-01-17 15:35:16</t>
        </is>
      </c>
      <c r="H271" t="inlineStr"/>
    </row>
    <row r="272">
      <c r="A272" t="inlineStr">
        <is>
          <t>ah4ck3</t>
        </is>
      </c>
      <c r="B272" t="inlineStr">
        <is>
          <t>Patrimonial Cancer</t>
        </is>
      </c>
      <c r="C272" t="inlineStr">
        <is>
          <t>Hey guys i have like really important question cause i have no idea, today i found out my mother had dervix cancer like 10 years ago but she is alive, 2 months ago my sister died from cancer but i have no idea if it was patrimonial or just coincidence, and here is my question. As a men can i also be sick? Or it is just woman to woman cause im kinda freak out</t>
        </is>
      </c>
      <c r="D272" t="n">
        <v>1</v>
      </c>
      <c r="E272" t="n">
        <v>2</v>
      </c>
      <c r="F272">
        <f>HYPERLINK("https://www.reddit.com/r/cancer/comments/ah4ck3/patrimonial_cancer/")</f>
        <v/>
      </c>
      <c r="G272" t="inlineStr">
        <is>
          <t>2019-01-17 16:02:07</t>
        </is>
      </c>
      <c r="H272" t="inlineStr"/>
    </row>
    <row r="273">
      <c r="A273" t="inlineStr">
        <is>
          <t>ah5dt2</t>
        </is>
      </c>
      <c r="B273" t="inlineStr">
        <is>
          <t>I don’t even know where to start.</t>
        </is>
      </c>
      <c r="C273" t="inlineStr">
        <is>
          <t xml:space="preserve">So my mom has been dealing with cervical cancer stage 3c. She was just in the hospital for a week with a staph infection in her blood. Her port was infected. Her last chemo was December 26. She was actually scheduled for chemo on the 16th and a cat scan on the 14th because they were going to do surgery on the 22nd of this month. But they did a cat scan basically when she went in the hospital last week and her doctor called and said her cancer has grown. But I’m so confused because her ca 125 markers have come down. They were at a 700 then 400 and then 290ish. And this was less than a month ago. The doctors pretty much told her over the phone they were going to try a new course of action. My question is, is this normal? We thought the markers going down was a good sign. She’s so upset right now and I just feel so numb. Has anyone dealt with this happening? Any help or feedback is greatly appreciated. Thank you so much. I’m sorry if this was written poorly as I can hardly focus right now. </t>
        </is>
      </c>
      <c r="D273" t="n">
        <v>1</v>
      </c>
      <c r="E273" t="n">
        <v>11</v>
      </c>
      <c r="F273">
        <f>HYPERLINK("https://www.reddit.com/r/cancer/comments/ah5dt2/i_dont_even_know_where_to_start/")</f>
        <v/>
      </c>
      <c r="G273" t="inlineStr">
        <is>
          <t>2019-01-17 17:53:09</t>
        </is>
      </c>
      <c r="H273" t="inlineStr"/>
    </row>
    <row r="274">
      <c r="A274" t="inlineStr">
        <is>
          <t>ah6bzv</t>
        </is>
      </c>
      <c r="B274" t="inlineStr">
        <is>
          <t>Third lumpectomy or mastectomy?</t>
        </is>
      </c>
      <c r="C274" t="inlineStr">
        <is>
          <t>I would like to hear from others about their recovery. My mom (60 years) has been diagnosed with DCIS Stage 0 grade 2 on her left breast. It is ER-PR positive. Her surgeon suggested for a lumpectomy  followed by radiation as she said the amount of tissue affected was very small. My mom has now had two lumpectomies, and the surgeon has asked her to come in for a third surgery. She is unsure of whether she should go for a mastectomy or just get the re-excision lumpectomy. How is the recovery time for mastectomy? Do you still have to get radiation? How long did you have to stay in the hospital for? She says she doesn't want to get reconstruction.</t>
        </is>
      </c>
      <c r="D274" t="n">
        <v>1</v>
      </c>
      <c r="E274" t="n">
        <v>6</v>
      </c>
      <c r="F274">
        <f>HYPERLINK("https://www.reddit.com/r/cancer/comments/ah6bzv/third_lumpectomy_or_mastectomy/")</f>
        <v/>
      </c>
      <c r="G274" t="inlineStr">
        <is>
          <t>2019-01-17 19:40:43</t>
        </is>
      </c>
      <c r="H274" t="inlineStr"/>
    </row>
    <row r="275">
      <c r="A275" t="inlineStr">
        <is>
          <t>ah77oj</t>
        </is>
      </c>
      <c r="B275" t="inlineStr">
        <is>
          <t>My mom diagnosed for cancer for second time, what is the chance?</t>
        </is>
      </c>
      <c r="C275" t="inlineStr">
        <is>
          <t>2010 she got the breast cancer stage 3 (almost stage 3) she got the surgery and got the chemo and i thought she is fine.
a month ago, she got diagnosed for lung cancer, I mom don't want to tell me, my father just told me about it.
I am alone in US for study and they are in South Korea.
I don't have the details of the current lung cancer. 
i just heard that she has the cancer on the both side. 
she will go through more detailed scan and will do the surgery.
what is the chance that she will be fine in this case?
i have the immigration issue, so i cannot leave the US right now, need to wait few more months</t>
        </is>
      </c>
      <c r="D275" t="n">
        <v>1</v>
      </c>
      <c r="E275" t="n">
        <v>4</v>
      </c>
      <c r="F275">
        <f>HYPERLINK("https://www.reddit.com/r/cancer/comments/ah77oj/my_mom_diagnosed_for_cancer_for_second_time_what/")</f>
        <v/>
      </c>
      <c r="G275" t="inlineStr">
        <is>
          <t>2019-01-17 21:28:39</t>
        </is>
      </c>
      <c r="H275" t="inlineStr"/>
    </row>
    <row r="276">
      <c r="A276" t="inlineStr">
        <is>
          <t>ah77y1</t>
        </is>
      </c>
      <c r="B276" t="inlineStr">
        <is>
          <t>Today, I found out, I get to start living my life again.</t>
        </is>
      </c>
      <c r="C276" t="inlineStr">
        <is>
          <t xml:space="preserve">Since the tumor was found last September, I have cooped myself up. I’ve been afraid of future plans, of meeting new people, of leaving my house. Just because I didn’t want to make a commitment and cancel because of cancer. 
Today, after my doctor told me everything looks great and we will just be doing maintenance work, I told him how I’ve been a hermit and he said, “well, you now have literally nothing planned. Go live your life.”
I shouldn’t have let this stand in my way anyway but I’m so happy and excited to re enter life with my renewed lease on it. </t>
        </is>
      </c>
      <c r="D276" t="n">
        <v>1</v>
      </c>
      <c r="E276" t="n">
        <v>15</v>
      </c>
      <c r="F276">
        <f>HYPERLINK("https://www.reddit.com/r/cancer/comments/ah77y1/today_i_found_out_i_get_to_start_living_my_life/")</f>
        <v/>
      </c>
      <c r="G276" t="inlineStr">
        <is>
          <t>2019-01-17 21:29:36</t>
        </is>
      </c>
      <c r="H276" t="inlineStr"/>
    </row>
    <row r="277">
      <c r="A277" t="inlineStr">
        <is>
          <t>ah7jrs</t>
        </is>
      </c>
      <c r="B277" t="inlineStr">
        <is>
          <t>Getting used to radiation</t>
        </is>
      </c>
      <c r="C277" t="inlineStr">
        <is>
          <t>I was diagnosed with a rare form of sarcoma in my lumbar spine back in September.  I started radiation on Monday and immediately hated it.  It was awkward and I couldn't find a way to relax during the treatment, which made me think it wasn't working.  During the first treatment I felt like I couldn't breathe and I couldn't calm down.
I don't know what clicked, but I think I'm finally getting used to it, and now I'm looking forward to getting another treatment out of the way tomorrow.
&amp;amp;#x200B;
I know there's a lot to be stressed about and things are going to get harder, but I feel the best that I have since I was diagnosed.  I just wanted to share in case anyone else has felt the same way during radiation.  It might be uncomfortable at first, but not forever.</t>
        </is>
      </c>
      <c r="D277" t="n">
        <v>1</v>
      </c>
      <c r="E277" t="n">
        <v>3</v>
      </c>
      <c r="F277">
        <f>HYPERLINK("https://www.reddit.com/r/cancer/comments/ah7jrs/getting_used_to_radiation/")</f>
        <v/>
      </c>
      <c r="G277" t="inlineStr">
        <is>
          <t>2019-01-17 22:13:51</t>
        </is>
      </c>
      <c r="H277" t="inlineStr"/>
    </row>
    <row r="278">
      <c r="A278" t="inlineStr">
        <is>
          <t>ah9lnc</t>
        </is>
      </c>
      <c r="B278" t="inlineStr">
        <is>
          <t>Recently found out girlfriend's mother has breast cancer, how do I deal with this?</t>
        </is>
      </c>
      <c r="C278" t="inlineStr">
        <is>
          <t>Needless to say, I'm feeling pretty down about it, but obviously nothing compared to what she's feeling. She's been extremely down and doesn't have any motivation for anything (understandably). However, how do I best deal with this? Is it better to back off for now, or should I try to talk with her about it? If someone that's had a similar experience has any tips, I'd very much appreciate it.</t>
        </is>
      </c>
      <c r="D278" t="n">
        <v>1</v>
      </c>
      <c r="E278" t="n">
        <v>0</v>
      </c>
      <c r="F278">
        <f>HYPERLINK("https://www.reddit.com/r/cancer/comments/ah9lnc/recently_found_out_girlfriends_mother_has_breast/")</f>
        <v/>
      </c>
      <c r="G278" t="inlineStr">
        <is>
          <t>2019-01-18 03:38:16</t>
        </is>
      </c>
      <c r="H278" t="inlineStr"/>
    </row>
    <row r="279">
      <c r="A279" t="inlineStr">
        <is>
          <t>ah9s8v</t>
        </is>
      </c>
      <c r="B279" t="inlineStr">
        <is>
          <t>Cancer Statistics for the UK</t>
        </is>
      </c>
      <c r="C279" t="inlineStr">
        <is>
          <t xml:space="preserve">&amp;amp;#x200B;
[Cancer Statistics for the UK](https://i.redd.it/hcxsbmdd86b21.jpg)
These are the top 10 most Common [Cancers](https://jacobspublishers.com/jacobs-journal-of-cancer-science-and-research-issn-2380-114x/) in the UK.
1. Breast cancer
2. Prostate 
3. Lung
4. Bowel
5. Melanoma Skin Cancer
6. Non-Hodgkin Lymphoma
7. Kidney
8. Head and Neck
9. Bladder
10. Pancreas 
 </t>
        </is>
      </c>
      <c r="D279" t="n">
        <v>1</v>
      </c>
      <c r="E279" t="n">
        <v>0</v>
      </c>
      <c r="F279">
        <f>HYPERLINK("https://www.reddit.com/r/cancer/comments/ah9s8v/cancer_statistics_for_the_uk/")</f>
        <v/>
      </c>
      <c r="G279" t="inlineStr">
        <is>
          <t>2019-01-18 04:04:06</t>
        </is>
      </c>
      <c r="H279" t="inlineStr"/>
    </row>
    <row r="280">
      <c r="A280" t="inlineStr">
        <is>
          <t>ah9wvz</t>
        </is>
      </c>
      <c r="B280" t="inlineStr">
        <is>
          <t>Dad diagnosed with Stage 4 lung cancer yesterday.</t>
        </is>
      </c>
      <c r="C280" t="inlineStr">
        <is>
          <t>I'm not looking for answers or anything in particular, more of a support/community. I've never experienced anyone close to me have cancer so this is all so new to me and obviously heartbreaking. 
I'm struggling with trying to stay strong in front of my dad for him but there are random moments when I can't keep it together. My mind flashes to the possibility of him not being able to walk me down the aisle in 4 months or that my future children may never meet their grandfather. 
I'm lucky to have family, friends, &amp;amp; a loving fiancée but thought it might be a good idea to reach out to those who have went through similar situations.</t>
        </is>
      </c>
      <c r="D280" t="n">
        <v>1</v>
      </c>
      <c r="E280" t="n">
        <v>9</v>
      </c>
      <c r="F280">
        <f>HYPERLINK("https://www.reddit.com/r/cancer/comments/ah9wvz/dad_diagnosed_with_stage_4_lung_cancer_yesterday/")</f>
        <v/>
      </c>
      <c r="G280" t="inlineStr">
        <is>
          <t>2019-01-18 04:21:02</t>
        </is>
      </c>
      <c r="H280" t="inlineStr"/>
    </row>
    <row r="281">
      <c r="A281" t="inlineStr">
        <is>
          <t>ahakof</t>
        </is>
      </c>
      <c r="B281" t="inlineStr">
        <is>
          <t>How do you end up with stage 4 colorectal cancer with no prior symptoms?</t>
        </is>
      </c>
      <c r="C281" t="inlineStr">
        <is>
          <t>I went to the doc in November 2018 because I thought I had a uti. They prescribed antibiotics after a urine culture was done. It wasn't effective. I went back to the doc and they did a second urine culture and prescribed more antibiotics. After another week, it still hadn't cleared up. I went back to the doc a third time. They were adamant that I had a kidney stone causing my issues and sent me in for a ct scan. I had the test done on December 24. My doc called me within an hour of my test to tell me that it revealed a mass near my uterus and I would need to come in to go over the rest of my test results and discuss what to do next. 
On Christmas day, I so much pain in my lower abdomen that I went to the ER. I was admitted to the hospital a few hours after that. In the 3 days that followed, I had a colonoscopy, a biopsy, and a cystogram done. They found an apple core tumor and my colon was not able to be scoped completely. I had 24 failed iv's- attempts and occlusions, before they finally put in picc line. I also had tumor staging done, they said I was stage 4 based on the fact that my bladder, uterus, and a significant portion of my sigmoid, and two lymph nodes are affected. There was a fistula between my colon and my bladder. I was discharged on December 30 and my care was transferred to a bigger university hospital. They asked me repeatedly about my symptoms. And I had none. I did not have any of the symptoms they were looking for. 
On January 3, I met with a colorectal surgeon to discuss my options and where to go next. She insisted that I admit to the hospital and have a loop ileostomy done to stop the damage to my bladder, which was perforated by my tumor. I had that done and was discharged on January 8. I also had genetic testing done. The results of that came back speedy quick, I am negative for all 22 genes that were checked, including the breast cancer genes.
My surgeon believes that I am surgically curable and has planned an aggressive surgery for February 8. I have three surgeons from three different specialties for this surgery. I will have chemo after surgery. I was told that they may not be able to save my bladder. 
Just posting to vent. Not sure how I went from healthy to stage 4 in the blink of an eye.</t>
        </is>
      </c>
      <c r="D281" t="n">
        <v>1</v>
      </c>
      <c r="E281" t="n">
        <v>44</v>
      </c>
      <c r="F281">
        <f>HYPERLINK("https://www.reddit.com/r/cancer/comments/ahakof/how_do_you_end_up_with_stage_4_colorectal_cancer/")</f>
        <v/>
      </c>
      <c r="G281" t="inlineStr">
        <is>
          <t>2019-01-18 05:44:42</t>
        </is>
      </c>
      <c r="H281" t="inlineStr"/>
    </row>
    <row r="282">
      <c r="A282" t="inlineStr">
        <is>
          <t>ahavvo</t>
        </is>
      </c>
      <c r="B282" t="inlineStr">
        <is>
          <t>My boyfriend cried, and I don't know how to help him.</t>
        </is>
      </c>
      <c r="C282" t="inlineStr">
        <is>
          <t>I don’t know how to help him. First, we made it to his PT/OT, but he could hardly walk in. We left without therapy because he was so shaky and “off,” as he put it.
&amp;amp;#x200B;
He really to get some takeout after, so we went to the restaurant to place our order. He wanted to get out of the car – I didn’t think it was a good idea. But at the edge of the opened car door, he got stuck. He couldn’t move, he couldn’t move. He kept repeating it. I braced myself to him to help him move back into the car. And when I drove the car to a parking spot, he cried. The only other time I’ve seen him cry was when he was first told he had a brain tumour. He's losing control of his body and it's horrific. 
&amp;amp;#x200B;
I don’t know what to do. I can’t imagine what he’s going through, and I want to understand how to better help him. Normally I wouldn’t go into so much detail about this, but I needed to tell someone, I need advice, please.</t>
        </is>
      </c>
      <c r="D282" t="n">
        <v>1</v>
      </c>
      <c r="E282" t="n">
        <v>22</v>
      </c>
      <c r="F282">
        <f>HYPERLINK("https://www.reddit.com/r/cancer/comments/ahavvo/my_boyfriend_cried_and_i_dont_know_how_to_help_him/")</f>
        <v/>
      </c>
      <c r="G282" t="inlineStr">
        <is>
          <t>2019-01-18 06:20:40</t>
        </is>
      </c>
      <c r="H282" t="inlineStr"/>
    </row>
    <row r="283">
      <c r="A283" t="inlineStr">
        <is>
          <t>ahcjg1</t>
        </is>
      </c>
      <c r="B283" t="inlineStr">
        <is>
          <t>Exhausted</t>
        </is>
      </c>
      <c r="C283" t="inlineStr">
        <is>
          <t xml:space="preserve">Hello everyone. I don’t know why I’m posting here, maybe because some of you understand. Currently, I’m in the process of checking for lymphoma or thyroid cancer. But I’m so tired. 
Jan 1, 2018, I ended up in the emergency room because I fainted and my heart rate hit the 190s. I was sent home. Between then and July, I had 7 sinus infections, several colds, several stomach bugs. I started working as an Er nurse on nights. Some swollen nodes popped up and I passed out in the shower. I thought I was getting mono again. This went on for two weeks, until I passed out near my patients room, and was hospitalized for a week. I was diagnosed with POTS and all that goes with It. The cardiologist told me I would never be a vibrant 24 year old again, but I didn’t believe him. 
The nodes stayed swollen, my entire body hurt, the back pain the worst. I had sinus surgery to try to correct the infections, but nothing helped. I went to my doctor around thanksgiving for my nodes (my father just got diagnosed with colon cancer, so that sucked), and the doctor told me to wait it out to see if they went away. At this point I had been through 3 rounds of antibiotics to get rid of them. Between being written off, passing out, losing my nursing job, I was a little irritated but whatever. I thought I still had mono or something. The fatigue has gotten to the point where even sweeping the kitchen or making the bed is a mountain of energy to exert. 
So I go back to him yesterday, and he almost doesn’t believe me, until I let him but his hands on my neck. He counted 6, one of them matted into my tissue. I also told him I had a thyroid ultrasound that revealed 4  nodules, and he immediately told me I need to see an oncologist. They rushed the cat scan to be done today (just got home from it), and the oncology coordinator called me to tell me my case was “under heavy review” and they’ll call back today with an appointment and plan for next week.
I guess I’m just so exhausted from my symptoms, doctors not listening to me, and just wanting to know what’s wrong with me besides POTS. That doctors office never moves that quickly for referrals or scans. It takes weeks to get anywhere. Is my doc having an “oh crap I missed something” moment and trying to play catch up? Idk. But he informed me cancer is now an option on the table, and I’m kind of pissed. I’ve been telling all my doctors about the nodes, flu like symptoms, night sweats, etc for *months* and no one listened to me because my POTS diagnosis stood in my way. And now my poor father who is starting chemo today is in a tizzy about me. I feel terrible.
I’m sorry for this long post, I guess waiting is the hardest part of this. I just feel so emotional because I went from a whirlwind of an active 24 year old to someone who is too sick to even cook for themselves, and finding out one more thing may be wrong with me is just a lot. I’m sorry for the rant, it’s just been a horrible year, and I’m just very stressed waiting for the next steps. I’m sorry if this offends anyone, I just don’t have anyone to talk to and I’m scared and just so tired of all the doctors visits, heart monitors, ER visits from bashing my skull on something when I pass out, etc. I’m sorry if this doesn’t belong, I’m just scared an I feel so alone. Waiting is just the hardest part and idk what to do in the mean time. </t>
        </is>
      </c>
      <c r="D283" t="n">
        <v>1</v>
      </c>
      <c r="E283" t="n">
        <v>7</v>
      </c>
      <c r="F283">
        <f>HYPERLINK("https://www.reddit.com/r/cancer/comments/ahcjg1/exhausted/")</f>
        <v/>
      </c>
      <c r="G283" t="inlineStr">
        <is>
          <t>2019-01-18 09:04:16</t>
        </is>
      </c>
      <c r="H283" t="inlineStr"/>
    </row>
    <row r="284">
      <c r="A284" t="inlineStr">
        <is>
          <t>ahecrz</t>
        </is>
      </c>
      <c r="B284" t="inlineStr">
        <is>
          <t>How to go about cancer testing?</t>
        </is>
      </c>
      <c r="C284" t="inlineStr">
        <is>
          <t>Im a male in my mid 20s and id like to go about getting tested for various types of cancer, i tried googling my questions but i got little results so i figured id ask people first hand, thank you for taking the time out to read and answer. 1st question: can i get tested for all types in one visit with my doctor? 2: if not? How much is each test 3: any red flags i should be aware of that are tell tell signs of cancer?
My symptoms: my lymph nodes in my waist have been swollen for about 3 weeks, i always have stomach pains and loose bowel moments, i changed up my diet to a more plant based and that helped the digestion and stomach pains but it still occasionally hurts. I hope im just being a hypochondriac but its better to find out before it gets worse than to never know at all. Thank you to who all take the time out to read!</t>
        </is>
      </c>
      <c r="D284" t="n">
        <v>1</v>
      </c>
      <c r="E284" t="n">
        <v>9</v>
      </c>
      <c r="F284">
        <f>HYPERLINK("https://www.reddit.com/r/cancer/comments/ahecrz/how_to_go_about_cancer_testing/")</f>
        <v/>
      </c>
      <c r="G284" t="inlineStr">
        <is>
          <t>2019-01-18 12:00:07</t>
        </is>
      </c>
      <c r="H284" t="inlineStr"/>
    </row>
    <row r="285">
      <c r="A285" t="inlineStr">
        <is>
          <t>ahf2nw</t>
        </is>
      </c>
      <c r="B285" t="inlineStr">
        <is>
          <t>Weird situation at the hospital</t>
        </is>
      </c>
      <c r="C285" t="inlineStr">
        <is>
          <t>So I had scans today and had my phone with me. I was texting my SO inbetween the various scans. Got told I need two biopsies so then I am put into a little room with a lady to go over some papers and what to do, etc.  I took a quick pic of the papers because I lose stuff like crazy and it is easier to have them on my phone for me. She said the hospital will call later today to set up the biopsies. Ok. Not my first rodeo doing this. 
Anyway, I just got a call from the legal department saying I made the staff there really uncomfortable and they accused me of filming and taking pictures of them. What?!?!? I explained I was texting my SO, he just lost a beloved family member and we were checking in with each other and only took a pic of the papers. Like why would I want pics or recordings of staff members? Legal dept then was saying how it is illegal to take pics and video in the state without consent. Again, there was nothing to take pics of. I only took pics of a paper in front of me. 🙁
So the legal lady was all like "OK. I am glad we cleared everything up and I will let the staff know you didn't take pictures of them."
So am I not going to be able to be treated there now since I "made the staff uncomfortable"? I want to cry because I hate being accused of things I didn't do, the whole situation is stupid, now things are embarrassing and awkward for me, and there was seriously nothing to take pictures of. 
Should I just go schedule the biopsies at a different hospital? This is a major city and we have top in the nation hospitals I can go to, it is just this one is a lot more convenient for me. 
I don't know what to do 😟😢</t>
        </is>
      </c>
      <c r="D285" t="n">
        <v>1</v>
      </c>
      <c r="E285" t="n">
        <v>29</v>
      </c>
      <c r="F285">
        <f>HYPERLINK("https://www.reddit.com/r/cancer/comments/ahf2nw/weird_situation_at_the_hospital/")</f>
        <v/>
      </c>
      <c r="G285" t="inlineStr">
        <is>
          <t>2019-01-18 13:11:57</t>
        </is>
      </c>
      <c r="H285" t="inlineStr"/>
    </row>
    <row r="286">
      <c r="A286" t="inlineStr">
        <is>
          <t>ahfkmk</t>
        </is>
      </c>
      <c r="B286" t="inlineStr">
        <is>
          <t>Chemo past 4 months</t>
        </is>
      </c>
      <c r="C286" t="inlineStr">
        <is>
          <t>Hey everyone,
Thanks for making a sucky topic a good sub.
I have a question about chemo: I have a family member that was diagnosed with stage 3 lung cancer over the summmer. He had surgery but has not been able to start chemo due to post-surgical issues.
I’ve found studies that say post-operative chemo is pretty much the same between 3 weeks and 4 months, but haven’t seen anything about treatment past 4 months post-op. He’ll be about 6 months.
Will it still do him good to go through treatment?</t>
        </is>
      </c>
      <c r="D286" t="n">
        <v>1</v>
      </c>
      <c r="E286" t="n">
        <v>3</v>
      </c>
      <c r="F286">
        <f>HYPERLINK("https://www.reddit.com/r/cancer/comments/ahfkmk/chemo_past_4_months/")</f>
        <v/>
      </c>
      <c r="G286" t="inlineStr">
        <is>
          <t>2019-01-18 14:02:55</t>
        </is>
      </c>
      <c r="H286" t="inlineStr"/>
    </row>
    <row r="287">
      <c r="A287" t="inlineStr">
        <is>
          <t>ahfzxt</t>
        </is>
      </c>
      <c r="B287" t="inlineStr">
        <is>
          <t>My mom is losing to leukemia</t>
        </is>
      </c>
      <c r="C287" t="inlineStr">
        <is>
          <t xml:space="preserve">  
First of all, I have to ask for your forgiveness for my grammar, English is not my mother tongue.
Im from Argentina\[20M\].
This May my mom (59) was diagnosed with chronic lymphocytic leukemia and it was one of the worst moments in my life and I cannot imagine what my mom felt in that moment, I remember hugging her and crying with her a lot that day, after that the next weeks were very hard for her, she lived in bed with pain and a lot of fatigue. her doctor prescribed her a medication but it was too expensive and very difficult to get in Argentina so as the cancer got worse she had two chemotherapy sessions. although it did not do much for her. when she finally got the medication She improved a lot and they were 3 very good months for her but when The medication ended and she was 2 weeks without it she had a strong relapse,and once she got the medication it was not the same.
In December she had to be hospitalized urgently for an inflammation in her throat, it's been more than a month and she's still hospitalized, in that time she had two chemotherapy sessions, the first one being lighter and the last one being very strong, but that produced many side effects on her.
Today came the results of his biopsy and the doctor told me that his leukemia had mutated, that they had no other options, that the Leukemia I going to end up killing her.
Next Tuesday he will see her again and go check if this last session of chemotherapy worked, but it is unlikely that it will work, that the only thing they could do is a chemotherapy treatment to be able to control it a little.
&amp;amp;#x200B;
She is a very strong woman and she is fighting a lot but i think her willpower is running out.
She is hospitalized 2 hours from where I live and I can only go with the public transport, and it is very difficult to go every day.
I am very scared and I do not know what to do now or what is next I am an emotional disaster right now.
My mom is everything for me and I cannot imagine my life without her.
I just needed a place to drop everything.</t>
        </is>
      </c>
      <c r="D287" t="n">
        <v>1</v>
      </c>
      <c r="E287" t="n">
        <v>10</v>
      </c>
      <c r="F287">
        <f>HYPERLINK("https://www.reddit.com/r/cancer/comments/ahfzxt/my_mom_is_losing_to_leukemia/")</f>
        <v/>
      </c>
      <c r="G287" t="inlineStr">
        <is>
          <t>2019-01-18 14:47:54</t>
        </is>
      </c>
      <c r="H287" t="inlineStr"/>
    </row>
    <row r="288">
      <c r="A288" t="inlineStr">
        <is>
          <t>ahhaah</t>
        </is>
      </c>
      <c r="B288" t="inlineStr">
        <is>
          <t>Father (3 years tonsil cancer, 63, US Citizen) retired early and no longer has healthcare...Coverage advice needed.</t>
        </is>
      </c>
      <c r="C288" t="inlineStr">
        <is>
          <t xml:space="preserve">I won't get too deep into the details but my father started his treatment by pursuing "natural" cures. Now 3 years later things have sadly progressed and he is open to radiation/chemotherapy but no longer has a job or valid insurance in the US.
What options are on the table for us to get him coverage and treatment here (Texas) as quickly as possible?
Thanks so much for your time and input! </t>
        </is>
      </c>
      <c r="D288" t="n">
        <v>1</v>
      </c>
      <c r="E288" t="n">
        <v>2</v>
      </c>
      <c r="F288">
        <f>HYPERLINK("https://www.reddit.com/r/cancer/comments/ahhaah/father_3_years_tonsil_cancer_63_us_citizen/")</f>
        <v/>
      </c>
      <c r="G288" t="inlineStr">
        <is>
          <t>2019-01-18 17:12:50</t>
        </is>
      </c>
      <c r="H288" t="inlineStr"/>
    </row>
    <row r="289">
      <c r="A289" t="inlineStr">
        <is>
          <t>ahhizj</t>
        </is>
      </c>
      <c r="B289" t="inlineStr">
        <is>
          <t>HELP!!! FREAKING OUT! Question: Anyone had any skin cancer cut out and *then* had the lymph node closest to the area get large and inflamed?</t>
        </is>
      </c>
      <c r="C289" t="inlineStr">
        <is>
          <t>I had 2 spots about the size of marbles of skin cancer cut out today. They were right next to one another in my bikini line. While they were doing the removal, the doctor noticed that the lymph node lower down my bikini line was enlarged. And when he pressed on it, it hurt pretty bad considering they had numbed up the whole area.
No one mentioned that node being enlarged when I got the ct scan 10 days ago, so I believe this is a recent development. 
What was supposed to be removed and done with today, has now turned into countless appts for more scans, ultrasounds, and a visit to gyno onc. So of course now I'm terrified that its in the nodes and spreading. Anyone have anything similar? Or any insight to this? 
A little background:
My initial cancer was cervical, ovarian, bladder. Which was treated with 19 rounds of Cisplatin, 77 rounds of radiation, with 9 rounds of internal radiation. My second cancer was intestinal in my lower intestines, treated with surgery. My 3rd cancer is recurrance of intestinal, which has not yet been treated. The skin cancer was found about 2 weeks ago, and removed today. 
HELP ME r/cancer! Now that today's drugs are wearing off, IM FREAKING OUT. Thank you in advance and I love you guys!
oh, and as always, fuck cancer.</t>
        </is>
      </c>
      <c r="D289" t="n">
        <v>1</v>
      </c>
      <c r="E289" t="n">
        <v>8</v>
      </c>
      <c r="F289">
        <f>HYPERLINK("https://www.reddit.com/r/cancer/comments/ahhizj/help_freaking_out_question_anyone_had_any_skin/")</f>
        <v/>
      </c>
      <c r="G289" t="inlineStr">
        <is>
          <t>2019-01-18 17:42:07</t>
        </is>
      </c>
      <c r="H289" t="inlineStr"/>
    </row>
    <row r="290">
      <c r="A290" t="inlineStr">
        <is>
          <t>ahi2qs</t>
        </is>
      </c>
      <c r="B290" t="inlineStr">
        <is>
          <t>I’m freaking out because of symptoms and I just would like to know if I am crazy or if I need to see a dr.</t>
        </is>
      </c>
      <c r="C290" t="inlineStr">
        <is>
          <t>So a couple months ago I started a new job working on my feet. I have in the past had jobs where I would stand for 7+ hours a day and never had any of these issues. Going back to my new job, I started having pain in my shins and assumed they were shin splints. The pain was so bad that I took a week off of work but the pain did not go away. It lessened but once I went back to work it started up again and I could barely stand. I haven’t worked in 3 weeks now and the pain seems to have gone away but today while on vacation in park city, 30 minutes into snowboarding I take one step to push my snowboard and all of the sudden I get this sharp pain right beneath my knee. It feels different than the “shin splints” is this is at one distinct part of my leg bone where as the shin splint pain was throughout the whole leg. These symptoms as well as a loss of appetite over the past 2 months have me worried. I have also had an upset stomach for the past 3 weeks. I either cannot go to the bathroom or when I do it is not a good bathroom experience. I know these symptoms are very random but I would just like to hear other people’s opinions and get there perspective. I have so much anxiety right now because I just can’t stop worrying about this. Let me know your opinion. Id really appreciate it</t>
        </is>
      </c>
      <c r="D290" t="n">
        <v>1</v>
      </c>
      <c r="E290" t="n">
        <v>13</v>
      </c>
      <c r="F290">
        <f>HYPERLINK("https://www.reddit.com/r/cancer/comments/ahi2qs/im_freaking_out_because_of_symptoms_and_i_just/")</f>
        <v/>
      </c>
      <c r="G290" t="inlineStr">
        <is>
          <t>2019-01-18 18:49:50</t>
        </is>
      </c>
      <c r="H290" t="inlineStr"/>
    </row>
    <row r="291">
      <c r="A291" t="inlineStr">
        <is>
          <t>ahj20p</t>
        </is>
      </c>
      <c r="B291" t="inlineStr">
        <is>
          <t>After two years battling Glioblastoma, my mom passed away this morning</t>
        </is>
      </c>
      <c r="C291" t="inlineStr">
        <is>
          <t xml:space="preserve">My mom was a wonderful woman and she taught me so much. I'm glad we were able to spend time with her and prepare for this over the time that we've been going through this. She taught me so much about compassion, kindness, strength, and the value of the pursuit of knowledge. My dad, my sisters, and I are fairly at peace with everything, but that doesn't stop it from being sad. She only lived to 51, and my younger sister is only 19. She missed so much of what our lives could be. I think that's the hardest thing. Just knowing she could have seen so much more that would bring her joy. I don't know if this is really where this belongs, I just wanted to write something out to the world. Thanks for taking the time to read this. </t>
        </is>
      </c>
      <c r="D291" t="n">
        <v>1</v>
      </c>
      <c r="E291" t="n">
        <v>19</v>
      </c>
      <c r="F291">
        <f>HYPERLINK("https://www.reddit.com/r/cancer/comments/ahj20p/after_two_years_battling_glioblastoma_my_mom/")</f>
        <v/>
      </c>
      <c r="G291" t="inlineStr">
        <is>
          <t>2019-01-18 21:01:08</t>
        </is>
      </c>
      <c r="H291" t="inlineStr"/>
    </row>
    <row r="292">
      <c r="A292" t="inlineStr">
        <is>
          <t>ahjwv0</t>
        </is>
      </c>
      <c r="B292" t="inlineStr">
        <is>
          <t>Help me get through this</t>
        </is>
      </c>
      <c r="C292" t="inlineStr">
        <is>
          <t>Hi,I am a 16 year old in India. My mother has been diagnosed with Stage 3 signet cell mucinous carcinoma which the doctor think has originated from the stomach.This was detected when my mother felt abdominal pain and bulging on going to a doctor she was told to get an ultrasound ,the ultrasound showed a mass of approximately 14.7*13.4*7.3 on the left adnexa ..During surgery to remove the tumor doctors found that the lymph nodes in the pelvis (he used a term “post aortic arch “ which I am not quite sure as to what it means )were enlarged so they examined further and found a swelling in the stomach which they say is a nodule..The lymph nodes are removed and the tumor is too.The doctors have said it is stage 3 and I am anxious , scared and emotional thinking about  what will  happen next.i just need a little bit of info as to what will happen now , will there be chemo , targeted drugs or something else will there be a gastrectomy, what is the survival rate of this type of cancer and how I as a 16 year old can push though this with my dad(50) and brother (20).The help is much appreciated.</t>
        </is>
      </c>
      <c r="D292" t="n">
        <v>1</v>
      </c>
      <c r="E292" t="n">
        <v>17</v>
      </c>
      <c r="F292">
        <f>HYPERLINK("https://www.reddit.com/r/cancer/comments/ahjwv0/help_me_get_through_this/")</f>
        <v/>
      </c>
      <c r="G292" t="inlineStr">
        <is>
          <t>2019-01-18 23:12:30</t>
        </is>
      </c>
      <c r="H292" t="inlineStr"/>
    </row>
    <row r="293">
      <c r="A293" t="inlineStr">
        <is>
          <t>ahlafb</t>
        </is>
      </c>
      <c r="B293" t="inlineStr">
        <is>
          <t>Young adult cancer patients/survivors in the USA (Or elsewhere)? Where are you?</t>
        </is>
      </c>
      <c r="C293" t="inlineStr">
        <is>
          <t xml:space="preserve">Hello Reddit! My name is Kelly (cervical cancer, stage 4) and I am searching for other young adults (let’s say 40 and youngerish, maybe?) have cancer, have survived cancer, or have lost a young person to cancer, that live in the United States. Please comment with with your name, age, diagnosis, or whatever info you want to share with me, or email me at: kellymasuda1@gmail.com 
I want to hear your stories about everything. Cancer, life, caregivers, doctors, hobbies, observations, everything! I am just starting out the planning of a cross country road trip to be taken this year, and I’d like to meet as many of you as I can. Don’t worry, I’m not asking to crash on your couch, I’m just genuinely interested in what cancer has done to your life. 
You guys all know that usually cancer sufferers are either older people, or young kids. We all feel for the kids and donate to the children’s hospitals, and see the commercials, and they get to meet famous people and all that, and honestly that’s great. Otherwise it’s olderish people who can still be too young to die, but have lived some of their life, and I feel for them too. But no one talks about what it’s like to get cancer right after college, or when you’ve just gotten engaged, or just moved to a big city to start your dream job. I have yet to find my peer group in this cancer journey. 
So I’m reaching out on reddit! Show yourselves! Can we talk? Message me, comment, or email me at: kellymasuda1@gmail.com 
I don’t actually mind if you’re not in the US, message me anyway. I just probably won’t have the opportunity to come and meet you in person. But never say never! </t>
        </is>
      </c>
      <c r="D293" t="n">
        <v>1</v>
      </c>
      <c r="E293" t="n">
        <v>165</v>
      </c>
      <c r="F293">
        <f>HYPERLINK("https://www.reddit.com/r/cancer/comments/ahlafb/young_adult_cancer_patientssurvivors_in_the_usa/")</f>
        <v/>
      </c>
      <c r="G293" t="inlineStr">
        <is>
          <t>2019-01-19 03:20:57</t>
        </is>
      </c>
      <c r="H293" t="inlineStr"/>
    </row>
    <row r="294">
      <c r="A294" t="inlineStr">
        <is>
          <t>ahn8f8</t>
        </is>
      </c>
      <c r="B294" t="inlineStr">
        <is>
          <t>Anyone have idea where to find used powered wheelchair?</t>
        </is>
      </c>
      <c r="C294" t="inlineStr">
        <is>
          <t>Hello I’m 47 (F) Ovarian Cancer, I’m clinically disease free at the moment. But still suffering from the side effects of treatment.I had surgery in November 2017 and had Chemotherapy in 2018 . Unfortunately I suffered from Neuropathy both hands and feet after three cycles..my oncologist said it’s a very rare case. I’m on pain medication but still unable to bear weight and couldn’t walk without pain. I spend most of the time in bed and I need someone to assist me to move around the house and getting in and out of our flat aided by a standard wheelchair.was assessed several times by OT and physio and recommended for me to have a powered wheelchair to gain my independence and they’ve been very helpful to me my peer coach is a very good listener and help me cope with all my frustrations. My social worker is there to assist me with all care needs.Sadly I’m still dependent to others after more than a year since I was diagnosed. The wheelchair service won’t provide the powered wheelchair because of a  small flat and no space to manoeuvre it.Im so frustrated I couldn’t get my independence back I’m tired and really annoyed of myself that I couldn’t do anything. I want to go back to work even a few hours to start living again.. I couldn’t afford a powered wheelchair because of debt.. I’ve been out of work since September 2017. I haven’t heard anything from council for my application to be rehoused to an accessible property.Im really feeling so down in pain and frustrated. If I could have the powered wheelchair I can use it where I can in the house then crawl the area  the powered wheelchair won’t reach.. I don’t know what I’m thinking.. but I just want my independence back.. I’m crying every night and I couldn’t sleep.. any suggestions or ideas please!</t>
        </is>
      </c>
      <c r="D294" t="n">
        <v>1</v>
      </c>
      <c r="E294" t="n">
        <v>4</v>
      </c>
      <c r="F294">
        <f>HYPERLINK("https://www.reddit.com/r/cancer/comments/ahn8f8/anyone_have_idea_where_to_find_used_powered/")</f>
        <v/>
      </c>
      <c r="G294" t="inlineStr">
        <is>
          <t>2019-01-19 07:59:00</t>
        </is>
      </c>
      <c r="H294" t="inlineStr"/>
    </row>
    <row r="295">
      <c r="A295" t="inlineStr">
        <is>
          <t>ahofkn</t>
        </is>
      </c>
      <c r="B295" t="inlineStr">
        <is>
          <t>What does a “large echogenic lesion in the cervix boat likely representing blood/clot mean”.</t>
        </is>
      </c>
      <c r="C295" t="inlineStr">
        <is>
          <t xml:space="preserve">Thank you so much for any information and time.  Thank you. </t>
        </is>
      </c>
      <c r="D295" t="n">
        <v>1</v>
      </c>
      <c r="E295" t="n">
        <v>4</v>
      </c>
      <c r="F295">
        <f>HYPERLINK("https://www.reddit.com/r/cancer/comments/ahofkn/what_does_a_large_echogenic_lesion_in_the_cervix/")</f>
        <v/>
      </c>
      <c r="G295" t="inlineStr">
        <is>
          <t>2019-01-19 10:04:07</t>
        </is>
      </c>
      <c r="H295" t="inlineStr"/>
    </row>
    <row r="296">
      <c r="A296" t="inlineStr">
        <is>
          <t>ahq4ij</t>
        </is>
      </c>
      <c r="B296" t="inlineStr">
        <is>
          <t>Wife just went in for an ultrasound.</t>
        </is>
      </c>
      <c r="C296" t="inlineStr">
        <is>
          <t xml:space="preserve">Hey guys idk if this is the right place to ask this but I have some questions. My wife got a lump in her breast checked out a couple years ago and the doctor said he didn’t think it was a big deal and so we didn’t do anything about it. Well fast forward a couple years and it has gotten quite a bit bigger and its sensitive and sore so she went to get it checked out again. They decided to get an ultrasound this time. The lady said if it was nothing they would just let her go but then after the ultrasound they looked at my 22 year old wife and shook their head and said your too young. They then went forward with a biopsy. We don’t get the results back until next Thursday. Does having to get a biopsy usually mean there is something there?! I just don’t want to wait until Next week. She has had good spirits and we have actually been joking about it but deep down I am super worried!! </t>
        </is>
      </c>
      <c r="D296" t="n">
        <v>1</v>
      </c>
      <c r="E296" t="n">
        <v>23</v>
      </c>
      <c r="F296">
        <f>HYPERLINK("https://www.reddit.com/r/cancer/comments/ahq4ij/wife_just_went_in_for_an_ultrasound/")</f>
        <v/>
      </c>
      <c r="G296" t="inlineStr">
        <is>
          <t>2019-01-19 12:52:15</t>
        </is>
      </c>
      <c r="H296" t="inlineStr"/>
    </row>
    <row r="297">
      <c r="A297" t="inlineStr">
        <is>
          <t>ahqxpe</t>
        </is>
      </c>
      <c r="B297" t="inlineStr">
        <is>
          <t>Have people experienced more intense periods after double mastectomy?</t>
        </is>
      </c>
      <c r="C297" t="inlineStr">
        <is>
          <t xml:space="preserve">I’ve noticed after my double mastectomy my periods get more intense each time. I used to be able to tolerate them but now it’s as if someone is punching me in the groin. </t>
        </is>
      </c>
      <c r="D297" t="n">
        <v>1</v>
      </c>
      <c r="E297" t="n">
        <v>1</v>
      </c>
      <c r="F297">
        <f>HYPERLINK("https://www.reddit.com/r/cancer/comments/ahqxpe/have_people_experienced_more_intense_periods/")</f>
        <v/>
      </c>
      <c r="G297" t="inlineStr">
        <is>
          <t>2019-01-19 14:14:07</t>
        </is>
      </c>
      <c r="H297" t="inlineStr"/>
    </row>
    <row r="298">
      <c r="A298" t="inlineStr">
        <is>
          <t>ahsejh</t>
        </is>
      </c>
      <c r="B298" t="inlineStr">
        <is>
          <t>Gift ideas for chemo patient?</t>
        </is>
      </c>
      <c r="C298" t="inlineStr">
        <is>
          <t>Father in law was recently diagnosed with a stage 4 non operable  that started as esophageal. Anyway looking for gift ideas that will help. I hear he may be sensitive to cold so perhaps a blanket for at home? Are there any specific items that go hand in hand with chemo that will prove to be convenient or improve his quality of life during treatment?</t>
        </is>
      </c>
      <c r="D298" t="n">
        <v>1</v>
      </c>
      <c r="E298" t="n">
        <v>13</v>
      </c>
      <c r="F298">
        <f>HYPERLINK("https://www.reddit.com/r/cancer/comments/ahsejh/gift_ideas_for_chemo_patient/")</f>
        <v/>
      </c>
      <c r="G298" t="inlineStr">
        <is>
          <t>2019-01-19 16:46:19</t>
        </is>
      </c>
      <c r="H298" t="inlineStr"/>
    </row>
    <row r="299">
      <c r="A299" t="inlineStr">
        <is>
          <t>ahsptc</t>
        </is>
      </c>
      <c r="B299" t="inlineStr">
        <is>
          <t>My only sibling has stage 4 esophageal cancer and I’m losing my parents too</t>
        </is>
      </c>
      <c r="C299" t="inlineStr">
        <is>
          <t xml:space="preserve">Hi all, first, prayers in any form you choose to those that are suffering.  
My brother is 48 years old and has lived one year longer than the doctors have predicted.  I’m just, I don’t know how to word anything anymore.  Everything is falling apart.  He can’t have chemo anymore but is on keytruda.  Is that good?  Does keytruda have a chance of curing?  He looks better but his tumor can’t be cut out.  Thanks in advance.  Just looking for anything I guess.  </t>
        </is>
      </c>
      <c r="D299" t="n">
        <v>1</v>
      </c>
      <c r="E299" t="n">
        <v>20</v>
      </c>
      <c r="F299">
        <f>HYPERLINK("https://www.reddit.com/r/cancer/comments/ahsptc/my_only_sibling_has_stage_4_esophageal_cancer_and/")</f>
        <v/>
      </c>
      <c r="G299" t="inlineStr">
        <is>
          <t>2019-01-19 17:22:54</t>
        </is>
      </c>
      <c r="H299" t="inlineStr"/>
    </row>
    <row r="300">
      <c r="A300" t="inlineStr">
        <is>
          <t>ahszd2</t>
        </is>
      </c>
      <c r="B300" t="inlineStr">
        <is>
          <t>Grandma has 3 days left (at most), I need advice.</t>
        </is>
      </c>
      <c r="C300" t="inlineStr">
        <is>
          <t>Guys, I need help, my grandma has terminal cancer and  she’s on her death bed on the hospital and all the family is reunited and grieving, she was conscious until this morning when she had fluid obstruct her lungs and had to be sedated, it’s a very bad sight to see her on the state she is, sedated and slowly asphyxiating, I’m very socially inept and I couldn’t form any words to say my goodbye to her, my brother (who’s the boldest man alive I know) was crying when she arrived and she was sedated, I want to consolaré my brother but I don’t know how I’m not good at communicating most of the time I’m just silent, specially in this cases, and he’s broken and I hate seeing him like this when he’s always been there for me, I also don’t know why the hell im posting this on reddit...  Brother’s always kept his cool in tote worst situation and now that he’s suffering I want to help him but I just don’t know how, I don’t have words, just a feeling of dread like I’ve never felt before.
Help me please.</t>
        </is>
      </c>
      <c r="D300" t="n">
        <v>1</v>
      </c>
      <c r="E300" t="n">
        <v>5</v>
      </c>
      <c r="F300">
        <f>HYPERLINK("https://www.reddit.com/r/cancer/comments/ahszd2/grandma_has_3_days_left_at_most_i_need_advice/")</f>
        <v/>
      </c>
      <c r="G300" t="inlineStr">
        <is>
          <t>2019-01-19 17:53:55</t>
        </is>
      </c>
      <c r="H300" t="inlineStr"/>
    </row>
    <row r="301">
      <c r="A301" t="inlineStr">
        <is>
          <t>ahteku</t>
        </is>
      </c>
      <c r="B301" t="inlineStr">
        <is>
          <t>Please, any help would be great. (NERVOUS WRECK)</t>
        </is>
      </c>
      <c r="C301" t="inlineStr">
        <is>
          <t>Hello everybody,
&amp;amp;#x200B;
NEVER did I think at 28 years old, that I would be writing this, but here I am. So for as long as I can remember..maybe a year..maybe more, I've had this small Lima bean or big pea sized lump behind my ear on my skull. Its near the top part of your ear on toward my hair line. I never thought anything of it, it didn't hurt, figured its just a cyst. Well, a couple days ago, this thing flared up and started to hurt when wearing my sunglasses and then it just started to hurt all the time. It hurts down into my ear canal as well. So I made an appointment with my GP and he said, HE THINKS its a Lymph-node. He felt it, it moves around (good apparently), its tender (good apparently) and I have no other symptoms. He has told me to take an antibiotic to see if it will go away, but he said the next option is ENT for their opinion to rule out a canerous growth. That has turned my world upside down in the past 24 hours. I know most people here have cancer, or know somebody actively going through treatment, but the thought that I could have it, even if  its a small chance has ruined me. I said screw the antibiotics, called my ENT and made an appointment on Tuesday. I am praying it is a cyst that is now unhappy in his little home and we can cut it out and be done with it. Idk what to do, I guess I just needed to vent and get this all out. Please anybody who knows anything about lymphatic cancer, guide me through what you think or what to expect. Please pray for me, a nobody you don't know. I just adopted a puppy 3 months ago, and moved into my first home with my wife of two years. With all this happiness in my life, I don't want it to end. I watched a love one get sucked away from aggressive pancreatic cancer, I cant imagine going through any of that. 
&amp;amp;#x200B;
Much love,
Ben</t>
        </is>
      </c>
      <c r="D301" t="n">
        <v>1</v>
      </c>
      <c r="E301" t="n">
        <v>10</v>
      </c>
      <c r="F301">
        <f>HYPERLINK("https://www.reddit.com/r/cancer/comments/ahteku/please_any_help_would_be_great_nervous_wreck/")</f>
        <v/>
      </c>
      <c r="G301" t="inlineStr">
        <is>
          <t>2019-01-19 18:45:23</t>
        </is>
      </c>
      <c r="H301" t="inlineStr"/>
    </row>
    <row r="302">
      <c r="A302" t="inlineStr">
        <is>
          <t>ahxu1y</t>
        </is>
      </c>
      <c r="B302" t="inlineStr">
        <is>
          <t>Stage 2 Cancer - Chemo or No Chemo</t>
        </is>
      </c>
      <c r="C302" t="inlineStr">
        <is>
          <t>Is there any alternative treatment for cancer aside from chemo?? We don't have enough money for chemo 😢</t>
        </is>
      </c>
      <c r="D302" t="n">
        <v>1</v>
      </c>
      <c r="E302" t="n">
        <v>6</v>
      </c>
      <c r="F302">
        <f>HYPERLINK("https://www.reddit.com/r/cancer/comments/ahxu1y/stage_2_cancer_chemo_or_no_chemo/")</f>
        <v/>
      </c>
      <c r="G302" t="inlineStr">
        <is>
          <t>2019-01-20 05:59:15</t>
        </is>
      </c>
      <c r="H302" t="inlineStr"/>
    </row>
    <row r="303">
      <c r="A303" t="inlineStr">
        <is>
          <t>ahxwbt</t>
        </is>
      </c>
      <c r="B303" t="inlineStr">
        <is>
          <t>Recreational drugs and chemotherapy</t>
        </is>
      </c>
      <c r="C303" t="inlineStr">
        <is>
          <t>I’m finishing block 4 of my treatment for Acute Lymphoblastic Leukaemia in May, meaning I’ll be on maintenance phase for 2 years which includes one dose of Vincristine, occasional methotrexate tablets and daily 6mp tablets. 
I’m going a festival in the summer with my friends, I’ve had a rough time going through this and really want to enjoy myself. They will be taking MDMA, alcohol and weed when we’re there, I was wondering if any of you knew if this could have dangerous effects if I joined in? Thanks</t>
        </is>
      </c>
      <c r="D303" t="n">
        <v>1</v>
      </c>
      <c r="E303" t="n">
        <v>28</v>
      </c>
      <c r="F303">
        <f>HYPERLINK("https://www.reddit.com/r/cancer/comments/ahxwbt/recreational_drugs_and_chemotherapy/")</f>
        <v/>
      </c>
      <c r="G303" t="inlineStr">
        <is>
          <t>2019-01-20 06:07:09</t>
        </is>
      </c>
      <c r="H303" t="inlineStr"/>
    </row>
    <row r="304">
      <c r="A304" t="inlineStr">
        <is>
          <t>ahy5nx</t>
        </is>
      </c>
      <c r="B304" t="inlineStr">
        <is>
          <t>His cancer is spreading.</t>
        </is>
      </c>
      <c r="C304" t="inlineStr">
        <is>
          <t>I posted not too long ago, that my boyfriend was having trouble moving and I didn’t know how to help him. He has glioblastoma and fell Friday. He’s been in the hospital since, come to find out now that the cancer has spread. I didn’t know glioblastoma could spread to other parts of the body, but this has. We can’t even go see him as a large snowstorm has just passed and there’s 12+  where he’s at. 
&amp;amp;#x200B;
He’s so tired, and it’s good he’s sleeping, but it scares me. I just need to know, anyone who is or knows anyone who has had something like this happen, what can I expect? I need to know.</t>
        </is>
      </c>
      <c r="D304" t="n">
        <v>1</v>
      </c>
      <c r="E304" t="n">
        <v>9</v>
      </c>
      <c r="F304">
        <f>HYPERLINK("https://www.reddit.com/r/cancer/comments/ahy5nx/his_cancer_is_spreading/")</f>
        <v/>
      </c>
      <c r="G304" t="inlineStr">
        <is>
          <t>2019-01-20 06:40:02</t>
        </is>
      </c>
      <c r="H304" t="inlineStr"/>
    </row>
    <row r="305">
      <c r="A305" t="inlineStr">
        <is>
          <t>ahyg7s</t>
        </is>
      </c>
      <c r="B305" t="inlineStr">
        <is>
          <t>Need advice on supporting my partner</t>
        </is>
      </c>
      <c r="C305" t="inlineStr">
        <is>
          <t>My partner was recently diagnosed with Squamous cell Carcinoma.  She is very lucky, it was caught early and she will hopefully require one major surgery and a minor surgery.  The major surgery involves removing a piece of her tongue, rendering her unable to do two of her favorite activities for a month - speak and eat solid food! 
&amp;amp;#x200B;
She's particularly upset about not being able to be her full "foodie" self, and I want to support her while she's on an all liquid diet.  My instinct is to buy books of smoothie recipes and try to find ways to excite her. I'm borrowing my friends' expensive mixer machine and am doing some light googling on the subject of smoothies and soups!  But I want to know from supporters out there: How have you managed to support your loved ones who have important parts of their lives taken away (permanently OR temporarily)?</t>
        </is>
      </c>
      <c r="D305" t="n">
        <v>1</v>
      </c>
      <c r="E305" t="n">
        <v>5</v>
      </c>
      <c r="F305">
        <f>HYPERLINK("https://www.reddit.com/r/cancer/comments/ahyg7s/need_advice_on_supporting_my_partner/")</f>
        <v/>
      </c>
      <c r="G305" t="inlineStr">
        <is>
          <t>2019-01-20 07:15:31</t>
        </is>
      </c>
      <c r="H305" t="inlineStr"/>
    </row>
    <row r="306">
      <c r="A306" t="inlineStr">
        <is>
          <t>ahz89u</t>
        </is>
      </c>
      <c r="B306" t="inlineStr">
        <is>
          <t>Symptom question?</t>
        </is>
      </c>
      <c r="C306" t="inlineStr">
        <is>
          <t xml:space="preserve">I've been experiencing pain in my jaw, right where the joint is on the side of my face (left sided). I have Hodgkin's lymphoma stage 2. I'm on chemo treatment #7 and haven't had this before. I thought it would go away on its own, but it hasn't (on day 6 with this pain). Ibuprofen (prescription strength dose) helps lessen the pain. If I open my jaw too large (say to eat a burger) it really hurts. 😣 I just want to eat </t>
        </is>
      </c>
      <c r="D306" t="n">
        <v>1</v>
      </c>
      <c r="E306" t="n">
        <v>5</v>
      </c>
      <c r="F306">
        <f>HYPERLINK("https://www.reddit.com/r/cancer/comments/ahz89u/symptom_question/")</f>
        <v/>
      </c>
      <c r="G306" t="inlineStr">
        <is>
          <t>2019-01-20 08:41:09</t>
        </is>
      </c>
      <c r="H306" t="inlineStr"/>
    </row>
    <row r="307">
      <c r="A307" t="inlineStr">
        <is>
          <t>ahzyyi</t>
        </is>
      </c>
      <c r="B307" t="inlineStr">
        <is>
          <t>Mucosal melanoma in anus/rectum</t>
        </is>
      </c>
      <c r="C307" t="inlineStr">
        <is>
          <t xml:space="preserve">My brother (41) was diagnosed in October 2018. Misdiagnosed initially as hemorrhoids, which is common with this. His first doc gave him immunotherapy, which led to dehydration/colitis/sepsis/and nearly put him into shock, as I understand it. He’s now in a better hospital and they’ve said the immunotherapy is not effective to treat this specific tumor/cancer. Plan now is to treat with radiation, then chemo, then attempt surgical removal of the tumor, which has grown since initial DX. 
I guess my purpose in posting this is if anyone has experience with this treatment plan working. I’ve read the limited research online and I know the prognosis for this type of cancer isn’t good. Just hoping there’s someone out there who’s has some recent experience they can glean. </t>
        </is>
      </c>
      <c r="D307" t="n">
        <v>1</v>
      </c>
      <c r="E307" t="n">
        <v>1</v>
      </c>
      <c r="F307">
        <f>HYPERLINK("https://www.reddit.com/r/cancer/comments/ahzyyi/mucosal_melanoma_in_anusrectum/")</f>
        <v/>
      </c>
      <c r="G307" t="inlineStr">
        <is>
          <t>2019-01-20 09:22:52</t>
        </is>
      </c>
      <c r="H307" t="inlineStr"/>
    </row>
    <row r="308">
      <c r="A308" t="inlineStr">
        <is>
          <t>ai0bu7</t>
        </is>
      </c>
      <c r="B308" t="inlineStr">
        <is>
          <t>Cancer has changed me for the worst</t>
        </is>
      </c>
      <c r="C308" t="inlineStr">
        <is>
          <t>I’m 19 and was diagnosed with Acute Lymphoblastic Leukaemia in October and currently on the road to recovery which I’m thankful for. 
But I am all over the place mentally. I used to be (dare I say it) an attractive, confident, independent young lad with so much ahead of me and I loved my life. 
Now I feel so weak and pathetic, I feel embarrassed to be ill, to look the way I look at the moment. 
I honestly hate my life at the minute and I feel like life isn’t even worth living anymore, cancer has stopped everything I enjoy doing and it’s derailed the most exciting point in my life whilst everyone else around me carries on and enjoys themselves.
I also am in fear things are going to go wrong at any point, but I can’t even live life to the full to make the most of it.
And I HATE everyone treating me like I’m an incapable , ill kid. It’s patronising beyond extent.</t>
        </is>
      </c>
      <c r="D308" t="n">
        <v>1</v>
      </c>
      <c r="E308" t="n">
        <v>9</v>
      </c>
      <c r="F308">
        <f>HYPERLINK("https://www.reddit.com/r/cancer/comments/ai0bu7/cancer_has_changed_me_for_the_worst/")</f>
        <v/>
      </c>
      <c r="G308" t="inlineStr">
        <is>
          <t>2019-01-20 09:57:13</t>
        </is>
      </c>
      <c r="H308" t="inlineStr"/>
    </row>
    <row r="309">
      <c r="A309" t="inlineStr">
        <is>
          <t>ai1bxz</t>
        </is>
      </c>
      <c r="B309" t="inlineStr">
        <is>
          <t>First chemotherapy session (second attempt)</t>
        </is>
      </c>
      <c r="C309" t="inlineStr">
        <is>
          <t>My mom has stage 4 uterine cancer (has spread quite a bit into her lungs). She will be having her second attempt at chemo tomorrow at 11:45am and I am so scared...
The first time she tried chemo it went horrific. I literally felt like I was in a movie. 2 minutes in she said something is wrong, repeated again something is wrong. And the nurse started repeating her name and she suddenly became unresponsive. Her whole face went purple and she started staring up at the ceiling. 
I was crying and screaming help her please! I literally thought my mom had passed away in front of my eyes...
A nurse escorted me out, while 10 nurses and doctors ran inside. Looking back at my mom I held on to the nurse so tightly and cried in her arms.
Thankfully they were able to stabilize her. I walked in and she had an air mask on and was heavily medicated. 
Later we asked her what she remembered and she said all she remembered was having a bad taste in her mouth and suddenly seeing stars. 
This was about a month ago.. and coincidentally 3 days after we had to call an ambulance at around 6 am she was admitted into the hospital for about a week due to complications. 
A decision was made that she would go through radiation, which she  did everyday. 
Originally she was meant to start her chemo in February, but after her last visit with the oncologist they determined that the cancer is spreading aggressivly and needs to have chemo asap... Which will be tomorrow.
We are all so nervousness. Of course they made note of the type of drug they gave her last time to avoid a reaction happening again. But just the possibility that it might is so scary..
I was thinking of downloading Netflix on her phone so she can at least watch something to get her mind off it for that moment..
Or maybe music would be better?
In addition I'm wondering what is the best meal I should be preparing for after?
This is the second time my mom has had cancer (breast 7 years ago) but I was a lot younger and I don't remember what she was eating.. clear broths I think.
Any suggestions and support is appreciated &amp;lt;3</t>
        </is>
      </c>
      <c r="D309" t="n">
        <v>1</v>
      </c>
      <c r="E309" t="n">
        <v>5</v>
      </c>
      <c r="F309">
        <f>HYPERLINK("https://www.reddit.com/r/cancer/comments/ai1bxz/first_chemotherapy_session_second_attempt/")</f>
        <v/>
      </c>
      <c r="G309" t="inlineStr">
        <is>
          <t>2019-01-20 11:31:23</t>
        </is>
      </c>
      <c r="H309" t="inlineStr"/>
    </row>
    <row r="310">
      <c r="A310" t="inlineStr">
        <is>
          <t>ai1jti</t>
        </is>
      </c>
      <c r="B310" t="inlineStr">
        <is>
          <t>What is the best advice you have ever received?</t>
        </is>
      </c>
      <c r="C310" t="inlineStr">
        <is>
          <t>What is something that someone recommended to you that actually worked? Whether it was mentally or physically... Family, doctor, or friend. Did any of them have any good recommendations? Could be for treatment, anything. Anything that made you feel better?</t>
        </is>
      </c>
      <c r="D310" t="n">
        <v>1</v>
      </c>
      <c r="E310" t="n">
        <v>6</v>
      </c>
      <c r="F310">
        <f>HYPERLINK("https://www.reddit.com/r/cancer/comments/ai1jti/what_is_the_best_advice_you_have_ever_received/")</f>
        <v/>
      </c>
      <c r="G310" t="inlineStr">
        <is>
          <t>2019-01-20 11:52:21</t>
        </is>
      </c>
      <c r="H310" t="inlineStr"/>
    </row>
    <row r="311">
      <c r="A311" t="inlineStr">
        <is>
          <t>ai2vwu</t>
        </is>
      </c>
      <c r="B311" t="inlineStr">
        <is>
          <t>Father w/ Stage IV Esophageal Cancer (Mets to Liver &amp;amp; Bones) wants to try Katruda</t>
        </is>
      </c>
      <c r="C311" t="inlineStr">
        <is>
          <t>Hello,
My father (60 y/o) is not well and likely has about 2 months left to live, and I know in my heart it is closer to being discussed in weeks. He's very weak and ill (eats through a feeding tube, eats less than 750 calories a day, and has to take more than the prescribed amount of pain medicines because he cries out from so much pain).
He wants to try Katruda as there is a 15% chance of success to...keep him stable / reduce growth (I guess -- I never could get a clear answer). I hear there is horrible and horrific side effects, and I'm wondering if this is worth it or a cruel joke. Anyone with any experience with Katruda?</t>
        </is>
      </c>
      <c r="D311" t="n">
        <v>1</v>
      </c>
      <c r="E311" t="n">
        <v>3</v>
      </c>
      <c r="F311">
        <f>HYPERLINK("https://www.reddit.com/r/cancer/comments/ai2vwu/father_w_stage_iv_esophageal_cancer_mets_to_liver/")</f>
        <v/>
      </c>
      <c r="G311" t="inlineStr">
        <is>
          <t>2019-01-20 13:59:13</t>
        </is>
      </c>
      <c r="H311" t="inlineStr"/>
    </row>
    <row r="312">
      <c r="A312" t="inlineStr">
        <is>
          <t>ai3grs</t>
        </is>
      </c>
      <c r="B312" t="inlineStr">
        <is>
          <t>Father died - got a beautiful note from his oncologist</t>
        </is>
      </c>
      <c r="C312" t="inlineStr">
        <is>
          <t xml:space="preserve">One line impressed me most - “I wish that modern medicine had been able to offer your father more.” 
And I realized how hard her job must be working with what she has. She’s a superior doctor in our community and has access to so much. How difficult to want to win every time and to lose so often. Perseverance.... </t>
        </is>
      </c>
      <c r="D312" t="n">
        <v>1</v>
      </c>
      <c r="E312" t="n">
        <v>19</v>
      </c>
      <c r="F312">
        <f>HYPERLINK("https://www.reddit.com/r/cancer/comments/ai3grs/father_died_got_a_beautiful_note_from_his/")</f>
        <v/>
      </c>
      <c r="G312" t="inlineStr">
        <is>
          <t>2019-01-20 14:57:34</t>
        </is>
      </c>
      <c r="H312" t="inlineStr"/>
    </row>
    <row r="313">
      <c r="A313" t="inlineStr">
        <is>
          <t>ai4zpf</t>
        </is>
      </c>
      <c r="B313" t="inlineStr">
        <is>
          <t>Just need get post it somewhere</t>
        </is>
      </c>
      <c r="C313" t="inlineStr">
        <is>
          <t>As the title says i just need to post this somewhere and vent it out, i watched my father die at a young age from lung cancer, i watched him take his last breath and close his eyes for the last time for good, now im helping my mother take care of grandmother and this is so hard to do. My grandma has survived cancer 4x and this one is the one killing her, she has always been there for me no matter what, always helped me when she could, so now im here helping her in her time of need, its beyond hard and i constantly feel like breaking down, but i cant let her see me sad or upset, i refuse to let her see that, i am doing everything i can to make these last days of hers happy in any way i can. I just needed to say something somewhere and get it off my chest, thank you if you took the time to read this.</t>
        </is>
      </c>
      <c r="D313" t="n">
        <v>1</v>
      </c>
      <c r="E313" t="n">
        <v>3</v>
      </c>
      <c r="F313">
        <f>HYPERLINK("https://www.reddit.com/r/cancer/comments/ai4zpf/just_need_get_post_it_somewhere/")</f>
        <v/>
      </c>
      <c r="G313" t="inlineStr">
        <is>
          <t>2019-01-20 17:39:35</t>
        </is>
      </c>
      <c r="H313" t="inlineStr"/>
    </row>
    <row r="314">
      <c r="A314" t="inlineStr">
        <is>
          <t>ai5gu7</t>
        </is>
      </c>
      <c r="B314" t="inlineStr">
        <is>
          <t>Just found out I have a malignant tumor on my kidney. Appreciate any insights.</t>
        </is>
      </c>
      <c r="C314" t="inlineStr">
        <is>
          <t>Hello, I just found out that I probably have kidney cancer. I'm a 60 year old male. I would appreciate any observations you might be able to provide, thanks.  I've been quietly freaking out since I got the news five days ago. My urologist wants me to have a robotic something (I forgot) to remove the tumor. I have an appointment to see a surgeon for this.
Here are the findings:  Approximately 9 mm cortical lesion mid to upper pole left kidney. Precontrast this lesion measures about 18 Hounsfield units. During the arterial phase of imaging 8 increases to about 61 Hounsfield units. During the venous phase of imaging measures about 52 Hounsfiled units. On delayed imaging it measures about 42 Hounsfield units.
Impression: Bilateral renal cystic lesions with apparent enhancement of the lesion of interest, off the posterior lateral cortex mid to upper pole left kidney. While there is no change in the prior exam, interval is relatively short. Suspect this may represent a low-grade renal neoplasm in the setting of additional renal cystic lesions. Biopsy with ablation or resection of the lesion should be considered. Alternatively a 6 month follow-up may be obtained, as clinically dictated.
I also have an appointment in two days for a bladder cystoscopy and I'm not optimistic about the outcome of that either.  Darn it.
Thanks for reading. I really don't have anyone to talk to about this.</t>
        </is>
      </c>
      <c r="D314" t="n">
        <v>1</v>
      </c>
      <c r="E314" t="n">
        <v>8</v>
      </c>
      <c r="F314">
        <f>HYPERLINK("https://www.reddit.com/r/cancer/comments/ai5gu7/just_found_out_i_have_a_malignant_tumor_on_my/")</f>
        <v/>
      </c>
      <c r="G314" t="inlineStr">
        <is>
          <t>2019-01-20 18:36:25</t>
        </is>
      </c>
      <c r="H314" t="inlineStr"/>
    </row>
    <row r="315">
      <c r="A315" t="inlineStr">
        <is>
          <t>ai5xc7</t>
        </is>
      </c>
      <c r="B315" t="inlineStr">
        <is>
          <t>How can I help my boyfriend who’s going to be starting radiation therapy/chemo soon?</t>
        </is>
      </c>
      <c r="C315" t="inlineStr">
        <is>
          <t>Hello friends of reddit. My boyfriend has stage 2/3 brain cancer and just came out of another brain craniotomy a while back and now his oncologist might apparently have him have radiation therapy/chemo in the coming weeks. I don’t really know much about both of them and I want to help/be there for him as much as can. 
I know chemo can be very draining. I would love to hear your experiences and how it felt like to go through them or see someone go through them. 
I am writing request to just prepare myself, and to mostly try to see how I can further help my boyfriend cause I know the next stage is going to just get harder.
Thank you very much and I appreciate any form of help/advice!
Cheers!</t>
        </is>
      </c>
      <c r="D315" t="n">
        <v>1</v>
      </c>
      <c r="E315" t="n">
        <v>3</v>
      </c>
      <c r="F315">
        <f>HYPERLINK("https://www.reddit.com/r/cancer/comments/ai5xc7/how_can_i_help_my_boyfriend_whos_going_to_be/")</f>
        <v/>
      </c>
      <c r="G315" t="inlineStr">
        <is>
          <t>2019-01-20 19:31:04</t>
        </is>
      </c>
      <c r="H315" t="inlineStr"/>
    </row>
    <row r="316">
      <c r="A316" t="inlineStr">
        <is>
          <t>ai6ap0</t>
        </is>
      </c>
      <c r="B316" t="inlineStr">
        <is>
          <t>How Do I Support My Girlfriend</t>
        </is>
      </c>
      <c r="C316" t="inlineStr">
        <is>
          <t>What can I do to support my girlfriend who is going through chemo and is in the hospital for the next 5 months, despite both of us still technically being a minor?</t>
        </is>
      </c>
      <c r="D316" t="n">
        <v>1</v>
      </c>
      <c r="E316" t="n">
        <v>5</v>
      </c>
      <c r="F316">
        <f>HYPERLINK("https://www.reddit.com/r/cancer/comments/ai6ap0/how_do_i_support_my_girlfriend/")</f>
        <v/>
      </c>
      <c r="G316" t="inlineStr">
        <is>
          <t>2019-01-20 20:13:48</t>
        </is>
      </c>
      <c r="H316" t="inlineStr"/>
    </row>
    <row r="317">
      <c r="A317" t="inlineStr">
        <is>
          <t>ai7fgh</t>
        </is>
      </c>
      <c r="B317" t="inlineStr">
        <is>
          <t>Any hope?</t>
        </is>
      </c>
      <c r="C317" t="inlineStr">
        <is>
          <t xml:space="preserve">Hi guys, so my grandmother has had a surgery of a breast cancer in july and she came to out house yesterday and she said and i quote "yeah so basically my doctor said that my cancer has spread everywhere and i wouldnt be here for much longer"
So my question is: Is there any, ANY, way that she could stick trough this one too? 
I mean she is a well disciplined woman, she does a lot of physical work at home.
And i know that her discipline doesent really matter in this situation but yeah...
I mean i know that this may be asked several times here but i really dont have any motivation to look it up 
Just be plain, and how should i cope with it, like i feel no emotion right now, dont know what to do, how to help.... 
 </t>
        </is>
      </c>
      <c r="D317" t="n">
        <v>1</v>
      </c>
      <c r="E317" t="n">
        <v>5</v>
      </c>
      <c r="F317">
        <f>HYPERLINK("https://www.reddit.com/r/cancer/comments/ai7fgh/any_hope/")</f>
        <v/>
      </c>
      <c r="G317" t="inlineStr">
        <is>
          <t>2019-01-20 22:38:24</t>
        </is>
      </c>
      <c r="H317" t="inlineStr"/>
    </row>
    <row r="318">
      <c r="A318" t="inlineStr">
        <is>
          <t>ai8xc4</t>
        </is>
      </c>
      <c r="B318" t="inlineStr">
        <is>
          <t>My step-dad has stomach cancer stage 4 - no treatment......</t>
        </is>
      </c>
      <c r="C318" t="inlineStr">
        <is>
          <t>Hi! So the jest of it is, that I am so so angry..... 
&amp;amp;#x200B;
But lets go to the start. Just shortly, my step-dad has stage 4 stomach cancer, diagnosed last October (2018). The tumor is through the stomach wall, around the stomach wall, in the abdominal cavity and in a few lympfe nodes. Therefore, the docters said they will not operate him. Since the only thing they can do is remove the stomach, which is a crazy operation, which won´t help, because it is spread everywhere. He doesn´t want chemo, because it will not help either, just makes him sicker. When giving the diagnosis, the doctors talked about months...  But that´s not why I am angry. I am angry because:
\- He ignores the disease, sometimes I think I am in Candid camera, when he actually says he doesnt believe the 15 doctors at the hospital, and the video - that was all fine too right?
\- By him ignoring it, makes it very hard to deal with for me, my siblings, and my mother. 
\- Shortly after he got diagnosed, he decided, the only way I can beat this, is to go to a natural docter in the Phillipines, the Dayeng Foundation. I can´t find any opinion-orientet information regarding this. Just articles of (ex)employees on how cancer is a fault of the imume-system, and proper food etc is the way to cure this bitch. It´s crazy...... And instead of being at home, on which is I think his last Birthday, he decides to go there for a MONTH. But ok, I respect his decision, I get where it comes from. Acknowlidging you´re dying is crazy (I think.. sorry, can´t say for sure).
\- He says stuff like: If you only eat biological food, you won´t get cancer. I do not have enough money to buy only biological food, do you want to say then, that I will get cancer? 
\- He doesn´t want to get a check-up. So we are all just free-falling when it will be time......
\- He wants to go to the GP, because he is so tired all the time. - YES BECAUSE YOU HAVE CANCER, YOU ARSE!!!
\- his opinion: Cancer is a prosperity-illness. With the argumentation: *in the past the disease was non-excistent*! YES Karen! BECAUSE EVERYBODY JUST DIED AND PEOPLE DID´NT KNOW WHY - and couldnt do test to find out why. 
&amp;amp;#x200B;
Last not but least, the topic that he is my step-dad. I have a great relationship with him, and my sister as well. He has 2 children, and I am comfortable to say, my sister and I have a better relationship with him that his daughter. (with his son it´s great). And when he talks about his heritage he only talks about his kids. We are a family for almost 20 years. I see him as my dad, didnt it all matter? Is it really so fucked up that blood is **always** thicker than water? I don´t care about money or possesion, I don´t even know if there would be something, but seriously - don´t we matter at all?! And then I get angry at myself, for feeling those feels.... I visit him often, I didn´t go to my family-in-law last christmas because I wanted to be with him. My sister requested unpaid leave to be with him, was it all really just, and only for ourselves? 
&amp;amp;#x200B;
Naja, I just wanted to get it off my chest... Since the diagnosis in October 2018 till now it has gotten a lot worse... So I have an immense fear it will be time soon...</t>
        </is>
      </c>
      <c r="D318" t="n">
        <v>1</v>
      </c>
      <c r="E318" t="n">
        <v>2</v>
      </c>
      <c r="F318">
        <f>HYPERLINK("https://www.reddit.com/r/cancer/comments/ai8xc4/my_stepdad_has_stomach_cancer_stage_4_no_treatment/")</f>
        <v/>
      </c>
      <c r="G318" t="inlineStr">
        <is>
          <t>2019-01-21 02:33:08</t>
        </is>
      </c>
      <c r="H318" t="inlineStr"/>
    </row>
    <row r="319">
      <c r="A319" t="inlineStr">
        <is>
          <t>ai9lgb</t>
        </is>
      </c>
      <c r="B319" t="inlineStr">
        <is>
          <t>Bad Dream</t>
        </is>
      </c>
      <c r="C319" t="inlineStr">
        <is>
          <t xml:space="preserve">I've never posted on Reddit before, and at this point I've never really had something in my life to grieve about either. I just wanted to say that we found out yesterday that my [24F] father has pancreatic cancer that's already spread to his liver. I feel like I'm walking in a nightmare. Only yesterday I was planning my wedding and a graduation party, now I'm terrified he won't make it to either. I don't know what to do. I'm seeing my therapist today but I just.... Feel like my life has been ripped away. </t>
        </is>
      </c>
      <c r="D319" t="n">
        <v>1</v>
      </c>
      <c r="E319" t="n">
        <v>8</v>
      </c>
      <c r="F319">
        <f>HYPERLINK("https://www.reddit.com/r/cancer/comments/ai9lgb/bad_dream/")</f>
        <v/>
      </c>
      <c r="G319" t="inlineStr">
        <is>
          <t>2019-01-21 04:18:35</t>
        </is>
      </c>
      <c r="H319" t="inlineStr"/>
    </row>
    <row r="320">
      <c r="A320" t="inlineStr">
        <is>
          <t>aibt0c</t>
        </is>
      </c>
      <c r="B320" t="inlineStr">
        <is>
          <t>Friend needs help</t>
        </is>
      </c>
      <c r="C320" t="inlineStr">
        <is>
          <t xml:space="preserve">https://www.gofundme.com/help-renae-lewis-fight-leukemia
Hello fellow community, my friend was diagnosed with leukemia a few weeks ago and will not be able to work while going through chemo. I thought I would give it a shot to see if anyone would be able to help her through this difficult time as she still has rent to pay and other living expenses. Thanks for taking the time to read this. </t>
        </is>
      </c>
      <c r="D320" t="n">
        <v>1</v>
      </c>
      <c r="E320" t="n">
        <v>0</v>
      </c>
      <c r="F320">
        <f>HYPERLINK("https://www.reddit.com/r/cancer/comments/aibt0c/friend_needs_help/")</f>
        <v/>
      </c>
      <c r="G320" t="inlineStr">
        <is>
          <t>2019-01-21 08:37:06</t>
        </is>
      </c>
      <c r="H320" t="inlineStr"/>
    </row>
    <row r="321">
      <c r="A321" t="inlineStr">
        <is>
          <t>aid19d</t>
        </is>
      </c>
      <c r="B321" t="inlineStr">
        <is>
          <t>Just got a call from my Dad</t>
        </is>
      </c>
      <c r="C321" t="inlineStr">
        <is>
          <t xml:space="preserve">I just got a call from my dad 5 minutes ago from the hospital. They told him he has stage 1 stomach cancer. I'm upset about so many things right now and am just freaking out. I don't know what to expect.
I know it's still early, but this hospital has proven itself to be unreliable time and again. </t>
        </is>
      </c>
      <c r="D321" t="n">
        <v>1</v>
      </c>
      <c r="E321" t="n">
        <v>8</v>
      </c>
      <c r="F321">
        <f>HYPERLINK("https://www.reddit.com/r/cancer/comments/aid19d/just_got_a_call_from_my_dad/")</f>
        <v/>
      </c>
      <c r="G321" t="inlineStr">
        <is>
          <t>2019-01-21 10:29:07</t>
        </is>
      </c>
      <c r="H321" t="inlineStr"/>
    </row>
    <row r="322">
      <c r="A322" t="inlineStr">
        <is>
          <t>aie3r2</t>
        </is>
      </c>
      <c r="B322" t="inlineStr">
        <is>
          <t>My grandma was the first female Fire Cheif in her county</t>
        </is>
      </c>
      <c r="C322" t="inlineStr">
        <is>
          <t>She is the most courageous and strong person I know. 
She came up as a firefighter back when it was a man's job. She was forced to be better just to be accepted. As time went on she became to best their was. 
Because of her my mom and uncle both became firefighters. And I'm now a third generation firefighter. I truly believe my family has courage running through our blood, given to us by her. 
She's fought more fires than most people can count. She's ran forward when others ran away. There are countless  people that would be dead, if she hadn't pulled them out. She's been there for everyone's bad day, and never let it ruin hers. 
She marched for equal rights and has been in so many bar brawls she's not allowed into half the bars in the city. 
Today she finally lost a fight. We've been informed the cancer won. She only has a few days left. It could be tmrw. And here I am sitting alone three states away crying and posting on Reddit.
My grandma had a saying she liked: 
"Fireman don't go to heaven, who else can keep the fires of hell away?" 
If there's a heaven I hope shes right. I hope she gets put back on a her feet and hose in her hands. 
Fuck cancer.</t>
        </is>
      </c>
      <c r="D322" t="n">
        <v>1</v>
      </c>
      <c r="E322" t="n">
        <v>7</v>
      </c>
      <c r="F322">
        <f>HYPERLINK("https://www.reddit.com/r/cancer/comments/aie3r2/my_grandma_was_the_first_female_fire_cheif_in_her/")</f>
        <v/>
      </c>
      <c r="G322" t="inlineStr">
        <is>
          <t>2019-01-21 12:04:06</t>
        </is>
      </c>
      <c r="H322" t="inlineStr"/>
    </row>
    <row r="323">
      <c r="A323" t="inlineStr">
        <is>
          <t>aif38l</t>
        </is>
      </c>
      <c r="B323" t="inlineStr">
        <is>
          <t>Insurance won’t authorize PET scan</t>
        </is>
      </c>
      <c r="C323" t="inlineStr">
        <is>
          <t>I was scheduled for a pet scan tomorrow, and was just notified that my insurance wouldn’t give pre-authorization for it.
Their denial reasoning was that I didn’t have previous scans that came back inconclusive. The problem with that, is that I **did** have previous scans that could not evaluate my bladder because it’s poorly distended. There also was no review of the lymph nodes in question, just the ones in my chest. Not to mention, I have pain in my inner thigh which isn’t reduced with my norco. It used to come and go, but for the last five days it’s been constant.
Speaking to my oncologist office, the insurance refused to do a peer to peer review with him (which he tried to do) before denying the claim. The doctor that allegedly denied my claim (because I wouldn’t put it past the insurance company to not actual have a doctor doing it, especially if they won’t do peer to peer when the oncologist is available and willing, only to deny it an hour later), isn’t even an oncologist or a gynecologist. They have little knowledge of what’s actually needed for my treatment.
This PET/CT was supposed to give a better idea of staging, as every other scans haven’t conclusively determined that. My previous biopsies confirmed at least three tumors with invasive cancer, but all three are local. As it stands, I could be anywhere from stage II and stage IVa. Without better evaluation of my bladder and lower lymph nodes, there’s no way to tell. My treatment plan is pretty contingent on what the PET/CT reveals and an appeal could take months.
Fuck cancer and fuck the American health insurance industry.</t>
        </is>
      </c>
      <c r="D323" t="n">
        <v>1</v>
      </c>
      <c r="E323" t="n">
        <v>8</v>
      </c>
      <c r="F323">
        <f>HYPERLINK("https://www.reddit.com/r/cancer/comments/aif38l/insurance_wont_authorize_pet_scan/")</f>
        <v/>
      </c>
      <c r="G323" t="inlineStr">
        <is>
          <t>2019-01-21 13:20:43</t>
        </is>
      </c>
      <c r="H323" t="inlineStr"/>
    </row>
    <row r="324">
      <c r="A324" t="inlineStr">
        <is>
          <t>aifcc7</t>
        </is>
      </c>
      <c r="B324" t="inlineStr">
        <is>
          <t>I am officially Radioactive</t>
        </is>
      </c>
      <c r="C324" t="inlineStr">
        <is>
          <t>So today was my first radiation treatment for Squamous Cell Carcinoma. All I have to say is that I am glad the other 32 treatments will be shorter. Before the treatment actually started they had to put me in my mask and run a test run through the treatment and get final clearance from the doctor. This made my time twice as long. One of the problems I have is that with my tonsils being swelled up I have a hard time breathing through my nose. When I am lying on my back I find that I can breath In through my nose but not out. This made my mouth dry and uncomfortable. Other than that it pretty much sucked. I will take the suckiness over cancer any day though. Here is to one treatment closer to cancer free!  
P.S. The tech's did not like me calling their expensive equipment the "Easy Bake Oven". Other than that they were nice.</t>
        </is>
      </c>
      <c r="D324" t="n">
        <v>1</v>
      </c>
      <c r="E324" t="n">
        <v>30</v>
      </c>
      <c r="F324">
        <f>HYPERLINK("https://www.reddit.com/r/cancer/comments/aifcc7/i_am_officially_radioactive/")</f>
        <v/>
      </c>
      <c r="G324" t="inlineStr">
        <is>
          <t>2019-01-21 13:42:53</t>
        </is>
      </c>
      <c r="H324" t="inlineStr"/>
    </row>
    <row r="325">
      <c r="A325" t="inlineStr">
        <is>
          <t>aifsyt</t>
        </is>
      </c>
      <c r="B325" t="inlineStr">
        <is>
          <t>Gift/help for friend after mastectomy</t>
        </is>
      </c>
      <c r="C325" t="inlineStr">
        <is>
          <t xml:space="preserve">My co-worker's wife just had a double mastectomy. They have two very young girls. I want to give some practical "gifts" to just help my buddy get through the days while his wife is recovering and can't really physically help much. I've thought about homemade meals, but with very young kids who probably wouldn't eat and a wife who may have no interest in some meals, I thought there might be a better option. Something sincere, not a gift card, and above all just plain helpful.
If you're a survivor or have been a caretaker, what would have been most helpful to you?
Thanks so much! </t>
        </is>
      </c>
      <c r="D325" t="n">
        <v>1</v>
      </c>
      <c r="E325" t="n">
        <v>6</v>
      </c>
      <c r="F325">
        <f>HYPERLINK("https://www.reddit.com/r/cancer/comments/aifsyt/gifthelp_for_friend_after_mastectomy/")</f>
        <v/>
      </c>
      <c r="G325" t="inlineStr">
        <is>
          <t>2019-01-21 14:25:26</t>
        </is>
      </c>
      <c r="H325" t="inlineStr"/>
    </row>
    <row r="326">
      <c r="A326" t="inlineStr">
        <is>
          <t>aigiou</t>
        </is>
      </c>
      <c r="B326" t="inlineStr">
        <is>
          <t>Stepdad diagnosed with Pancreatic Cancer</t>
        </is>
      </c>
      <c r="C326" t="inlineStr">
        <is>
          <t>Hello,
One Saturday my mother dropped the news that my stepdad has pancreatic cancer. After a CT Scan today they discovered that he has a large pancreatic mass and liver secondaries and a couple of clots in his lungs. Does anyone know what are the next steps? Does he have much time left?</t>
        </is>
      </c>
      <c r="D326" t="n">
        <v>1</v>
      </c>
      <c r="E326" t="n">
        <v>3</v>
      </c>
      <c r="F326">
        <f>HYPERLINK("https://www.reddit.com/r/cancer/comments/aigiou/stepdad_diagnosed_with_pancreatic_cancer/")</f>
        <v/>
      </c>
      <c r="G326" t="inlineStr">
        <is>
          <t>2019-01-21 15:34:52</t>
        </is>
      </c>
      <c r="H326" t="inlineStr"/>
    </row>
    <row r="327">
      <c r="A327" t="inlineStr">
        <is>
          <t>aihe0e</t>
        </is>
      </c>
      <c r="B327" t="inlineStr">
        <is>
          <t>I was diagnosed with stage 1 testicular cancer on my 22nd birthday in July of 2018. Since hanging 2 surgeries, they’ve upped it to stage 2 and today I started chemo.</t>
        </is>
      </c>
      <c r="C327" t="inlineStr">
        <is>
          <t xml:space="preserve">I currently feel pretty nauseous, have no appetite, and am sitting by the toilet right now. I’m wondering if anyone who has gone through this knows of a good way do distract yourself, or have any secret remedies to feel better. It’s only day 1 for me and I’m afraid it’s going to get a lot worse cause the doctors told me that most people don’t even get sick until day 4 or 5. I know I can beat it, but it may be a rough road to get there. I’m sure my current state may seem like nothing compared to some of what you have gone through, but I’ll take any advice/help can get! Thanks for your help and support! </t>
        </is>
      </c>
      <c r="D327" t="n">
        <v>1</v>
      </c>
      <c r="E327" t="n">
        <v>8</v>
      </c>
      <c r="F327">
        <f>HYPERLINK("https://www.reddit.com/r/cancer/comments/aihe0e/i_was_diagnosed_with_stage_1_testicular_cancer_on/")</f>
        <v/>
      </c>
      <c r="G327" t="inlineStr">
        <is>
          <t>2019-01-21 17:08:00</t>
        </is>
      </c>
      <c r="H327" t="inlineStr"/>
    </row>
    <row r="328">
      <c r="A328" t="inlineStr">
        <is>
          <t>aihztw</t>
        </is>
      </c>
      <c r="B328" t="inlineStr">
        <is>
          <t>My mother has gone from cancer diagnosis to hospice within a week.</t>
        </is>
      </c>
      <c r="C328" t="inlineStr">
        <is>
          <t>My mother recently went to the hospital for an unrelated illness, and while they were running tests, she was diagnosed with an aggressive cancer that has moved into her lymph nodes. This was diagnosed very late, and she will be moved into hospice care over the next few days.
Some backstory on our relationship: Growing up, the two of us had a...complicated mother-son relationship. My mom was never abusive, but she couldn't hold down a job and made a series of poor relationship decisions. We went from living with family to living in motels to living with other relatives, until I decided that I couldn't do it anymore and moved across country to stay with friends. 
That was almost six years ago. Today, I am a college graduate about to transition into a great government job; I found the happiness that I was looking for. But my mom never did. 
I'm flying back home on Wednesday to see her, but I can only stay through the weekend before I have to return to work. I am aware that this may be the last time I ever see my mother. It is a strange mix of emotions -- to love someone, but to still feel some detachment due to the physical and emotional distance -- and I'm just not processing it very well. I'm 25; this wasn't "supposed" to happen right now.
Has anyone been in a similar situation? I'm not even sure what I'm asking for in posting this, but it would be nice to hear that I'm not alone.</t>
        </is>
      </c>
      <c r="D328" t="n">
        <v>1</v>
      </c>
      <c r="E328" t="n">
        <v>7</v>
      </c>
      <c r="F328">
        <f>HYPERLINK("https://www.reddit.com/r/cancer/comments/aihztw/my_mother_has_gone_from_cancer_diagnosis_to/")</f>
        <v/>
      </c>
      <c r="G328" t="inlineStr">
        <is>
          <t>2019-01-21 18:15:35</t>
        </is>
      </c>
      <c r="H328" t="inlineStr"/>
    </row>
    <row r="329">
      <c r="A329" t="inlineStr">
        <is>
          <t>aii1ky</t>
        </is>
      </c>
      <c r="B329" t="inlineStr">
        <is>
          <t>Surrounded by well-meaning boundary stompers.</t>
        </is>
      </c>
      <c r="C329" t="inlineStr">
        <is>
          <t>Just a vent, really. 
Multiple Myeloma with complex cytogenetic features. Complicated, changable beast that's terribly hyperaggressive. Terminal.
I just really hate it when people want to be supportive but they end up just making it all about them. And they just Do. Not. Respect. Boundaries. Especially when they try to dissuade you from &amp;lt;whatever you're taking&amp;gt; and instead try to railroad you into &amp;lt;whatever they think is best&amp;gt;.
Ugh.</t>
        </is>
      </c>
      <c r="D329" t="n">
        <v>1</v>
      </c>
      <c r="E329" t="n">
        <v>15</v>
      </c>
      <c r="F329">
        <f>HYPERLINK("https://www.reddit.com/r/cancer/comments/aii1ky/surrounded_by_wellmeaning_boundary_stompers/")</f>
        <v/>
      </c>
      <c r="G329" t="inlineStr">
        <is>
          <t>2019-01-21 18:21:19</t>
        </is>
      </c>
      <c r="H329" t="inlineStr"/>
    </row>
    <row r="330">
      <c r="A330" t="inlineStr">
        <is>
          <t>aiibko</t>
        </is>
      </c>
      <c r="B330" t="inlineStr">
        <is>
          <t>It's back.</t>
        </is>
      </c>
      <c r="C330" t="inlineStr">
        <is>
          <t>We got the call last week. This makes round 4. 90% of his tongue and all the lymph nodes in the front of his neck were removed, 33 rads, 6 chemos. And it's back.  Squamous cell carcinoma, that bastard.
We find out Friday what the PET scan has to say and then we find out his options. 
I'd like to find someone out there for him to talk to that's been through this. He just turned 31 a couple of weeks ago and doesn't have anyone to open up to that could possibly understand what he's going through. We aren't religious and we live in a small town with few resources for either of us. We're both in therapy, so our mental health is being looked after. It's really more about giving him a connection that he can talk with that really understands what fighting the big C is like. 
Please send my incredible husband some kind words.
/u/AW4it3Bull</t>
        </is>
      </c>
      <c r="D330" t="n">
        <v>1</v>
      </c>
      <c r="E330" t="n">
        <v>7</v>
      </c>
      <c r="F330">
        <f>HYPERLINK("https://www.reddit.com/r/cancer/comments/aiibko/its_back/")</f>
        <v/>
      </c>
      <c r="G330" t="inlineStr">
        <is>
          <t>2019-01-21 18:52:53</t>
        </is>
      </c>
      <c r="H330" t="inlineStr"/>
    </row>
    <row r="331">
      <c r="A331" t="inlineStr">
        <is>
          <t>aijarh</t>
        </is>
      </c>
      <c r="B331" t="inlineStr">
        <is>
          <t>This is a streamer me and my friend used to raid, and is now suffering from cancer. Please help and share in anyway you can</t>
        </is>
      </c>
      <c r="C331" t="inlineStr">
        <is>
          <t>https://youtu.be/cR1IEO5MOsA</t>
        </is>
      </c>
      <c r="D331" t="n">
        <v>1</v>
      </c>
      <c r="E331" t="n">
        <v>2</v>
      </c>
      <c r="F331">
        <f>HYPERLINK("https://www.reddit.com/r/cancer/comments/aijarh/this_is_a_streamer_me_and_my_friend_used_to_raid/")</f>
        <v/>
      </c>
      <c r="G331" t="inlineStr">
        <is>
          <t>2019-01-21 20:48:19</t>
        </is>
      </c>
      <c r="H331" t="inlineStr"/>
    </row>
    <row r="332">
      <c r="A332" t="inlineStr">
        <is>
          <t>aijdoi</t>
        </is>
      </c>
      <c r="B332" t="inlineStr">
        <is>
          <t>Anyone have experience with moving to another state for treatment?</t>
        </is>
      </c>
      <c r="C332" t="inlineStr">
        <is>
          <t>If so, how did it go for you? What went into making that decision?</t>
        </is>
      </c>
      <c r="D332" t="n">
        <v>1</v>
      </c>
      <c r="E332" t="n">
        <v>2</v>
      </c>
      <c r="F332">
        <f>HYPERLINK("https://www.reddit.com/r/cancer/comments/aijdoi/anyone_have_experience_with_moving_to_another/")</f>
        <v/>
      </c>
      <c r="G332" t="inlineStr">
        <is>
          <t>2019-01-21 20:58:25</t>
        </is>
      </c>
      <c r="H332" t="inlineStr"/>
    </row>
    <row r="333">
      <c r="A333" t="inlineStr">
        <is>
          <t>aijepv</t>
        </is>
      </c>
      <c r="B333" t="inlineStr">
        <is>
          <t>Feels like downhill since my Mom's surgery for rectal cancer.</t>
        </is>
      </c>
      <c r="C333" t="inlineStr">
        <is>
          <t xml:space="preserve">So my mom, who has never been sick and has always felt great, had some blood in her stool. She thought it was an internal hemorrhoid, her gynecologist thought it was a phisher. She chose to get a colonoscopy to be sure and the doctors find T1 rectal cancer. 
She has an MRI and it confirms it is T1 and hasn't spread beyond I guess what is inside her inner rectal hole.
So this surgeon tells her what to have done is he'll go in there and clear that out. So my mom has her first surgery ever. After the surgery he tells us he believes it is more than T1, that he thinks it went inside the muscle tissue so maybe T2. Says the MRI is wrong. This is sad news for us of course.
So the results come back I guess from the surgery that it is T2.
&amp;amp;#x200B;
Ok now we go to the Chemo/Radiation Dr's office to talk to her about what's next. First thing she says is now my mom is cancer free, at least as far as what machines can detect. But the standard of care is chemo, radiation, and the surgeon says after that rectal removal and she will live with a colostomy bag. 
This shocks my mom and she is upset at the idea of a bag. Also she is confused by being cancer free yet needs chemo. Dr. explains without the chemo they feel there is up to a 40% chance of recurrence. With chemo and rectal removal it will take that down to 5%. But she does say that the rectal removal isn't an absolute. It might be possible after chemo to just continue to monitor her.
Also she mentions that maybe my mother shouldn't have had that surgery and should have gotten chemo therapy first. This of course angers and confuses us.
&amp;amp;#x200B;
Ok now it gets even worse. My mom is pooping and some of  it's coming out of her vagina. This scares the hell out of her. It wasn't listed as one of the possible results of the surgery. A surgery that she isn't exactly recovering from as quickly as the doc said either.
&amp;amp;#x200B;
So we visit him and she tells him about it and he examines her. He flat out admits it's his fault. That he must have been too aggressive removing the cancer during surgery and tore a large hole in her vagina wall. He claims it cannot heal on it's own, also that there is no treatment to heal it. But to him this doesn't matter long run because he is removing her rectum and she'll have a colostomy bag. My mom says she hoped to avoid that and only be monitored. He says that isn't an option.
&amp;amp;#x200B;
We leave upset. Chemo starts in a week which she is anxious about and now this vagina issue is a problem that can't even be fixed. It's not just that he messed up and tore the hole in her vagina wall but he acts as if oh well the rectum is coming out anyway so it doesn't matter. But that isn't fair. First off you caused permanent damage to her and no one warned us about this. Secondly after chemo and healing my mom still wanted to have the option to monitor or choose the colostomy and this surgeon took that choice away from her.
&amp;amp;#x200B;
It's so important to keep your spirits high, to be positive. But my mom had a surgery that maybe she didn't even need, had a wall torn in her vagina so poop is coming out, and is going thru chemo. It's just all very upsetting. </t>
        </is>
      </c>
      <c r="D333" t="n">
        <v>1</v>
      </c>
      <c r="E333" t="n">
        <v>7</v>
      </c>
      <c r="F333">
        <f>HYPERLINK("https://www.reddit.com/r/cancer/comments/aijepv/feels_like_downhill_since_my_moms_surgery_for/")</f>
        <v/>
      </c>
      <c r="G333" t="inlineStr">
        <is>
          <t>2019-01-21 21:02:04</t>
        </is>
      </c>
      <c r="H333" t="inlineStr"/>
    </row>
    <row r="334">
      <c r="A334" t="inlineStr">
        <is>
          <t>aijozn</t>
        </is>
      </c>
      <c r="B334" t="inlineStr">
        <is>
          <t>Came back from the dentist with this?</t>
        </is>
      </c>
      <c r="C334" t="inlineStr">
        <is>
          <t>About 4 days ago (January 17th) I came back from the dentist office with these white spots on my lip:
https://imgur.com/4b0HslP
At first I just brushed it off as probably the dentist might have drilled right under my bottom by mistake and also the fact that he pressed the chair up button mid cleaning so I thought it might have been it. Another way why I thought its on the dentist is because it was on the bottom left side of my mouth and that was the same spot I got a neww filling.
But now 4 days later I am getting worried big time. The pain is insane every time I eat, I typed in google "lip cancer" and I saw this:
&amp;gt; a sore, lesion, blister, ulcer, or lump on the mouth that doesn’t go away
&amp;gt;  a red or white patch on the lip
Same here, white patch and hasn't went away now 4 days later... Is this cause for concern should I wait a couple more days before getting it checked or is this normal?</t>
        </is>
      </c>
      <c r="D334" t="n">
        <v>1</v>
      </c>
      <c r="E334" t="n">
        <v>0</v>
      </c>
      <c r="F334">
        <f>HYPERLINK("https://www.reddit.com/r/cancer/comments/aijozn/came_back_from_the_dentist_with_this/")</f>
        <v/>
      </c>
      <c r="G334" t="inlineStr">
        <is>
          <t>2019-01-21 21:38:21</t>
        </is>
      </c>
      <c r="H334" t="inlineStr"/>
    </row>
    <row r="335">
      <c r="A335" t="inlineStr">
        <is>
          <t>aijumi</t>
        </is>
      </c>
      <c r="B335" t="inlineStr">
        <is>
          <t>Getting my port out on Friday.</t>
        </is>
      </c>
      <c r="C335" t="inlineStr">
        <is>
          <t>I’m having my port removed this Friday. I’m kind of terrified. For one thing I don’t want to go through another surgery, this is my 7th and the anxiety of being put to sleep never gets easier. I also feel like I’m losing something that was a huge part of my fight, a good friend. I don’t know if that sounds strange. Sorry if this post is kind of dumb, I should be happy but instead I’m anxious and, honestly, kind of upset. I don’t want it taken out. It’s all I have left to commemorate all I’ve been through, anybody else feel this way about their port? I think maybe I have a sick attachment to it because I’ve had it for 3.5 years at this point. There’s also the fact that if I need chemo again I will have to go through another surgery to insert it. I don’t know...sorry I just need to vent and be really honest.</t>
        </is>
      </c>
      <c r="D335" t="n">
        <v>1</v>
      </c>
      <c r="E335" t="n">
        <v>0</v>
      </c>
      <c r="F335">
        <f>HYPERLINK("https://www.reddit.com/r/cancer/comments/aijumi/getting_my_port_out_on_friday/")</f>
        <v/>
      </c>
      <c r="G335" t="inlineStr">
        <is>
          <t>2019-01-21 21:59:03</t>
        </is>
      </c>
      <c r="H335" t="inlineStr"/>
    </row>
    <row r="336">
      <c r="A336" t="inlineStr">
        <is>
          <t>aily7j</t>
        </is>
      </c>
      <c r="B336" t="inlineStr">
        <is>
          <t>I HAS CANCER</t>
        </is>
      </c>
      <c r="C336" t="inlineStr">
        <is>
          <t xml:space="preserve">WHAT IF </t>
        </is>
      </c>
      <c r="D336" t="n">
        <v>1</v>
      </c>
      <c r="E336" t="n">
        <v>0</v>
      </c>
      <c r="F336">
        <f>HYPERLINK("https://www.reddit.com/r/cancer/comments/aily7j/i_has_cancer/")</f>
        <v/>
      </c>
      <c r="G336" t="inlineStr">
        <is>
          <t>2019-01-22 03:28:08</t>
        </is>
      </c>
      <c r="H336" t="inlineStr"/>
    </row>
    <row r="337">
      <c r="A337" t="inlineStr">
        <is>
          <t>aimi38</t>
        </is>
      </c>
      <c r="B337" t="inlineStr">
        <is>
          <t>I don’t know want to be part of this club!</t>
        </is>
      </c>
      <c r="C337" t="inlineStr">
        <is>
          <t>I’ve been in a major hospital since Thursday. I was having annoying stomach symptoms that just wouldn’t stop. I was initially diagnosed with food poisoning. My primary care doctor, who was brand new to me, felt something was off and sent me to the ER. ER sent me directly to Cleveland Clinic Main Campus after the ct scan got back. I was put on the oncology floor. The doctor said it looked like cancer had spread all over my abdomen. I got here and they convened multiple teams like infectious disease, rheumelogy, infectious disease, gynecology, and  oncology. Yesterday I had a biopsy surgery and they said based on tumor markers and my age (I’m only 34) it looks like ovarian cancer but I gotta need to keep waiting to get the official results. I’m getting a chest CT to see if it’s spread to my chest this morning. 
I’m scared, in pain (they can’t give me opiates becasuse the mass is wrapped around my colon and it hurts like hell to poop), and mostly worried about my parents. 
Bigronnieron referred me here. Also could someone give me the link to the cancer discord?</t>
        </is>
      </c>
      <c r="D337" t="n">
        <v>1</v>
      </c>
      <c r="E337" t="n">
        <v>24</v>
      </c>
      <c r="F337">
        <f>HYPERLINK("https://www.reddit.com/r/cancer/comments/aimi38/i_dont_know_want_to_be_part_of_this_club/")</f>
        <v/>
      </c>
      <c r="G337" t="inlineStr">
        <is>
          <t>2019-01-22 04:46:54</t>
        </is>
      </c>
      <c r="H337" t="inlineStr"/>
    </row>
    <row r="338">
      <c r="A338" t="inlineStr">
        <is>
          <t>ainfh4</t>
        </is>
      </c>
      <c r="B338" t="inlineStr">
        <is>
          <t>Father Has Stage Three Prostate Cancer, Unsure of What’s Next.</t>
        </is>
      </c>
      <c r="C338" t="inlineStr">
        <is>
          <t xml:space="preserve">After a few months of tests, my dad found out yesterday he has stage 3 Prostate cancer. He has follow up imaging and a bone marrow test this next week and while his doctors said it doesn’t look to be “contained” it doesn’t mean it’s not treatable/curable.  
I’m in shock because he’s healthy, works out and none of our family history gives to cancer (heart disease yes, but not cancer). I’m his only kid and while I’m a adult (36), I’ve cried like a child over the past 24 hours. 
I’m at a loss and would like to know how others have dealt/coped with this. </t>
        </is>
      </c>
      <c r="D338" t="n">
        <v>1</v>
      </c>
      <c r="E338" t="n">
        <v>13</v>
      </c>
      <c r="F338">
        <f>HYPERLINK("https://www.reddit.com/r/cancer/comments/ainfh4/father_has_stage_three_prostate_cancer_unsure_of/")</f>
        <v/>
      </c>
      <c r="G338" t="inlineStr">
        <is>
          <t>2019-01-22 06:38:10</t>
        </is>
      </c>
      <c r="H338" t="inlineStr"/>
    </row>
    <row r="339">
      <c r="A339" t="inlineStr">
        <is>
          <t>aio0g2</t>
        </is>
      </c>
      <c r="B339" t="inlineStr">
        <is>
          <t>Tips after laryngectomy</t>
        </is>
      </c>
      <c r="C339" t="inlineStr">
        <is>
          <t>Hi everyone,
My father-in-law just underwent a full laryngectomy and having little understanding of the procedure and of the consequences (besides not being able to talk for a while and having to learn how to talk again), I don't know what could ease his pain right now or what could be useful. 
Any input and tips from people or families who have been through this would be very much appreciated.
Thank you! &amp;lt;3</t>
        </is>
      </c>
      <c r="D339" t="n">
        <v>1</v>
      </c>
      <c r="E339" t="n">
        <v>0</v>
      </c>
      <c r="F339">
        <f>HYPERLINK("https://www.reddit.com/r/cancer/comments/aio0g2/tips_after_laryngectomy/")</f>
        <v/>
      </c>
      <c r="G339" t="inlineStr">
        <is>
          <t>2019-01-22 07:39:45</t>
        </is>
      </c>
      <c r="H339" t="inlineStr"/>
    </row>
    <row r="340">
      <c r="A340" t="inlineStr">
        <is>
          <t>aip9jp</t>
        </is>
      </c>
      <c r="B340" t="inlineStr">
        <is>
          <t>Fight cancer</t>
        </is>
      </c>
      <c r="C340" t="inlineStr">
        <is>
          <t xml:space="preserve">Hello everyone www.healthytipsforu.com
</t>
        </is>
      </c>
      <c r="D340" t="n">
        <v>1</v>
      </c>
      <c r="E340" t="n">
        <v>0</v>
      </c>
      <c r="F340">
        <f>HYPERLINK("https://www.reddit.com/r/cancer/comments/aip9jp/fight_cancer/")</f>
        <v/>
      </c>
      <c r="G340" t="inlineStr">
        <is>
          <t>2019-01-22 09:40:20</t>
        </is>
      </c>
      <c r="H340" t="inlineStr"/>
    </row>
    <row r="341">
      <c r="A341" t="inlineStr">
        <is>
          <t>aiq7d6</t>
        </is>
      </c>
      <c r="B341" t="inlineStr">
        <is>
          <t>Brain C</t>
        </is>
      </c>
      <c r="C341" t="inlineStr">
        <is>
          <t>Found out today my Great Auntie has brain cancer. My dad called me up crying today. First he has heard from his cousins in a while after the disowning of his father and sister made him feel he couldnt talk to any of his family again.
She has been in a care home after a long hospital stay with "suspected dementia", but its not. Its the big bad fucking C again.
God bless you Auntie K.</t>
        </is>
      </c>
      <c r="D341" t="n">
        <v>1</v>
      </c>
      <c r="E341" t="n">
        <v>0</v>
      </c>
      <c r="F341">
        <f>HYPERLINK("https://www.reddit.com/r/cancer/comments/aiq7d6/brain_c/")</f>
        <v/>
      </c>
      <c r="G341" t="inlineStr">
        <is>
          <t>2019-01-22 11:07:14</t>
        </is>
      </c>
      <c r="H341" t="inlineStr"/>
    </row>
    <row r="342">
      <c r="A342" t="inlineStr">
        <is>
          <t>air5hz</t>
        </is>
      </c>
      <c r="B342" t="inlineStr">
        <is>
          <t>How to express my sympathy to someone who has cancer?</t>
        </is>
      </c>
      <c r="C342" t="inlineStr">
        <is>
          <t xml:space="preserve">Hi!
How are you guys?
I'll preface my question by saying I don't have cancer, and I have no idea how it feels to face something with a survival rate that is really quite low (sorry if that was a downer). I have a friend in class who I learned from a mutual friend has leukemia (I don't know what kind, but the fact that she's in school tells me it might not be *so* bad, if that makes sense. She is often absent for an entire week, though)
I don't know her very well, but we've been friends for years. How could I express that I'm sympathetic (is that the right one?) to her without making her feel worse? From personal experience, when people tell me they're sorry about my anxiety, it just makes me feel worse, which is kind of where this question comes from. </t>
        </is>
      </c>
      <c r="D342" t="n">
        <v>1</v>
      </c>
      <c r="E342" t="n">
        <v>7</v>
      </c>
      <c r="F342">
        <f>HYPERLINK("https://www.reddit.com/r/cancer/comments/air5hz/how_to_express_my_sympathy_to_someone_who_has/")</f>
        <v/>
      </c>
      <c r="G342" t="inlineStr">
        <is>
          <t>2019-01-22 12:36:00</t>
        </is>
      </c>
      <c r="H342" t="inlineStr"/>
    </row>
    <row r="343">
      <c r="A343" t="inlineStr">
        <is>
          <t>airl51</t>
        </is>
      </c>
      <c r="B343" t="inlineStr">
        <is>
          <t>Mum diagnosed with pancreatic cancer</t>
        </is>
      </c>
      <c r="C343" t="inlineStr">
        <is>
          <t>I feel like my heart is going to burst. I am beyond devastated and can't imagine life without her. I feel like I cannot cope.</t>
        </is>
      </c>
      <c r="D343" t="n">
        <v>1</v>
      </c>
      <c r="E343" t="n">
        <v>21</v>
      </c>
      <c r="F343">
        <f>HYPERLINK("https://www.reddit.com/r/cancer/comments/airl51/mum_diagnosed_with_pancreatic_cancer/")</f>
        <v/>
      </c>
      <c r="G343" t="inlineStr">
        <is>
          <t>2019-01-22 13:10:15</t>
        </is>
      </c>
      <c r="H343" t="inlineStr"/>
    </row>
    <row r="344">
      <c r="A344" t="inlineStr">
        <is>
          <t>airpjd</t>
        </is>
      </c>
      <c r="B344" t="inlineStr">
        <is>
          <t>It kills me to see my mom's quality of life dwindle.</t>
        </is>
      </c>
      <c r="C344" t="inlineStr">
        <is>
          <t>My mom, who is 66 years old, has stage IV renal cell carcinoma with mets in her vertebra, sacrum, and lungs. She has been fighting these mets since 2010, and continues to respond to her treatments, but her quality of life is horrible.
She's on a ton of pain medication and is still in constant, debilitating pain. Her chemo makes her so sick and gastro issues are a near daily occurrence. She spends almost all day in bed, and when she does anything, it results in so much pain that she has to spend the following day resting and recovering. 
I'm only 30 and I'm terrified to lose my mom, but if I'm being honest, my mom died a long time ago. Once in a while I'll get a glimpse of her old self, but those moments are fewer and fewer with time due to her medication and chemo brain.
Mostly though, I'm angry. Like really fucking angry. I see other people my age getting married and having kids, and I know my mom won't be there for that. I see people taking trips with parents and doing normal things, and I can't help but feel like they're taking their parents' health for granted.
I've been visiting monthly to get as much time as possible with her (I live 2700 miles away), but I always find myself getting emotionally overwhelmed and acting inappropriately, snapping at her or my dad. I wish I knew better how to handle this all. 
Anyway, fuck cancer. Thanks for letting me vent.</t>
        </is>
      </c>
      <c r="D344" t="n">
        <v>1</v>
      </c>
      <c r="E344" t="n">
        <v>9</v>
      </c>
      <c r="F344">
        <f>HYPERLINK("https://www.reddit.com/r/cancer/comments/airpjd/it_kills_me_to_see_my_moms_quality_of_life_dwindle/")</f>
        <v/>
      </c>
      <c r="G344" t="inlineStr">
        <is>
          <t>2019-01-22 13:20:52</t>
        </is>
      </c>
      <c r="H344" t="inlineStr"/>
    </row>
    <row r="345">
      <c r="A345" t="inlineStr">
        <is>
          <t>aiscsc</t>
        </is>
      </c>
      <c r="B345" t="inlineStr">
        <is>
          <t>Not happy with patient services at leading cancer center</t>
        </is>
      </c>
      <c r="C345" t="inlineStr">
        <is>
          <t>I am currently scheduled for scans to check on an ovarian mass with a leading oncology center. 
I was not referred to the cancer center originally but I have a multiocculated complex mass with solid and papillary features. Because of my age, the original dr I saw said it was nothing, attributed my extreme bloating and fatigue to my period, and to let it go. 
I read that all complex cysts should be seen by a gyno oncologist. So I referred myself to a cancer center I had used before when i had a mass in my breast. With me having the brca gene in the close family , I felt it was well warranted. 
Nearly 3 months in now and I’m still bloated, peeing a lot, sleeping a lot, and dealing with the painful mass. 
I’ve also started college classes again, and can’t miss any days of class due to my grants. The only time my dr can see me and set scans is on the days have class. So I called them to ask for something to give to my accessibility team at my college, and the person on the phone was very rude telling me “you’re just having follow ups, not being treated”. 
It’s probably not a big deal, but I feel very dismissed by everyone right now because i am 21. I am hoping that it is nothing serious but I want to be sure because my symptoms are so bad otherwise... I’ve heard of a few young women who have ovarian cancer and it doesn’t get found until very late stages. 
I just find their dismissive attitude to insensitive. It hasn’t been proven whether it is malignant and they are not willing to run the tests until they see if it goes away in a reasonable time frame(which is hasn’t) but that doesn’t mean won’t be needing to continue in the future. 
I’m so over this.</t>
        </is>
      </c>
      <c r="D345" t="n">
        <v>1</v>
      </c>
      <c r="E345" t="n">
        <v>15</v>
      </c>
      <c r="F345">
        <f>HYPERLINK("https://www.reddit.com/r/cancer/comments/aiscsc/not_happy_with_patient_services_at_leading_cancer/")</f>
        <v/>
      </c>
      <c r="G345" t="inlineStr">
        <is>
          <t>2019-01-22 14:19:24</t>
        </is>
      </c>
      <c r="H345" t="inlineStr"/>
    </row>
    <row r="346">
      <c r="A346" t="inlineStr">
        <is>
          <t>aisi8g</t>
        </is>
      </c>
      <c r="B346" t="inlineStr">
        <is>
          <t>Free and Easy Symptom Recording Tool for Patients</t>
        </is>
      </c>
      <c r="C346" t="inlineStr">
        <is>
          <t xml:space="preserve"> Hi all,   
I am a digital health researcher at UC San Diego working with a group of medical oncologists and computer scientists to develop Sympto, a simple and free tool that cancer patients can use to record and share their symptoms. Sympto uses medically backed grading scales developed by the National Cancer Institute and is HIPAA-compliant, so your data is always secure and never shared with anyone. Symptom recording is incredibly important because it helps improve communication with care teams. Studies have shown that symptoms often go unreported nearly half of the time!  
If you would like early access to our tool and the ability to provide us with valuable feedback to make it better for you, sign up at [https://www.symptohealth.com/](https://www.symptohealth.com/)
&amp;amp;#x200B;
Hope everyone is having a lovely start to 2019! </t>
        </is>
      </c>
      <c r="D346" t="n">
        <v>1</v>
      </c>
      <c r="E346" t="n">
        <v>1</v>
      </c>
      <c r="F346">
        <f>HYPERLINK("https://www.reddit.com/r/cancer/comments/aisi8g/free_and_easy_symptom_recording_tool_for_patients/")</f>
        <v/>
      </c>
      <c r="G346" t="inlineStr">
        <is>
          <t>2019-01-22 14:33:34</t>
        </is>
      </c>
      <c r="H346" t="inlineStr"/>
    </row>
    <row r="347">
      <c r="A347" t="inlineStr">
        <is>
          <t>aitrz0</t>
        </is>
      </c>
      <c r="B347" t="inlineStr">
        <is>
          <t>Dad in remission wont eat.</t>
        </is>
      </c>
      <c r="C347" t="inlineStr">
        <is>
          <t>So my dad is 50 and had stage 4 Hodgkin's lymphoma after 2 years of struggle did a Bone marrow transplant and now fully in remission. But he has continued to fight with different infections and now only weighs 94 lbs. He won’t eat (I think in part due to his severe shaking from medicine and tooth that Dr won’t let him pull) But won’t take any protein shakes or any solid food. Just don’t know what to try or do any suggestions would help.</t>
        </is>
      </c>
      <c r="D347" t="n">
        <v>1</v>
      </c>
      <c r="E347" t="n">
        <v>10</v>
      </c>
      <c r="F347">
        <f>HYPERLINK("https://www.reddit.com/r/cancer/comments/aitrz0/dad_in_remission_wont_eat/")</f>
        <v/>
      </c>
      <c r="G347" t="inlineStr">
        <is>
          <t>2019-01-22 16:38:04</t>
        </is>
      </c>
      <c r="H347" t="inlineStr"/>
    </row>
    <row r="348">
      <c r="A348" t="inlineStr">
        <is>
          <t>aiuc9q</t>
        </is>
      </c>
      <c r="B348" t="inlineStr">
        <is>
          <t>A sigh of deep deep relief.</t>
        </is>
      </c>
      <c r="C348" t="inlineStr">
        <is>
          <t>I posted here about my father's tumor some time ago.. He went through surgery few weeks back. 
It's been determined that it is not a malicious tumor that would fight a war against the body so this is a huge relief for both of us. I'm glad I could read up on experiences of others and thus mentally hope for the best and fear for the worst.  Im giving few details as its 03:35 am, and I'm just about to pass out. Best of luck to all of you strangers.</t>
        </is>
      </c>
      <c r="D348" t="n">
        <v>1</v>
      </c>
      <c r="E348" t="n">
        <v>2</v>
      </c>
      <c r="F348">
        <f>HYPERLINK("https://www.reddit.com/r/cancer/comments/aiuc9q/a_sigh_of_deep_deep_relief/")</f>
        <v/>
      </c>
      <c r="G348" t="inlineStr">
        <is>
          <t>2019-01-22 17:36:05</t>
        </is>
      </c>
      <c r="H348" t="inlineStr"/>
    </row>
    <row r="349">
      <c r="A349" t="inlineStr">
        <is>
          <t>aiuhjc</t>
        </is>
      </c>
      <c r="B349" t="inlineStr">
        <is>
          <t>[FOLLOW UP] Brother has Stage IV Pancreatic Cancer</t>
        </is>
      </c>
      <c r="C349" t="inlineStr">
        <is>
          <t xml:space="preserve">[Original Post](https://www.reddit.com/r/cancer/comments/8nf37b/brother_diagnosed_with_stage_iv_pancreatic_cancer/?st=JR8ISC1Z&amp;amp;sh=5eec8c49)
My brother has gone through 6 rounds of chemo, markers were as low as 70.  Yesterday markers were up to 200.  Luckily, he got elevated to a Senior Advocate that helped him get into Cancer Treatment Center in Chicago.  We are hopeful but realistic. 
I was talking to him today and he basically asked me to make sure his daughter was taken care of and that she would have someone there to walk her down the aisle...  that was not a fun conversation. 
Through this journey we have found out that our family has a genetic mutation in PALB2 which causes elevated risk to Pancreatic cancer.  They don’t know how much of an elevated risk, but enough to push me to get tested. I came back positive for the mutation so I’m getting referred to a high risk specialist. 
Cancer fucking sucks. It drains souls, deprives families of time, and severs connections.  Up yours cancer. 
If anyone has any more knowledge about the PALB2 mutation, I would love to hear it. Especially in relation to its effect on male cancer risks. </t>
        </is>
      </c>
      <c r="D349" t="n">
        <v>1</v>
      </c>
      <c r="E349" t="n">
        <v>0</v>
      </c>
      <c r="F349">
        <f>HYPERLINK("https://www.reddit.com/r/cancer/comments/aiuhjc/follow_up_brother_has_stage_iv_pancreatic_cancer/")</f>
        <v/>
      </c>
      <c r="G349" t="inlineStr">
        <is>
          <t>2019-01-22 17:51:28</t>
        </is>
      </c>
      <c r="H349" t="inlineStr"/>
    </row>
    <row r="350">
      <c r="A350" t="inlineStr">
        <is>
          <t>aiumqi</t>
        </is>
      </c>
      <c r="B350" t="inlineStr">
        <is>
          <t>Just discovered my friend's mom has a cancerous brain tumor. What are some things to say and not say to her?</t>
        </is>
      </c>
      <c r="C350" t="inlineStr">
        <is>
          <t>I'm normally pretty good at knowing what to say to people, and comfort them, but i'm honestly at a loss as to how to comfort her.</t>
        </is>
      </c>
      <c r="D350" t="n">
        <v>1</v>
      </c>
      <c r="E350" t="n">
        <v>3</v>
      </c>
      <c r="F350">
        <f>HYPERLINK("https://www.reddit.com/r/cancer/comments/aiumqi/just_discovered_my_friends_mom_has_a_cancerous/")</f>
        <v/>
      </c>
      <c r="G350" t="inlineStr">
        <is>
          <t>2019-01-22 18:07:04</t>
        </is>
      </c>
      <c r="H350" t="inlineStr"/>
    </row>
    <row r="351">
      <c r="A351" t="inlineStr">
        <is>
          <t>aivk1v</t>
        </is>
      </c>
      <c r="B351" t="inlineStr">
        <is>
          <t>People going through chemo, have you tried Miracle Berry tablets to restore taste?</t>
        </is>
      </c>
      <c r="C351" t="inlineStr">
        <is>
          <t>They make sour things sweet and someone told me it helps chemo patients enjoy food again.  Just wondering if anyone tried it</t>
        </is>
      </c>
      <c r="D351" t="n">
        <v>1</v>
      </c>
      <c r="E351" t="n">
        <v>14</v>
      </c>
      <c r="F351">
        <f>HYPERLINK("https://www.reddit.com/r/cancer/comments/aivk1v/people_going_through_chemo_have_you_tried_miracle/")</f>
        <v/>
      </c>
      <c r="G351" t="inlineStr">
        <is>
          <t>2019-01-22 19:48:51</t>
        </is>
      </c>
      <c r="H351" t="inlineStr"/>
    </row>
    <row r="352">
      <c r="A352" t="inlineStr">
        <is>
          <t>aivu1l</t>
        </is>
      </c>
      <c r="B352" t="inlineStr">
        <is>
          <t>I found out that my mom has blood cancer</t>
        </is>
      </c>
      <c r="C352" t="inlineStr">
        <is>
          <t xml:space="preserve">About a week ago my mom called me and started some small talk. Then she started crying on the phone. My dad had to take the phone and talk to me she was crying so much. It hurt me to hear that. He told me that she hasn't felt good for awhile and they weren't sure what the problem was. That they recently found out she has blood cancer and he figured I should know. Miloprolific Neoplasm or something like that. They took a sample of her marrow and this Friday they are supposed to get the results back and know how bad it is. 
I have been randomly crying over it. In the car, at work, in bed. I try and put on a happy face when I talk or see my parents, I know my mom needs that but I guess I haven't been doing a good enough job of that. I sent my mom flowers the other day and my dad calls me. Asks if I'm ok and wants to make sure I'm handling the news alright that I've seemed down. I say yes I'm fine, then hang up the phone and start crying. 
My dad says he's hoping for good news this weekend. But there can't be any good news. Best case she gets a bit of chemo and finds a matching marrow donor, then is on pills the rest of her life. Worst case she slowly deteriorates while being pumped full of meds and chemo, in pain, losing her hair and energy. Then she is gone in a couple years. 
I don't see how this has any kind of happy ending. I don't know how this is possible. She's 55 and no one in her family has this. </t>
        </is>
      </c>
      <c r="D352" t="n">
        <v>1</v>
      </c>
      <c r="E352" t="n">
        <v>6</v>
      </c>
      <c r="F352">
        <f>HYPERLINK("https://www.reddit.com/r/cancer/comments/aivu1l/i_found_out_that_my_mom_has_blood_cancer/")</f>
        <v/>
      </c>
      <c r="G352" t="inlineStr">
        <is>
          <t>2019-01-22 20:20:58</t>
        </is>
      </c>
      <c r="H352" t="inlineStr"/>
    </row>
    <row r="353">
      <c r="A353" t="inlineStr">
        <is>
          <t>aiwjk7</t>
        </is>
      </c>
      <c r="B353" t="inlineStr">
        <is>
          <t>HELP (important)</t>
        </is>
      </c>
      <c r="C353" t="inlineStr">
        <is>
          <t>hello! so bassicly if you remember about my fever problem but just today i got them, and i have never had them before. They are little red dots on the tounge pretty small all right next to eatchother in a small patch at the top of tounge no were else i have acne and also herpes wich is only in mouth and not sure if that has to do anything i also think i have a weak immune system right now recovering from fever i think, and the bumps dont hurt but the texture is there pictures: [https://imgur.com/a/9Y2FobN](https://imgur.com/a/9Y2FobN)</t>
        </is>
      </c>
      <c r="D353" t="n">
        <v>1</v>
      </c>
      <c r="E353" t="n">
        <v>1</v>
      </c>
      <c r="F353">
        <f>HYPERLINK("https://www.reddit.com/r/cancer/comments/aiwjk7/help_important/")</f>
        <v/>
      </c>
      <c r="G353" t="inlineStr">
        <is>
          <t>2019-01-22 21:46:40</t>
        </is>
      </c>
      <c r="H353" t="inlineStr"/>
    </row>
    <row r="354">
      <c r="A354" t="inlineStr">
        <is>
          <t>aizntt</t>
        </is>
      </c>
      <c r="B354" t="inlineStr">
        <is>
          <t>Are there any experimental trearments for secondary bone cancer?</t>
        </is>
      </c>
      <c r="C354" t="inlineStr">
        <is>
          <t>My dad has secondary bone cancer as a result of prostate cancer. He's receiving hormone injection at the moment and they say he is too old for chemotherapy. 
&amp;amp;#x200B;
Are there any experimental treatments out there that are not necessarily well know of?</t>
        </is>
      </c>
      <c r="D354" t="n">
        <v>1</v>
      </c>
      <c r="E354" t="n">
        <v>3</v>
      </c>
      <c r="F354">
        <f>HYPERLINK("https://www.reddit.com/r/cancer/comments/aizntt/are_there_any_experimental_trearments_for/")</f>
        <v/>
      </c>
      <c r="G354" t="inlineStr">
        <is>
          <t>2019-01-23 05:24:45</t>
        </is>
      </c>
      <c r="H354" t="inlineStr"/>
    </row>
    <row r="355">
      <c r="A355" t="inlineStr">
        <is>
          <t>aj0ooa</t>
        </is>
      </c>
      <c r="B355" t="inlineStr">
        <is>
          <t>Update to my last post</t>
        </is>
      </c>
      <c r="C355" t="inlineStr">
        <is>
          <t xml:space="preserve">Previous post: https://reddit.com/r/cancer/comments/agsab4/fuck_please_dont_let_that_be_true/
I just came back from my checkup and luckily everything is absolutely fine even my tumor marker and liver values which have always been pretty high are completely fine and in norm. The one lymph node that’s always been a little weird turned back to quite normal again too..,
The lump I noticed just disappeared over the last few days and I asked my doctor and she means that those things are quite common to appear under those stretch marks as the skin there is really thing and blood vessels are prone to break under there and create those marks...
I mean I’m quite happy but you should see my mum XD
</t>
        </is>
      </c>
      <c r="D355" t="n">
        <v>1</v>
      </c>
      <c r="E355" t="n">
        <v>0</v>
      </c>
      <c r="F355">
        <f>HYPERLINK("https://www.reddit.com/r/cancer/comments/aj0ooa/update_to_my_last_post/")</f>
        <v/>
      </c>
      <c r="G355" t="inlineStr">
        <is>
          <t>2019-01-23 07:17:20</t>
        </is>
      </c>
      <c r="H355" t="inlineStr"/>
    </row>
    <row r="356">
      <c r="A356" t="inlineStr">
        <is>
          <t>aj0ooc</t>
        </is>
      </c>
      <c r="B356" t="inlineStr">
        <is>
          <t>Update to my last post</t>
        </is>
      </c>
      <c r="C356" t="inlineStr">
        <is>
          <t xml:space="preserve">Previous post: https://reddit.com/r/cancer/comments/agsab4/fuck_please_dont_let_that_be_true/
I just came back from my checkup and luckily everything is absolutely fine even my tumor marker and liver values which have always been pretty high are completely fine and in norm. The one lymph node that’s always been a little weird turned back to quite normal again too..,
The lump I noticed just disappeared over the last few days and I asked my doctor and she means that those things are quite common to appear under those stretch marks as the skin there is really thing and blood vessels are prone to break under there and create those marks...
I mean I’m quite happy but you should see my mum XD
</t>
        </is>
      </c>
      <c r="D356" t="n">
        <v>1</v>
      </c>
      <c r="E356" t="n">
        <v>0</v>
      </c>
      <c r="F356">
        <f>HYPERLINK("https://www.reddit.com/r/cancer/comments/aj0ooc/update_to_my_last_post/")</f>
        <v/>
      </c>
      <c r="G356" t="inlineStr">
        <is>
          <t>2019-01-23 07:17:20</t>
        </is>
      </c>
      <c r="H356" t="inlineStr"/>
    </row>
    <row r="357">
      <c r="A357" t="inlineStr">
        <is>
          <t>aj0vuh</t>
        </is>
      </c>
      <c r="B357" t="inlineStr">
        <is>
          <t>Question about MPNST disgnosis</t>
        </is>
      </c>
      <c r="C357" t="inlineStr">
        <is>
          <t>Hey guys,
&amp;amp;#x200B;
Here's the back-story: Dad had an MRI done for something unrelated. A hyperintensity was seen in T2 imaging at 1.3 x .9 in size in distal area of intervertebral foramen of c3 &amp;amp; c4. Ovoid shape. Getting more imaging done next Tuesday, but does this sound typical of a Malignant peripheral nerve sheath tumor?</t>
        </is>
      </c>
      <c r="D357" t="n">
        <v>1</v>
      </c>
      <c r="E357" t="n">
        <v>4</v>
      </c>
      <c r="F357">
        <f>HYPERLINK("https://www.reddit.com/r/cancer/comments/aj0vuh/question_about_mpnst_disgnosis/")</f>
        <v/>
      </c>
      <c r="G357" t="inlineStr">
        <is>
          <t>2019-01-23 07:37:27</t>
        </is>
      </c>
      <c r="H357" t="inlineStr"/>
    </row>
    <row r="358">
      <c r="A358" t="inlineStr">
        <is>
          <t>aj1djf</t>
        </is>
      </c>
      <c r="B358" t="inlineStr">
        <is>
          <t>Permanent Hair Damage from Chemo</t>
        </is>
      </c>
      <c r="C358" t="inlineStr">
        <is>
          <t>Ok, quick question with a bit of context.  I finished chemo treatment for Non-Hodgkins Lymphoma in April of last year.  My hair grew back pretty quickly, but I’m beginning to notice some thinning and drier, weaker hairs.  Does anyone know if chemo can cause long term hair damage?  Not vain, I’d probably look better bald anyways.  Just curious if it’s the chemo or if I’m just getting old.  I’m 30, male and this was my second occurrence of lymphoma.</t>
        </is>
      </c>
      <c r="D358" t="n">
        <v>1</v>
      </c>
      <c r="E358" t="n">
        <v>8</v>
      </c>
      <c r="F358">
        <f>HYPERLINK("https://www.reddit.com/r/cancer/comments/aj1djf/permanent_hair_damage_from_chemo/")</f>
        <v/>
      </c>
      <c r="G358" t="inlineStr">
        <is>
          <t>2019-01-23 08:23:43</t>
        </is>
      </c>
      <c r="H358" t="inlineStr"/>
    </row>
    <row r="359">
      <c r="A359" t="inlineStr">
        <is>
          <t>aj1dwk</t>
        </is>
      </c>
      <c r="B359" t="inlineStr">
        <is>
          <t>Chemo ports and finishing treatment</t>
        </is>
      </c>
      <c r="C359" t="inlineStr">
        <is>
          <t xml:space="preserve">Hi all, 29F here, ovarian/uterine cancer dx. My last day of chemo is today and I’m wondering, for those of you who have finished chemo, did you keep your port? Did you get it taken out right away or did you wait? Has anyone had to get one put back in and if so, was there any problem?
I’m not sure what to do with mine... obviously I’m blessed to be reaching the end of treatment, I have a good prognosis so God willing the cancer won’t come back... My gyn oncologist said he wanted me to keep it for two years. Normally I’m not one to go against dr advice, I just want the thing out!!! </t>
        </is>
      </c>
      <c r="D359" t="n">
        <v>1</v>
      </c>
      <c r="E359" t="n">
        <v>30</v>
      </c>
      <c r="F359">
        <f>HYPERLINK("https://www.reddit.com/r/cancer/comments/aj1dwk/chemo_ports_and_finishing_treatment/")</f>
        <v/>
      </c>
      <c r="G359" t="inlineStr">
        <is>
          <t>2019-01-23 08:24:37</t>
        </is>
      </c>
      <c r="H359" t="inlineStr"/>
    </row>
    <row r="360">
      <c r="A360" t="inlineStr">
        <is>
          <t>aj1lzc</t>
        </is>
      </c>
      <c r="B360" t="inlineStr">
        <is>
          <t>I have undifferentiated thyroid cancer. When it rains, it pours.</t>
        </is>
      </c>
      <c r="C360" t="inlineStr">
        <is>
          <t>My last post in this thread talked about papillary carcinoma and how i was diagnosed. Well. I had a thyroidectomy. They examined the thyroid and rediagnosed it anaplastic thyroid cancer. 
I have no words. my family is crying. Im crying, shaking, and i feel cold. The outlook is bad. There is a one in five chance i will live past a year. Im only 17. 
Sometimes im afraid of death. Other times im not. Right now im really scared.</t>
        </is>
      </c>
      <c r="D360" t="n">
        <v>1</v>
      </c>
      <c r="E360" t="n">
        <v>37</v>
      </c>
      <c r="F360">
        <f>HYPERLINK("https://www.reddit.com/r/cancer/comments/aj1lzc/i_have_undifferentiated_thyroid_cancer_when_it/")</f>
        <v/>
      </c>
      <c r="G360" t="inlineStr">
        <is>
          <t>2019-01-23 08:44:28</t>
        </is>
      </c>
      <c r="H360" t="inlineStr"/>
    </row>
    <row r="361">
      <c r="A361" t="inlineStr">
        <is>
          <t>aj285y</t>
        </is>
      </c>
      <c r="B361" t="inlineStr">
        <is>
          <t>I lost my mother last night</t>
        </is>
      </c>
      <c r="C361" t="inlineStr">
        <is>
          <t xml:space="preserve">59 years old, three children and one grandchild. She had Stage IV colorectal. She died as a result of complications from a surgery to remove a mass. She went into sepsis over two days and we all said our goodbyes as they stopped life support.
I don't know what to say, and it's all so fresh. I want you all to know that I'm pulling for each one of you so you or your loved ones can beat cancer, even if mine could not. We're all in this together. 
Her name was Linda, and I'll miss her so, so much. </t>
        </is>
      </c>
      <c r="D361" t="n">
        <v>1</v>
      </c>
      <c r="E361" t="n">
        <v>10</v>
      </c>
      <c r="F361">
        <f>HYPERLINK("https://www.reddit.com/r/cancer/comments/aj285y/i_lost_my_mother_last_night/")</f>
        <v/>
      </c>
      <c r="G361" t="inlineStr">
        <is>
          <t>2019-01-23 09:40:38</t>
        </is>
      </c>
      <c r="H361" t="inlineStr"/>
    </row>
    <row r="362">
      <c r="A362" t="inlineStr">
        <is>
          <t>aj2gd1</t>
        </is>
      </c>
      <c r="B362" t="inlineStr">
        <is>
          <t>Interesting blog post from Cancer Survivor</t>
        </is>
      </c>
      <c r="C362" t="inlineStr">
        <is>
          <t>Mother's friend is going through some awful late stage cancer and came across this post. Did some research on anthelmitics and the reports are pretty staggering. Good read for any who knows someone with cancer and their options are running out. We may give this a try.</t>
        </is>
      </c>
      <c r="D362" t="n">
        <v>1</v>
      </c>
      <c r="E362" t="n">
        <v>0</v>
      </c>
      <c r="F362">
        <f>HYPERLINK("https://www.reddit.com/r/cancer/comments/aj2gd1/interesting_blog_post_from_cancer_survivor/")</f>
        <v/>
      </c>
      <c r="G362" t="inlineStr">
        <is>
          <t>2019-01-23 10:01:03</t>
        </is>
      </c>
      <c r="H362" t="inlineStr"/>
    </row>
    <row r="363">
      <c r="A363" t="inlineStr">
        <is>
          <t>aj3kd7</t>
        </is>
      </c>
      <c r="B363" t="inlineStr">
        <is>
          <t>Second Time Around the Block</t>
        </is>
      </c>
      <c r="C363" t="inlineStr">
        <is>
          <t>Long story short, 11 years ago right before I turned 18 I was diagnosed with testicular cancer. I had my left testicle removed, did a few rounds of chemo and everything seemed good. 
Fast forward to yesterday (I'm 29 now) 2 tumors were found on my remaining testicle. It will have to be removed on fri (I'm in some significant pain from it. It feels as if it's being squeezed a little to hard constantly, and the pain radiates up and down my right side) by the same surgeon who did it before. I assume that events will play out in a similar way, especially since this is the 2nd time. The only certainty at this moment is it has to be removed and I'll need testosterone therapy (since they will both be gone).
Anyway, I need help with helping my wife through this. For me, this already happened, I've done it all before. Sure I'm not happy about it, but im not mad, sad, or upset, idk. I made peace years ago with the situation and the possibility I wouldnt be able to have children or that it could come back. 
Thankfully 6 months ago she gave birth to a healthy boy. So though we will be unable to have another child naturally (without freezing some sperm) we have the 1, which i am thankful for. 
Back on topic, she is having a real hard time digesting all this. How can I help her? I think she wants me to he more upset then I am so we can share in our feelings. I understand that, but I cant be sad, mad, or depressed. I learned long ago that positivity is key to making it through this. 
Am I being insensitive? I process things as they come, and I believe that I can't change things past or present and should deal with them step at a time. 
What can I do? Any advice would be helpful.</t>
        </is>
      </c>
      <c r="D363" t="n">
        <v>1</v>
      </c>
      <c r="E363" t="n">
        <v>4</v>
      </c>
      <c r="F363">
        <f>HYPERLINK("https://www.reddit.com/r/cancer/comments/aj3kd7/second_time_around_the_block/")</f>
        <v/>
      </c>
      <c r="G363" t="inlineStr">
        <is>
          <t>2019-01-23 11:41:10</t>
        </is>
      </c>
      <c r="H363" t="inlineStr"/>
    </row>
    <row r="364">
      <c r="A364" t="inlineStr">
        <is>
          <t>aj3mcx</t>
        </is>
      </c>
      <c r="B364" t="inlineStr">
        <is>
          <t>I am having a hard time</t>
        </is>
      </c>
      <c r="C364" t="inlineStr">
        <is>
          <t xml:space="preserve">35 years old one child. Not on any birth control and taking meds for anxiety. I found out about 7 years ago that I had high and low risk hpv. Went back for a pap and had abnormal cells. Went again and my pap was normal. Was told since it was normal I wouldn’t need another pap for 5 years. Well of course it’s been longer than 5 years and I’ve been too afraid to go back for one and now I’m having mild pelvic pains. My periods are normal and no irregular bleeding but this pain is leading me to believe it may be something bad. The pain is mainly on the left lower side but I can sometimes feel it on the right. Like ovary area. Please don’t bash me for not having my pap. I already feel like a moron. I do have an appointment at planned parenthood in a week. I’m beyond scared like shaking scared. I don’t want to have cervical cancer and I hope this pain isn’t due to that. If everything is ok I vow on my life to always keep up with my check ups. I guess my question is has anyone ever dealt with cervical cancer? What were your symptoms? </t>
        </is>
      </c>
      <c r="D364" t="n">
        <v>1</v>
      </c>
      <c r="E364" t="n">
        <v>20</v>
      </c>
      <c r="F364">
        <f>HYPERLINK("https://www.reddit.com/r/cancer/comments/aj3mcx/i_am_having_a_hard_time/")</f>
        <v/>
      </c>
      <c r="G364" t="inlineStr">
        <is>
          <t>2019-01-23 11:46:09</t>
        </is>
      </c>
      <c r="H364" t="inlineStr"/>
    </row>
    <row r="365">
      <c r="A365" t="inlineStr">
        <is>
          <t>aj3o94</t>
        </is>
      </c>
      <c r="B365" t="inlineStr">
        <is>
          <t>when does it stop?</t>
        </is>
      </c>
      <c r="C365" t="inlineStr">
        <is>
          <t>i have been cancer free for several years now, i was lucky enough for my cancer to be removed early on.
&amp;amp;#x200B;
it's been 4 years now and i still have to go every 6 months for CT scans and blood work, i', just wondering when i won't have to any more as the possibility of the cancer returning is extremely low</t>
        </is>
      </c>
      <c r="D365" t="n">
        <v>1</v>
      </c>
      <c r="E365" t="n">
        <v>4</v>
      </c>
      <c r="F365">
        <f>HYPERLINK("https://www.reddit.com/r/cancer/comments/aj3o94/when_does_it_stop/")</f>
        <v/>
      </c>
      <c r="G365" t="inlineStr">
        <is>
          <t>2019-01-23 11:50:48</t>
        </is>
      </c>
      <c r="H365" t="inlineStr"/>
    </row>
    <row r="366">
      <c r="A366" t="inlineStr">
        <is>
          <t>aj4u3o</t>
        </is>
      </c>
      <c r="B366" t="inlineStr">
        <is>
          <t>Squamous Cell Carcinoma</t>
        </is>
      </c>
      <c r="C366" t="inlineStr">
        <is>
          <t xml:space="preserve">My mother was diagnosed with squamous cell carcinoma early last year. She's had three surgeries to remove tumors from her tongue and neck. She just finished proton radiation therapy right before Christmas but it appears that the cancer has returned. She still hasn't full recovered from the radiation therapy and is having trouble eating due to her throat hurting and being swollen. The prognosis isn't great, but she is going to try some imunotherapy treatments and see what that does. 
&amp;amp;#x200B;
I wanted to see if anybody had resources that we could use for blender ready meals/smoothies that would be nutritious and relatively easy to make? Any suggestions for food for her are welcome. </t>
        </is>
      </c>
      <c r="D366" t="n">
        <v>1</v>
      </c>
      <c r="E366" t="n">
        <v>3</v>
      </c>
      <c r="F366">
        <f>HYPERLINK("https://www.reddit.com/r/cancer/comments/aj4u3o/squamous_cell_carcinoma/")</f>
        <v/>
      </c>
      <c r="G366" t="inlineStr">
        <is>
          <t>2019-01-23 13:36:12</t>
        </is>
      </c>
      <c r="H366" t="inlineStr"/>
    </row>
    <row r="367">
      <c r="A367" t="inlineStr">
        <is>
          <t>aj5h86</t>
        </is>
      </c>
      <c r="B367" t="inlineStr">
        <is>
          <t>Antibody treatment for Stage IVa Non Hodgkins Lymphoma.</t>
        </is>
      </c>
      <c r="C367" t="inlineStr">
        <is>
          <t>My mom is 66 and was just diagnosed with Stage 4 Non-Hodgkins Lymphoma. She's starting IV antibody treatment next Wednesday, and I have never heard of that. I remember her going through Chemo when she had Breast Cancer 16 year ago, and it was terrible to see her go through that. 
&amp;amp;#x200B;
I'm just looking for any information anyone can provide about Antibody treatment.. What I should expect as a supporter and caregiver?</t>
        </is>
      </c>
      <c r="D367" t="n">
        <v>1</v>
      </c>
      <c r="E367" t="n">
        <v>20</v>
      </c>
      <c r="F367">
        <f>HYPERLINK("https://www.reddit.com/r/cancer/comments/aj5h86/antibody_treatment_for_stage_iva_non_hodgkins/")</f>
        <v/>
      </c>
      <c r="G367" t="inlineStr">
        <is>
          <t>2019-01-23 14:35:49</t>
        </is>
      </c>
      <c r="H367" t="inlineStr"/>
    </row>
    <row r="368">
      <c r="A368" t="inlineStr">
        <is>
          <t>aj5yos</t>
        </is>
      </c>
      <c r="B368" t="inlineStr">
        <is>
          <t>Dana Farber Tips</t>
        </is>
      </c>
      <c r="C368" t="inlineStr">
        <is>
          <t>I posted over in /r/cancercaregivers too, but does anyone have tips regarding Dana Farber? We're going there next week for a consultation. Best place to grab food afterward? General reviews? Anything else helpful?</t>
        </is>
      </c>
      <c r="D368" t="n">
        <v>1</v>
      </c>
      <c r="E368" t="n">
        <v>2</v>
      </c>
      <c r="F368">
        <f>HYPERLINK("https://www.reddit.com/r/cancer/comments/aj5yos/dana_farber_tips/")</f>
        <v/>
      </c>
      <c r="G368" t="inlineStr">
        <is>
          <t>2019-01-23 15:23:01</t>
        </is>
      </c>
      <c r="H368" t="inlineStr"/>
    </row>
    <row r="369">
      <c r="A369" t="inlineStr">
        <is>
          <t>aj61sj</t>
        </is>
      </c>
      <c r="B369" t="inlineStr">
        <is>
          <t>What can we do?</t>
        </is>
      </c>
      <c r="C369" t="inlineStr">
        <is>
          <t xml:space="preserve">Hey everyone. Been lurking in this sub for a little bit. My heart goes out to everyone here, I am really moved to tears by this sub. 
My friend, 28 yrs old who is like a sister to me, has been diagnosed with stage 4 lymphoma that has gone into her lungs. I realize this is treatable, but she has a lot of other issues going on right now in her family life.
My friend and I just want to be there for our sister right now.
- are gifts a good idea? Like a basket of snacks, etc? Or do too many gifts make people feel more sick/hopeless? 
- are there any things that aren't worth talking or asking about? I think I want to know what I SHOULDN'T say to make it worse.
- both of us are dealing with a bit of guilt...like why does she have to go through all this bullshit and we don't? 
- How can we help her shoulder this burden? 
-is there a way that we can kindly say she should get some counselling for this? Because she has had some other traumas and this is the last straw for her.. ...
And today i just...feel like a loser. We found out last night and I thought I could be strong right away for her, but I can't stop crying, feeling angry, and feeling depressed for her situation. I need to stop so I don't scare her more :( 
Any experiences and opinions would greatly help. 
Thank you so much, bless all of you 🙏❤️ 
</t>
        </is>
      </c>
      <c r="D369" t="n">
        <v>1</v>
      </c>
      <c r="E369" t="n">
        <v>11</v>
      </c>
      <c r="F369">
        <f>HYPERLINK("https://www.reddit.com/r/cancer/comments/aj61sj/what_can_we_do/")</f>
        <v/>
      </c>
      <c r="G369" t="inlineStr">
        <is>
          <t>2019-01-23 15:32:01</t>
        </is>
      </c>
      <c r="H369" t="inlineStr"/>
    </row>
    <row r="370">
      <c r="A370" t="inlineStr">
        <is>
          <t>aj6dtw</t>
        </is>
      </c>
      <c r="B370" t="inlineStr">
        <is>
          <t>Can I ask if anyone knows which trial this is, or will be?</t>
        </is>
      </c>
      <c r="C370" t="inlineStr">
        <is>
          <t xml:space="preserve">New poster here with multiple family (and extended) members afflicted. 
We've seen this story below and wondering how we can find out more or track it for a trial. 
https://trialx.com/curetalk/2018/07/26/human-trials-for-cancer-vaccine-stanford-taking-it-to-the-next-level/
I read the sub rules twice and believe I've behaved, but please let me know if I've slipped-up. </t>
        </is>
      </c>
      <c r="D370" t="n">
        <v>1</v>
      </c>
      <c r="E370" t="n">
        <v>2</v>
      </c>
      <c r="F370">
        <f>HYPERLINK("https://www.reddit.com/r/cancer/comments/aj6dtw/can_i_ask_if_anyone_knows_which_trial_this_is_or/")</f>
        <v/>
      </c>
      <c r="G370" t="inlineStr">
        <is>
          <t>2019-01-23 16:07:58</t>
        </is>
      </c>
      <c r="H370" t="inlineStr"/>
    </row>
    <row r="371">
      <c r="A371" t="inlineStr">
        <is>
          <t>aj7j0r</t>
        </is>
      </c>
      <c r="B371" t="inlineStr">
        <is>
          <t>Walking away</t>
        </is>
      </c>
      <c r="C371" t="inlineStr">
        <is>
          <t xml:space="preserve">I’m sorry for the poor timing. I’ve started my new treatment, and it’s been stressful to say the least. I’ve put much of that upon myself no doubt. Also, when you’re suffering through cancer, so do your loved ones. They also feel all sorts of stresses. This leads me to what’s going on...
I was planning on setting up an AMA about my current clinical trial, but also to discuss 5+ years of going through a plethora of treatments and tests and all sorts of mean nasty things. The support I got when I simply fished out for interest was incredibly supportive and welcoming. Thank you all so much for the kind words. While I appreciate all of you, you’re all strangers and don’t have to be here day in and day out. 
To boil it all down, I’m at a bit of crossroads here. My wife took offense during an argument and now refuses to have any part of any of my health treatments moving forward. Without getting into the details, I may have been right about what I wanted to say, but I did not control my temper and I just unleashed a ton of bottled up frustrations. It was a shitty thing to do regardless of how angry or hurt I was. I’ve apologized profusely, and I mean it. I’m not proud of the fact that I let everything get to me and I took it out on my partner. She did neither enjoyed being yelled at, nor was she a fan of how I felt about certain things. When the dust settled, I was left with a choice. Can I keep going?
I’m on disability. I relay on my wife for transportation, and assistance with my medications. She is now refusing to do anything. 
I may have to end all treatments. The only way I can keep in the trial is if I can hold onto their schedule, and now I just can’t. 
I also don’t have any access to any other treatments now. So.... yeah that’s where I am. 
I’m so sorry for anyone who was hoping for some good Q&amp;amp;A. I was hoping to maybe find other people out there like me if I’m going to be honest/selfish about it. 
If nothing else, let this be a lesson to anyone who has a caregiver. JUST FUCKING TAKE IT. it doesn’t matter how hurt your feelings are, or how right you might be. Just keep your mouth shut. Once you open that can of worms... you just don’t want to be putting yourself in a position where you’re gonna die because you hurt your wife’s feelings. I don’t know if I’ll be very active here for the next few days. I’m wresting with what to do and what I even can do. I’m pretty sure I’m about to slowly die and I’m gonna take some time to think about this now. 
So... yeah
</t>
        </is>
      </c>
      <c r="D371" t="n">
        <v>1</v>
      </c>
      <c r="E371" t="n">
        <v>15</v>
      </c>
      <c r="F371">
        <f>HYPERLINK("https://www.reddit.com/r/cancer/comments/aj7j0r/walking_away/")</f>
        <v/>
      </c>
      <c r="G371" t="inlineStr">
        <is>
          <t>2019-01-23 18:10:04</t>
        </is>
      </c>
      <c r="H371" t="inlineStr"/>
    </row>
    <row r="372">
      <c r="A372" t="inlineStr">
        <is>
          <t>aj8slz</t>
        </is>
      </c>
      <c r="B372" t="inlineStr">
        <is>
          <t>Splitting treatment between two establishments?</t>
        </is>
      </c>
      <c r="C372" t="inlineStr">
        <is>
          <t>For example, can MD Anderson make a game plan, perform the surgery, and in general be the masterminds while a local hospital administers the chemo? I really don't want to spend many months in Houston if the treatments fail and I go terminal.</t>
        </is>
      </c>
      <c r="D372" t="n">
        <v>1</v>
      </c>
      <c r="E372" t="n">
        <v>10</v>
      </c>
      <c r="F372">
        <f>HYPERLINK("https://www.reddit.com/r/cancer/comments/aj8slz/splitting_treatment_between_two_establishments/")</f>
        <v/>
      </c>
      <c r="G372" t="inlineStr">
        <is>
          <t>2019-01-23 20:36:32</t>
        </is>
      </c>
      <c r="H372" t="inlineStr"/>
    </row>
    <row r="373">
      <c r="A373" t="inlineStr">
        <is>
          <t>aj8wth</t>
        </is>
      </c>
      <c r="B373" t="inlineStr">
        <is>
          <t>Anybody diagnosed with Leukemia (ALL Ph+) and taking the clinical drug Ponatinib or the FDA approved version called Dasatinib? And if you are, can you smoke, is your state legal and can a hospital kick you out if you live in an illegal state like Texas?</t>
        </is>
      </c>
      <c r="C373" t="inlineStr">
        <is>
          <t xml:space="preserve">I was recently diagnosed last month with ALL Ph+ last month and just went into remission but I’m still doing my treatments until August at MD Anderson in Houston, TX.  My doctors recommended that I go on a clinical trial with this new drug to fight the Ph+ part of my cancer, it’s called Ponatinib and it’s crazy expensive but luckily I’m getting covered through the hospital.  I was told I wouldn’t be able to smoke or ingest anything with THC/CBD because it affects the pill which is crazy because I thought having cancer would give me a free weed card from taking THC/CBD without repercussions.  It’s not like I can’t live without THC/CBD it’s been a while since I stopped but this is news to me, anybody else on the same situation? </t>
        </is>
      </c>
      <c r="D373" t="n">
        <v>1</v>
      </c>
      <c r="E373" t="n">
        <v>3</v>
      </c>
      <c r="F373">
        <f>HYPERLINK("https://www.reddit.com/r/cancer/comments/aj8wth/anybody_diagnosed_with_leukemia_all_ph_and_taking/")</f>
        <v/>
      </c>
      <c r="G373" t="inlineStr">
        <is>
          <t>2019-01-23 20:50:59</t>
        </is>
      </c>
      <c r="H373" t="inlineStr"/>
    </row>
    <row r="374">
      <c r="A374" t="inlineStr">
        <is>
          <t>ajcga6</t>
        </is>
      </c>
      <c r="B374" t="inlineStr">
        <is>
          <t>Good morning all! I'm feeling a bit wiley this morning, and have decided there is not nearly enough swearing in this sub. So with that being said....</t>
        </is>
      </c>
      <c r="C374" t="inlineStr">
        <is>
          <t xml:space="preserve">**FUCK YOU CANCER! FUCK EVERY. SINGLE. THING. ABOUT IT!**
That it all.
</t>
        </is>
      </c>
      <c r="D374" t="n">
        <v>1</v>
      </c>
      <c r="E374" t="n">
        <v>53</v>
      </c>
      <c r="F374">
        <f>HYPERLINK("https://www.reddit.com/r/cancer/comments/ajcga6/good_morning_all_im_feeling_a_bit_wiley_this/")</f>
        <v/>
      </c>
      <c r="G374" t="inlineStr">
        <is>
          <t>2019-01-24 05:34:05</t>
        </is>
      </c>
      <c r="H374" t="inlineStr"/>
    </row>
    <row r="375">
      <c r="A375" t="inlineStr">
        <is>
          <t>ajcwol</t>
        </is>
      </c>
      <c r="B375" t="inlineStr">
        <is>
          <t>How do you measure blood pressure after you has double mastectomy ?</t>
        </is>
      </c>
      <c r="C375" t="inlineStr">
        <is>
          <t xml:space="preserve">I had both breasts removed and since that I’ve been told I am not allowed to take my blood pressure on my arms. My question where can I take my blood pressure cause on my leg it always comes out high and I don’t have any blood pressure problems. </t>
        </is>
      </c>
      <c r="D375" t="n">
        <v>1</v>
      </c>
      <c r="E375" t="n">
        <v>6</v>
      </c>
      <c r="F375">
        <f>HYPERLINK("https://www.reddit.com/r/cancer/comments/ajcwol/how_do_you_measure_blood_pressure_after_you_has/")</f>
        <v/>
      </c>
      <c r="G375" t="inlineStr">
        <is>
          <t>2019-01-24 06:25:30</t>
        </is>
      </c>
      <c r="H375" t="inlineStr"/>
    </row>
    <row r="376">
      <c r="A376" t="inlineStr">
        <is>
          <t>ajcymx</t>
        </is>
      </c>
      <c r="B376" t="inlineStr">
        <is>
          <t>Has anyone dealt with an ileus with ovarian cancer?</t>
        </is>
      </c>
      <c r="C376" t="inlineStr">
        <is>
          <t>Mom is currently hospitalized for an ileus and low blood pressure and has ovarian cancer. They aren’t sure as of right now what is causing the ileus. Just wondering if anyone has had or dealt with this obstacle. She is currently being treated for a stap aureus she contracted from an infected port. Any help or insight is greatly appreciated.</t>
        </is>
      </c>
      <c r="D376" t="n">
        <v>1</v>
      </c>
      <c r="E376" t="n">
        <v>0</v>
      </c>
      <c r="F376">
        <f>HYPERLINK("https://www.reddit.com/r/cancer/comments/ajcymx/has_anyone_dealt_with_an_ileus_with_ovarian_cancer/")</f>
        <v/>
      </c>
      <c r="G376" t="inlineStr">
        <is>
          <t>2019-01-24 06:31:30</t>
        </is>
      </c>
      <c r="H376" t="inlineStr"/>
    </row>
    <row r="377">
      <c r="A377" t="inlineStr">
        <is>
          <t>ajd0hu</t>
        </is>
      </c>
      <c r="B377" t="inlineStr">
        <is>
          <t>SHARING HOPE X3 &amp;amp; KICK-N SOME CANCER ASS!</t>
        </is>
      </c>
      <c r="C377" t="inlineStr">
        <is>
          <t>hello all my Warriors, Survivors and Caregivers. i haven't posted in a while, been busy  building our dream house in the mountains. just want to share some good news with yall, so here it is!
&amp;amp;#x200B;
my fiance (stage 4 bladder w/mets) got her 3rd post chemo follow up and xgeva shot yesterday. her doctor was very happy with her labs, she continues to defy the odds. i was so happy yesterday, i stopped and picked her up some flowers! it's been almost a year since she was diagnosed and told she had 2 years +/-. 
&amp;amp;#x200B;
my nephew (Burkitt lymphoma)  final got to go home after a 2 month stay at children's hospital in aurora co. talked to my brother yesterday, said the tumor in my nephews stomach has been reduced to nothing. little fellow has had a hard time with his chemo, labs all over the place. final things are looking up for my brothers family!
&amp;amp;#x200B;
one of my good friends wife (breast cancer) got her double mastectomy and reconstruction surgery yesterday. surgery was successful and she's doing well. 
&amp;amp;#x200B;
thank you all for being here for me, REALLY... THANK YOU!
what have you taught me. love, forgive and DO NOT take 1 day for granted!
&amp;amp;#x200B;
oh, i forgot one other thing... FUCK CANCER!!!</t>
        </is>
      </c>
      <c r="D377" t="n">
        <v>1</v>
      </c>
      <c r="E377" t="n">
        <v>5</v>
      </c>
      <c r="F377">
        <f>HYPERLINK("https://www.reddit.com/r/cancer/comments/ajd0hu/sharing_hope_x3_kickn_some_cancer_ass/")</f>
        <v/>
      </c>
      <c r="G377" t="inlineStr">
        <is>
          <t>2019-01-24 06:37:22</t>
        </is>
      </c>
      <c r="H377" t="inlineStr"/>
    </row>
    <row r="378">
      <c r="A378" t="inlineStr">
        <is>
          <t>ajdlxx</t>
        </is>
      </c>
      <c r="B378" t="inlineStr">
        <is>
          <t>A poem about my most recent hospital stay.</t>
        </is>
      </c>
      <c r="C378" t="inlineStr">
        <is>
          <t xml:space="preserve">The old woman got laxatives to help with her poo...
How could I have known it would end up in my shoe?
She scurried across the room, gown wide open and flapping,
I could see from my bed, what was about to happen.
She tried to reach the bathroom, but wasnt quick enough,
The brown goo fell into my shoe, straight from her duff.
When the smell hit me, it was like a punch to the face,
I tried to be sympathetic, but it was more than I could take.
Her daughter grabbed a wet wipe and started to clean the floor,
I knew that wouldnt work on shoes, and that they would be no more.
She wiped it off and said "good as new!"
"Who are you kidding lady?! I cant wear that shoe!"
So now I sit here, no shoes, in bare feet.
All because my roommate pooped in her sheets.
The moral of this story, so you'll too know what to do,
In the hospital, don't mix roommates on laxatives, and expensive saddle shoes.
</t>
        </is>
      </c>
      <c r="D378" t="n">
        <v>1</v>
      </c>
      <c r="E378" t="n">
        <v>2</v>
      </c>
      <c r="F378">
        <f>HYPERLINK("https://www.reddit.com/r/cancer/comments/ajdlxx/a_poem_about_my_most_recent_hospital_stay/")</f>
        <v/>
      </c>
      <c r="G378" t="inlineStr">
        <is>
          <t>2019-01-24 07:39:25</t>
        </is>
      </c>
      <c r="H378" t="inlineStr"/>
    </row>
    <row r="379">
      <c r="A379" t="inlineStr">
        <is>
          <t>ajdntu</t>
        </is>
      </c>
      <c r="B379" t="inlineStr">
        <is>
          <t>My father has liver cancer. I don’t know what to expect</t>
        </is>
      </c>
      <c r="C379" t="inlineStr">
        <is>
          <t xml:space="preserve">So my father has liver cancer. Most likely the result of severe alcoholism for many years. He’s always has a minor liver cirrhosis but after his condition worsened over the last few days, the investigations requested by the doctors all confirm malignancy.
From what I understand, it hasn’t affected other organs yet but I also know that the liver is a dangerous organ to grow cancerous; due to its dependency on other organs. We’re going to a specialist tomorrow. He already has grown quite week, he has jaundice and his blood sugar has been dropping (he is a diabetic). 
I’ve never experienced any cancer in my family before. I don’t know what to expect. Is treatment normally effective for liver cancer? Will surgery or chemo help? What should I be expecting? 
</t>
        </is>
      </c>
      <c r="D379" t="n">
        <v>1</v>
      </c>
      <c r="E379" t="n">
        <v>7</v>
      </c>
      <c r="F379">
        <f>HYPERLINK("https://www.reddit.com/r/cancer/comments/ajdntu/my_father_has_liver_cancer_i_dont_know_what_to/")</f>
        <v/>
      </c>
      <c r="G379" t="inlineStr">
        <is>
          <t>2019-01-24 07:44:33</t>
        </is>
      </c>
      <c r="H379" t="inlineStr"/>
    </row>
    <row r="380">
      <c r="A380" t="inlineStr">
        <is>
          <t>ajekxa</t>
        </is>
      </c>
      <c r="B380" t="inlineStr">
        <is>
          <t>I'm gonna have a really awful today tomorrow.</t>
        </is>
      </c>
      <c r="C380" t="inlineStr">
        <is>
          <t xml:space="preserve">Tomorrow morning (bright and early, yay) I have a meeting with my doctors. This meeting is going to discuss how my "light chemo" isn't working and they want to put me on the hard shit which will confine me to bed and make my hair fall out and make me miserable. This meeting is going to discuss the very severe surgery they want me to undertake, after which my life will look radically different because they're going to want to cut out some pretty important body parts. I want to live but given that my cancer is incurable and this phase in my life will not ever end, I'm on the fence about what I'm willing to give up in exchange for more time. Either way, my day tomorrow is going to suck and after that really shitty meeting the plan is to go out drinking with my friends who I rarely get to see because we all live in different places. I really want to have a good time with them. I don't think I'm a fan of living like a sick, weak person who can't do anything anymore. </t>
        </is>
      </c>
      <c r="D380" t="n">
        <v>1</v>
      </c>
      <c r="E380" t="n">
        <v>14</v>
      </c>
      <c r="F380">
        <f>HYPERLINK("https://www.reddit.com/r/cancer/comments/ajekxa/im_gonna_have_a_really_awful_today_tomorrow/")</f>
        <v/>
      </c>
      <c r="G380" t="inlineStr">
        <is>
          <t>2019-01-24 09:12:13</t>
        </is>
      </c>
      <c r="H380" t="inlineStr"/>
    </row>
    <row r="381">
      <c r="A381" t="inlineStr">
        <is>
          <t>ajexnz</t>
        </is>
      </c>
      <c r="B381" t="inlineStr">
        <is>
          <t>Do you guys think my dad will come home or is this it for him?</t>
        </is>
      </c>
      <c r="C381" t="inlineStr">
        <is>
          <t xml:space="preserve">He’s currently in ICU. He has stage 3 multiple myeloma.
-his face is sunken in (you can literally see his cheek bones)
-his lips and mouth are always dry he’s constantly asking for water or something to drink. I think he wants to eat also but the hospital isn’t letting him.
-his voice has changed completely. He can talk, but his voice is very weak and tired.
-he’s super skinny. I’m skinny and he’s actually smaller than me.
-the nurse told us he has the flu
-sometimes he says “off and weird” things but so far his memory is still here. He remembers everyone’s name and who we are.
-he can’t go to the bathroom on his own. He has tubes so he can go number 1 and 2.
While he is “alert and somewhat normal” I don’t feel like he’s coming back home.
My mom said he is but I’m not sure if she’s in denial or what. Even if he does come home we wouldn’t be able to take care of his needs.
My mom told me once he gets better, he has to transfer to another hospital for chemo but I don’t even know if that will happen. He’s already weak wouldn’t the chemo make him even weaker?
Based off this how long do you think he has to live? He’s holding on and doing the best he can but I’m worried and stressed. My mom and I don’t even have money for rent and bills anymore. </t>
        </is>
      </c>
      <c r="D381" t="n">
        <v>1</v>
      </c>
      <c r="E381" t="n">
        <v>2</v>
      </c>
      <c r="F381">
        <f>HYPERLINK("https://www.reddit.com/r/cancer/comments/ajexnz/do_you_guys_think_my_dad_will_come_home_or_is/")</f>
        <v/>
      </c>
      <c r="G381" t="inlineStr">
        <is>
          <t>2019-01-24 09:45:44</t>
        </is>
      </c>
      <c r="H381" t="inlineStr"/>
    </row>
    <row r="382">
      <c r="A382" t="inlineStr">
        <is>
          <t>ajgm9u</t>
        </is>
      </c>
      <c r="B382" t="inlineStr">
        <is>
          <t>Inpatient Chemotherapy</t>
        </is>
      </c>
      <c r="C382" t="inlineStr">
        <is>
          <t>Hello everyone!
Firstly you all rock. I'm new to being a daily Reddit gal and I have found great comfort in asking question and reading other posts here.
Now as the title states I'm curious if anyone has had experience with inpatient chemotherapy.
I have posted in the past that my mom has tried chemo twice now and each time she has had a horrible reaction... Stops breathing, seizure, etc.
So the first time we we're two minute in and she had the reaction. 
Second time they tried a different drugs and gave a lot of premeds and after 7 minutes had this reaction and we we're rushed to ER and admitted to the hospital.
I got a call from her oncologist and suggested that next we try inpatient chemotherapy. 
Has anyone had any experience with this? 
How was it? How does it differ?
What can I do to make this as comfortable for my mom?
A little background :
My mom has stage 4 uterine cancer. Has spread into her lungs. When we were admitted in the hospital they were able to drain a liter of fluid from her right lung in attempt to give her comfort.
Thank you everyone!</t>
        </is>
      </c>
      <c r="D382" t="n">
        <v>1</v>
      </c>
      <c r="E382" t="n">
        <v>6</v>
      </c>
      <c r="F382">
        <f>HYPERLINK("https://www.reddit.com/r/cancer/comments/ajgm9u/inpatient_chemotherapy/")</f>
        <v/>
      </c>
      <c r="G382" t="inlineStr">
        <is>
          <t>2019-01-24 12:23:43</t>
        </is>
      </c>
      <c r="H382" t="inlineStr"/>
    </row>
    <row r="383">
      <c r="A383" t="inlineStr">
        <is>
          <t>ajgnxl</t>
        </is>
      </c>
      <c r="B383" t="inlineStr">
        <is>
          <t>I am a hairstylist about to shave my dear clients head.</t>
        </is>
      </c>
      <c r="C383" t="inlineStr">
        <is>
          <t>I apologize if this isn’t an appropriate place to ask this question but I’m hoping I can get some advice. 
My very close client is coming to my home in a few hours for me to shave her head. This is of course a very emotional time and I was hoping someone might have advice on little things I can do to make her a bit more comfortable?</t>
        </is>
      </c>
      <c r="D383" t="n">
        <v>1</v>
      </c>
      <c r="E383" t="n">
        <v>2</v>
      </c>
      <c r="F383">
        <f>HYPERLINK("https://www.reddit.com/r/cancer/comments/ajgnxl/i_am_a_hairstylist_about_to_shave_my_dear_clients/")</f>
        <v/>
      </c>
      <c r="G383" t="inlineStr">
        <is>
          <t>2019-01-24 12:28:05</t>
        </is>
      </c>
      <c r="H383" t="inlineStr"/>
    </row>
    <row r="384">
      <c r="A384" t="inlineStr">
        <is>
          <t>ajh5ot</t>
        </is>
      </c>
      <c r="B384" t="inlineStr">
        <is>
          <t>Skin cancer on nose/reconstruction</t>
        </is>
      </c>
      <c r="C384" t="inlineStr">
        <is>
          <t>Hi
My father in-law was diagnosed with skin Cancer on the nose. He's set to go I  to hospital next week to have reconstructive surgery for his nose and as such will have a piece of skin going from the nose to the forehead. 
Has anyone here been through this? What was it like? Other than emotional support, what helped you through it and any tricks for dealing with the unpleasant repair process?
Thanks</t>
        </is>
      </c>
      <c r="D384" t="n">
        <v>1</v>
      </c>
      <c r="E384" t="n">
        <v>1</v>
      </c>
      <c r="F384">
        <f>HYPERLINK("https://www.reddit.com/r/cancer/comments/ajh5ot/skin_cancer_on_nosereconstruction/")</f>
        <v/>
      </c>
      <c r="G384" t="inlineStr">
        <is>
          <t>2019-01-24 13:02:03</t>
        </is>
      </c>
      <c r="H384" t="inlineStr"/>
    </row>
    <row r="385">
      <c r="A385" t="inlineStr">
        <is>
          <t>ajh9a9</t>
        </is>
      </c>
      <c r="B385" t="inlineStr">
        <is>
          <t>Laminating machine on all day</t>
        </is>
      </c>
      <c r="C385" t="inlineStr">
        <is>
          <t xml:space="preserve">There is a laminating machine that in about 3 feet from my desk. It's on all day, from 7AM to about 4PM. My boss insists it stay on instead of turning it on only when it's needed, most days it isn't used at all. I know burning plastics is hazardous to your health, but I figure laminate isn't too far away from a plastic. Would something like this cause cancer if say I'm exposed to something like that 8 hours a day, 5 days a week? </t>
        </is>
      </c>
      <c r="D385" t="n">
        <v>1</v>
      </c>
      <c r="E385" t="n">
        <v>1</v>
      </c>
      <c r="F385">
        <f>HYPERLINK("https://www.reddit.com/r/cancer/comments/ajh9a9/laminating_machine_on_all_day/")</f>
        <v/>
      </c>
      <c r="G385" t="inlineStr">
        <is>
          <t>2019-01-24 13:08:49</t>
        </is>
      </c>
      <c r="H385" t="inlineStr"/>
    </row>
    <row r="386">
      <c r="A386" t="inlineStr">
        <is>
          <t>ajhtpd</t>
        </is>
      </c>
      <c r="B386" t="inlineStr">
        <is>
          <t>My dad died yestarday from cancer aged 47 .</t>
        </is>
      </c>
      <c r="C386" t="inlineStr">
        <is>
          <t>Guys, how do i live with that now? Please , some good advices maybe . I am really mentally broken , can’t eat , can’t sleep</t>
        </is>
      </c>
      <c r="D386" t="n">
        <v>1</v>
      </c>
      <c r="E386" t="n">
        <v>26</v>
      </c>
      <c r="F386">
        <f>HYPERLINK("https://www.reddit.com/r/cancer/comments/ajhtpd/my_dad_died_yestarday_from_cancer_aged_47/")</f>
        <v/>
      </c>
      <c r="G386" t="inlineStr">
        <is>
          <t>2019-01-24 14:01:36</t>
        </is>
      </c>
      <c r="H386" t="inlineStr"/>
    </row>
    <row r="387">
      <c r="A387" t="inlineStr">
        <is>
          <t>aji85i</t>
        </is>
      </c>
      <c r="B387" t="inlineStr">
        <is>
          <t>My mum has secondary cancer in the liver spread from the bowel</t>
        </is>
      </c>
      <c r="C387" t="inlineStr">
        <is>
          <t xml:space="preserve">I was just wondering if anyone would know the rough life estimate of what this could be? My mum didn’t want to find out but I’m interested to know. She managed to have an operation on both. So she’s cancer free at the minute. She only had small tumours on the liver which is why they could operate. She probably had it in her colon for about a year and it got passed off as IBS until the pain became unbearable and she was rushed for an operation. Sadly they found it on her liver. Does anyone have any stories of surviving secondary liver cancer? Is the outlook good if you’ve had a successful operation? I’d like honest answers please </t>
        </is>
      </c>
      <c r="D387" t="n">
        <v>1</v>
      </c>
      <c r="E387" t="n">
        <v>2</v>
      </c>
      <c r="F387">
        <f>HYPERLINK("https://www.reddit.com/r/cancer/comments/aji85i/my_mum_has_secondary_cancer_in_the_liver_spread/")</f>
        <v/>
      </c>
      <c r="G387" t="inlineStr">
        <is>
          <t>2019-01-24 14:40:29</t>
        </is>
      </c>
      <c r="H387" t="inlineStr"/>
    </row>
    <row r="388">
      <c r="A388" t="inlineStr">
        <is>
          <t>ajikfv</t>
        </is>
      </c>
      <c r="B388" t="inlineStr">
        <is>
          <t>Post-chemo hair</t>
        </is>
      </c>
      <c r="C388" t="inlineStr">
        <is>
          <t>Hey, 
So I started BEP chemotherapy in early june and it ended in early august. So it has been 6 months since I finished my treatment and I feel so much better right now.
My hair started coming back a little less after 2 months and it has been growing since. Right now it is 3-4 centimeters and slightly more curly (6 months after the end of the treatments). But the problem is that it is also much thinner. It's not terrible since I had really thick hair but it kinda looks like an old man haircut from close because you can see a little of my scalp, espacially on the back.
So I was wondering if I should just say goodbye to my old hair or if I can still hope to get thicker hair in the future ?
Thanks and good luck to all going through hard times :)</t>
        </is>
      </c>
      <c r="D388" t="n">
        <v>1</v>
      </c>
      <c r="E388" t="n">
        <v>5</v>
      </c>
      <c r="F388">
        <f>HYPERLINK("https://www.reddit.com/r/cancer/comments/ajikfv/postchemo_hair/")</f>
        <v/>
      </c>
      <c r="G388" t="inlineStr">
        <is>
          <t>2019-01-24 15:14:50</t>
        </is>
      </c>
      <c r="H388" t="inlineStr"/>
    </row>
    <row r="389">
      <c r="A389" t="inlineStr">
        <is>
          <t>ajjqgb</t>
        </is>
      </c>
      <c r="B389" t="inlineStr">
        <is>
          <t>Boyfriend's dad has stage 4 lung cancer</t>
        </is>
      </c>
      <c r="C389" t="inlineStr">
        <is>
          <t xml:space="preserve">He was diagnosed with stage 4, incurable lung cancer about 2 months ago after being told by multiple doctors that it was just pneumonia. 
It has also since spread to his brain. He's been in bad shape ever since I've known him. For the past 6 months. I live with my boyfriend and his family. This has all been very hard on them. 
He hasn't eaten in days but they were going to start him on chemo tomorrow. The chemo would be just to give him more time. The daughter graduates in May. I've been praying for months that he will just make it to see her graduate. 
My boyfriend said yesterday that he didn't think he would live much longer. He had started talking to himself and just didn't seem here. This morning he told his wife that he wasn't going to make it through the day and she called an ambulance. 
They said he had a bladder infection and that his sodium was very low and admitted him. They were just moving him to a room when he said "I feel stronger and better now. I want to stand up". He stood up and died right there. 
They were able to bring him back, but he's in a venerated state. He's only alive through machines. 
The family has been saying their goodbyes and everything that they needed to say. But I'm still praying for a miracle.
The wife doesn't want to let him go even though he isn't actually here. The son (my partner) knows that his dad wouldn't want to be kept here like this. They haven't made arrangements and this is going to devastate them. He's the only person the mother ever loved. They've been married since she was 18, she's in her 40s now. 
Any regards and prayers to the family are much appreciated. It's just not fair to this family that he was taken from them so quickly. </t>
        </is>
      </c>
      <c r="D389" t="n">
        <v>1</v>
      </c>
      <c r="E389" t="n">
        <v>2</v>
      </c>
      <c r="F389">
        <f>HYPERLINK("https://www.reddit.com/r/cancer/comments/ajjqgb/boyfriends_dad_has_stage_4_lung_cancer/")</f>
        <v/>
      </c>
      <c r="G389" t="inlineStr">
        <is>
          <t>2019-01-24 17:21:00</t>
        </is>
      </c>
      <c r="H389" t="inlineStr"/>
    </row>
    <row r="390">
      <c r="A390" t="inlineStr">
        <is>
          <t>ajkeyn</t>
        </is>
      </c>
      <c r="B390" t="inlineStr">
        <is>
          <t>Unbearable pain</t>
        </is>
      </c>
      <c r="C390" t="inlineStr">
        <is>
          <t>Has anyone had any experience with a pain pump from cancer that causes so much pain that oral medications just don't cut it anymore? I met with a pain specialist who performed a trial (injected hydromorphone intrathecally) and decided that I would be a good fit for a pump that essentially threads a catheter into my spinal cord and injects small amounts of ziconotide (Prialt), a non-opioid into my spine. I'm not sure how I feel about something staying in my spinal cord longterm but not sure what other options I have. Any feedback would be appreciated.</t>
        </is>
      </c>
      <c r="D390" t="n">
        <v>1</v>
      </c>
      <c r="E390" t="n">
        <v>16</v>
      </c>
      <c r="F390">
        <f>HYPERLINK("https://www.reddit.com/r/cancer/comments/ajkeyn/unbearable_pain/")</f>
        <v/>
      </c>
      <c r="G390" t="inlineStr">
        <is>
          <t>2019-01-24 18:37:45</t>
        </is>
      </c>
      <c r="H390" t="inlineStr"/>
    </row>
    <row r="391">
      <c r="A391" t="inlineStr">
        <is>
          <t>ajm3a5</t>
        </is>
      </c>
      <c r="B391" t="inlineStr">
        <is>
          <t>It'll be three years soon.</t>
        </is>
      </c>
      <c r="C391" t="inlineStr">
        <is>
          <t xml:space="preserve">I lost my mom February 29th 2016. It'll be three years since my dad found her unresponsive without a pulse in the bathroom. It'll be three years since may dad and I did CPR until the paramedics arrived and I ran outside to melt down. She had breast cancer when I was a year old, and after years of unidentified illness she was diagnosed with metastatic breast cancer in her liver my sophomore year of high school. This was managed by surgery and some type of hormone medication, she was being monitored by a cancer center and everything finally seemed under control. She dealt with extreme joint pain that was diagnosed as two types of arthritis, that was finally under control. She was planning to fly to New York to help her high school best friend's bakery business the next day. 
She had taken care of me that weekend. I had a stomach bug which kept me from work and school. She was so excited to be there for her girl again. She was so happy that she felt like a mom again. She even posted a silly facebook status about it. But I can't help thinking what would have happened if she didn't. It looks to me as if she caught what I had. 
I feel absolutely terrible. I feel so guilty. I hate thinking about it but recently I can't get it off my mind. The cause of death was determined to be metastatic bone cancer (although, we did not do an autopsy due to cost), and everyone tells me there no way I had anything to do with her passing. And knowing how electrolyte and fluid balance can influence someone's health from being in nursing school it seems impossible to ignore that her being sick probably played a role in what happened. I miss her so much. It'll be three years that I've felt so terribly guilty. 
&amp;amp;#x200B;
&amp;amp;#x200B;
A sidenote: I work in a hospital and was complemented by two patients on how I seemed to really care about my job and how I seemed to be "doing what God intended me to do" (which is a massive complement even if you aren't religious). These complements happened to be on my mom's birthday and it really hit me hard. I had to care for my dad only a few weeks after I lost my mom since he had a knee surgery and hearing what those patients had to say made me want to ball my eyes out. I know she'd be so proud and I just want to tell her about my days, she'd love it.  </t>
        </is>
      </c>
      <c r="D391" t="n">
        <v>1</v>
      </c>
      <c r="E391" t="n">
        <v>0</v>
      </c>
      <c r="F391">
        <f>HYPERLINK("https://www.reddit.com/r/cancer/comments/ajm3a5/itll_be_three_years_soon/")</f>
        <v/>
      </c>
      <c r="G391" t="inlineStr">
        <is>
          <t>2019-01-24 21:58:48</t>
        </is>
      </c>
      <c r="H391" t="inlineStr"/>
    </row>
    <row r="392">
      <c r="A392" t="inlineStr">
        <is>
          <t>ajm6yf</t>
        </is>
      </c>
      <c r="B392" t="inlineStr">
        <is>
          <t>Foods to help beat cancer</t>
        </is>
      </c>
      <c r="C392" t="inlineStr">
        <is>
          <t xml:space="preserve">Can someone help with food ideas that help prevent as well as actively help to suppress and shrink cancer tumors.  I know some things like green tea, tumeric, and a general avoidance of carbs help for example.  
Thanks very much </t>
        </is>
      </c>
      <c r="D392" t="n">
        <v>1</v>
      </c>
      <c r="E392" t="n">
        <v>18</v>
      </c>
      <c r="F392">
        <f>HYPERLINK("https://www.reddit.com/r/cancer/comments/ajm6yf/foods_to_help_beat_cancer/")</f>
        <v/>
      </c>
      <c r="G392" t="inlineStr">
        <is>
          <t>2019-01-24 22:12:50</t>
        </is>
      </c>
      <c r="H392" t="inlineStr"/>
    </row>
    <row r="393">
      <c r="A393" t="inlineStr">
        <is>
          <t>ajmhgg</t>
        </is>
      </c>
      <c r="B393" t="inlineStr">
        <is>
          <t>Chemo weed edibles</t>
        </is>
      </c>
      <c r="C393" t="inlineStr">
        <is>
          <t xml:space="preserve">Hey - my mom is currently going through 12 rounds of chemo to treat breast cancer - shes half way through so far the only major complaints are that she is getting really bad leg cramps , and isnt getting that much sleep .  Her oncologist gave her lorazepam, but i opted to make her edibles using coconut oil . 
&amp;amp;#x200B;
I was wondering if anyone has had a similar experience with leg cramps  , and what the remedies they have a used . I also got her a vape pen , so was wondering if that worked for anyone as well.  </t>
        </is>
      </c>
      <c r="D393" t="n">
        <v>1</v>
      </c>
      <c r="E393" t="n">
        <v>14</v>
      </c>
      <c r="F393">
        <f>HYPERLINK("https://www.reddit.com/r/cancer/comments/ajmhgg/chemo_weed_edibles/")</f>
        <v/>
      </c>
      <c r="G393" t="inlineStr">
        <is>
          <t>2019-01-24 22:55:03</t>
        </is>
      </c>
      <c r="H393" t="inlineStr"/>
    </row>
    <row r="394">
      <c r="A394" t="inlineStr">
        <is>
          <t>ajnle6</t>
        </is>
      </c>
      <c r="B394" t="inlineStr">
        <is>
          <t>Autophagy and Cancer?</t>
        </is>
      </c>
      <c r="C394" t="inlineStr">
        <is>
          <t xml:space="preserve">Hey guys, wasn't sure where to post this, so if there's a more suitable subreddit for me to ask this please let me know.
I'm having a bit of a cancer scare at the moment and need some advice. I'm a male in my mid-twenties, and about 7 months ago I became aware that I had these painless lumps in my neck. At first I thought they were cysts, but when I went to my GP they told me the lumps were inflamed lymph nodes and should go down in a few weeks. Fast forward to the present, and not only are they still there, but there's more of them in my neck and chest (all painless), which is a sign that something is very wrong. My GP asked me if I had been suffering certain symptoms (fatigue, skin irritation and random rashes, unintended weight loss, breathlessness) and I realized I had, though I had put them down to stress. They said it's possible that I may have some kind of lymphoma, so they did a bunch of blood tests and referred me to see a specialist at the hospital next week.
Mentally I've mostly put worrying about this to the side for now since I try not to worry about things I have no immediate control over, but one thing I've been reading about recently is autophagy (the process by which cells remove waste material) and its connection to cancer. Basically a lot of the literature claims that autophagy can be hijacked by cancer cells and be used to make them grow more quickly as well as be more resistant to the immune system and treatment. From what I've read, autophagy can be increased by exercise and fasting, both of which I do quite regularly. Assuming I do have lymphoma, would it therefore make sense for me to try and reduce my autophagy by avoiding these until I have treatment? </t>
        </is>
      </c>
      <c r="D394" t="n">
        <v>1</v>
      </c>
      <c r="E394" t="n">
        <v>4</v>
      </c>
      <c r="F394">
        <f>HYPERLINK("https://www.reddit.com/r/cancer/comments/ajnle6/autophagy_and_cancer/")</f>
        <v/>
      </c>
      <c r="G394" t="inlineStr">
        <is>
          <t>2019-01-25 02:01:59</t>
        </is>
      </c>
      <c r="H394" t="inlineStr"/>
    </row>
    <row r="395">
      <c r="A395" t="inlineStr">
        <is>
          <t>ajqupy</t>
        </is>
      </c>
      <c r="B395" t="inlineStr">
        <is>
          <t>I’m in remission!!!</t>
        </is>
      </c>
      <c r="C395" t="inlineStr">
        <is>
          <t>I finished chemo 2 weeks ago and I’m cancer-free now!!!</t>
        </is>
      </c>
      <c r="D395" t="n">
        <v>1</v>
      </c>
      <c r="E395" t="n">
        <v>35</v>
      </c>
      <c r="F395">
        <f>HYPERLINK("https://www.reddit.com/r/cancer/comments/ajqupy/im_in_remission/")</f>
        <v/>
      </c>
      <c r="G395" t="inlineStr">
        <is>
          <t>2019-01-25 08:42:25</t>
        </is>
      </c>
      <c r="H395" t="inlineStr"/>
    </row>
    <row r="396">
      <c r="A396" t="inlineStr">
        <is>
          <t>ajqw7k</t>
        </is>
      </c>
      <c r="B396" t="inlineStr">
        <is>
          <t>Second Time Around Update</t>
        </is>
      </c>
      <c r="C396" t="inlineStr">
        <is>
          <t>I would like to thank everyone who posted with advice on how to help my wife cope with me having a reoccurrence of testicular cancer.   She seems better now and I taking everything one step at a time. 
I had my surgery today to remove my remaining testicle and I am home now recovering. I will start testosterone therapy some time next week. 
Once I get some news i will update again.
Thank You All</t>
        </is>
      </c>
      <c r="D396" t="n">
        <v>1</v>
      </c>
      <c r="E396" t="n">
        <v>1</v>
      </c>
      <c r="F396">
        <f>HYPERLINK("https://www.reddit.com/r/cancer/comments/ajqw7k/second_time_around_update/")</f>
        <v/>
      </c>
      <c r="G396" t="inlineStr">
        <is>
          <t>2019-01-25 08:46:23</t>
        </is>
      </c>
      <c r="H396" t="inlineStr"/>
    </row>
    <row r="397">
      <c r="A397" t="inlineStr">
        <is>
          <t>ajrnhu</t>
        </is>
      </c>
      <c r="B397" t="inlineStr">
        <is>
          <t>What’s the consensus on deodorant and breast cancer?</t>
        </is>
      </c>
      <c r="C397" t="inlineStr">
        <is>
          <t>I’m “high risk” currently waiting for my gene test back. My mom had breast and melanoma, her mother had breast cancer (unfortunately died), and my great grandmother had colon cancer. My grandpa had pancreatic.
I’m 26 now, and I’m really trying to work on cutting out risk factors. I don’t drink to get drunk, I maybe have 1-3 drinks entirely a month. Some months, I don’t even have one. I’m vegetarian, I eat minimally processed foods. I workout almost daily too. 
I do take birth control, though. For around 10 years. 
I was wondering about the deodorant debate. Does it have an effect on breast cancer developing? I’ve been trying to use more “natural” products, but gosh! I can’t get past the sweating. It’s too much. So I was wondering anyone’s experience, research, etc. thanks!</t>
        </is>
      </c>
      <c r="D397" t="n">
        <v>1</v>
      </c>
      <c r="E397" t="n">
        <v>8</v>
      </c>
      <c r="F397">
        <f>HYPERLINK("https://www.reddit.com/r/cancer/comments/ajrnhu/whats_the_consensus_on_deodorant_and_breast_cancer/")</f>
        <v/>
      </c>
      <c r="G397" t="inlineStr">
        <is>
          <t>2019-01-25 09:57:32</t>
        </is>
      </c>
      <c r="H397" t="inlineStr"/>
    </row>
    <row r="398">
      <c r="A398" t="inlineStr">
        <is>
          <t>ajrz86</t>
        </is>
      </c>
      <c r="B398" t="inlineStr">
        <is>
          <t>My dad have Bladder Cancer, people that have tried CBD?</t>
        </is>
      </c>
      <c r="C398" t="inlineStr">
        <is>
          <t>Last november my dad was diagnosed with Bladder Cancer, tumor has been removed on december and now is in chemoterapy. Besides regular treatments, friends have told us to try CBD orally taken (essential oil). Please any experience with this treatment or any other recommendations you have will be greatly appreciated.</t>
        </is>
      </c>
      <c r="D398" t="n">
        <v>1</v>
      </c>
      <c r="E398" t="n">
        <v>3</v>
      </c>
      <c r="F398">
        <f>HYPERLINK("https://www.reddit.com/r/cancer/comments/ajrz86/my_dad_have_bladder_cancer_people_that_have_tried/")</f>
        <v/>
      </c>
      <c r="G398" t="inlineStr">
        <is>
          <t>2019-01-25 10:27:37</t>
        </is>
      </c>
      <c r="H398" t="inlineStr"/>
    </row>
    <row r="399">
      <c r="A399" t="inlineStr">
        <is>
          <t>ajsji9</t>
        </is>
      </c>
      <c r="B399" t="inlineStr">
        <is>
          <t>It's been one week...</t>
        </is>
      </c>
      <c r="C399" t="inlineStr">
        <is>
          <t>of radiation! Doing well but I'm mentally tired and just a little bit physically tired. Some of the problems I had mentally is dealing with loved ones around me that I have comfort because I have cancer :) At this point in the game I do not need a advocate, a chef, or a fixer. I need normalcy from friends and family. I am sure most of you understand. Plus Chickity China</t>
        </is>
      </c>
      <c r="D399" t="n">
        <v>1</v>
      </c>
      <c r="E399" t="n">
        <v>6</v>
      </c>
      <c r="F399">
        <f>HYPERLINK("https://www.reddit.com/r/cancer/comments/ajsji9/its_been_one_week/")</f>
        <v/>
      </c>
      <c r="G399" t="inlineStr">
        <is>
          <t>2019-01-25 11:21:23</t>
        </is>
      </c>
      <c r="H399" t="inlineStr"/>
    </row>
    <row r="400">
      <c r="A400" t="inlineStr">
        <is>
          <t>aju9b5</t>
        </is>
      </c>
      <c r="B400" t="inlineStr">
        <is>
          <t>Promising trials</t>
        </is>
      </c>
      <c r="C400" t="inlineStr">
        <is>
          <t>I'm new to cancer, and surprised that chemo and radiation are the ways to treat it.  Particularly radiation seems medieval as a form of treatment because it carries so many devastating effects.  Over the years I've seen many promising potential new methods of treatment described in the news.  Are there any better ways to treat cancer that have evidence behind them, and are there any such trials in progress?</t>
        </is>
      </c>
      <c r="D400" t="n">
        <v>1</v>
      </c>
      <c r="E400" t="n">
        <v>6</v>
      </c>
      <c r="F400">
        <f>HYPERLINK("https://www.reddit.com/r/cancer/comments/aju9b5/promising_trials/")</f>
        <v/>
      </c>
      <c r="G400" t="inlineStr">
        <is>
          <t>2019-01-25 14:04:58</t>
        </is>
      </c>
      <c r="H400" t="inlineStr"/>
    </row>
    <row r="401">
      <c r="A401" t="inlineStr">
        <is>
          <t>aju9xp</t>
        </is>
      </c>
      <c r="B401" t="inlineStr">
        <is>
          <t>Mother has 2 months to live. Can’t cope. Can’t stop crying.</t>
        </is>
      </c>
      <c r="C401" t="inlineStr">
        <is>
          <t>My mom found out she had stage 4 lung cancer back in May. She had radiation and chemo and seemed to be doing well. The largest tumor shrunk significantly but it’s spread to her lymph nodes (already had spread to her brain, spine, liver). The doctor said she has 2 months. He didn’t talk about any more treatment just to let her rest. 
I can’t cope. I lost my father when I was a child and now just barely 20 I’m close to losing my mother. I have no clue how to deal with this emotionally. I was in denial but now it’s all hitting me that I’m going to lose her and I just want more time. I have never lived in my own. My mother has always supported and taken care of me. When she dies I don’t know what I will do I will have no parents. I have so little family as it is. I want the doctor to be wrong and her to have longer even just a few extra months. This can’t be happening. I’m so scared. Will it be gradual or will I just wake up one day and find her dead like I did with my father? 
Who will I talk to? Cry to? I will have to move how can anyone expect me to live in a house my parents died in? I love her so much and I don’t know how I will ever live without her. I know I can’t live in denial but I can’t stop crying every time I think about it. I feel like I’m still emotionally a child. I never got past the death of my father I never properly dealt with that.. how will I ever deal with this???</t>
        </is>
      </c>
      <c r="D401" t="n">
        <v>1</v>
      </c>
      <c r="E401" t="n">
        <v>14</v>
      </c>
      <c r="F401">
        <f>HYPERLINK("https://www.reddit.com/r/cancer/comments/aju9xp/mother_has_2_months_to_live_cant_cope_cant_stop/")</f>
        <v/>
      </c>
      <c r="G401" t="inlineStr">
        <is>
          <t>2019-01-25 14:06:34</t>
        </is>
      </c>
      <c r="H401" t="inlineStr"/>
    </row>
    <row r="402">
      <c r="A402" t="inlineStr">
        <is>
          <t>ajvimf</t>
        </is>
      </c>
      <c r="B402" t="inlineStr">
        <is>
          <t>Should I be worried?</t>
        </is>
      </c>
      <c r="C402" t="inlineStr">
        <is>
          <t>I (23F) had recently moved to a new city and needed a new doctor. Since she didn’t know that much about me or my health, she ordered labs and for me to come back for a pap and a physical. During the physical she was doing a breast exam and all the sudden she’s like “whoooaaaaa what’s that?” Is it just me or should they not say that? Anyway, she ordered me to get an ultrasound and my appointment for that is next week. Every time I lay down, I feel for it and try to not freak out too much. Breast cancer does run in my family but I’m so young that I can’t see myself as having anything “wrong” with me. Should I be worried about any? Should I expect anything?</t>
        </is>
      </c>
      <c r="D402" t="n">
        <v>1</v>
      </c>
      <c r="E402" t="n">
        <v>3</v>
      </c>
      <c r="F402">
        <f>HYPERLINK("https://www.reddit.com/r/cancer/comments/ajvimf/should_i_be_worried/")</f>
        <v/>
      </c>
      <c r="G402" t="inlineStr">
        <is>
          <t>2019-01-25 16:07:48</t>
        </is>
      </c>
      <c r="H402" t="inlineStr"/>
    </row>
    <row r="403">
      <c r="A403" t="inlineStr">
        <is>
          <t>ajvz40</t>
        </is>
      </c>
      <c r="B403" t="inlineStr">
        <is>
          <t>I don't know what to do.</t>
        </is>
      </c>
      <c r="C403" t="inlineStr">
        <is>
          <t>I'm a 26 year old and my mom [57] has stage 4 breast cancer. I am her only child, she is divorced from my dad, and has no other immediate family nearby (she has one cousin that lives a few hours away but have only seen her a few times in the past year), hardly any friends (none that come see her anyway). So I am her only caregiver.
She was first diagnosed with triple negative in one breast in 2016, fought hard and went into remission after chemo and surgery. It came back at the beginning of 2018, in the other breast and the chest wall. The doctor told her she had 3 - 5 years, with radiation and then chemo. I was hit hard but figured that was more time than a lot of people are told they get.
I was a full time college student at the time at a school about an hour and a half away, and I rushed to finish my degree, taking 20 unit loads for my last year. (Boy was it a tough balancing act but she wanted to be at my graduation so bad) By the time I graduated in June, the cancer spread to her lungs. Things got even more hard for about a month after I started my career upon graduating. Thankfully my boss was very understanding about letting me stay with her whenever she needed or wanted me to, so we managed. Her doctor went on vacation for a few weeks (ugh) while it was at its worst, pleural effusions over and over. Finally when she got back, she started a new chemo that worked amazingly. It worked until November. Since then, she has gradually had more pain and trouble eating. We found out the cancer had spread to her abdomen, and she got terrible ascites. It has been a steady decline, she now uses a wheelchair, is on oxygen 24/7, needs a commode, etc. She hasn't had any food since December. Maybe just a few bites of soup, liquids, purees, etc here and there. She has been in and out of the hospital. She is actually in the hospital now and has been for almost a week, and they are trying to get her to be able to eat and manage her pain, but nothing helps. She just throws everything up. Hasnt been able to keep anything down, even water, or her meds, since Sunday, possibly even longer.
Anyways, it just sucks to watch your parent deteriorate like this, its indescribable. She has gotten so thin and weak in such a short period. She isn't the same person anymore, she closes herself off and doesnt want to talk. I get it, but it's just sad. She is my best friend and I miss telling her everything. They keep saying she will be able to go home eventually and want to keep her scheduled for chemotherapy, but I feel like I am losing hope and like I am going crazy for it. Like I am the only one who sees what I'd happening. But at the same time, I am counting on her coming home because I cant give up on her. Its just so hard not knowing what to do, I wasnt prepared for any of this. And to top it off, I don't have a father or siblings to go through this with, so I feel alone and I am just pushing through this constantly. I never get a break. I am feeling worn down and like I could just collapse at any moment, but I can't. 
Also, I just got engaged recently, and my family is pressuring me to have a wedding very soon, but I don't feel ready right now. We even booked a venue for this September and we put a nonrefundable deposit down (stupid, I know) thinking maybe my mom would be okay still by then, but now that is apparently not the case. I want some unbiased opinions of this. I feel like rushing to get married is unreasonable, I don't even know if my mom could make it to a courthouse wedding. She is in the hospital still with no end in sight!! Also I feel like my mixed emotions would just ruin the moment. I dont even care about getting married right now, she is my priority. But I also feel like these thoughts could be selfish? Of course, I want my mom to be there for every milestone, but it doesnt seem realistic to me anymore.
Does anyone have advice, or anything?</t>
        </is>
      </c>
      <c r="D403" t="n">
        <v>1</v>
      </c>
      <c r="E403" t="n">
        <v>0</v>
      </c>
      <c r="F403">
        <f>HYPERLINK("https://www.reddit.com/r/cancer/comments/ajvz40/i_dont_know_what_to_do/")</f>
        <v/>
      </c>
      <c r="G403" t="inlineStr">
        <is>
          <t>2019-01-25 16:57:39</t>
        </is>
      </c>
      <c r="H403" t="inlineStr"/>
    </row>
    <row r="404">
      <c r="A404" t="inlineStr">
        <is>
          <t>ajw5ou</t>
        </is>
      </c>
      <c r="B404" t="inlineStr">
        <is>
          <t>Uncle Diagnosed with colorectal cancer stage 3.</t>
        </is>
      </c>
      <c r="C404" t="inlineStr">
        <is>
          <t xml:space="preserve">My uncle, 44 was diagnosed with colorectal cancer a week ago. At first they were suspecting it’s just stage 1. They did MRI yesterday and today they called back and said he has stage 3. Bummer. He is really worried and so are we. He is also question the medical system which gave him hope a few days ago and now saying something totally different. He is really worried because his sister recently passed away and was initially diagnosed with stage 3 ovary, given hope, but she didn’t make it. 
Doctor has proposed radiation first, followed by chemo and then surgery. Is this what majority of people diagnosed with stage 3 is prescribed? Does it make sense to get a second opinion? If we do plan to get second opinion should we keep following what other doctor has said? 
And by searching through the subreddit here, I have seen many successful stories from this type of cancer which helps me to give him lots of strength to fight. Thank you all. </t>
        </is>
      </c>
      <c r="D404" t="n">
        <v>1</v>
      </c>
      <c r="E404" t="n">
        <v>13</v>
      </c>
      <c r="F404">
        <f>HYPERLINK("https://www.reddit.com/r/cancer/comments/ajw5ou/uncle_diagnosed_with_colorectal_cancer_stage_3/")</f>
        <v/>
      </c>
      <c r="G404" t="inlineStr">
        <is>
          <t>2019-01-25 17:19:03</t>
        </is>
      </c>
      <c r="H404" t="inlineStr"/>
    </row>
    <row r="405">
      <c r="A405" t="inlineStr">
        <is>
          <t>ajwcjp</t>
        </is>
      </c>
      <c r="B405" t="inlineStr">
        <is>
          <t>Question for those who’ve had chemo and lost hair...</t>
        </is>
      </c>
      <c r="C405" t="inlineStr">
        <is>
          <t xml:space="preserve">My youngest sister just went through a bone marrow transplant and is roughly one week into the recovery stay at the hospital so far. She did cold cap therapy to try to limit or stop hair loss and everyone was hopeful, but as of today there’s been some drastic loss at her part and hairline. 
She’s taking it very well, for now, and sort of has the decision that if she does lose a decent amount more she will buzz it off. 
I have been under the 5+ year decision that if she has to shave her head, I will too (and donate mine). 
My other sister thinks that she will be very defensive and against this decision and not want that to happen. I don’t care what length of hair I have, I’d rather it be something she doesn’t go through alone, even though of course me not having hair would be a choice. 
If you went through something similar (or somebody you know), is this okay? Would it make her upset if I did this? I know it’s not a very big deal in the grand scheme of things but I wasn’t a match as a donor so other than emotional support I couldn’t really do anything, and I just wanted to make t easier for her. 
Just need some advice or thoughts I guess. </t>
        </is>
      </c>
      <c r="D405" t="n">
        <v>1</v>
      </c>
      <c r="E405" t="n">
        <v>10</v>
      </c>
      <c r="F405">
        <f>HYPERLINK("https://www.reddit.com/r/cancer/comments/ajwcjp/question_for_those_whove_had_chemo_and_lost_hair/")</f>
        <v/>
      </c>
      <c r="G405" t="inlineStr">
        <is>
          <t>2019-01-25 17:41:51</t>
        </is>
      </c>
      <c r="H405" t="inlineStr"/>
    </row>
    <row r="406">
      <c r="A406" t="inlineStr">
        <is>
          <t>ajwj4w</t>
        </is>
      </c>
      <c r="B406" t="inlineStr">
        <is>
          <t>My friends don't get it and I feel incredibly alone.</t>
        </is>
      </c>
      <c r="C406" t="inlineStr">
        <is>
          <t>If we're lucky, he's got a year. 
My friends have no idea what to say to me and I just want someone I can talk to that understands how fucked up cancer leaves a family.</t>
        </is>
      </c>
      <c r="D406" t="n">
        <v>1</v>
      </c>
      <c r="E406" t="n">
        <v>10</v>
      </c>
      <c r="F406">
        <f>HYPERLINK("https://www.reddit.com/r/cancer/comments/ajwj4w/my_friends_dont_get_it_and_i_feel_incredibly_alone/")</f>
        <v/>
      </c>
      <c r="G406" t="inlineStr">
        <is>
          <t>2019-01-25 18:03:18</t>
        </is>
      </c>
      <c r="H406" t="inlineStr"/>
    </row>
    <row r="407">
      <c r="A407" t="inlineStr">
        <is>
          <t>ajxnj3</t>
        </is>
      </c>
      <c r="B407" t="inlineStr">
        <is>
          <t>Help to reduce bloating as a chemo side effect</t>
        </is>
      </c>
      <c r="C407" t="inlineStr">
        <is>
          <t>Family member has pancreatic cancer and is on FOLFIRNOX. He says he feels extremely bloated which is why he doesn’t want to eat. No nausea or vomiting. But he does say he feels like vomiting due to the bloated feeling.
Any recommendations to alleviate this side effect?</t>
        </is>
      </c>
      <c r="D407" t="n">
        <v>1</v>
      </c>
      <c r="E407" t="n">
        <v>7</v>
      </c>
      <c r="F407">
        <f>HYPERLINK("https://www.reddit.com/r/cancer/comments/ajxnj3/help_to_reduce_bloating_as_a_chemo_side_effect/")</f>
        <v/>
      </c>
      <c r="G407" t="inlineStr">
        <is>
          <t>2019-01-25 20:21:16</t>
        </is>
      </c>
      <c r="H407" t="inlineStr"/>
    </row>
    <row r="408">
      <c r="A408" t="inlineStr">
        <is>
          <t>ajxs4a</t>
        </is>
      </c>
      <c r="B408" t="inlineStr">
        <is>
          <t>Mom diagnosed, how do I help.</t>
        </is>
      </c>
      <c r="C408" t="inlineStr">
        <is>
          <t xml:space="preserve">My mom was diagnosed this week with stage 3 rectal cancer. I live several hours away and I’ll be visiting her as soon as get over the flu. I was wondering what others did to help their parents. What do I say? What can I do? What’s most important? </t>
        </is>
      </c>
      <c r="D408" t="n">
        <v>1</v>
      </c>
      <c r="E408" t="n">
        <v>10</v>
      </c>
      <c r="F408">
        <f>HYPERLINK("https://www.reddit.com/r/cancer/comments/ajxs4a/mom_diagnosed_how_do_i_help/")</f>
        <v/>
      </c>
      <c r="G408" t="inlineStr">
        <is>
          <t>2019-01-25 20:38:05</t>
        </is>
      </c>
      <c r="H408" t="inlineStr"/>
    </row>
    <row r="409">
      <c r="A409" t="inlineStr">
        <is>
          <t>ajxsdg</t>
        </is>
      </c>
      <c r="B409" t="inlineStr">
        <is>
          <t>Evolutionary approach to cancer</t>
        </is>
      </c>
      <c r="C409" t="inlineStr">
        <is>
          <t>This video by Carlo Maley talks about how to develop therapies and particularly Adaptive Therapy for treating cancer. With Adaptive therapy, we would actually be living with cancer, and just balancing out healthy cells with cancerous cells.
This form of therapy can be controversial and potentially difficult, because it would mean living your lifetime with cancer. Imagine that? 
[https://www.youtube.com/watch?v=0nZrxxrw92U](https://www.youtube.com/watch?v=0nZrxxrw92U)</t>
        </is>
      </c>
      <c r="D409" t="n">
        <v>1</v>
      </c>
      <c r="E409" t="n">
        <v>0</v>
      </c>
      <c r="F409">
        <f>HYPERLINK("https://www.reddit.com/r/cancer/comments/ajxsdg/evolutionary_approach_to_cancer/")</f>
        <v/>
      </c>
      <c r="G409" t="inlineStr">
        <is>
          <t>2019-01-25 20:39:07</t>
        </is>
      </c>
      <c r="H409" t="inlineStr"/>
    </row>
    <row r="410">
      <c r="A410" t="inlineStr">
        <is>
          <t>ajy3u4</t>
        </is>
      </c>
      <c r="B410" t="inlineStr">
        <is>
          <t>Cancer Treatment Affecting My Voice</t>
        </is>
      </c>
      <c r="C410" t="inlineStr">
        <is>
          <t>I’ve been on a 5 year roller coaster with kidney cancer, and after a solid year of no treatment and stable prognosis, I’m back on treatment because a new tumor showed up in an abdominal CT scan this past November.
Since then I’ve started a twice daily target chemo pill regimen (Inlyta/Axitinib) and twice monthly immunotherapy infusions (Opdivo/Nivolumab).  The Inlyta is new to me, but I’ve done Opdivo infusions for years in the past.
All that being said, since I started this new treatment, my voice has radically changed.  It’s changed to the point where friends don’t recognize me.  I have no pain in my throat, but it feels/sounds hoarse, shifting to a higher pitch.
I’m curious if anyone has experience or heard of such a thing?</t>
        </is>
      </c>
      <c r="D410" t="n">
        <v>1</v>
      </c>
      <c r="E410" t="n">
        <v>2</v>
      </c>
      <c r="F410">
        <f>HYPERLINK("https://www.reddit.com/r/cancer/comments/ajy3u4/cancer_treatment_affecting_my_voice/")</f>
        <v/>
      </c>
      <c r="G410" t="inlineStr">
        <is>
          <t>2019-01-25 21:23:33</t>
        </is>
      </c>
      <c r="H410" t="inlineStr"/>
    </row>
    <row r="411">
      <c r="A411" t="inlineStr">
        <is>
          <t>ajynno</t>
        </is>
      </c>
      <c r="B411" t="inlineStr">
        <is>
          <t>They found brain lesions in my Dad after pancreatic cancer</t>
        </is>
      </c>
      <c r="C411" t="inlineStr">
        <is>
          <t xml:space="preserve">He’s essentially a 1 in 3 million lottery winner and it’s never felt worse.
He was diagnosed with pancreatic cancer surprisingly early, and had a whipple. And 15 months ago they found a tumor in his lung, saying he had 4-6 months to live. After intense chemo and targeted radiation, he was cancer-free.
But then we got hopeful and it feels like that was our mistake.
This past week he’s been dizzy and in pain, and it got worse these last 24 hours with worse pain and puking. A CT scan found at least two lesions, one in each side of his cerebrum. So of course my mother and I started researching and we can only find one comprehensive study of past patients (since 1980s or so?) in this situations, oh and there’s only 12 of them. 
12. Even if you consider that study was published 2013 or so, it feels safe to guesstimate fewer than 20 people have or had this spread.
The ray of light we’re clinging to is that of those, 10 were brain lesions that were discovered as a symptom of pancan, meaning they only found the originating cancer because of the dizziness and headaches. The other 2 were similar to my dad: pancreatic cancer first was removed, then it spread. With neurosurgery they were removed and both survived for years afterward without cancer. 
I don’t know what to focus on, obviously we’re trying to be hopeful. But how realistic is that truly? 
I thought I had come to terms with his mortality last year, but the past months have been so nice I’m just suffering all over again. 
</t>
        </is>
      </c>
      <c r="D411" t="n">
        <v>1</v>
      </c>
      <c r="E411" t="n">
        <v>2</v>
      </c>
      <c r="F411">
        <f>HYPERLINK("https://www.reddit.com/r/cancer/comments/ajynno/they_found_brain_lesions_in_my_dad_after/")</f>
        <v/>
      </c>
      <c r="G411" t="inlineStr">
        <is>
          <t>2019-01-25 22:47:45</t>
        </is>
      </c>
      <c r="H411" t="inlineStr"/>
    </row>
    <row r="412">
      <c r="A412" t="inlineStr">
        <is>
          <t>ak05sl</t>
        </is>
      </c>
      <c r="B412" t="inlineStr">
        <is>
          <t>I don't know who else to ask...</t>
        </is>
      </c>
      <c r="C412" t="inlineStr">
        <is>
          <t>I had anal cancer and have been in remission for 1 year. I have been having bad stomach pain so my colorectal physician ordered a colonoscopy. I knocked out when they gave me the meds but sometime during the procedure I woke up and it was very painful until it was over. Here is my question; a few times I was somewhat begging for it to end and when I looked behind me while doing so, it wasn't my female doctor performing the procedure it was a younger male doctor back there. I was never told or asked about someone else performing my colonoscopy. Is that okay?</t>
        </is>
      </c>
      <c r="D412" t="n">
        <v>1</v>
      </c>
      <c r="E412" t="n">
        <v>8</v>
      </c>
      <c r="F412">
        <f>HYPERLINK("https://www.reddit.com/r/cancer/comments/ak05sl/i_dont_know_who_else_to_ask/")</f>
        <v/>
      </c>
      <c r="G412" t="inlineStr">
        <is>
          <t>2019-01-26 03:33:41</t>
        </is>
      </c>
      <c r="H412" t="inlineStr"/>
    </row>
    <row r="413">
      <c r="A413" t="inlineStr">
        <is>
          <t>ak1ej8</t>
        </is>
      </c>
      <c r="B413" t="inlineStr">
        <is>
          <t>Testicular</t>
        </is>
      </c>
      <c r="C413" t="inlineStr">
        <is>
          <t>I had my left testicle removed in November, I knew about a lump but u was too scared to get it checked out until it started to cause pain. Now I’m stage two and still need more treatment as it has moved to my lymph nodes in my abdomen. Im not so scared of the chemo as i am depressed and anxious about my future. Anyone out there who’s going through the same or has been please message me.</t>
        </is>
      </c>
      <c r="D413" t="n">
        <v>1</v>
      </c>
      <c r="E413" t="n">
        <v>5</v>
      </c>
      <c r="F413">
        <f>HYPERLINK("https://www.reddit.com/r/cancer/comments/ak1ej8/testicular/")</f>
        <v/>
      </c>
      <c r="G413" t="inlineStr">
        <is>
          <t>2019-01-26 06:44:53</t>
        </is>
      </c>
      <c r="H413" t="inlineStr"/>
    </row>
    <row r="414">
      <c r="A414" t="inlineStr">
        <is>
          <t>ak1fn7</t>
        </is>
      </c>
      <c r="B414" t="inlineStr">
        <is>
          <t>My Girlfriend Mom is nearing the end (Pancreatic Cancer) and don't know how to comfort her.</t>
        </is>
      </c>
      <c r="C414" t="inlineStr">
        <is>
          <t>Hey Reddit, not sure if this is the right place to post, so I'll apologize in advance.
My girlfriends mother was diagnosed with Stage 3 (now 4) Pancreatic cancer about a year and 9 months ago.
The time has come that the doctors have told her there is nothing more to be done. She has returned home to be comfortable in what I assume is her final time with us. Hospice care has been hired for the remainder of her life.
I am just not sure what to say to comfort my girlfriend or  how to act. My own mother had Stage 3 breast cancer which she beat, then had anal rectal cancer and beat that as well and is going strong now for years.
Obviously I've had a loved one have cancer but never this bad or rather in my case, if was never this dire even though we worried it would be. As such I have experience with everything up to this point and I'm at a loss.
Any advice from a similar perspective or someone who has been here with a terminally I'll parent would be so appreciate. I just want to be of use and of help in this time.
Sorry this was so long..</t>
        </is>
      </c>
      <c r="D414" t="n">
        <v>1</v>
      </c>
      <c r="E414" t="n">
        <v>26</v>
      </c>
      <c r="F414">
        <f>HYPERLINK("https://www.reddit.com/r/cancer/comments/ak1fn7/my_girlfriend_mom_is_nearing_the_end_pancreatic/")</f>
        <v/>
      </c>
      <c r="G414" t="inlineStr">
        <is>
          <t>2019-01-26 06:48:49</t>
        </is>
      </c>
      <c r="H414" t="inlineStr"/>
    </row>
    <row r="415">
      <c r="A415" t="inlineStr">
        <is>
          <t>ak1y4u</t>
        </is>
      </c>
      <c r="B415" t="inlineStr">
        <is>
          <t>How are we suppose to pay the bills?</t>
        </is>
      </c>
      <c r="C415" t="inlineStr">
        <is>
          <t>My dad is in his final stage of cancer and my mom and I have been here everyday with him at the hospital.She’s missed a lot of days from work and I can’t work because I have to stay by his side and keep my mom updated with everything.
He has a disability check that barely covers our rent. We have other bills such as the light bill, water bill and his monthly payments for his credit card. I’m not sure how we are going to get the money for this each month.
He has no life insurance so we don’t even have money for a funeral and im going to cry. I’m only 24 I don’t know what to do.
I can’t ask his other family members because they are expecting him to pass away and are trying to manipulate him Into signing over his will so they can talk everything from him 
Help me</t>
        </is>
      </c>
      <c r="D415" t="n">
        <v>1</v>
      </c>
      <c r="E415" t="n">
        <v>28</v>
      </c>
      <c r="F415">
        <f>HYPERLINK("https://www.reddit.com/r/cancer/comments/ak1y4u/how_are_we_suppose_to_pay_the_bills/")</f>
        <v/>
      </c>
      <c r="G415" t="inlineStr">
        <is>
          <t>2019-01-26 07:49:38</t>
        </is>
      </c>
      <c r="H415" t="inlineStr"/>
    </row>
    <row r="416">
      <c r="A416" t="inlineStr">
        <is>
          <t>ak2s7f</t>
        </is>
      </c>
      <c r="B416" t="inlineStr">
        <is>
          <t>Worried about having testicular cancer</t>
        </is>
      </c>
      <c r="C416" t="inlineStr">
        <is>
          <t>Hey everyone im a 20 years old and a year ago i felt a charp pain in my right testicle.i went to a doctor and he told me that just and inflammation. I took an antibiotics and after a mount, the pain back. But this time its just like a discomfort im my ground and my inner tight.  It get slightly painful when im sitting for too long or standing as well. I went to an another doctor and he told me that i have an issue with my test veins. I think its called varicocele. An here i am now afyer a year from that time and the discomfort is still. I dont have a lump or any thing but im just soo worried and paranoid about having a testicular cancer. Im going to go to another doctor this week to get rid of all this worries.  
Sorry for my bad English 
And is there any chance that i might be having TC</t>
        </is>
      </c>
      <c r="D416" t="n">
        <v>1</v>
      </c>
      <c r="E416" t="n">
        <v>3</v>
      </c>
      <c r="F416">
        <f>HYPERLINK("https://www.reddit.com/r/cancer/comments/ak2s7f/worried_about_having_testicular_cancer/")</f>
        <v/>
      </c>
      <c r="G416" t="inlineStr">
        <is>
          <t>2019-01-26 09:17:32</t>
        </is>
      </c>
      <c r="H416" t="inlineStr"/>
    </row>
    <row r="417">
      <c r="A417" t="inlineStr">
        <is>
          <t>ak2v2g</t>
        </is>
      </c>
      <c r="B417" t="inlineStr">
        <is>
          <t>Is pancreatic cancer a death sentence?</t>
        </is>
      </c>
      <c r="C417" t="inlineStr">
        <is>
          <t xml:space="preserve">My mother (late 50’s) was diagnosed with stage 1 pancreatic cancer. I don’t know anything about the disease and I’m scared. I read a little about the survival rates and that wasn’t helpful. The doctor said they caught it early and she’s extremely healthy otherwise so that’s a good sign. But should I be preparing for the worst anyway? Can anyone tell me some things about the disease to help me better understand? </t>
        </is>
      </c>
      <c r="D417" t="n">
        <v>1</v>
      </c>
      <c r="E417" t="n">
        <v>12</v>
      </c>
      <c r="F417">
        <f>HYPERLINK("https://www.reddit.com/r/cancer/comments/ak2v2g/is_pancreatic_cancer_a_death_sentence/")</f>
        <v/>
      </c>
      <c r="G417" t="inlineStr">
        <is>
          <t>2019-01-26 09:25:29</t>
        </is>
      </c>
      <c r="H417" t="inlineStr"/>
    </row>
    <row r="418">
      <c r="A418" t="inlineStr">
        <is>
          <t>ak33lm</t>
        </is>
      </c>
      <c r="B418" t="inlineStr">
        <is>
          <t>Sister sent home for hospice</t>
        </is>
      </c>
      <c r="C418" t="inlineStr">
        <is>
          <t>She swollen, said she saw black and white lights, hardly move, no motivation to eat. 
Any idea what the lights mean?
How long might she have?</t>
        </is>
      </c>
      <c r="D418" t="n">
        <v>1</v>
      </c>
      <c r="E418" t="n">
        <v>1</v>
      </c>
      <c r="F418">
        <f>HYPERLINK("https://www.reddit.com/r/cancer/comments/ak33lm/sister_sent_home_for_hospice/")</f>
        <v/>
      </c>
      <c r="G418" t="inlineStr">
        <is>
          <t>2019-01-26 09:49:00</t>
        </is>
      </c>
      <c r="H418" t="inlineStr"/>
    </row>
    <row r="419">
      <c r="A419" t="inlineStr">
        <is>
          <t>ak3bap</t>
        </is>
      </c>
      <c r="B419" t="inlineStr">
        <is>
          <t>Symptoms of cancer spreading?</t>
        </is>
      </c>
      <c r="C419" t="inlineStr">
        <is>
          <t>Hi everyone! I actually have a few questions, and although I know it's always better to ask a doctor than the internet, I still wanted to just talk to regular people going through a similar situation. I apologise if it turns out to be a long post
My dad got diagnosed with lung cancer (squamous cell carcinoma) over a year ago, he beat it with only radiotherapy. He went through it like a champ and a surprising amount of bravery. But it returned last Sep-Nov and this time it's really taking a toll on him. 
He has a bunch of other issues (3 heart attacks, diabetes, major bile duct stone surgery, etc) so this time he received a very low dose chemotherapy. He was supposed to receive 4 cycles before a check up and then more if everything was okay, but right after the 3rd cycle, he caught an infection. Right now he can barely eat anything, says it feels like he's swallowing metal, extremely weak, and the worst part, I fear the pain is coming back! 
In this situation the doctor advised only to go get the check up when he is a bit stable, and chemo is a no go for now. 
If any of you or someone you know have experienced infection at this stage, please let me know what to expect and how long it usually lasts. He received IV antibiotics for it for 5 days, and two days later I still dont see an improvement. 
After eating something even mildly spicy, he says he feels what is best described as a hot electric shock type feeling in his head. What could this be? Is it because of the infection? Or should we be worried about the cancer spreading? 
He is right now at stage 4. Its a huge tumor. But as far as the last CT scan is concerned, which was done last November, the cancer hasn't spread beyond his lungs. 
The doctor said if this chemo does not work out then there will be nothing left to do for him because his other health issues puts his life at risk. How long do you think me and my family should prepare for? 
I'm so sorry for the difficult questions, but I guess I just wanted to talk about it and get as much information I could as I don't personally know anybody who has been through this. Thank you!</t>
        </is>
      </c>
      <c r="D419" t="n">
        <v>1</v>
      </c>
      <c r="E419" t="n">
        <v>3</v>
      </c>
      <c r="F419">
        <f>HYPERLINK("https://www.reddit.com/r/cancer/comments/ak3bap/symptoms_of_cancer_spreading/")</f>
        <v/>
      </c>
      <c r="G419" t="inlineStr">
        <is>
          <t>2019-01-26 10:10:32</t>
        </is>
      </c>
      <c r="H419" t="inlineStr"/>
    </row>
    <row r="420">
      <c r="A420" t="inlineStr">
        <is>
          <t>ak49cp</t>
        </is>
      </c>
      <c r="B420" t="inlineStr">
        <is>
          <t>My mom was diagnosed with stage 3 ovarian cancer. I don’t know what to do.</t>
        </is>
      </c>
      <c r="C420" t="inlineStr">
        <is>
          <t xml:space="preserve">Hi reddit. I was reading some of the threads in this post and felt both inspired and sad. I can’t wrap my head around my mom’s cancer diagnosis. I’m 22/F and a senior undergraduate, set to graduate in May. My mom found out on New Year’s Eve that she had ovarian cancer. Sorry if this is a bit long, but I need to talk about it. 
She had a hysterectomy on Wednesday and on Thursday they told her that they removed less than half of the cancer. She found out she has 3C. She’s going to start cancer as soon as she finishes healing from the hysterectomy, possibly this week. She is going the route of  research drugs because her oncologists said it’s the best way to kill the cancer. My aunt kept asking her prognosis when we met with the oncologists and I just wanted to kill her for that. I live 30 minutes away from the hospital she is going to be getting chemo at, and she lives an 1.5 hrs away from it. I told her she can always come here if she doesn’t want to go home and I will come with her to her treatments. The chemo will be for 3 days a week for multiple weeks at a time. She has an FMLA and they will hold her job for 6 months, but she is scared about not being able to pay for her home while she is undergoing chemo. I told her not to worry and my family will make sure she doesn’t lose her house. I’m scared. I’m angry. I’m sad. I’m keeping a brave face for her but as soon as I’m alone I break down. It’s hard to get out of bed. It’s hard to admit this is happening to her. It’s hard to go to class because it doesn’t even feel important anymore. I work part time and I can’t even do that because I show up and just cry, I can’t even focus on work.
She told me one of the main things she she wants is to see me graduate. Funny enough, my graduation date is on mother’s day. It’s just really hard to focus on it right now when i feel like focusing on her is so much more important. She lives alone. My brother [33/M] lives close to her but he works and can’t be there during the day. He had cancer as well when he was a child (stage 3 leukemia) and he’s terrified of watching her go through chemo. The idea of her being at home alone and sick because of the chemo is fucking devastating to me. I need advice. I want to be there for her. I love her so much. I’m just really scared, angry, and depressed. I don’t want to see her sick or see her struggle alone.
[TL;DR] Mom has stage 3 ovarian cancer and will be receiving chemo 3 times a week for several weeks, possibly months. I am a college senior and want to help but she wants me to focus on school and not on her. I’m tore up about it all and need advice. </t>
        </is>
      </c>
      <c r="D420" t="n">
        <v>1</v>
      </c>
      <c r="E420" t="n">
        <v>11</v>
      </c>
      <c r="F420">
        <f>HYPERLINK("https://www.reddit.com/r/cancer/comments/ak49cp/my_mom_was_diagnosed_with_stage_3_ovarian_cancer/")</f>
        <v/>
      </c>
      <c r="G420" t="inlineStr">
        <is>
          <t>2019-01-26 11:44:43</t>
        </is>
      </c>
      <c r="H420" t="inlineStr"/>
    </row>
    <row r="421">
      <c r="A421" t="inlineStr">
        <is>
          <t>ak4efk</t>
        </is>
      </c>
      <c r="B421" t="inlineStr">
        <is>
          <t>A question regarding recovery time from bladder cancer</t>
        </is>
      </c>
      <c r="C421" t="inlineStr">
        <is>
          <t xml:space="preserve">Dear all,
I am 27 years old and 3 months ago I was diagnosed with TA grade 2 bladder cancer. 
Thankfully they were able to remove the cancer in time before it could spread.
For preventive measures I am currently on chemotherapy with Mitomycine.
I was wondering if someone as unfortuntelly experienced the same illness, who could shine some light on his/her experience and what their recovery time was and if they are also so fatigued the whole time.
I'm trying to readjust to my previous life but the fatigue I really getting the hang of me. At the point it starts to frustrated.
Thank you and all of r/cancer I wish you all the best!
</t>
        </is>
      </c>
      <c r="D421" t="n">
        <v>1</v>
      </c>
      <c r="E421" t="n">
        <v>2</v>
      </c>
      <c r="F421">
        <f>HYPERLINK("https://www.reddit.com/r/cancer/comments/ak4efk/a_question_regarding_recovery_time_from_bladder/")</f>
        <v/>
      </c>
      <c r="G421" t="inlineStr">
        <is>
          <t>2019-01-26 11:59:11</t>
        </is>
      </c>
      <c r="H421" t="inlineStr"/>
    </row>
    <row r="422">
      <c r="A422" t="inlineStr">
        <is>
          <t>ak5cr8</t>
        </is>
      </c>
      <c r="B422" t="inlineStr">
        <is>
          <t>Hair Advice</t>
        </is>
      </c>
      <c r="C422" t="inlineStr">
        <is>
          <t>In November my mother found out she had cancer and has been going through chemo ever since. With the treatment her hair started falling off. She hadn't been self-conscious about it since we were told it'd be one of the side effects. Recently she has become very interested in finding a wig. Any advice? I don't know where to start looking for one or if theirs an organization that can help her. Thank you in advance.</t>
        </is>
      </c>
      <c r="D422" t="n">
        <v>1</v>
      </c>
      <c r="E422" t="n">
        <v>6</v>
      </c>
      <c r="F422">
        <f>HYPERLINK("https://www.reddit.com/r/cancer/comments/ak5cr8/hair_advice/")</f>
        <v/>
      </c>
      <c r="G422" t="inlineStr">
        <is>
          <t>2019-01-26 13:37:08</t>
        </is>
      </c>
      <c r="H422" t="inlineStr"/>
    </row>
    <row r="423">
      <c r="A423" t="inlineStr">
        <is>
          <t>ak5h9n</t>
        </is>
      </c>
      <c r="B423" t="inlineStr">
        <is>
          <t>Is my Mum nearing the end?</t>
        </is>
      </c>
      <c r="C423" t="inlineStr">
        <is>
          <t>Brief background - Mum diagnosed with grade 4 glioblastoma xmas 2017. had radiotherapy and a several courses of chemo. prognosis was 6 months to 2 years. she's been relatively bright and active for the last year.
&amp;amp;#x200B;
However she's suddenly deteriorated rapidly. Scans are positive. Showing no growth and even a bit of shrinkage of the tumour. But at the moment she is bed bound and we have to take assist her to the toilet, which can take about 10 minutes (bedroom to bathroom is about 5 metres walk).
&amp;amp;#x200B;
shes increasingly confused. she will think shes back in the hospital when we ask where she thinks she is. shes not had a shower for a week because its too much for her (we've tried helping but we can't persuade her), she whimpers to herself while sitting upright on the edge of the bed (dr thinks she has some sort of delusion?) and obsesses with whats left of her hair; pulling and twisting it. her eye sight has gone from poor to terrible (she looks past me when im speaking to her), shes very vacant too and not sure what i say to her actually registers, and can't so simple things like sit down without getting distressed.
&amp;amp;#x200B;
she's very dehydrated, and we're trying to get her to drink more but it's hard to get that fluid intake when shes asleep during the day (and we don't want to wake her because she's always a bit better after a long nap).
&amp;amp;#x200B;
she's also (we think) very constipated, not passed any solids for at least a week.
&amp;amp;#x200B;
i'm hoping some of it is down to the above two things, or even treatment side effects.
&amp;amp;#x200B;
it's just all very odd, and noone seems to know (nurses and drs) considering her scan results are very encouraging.
&amp;amp;#x200B;
i don't know why i wrote all this, maybe to get it off my chest, or to find out if im not alone, or what, idk.
&amp;amp;#x200B;
thanks for listening.</t>
        </is>
      </c>
      <c r="D423" t="n">
        <v>1</v>
      </c>
      <c r="E423" t="n">
        <v>2</v>
      </c>
      <c r="F423">
        <f>HYPERLINK("https://www.reddit.com/r/cancer/comments/ak5h9n/is_my_mum_nearing_the_end/")</f>
        <v/>
      </c>
      <c r="G423" t="inlineStr">
        <is>
          <t>2019-01-26 13:49:40</t>
        </is>
      </c>
      <c r="H423" t="inlineStr"/>
    </row>
    <row r="424">
      <c r="A424" t="inlineStr">
        <is>
          <t>ak5pjr</t>
        </is>
      </c>
      <c r="B424" t="inlineStr">
        <is>
          <t>Remission, again!</t>
        </is>
      </c>
      <c r="C424" t="inlineStr">
        <is>
          <t>Hi fellow warriors, I don’t think I ever actually posted here but I commented a few times and I definitely read a lot. I guess I just couldn‘t bring myself to write it all out until we were through the woods...
My mum, my best friend, made it into remission again and I‘m so happy!
On 1st Aug she was diagnosed with T3N2M0 NSCLC Adenocarinoma in her left lung. They weren’t sure she’d make it as the the tumours were already 3.5cm and one was very close to her heart. 6 weeks of radio &amp;amp; chemo to shrink the tumours away from her heart &amp;amp; ribs, and on the 7th Jan she had 8 hours of surgery; a Lobectomy to remove 2/3 of her left lung &amp;amp; the affected lymph nodes. I‘ve been her primary caregiver this whole time. She‘s been home a week now, and just got the great news from her chief surgeon &amp;amp; oncologist. They don’t want to see her for 3 months (unless something bad happens with her recovery). The pathology/histology results were all clear.
This cancer was caused by the treatment from her last dance with the devil, 25 years ago (in 1993) she had stage 2 breast cancer, which, given the time was treated with chemo, extreme radiotherapy and a radical mastectomy of her left breast. The radiotherapy they used back then was too strong, and her lung cancer was directly below the treatment point of her breast cancer. I was a child when she had breast cancer.
I‘m so happy that tears are rolling down my face, and for the first time in 7 months I feel like I can breathe again. This all started 2 days after my husband &amp;amp; I returned from our honeymoon, so the last year has been a crazy rollercoaster... he has been such a great support through all of this,, and I don’t know what I would have done without him by my side.
We still have a long road to go recovering from the surgery, and training up her lungs to get the oxygen she needs to live a normal life again, plus strength &amp;amp; appetite as she’s down to 43kg, but I know we‘ll make it.
I‘m sending all of you warriors &amp;amp; caregivers all my strength, fight on - fight strong.
One last time, FUCK CANCER!</t>
        </is>
      </c>
      <c r="D424" t="n">
        <v>1</v>
      </c>
      <c r="E424" t="n">
        <v>0</v>
      </c>
      <c r="F424">
        <f>HYPERLINK("https://www.reddit.com/r/cancer/comments/ak5pjr/remission_again/")</f>
        <v/>
      </c>
      <c r="G424" t="inlineStr">
        <is>
          <t>2019-01-26 14:12:26</t>
        </is>
      </c>
      <c r="H424" t="inlineStr"/>
    </row>
    <row r="425">
      <c r="A425" t="inlineStr">
        <is>
          <t>ak5tbp</t>
        </is>
      </c>
      <c r="B425" t="inlineStr">
        <is>
          <t>Hospice</t>
        </is>
      </c>
      <c r="C425" t="inlineStr">
        <is>
          <t>My dear friend moved into hospice.  I'm so sad. I can't even express it.  I can't stop crying. 
I'm so sorry that all of you are here, whatever brings you here.  
Fuck cancer.</t>
        </is>
      </c>
      <c r="D425" t="n">
        <v>1</v>
      </c>
      <c r="E425" t="n">
        <v>8</v>
      </c>
      <c r="F425">
        <f>HYPERLINK("https://www.reddit.com/r/cancer/comments/ak5tbp/hospice/")</f>
        <v/>
      </c>
      <c r="G425" t="inlineStr">
        <is>
          <t>2019-01-26 14:23:20</t>
        </is>
      </c>
      <c r="H425" t="inlineStr"/>
    </row>
    <row r="426">
      <c r="A426" t="inlineStr">
        <is>
          <t>ak63iq</t>
        </is>
      </c>
      <c r="B426" t="inlineStr">
        <is>
          <t>Does anyone else feel like getting cancer has really solidified your "forever alone" status!?</t>
        </is>
      </c>
      <c r="C426" t="inlineStr">
        <is>
          <t>A little background for reference: I'm female, I'm a single mom and I'm 24.
I got burned really bad in my last long term, and even burned by a guy I was just seeing. Dating has never been easy, I was okay with potentially waiting a long time for the right person. Before this whole ideal, I at least had something to offer: I made a hella cute kid, I was getting education towards a very good career, I was fully capable bodied and liked the feeling of being strong.
But now... I have cancer. Luckily my chances are pretty good, but I'll never go back to being the same pre-tumor normal. 
Having cancer really feels like it sealed my dating fate. I went from "normal" to having a tremor, poor fine motor control, bad balance, and becoming left handed, among some other things. I may never go back to my education and career. In 2 weeks I start radiation and will lose my hair too. If I was someone else, I probably wouldn't choose me either.
Now don't get me wrong, I don't NEED to be with someone, I'm perfect on my own, I would just like that and it feels like it's slipping away.
I don't really know what else I want besides to talk to people similar to me. Things situation feels really fucking unfair.</t>
        </is>
      </c>
      <c r="D426" t="n">
        <v>1</v>
      </c>
      <c r="E426" t="n">
        <v>27</v>
      </c>
      <c r="F426">
        <f>HYPERLINK("https://www.reddit.com/r/cancer/comments/ak63iq/does_anyone_else_feel_like_getting_cancer_has/")</f>
        <v/>
      </c>
      <c r="G426" t="inlineStr">
        <is>
          <t>2019-01-26 14:53:58</t>
        </is>
      </c>
      <c r="H426" t="inlineStr"/>
    </row>
    <row r="427">
      <c r="A427" t="inlineStr">
        <is>
          <t>ak6dbs</t>
        </is>
      </c>
      <c r="B427" t="inlineStr">
        <is>
          <t>Friend with leukemia</t>
        </is>
      </c>
      <c r="C427" t="inlineStr">
        <is>
          <t xml:space="preserve">A very old friend I stopped talking to because she got busy in her life and I in mine,  out of the blue she texted me saying that she got diagnosed with leukemia in 2016 and got worst in 2017, and now she's fine,  tgis news is hitting me hard, its chronic, do anyone know how she should manage her lifestyle? What is the survival rate? Aghh I am stressed out a lot </t>
        </is>
      </c>
      <c r="D427" t="n">
        <v>1</v>
      </c>
      <c r="E427" t="n">
        <v>4</v>
      </c>
      <c r="F427">
        <f>HYPERLINK("https://www.reddit.com/r/cancer/comments/ak6dbs/friend_with_leukemia/")</f>
        <v/>
      </c>
      <c r="G427" t="inlineStr">
        <is>
          <t>2019-01-26 15:23:39</t>
        </is>
      </c>
      <c r="H427" t="inlineStr"/>
    </row>
    <row r="428">
      <c r="A428" t="inlineStr">
        <is>
          <t>ak7070</t>
        </is>
      </c>
      <c r="B428" t="inlineStr">
        <is>
          <t>In remission for four months. Throwing up this week. Worried.</t>
        </is>
      </c>
      <c r="C428" t="inlineStr">
        <is>
          <t>Went through chemo for mediastinal seminoma last summer, and I've been in remission since September. This week's just been...off. Nausea in the morning. Throwing up a little. Muscles/neck sore (from the throwing up, I'm assuming). It's off and on. Mostly only during the morning hours.  
Thing is...it feels like the stuff I was doing last spring before I was diagnosed.  
I'm torn between thinking I just ran my body down last weekend with drinking a little/sugar/staying up too late and thinking "shit, cancer's back."  
When should I worry? How much should I worry? I know these really aren't questions anyone but myself can answer, but I need some support/someone to talk to so I don't overthink things right now.</t>
        </is>
      </c>
      <c r="D428" t="n">
        <v>1</v>
      </c>
      <c r="E428" t="n">
        <v>3</v>
      </c>
      <c r="F428">
        <f>HYPERLINK("https://www.reddit.com/r/cancer/comments/ak7070/in_remission_for_four_months_throwing_up_this/")</f>
        <v/>
      </c>
      <c r="G428" t="inlineStr">
        <is>
          <t>2019-01-26 16:34:17</t>
        </is>
      </c>
      <c r="H428" t="inlineStr"/>
    </row>
    <row r="429">
      <c r="A429" t="inlineStr">
        <is>
          <t>ak7tv3</t>
        </is>
      </c>
      <c r="B429" t="inlineStr">
        <is>
          <t>Recovering from tongue surgery</t>
        </is>
      </c>
      <c r="C429" t="inlineStr">
        <is>
          <t>Just diagnosed with very early stage tongue cancer.  Will be having tongue surgery next month and looking for some help on recovering from this (the surgery, especially).  Any advice about food, pain management, etc.  The surgeon thinks I will be losing about 1 cm around the site, so up to 2 cm wide, but that is just a guess.
Thanks!</t>
        </is>
      </c>
      <c r="D429" t="n">
        <v>1</v>
      </c>
      <c r="E429" t="n">
        <v>7</v>
      </c>
      <c r="F429">
        <f>HYPERLINK("https://www.reddit.com/r/cancer/comments/ak7tv3/recovering_from_tongue_surgery/")</f>
        <v/>
      </c>
      <c r="G429" t="inlineStr">
        <is>
          <t>2019-01-26 18:14:34</t>
        </is>
      </c>
      <c r="H429" t="inlineStr"/>
    </row>
    <row r="430">
      <c r="A430" t="inlineStr">
        <is>
          <t>ak9lv0</t>
        </is>
      </c>
      <c r="B430" t="inlineStr">
        <is>
          <t>People that have had (or have) lung cancer, what tipped you off/how did you find out you had it.</t>
        </is>
      </c>
      <c r="C430" t="inlineStr">
        <is>
          <t>I have smoked a pack a day for a decade or so. Lately I have had mild, ongoing chest pain. I got a chest x-ray and was told that one image out of two showed a "nodule" and that I should get another x-ray 6-8 weeks from now. My anxiety over this is high and was wondering  what other folks experience was. Thanks for any info you can provide.</t>
        </is>
      </c>
      <c r="D430" t="n">
        <v>1</v>
      </c>
      <c r="E430" t="n">
        <v>12</v>
      </c>
      <c r="F430">
        <f>HYPERLINK("https://www.reddit.com/r/cancer/comments/ak9lv0/people_that_have_had_or_have_lung_cancer_what/")</f>
        <v/>
      </c>
      <c r="G430" t="inlineStr">
        <is>
          <t>2019-01-26 22:16:53</t>
        </is>
      </c>
      <c r="H430" t="inlineStr"/>
    </row>
    <row r="431">
      <c r="A431" t="inlineStr">
        <is>
          <t>akatcb</t>
        </is>
      </c>
      <c r="B431" t="inlineStr">
        <is>
          <t>Mum: 2, Cancer: 0</t>
        </is>
      </c>
      <c r="C431" t="inlineStr">
        <is>
          <t>Hi fellow warriors, I don’t think I ever actually posted here but I commented a few times and I definitely read a lot. I guess I just couldn‘t bring myself to write it all out until we were through the woods...
My mum, my best friend, made it into remission again and I‘m so happy!
On 1st Aug she was diagnosed with T3N2M0 NSCLC Adenocarinoma in her left lung. They weren’t sure she’d make it as the the tumours were already 3.5cm and one was very close to her heart. Cue 6 weeks of radio &amp;amp; chemo to see if they could shrink the tumours away from her heart &amp;amp; ribs, to make it operable.
7th Jan she had 8 hours of surgery; a Lobectomy to remove 2/3 of her left lung &amp;amp; the affected lymph nodes. A complete success. She‘s been home a week now, and just got the great news from her chief surgeon &amp;amp; oncologist. They don’t want to see her for 3 months (unless something bad happens with her recovery). The pathology/histology results were all clear.
She‘s been so brave, and fought so hard, stayed positive &amp;amp; determined through the whole ordeal. She‘s been a champion.
This cancer was caused by the treatment from her last dance with the devil, 25 years ago (in 1993) she had stage 3 breast cancer, which, given the time, was treated with a radical mastectomy of her left breast followed by chemo &amp;amp; extreme radiotherapy. The radiotherapy they used back then was too strong, and her lung cancer was directly below the treatment point of her breast cancer. I was just a child when she had breast cancer, so I wasn’t privy to the details until I got copies of her old files for the doctors this time ‘round.
I‘m so happy that tears are rolling down my face, and for the first time in 6 months I feel like I can breathe again. This all started 2 days after my husband &amp;amp; I returned from our honeymoon, so the last year has been a crazy rollercoaster... he has been such a great support through all of this, I don’t know what I would have done without him by my side.
We still have a long road to go recovering from the surgery, and training up her lungs to get the oxygen she needs to live a normal life again, plus strength &amp;amp; appetite as she’s down to 43kg, but I know we‘ll make it. Mum: 2, Cancer: 0.
I‘m sending all of you warriors &amp;amp; caregivers all my strength, fight on - fight strong.
One last time, FUCK CANCER!</t>
        </is>
      </c>
      <c r="D431" t="n">
        <v>1</v>
      </c>
      <c r="E431" t="n">
        <v>23</v>
      </c>
      <c r="F431">
        <f>HYPERLINK("https://www.reddit.com/r/cancer/comments/akatcb/mum_2_cancer_0/")</f>
        <v/>
      </c>
      <c r="G431" t="inlineStr">
        <is>
          <t>2019-01-27 01:59:11</t>
        </is>
      </c>
      <c r="H431" t="inlineStr"/>
    </row>
    <row r="432">
      <c r="A432" t="inlineStr">
        <is>
          <t>akbv4h</t>
        </is>
      </c>
      <c r="B432" t="inlineStr">
        <is>
          <t>Terminally ill father is angry all the time</t>
        </is>
      </c>
      <c r="C432" t="inlineStr">
        <is>
          <t xml:space="preserve">My father has terminal bladder cancer , metastasized to liver and brain . We are trying all our best to make rest of life as comfortable as we can . However he is getting angry for very small issues and yelling for things happened DECADES ago . Unfortunately our mother is at receiving end of that anger most of the time . 
It is devastating for our mother already and on top of that father’s anger is making things worse for our mother . It breaks our heart to see our mother and father  like this .  
Father doesn’t know exactly that he is terminal but he  is sensing that he doesn’t have much time . I hoped he would try to talk to all of us more affectionately or  pass his wisdom or try to  do whatever makes him happy or try to do things that he wishes to do like a bucket list . Instead of doing that he is wasting his time and energy in misdirected anger . 
If you guys ever faced this then how did you guys handle it ? 
</t>
        </is>
      </c>
      <c r="D432" t="n">
        <v>1</v>
      </c>
      <c r="E432" t="n">
        <v>6</v>
      </c>
      <c r="F432">
        <f>HYPERLINK("https://www.reddit.com/r/cancer/comments/akbv4h/terminally_ill_father_is_angry_all_the_time/")</f>
        <v/>
      </c>
      <c r="G432" t="inlineStr">
        <is>
          <t>2019-01-27 05:07:30</t>
        </is>
      </c>
      <c r="H432" t="inlineStr"/>
    </row>
    <row r="433">
      <c r="A433" t="inlineStr">
        <is>
          <t>akckxp</t>
        </is>
      </c>
      <c r="B433" t="inlineStr">
        <is>
          <t>Stomach cancer</t>
        </is>
      </c>
      <c r="C433" t="inlineStr">
        <is>
          <t>Recently, a family member has been diagnosed with stomach cancer. 
I have no experience or knowledge about cancer whatsoever and I'm terrified. 
We haven't told her yet and it crushes me knowing that the survival rate for stage IIIc is so low. 
Does anyone here have any knowledge about this? Is it possible to remove the stomach and the liver (the tumor spread) in surgery? 
I'm desperate for any kind of hope, please, it is so hard for all us because she's so important to us. What can I do to help her and the family? 
I feel so ignorant of the disease and I hate myself for it.</t>
        </is>
      </c>
      <c r="D433" t="n">
        <v>1</v>
      </c>
      <c r="E433" t="n">
        <v>5</v>
      </c>
      <c r="F433">
        <f>HYPERLINK("https://www.reddit.com/r/cancer/comments/akckxp/stomach_cancer/")</f>
        <v/>
      </c>
      <c r="G433" t="inlineStr">
        <is>
          <t>2019-01-27 06:47:07</t>
        </is>
      </c>
      <c r="H433" t="inlineStr"/>
    </row>
    <row r="434">
      <c r="A434" t="inlineStr">
        <is>
          <t>akd4nn</t>
        </is>
      </c>
      <c r="B434" t="inlineStr">
        <is>
          <t>Monitoring for tumor growth entertainment</t>
        </is>
      </c>
      <c r="C434" t="inlineStr">
        <is>
          <t xml:space="preserve">You may have been around an MRI machine too many times when the tech says they're running a little behind and have a seat in the waiting area, but by listening to the sounds from the machine you know exactly how much time that is.  
It's the little things. I try to make the best of my diagnosis and how my life has changed in the 2.5 years since I found out I have stage three brain cancer.  </t>
        </is>
      </c>
      <c r="D434" t="n">
        <v>1</v>
      </c>
      <c r="E434" t="n">
        <v>19</v>
      </c>
      <c r="F434">
        <f>HYPERLINK("https://www.reddit.com/r/cancer/comments/akd4nn/monitoring_for_tumor_growth_entertainment/")</f>
        <v/>
      </c>
      <c r="G434" t="inlineStr">
        <is>
          <t>2019-01-27 07:51:21</t>
        </is>
      </c>
      <c r="H434" t="inlineStr"/>
    </row>
    <row r="435">
      <c r="A435" t="inlineStr">
        <is>
          <t>akdaq4</t>
        </is>
      </c>
      <c r="B435" t="inlineStr">
        <is>
          <t>Being on the side or cancer for 18 years</t>
        </is>
      </c>
      <c r="C435" t="inlineStr">
        <is>
          <t>Hey you!
I have no idea idea if anyone is reading this or ever but I do hope that someone will and it helps them.
So I'm not the one with cancer, my mom is, and she is currently in hospice, and this time she is losing the fight against cancer.
My mom is a proud one, and if you want to imagine her, then think of ms hyacinth from that old British TV series, just alot more caring towards her kids and partner.
My mom first got breast cancer 18 years ago, I was 12-13 at that time. I I remember that my mom didn't want to show us how bad it was, and spared me and my brother for alot of worries. The breast cancer was very bad and required 6 chemo treatments 1 operation and then 6 treatments more. After a year of hell, she beat cancer! But it came with a huge toll on her body, some of the things I remember was that I was insanely depressed and didn't want to show my parents, so I hid it away, I was brave and just smiled, helped my little brother and played with him, helped my dad all I could.
The years passed and everything was looking good, but 2012 she got sick again, with cancer... I had moved away from home, so did alot of visiting her between studies and part time jobs. But 6 chemo treatments and she survived!
Fast forward to 2015 and shit hit the fan! My mom was getting older and the previous treatments had put a toll on her body, she got diagnosed with cancer in the liver and minor places also, she was misdiagnosed by the hospital and given the wrong treatment, we considered suing them, but my mom refused to "sink to such a level". She got treated and they started to do research on her, they find out that she has a rare genetic disease, which basically creates cancer in your body at randomly, luckily it's a genetic disease that is not carried over to me or my brother in anyway!
We jump to 2017 and she gets cancer again, beats it and survives, but she basically looks +10 years older now. At the start of the treatments she keeps getting stalled until my father calls one of the head doctors and tells him what's happening, in under 48 hours she's at the hospital getting treatment yet again, only because my father called.
Start of 2018 and she gets cancer again, now the problem is that for about 1½ month she is in pain, and the hospital won't listen or try to understand what is happening. But another phone call and they then discover that her stomach is infested with some disease that creates fluids which needs to be tapped, this is basically Half big what she eats and her body needs tapping 2-3 times each day! She gets into treatment again and is stabilized somewhat. 
End of 2018 the cancer hits her again, and the fluids in her stomach goes crazy, after 2 treatments and daily care for about 2 months by my dad, we are now at current day. My mothers body is destroyed beyond belief, and she is now in the hospice getting an insane amount of medicine, her life is slowly fading away.
She should be gone in about 1-2 days, and I'm sitting here as a son that has seen what cancer does.
My advice for people reading this, if you ever encounter people that have cancer or people that have loved ones which have cancer. You can't cure them or make the pain go away, but sit down with them and talk, ask them how they feel, about their worries, about their fears, about whatever they need to talk about, but just sit and listen to them, this will help more than you can fathom!
To the people that have cancer, never give up, never yield, never lose hope and never stop talking about your problem!
If anyone wants to know anything simply write here and I will gladly try to reply</t>
        </is>
      </c>
      <c r="D435" t="n">
        <v>1</v>
      </c>
      <c r="E435" t="n">
        <v>20</v>
      </c>
      <c r="F435">
        <f>HYPERLINK("https://www.reddit.com/r/cancer/comments/akdaq4/being_on_the_side_or_cancer_for_18_years/")</f>
        <v/>
      </c>
      <c r="G435" t="inlineStr">
        <is>
          <t>2019-01-27 08:07:56</t>
        </is>
      </c>
      <c r="H435" t="inlineStr"/>
    </row>
    <row r="436">
      <c r="A436" t="inlineStr">
        <is>
          <t>akdsc4</t>
        </is>
      </c>
      <c r="B436" t="inlineStr">
        <is>
          <t>Does anyone have experience with Avastin?</t>
        </is>
      </c>
      <c r="C436" t="inlineStr">
        <is>
          <t>My mom was diagnosed with stage 1 ovarian cancer 4 years ago, beat it 3 years ago.
And last year she noticed some unusual bleeding. Took a CA-125 test and the indicators were high. She got a surgery, they removed a mass from her and started her on chemotherapy+avastin.
Now they took her off chemotherapy and only on avastin. She's been doing sessions monthly for about 7 months. Yesterday she noticed some unusual bleeding again. We're extremely concerned. She had her last CA-125 test 3 months ago and the indicators were good, scanners and tests didn't show anything 3 months ago and last month the doctors said she was doing very good and any fatigue may be due to avastin.
But the bleeding has us extremely concerned. It's very minor vaginal discharge, but we don't know if it's due to Avastin or a major reason to do the CA 125 tests and other tests again. We're doing them all tomorrow, but for today we're under major stress.
If anyone has had previous experiences with Avastin after recurrent cancer, please share. We'd love some peace of mind right now.</t>
        </is>
      </c>
      <c r="D436" t="n">
        <v>1</v>
      </c>
      <c r="E436" t="n">
        <v>4</v>
      </c>
      <c r="F436">
        <f>HYPERLINK("https://www.reddit.com/r/cancer/comments/akdsc4/does_anyone_have_experience_with_avastin/")</f>
        <v/>
      </c>
      <c r="G436" t="inlineStr">
        <is>
          <t>2019-01-27 08:57:51</t>
        </is>
      </c>
      <c r="H436" t="inlineStr"/>
    </row>
    <row r="437">
      <c r="A437" t="inlineStr">
        <is>
          <t>ake3c4</t>
        </is>
      </c>
      <c r="B437" t="inlineStr">
        <is>
          <t>Switch hospitals? Harassment to patient</t>
        </is>
      </c>
      <c r="C437" t="inlineStr">
        <is>
          <t>So my dad is In ICU at my local hospital. Every time I leave and come back he tells me how the nurse and doctor harass him and how mean they are to him. I honestly don’t trust the people  in the icu here the nurse assigned to my dad is really mean and I’m afraid to speak up because I don’t want them to harm my dad in any way (especially when I’m not here) I want to transfer him to another hospital that is close by. Is it possible for me to do that?</t>
        </is>
      </c>
      <c r="D437" t="n">
        <v>1</v>
      </c>
      <c r="E437" t="n">
        <v>13</v>
      </c>
      <c r="F437">
        <f>HYPERLINK("https://www.reddit.com/r/cancer/comments/ake3c4/switch_hospitals_harassment_to_patient/")</f>
        <v/>
      </c>
      <c r="G437" t="inlineStr">
        <is>
          <t>2019-01-27 09:28:41</t>
        </is>
      </c>
      <c r="H437" t="inlineStr"/>
    </row>
    <row r="438">
      <c r="A438" t="inlineStr">
        <is>
          <t>ake3tg</t>
        </is>
      </c>
      <c r="B438" t="inlineStr">
        <is>
          <t>Is it wrong to want to be sedated?</t>
        </is>
      </c>
      <c r="C438" t="inlineStr">
        <is>
          <t xml:space="preserve">I am currently getting my bone marrow pretreatment done. It sucks. 
I’ve never used drugs, but I keep thinking I should just say I’m in pain so they will load me up on oxy so I don’t have to cope with all the stuff going on right now, and I can just be high and relax a little. 
What are you opinions on it? 
</t>
        </is>
      </c>
      <c r="D438" t="n">
        <v>1</v>
      </c>
      <c r="E438" t="n">
        <v>6</v>
      </c>
      <c r="F438">
        <f>HYPERLINK("https://www.reddit.com/r/cancer/comments/ake3tg/is_it_wrong_to_want_to_be_sedated/")</f>
        <v/>
      </c>
      <c r="G438" t="inlineStr">
        <is>
          <t>2019-01-27 09:30:40</t>
        </is>
      </c>
      <c r="H438" t="inlineStr"/>
    </row>
    <row r="439">
      <c r="A439" t="inlineStr">
        <is>
          <t>ake3u4</t>
        </is>
      </c>
      <c r="B439" t="inlineStr">
        <is>
          <t>Is it wrong to want to be sedated?</t>
        </is>
      </c>
      <c r="C439" t="inlineStr">
        <is>
          <t xml:space="preserve">I am currently getting my bone marrow pretreatment done. It sucks. 
I’ve never used drugs, but I keep thinking I should just say I’m in pain so they will load me up on oxy so I don’t have to cope with all the stuff going on right now, and I can just be high and relax a little. 
What are you opinions on it? 
</t>
        </is>
      </c>
      <c r="D439" t="n">
        <v>1</v>
      </c>
      <c r="E439" t="n">
        <v>33</v>
      </c>
      <c r="F439">
        <f>HYPERLINK("https://www.reddit.com/r/cancer/comments/ake3u4/is_it_wrong_to_want_to_be_sedated/")</f>
        <v/>
      </c>
      <c r="G439" t="inlineStr">
        <is>
          <t>2019-01-27 09:30:43</t>
        </is>
      </c>
      <c r="H439" t="inlineStr"/>
    </row>
    <row r="440">
      <c r="A440" t="inlineStr">
        <is>
          <t>ake6kr</t>
        </is>
      </c>
      <c r="B440" t="inlineStr">
        <is>
          <t>Radiation burns</t>
        </is>
      </c>
      <c r="C440" t="inlineStr">
        <is>
          <t xml:space="preserve">I’m getting imrt radiation currently on day 22/31. They are targeting the skin since my tumor was right below the dermis. The area being radiated is my mons pubis and groin. My burns are horrific in the skin folds like the crease of my legs. I’m also currently doing chemo at the same time so my counts are plummeting. I’m scared my burns will get so severe that I’ll have to be hospitalized. Any suggestions? I’m currently using domoboro, silverdene, and aquafour. 
</t>
        </is>
      </c>
      <c r="D440" t="n">
        <v>1</v>
      </c>
      <c r="E440" t="n">
        <v>12</v>
      </c>
      <c r="F440">
        <f>HYPERLINK("https://www.reddit.com/r/cancer/comments/ake6kr/radiation_burns/")</f>
        <v/>
      </c>
      <c r="G440" t="inlineStr">
        <is>
          <t>2019-01-27 09:38:28</t>
        </is>
      </c>
      <c r="H440" t="inlineStr"/>
    </row>
    <row r="441">
      <c r="A441" t="inlineStr">
        <is>
          <t>aket64</t>
        </is>
      </c>
      <c r="B441" t="inlineStr">
        <is>
          <t>Has anyone else done the LiveStrong program at the YMCA?</t>
        </is>
      </c>
      <c r="C441" t="inlineStr">
        <is>
          <t xml:space="preserve">It’s a free 12week exercise program for anyone with or recovering from cancer and once you complete, you get a free membership for another month, opportunity for a discounted membership after that. It sounds really cool. 
My local Y is starting their LiveStrong on Feb 5th and I’m pretty excited about it. It’s twice a week. Of course the next day I have a maintenance infusion scheduled though unfortunately. I already have very little energy and after an infusion I’m obviously especially wiped out. Has anyone else done it? What has your experience been with it? </t>
        </is>
      </c>
      <c r="D441" t="n">
        <v>1</v>
      </c>
      <c r="E441" t="n">
        <v>11</v>
      </c>
      <c r="F441">
        <f>HYPERLINK("https://www.reddit.com/r/cancer/comments/aket64/has_anyone_else_done_the_livestrong_program_at/")</f>
        <v/>
      </c>
      <c r="G441" t="inlineStr">
        <is>
          <t>2019-01-27 11:01:34</t>
        </is>
      </c>
      <c r="H441" t="inlineStr"/>
    </row>
    <row r="442">
      <c r="A442" t="inlineStr">
        <is>
          <t>akg7ba</t>
        </is>
      </c>
      <c r="B442" t="inlineStr">
        <is>
          <t>The extra side effects and ignorant people</t>
        </is>
      </c>
      <c r="C442" t="inlineStr">
        <is>
          <t xml:space="preserve">As if being sick isn’t enough, why do we have to deal with random other things? I have an extremely distended stomach and people ALWAYS comment on my pregnancy. I’m not pregnant!!! I’m sick!
I suffer from a chronic illness (Neurofibromatosis 1) that predates my cancer diagnosis from this November. The NF is in my small intestine and basically prevents my body from properly absorbing nutrients. I was basically starving myself (by no choice of my own) and was put on TPN as an emergency this summer. My body barely holds onto albumin (protein) and it spills out into my stomach so I have extreme edema. I do look 9 months pregnant. I’m a tiny girl (4’11”, before the fluid I never weighed more than 95 lbs, small boned, just genetically a tiny person) and I have to suffer from an incurable disease, cancer, AND i have to look like I’m pregnant? How is that fair? I feel like shit and I have to hate how I look too? I never comment on anyone else’s body. Unless it’s confirmed I never make a remark about someone being pregnant. 
Just needed to rant. I went to an old friends bridal shower today. I’ve known her since kindergarten and  I’ll probably miss the wedding because it’s a plane ride away and just going to the dr exhausts me. This is the second wedding I’ll miss because of my illness. 
3 separate people at the shower commented on my body/pregnancy. Several stared. People have the nerve to get defensive when I awkwardly and politely say oh I’m not pregnant and walk away. I could scream in your face that it’s from tumors, but no. I am cordial and walk away before I start to cry. 
Any one else deal with STUPID side effects or peoples comments that just make you wanna scream? Sometimes it’s not even the illness that is all just too much </t>
        </is>
      </c>
      <c r="D442" t="n">
        <v>1</v>
      </c>
      <c r="E442" t="n">
        <v>14</v>
      </c>
      <c r="F442">
        <f>HYPERLINK("https://www.reddit.com/r/cancer/comments/akg7ba/the_extra_side_effects_and_ignorant_people/")</f>
        <v/>
      </c>
      <c r="G442" t="inlineStr">
        <is>
          <t>2019-01-27 13:43:29</t>
        </is>
      </c>
      <c r="H442" t="inlineStr"/>
    </row>
    <row r="443">
      <c r="A443" t="inlineStr">
        <is>
          <t>akgqss</t>
        </is>
      </c>
      <c r="B443" t="inlineStr">
        <is>
          <t>Holding back the sun (poem)</t>
        </is>
      </c>
      <c r="C443" t="inlineStr">
        <is>
          <t>Might as well try to hold back the sun,
But they did hold back the cancer, they did,
For six good months it moved backwards,
Miraculous, like the the time Joshua held the sun by shouting at it,
Did that actually really happen,
It doesn't matter, because my doctor is shouting at my cancer,
And she is my Joshua.</t>
        </is>
      </c>
      <c r="D443" t="n">
        <v>1</v>
      </c>
      <c r="E443" t="n">
        <v>2</v>
      </c>
      <c r="F443">
        <f>HYPERLINK("https://www.reddit.com/r/cancer/comments/akgqss/holding_back_the_sun_poem/")</f>
        <v/>
      </c>
      <c r="G443" t="inlineStr">
        <is>
          <t>2019-01-27 14:40:39</t>
        </is>
      </c>
      <c r="H443" t="inlineStr"/>
    </row>
    <row r="444">
      <c r="A444" t="inlineStr">
        <is>
          <t>akgwcn</t>
        </is>
      </c>
      <c r="B444" t="inlineStr">
        <is>
          <t>What do I need to expect?</t>
        </is>
      </c>
      <c r="C444" t="inlineStr">
        <is>
          <t>I have recently been diagnosed with Hodgkin’s Lymphoma. Ever since my diagnosis, my life has been turned upside down. As a 16 year old male, what do I need to expect treatment wise and how good are my chances of beating this disease?</t>
        </is>
      </c>
      <c r="D444" t="n">
        <v>1</v>
      </c>
      <c r="E444" t="n">
        <v>6</v>
      </c>
      <c r="F444">
        <f>HYPERLINK("https://www.reddit.com/r/cancer/comments/akgwcn/what_do_i_need_to_expect/")</f>
        <v/>
      </c>
      <c r="G444" t="inlineStr">
        <is>
          <t>2019-01-27 14:56:05</t>
        </is>
      </c>
      <c r="H444" t="inlineStr"/>
    </row>
    <row r="445">
      <c r="A445" t="inlineStr">
        <is>
          <t>akhz05</t>
        </is>
      </c>
      <c r="B445" t="inlineStr">
        <is>
          <t>Dealing with port bandages and broken skin</t>
        </is>
      </c>
      <c r="C445" t="inlineStr">
        <is>
          <t xml:space="preserve">Hi all. My 5yr old daughter has leukaemia. She got her port just over a month ago but removing the bandages is damaging her skin and now it’s all broken / bleeding. 
She HATES (understandably) having bandages removed but then also won’t sit still for their removal meaning things get rushed and pulled off. 
Any suggestions on how we can remove them more gently. Or things we put on her skin to help it repair. Any suggestions at all would honestly be appreciated as we have another couple of yrs of this 
</t>
        </is>
      </c>
      <c r="D445" t="n">
        <v>1</v>
      </c>
      <c r="E445" t="n">
        <v>19</v>
      </c>
      <c r="F445">
        <f>HYPERLINK("https://www.reddit.com/r/cancer/comments/akhz05/dealing_with_port_bandages_and_broken_skin/")</f>
        <v/>
      </c>
      <c r="G445" t="inlineStr">
        <is>
          <t>2019-01-27 16:47:51</t>
        </is>
      </c>
      <c r="H445" t="inlineStr"/>
    </row>
    <row r="446">
      <c r="A446" t="inlineStr">
        <is>
          <t>aki6fn</t>
        </is>
      </c>
      <c r="B446" t="inlineStr">
        <is>
          <t>My dad is never coming home again</t>
        </is>
      </c>
      <c r="C446" t="inlineStr">
        <is>
          <t xml:space="preserve">I’m staying over night in the hospital with him. His doctor says that he’s in so much pain. She says the pain is 10/10 and I didn’t know that.
He’s never complained at all. He’s fighting so hard I can take this. He’s never getting better. He’ll never see me get married or have kids. I can’t stop crying
If he survives his next step will be hospice. 
I don’t want him in pain anymore I just want him to become pain free. </t>
        </is>
      </c>
      <c r="D446" t="n">
        <v>1</v>
      </c>
      <c r="E446" t="n">
        <v>11</v>
      </c>
      <c r="F446">
        <f>HYPERLINK("https://www.reddit.com/r/cancer/comments/aki6fn/my_dad_is_never_coming_home_again/")</f>
        <v/>
      </c>
      <c r="G446" t="inlineStr">
        <is>
          <t>2019-01-27 17:10:30</t>
        </is>
      </c>
      <c r="H446" t="inlineStr"/>
    </row>
    <row r="447">
      <c r="A447" t="inlineStr">
        <is>
          <t>akifzt</t>
        </is>
      </c>
      <c r="B447" t="inlineStr">
        <is>
          <t>How bad is it?</t>
        </is>
      </c>
      <c r="C447" t="inlineStr">
        <is>
          <t>I’m wondering if anyone can estimate my fathers chance or survival and prognosis. 
He has oral cancer. A spot on the back of his tongue and two lymph nodes were removed in October 2017. He had been going for quarterly checkups and had been going well, then found more cancer this past December. It’s now back in the same spot on his tongue and has infected several lymph nodes. He said his prostate “lit up” on a PET scan but they weren’t sure if it was cancer. 
He seems to think a root canal may be part of the cause. Infection was found in a 3D scanner at the dentist under the tooth on the side he had a root canal and the cancer on his tongue. 
He doesn’t want to do radiation or chemo, so right now he’s trying all the natural stuff he can until the doctor says that chemo and radiation are “now or never”.  Right now the doctor said that timeline is a few weeks out from now. 
Has anyone heard of people who have beat cancer at this stage with natural stuff? What sort of prognosis does he have? What other natural stuff can people recommend ?</t>
        </is>
      </c>
      <c r="D447" t="n">
        <v>1</v>
      </c>
      <c r="E447" t="n">
        <v>17</v>
      </c>
      <c r="F447">
        <f>HYPERLINK("https://www.reddit.com/r/cancer/comments/akifzt/how_bad_is_it/")</f>
        <v/>
      </c>
      <c r="G447" t="inlineStr">
        <is>
          <t>2019-01-27 17:41:00</t>
        </is>
      </c>
      <c r="H447" t="inlineStr"/>
    </row>
    <row r="448">
      <c r="A448" t="inlineStr">
        <is>
          <t>akj0o1</t>
        </is>
      </c>
      <c r="B448" t="inlineStr">
        <is>
          <t>Having a cold with chemo</t>
        </is>
      </c>
      <c r="C448" t="inlineStr">
        <is>
          <t>Hi all!
I’m a 29 year old with non-Hodgkin lymphoma on R-CHOP chemo therapy. I recently got a mild cold and have chemo on Thursday. I spoke to my oncologist and he said as long as I don’t have a fever he doesn’t have to move chemo.  i wanted to see if anyone had a similar experience. I have the normal cold symptoms of runny nose, sneeze and cough and know my immune system will be knocked out for a bit when I get chemo. If the cold doesn’t go away by chemo will this make it worse? Anyone have insight?
Not looking for a medical diagnosis or anything just some insight on how to handle a situation like this.
Thanks!</t>
        </is>
      </c>
      <c r="D448" t="n">
        <v>1</v>
      </c>
      <c r="E448" t="n">
        <v>15</v>
      </c>
      <c r="F448">
        <f>HYPERLINK("https://www.reddit.com/r/cancer/comments/akj0o1/having_a_cold_with_chemo/")</f>
        <v/>
      </c>
      <c r="G448" t="inlineStr">
        <is>
          <t>2019-01-27 18:48:48</t>
        </is>
      </c>
      <c r="H448" t="inlineStr"/>
    </row>
    <row r="449">
      <c r="A449" t="inlineStr">
        <is>
          <t>akjcy1</t>
        </is>
      </c>
      <c r="B449" t="inlineStr">
        <is>
          <t>How do you deal...</t>
        </is>
      </c>
      <c r="C449" t="inlineStr">
        <is>
          <t>Hi.
About me: CLL + leomyosarcomas (stomach cancer).
Going on 1½ years.
How do you deal with friends and family just.... vanishing... 
I mean, these are people that I've been helping out with all of their stuff, big and small... I haven't really had health issues over the years, exept some spinal pains and fractures (currently broke my leg too, yay), but I literally have no support other from the nurses and my doctors... friends and family, even friends I've made on online games and spoken to for years, they've just gone blocked me when I told them I were ill. 
I feel so alone and honestly, it makes me not want to get better.. because then I'll have to be reminded everyday that everyone in my life let me down when I needed them the most.</t>
        </is>
      </c>
      <c r="D449" t="n">
        <v>1</v>
      </c>
      <c r="E449" t="n">
        <v>8</v>
      </c>
      <c r="F449">
        <f>HYPERLINK("https://www.reddit.com/r/cancer/comments/akjcy1/how_do_you_deal/")</f>
        <v/>
      </c>
      <c r="G449" t="inlineStr">
        <is>
          <t>2019-01-27 19:27:39</t>
        </is>
      </c>
      <c r="H449" t="inlineStr"/>
    </row>
    <row r="450">
      <c r="A450" t="inlineStr">
        <is>
          <t>akjupu</t>
        </is>
      </c>
      <c r="B450" t="inlineStr">
        <is>
          <t>What am I suppose to say to my dad as his health is declining?</t>
        </is>
      </c>
      <c r="C450" t="inlineStr">
        <is>
          <t>I’m sitting in the hospital room with him now but I’m afraid to speak because I am going to cry.
He is coughing more than usual and he told the nurse he didn’t want anymore pain medication even though he is in really bad shape right now.
I’m actually crying right now. He keeps saying he’s okay when he’s not.</t>
        </is>
      </c>
      <c r="D450" t="n">
        <v>1</v>
      </c>
      <c r="E450" t="n">
        <v>10</v>
      </c>
      <c r="F450">
        <f>HYPERLINK("https://www.reddit.com/r/cancer/comments/akjupu/what_am_i_suppose_to_say_to_my_dad_as_his_health/")</f>
        <v/>
      </c>
      <c r="G450" t="inlineStr">
        <is>
          <t>2019-01-27 20:28:09</t>
        </is>
      </c>
      <c r="H450" t="inlineStr"/>
    </row>
    <row r="451">
      <c r="A451" t="inlineStr">
        <is>
          <t>akk2ym</t>
        </is>
      </c>
      <c r="B451" t="inlineStr">
        <is>
          <t>Stage 4 Melanoma</t>
        </is>
      </c>
      <c r="C451" t="inlineStr">
        <is>
          <t xml:space="preserve">My father’s Melanoma came back and metastasized to his lung and brain, making him stage 4. He is 55 years old and aside from cancer, very healthy (sounds funny). Unfortunately, cancer isn’t picky. 
I’m posting for a couple reasons.
1. I am not religious but I do believe that collective energy being focused on one thing has power. So I ask that if you pray (religious or spiritual) please do so for my dad. If you focus intent or meditate on things, please do so for my dad. 
2. I’m looking to hear if anyone has had or knows someone who has had stage 4 melanoma with successful treatments. 
Here is what his treatment will look like: 
My father starts treatment tomorrow with a dual targeting drug used for those with a BRAF cell mutation. This targets the BRAF cells and reduces the tumors, basically and hopefully until they disappear. This is a short term therapy (6-9 months) because the cells become resistant to the treatment. Afterwards he will begin immunotherapy but there is a 50/50 chance of it working due to the BRAF gene mutation. 
Let me know your thoughts and please send good vibes. </t>
        </is>
      </c>
      <c r="D451" t="n">
        <v>1</v>
      </c>
      <c r="E451" t="n">
        <v>11</v>
      </c>
      <c r="F451">
        <f>HYPERLINK("https://www.reddit.com/r/cancer/comments/akk2ym/stage_4_melanoma/")</f>
        <v/>
      </c>
      <c r="G451" t="inlineStr">
        <is>
          <t>2019-01-27 20:58:07</t>
        </is>
      </c>
      <c r="H451" t="inlineStr"/>
    </row>
    <row r="452">
      <c r="A452" t="inlineStr">
        <is>
          <t>aklkjp</t>
        </is>
      </c>
      <c r="B452" t="inlineStr">
        <is>
          <t>Top Cancer Surgeons of Jaipur</t>
        </is>
      </c>
      <c r="C452" t="inlineStr">
        <is>
          <t xml:space="preserve"> There is a number of cancer surgeons in Jaipur but the question is that which one you should choose to go? Who is the best surgeon for your cancer type? Which surgeon maintains the highest success rate? The answer to all these questions will help you in knowing the best cancer surgeons in Jaipur.    
 </t>
        </is>
      </c>
      <c r="D452" t="n">
        <v>1</v>
      </c>
      <c r="E452" t="n">
        <v>0</v>
      </c>
      <c r="F452">
        <f>HYPERLINK("https://www.reddit.com/r/cancer/comments/aklkjp/top_cancer_surgeons_of_jaipur/")</f>
        <v/>
      </c>
      <c r="G452" t="inlineStr">
        <is>
          <t>2019-01-28 00:35:56</t>
        </is>
      </c>
      <c r="H452" t="inlineStr"/>
    </row>
    <row r="453">
      <c r="A453" t="inlineStr">
        <is>
          <t>aklo2o</t>
        </is>
      </c>
      <c r="B453" t="inlineStr">
        <is>
          <t>Scanxiety</t>
        </is>
      </c>
      <c r="C453" t="inlineStr">
        <is>
          <t>I have a clinic appointment with my primary oncologist tomorrow.  It's the start of my last round of chemo before I go on holiday.  I  will get the results from the scans I got last week.  I am afraid the scans will show that it's not working.  I mean, it's working, it's helping, but the cancer is growing anyway.  I can feel it.  I don't have much in the way of nerves left where the primary tumor is but it *itches* something fierce and hurts sometimes so I know it is growing despite the chemo.  I am afraid.  I am afraid of what she will say, I am afraid of what she will tell my husband.  I know what is happening, I can feel it, but I don't want to hear it.  I'm afraid of what it means.  I don't want to die.</t>
        </is>
      </c>
      <c r="D453" t="n">
        <v>1</v>
      </c>
      <c r="E453" t="n">
        <v>2</v>
      </c>
      <c r="F453">
        <f>HYPERLINK("https://www.reddit.com/r/cancer/comments/aklo2o/scanxiety/")</f>
        <v/>
      </c>
      <c r="G453" t="inlineStr">
        <is>
          <t>2019-01-28 00:53:49</t>
        </is>
      </c>
      <c r="H453" t="inlineStr"/>
    </row>
    <row r="454">
      <c r="A454" t="inlineStr">
        <is>
          <t>aklzrv</t>
        </is>
      </c>
      <c r="B454" t="inlineStr">
        <is>
          <t>Liver cancer prognosis?</t>
        </is>
      </c>
      <c r="C454" t="inlineStr">
        <is>
          <t xml:space="preserve">My dad was told Friday he has liver cancer. He has 22 pounds of fluid build up over just as many days. He is diabetic and has cirrosis caused by a diabetes medication he stopped taking ten years ago. My mom and dad seen to have their heads in the sand and my dad made a comment that he hoped to have surgery and live another five years. Everything I can find is about cirrosis or liver cancer but not both.  Does anyone out there have experience with this and if so what do you think the reality of the situation actually is? The cancer is only in his liver and has not spread from anywhere else. My parents are the kind of people who if you asked them what the prognosis is they would say oh pretty good, knowing full well it's horrible. Thanks in advance! </t>
        </is>
      </c>
      <c r="D454" t="n">
        <v>1</v>
      </c>
      <c r="E454" t="n">
        <v>4</v>
      </c>
      <c r="F454">
        <f>HYPERLINK("https://www.reddit.com/r/cancer/comments/aklzrv/liver_cancer_prognosis/")</f>
        <v/>
      </c>
      <c r="G454" t="inlineStr">
        <is>
          <t>2019-01-28 01:51:04</t>
        </is>
      </c>
      <c r="H454" t="inlineStr"/>
    </row>
    <row r="455">
      <c r="A455" t="inlineStr">
        <is>
          <t>akm7kz</t>
        </is>
      </c>
      <c r="B455" t="inlineStr">
        <is>
          <t>How badly does chemo damage your body in the long run?</t>
        </is>
      </c>
      <c r="C455" t="inlineStr">
        <is>
          <t xml:space="preserve">Sup fellow people with shitty luck. I'm a mid-twenties someone going through chemotherapy for testicular cancer, and I was wondering how fucked I'm gonna be in the long run? I'm not necessarily talking about things like neuropathy or a (temporarily) mildly impaired immune system, but more along the lines of permanent organ damage and shorter life expectancy.
Does chemo usually cause any permanent damage to your organs? Like your heart, kidneys, liver, etc. And is life expectancy going to be a lot shorter for us generally? What about possible other cancers coming from this shitty barbaric treatment? Some studies show that cancer survivors treated with chemo have shorter telomeres and thus are actually older than their actual age. 
Pretty much I'd like to know the extent of the damage that is being done to my body, and ideally if there's anything I can do to fix it post chemo. Besides a solid diet and exercise. </t>
        </is>
      </c>
      <c r="D455" t="n">
        <v>1</v>
      </c>
      <c r="E455" t="n">
        <v>19</v>
      </c>
      <c r="F455">
        <f>HYPERLINK("https://www.reddit.com/r/cancer/comments/akm7kz/how_badly_does_chemo_damage_your_body_in_the_long/")</f>
        <v/>
      </c>
      <c r="G455" t="inlineStr">
        <is>
          <t>2019-01-28 02:27:16</t>
        </is>
      </c>
      <c r="H455" t="inlineStr"/>
    </row>
    <row r="456">
      <c r="A456" t="inlineStr">
        <is>
          <t>akmk0r</t>
        </is>
      </c>
      <c r="B456" t="inlineStr">
        <is>
          <t>My girlfriends brother just got his test results back from his bowel cancer. Results turned out bad.</t>
        </is>
      </c>
      <c r="C456" t="inlineStr">
        <is>
          <t xml:space="preserve">Her brother got bowel cancer a year ago. He's been in treatment, which went pretty well. Just now he got the new results back, and they were not good. I'm not sure about the details around the cancer or the treatment, just that it's not the results we were hoping for.
My girlfriend is on her way back home from work now. She has unfortunately had multiple incidents with cancer in her family. Now this turns up, and I'm not really sure what to say or what to do, besides spending time with her and talking with her. I'm asking for some guidance. Any tips on what I should do, or what I should not do? </t>
        </is>
      </c>
      <c r="D456" t="n">
        <v>1</v>
      </c>
      <c r="E456" t="n">
        <v>1</v>
      </c>
      <c r="F456">
        <f>HYPERLINK("https://www.reddit.com/r/cancer/comments/akmk0r/my_girlfriends_brother_just_got_his_test_results/")</f>
        <v/>
      </c>
      <c r="G456" t="inlineStr">
        <is>
          <t>2019-01-28 03:24:37</t>
        </is>
      </c>
      <c r="H456" t="inlineStr"/>
    </row>
    <row r="457">
      <c r="A457" t="inlineStr">
        <is>
          <t>akng0f</t>
        </is>
      </c>
      <c r="B457" t="inlineStr">
        <is>
          <t>About Aloe vera</t>
        </is>
      </c>
      <c r="C457" t="inlineStr">
        <is>
          <t xml:space="preserve">hi there. i’m from Brasil and i in the last year, i met 6 people that had “cure cancer” with Aloe vera mixed with some other natural compounds (like allium, lemon and honey). all of them tells me the same treatment, that consists in drink that juice every morning and every night. in the begginin, i just laught and doesn believe it. but then i met a doctor that told me its really true (he knows 1 of these 6 persons, and he told me that he has marked her surgery, and really happens the surgery..... but no tumors where found!!! the exams were made 2 months before the surgery. so its really possible that this person cured her cancer in less than 45 days, considering no other treatment like chemioterapy in this period). so, what happens with Aloe vera?!?!?!?? </t>
        </is>
      </c>
      <c r="D457" t="n">
        <v>1</v>
      </c>
      <c r="E457" t="n">
        <v>2</v>
      </c>
      <c r="F457">
        <f>HYPERLINK("https://www.reddit.com/r/cancer/comments/akng0f/about_aloe_vera/")</f>
        <v/>
      </c>
      <c r="G457" t="inlineStr">
        <is>
          <t>2019-01-28 05:32:22</t>
        </is>
      </c>
      <c r="H457" t="inlineStr"/>
    </row>
    <row r="458">
      <c r="A458" t="inlineStr">
        <is>
          <t>akngnm</t>
        </is>
      </c>
      <c r="B458" t="inlineStr">
        <is>
          <t>Any experiences going through IGEV chemotherapy? (Ifosfamide, Vinorelbine, Gemcitabine)</t>
        </is>
      </c>
      <c r="C458" t="inlineStr">
        <is>
          <t>I'm going to start this IGEV chemo regimen next Monday (4th Feb) and was wondering if anybody has been through this type of chemotherapy as I cannot find anyone who has experienced this. I was diagnosed with stage 4 Hodgkin's lymphoma in 2017, after all treatment it came back and showed in my first PET scan that I had after finishing all treatment.
The drugs are: Ifosfamide, Vinorelbine, Gemcitabine, Prednisolone (Steroids), Phenytoin (Anti-Seizure drug) and GCSF injections. The main drug that caught my attention was the Phenytoin and was interested in why and what types of side affects that are caused by these chemotherapy drug that requires me to have Phentyoin.
Thanks</t>
        </is>
      </c>
      <c r="D458" t="n">
        <v>1</v>
      </c>
      <c r="E458" t="n">
        <v>2</v>
      </c>
      <c r="F458">
        <f>HYPERLINK("https://www.reddit.com/r/cancer/comments/akngnm/any_experiences_going_through_igev_chemotherapy/")</f>
        <v/>
      </c>
      <c r="G458" t="inlineStr">
        <is>
          <t>2019-01-28 05:34:47</t>
        </is>
      </c>
      <c r="H458" t="inlineStr"/>
    </row>
    <row r="459">
      <c r="A459" t="inlineStr">
        <is>
          <t>akntf5</t>
        </is>
      </c>
      <c r="B459" t="inlineStr">
        <is>
          <t>Stage 4 pancreatic cancer and liver is failing so they offered no treatment! Please help!</t>
        </is>
      </c>
      <c r="C459" t="inlineStr">
        <is>
          <t xml:space="preserve">I live in Michigan,  United States. I’m 34. I was diagnosed with stage 4 pancreatic cancer January 7th. Tests and procedures showed the cancer spread to my liver and is making my liver fail. Because of the liver I will not be treated with chemo. Please guys help me are there other options? Alternative medicine? Alternative doctors? Any doctors out of the country? All they have offered is hospice!!! Please help! I know there’s no cure but if I can at least get treated I can die saying at least I fought! </t>
        </is>
      </c>
      <c r="D459" t="n">
        <v>1</v>
      </c>
      <c r="E459" t="n">
        <v>22</v>
      </c>
      <c r="F459">
        <f>HYPERLINK("https://www.reddit.com/r/cancer/comments/akntf5/stage_4_pancreatic_cancer_and_liver_is_failing_so/")</f>
        <v/>
      </c>
      <c r="G459" t="inlineStr">
        <is>
          <t>2019-01-28 06:16:34</t>
        </is>
      </c>
      <c r="H459" t="inlineStr"/>
    </row>
    <row r="460">
      <c r="A460" t="inlineStr">
        <is>
          <t>ako81l</t>
        </is>
      </c>
      <c r="B460" t="inlineStr">
        <is>
          <t>#GiveKidsKesem at UNCW (free camp for kids affected by a parents cancer)</t>
        </is>
      </c>
      <c r="C460" t="inlineStr">
        <is>
          <t>Vote to #GiveKidsKesem at UNCW. CK provides a free week of summer camp for children affected by a parents cancer. Vote daily from Jan 28-Feb 2 at vote.campkesem.org. VOTE FOR UNCW. Thank you.</t>
        </is>
      </c>
      <c r="D460" t="n">
        <v>1</v>
      </c>
      <c r="E460" t="n">
        <v>0</v>
      </c>
      <c r="F460">
        <f>HYPERLINK("https://www.reddit.com/r/cancer/comments/ako81l/givekidskesem_at_uncw_free_camp_for_kids_affected/")</f>
        <v/>
      </c>
      <c r="G460" t="inlineStr">
        <is>
          <t>2019-01-28 07:03:02</t>
        </is>
      </c>
      <c r="H460" t="inlineStr"/>
    </row>
    <row r="461">
      <c r="A461" t="inlineStr">
        <is>
          <t>akomsj</t>
        </is>
      </c>
      <c r="B461" t="inlineStr">
        <is>
          <t>Stop telling me about your friend that died from cancer!</t>
        </is>
      </c>
      <c r="C461" t="inlineStr">
        <is>
          <t xml:space="preserve">Jesus fuck I can't even count the amount of times in only the three months I've known about the cancer that people have told me about a loved one that died of cancer!  Why do you think I want to hear that? What went through your mind that said "this will be encouraging!"?
And why do people think it's inspiring to spount out things like "enjoy the time you have left!" " we aren't promised tomorrow!".  I'm not dying yet! I literally just found out, I don't even know what my outlook is!  
What's so hard about saying "man that sucks" or "can I come do something for you?"  And why, if they do offer, is it only for them to cook me something? I can't even look at certain foods sometimes thanks to the chemo and you want to bring me friend chicken and garlic mashed potatoes? Would you want to eat that if you were sick? </t>
        </is>
      </c>
      <c r="D461" t="n">
        <v>1</v>
      </c>
      <c r="E461" t="n">
        <v>99</v>
      </c>
      <c r="F461">
        <f>HYPERLINK("https://www.reddit.com/r/cancer/comments/akomsj/stop_telling_me_about_your_friend_that_died_from/")</f>
        <v/>
      </c>
      <c r="G461" t="inlineStr">
        <is>
          <t>2019-01-28 07:45:02</t>
        </is>
      </c>
      <c r="H461" t="inlineStr"/>
    </row>
    <row r="462">
      <c r="A462" t="inlineStr">
        <is>
          <t>akp7hs</t>
        </is>
      </c>
      <c r="B462" t="inlineStr">
        <is>
          <t>Ovarian cancer</t>
        </is>
      </c>
      <c r="C462" t="inlineStr">
        <is>
          <t xml:space="preserve">I had ovarian cancer (very early) 3 years ago. I have a 2.5cm cyst on my remaining ovary. At my last ultrasound it was simple, yesterday's scan shows it is now complex. Should I be concerned? Obviously will be talking to my doctor. </t>
        </is>
      </c>
      <c r="D462" t="n">
        <v>1</v>
      </c>
      <c r="E462" t="n">
        <v>1</v>
      </c>
      <c r="F462">
        <f>HYPERLINK("https://www.reddit.com/r/cancer/comments/akp7hs/ovarian_cancer/")</f>
        <v/>
      </c>
      <c r="G462" t="inlineStr">
        <is>
          <t>2019-01-28 08:41:51</t>
        </is>
      </c>
      <c r="H462" t="inlineStr"/>
    </row>
    <row r="463">
      <c r="A463" t="inlineStr">
        <is>
          <t>akpaew</t>
        </is>
      </c>
      <c r="B463" t="inlineStr">
        <is>
          <t>I am recovering and feeling guilty for not being super happy</t>
        </is>
      </c>
      <c r="C463" t="inlineStr">
        <is>
          <t>Dear redditers,
About a month ago i got diagnosed (again, since 13years) with spinal cancer. I had an ependymoma growing in my spinal canal, which was removed in july. Surgery went well, though they didn’t remove everything because it was too stuck on the nerves. I have some nerves damaged (left leg, bladder) bit still able to walk and gettin my energy back. 
I expected to come out of this all stronger than i was before. I expected to have an increased drive of making something of my life and my ambitions. Instead, i feel depressed, insecure and not sure what i want to do with my life. I used to be so motivated to do everything i like, and now it seems that this spirit has left me. I don’t understand, because i was so lucky. Can anyone relate?</t>
        </is>
      </c>
      <c r="D463" t="n">
        <v>1</v>
      </c>
      <c r="E463" t="n">
        <v>0</v>
      </c>
      <c r="F463">
        <f>HYPERLINK("https://www.reddit.com/r/cancer/comments/akpaew/i_am_recovering_and_feeling_guilty_for_not_being/")</f>
        <v/>
      </c>
      <c r="G463" t="inlineStr">
        <is>
          <t>2019-01-28 08:49:27</t>
        </is>
      </c>
      <c r="H463" t="inlineStr"/>
    </row>
    <row r="464">
      <c r="A464" t="inlineStr">
        <is>
          <t>akpmxf</t>
        </is>
      </c>
      <c r="B464" t="inlineStr">
        <is>
          <t>Moms third attempt at chemo!</t>
        </is>
      </c>
      <c r="C464" t="inlineStr">
        <is>
          <t xml:space="preserve">Hi everyone!
Today my mom [54 stage 4 uterine cancer] will have her third attempt at chemo.
The first two times went horrific. Stopped breathing both times, second time having a seizure ending up in the ER shortly after.
We are trying inpatient chemo this time and hopefully her body will accept it. Third time's a charm??
We are all super super nervous. My mom especially. 
But, I feel the most positive today. 
I also had a dream last night that it went well, so maybe that's adding on to my positivity.
</t>
        </is>
      </c>
      <c r="D464" t="n">
        <v>1</v>
      </c>
      <c r="E464" t="n">
        <v>9</v>
      </c>
      <c r="F464">
        <f>HYPERLINK("https://www.reddit.com/r/cancer/comments/akpmxf/moms_third_attempt_at_chemo/")</f>
        <v/>
      </c>
      <c r="G464" t="inlineStr">
        <is>
          <t>2019-01-28 09:22:32</t>
        </is>
      </c>
      <c r="H464" t="inlineStr"/>
    </row>
    <row r="465">
      <c r="A465" t="inlineStr">
        <is>
          <t>akqla9</t>
        </is>
      </c>
      <c r="B465" t="inlineStr">
        <is>
          <t>MRI vs Ultrasound</t>
        </is>
      </c>
      <c r="C465" t="inlineStr">
        <is>
          <t>I got a thumbs up from my surgeon saying my MRI looked stable (for recurrent thyroid cancer), but he said let’s wait until my next ultrasounds before truly declaring it. 
Does anyone know what we would be seeing differently on the ultrasound? I do have a new lump in my neck that didn’t seem to show up on the MRI, but I took that to mean that it wasn’t cancer. 
Just wondering if I should move my ultrasound sooner. Though living in limbo has been blissful. 
Anyway, thanks to anyone who has any info. 
❤️</t>
        </is>
      </c>
      <c r="D465" t="n">
        <v>1</v>
      </c>
      <c r="E465" t="n">
        <v>2</v>
      </c>
      <c r="F465">
        <f>HYPERLINK("https://www.reddit.com/r/cancer/comments/akqla9/mri_vs_ultrasound/")</f>
        <v/>
      </c>
      <c r="G465" t="inlineStr">
        <is>
          <t>2019-01-28 10:52:00</t>
        </is>
      </c>
      <c r="H465" t="inlineStr"/>
    </row>
    <row r="466">
      <c r="A466" t="inlineStr">
        <is>
          <t>akrywb</t>
        </is>
      </c>
      <c r="B466" t="inlineStr">
        <is>
          <t>How to make somebody's radiotherapy &amp;amp; hospital stay a bit easier?</t>
        </is>
      </c>
      <c r="C466" t="inlineStr">
        <is>
          <t>I hope this is a good place to ask this, if not, mods please remove this post. 
Hello, cancer warriors and their loved ones. My mom's best friend has been diagnosed with endometrial cancer, already underwent surgery to remove it but due to the tumor grade she will also need radiotherapy. A few days ago she got admitted a the radiotherapy clinic in the city where I live in, which is kinda far from our hometown so my mom won't be able to visit her. Instead, she wanted to send her best wishes for a speedy recovery through me, and I will be visiting this lady in a day or two.
I wanted to make her a gift basket with things that could come in handy for her, but I am not sure what to put in it. Pinterest has tons of chemo gift baskets but not much for radiotherapy, so I'm not sure whether it's going to be a good idea to just copy the components of a chemo basket.
I thought about including simple things like lip balm, hand lotion, hand sanitizer, mints, hard candy, wet wipes, a comedy book, paper tissues, crosswords and such. I will also be getting her some flowers. From your experience, what do you thing would be good to include in the gift basket for this lady? I don't know her too well, but I want to help her go through this as easy as it gets. Thank you in advance.</t>
        </is>
      </c>
      <c r="D466" t="n">
        <v>1</v>
      </c>
      <c r="E466" t="n">
        <v>4</v>
      </c>
      <c r="F466">
        <f>HYPERLINK("https://www.reddit.com/r/cancer/comments/akrywb/how_to_make_somebodys_radiotherapy_hospital_stay/")</f>
        <v/>
      </c>
      <c r="G466" t="inlineStr">
        <is>
          <t>2019-01-28 12:57:38</t>
        </is>
      </c>
      <c r="H466" t="inlineStr"/>
    </row>
    <row r="467">
      <c r="A467" t="inlineStr">
        <is>
          <t>aks2l9</t>
        </is>
      </c>
      <c r="B467" t="inlineStr">
        <is>
          <t>Fils cancer</t>
        </is>
      </c>
      <c r="C467" t="inlineStr">
        <is>
          <t xml:space="preserve">My father in law had prostrate cancer. I say had bc we thought he beat it.  he was free for 3 years. It metastasized.  He has had radiation to treat his spine and his shoulder.  He was half way though his chemo when they did a scan and saw that the tiny spot in his lung and liver have grown.  We are now waiting for a biopsy to see if this is still prostrate cancer.  Has anyone ever been here before?  What should we expect?  We have two young boys that do not know any of this, we are planning a trip to visit him as soon as possible.  I guess Im just at a loss of what to do, or even what to say.  </t>
        </is>
      </c>
      <c r="D467" t="n">
        <v>1</v>
      </c>
      <c r="E467" t="n">
        <v>0</v>
      </c>
      <c r="F467">
        <f>HYPERLINK("https://www.reddit.com/r/cancer/comments/aks2l9/fils_cancer/")</f>
        <v/>
      </c>
      <c r="G467" t="inlineStr">
        <is>
          <t>2019-01-28 13:06:40</t>
        </is>
      </c>
      <c r="H467" t="inlineStr"/>
    </row>
    <row r="468">
      <c r="A468" t="inlineStr">
        <is>
          <t>aksgyu</t>
        </is>
      </c>
      <c r="B468" t="inlineStr">
        <is>
          <t>Chronic Myeloid Leukemia</t>
        </is>
      </c>
      <c r="C468" t="inlineStr">
        <is>
          <t>Hey all! I have been a lurker for a while now and thought maybe someone has some advice for me. I'm not a native english speaker so sorry in advance if I'm not making any sense.
I was diagnosed with CML in december and I have been on Imatinib since december 28th. Some days are just fine and I'm even feeling positive but some days are really bad. My bones are really painful and it worries me. It's mostly in my legs and knees so I have some trouble walking or even sitting down to the toilet. Sometimes my arms and wrists hurt, sometimes my hips etc. My doctor told me that it's normal, and it means the pills are working. 
I guess I'm looking for recommendations how to overcome the pain and for somebody to tell me that it's not going to be like this forever. 
I'm mostly in bed but still in agony. I also just started my last semester in uni and I am really hoping to finish it in spring. I'm trying to stay positive but it's hard when I'm in such pain. 
My white blood cell count was back to normal last week (it was almost 300 when I was diagnosed and last week it was 5.5) and the doctor said that now we are going to wait and see how the cancers in bones are going to go down(?) I'm not sure what the right expression is. So that's the good news I guess. I'm still afraid that something bad is going to happen and that my health is going to get worse. The bone pain is not helping. 
I guess I needed to get it off my chest. Thanks.</t>
        </is>
      </c>
      <c r="D468" t="n">
        <v>1</v>
      </c>
      <c r="E468" t="n">
        <v>3</v>
      </c>
      <c r="F468">
        <f>HYPERLINK("https://www.reddit.com/r/cancer/comments/aksgyu/chronic_myeloid_leukemia/")</f>
        <v/>
      </c>
      <c r="G468" t="inlineStr">
        <is>
          <t>2019-01-28 13:42:26</t>
        </is>
      </c>
      <c r="H468" t="inlineStr"/>
    </row>
    <row r="469">
      <c r="A469" t="inlineStr">
        <is>
          <t>akvafo</t>
        </is>
      </c>
      <c r="B469" t="inlineStr">
        <is>
          <t>Tips/recommendations on how to volunteer?</t>
        </is>
      </c>
      <c r="C469" t="inlineStr">
        <is>
          <t>Recently hit the 5 year mark for remission and everything is good, so I want to volunteer, but I’m not sure how to. I’m just a graphic designer and little volunteer experience. Anyone have any recommendations or tips on volunteering with cancer related things?</t>
        </is>
      </c>
      <c r="D469" t="n">
        <v>1</v>
      </c>
      <c r="E469" t="n">
        <v>2</v>
      </c>
      <c r="F469">
        <f>HYPERLINK("https://www.reddit.com/r/cancer/comments/akvafo/tipsrecommendations_on_how_to_volunteer/")</f>
        <v/>
      </c>
      <c r="G469" t="inlineStr">
        <is>
          <t>2019-01-28 18:27:11</t>
        </is>
      </c>
      <c r="H469" t="inlineStr"/>
    </row>
    <row r="470">
      <c r="A470" t="inlineStr">
        <is>
          <t>akvevy</t>
        </is>
      </c>
      <c r="B470" t="inlineStr">
        <is>
          <t>Cancer related advice! Any knowledge appreciated!</t>
        </is>
      </c>
      <c r="C470" t="inlineStr">
        <is>
          <t xml:space="preserve">Hello! I am a 26 year old female who has recently relapsed from Hodgkins Lymphoma. In order to determine if the cancer is truly the same kind (which my oncologist is 99.9 percent sure it is), they have to biopsy an entire lymph node. 
Here’s where the advice comes to play: 
My spots are teeny tiny to begin with. The only place they are able to remove the lymph node due to it’s tiny size is underneath my armpit. I met with a surgeon today who told me how ugly the procedure is. Apparently there’s a HUGE risk of infection, they will have to put a drain in my armpit and I might have to be hospitalized. 
Right now, I’m feeling great. No symptoms, I’m eating, going to the gym, going to work, and other than cancer... I’m healthy...ish. 
Should I go through the procedure? Honestly, I don’t want to because I feel like it will do more harm than good right now. </t>
        </is>
      </c>
      <c r="D470" t="n">
        <v>1</v>
      </c>
      <c r="E470" t="n">
        <v>3</v>
      </c>
      <c r="F470">
        <f>HYPERLINK("https://www.reddit.com/r/cancer/comments/akvevy/cancer_related_advice_any_knowledge_appreciated/")</f>
        <v/>
      </c>
      <c r="G470" t="inlineStr">
        <is>
          <t>2019-01-28 18:40:31</t>
        </is>
      </c>
      <c r="H470" t="inlineStr"/>
    </row>
    <row r="471">
      <c r="A471" t="inlineStr">
        <is>
          <t>akw680</t>
        </is>
      </c>
      <c r="B471" t="inlineStr">
        <is>
          <t>Hubby's New Diagnosis: Recurrence of Ewing's Sarcoma</t>
        </is>
      </c>
      <c r="C471" t="inlineStr">
        <is>
          <t xml:space="preserve">Hello all,
About nine months ago I posted about nodules on my husband's right lung.  I'll spare you the story, but the long and the short of it is that they ended up being metastases of his colon cancer.  I looked back at his old CAT scan reports, and it looks like the lung metastases were always there going back to 2015; the spots were too small to biopsy at the time, plus they responded to the chemo and were shrinking.  The assumption at the time was that it was some sort of infection and to monitor the spots.  I've made peace with that, and hubby's oncologist was hopeful that the surgery would be curative for the colon cancer.  From there, we moved to CAT scans every three months because there was concern that new spots could show up.
Low and behold, a new tumor shows up in my husband's abdomen amongst his small intestine between a clean scan in September and at the end of November (3.0 cm x 5.0 cm x 5.0cm, so not a good sign when there was nothing sown on the previous scan).  Within 3.5 weeks, he had surgery to have it removed.  The surgeon was confident that it wasn't colon cancer as the visual presentation of the tumor wasn't consistent with colon cancer, but that of a lymphoma or a sarcoma.   We found out today that the tumor is indeed a sarcoma, but more frighteningly, it is a recurrence of his Ewing's Sarcoma.  My husband is 30 and he finished treatment of his Ewing's when he was 12 or 13.  I can understand why this also wouldn't be on anyone's radar because his treatment for this finished almost 20 years ago.
To say we are terrified is an understatement.  My husband went through high dose chemo, stem cell transplant, and radiation as a kid and there are already concerns that his treatment options will be limited due to his previous treatment and the damage the chemo did to his body.  His father graciously paid for FoundationOne to do a genome sequence on the tumor (we're in Canada), but we haven't gotten those results yet.  I'm holding out hope that there is some new form of chemo that my husband can have or some sort of targetted therapy that is either approved for treatment or currently undergoing clinical trial that he could qualify for.  Either way, it feels like we can't catch a break when it comes to cancer.   We spent the first year of our marriage dealing with his colon cancer, and last year was dominated by both the lung mets and now this new Ewing's met.  
I know that the odds are not stacked in his favour right now, but I'm wondering if anyone has heard of any sort of new therapy for Ewing's outside of the traditional cancer treatment that is sounding promising?  </t>
        </is>
      </c>
      <c r="D471" t="n">
        <v>1</v>
      </c>
      <c r="E471" t="n">
        <v>2</v>
      </c>
      <c r="F471">
        <f>HYPERLINK("https://www.reddit.com/r/cancer/comments/akw680/hubbys_new_diagnosis_recurrence_of_ewings_sarcoma/")</f>
        <v/>
      </c>
      <c r="G471" t="inlineStr">
        <is>
          <t>2019-01-28 20:04:12</t>
        </is>
      </c>
      <c r="H471" t="inlineStr"/>
    </row>
    <row r="472">
      <c r="A472" t="inlineStr">
        <is>
          <t>akw73j</t>
        </is>
      </c>
      <c r="B472" t="inlineStr">
        <is>
          <t>How to cope with possible cancer/anxiety</t>
        </is>
      </c>
      <c r="C472" t="inlineStr">
        <is>
          <t>I am a 23 year old male. I have limited family history. My mom had thyroid cancer in her upper 20s/low 30s and is now doing fine in her upper 40s. Her mom had colon cancer and died at 38. I dont know anything about because I wasnt even born yet. I recently have had left side stomach discomfort/pain. I had a ct scan at the ER and they found 2 things: 
1) I dont have a left kidney and was likely born this way. I think its kinda cool so not worried about this. They did a pee test and blood test and nothing abnormal came back. Plus my pee looks normal so thats cool.
2) The doctor said there was some inflammation on the colon and gave me some antibiotics. 
&amp;amp;#x200B;
Since I am scared it is cancer I decided to have a colonoscopy. They found 1 polyp but I was still under from the anesthesia so I have no idea how big it was. All the nurse gave me was a photo of it. It looks small. 
&amp;amp;#x200B;
The doctor scheduled a follow up 2 weeks later. I go in on the 31st. I still have a slight discomfort in my left lower side. My appetite hasn't been the same since the discomfort. I have convinced myself I have cancer somewhere and I will die. I emailed the doctor and a nurse replied saying the biopsy came back "normal". I dont think polyps are normal at 23 but ok. 
&amp;amp;#x200B;
I am scared but more scared for my family and girlfriend. I just want to buy a house and have a family someday.  sorry for the long post. I know some of you are in a much worse situation and I dont deserve your time. 
&amp;amp;#x200B;</t>
        </is>
      </c>
      <c r="D472" t="n">
        <v>1</v>
      </c>
      <c r="E472" t="n">
        <v>7</v>
      </c>
      <c r="F472">
        <f>HYPERLINK("https://www.reddit.com/r/cancer/comments/akw73j/how_to_cope_with_possible_canceranxiety/")</f>
        <v/>
      </c>
      <c r="G472" t="inlineStr">
        <is>
          <t>2019-01-28 20:06:55</t>
        </is>
      </c>
      <c r="H472" t="inlineStr"/>
    </row>
    <row r="473">
      <c r="A473" t="inlineStr">
        <is>
          <t>akw7uy</t>
        </is>
      </c>
      <c r="B473" t="inlineStr">
        <is>
          <t>Some info from survivors and those that have been through it?</t>
        </is>
      </c>
      <c r="C473" t="inlineStr">
        <is>
          <t>My mom was diagnosed with non hodgkin's lymphoma, diffused Large B cell lymphoma  on Christmas 2018. She is stage 2 and just finished her first (5days straight of chemo, followed by shots that stimulates her bone marrow to make more white blood cells, then a week off) round out of 6 or 7. She has a low level of tolerance to medication.  All the opioids are backing her up and she want able to poop for 10 days. Here is where we are currently at. She feels like her stomach lining is gone and she cant tolerate any medication or much food. She said it feels like an ulcer.  What worked for you when you got backed up? How do you keep your digestive tract healthy?? Advice?</t>
        </is>
      </c>
      <c r="D473" t="n">
        <v>1</v>
      </c>
      <c r="E473" t="n">
        <v>3</v>
      </c>
      <c r="F473">
        <f>HYPERLINK("https://www.reddit.com/r/cancer/comments/akw7uy/some_info_from_survivors_and_those_that_have_been/")</f>
        <v/>
      </c>
      <c r="G473" t="inlineStr">
        <is>
          <t>2019-01-28 20:09:22</t>
        </is>
      </c>
      <c r="H473" t="inlineStr"/>
    </row>
    <row r="474">
      <c r="A474" t="inlineStr">
        <is>
          <t>akwkck</t>
        </is>
      </c>
      <c r="B474" t="inlineStr">
        <is>
          <t>My mom passed away on Friday. Flying back home to an empty apartment has been the hardest part.</t>
        </is>
      </c>
      <c r="C474" t="inlineStr">
        <is>
          <t>My mom died very suddenly from lung cancer. It had been undiagnosed for a few months and was too aggressive to treat, so we opted to pursue hospice care instead.
I had to fly from another coast to see my mother before she passed. By then she could no longer speak and only occasionally opened her eyes, as if to acknowledge that she knew we were with her. Then, just two days later, she was gone.
It happened too fast to even comprehend that my mother had just died. I kept myself busy by planning a memorial ceremony for the weekend and talking to relatives I hadn't seen in years. I felt useful again; I could forget about the powerlessness and the death and the gaping hole where my mother had been.
Being surrounded by people gave me a purpose, a reason to focus on something or someone else. Tonight, I flew back home and returned to my apartment, empty except for myself, for the first time. And this is the hardest part, because the constant attention of other people is beginning to fade; now I have to start to manage my own thoughts.
Where do I go from here?</t>
        </is>
      </c>
      <c r="D474" t="n">
        <v>1</v>
      </c>
      <c r="E474" t="n">
        <v>15</v>
      </c>
      <c r="F474">
        <f>HYPERLINK("https://www.reddit.com/r/cancer/comments/akwkck/my_mom_passed_away_on_friday_flying_back_home_to/")</f>
        <v/>
      </c>
      <c r="G474" t="inlineStr">
        <is>
          <t>2019-01-28 20:51:41</t>
        </is>
      </c>
      <c r="H474" t="inlineStr"/>
    </row>
    <row r="475">
      <c r="A475" t="inlineStr">
        <is>
          <t>akyfus</t>
        </is>
      </c>
      <c r="B475" t="inlineStr">
        <is>
          <t>Vote to #GiveKidsKesem at UNCW. CK provides a free week of camp for children affected by a parents cancer.</t>
        </is>
      </c>
      <c r="C475" t="inlineStr">
        <is>
          <t>Vote to #GiveKidsKesem at UNCW. CK provides a free week of summer camp for children affected by a parents cancer. Vote daily from Jan 28-Feb 2 at [vote.campkesem.org](http://vote.campkesem.org/). VOTE FOR UNCW. Thank you.</t>
        </is>
      </c>
      <c r="D475" t="n">
        <v>1</v>
      </c>
      <c r="E475" t="n">
        <v>0</v>
      </c>
      <c r="F475">
        <f>HYPERLINK("https://www.reddit.com/r/cancer/comments/akyfus/vote_to_givekidskesem_at_uncw_ck_provides_a_free/")</f>
        <v/>
      </c>
      <c r="G475" t="inlineStr">
        <is>
          <t>2019-01-29 01:37:27</t>
        </is>
      </c>
      <c r="H475" t="inlineStr"/>
    </row>
    <row r="476">
      <c r="A476" t="inlineStr">
        <is>
          <t>al085j</t>
        </is>
      </c>
      <c r="B476" t="inlineStr">
        <is>
          <t>Recommendations for multivitamin brands?</t>
        </is>
      </c>
      <c r="C476" t="inlineStr">
        <is>
          <t>Does anyone, after having done some research into a multivitamin manufacturer in terms of their vitamin sources, have a multivitamin brand they recommend?
In remission and trying to live a better existence.  
In other words, is there a multivitamin supplier that you believe is reputable?</t>
        </is>
      </c>
      <c r="D476" t="n">
        <v>1</v>
      </c>
      <c r="E476" t="n">
        <v>7</v>
      </c>
      <c r="F476">
        <f>HYPERLINK("https://www.reddit.com/r/cancer/comments/al085j/recommendations_for_multivitamin_brands/")</f>
        <v/>
      </c>
      <c r="G476" t="inlineStr">
        <is>
          <t>2019-01-29 05:56:52</t>
        </is>
      </c>
      <c r="H476" t="inlineStr"/>
    </row>
    <row r="477">
      <c r="A477" t="inlineStr">
        <is>
          <t>al09lo</t>
        </is>
      </c>
      <c r="B477" t="inlineStr">
        <is>
          <t>Acute Lymphoblastic Leukaemia</t>
        </is>
      </c>
      <c r="C477" t="inlineStr">
        <is>
          <t>Anyone with or have had this form of leukaemia? 
I’m currently 5 months into treatment for it and feeling slightly lonely as I’ve barely spoken to anyone with it.
Thanks</t>
        </is>
      </c>
      <c r="D477" t="n">
        <v>1</v>
      </c>
      <c r="E477" t="n">
        <v>5</v>
      </c>
      <c r="F477">
        <f>HYPERLINK("https://www.reddit.com/r/cancer/comments/al09lo/acute_lymphoblastic_leukaemia/")</f>
        <v/>
      </c>
      <c r="G477" t="inlineStr">
        <is>
          <t>2019-01-29 06:01:48</t>
        </is>
      </c>
      <c r="H477" t="inlineStr"/>
    </row>
    <row r="478">
      <c r="A478" t="inlineStr">
        <is>
          <t>al275n</t>
        </is>
      </c>
      <c r="B478" t="inlineStr">
        <is>
          <t>Keto and Cancer, does it help?</t>
        </is>
      </c>
      <c r="C478" t="inlineStr">
        <is>
          <t>I apologize if this question is stupid, but does anyone have any experience with using the ketogenic diet as a way to prevent cancer from growing or to aid with treatment. 
I'd love to hear from anyone who's done keto and how it affected their cancer (if it did at all) 
Again, I'm so sorry if this is an ignorant question, but I'm desperate for any sort of help. 
Thank you so much.</t>
        </is>
      </c>
      <c r="D478" t="n">
        <v>1</v>
      </c>
      <c r="E478" t="n">
        <v>10</v>
      </c>
      <c r="F478">
        <f>HYPERLINK("https://www.reddit.com/r/cancer/comments/al275n/keto_and_cancer_does_it_help/")</f>
        <v/>
      </c>
      <c r="G478" t="inlineStr">
        <is>
          <t>2019-01-29 09:15:43</t>
        </is>
      </c>
      <c r="H478" t="inlineStr"/>
    </row>
    <row r="479">
      <c r="A479" t="inlineStr">
        <is>
          <t>al4pog</t>
        </is>
      </c>
      <c r="B479" t="inlineStr">
        <is>
          <t>Mother diagnosed with stage 1A Lung Cancer</t>
        </is>
      </c>
      <c r="C479" t="inlineStr">
        <is>
          <t xml:space="preserve">My 64 year old mother was diagnosed today with stage 1A (from what I gather) lung cancer. The growth is 3 CM in size. She sees a pulmonologist for more info on Monday. 
I’ve done some quick browsing online on what this really means but it’s always good to hear from those that may have had some experience either themselves or with a loved one of this scenario.
She is a smoker (for well over 30 years on and off), obviously without being too harsh being she was already upset about the news I asked her if she plans on quitting. Her response was not today but I don’t plan on smoking a cigarette past the weekend. I accepted the answer for now, I’ll continue to push if she’s not true to her word. I kept things very positive and pointed out good stats I read. 
One stat I didn’t want to share was the 49% 5 year survival rate. Although that’s pretty high for serious forms of cancer I assume, 50/50 isn’t much of an uplifting thing. I’m ok with hearing whatever news, just would like to hear some stories. Thanks </t>
        </is>
      </c>
      <c r="D479" t="n">
        <v>3</v>
      </c>
      <c r="E479" t="n">
        <v>17</v>
      </c>
      <c r="F479">
        <f>HYPERLINK("https://www.reddit.com/r/cancer/comments/al4pog/mother_diagnosed_with_stage_1a_lung_cancer/")</f>
        <v/>
      </c>
      <c r="G479" t="inlineStr">
        <is>
          <t>2019-01-29 13:03:53</t>
        </is>
      </c>
      <c r="H479" t="inlineStr"/>
    </row>
    <row r="480">
      <c r="A480" t="inlineStr">
        <is>
          <t>al4u3h</t>
        </is>
      </c>
      <c r="B480" t="inlineStr">
        <is>
          <t>My Gallium-68 Experience</t>
        </is>
      </c>
      <c r="C480" t="inlineStr">
        <is>
          <t xml:space="preserve">I had trouble finding much info on this scan before I got it, so I thought I’d jot down some notes on my experience in case it helps anyone else. I like to have lots of information to conquer my anxiety, so here’s a walk through of everything I would have liked to know. Neuroendocrine (carcinoid) cancer started in my appendix, btw.
The clinic told me to wear warm clothes and no metal.  I was optimistic this meant I’d get to keep my clothes on and I was correct! I wore warm sweats &amp;amp; a long sleeve shirt with a sweater, and thick wool socks. No eating restrictions before hand and no lab work.
I got there at 6:40am and filled out some paperwork. Just type of cancer, date of diagnosis, previous surgeries &amp;amp; imaging, basic stuff. Lots of questions about dates of treatment too, but I haven’t started that yet. If you don’t already have a list of relevant dates handy, it’s probably a good idea to put one in your phone. I’m realizing I have to write that stuff down frequently now.
They also gave me a list of movies to pick from. I was confused when I would watch a movie, but picked one anyway.
Just before 7am, they took me into a private room and I sat in one of those hospital recliners and got my IV put in. The nurse covered my lap with warm blankets. She brought in a thick metal box with a syringe in it (most of the syringe was covered in a thick metal cylinder too. Only the needle was exposed.) and injected it into the IV. Super quick, under a minute, and she did it slowly to keep it from burning too badly. (It was fine) No drip or anything, just a quick saline flush after and then the IV came out.
Then she started the movie on the TV and I hung out in the room by myself for the next hour while the injection circulated.  A tech came and got me around 8am, took me into the scan room and got me in position on the scanner bed. I was lying on my back with a pillow under my knees and my arms above my head. (Covered in more warm blankets)
The machine doesn’t talk like a regular CT and you don’t have to hold your breath or anything. My only instruction was to “hold very still.” It took about 25 minutes. The machine brought my whole body through pretty quickly once and then went slowly up bottom to top (for me from my knees to the top of my head) It stops every few inches and gets images for a short while, and then moves another few inches
The last part of the scan was of my head and is probably the most uncomfortable. I just kept my eyes closed and assumed it would be over soon, which it was.
I didn’t have any restrictions afterwards, but ran a few errands to give the radioactive stuff more time to decay / get flushed out or whatever since I have a one year old daughter at home.
The nurse mentioned that sometimes people have some GI tract upset from the injection, but that it was rare. I felt a little rumbling in my stomach after the injection, but thought that was it. Then while running errands after the scan ended up on a tour of public bathrooms thanks to diarrhea. I assume it was from the injection but who knows.
Next time I’ll probably plan to go home to my own bathroom, and arrange to send my daughter out of the house on a play date or something.
That’s it! I was nervous before but it was really not that bad. I’m not prone to feeling claustrophobic, though. The worst part about the scan was having twenty minutes alone with my thoughts thinking about cancer. I would definitely bring a book or some entertainment to get you through the hour of waiting after the injection, in case your clinic doesn’t provide movies.
Hope someone finds this helpful!
</t>
        </is>
      </c>
      <c r="D480" t="n">
        <v>1</v>
      </c>
      <c r="E480" t="n">
        <v>3</v>
      </c>
      <c r="F480">
        <f>HYPERLINK("https://www.reddit.com/r/cancer/comments/al4u3h/my_gallium68_experience/")</f>
        <v/>
      </c>
      <c r="G480" t="inlineStr">
        <is>
          <t>2019-01-29 13:14:56</t>
        </is>
      </c>
      <c r="H480" t="inlineStr"/>
    </row>
    <row r="481">
      <c r="A481" t="inlineStr">
        <is>
          <t>al5e93</t>
        </is>
      </c>
      <c r="B481" t="inlineStr">
        <is>
          <t>I lost my father today.</t>
        </is>
      </c>
      <c r="C481" t="inlineStr">
        <is>
          <t>My dad was diagnosed with lung cancer 12 days ago and has passed today. My siblings &amp;amp; mom were all there when he left and I am so thankful for that. I'm also so glad to have been able to have spent his last days with him. 
When we asked what we could do for him, he said "Just be good people. Be kind &amp;amp; respectful to one another." And that's who is. The most selfless person I've ever known.
Instead of asking "why him, why me, I'm too young to lose a father!" I'm thinking of how blessed I am to have had such a great man be my dad for 28 years. 28 years of beautiful memories - silly dad jokes, endless country concerts, numerous sporting events, the long drives taking me to &amp;amp; from college.
He will always be a part of me. Even though he will not be there to walk me down the aisle or meet his grandchildren, he will always be there. Cancer fucking sucks. That's all there is to it.
Cherish your loved ones, tell them how you feel, it makes this tragedy just a little less difficult.</t>
        </is>
      </c>
      <c r="D481" t="n">
        <v>1</v>
      </c>
      <c r="E481" t="n">
        <v>19</v>
      </c>
      <c r="F481">
        <f>HYPERLINK("https://www.reddit.com/r/cancer/comments/al5e93/i_lost_my_father_today/")</f>
        <v/>
      </c>
      <c r="G481" t="inlineStr">
        <is>
          <t>2019-01-29 14:06:41</t>
        </is>
      </c>
      <c r="H481" t="inlineStr"/>
    </row>
    <row r="482">
      <c r="A482" t="inlineStr">
        <is>
          <t>al5m4o</t>
        </is>
      </c>
      <c r="B482" t="inlineStr">
        <is>
          <t>Tips, tricks and advices on managing bad taste from Perjeta (prastuzumab) and Herceptin (trastuzumab) perfusions?</t>
        </is>
      </c>
      <c r="C482" t="inlineStr">
        <is>
          <t>I have been receiving these perfusions of Herceptin and Perjeta for 6 months to manage the metastasis in my lungs. At first, they gave me horrendous diarrhoea bouts but as of now, everything is under control.  I still develop a rash a few days after my treatment (I manage it with a cortisone cream) and a constant bad taste in my mouth. I tried mouthwash, but it doesn't work. I can't chew gum because of longtime jaw issues. 
Anyone have any tips, tricks or advices?</t>
        </is>
      </c>
      <c r="D482" t="n">
        <v>1</v>
      </c>
      <c r="E482" t="n">
        <v>1</v>
      </c>
      <c r="F482">
        <f>HYPERLINK("https://www.reddit.com/r/cancer/comments/al5m4o/tips_tricks_and_advices_on_managing_bad_taste/")</f>
        <v/>
      </c>
      <c r="G482" t="inlineStr">
        <is>
          <t>2019-01-29 14:27:12</t>
        </is>
      </c>
      <c r="H482" t="inlineStr"/>
    </row>
    <row r="483">
      <c r="A483" t="inlineStr">
        <is>
          <t>al5ts7</t>
        </is>
      </c>
      <c r="B483" t="inlineStr">
        <is>
          <t>Halfway through my chemo regimen, ran a mile without stopping</t>
        </is>
      </c>
      <c r="C483" t="inlineStr">
        <is>
          <t xml:space="preserve">I've run four half marathons in the past two years but had sorta major surgery to get my biopsy back in November. After three treatments, I'm at the halfway point and finally got knocked off my goal of running a mile without stopping (9:30 pace). (Backstory, my fist-sized tumor had constricted my pulmonary artery by 50% making running hard.)
Felt real fucking nice to check that off. 
&amp;amp;#x200B;
Cheers to everyone who is crushing this shitty disease. </t>
        </is>
      </c>
      <c r="D483" t="n">
        <v>1</v>
      </c>
      <c r="E483" t="n">
        <v>20</v>
      </c>
      <c r="F483">
        <f>HYPERLINK("https://www.reddit.com/r/cancer/comments/al5ts7/halfway_through_my_chemo_regimen_ran_a_mile/")</f>
        <v/>
      </c>
      <c r="G483" t="inlineStr">
        <is>
          <t>2019-01-29 14:47:08</t>
        </is>
      </c>
      <c r="H483" t="inlineStr"/>
    </row>
    <row r="484">
      <c r="A484" t="inlineStr">
        <is>
          <t>al6i34</t>
        </is>
      </c>
      <c r="B484" t="inlineStr">
        <is>
          <t>Is it a tumor?</t>
        </is>
      </c>
      <c r="C484" t="inlineStr">
        <is>
          <t>I was drinking a lot and I did a lot of damage to my body over two years. After that I was diagnosed with pancreatitis and I was in the ICU at the hospital for a while I survive through that and then I was sent home after 2 months. The hospital staff they said that there's a cyst on my pancreas and after that it's about 7 months later now and I feel this very hard spot in between my stomach and my pancreas and it's probably 8 in wide and 6 in the other direction. Saw the doctor today she doesn't know what it is still want to go get a CAT scan. If it is a tumor how much longer do people have to live and stuff.</t>
        </is>
      </c>
      <c r="D484" t="n">
        <v>1</v>
      </c>
      <c r="E484" t="n">
        <v>0</v>
      </c>
      <c r="F484">
        <f>HYPERLINK("https://www.reddit.com/r/cancer/comments/al6i34/is_it_a_tumor/")</f>
        <v/>
      </c>
      <c r="G484" t="inlineStr">
        <is>
          <t>2019-01-29 15:54:24</t>
        </is>
      </c>
      <c r="H484" t="inlineStr"/>
    </row>
    <row r="485">
      <c r="A485" t="inlineStr">
        <is>
          <t>al72on</t>
        </is>
      </c>
      <c r="B485" t="inlineStr">
        <is>
          <t>Is life support worth it?</t>
        </is>
      </c>
      <c r="C485" t="inlineStr">
        <is>
          <t>Life support is one of my dads options. My mom told me when he was healthy and more alert he said don’t give up on him and fight until the end.
Now things have want downhill. He’s having issues breathing, can’t form sentences anymore (he still responds but only says things like yes (uh-huh) or no (uh-uh), and he’s in a lot of pain, his mind is 98% gone now.
With life support I’m not sure what the point of it is because either way he’s going to pass. 
Will life support cause him even more pain than he’s in right now? Or should we just go ahead and let him go due to the pain or try the life support?
My mom isn’t sure what to do Because when we asked him an hour ago he said no, don’t fight. And she asked him again and he said yes, fight.
He’s not in his right mind at all and even when I asked him who I was he didn’t know. I’m so lost on what to do. My mom is also.
She said if she doesn’t do life support she’s “killing him” and going against his wishes.</t>
        </is>
      </c>
      <c r="D485" t="n">
        <v>1</v>
      </c>
      <c r="E485" t="n">
        <v>4</v>
      </c>
      <c r="F485">
        <f>HYPERLINK("https://www.reddit.com/r/cancer/comments/al72on/is_life_support_worth_it/")</f>
        <v/>
      </c>
      <c r="G485" t="inlineStr">
        <is>
          <t>2019-01-29 16:54:45</t>
        </is>
      </c>
      <c r="H485" t="inlineStr"/>
    </row>
    <row r="486">
      <c r="A486" t="inlineStr">
        <is>
          <t>al74hw</t>
        </is>
      </c>
      <c r="B486" t="inlineStr">
        <is>
          <t>Infertility after cancer</t>
        </is>
      </c>
      <c r="C486" t="inlineStr">
        <is>
          <t xml:space="preserve">My husband had cancer in 2017, thankfully he has been in remission for a year now. We were only 22 at the time of diagnosis (actually the day we got the call it was cancer was my 22nd birthday) and not yet married. Before treatment started (4 rounds of chemo, surgery, 2 more rounds of chemo) he donated sperm. Not much, we didn’t have time, one sample.  We a married and getting ready to start trying to conceive. His sperm analysis is horrible, no chance of natural conception. Since we only have one sample of sperm we can’t do IUI, so our only option is IVF. It’s expensive as heck. We have looked into grants for cancer survivors and have some which is helping but it’s still expensive. I’m just so bitter about it all, cancer took so much from us and now it’s taken this too? We’ve had to deal with enough medical issues for this lifetime (or at least this decade). It’s so frustrating because all my friends are just living their lives, getting married, having kids, buying houses... they aren’t thinking twice about their health, don’t have constant check ups, and don’t have issues conceiving. We wanted a big family (4? Kids) and it’s just not looking like that’s going to be possible and it sucks. </t>
        </is>
      </c>
      <c r="D486" t="n">
        <v>1</v>
      </c>
      <c r="E486" t="n">
        <v>11</v>
      </c>
      <c r="F486">
        <f>HYPERLINK("https://www.reddit.com/r/cancer/comments/al74hw/infertility_after_cancer/")</f>
        <v/>
      </c>
      <c r="G486" t="inlineStr">
        <is>
          <t>2019-01-29 17:00:17</t>
        </is>
      </c>
      <c r="H486" t="inlineStr"/>
    </row>
    <row r="487">
      <c r="A487" t="inlineStr">
        <is>
          <t>al76ym</t>
        </is>
      </c>
      <c r="B487" t="inlineStr">
        <is>
          <t>My dad was scheduled for surgery today.</t>
        </is>
      </c>
      <c r="C487" t="inlineStr">
        <is>
          <t xml:space="preserve">
Not a happy ending, don’t read if you’re looking for  uplifting stories.
I’m in shock I think? 
I got a call from him. I was surprised. He was getting an operation to remove a single cancerous lymph node in his neck, plus a pile of others and some muscle just in case, as he put it. I wondered if I had gotten the surgery time wrong- I live in the US and he in the Uk. How would he be able to talk right now? Stupid me though, “wow, it must have gone really well! He must be super hopped up on pain meds!”
“Hi, so, um,  not good news I’m afraid. Surgery cancelled. It’s inoperable. They looked at the scans again and it’s wrapped around the (artery? Nerve? Idk).
So he’s on palliative care now. Boom. Just like that. From  scary surgery to once and for all rid him of this beast, to no hope. 
He discovered he had a tumor on his vocal cord June 2018. He got radiation, 35 sessions of hell in those awful constricting masks, plus chemo. He lost the ability to eat or drink and still can’t, because his esophagus is all fucked up from disuse and radiation. There was hope to fix that but now, with palliative chemo, they wouldn’t be able to operate. He still has his voice. We were so  scared he’d lose it.
But even though there is no sign of it there, he had a rapidly growing lump in his neck. So they tested that and got into the lymph node and it was cancer. And he was scheduled for surgery 3 weeks later, a scan to make sure last week and they gave the all-clear...and now here we are. 
I’m in shock, I’m thinking about... everything. And rushing my passport because of course I fucking managed to lose it. 
How can they just decide to cancel the day of?? How can they say it’s all good one day and 5 days later do this?? They said it was too risky. I’m not angry at them. This is just so fucking unfair. Cancer is the worst. </t>
        </is>
      </c>
      <c r="D487" t="n">
        <v>1</v>
      </c>
      <c r="E487" t="n">
        <v>3</v>
      </c>
      <c r="F487">
        <f>HYPERLINK("https://www.reddit.com/r/cancer/comments/al76ym/my_dad_was_scheduled_for_surgery_today/")</f>
        <v/>
      </c>
      <c r="G487" t="inlineStr">
        <is>
          <t>2019-01-29 17:07:11</t>
        </is>
      </c>
      <c r="H487" t="inlineStr"/>
    </row>
    <row r="488">
      <c r="A488" t="inlineStr">
        <is>
          <t>al8501</t>
        </is>
      </c>
      <c r="B488" t="inlineStr">
        <is>
          <t>My mom has Cholangiocarcinoma - starting chemo next Monday</t>
        </is>
      </c>
      <c r="C488" t="inlineStr">
        <is>
          <t>She is turning 60 this year. She has worked all her life and finally started to enjoy her life last year but then this happens... we’re home now. The doc said she will start the chemo therapy next monday and told us that the average survival time with chemo would be 9 months... may be less than 3 months if she doesnt want to do chemo. The tumor is too big to operate but the ct scan shows that it hasnt been spread to her lungs or elsewhere. She has her biles tubed to her stomach now and constantly in discomfort and pain... I don’t know what to do for her... im giving her my full support but i am unable to stay here with her for chemo as i need to fly back for work in 3 days. Im trying my best to stay strong for her but watching her world ending is just too unbearable.</t>
        </is>
      </c>
      <c r="D488" t="n">
        <v>1</v>
      </c>
      <c r="E488" t="n">
        <v>0</v>
      </c>
      <c r="F488">
        <f>HYPERLINK("https://www.reddit.com/r/cancer/comments/al8501/my_mom_has_cholangiocarcinoma_starting_chemo_next/")</f>
        <v/>
      </c>
      <c r="G488" t="inlineStr">
        <is>
          <t>2019-01-29 18:51:16</t>
        </is>
      </c>
      <c r="H488" t="inlineStr"/>
    </row>
    <row r="489">
      <c r="A489" t="inlineStr">
        <is>
          <t>al8igk</t>
        </is>
      </c>
      <c r="B489" t="inlineStr">
        <is>
          <t>Chemo failure for Hodgkin Lymphoma</t>
        </is>
      </c>
      <c r="C489" t="inlineStr">
        <is>
          <t>About 3 months ago, mi mom was diagnosed with stage 2 b Hodgkin Lymphoma, she started chemo right away. Today she received the results of a study done on her that showed the chemo failed and now she’s on stage 3, the cancer spread to her liver and stomach.
Needless to say, I’m devastated, I know stage 3 have good survival rate, but it scares me that if the chemo already failed once, whatever treatment the doctors decide to try this time may fail as well.
I want this to be over, I want her to be healthy again.</t>
        </is>
      </c>
      <c r="D489" t="n">
        <v>1</v>
      </c>
      <c r="E489" t="n">
        <v>3</v>
      </c>
      <c r="F489">
        <f>HYPERLINK("https://www.reddit.com/r/cancer/comments/al8igk/chemo_failure_for_hodgkin_lymphoma/")</f>
        <v/>
      </c>
      <c r="G489" t="inlineStr">
        <is>
          <t>2019-01-29 19:32:24</t>
        </is>
      </c>
      <c r="H489" t="inlineStr"/>
    </row>
    <row r="490">
      <c r="A490" t="inlineStr">
        <is>
          <t>al91cp</t>
        </is>
      </c>
      <c r="B490" t="inlineStr">
        <is>
          <t>In four months he went from two masses in his lungs to 46. What now?</t>
        </is>
      </c>
      <c r="C490" t="inlineStr">
        <is>
          <t>I've posted in here a couple of times about my (35M) best friend and his battle with Stage IV epithelioid sarcoma of the hand. At the time of his diagnosis on October 1st they told him he had one very small mass in each of his lung-- so small as to be barely detectable.
About a month and a half ago they amputated his hand and started him on chemo. He was tolerating the chemo very well, even went back to work part-time.
Today they told him that there were now 30 masses in one lung and 16 in the other, including one that was pretty large. 
They said they would finish up his current course of chemo (he's scheduled to go in two more times) and then "talk about other options". He didn't tell me what that meant and I didn't ask.
Jesus. 
How do 2 masses become almost 50?
What is happening? 
How can this be happening? 
What does this all mean for him?
And for us?
I'm so angry. 
I need answers. 
This isn't real. 
&amp;amp;#x200B;
&amp;amp;#x200B;
&amp;amp;#x200B;</t>
        </is>
      </c>
      <c r="D490" t="n">
        <v>1</v>
      </c>
      <c r="E490" t="n">
        <v>3</v>
      </c>
      <c r="F490">
        <f>HYPERLINK("https://www.reddit.com/r/cancer/comments/al91cp/in_four_months_he_went_from_two_masses_in_his/")</f>
        <v/>
      </c>
      <c r="G490" t="inlineStr">
        <is>
          <t>2019-01-29 20:34:36</t>
        </is>
      </c>
      <c r="H490" t="inlineStr"/>
    </row>
    <row r="491">
      <c r="A491" t="inlineStr">
        <is>
          <t>alcg0o</t>
        </is>
      </c>
      <c r="B491" t="inlineStr">
        <is>
          <t>They are moving my dad to hospice.</t>
        </is>
      </c>
      <c r="C491" t="inlineStr">
        <is>
          <t xml:space="preserve">I don’t know how to feel. I’ve cried so much I can’t cry anymore. I’ll never hear his voice again.
</t>
        </is>
      </c>
      <c r="D491" t="n">
        <v>1</v>
      </c>
      <c r="E491" t="n">
        <v>4</v>
      </c>
      <c r="F491">
        <f>HYPERLINK("https://www.reddit.com/r/cancer/comments/alcg0o/they_are_moving_my_dad_to_hospice/")</f>
        <v/>
      </c>
      <c r="G491" t="inlineStr">
        <is>
          <t>2019-01-30 04:59:54</t>
        </is>
      </c>
      <c r="H491" t="inlineStr"/>
    </row>
    <row r="492">
      <c r="A492" t="inlineStr">
        <is>
          <t>alczfg</t>
        </is>
      </c>
      <c r="B492" t="inlineStr">
        <is>
          <t>Mom is being kicked out of home because of her chemo, are there any clinical trials for stage 3 breast cancer that done have chemo?</t>
        </is>
      </c>
      <c r="C492" t="inlineStr">
        <is>
          <t>This is very depressing.  Mom was diagnosed with breast cancer back in October,  after a lumpectomy they upgraded get stage 1 to stage 3 since her cancer has spread to  7/16 lymphs.  I had been tasked with taking mother to all her doctor appointments.   I ask my sisters to give me questions they want me to ask the doctors when we go to her appointment.   My mom was severely depressed but when my high risk IVF pregnancy sister that she lives with gave birth to her baby (1 month prematurely) it gave me hope,  seeing the smile on mom's face,  knowing she now has a reason to look forward to coming home after her chemo treatments and maybe feeling good.   Well..  her chemo started yesterday and we won't know how horrible she'll get until maybe the 3rd or 4th round... she's scheduled for 12 rounds weekly Taxol then I believe 4-6 rounds Adriamycin/ some other chemo (mom is taking a risk with the Adriamycin since she had triple bypass heart surgery over 15 years ago and the Adriamycin affects the heart)  then radiation is the plan...
Anyway mom had her first chemo yesterday and I brought her to her room at my new momma sister's place .   She was made aware by doctors that her bodily fluids are toxic for the first 48 hours,  so the day was long because i didn't know the infusions are 3 hours long (i live the furthest away of my two sisters and I need to get home before sunset to put away my animals before the danger of night- predators) anyway when she came home excited to hold the baby and I explained to my sister the risk being minimal for too bodily fluids only.  I had to take off because traffic is crazy and it was going to take me about an hour and a half to get home.    
 When I finally got home my sister essentially told me she was kicking my mom out of the house because of the chemo,   that she did research and my mom's skin will leach chemo in the form of sweat,  that she can't therefore do laundry with them because the chemo might contaminate the laundry machine and get in the baby's clothes.... so I wish I had time to have helped my mom prep for this horrible situation... but she's getting kicked out,  they move her out today to my aunt's home about 25 miles away (further than her treating hospital) 
Long story... are there any open clinical trials for the treatment of stage 3 breast cancer that are chemo free?? I think depression actually affects the effectiveness of many cancer patients,  I read that being positive helps them fight better and im certain my mom is now depressed that she's being kicked out of home and this might affect her mental ability to fight this cancer.   I want to find something that she can go though that won't make her toxic to the baby :(</t>
        </is>
      </c>
      <c r="D492" t="n">
        <v>1</v>
      </c>
      <c r="E492" t="n">
        <v>18</v>
      </c>
      <c r="F492">
        <f>HYPERLINK("https://www.reddit.com/r/cancer/comments/alczfg/mom_is_being_kicked_out_of_home_because_of_her/")</f>
        <v/>
      </c>
      <c r="G492" t="inlineStr">
        <is>
          <t>2019-01-30 06:05:27</t>
        </is>
      </c>
      <c r="H492" t="inlineStr"/>
    </row>
    <row r="493">
      <c r="A493" t="inlineStr">
        <is>
          <t>aldqwa</t>
        </is>
      </c>
      <c r="B493" t="inlineStr">
        <is>
          <t>Any experience with Neulasta? Hello fellow fighters. So my 81 year old dad is fighting stage 4 bladder cancer, and he’s just undergone his second round of chemo.</t>
        </is>
      </c>
      <c r="C493" t="inlineStr">
        <is>
          <t xml:space="preserve">The chemo hasn’t been too terrible for him, but because he can’t undergo chemo without maintaining a certain blood cell count, he was administered an injection of Neulasta (pegfilgrastim) to stimulate growth of white blood cells. The side effects have caused him more pain and suffering than the actual cancer pain, the MRSA infection he had a couple weeks ago, the sepsis, the minor heart attack he suffered a month ago or the pain/discomfort from all the surgical procedures (colostomy/nephrostomy bags, catheters, etc...). I’ve not seen him suffer any of that with the same ferocity as the Neulasta. Wondering if any of you out there has any experience with Neulasta and its side effects, and any advice for helping him get through it. The doctors believe he will need this injection every time he has a chemo session. Many thanks in advance, and best to all of you out there fighting or care-taking. </t>
        </is>
      </c>
      <c r="D493" t="n">
        <v>1</v>
      </c>
      <c r="E493" t="n">
        <v>18</v>
      </c>
      <c r="F493">
        <f>HYPERLINK("https://www.reddit.com/r/cancer/comments/aldqwa/any_experience_with_neulasta_hello_fellow/")</f>
        <v/>
      </c>
      <c r="G493" t="inlineStr">
        <is>
          <t>2019-01-30 07:27:29</t>
        </is>
      </c>
      <c r="H493" t="inlineStr"/>
    </row>
    <row r="494">
      <c r="A494" t="inlineStr">
        <is>
          <t>aleo77</t>
        </is>
      </c>
      <c r="B494" t="inlineStr">
        <is>
          <t>What is hospice like?</t>
        </is>
      </c>
      <c r="C494" t="inlineStr">
        <is>
          <t>We are sending my dad there today and I’m not sure what to expect. He can’t open his eyes anymore or talk. Are they going to give him medicine to make him sleep? Is he going to be in pain as he’s passing away?</t>
        </is>
      </c>
      <c r="D494" t="n">
        <v>1</v>
      </c>
      <c r="E494" t="n">
        <v>20</v>
      </c>
      <c r="F494">
        <f>HYPERLINK("https://www.reddit.com/r/cancer/comments/aleo77/what_is_hospice_like/")</f>
        <v/>
      </c>
      <c r="G494" t="inlineStr">
        <is>
          <t>2019-01-30 08:54:39</t>
        </is>
      </c>
      <c r="H494" t="inlineStr"/>
    </row>
    <row r="495">
      <c r="A495" t="inlineStr">
        <is>
          <t>alhl84</t>
        </is>
      </c>
      <c r="B495" t="inlineStr">
        <is>
          <t>Apart from the chemo bath and the radioactive pill, what are the most extreme cancer treatments?</t>
        </is>
      </c>
      <c r="C495" t="inlineStr">
        <is>
          <t xml:space="preserve">I suppose by "extreme" I mean either potent OR risky OR elaborate OR challenging for the surgeon.
Or all of the above.
I would have thought there would be a blog, article or infographic on this, but can't find a single one.
</t>
        </is>
      </c>
      <c r="D495" t="n">
        <v>1</v>
      </c>
      <c r="E495" t="n">
        <v>12</v>
      </c>
      <c r="F495">
        <f>HYPERLINK("https://www.reddit.com/r/cancer/comments/alhl84/apart_from_the_chemo_bath_and_the_radioactive/")</f>
        <v/>
      </c>
      <c r="G495" t="inlineStr">
        <is>
          <t>2019-01-30 13:15:40</t>
        </is>
      </c>
      <c r="H495" t="inlineStr"/>
    </row>
    <row r="496">
      <c r="A496" t="inlineStr">
        <is>
          <t>alhzuv</t>
        </is>
      </c>
      <c r="B496" t="inlineStr">
        <is>
          <t>How can I help with my dad's mood?</t>
        </is>
      </c>
      <c r="C496" t="inlineStr">
        <is>
          <t xml:space="preserve">I have been reading stories on here for a while, beautiful and wholesome stories, and for that I want to say thank you to everyone on this sub. 
My dad's been diagnosed with stage 4 stomach cancer recently. The cancer seems to have spread under his stomach, unfortunetaly. We're going on with the chemo this week, and are actively looking for other alternatives, if any of you have ideas or stories. 
The main question I have tho, is how do I help him with his mood? We are very lucky to have him in a pretty healthy shape right now. He can't eat but is being fed via a tube in his intestines. But everytime I think about it a little too much, I get scared and sad and I don't know how to act around him. My mom is also very fragile and tears up at pretty much anything. 
Dad, or anyone really, that went or is going through a cancer, how did you wanted to be treated? What emotions or thoughts did you experience? 
Thanks a lot in advance, and stay strong and beautiful, whoever you are. </t>
        </is>
      </c>
      <c r="D496" t="n">
        <v>1</v>
      </c>
      <c r="E496" t="n">
        <v>18</v>
      </c>
      <c r="F496">
        <f>HYPERLINK("https://www.reddit.com/r/cancer/comments/alhzuv/how_can_i_help_with_my_dads_mood/")</f>
        <v/>
      </c>
      <c r="G496" t="inlineStr">
        <is>
          <t>2019-01-30 13:53:31</t>
        </is>
      </c>
      <c r="H496" t="inlineStr"/>
    </row>
    <row r="497">
      <c r="A497" t="inlineStr">
        <is>
          <t>ali1re</t>
        </is>
      </c>
      <c r="B497" t="inlineStr">
        <is>
          <t>My father whose been fighting cancer for years just had a spinal tap done and confirmed that he has an aggressive incurable cancer</t>
        </is>
      </c>
      <c r="C497" t="inlineStr">
        <is>
          <t>This was confirmed a couple days ago, we're currently in the hospital now because my father has incredible hip pain and is unable to walk. It seems the doctors except for one suggested he do nothing and ride it out until he eventually passes, the other one wants to try more chemotherapy.
Currently the issue we're facing is they want to give him steroids to help get him back on his feet and do physical therapy so he can attempt chemo again. but he is so against steroids had a bad experience in the past  with them. 
I'm making this post to vent and also ask if anyone here has experience with this please share and if so do the steroids actually help enough with regaining leg strength so he can walk more comfortably.</t>
        </is>
      </c>
      <c r="D497" t="n">
        <v>1</v>
      </c>
      <c r="E497" t="n">
        <v>18</v>
      </c>
      <c r="F497">
        <f>HYPERLINK("https://www.reddit.com/r/cancer/comments/ali1re/my_father_whose_been_fighting_cancer_for_years/")</f>
        <v/>
      </c>
      <c r="G497" t="inlineStr">
        <is>
          <t>2019-01-30 13:58:19</t>
        </is>
      </c>
      <c r="H497" t="inlineStr"/>
    </row>
    <row r="498">
      <c r="A498" t="inlineStr">
        <is>
          <t>alis3y</t>
        </is>
      </c>
      <c r="B498" t="inlineStr">
        <is>
          <t>Advice on convincing a doctor to biopsy my tumor?</t>
        </is>
      </c>
      <c r="C498" t="inlineStr">
        <is>
          <t xml:space="preserve">Right after new years my PCP found a 11mm hypoechoic nodule on my thyroid. Referred me for a followup and possible biopsy with an ENT specialist. That doctor literally spent three minutes in the room with me before telling me to wait and come back in 6 months for a followup ultrasound. My PCP encouraged me to get a second opinion and got me in on a cancellation to see a new doc tomorrow. I'm bringing a copy of my ultrasound and all my most recent labs. Do you have any advice on convincing my new doc to biopsy my tumor? I don't want this hanging over my head for the next 6 months. </t>
        </is>
      </c>
      <c r="D498" t="n">
        <v>1</v>
      </c>
      <c r="E498" t="n">
        <v>10</v>
      </c>
      <c r="F498">
        <f>HYPERLINK("https://www.reddit.com/r/cancer/comments/alis3y/advice_on_convincing_a_doctor_to_biopsy_my_tumor/")</f>
        <v/>
      </c>
      <c r="G498" t="inlineStr">
        <is>
          <t>2019-01-30 15:06:55</t>
        </is>
      </c>
      <c r="H498" t="inlineStr"/>
    </row>
    <row r="499">
      <c r="A499" t="inlineStr">
        <is>
          <t>aljysh</t>
        </is>
      </c>
      <c r="B499" t="inlineStr">
        <is>
          <t>Glioblastoma Update</t>
        </is>
      </c>
      <c r="C499" t="inlineStr">
        <is>
          <t>Since my last post half a year ago, my sister has gone through an insane journey. In August, she received a Car T cell therapy, and her grade 3 glioblastoma was stable after that. However, it didn't come with side affects. Shortly after that procedure, she slowly started to go down hill over the past 4 months that has lead to this update. In the Fall, we were able to recoup her physical strength through daily physical therapy performed by my 2 other siblings, and my mom.  We were able to go out often on walks and go to the dog park regularly until Winter came and the sun set around 430pm. We had still been juicing organic vegetables and such for her ever since, which costa few hundred dollars a month as we tried to take over her diet and fight as much as possible, but at the end of November we noticed that she slowly started going downhill
In this case, I define going downhill as her health slowly started declining. She often refused to get up out the bed, stating she was tired, despite sleeping all day. In early December, her scan from November showed a change in the right side. Her neuro doc said, it might be inflammation but we might want to do a biospy and proceed with car t cell. Since then, my sister hasn't been able to walk fully on her own, and has lost about 80-90% function of her left side. 
Unfortunately, today after another appointment, it looks like the change to grade 4 has been confirmed and it looks like our last resort for treatment are Chemotherapy with Avastin, but the oncologist recommended Hospice, as she doesn't believe chemo will have a benefit over the cons.
Unsure what else to write, just wanted to put this here as I had previously written here when my sister overcame her 2nd crainitomy and was waiting for Car T cells. Thanks for reading.</t>
        </is>
      </c>
      <c r="D499" t="n">
        <v>1</v>
      </c>
      <c r="E499" t="n">
        <v>0</v>
      </c>
      <c r="F499">
        <f>HYPERLINK("https://www.reddit.com/r/cancer/comments/aljysh/glioblastoma_update/")</f>
        <v/>
      </c>
      <c r="G499" t="inlineStr">
        <is>
          <t>2019-01-30 17:05:34</t>
        </is>
      </c>
      <c r="H499" t="inlineStr"/>
    </row>
    <row r="500">
      <c r="A500" t="inlineStr">
        <is>
          <t>aljzb6</t>
        </is>
      </c>
      <c r="B500" t="inlineStr">
        <is>
          <t>Glioblastoma Update</t>
        </is>
      </c>
      <c r="C500" t="inlineStr">
        <is>
          <t>Since my last post half a year ago, my sister has gone through an insane journey. In August, she received a Car T cell therapy, and her grade 3 glioblastoma was stable after that. However, it didn't come with side affects. Shortly after that procedure, she slowly started to go down hill over the past 4 months that has lead to this update. In the Fall, we were able to recoup her physical strength through daily physical therapy performed by my 2 other siblings, and my mom.  We were able to go out often on walks and go to the dog park regularly until Winter came and the sun set around 430pm. We had still been juicing organic vegetables and such for her ever since, which costa few hundred dollars a month as we tried to take over her diet and fight as much as possible, but at the end of November we noticed that she slowly started going downhill
In this case, I define going downhill as her health slowly started declining. She often refused to get up out the bed, stating she was tired, despite sleeping all day. In early December, her scan from November showed a change in the right side. Her neuro doc said, it might be inflammation but we might want to do a biospy and proceed with car t cell. Since then, my sister hasn't been able to walk fully on her own, and has lost about 80-90% function of her left side. 
Unfortunately, today after another appointment, it looks like the change to grade 4 has been confirmed and it looks like our last resort for treatment are Chemotherapy with Avastin, but the oncologist recommended Hospice, as she doesn't believe chemo will have a benefit over the cons.
Unsure what else to write, just wanted to put this here as I had previously written here when my sister overcame her 2nd crainitomy and was waiting for Car T cells. Thanks for reading.</t>
        </is>
      </c>
      <c r="D500" t="n">
        <v>1</v>
      </c>
      <c r="E500" t="n">
        <v>4</v>
      </c>
      <c r="F500">
        <f>HYPERLINK("https://www.reddit.com/r/cancer/comments/aljzb6/glioblastoma_update/")</f>
        <v/>
      </c>
      <c r="G500" t="inlineStr">
        <is>
          <t>2019-01-30 17:07:12</t>
        </is>
      </c>
      <c r="H500" t="inlineStr"/>
    </row>
    <row r="501">
      <c r="A501" t="inlineStr">
        <is>
          <t>alk4wb</t>
        </is>
      </c>
      <c r="B501" t="inlineStr">
        <is>
          <t>Appetite stimulants besides THC?</t>
        </is>
      </c>
      <c r="C501" t="inlineStr">
        <is>
          <t>Dad is having a lot of trouble with his appetite. We’ve tried RSO oils/CBD oils/CBD:THC oils, none of these have seemed to help his appetite. Is there anything else that anyone has tried that help stimulate appetite?
Or possibly another specific THC strain that is known increase appetite?</t>
        </is>
      </c>
      <c r="D501" t="n">
        <v>1</v>
      </c>
      <c r="E501" t="n">
        <v>20</v>
      </c>
      <c r="F501">
        <f>HYPERLINK("https://www.reddit.com/r/cancer/comments/alk4wb/appetite_stimulants_besides_thc/")</f>
        <v/>
      </c>
      <c r="G501" t="inlineStr">
        <is>
          <t>2019-01-30 17:24:16</t>
        </is>
      </c>
      <c r="H501" t="inlineStr"/>
    </row>
    <row r="502">
      <c r="A502" t="inlineStr">
        <is>
          <t>alkvtv</t>
        </is>
      </c>
      <c r="B502" t="inlineStr">
        <is>
          <t>My dad just passed away</t>
        </is>
      </c>
      <c r="C502" t="inlineStr">
        <is>
          <t xml:space="preserve">My dad had Multiple Myeloma (Stage 3), Liver Disease, The Flu and Pneumonia. He finally passed away and he looks like he is in peace.
No more pain. My daddy can finally rest. </t>
        </is>
      </c>
      <c r="D502" t="n">
        <v>1</v>
      </c>
      <c r="E502" t="n">
        <v>20</v>
      </c>
      <c r="F502">
        <f>HYPERLINK("https://www.reddit.com/r/cancer/comments/alkvtv/my_dad_just_passed_away/")</f>
        <v/>
      </c>
      <c r="G502" t="inlineStr">
        <is>
          <t>2019-01-30 18:47:07</t>
        </is>
      </c>
      <c r="H502" t="inlineStr"/>
    </row>
    <row r="503">
      <c r="A503" t="inlineStr">
        <is>
          <t>alm5t7</t>
        </is>
      </c>
      <c r="B503" t="inlineStr">
        <is>
          <t>Choroid plexus carcinoma &amp;amp; leptomeningeal disease (16mo old)</t>
        </is>
      </c>
      <c r="C503" t="inlineStr">
        <is>
          <t>I posted here a while back (had to delete some stuff due to one obscure comment that made me uncomfortable). 
The TL;DR: of that was that my 1-year old was found to have CPC (Choroid plexus carcinoma). 2x2 in tumor in the back right of his brain, sitting near his occipital lobe. They resected pretty much the whole tumor. They found some lesions on his spine but that seemed like no worry, so good right? 
&amp;amp;#x200B;
Speeding up to current: he finished his 6th round of chemo 2.5 weeks ago. Rounds 3-5 were a cake walk, he barely had any vomiting, barely much nausea, was eating quite well, regaining his weight. He was doing good and pretty happy, he was always a happy baby. He's been sitting at 19-20 lbs for about 5 rounds. This last round .. the last 2.5 weeks have been horrible on him.
&amp;amp;#x200B;
His second MRI was a month ago (12/31). I hadn't read his first MRI in the whirlwind of things.. well, I read the second one. That's where I read the questionable leptomeningeal disease on his brain stem and spine. Good news from that is the lesions seemed to have shrunk in size. He had a spinal tap that was negative for cancer cells on the first MRI.
&amp;amp;#x200B;
Forgive me if this timeline is a mess, I'm just so very stuck. Our main Oncologist said, he most definitely has LMD, 2 weeks ago. We met with another Oncologist at our University hospital - attached to a Mott Children's. She said "assuming he does have leptomeningeal", 2 days ago.
&amp;amp;#x200B;
Apparently they can't test for it unless the markers show up in his spinal fluid?
&amp;amp;#x200B;
I just don't know where to turn now, because they want to do a high-dose chemo and STEM cell transplant but they particularly have had almost no success with this and aren't very certain if it will help.
&amp;amp;#x200B;
I just want my boy to have some good days again, and well the prospect for a life. He's 16months old and I'm worried everything I read about leptomeningeal disease will come true.. I'm so scared for him.
&amp;amp;#x200B;
I'm not sure how to go about these things.. How to contact more Dr's for review of his MRI's.. How to proceed in a timely fashion and not give whatever it is a fighting chance to overtake him..
&amp;amp;#x200B;
Thank you for listening... again.</t>
        </is>
      </c>
      <c r="D503" t="n">
        <v>1</v>
      </c>
      <c r="E503" t="n">
        <v>10</v>
      </c>
      <c r="F503">
        <f>HYPERLINK("https://www.reddit.com/r/cancer/comments/alm5t7/choroid_plexus_carcinoma_leptomeningeal_disease/")</f>
        <v/>
      </c>
      <c r="G503" t="inlineStr">
        <is>
          <t>2019-01-30 21:18:46</t>
        </is>
      </c>
      <c r="H503" t="inlineStr"/>
    </row>
    <row r="504">
      <c r="A504" t="inlineStr">
        <is>
          <t>almwok</t>
        </is>
      </c>
      <c r="B504" t="inlineStr">
        <is>
          <t>Step-Mom's Starting the last round of chemotherapy tomorrow... After that there's nothing else they can do.</t>
        </is>
      </c>
      <c r="C504" t="inlineStr">
        <is>
          <t xml:space="preserve">Stage 4 ovarian cancer that's spread to the lung, near the heart, and in the lymphatic system. From the start we knew remission wasn't in the picture. We knew that one day we'd reach the end of our rope... I just didn't think it'd be so soon.
7 long months and 3 different types of palliative chemo later this is it. This is the last chemo treatment the doctors believe is worth a try. It'll be IV chemo every Thursday for a few months with a break after 3 weeks. Then it's end of life care...
My moms been so brave through all this and a true fighter. She wants to live. She wants to see me graduate college in two years. I know she never will now. The hardest part for me is knowing how much she enjoys all those precious moments in life  and how she's reluctant to let go.
I hope for a cure everyday. I know it's too late for my mom, but I hope for one for every soul out there afflicted. My only true wish is that I see the fatality of cancer erased in my own lifetime.
I know she wont read this. And I know she's tecbinally only my step-mom but damn she's cared for me in so many ways. I love her as anyone would love their mom and she'll always be a mom, not a step-mom, to me. </t>
        </is>
      </c>
      <c r="D504" t="n">
        <v>1</v>
      </c>
      <c r="E504" t="n">
        <v>5</v>
      </c>
      <c r="F504">
        <f>HYPERLINK("https://www.reddit.com/r/cancer/comments/almwok/stepmoms_starting_the_last_round_of_chemotherapy/")</f>
        <v/>
      </c>
      <c r="G504" t="inlineStr">
        <is>
          <t>2019-01-30 23:00:23</t>
        </is>
      </c>
      <c r="H504" t="inlineStr"/>
    </row>
    <row r="505">
      <c r="A505" t="inlineStr">
        <is>
          <t>aln1ue</t>
        </is>
      </c>
      <c r="B505" t="inlineStr">
        <is>
          <t>A test that can detect cancer early</t>
        </is>
      </c>
      <c r="C505" t="inlineStr">
        <is>
          <t xml:space="preserve">So, just as the title says, I became aware of a test that is being administered to some senior citizens (65 and older) that can detect cancer. The results of the test are sent to the clients doctor. The test is being paid for by the government through Medicare so there is absolutely no cost to the client/patient. Is this test something that people will want to have or will most people take a “wait and see” approach? Would you folks on this sub want to know early about cancer for yourself or a loved one? </t>
        </is>
      </c>
      <c r="D505" t="n">
        <v>1</v>
      </c>
      <c r="E505" t="n">
        <v>11</v>
      </c>
      <c r="F505">
        <f>HYPERLINK("https://www.reddit.com/r/cancer/comments/aln1ue/a_test_that_can_detect_cancer_early/")</f>
        <v/>
      </c>
      <c r="G505" t="inlineStr">
        <is>
          <t>2019-01-30 23:21:50</t>
        </is>
      </c>
      <c r="H505" t="inlineStr"/>
    </row>
    <row r="506">
      <c r="A506" t="inlineStr">
        <is>
          <t>alnz2l</t>
        </is>
      </c>
      <c r="B506" t="inlineStr">
        <is>
          <t>What foods prevent metastasis to lungs?</t>
        </is>
      </c>
      <c r="C506" t="inlineStr">
        <is>
          <t xml:space="preserve">There are foods which are considered to reduce lung cancer risk, such as garlic ([https://www.cancer.gov/about-cancer/causes-prevention/risk/diet/garlic-fact-sheet](https://www.cancer.gov/about-cancer/causes-prevention/risk/diet/garlic-fact-sheet)). The question is, is it commonly true that an agent that reduces risk of primary cancer in an organ also reduces risk or metastasis to that organ? </t>
        </is>
      </c>
      <c r="D506" t="n">
        <v>1</v>
      </c>
      <c r="E506" t="n">
        <v>8</v>
      </c>
      <c r="F506">
        <f>HYPERLINK("https://www.reddit.com/r/cancer/comments/alnz2l/what_foods_prevent_metastasis_to_lungs/")</f>
        <v/>
      </c>
      <c r="G506" t="inlineStr">
        <is>
          <t>2019-01-31 01:54:31</t>
        </is>
      </c>
      <c r="H506" t="inlineStr"/>
    </row>
    <row r="507">
      <c r="A507" t="inlineStr">
        <is>
          <t>aloa6i</t>
        </is>
      </c>
      <c r="B507" t="inlineStr">
        <is>
          <t>From stage 2 melanoma to a brain FET PET..im scared and frustrated</t>
        </is>
      </c>
      <c r="C507" t="inlineStr">
        <is>
          <t xml:space="preserve">Sorry, this is a long and uninteresting rant by a frustrated person...
I'm a 30 year old women, married with no kids (yet). 
I had a mole on my decolletage removed late last year by a specialist plastic surgeon because it was big and in a bad spot. I had it checked previous by a dermatologist who said it was fine. I then waited to get into a family recommended and known plastic.
2 days after the removal I got a call. Stage 2 melanoma. I had to have surgery for a larger excision 2 days later (call Monday, surgery Thursday) and in the meantime get bloods and a CT.
Thursday surgery was fine. But the CT showed a mass on my liver. Off to get a further CT and then a PET at the hospital. 
PET was clear (yay! It's not hot!) But the radiologist reviewed the earliet CTs which showed hydrocephalus and a mass on my third ventricle in my brain which is causing interracial pressure.
The last scans happened on 20 Dec 2018 and I could only get into a neorosurgeon in Jan. He has sent me for numerous tests by opthamologists and neurologists to determine whether I have intercranial pressure that warrants surgical intervention.
That has all been ok so far but NOW he tells me I need a FET PET to determine whether the growth is cancerous, despite it not showing up in the PET. He said if it is cancer, it's serious.
It's pretty clear to me that he's spoken to a colleague and after he saw me did he think to get the FET PET. But now I'm fucking scared and frankly, done.
We have private health in Aus and are out of pocket at least $6k with the FET PET costing a round $1k because it's not on Medicare.
I'm scared and frustrated. I feel as though I've gone from cancer to no cancer just hydrocephalus back to cancer. 
If it's cancer, I'm just leaving for an island. 
I just wanted to vent to a place where people might get it. 
Thank you for your time. </t>
        </is>
      </c>
      <c r="D507" t="n">
        <v>1</v>
      </c>
      <c r="E507" t="n">
        <v>6</v>
      </c>
      <c r="F507">
        <f>HYPERLINK("https://www.reddit.com/r/cancer/comments/aloa6i/from_stage_2_melanoma_to_a_brain_fet_petim_scared/")</f>
        <v/>
      </c>
      <c r="G507" t="inlineStr">
        <is>
          <t>2019-01-31 02:45:02</t>
        </is>
      </c>
      <c r="H507" t="inlineStr"/>
    </row>
    <row r="508">
      <c r="A508" t="inlineStr">
        <is>
          <t>alomym</t>
        </is>
      </c>
      <c r="B508" t="inlineStr">
        <is>
          <t>Eyebrow microblading during radiochemo</t>
        </is>
      </c>
      <c r="C508" t="inlineStr">
        <is>
          <t>My mum has esophagus cancer and she begins a mixture of radio and chemotherapy in the next week. She's been told she will lose her hair, possibly eyebrows and lashes and as a usually very well put together woman it's hit her really hard. The NHS have sorted her someone to come to the house and help her choose a wig but I wanted to look into options for eyebrows. I wanted to try and book her in for microblading; has anyone ever had it? She's being sick a lot so I'd need to find somewhere really accomodating and I just don't know whether it'll be worth the stress for her. Does anyone have any recommendations for a semi permanent eyebrow solution or any advice on microblading? I just hate the idea of her not feeling like she looks like herself when she's already so ill. Thanks in advance</t>
        </is>
      </c>
      <c r="D508" t="n">
        <v>1</v>
      </c>
      <c r="E508" t="n">
        <v>6</v>
      </c>
      <c r="F508">
        <f>HYPERLINK("https://www.reddit.com/r/cancer/comments/alomym/eyebrow_microblading_during_radiochemo/")</f>
        <v/>
      </c>
      <c r="G508" t="inlineStr">
        <is>
          <t>2019-01-31 03:40:43</t>
        </is>
      </c>
      <c r="H508" t="inlineStr"/>
    </row>
    <row r="509">
      <c r="A509" t="inlineStr">
        <is>
          <t>alozzz</t>
        </is>
      </c>
      <c r="B509" t="inlineStr">
        <is>
          <t>Oncologist has ordered a bone marrow biopsy for dad (age 72, stage 3 locally advanced pancreatic cancer).</t>
        </is>
      </c>
      <c r="C509" t="inlineStr">
        <is>
          <t>My dad (72) was diagnosed with stage 3 locally advanced pancreatic cancer last July. He did a couple rounds of chemo, but his platelets have been low, going on 7 weeks. As a result, his chemo is on hold. His last CT scan (3 weeks ago) showed that the mass was stable. It hadn't grown, but it hadn't gotten better. The cancer is still in the blood vessels around the pancreas, and therefore, this cancer is currently considered unresectable. 
At his last appointment, the doctor told us that platelet levels usually increase by 3-4 weeks for a patient dad's age. He recommended a bone marrow biopsy to detect/rule out any abnormalities. 
They've told us that the results could indicate one of three things:
1. The pancreatic cancer has spread.
2. He has some type of lymphoma.
3. There is some benign reason why his platelets are so low.
The doctor gave dad the choice. He didn't have to opt for the biopsy. However, dad wants as many answers as he can find, so he decided to go through with it. Unfortunately, I would imagine chemo would still be a no-go as long as his platelets are low, no matter what the reason.
Of course my mind is reeling, and of course I know we can't know anything until the biopsy results are in. But I'm curious to know if anyone has had experience with this? What was your outcome? Did the biopsy answer all of your questions?</t>
        </is>
      </c>
      <c r="D509" t="n">
        <v>1</v>
      </c>
      <c r="E509" t="n">
        <v>1</v>
      </c>
      <c r="F509">
        <f>HYPERLINK("https://www.reddit.com/r/cancer/comments/alozzz/oncologist_has_ordered_a_bone_marrow_biopsy_for/")</f>
        <v/>
      </c>
      <c r="G509" t="inlineStr">
        <is>
          <t>2019-01-31 04:32:21</t>
        </is>
      </c>
      <c r="H509" t="inlineStr"/>
    </row>
    <row r="510">
      <c r="A510" t="inlineStr">
        <is>
          <t>alpe8f</t>
        </is>
      </c>
      <c r="B510" t="inlineStr">
        <is>
          <t>Storytime : My first visit for a haircut after radiation therapy to the brain.</t>
        </is>
      </c>
      <c r="C510" t="inlineStr">
        <is>
          <t xml:space="preserve">Hello amazing r/cancer community! 
As the title implies, yesterday, I went to my hairdresser to get a haircut. It was the first time since I had my stage IV diagnosis, craniotomy and radiation therapy to the brain last spring. She knows my history of 4 years with cancer and since her dad died of cancer ten years ago, was very eager to see me. 
While she was cutting my hair, she asked me tons of questions on what had happened since March. At one point, I noticed the dead silence in the salon. It's a pretty small space and the two other hairdressers and their clients were just silent, heads and gazes down. You could have hear a pin drop. I felt so bad that I changed subject : I asked my hairdresser how her daughter was doing. The second I asked that question, everyone started talking.  It was amazing to experience. 
Just wanted to share! Feel free to reply with your similar anecdote, if you have one. 
</t>
        </is>
      </c>
      <c r="D510" t="n">
        <v>1</v>
      </c>
      <c r="E510" t="n">
        <v>1</v>
      </c>
      <c r="F510">
        <f>HYPERLINK("https://www.reddit.com/r/cancer/comments/alpe8f/storytime_my_first_visit_for_a_haircut_after/")</f>
        <v/>
      </c>
      <c r="G510" t="inlineStr">
        <is>
          <t>2019-01-31 05:23:45</t>
        </is>
      </c>
      <c r="H510" t="inlineStr"/>
    </row>
    <row r="511">
      <c r="A511" t="inlineStr">
        <is>
          <t>alptf5</t>
        </is>
      </c>
      <c r="B511" t="inlineStr">
        <is>
          <t>Telling cancer to FUCK OFF with shirts my friend designed for me while I was going through treatment for Hodgkin's Lymphoma</t>
        </is>
      </c>
      <c r="C511" t="inlineStr">
        <is>
          <t>[https://www.fuckcancer.store/](https://www.fuckcancer.store/)
(Please remove if I'm breaking any rules)
When I was going through treatment for Hodgkin's Lymphoma a few months ago, my friend created this brilliant design for me. I'm putting it on t-shirts and donating 100% of the proceeds to Oligo Nation, an organization that funds brain cancer research.</t>
        </is>
      </c>
      <c r="D511" t="n">
        <v>1</v>
      </c>
      <c r="E511" t="n">
        <v>8</v>
      </c>
      <c r="F511">
        <f>HYPERLINK("https://www.reddit.com/r/cancer/comments/alptf5/telling_cancer_to_fuck_off_with_shirts_my_friend/")</f>
        <v/>
      </c>
      <c r="G511" t="inlineStr">
        <is>
          <t>2019-01-31 06:12:19</t>
        </is>
      </c>
      <c r="H511" t="inlineStr"/>
    </row>
    <row r="512">
      <c r="A512" t="inlineStr">
        <is>
          <t>alptnl</t>
        </is>
      </c>
      <c r="B512" t="inlineStr">
        <is>
          <t>Advice: How to deal with anger &amp;amp; mood swings as a caretaker?</t>
        </is>
      </c>
      <c r="C512" t="inlineStr">
        <is>
          <t xml:space="preserve">I'm my mom's caretaker. Usually between finding a different treatment/bad treatment my mother's mood swings are very horrible. They're totally justifiable and I understand that she's scared. I guess I don't know what are the right words, because i'm so close to the situation, to get her to understand that she has to stop being mean to her daughter, my 17 year old sister. She can go from 'you're the best daughters I could ask for' to extreme guilt such as 'you left me alone - you don't care and i don't want to ask you for anything. I want to go back to the hospital. anyone but you.'  When the truth of the matter is I was right outside her door on the couch watching a movie and checked on her three times. 
She just got out of the hospital and it was a horrific surgery for a Pericardial window &amp;amp; drain, but I don't know the best way to explain everything to my sister. I can take it on the chin and just let her scream at me. She's tried to throw me out of the house about 5 times during her mood swings during one of the bad chemos (Im the breadwinner currently so that was not going to happen). My sister on the other hand is still young and doesn't understand to just let it go and ignore her being mad. I get that she's just taking it out on us because she feels like she can. We can't exactly go anywhere and we're still going to take care of her despite that. 
I will openly admit I know my sister is her favorite and I don't mind that. They're just very very close and my sister knows that things are bad, but doesn't understand why instead of wanting to be closer to us she's pushing us further away. It's really messing my sister up, because she just wants to be close to my mom again. 
If anyone is going through something similiar or went through it on both sides of being the parent with cancer or the child caretaker please let me know. I'm a bit at my ropes end here because it flares up during the worst possible moments. Any advice is always welcomed. </t>
        </is>
      </c>
      <c r="D512" t="n">
        <v>1</v>
      </c>
      <c r="E512" t="n">
        <v>4</v>
      </c>
      <c r="F512">
        <f>HYPERLINK("https://www.reddit.com/r/cancer/comments/alptnl/advice_how_to_deal_with_anger_mood_swings_as_a/")</f>
        <v/>
      </c>
      <c r="G512" t="inlineStr">
        <is>
          <t>2019-01-31 06:12:55</t>
        </is>
      </c>
      <c r="H512" t="inlineStr"/>
    </row>
    <row r="513">
      <c r="A513" t="inlineStr">
        <is>
          <t>alq5sz</t>
        </is>
      </c>
      <c r="B513" t="inlineStr">
        <is>
          <t>coworker has cancer - was told he's got a year. how can i help?</t>
        </is>
      </c>
      <c r="C513" t="inlineStr">
        <is>
          <t>hi all,
so this is a bit random, i'm not sure i'm in the right place to ask this so my apologies if not and please let me know where would be a better sub for my questions. 
my partners coworker has been fighting cancer for a few years, he's a young dad with pre-teen kids, recently divorced. i'm not sure the whole history but i do know that recently tests were run after a new lump was discovered and it turned out he has "one year tops". i am not sure the type of cancer or treatments he's undergone but word is this is the end of the road and it will be comfort care from this point forward from his current oncologist team. 
my question is specifically, do you guys have reccomendations on ways to help take some other stressors out of the equation so he can focus on whatever he deems is his next steps?? what kinds of things can be done to help this person that would make things easier? 
my initial idea was at the very least a gofundme for him &amp;amp; family, maybe start a mealtrain? but that seems like just a starting point? 
i figured this community would have a better scope of what is REALLY important, things that may not be thought of, etc when facing this kind of thing down.
i plan to talk to my boyfriend as this is his coworker and they're friends, so these would be ideas i'd give to him for what he (and other coworkers/friends) can do to help in any way. we are close in age to this guy and its been on my mind what, if anything, we can do to help him out. 
thank you ahead of time for any ideas or pointers</t>
        </is>
      </c>
      <c r="D513" t="n">
        <v>1</v>
      </c>
      <c r="E513" t="n">
        <v>3</v>
      </c>
      <c r="F513">
        <f>HYPERLINK("https://www.reddit.com/r/cancer/comments/alq5sz/coworker_has_cancer_was_told_hes_got_a_year_how/")</f>
        <v/>
      </c>
      <c r="G513" t="inlineStr">
        <is>
          <t>2019-01-31 06:49:50</t>
        </is>
      </c>
      <c r="H513" t="inlineStr"/>
    </row>
    <row r="514">
      <c r="A514" t="inlineStr">
        <is>
          <t>alqdnj</t>
        </is>
      </c>
      <c r="B514" t="inlineStr">
        <is>
          <t>What happened with your dry mouth?</t>
        </is>
      </c>
      <c r="C514" t="inlineStr">
        <is>
          <t>My mouth gets so dry at night I think my tongue is about to crumble like an old sponge. 
Those of you that had dry mouth what helped you?</t>
        </is>
      </c>
      <c r="D514" t="n">
        <v>1</v>
      </c>
      <c r="E514" t="n">
        <v>15</v>
      </c>
      <c r="F514">
        <f>HYPERLINK("https://www.reddit.com/r/cancer/comments/alqdnj/what_happened_with_your_dry_mouth/")</f>
        <v/>
      </c>
      <c r="G514" t="inlineStr">
        <is>
          <t>2019-01-31 07:11:17</t>
        </is>
      </c>
      <c r="H514" t="inlineStr"/>
    </row>
    <row r="515">
      <c r="A515" t="inlineStr">
        <is>
          <t>alra48</t>
        </is>
      </c>
      <c r="B515" t="inlineStr">
        <is>
          <t>Tell us the best thing that's happened to you recently</t>
        </is>
      </c>
      <c r="C515" t="inlineStr">
        <is>
          <t xml:space="preserve">Most of us on this page are going through some pretty shitty things. But there's no reason to not look at the positives in life. 
&amp;amp;#x200B;
With this said, tell us the best thing that's happened to you/you've done/you've experienced in the last week to a month. </t>
        </is>
      </c>
      <c r="D515" t="n">
        <v>1</v>
      </c>
      <c r="E515" t="n">
        <v>16</v>
      </c>
      <c r="F515">
        <f>HYPERLINK("https://www.reddit.com/r/cancer/comments/alra48/tell_us_the_best_thing_thats_happened_to_you/")</f>
        <v/>
      </c>
      <c r="G515" t="inlineStr">
        <is>
          <t>2019-01-31 08:35:46</t>
        </is>
      </c>
      <c r="H515" t="inlineStr"/>
    </row>
    <row r="516">
      <c r="A516" t="inlineStr">
        <is>
          <t>alsynw</t>
        </is>
      </c>
      <c r="B516" t="inlineStr">
        <is>
          <t>Just had a hysterectomy to remove the cancer.</t>
        </is>
      </c>
      <c r="C516" t="inlineStr">
        <is>
          <t xml:space="preserve">And I’m so happy because the doctor told me that test on lymph nodes for cancer during surgery came out negative. So did the other tissue samples. There’s two more test results that I will be getting next week, but the doctor told me she’s very confident those too will be negative. I’ll never be able to have children but at this moment I’m just happy to be cancer free. </t>
        </is>
      </c>
      <c r="D516" t="n">
        <v>1</v>
      </c>
      <c r="E516" t="n">
        <v>26</v>
      </c>
      <c r="F516">
        <f>HYPERLINK("https://www.reddit.com/r/cancer/comments/alsynw/just_had_a_hysterectomy_to_remove_the_cancer/")</f>
        <v/>
      </c>
      <c r="G516" t="inlineStr">
        <is>
          <t>2019-01-31 11:07:05</t>
        </is>
      </c>
      <c r="H516" t="inlineStr"/>
    </row>
    <row r="517">
      <c r="A517" t="inlineStr">
        <is>
          <t>aluemi</t>
        </is>
      </c>
      <c r="B517" t="inlineStr">
        <is>
          <t>Is it dangerous to expose skin to chloroform? I read that it causes cancer.</t>
        </is>
      </c>
      <c r="C517" t="inlineStr">
        <is>
          <t>It goes through my plastic gloves at work and gives me a hot feeling on the skin it touches, much like rubbing alcohol does. I’m careful and try to not get a lot of it on my gloves. I get exposed this way maybe once or twice a week, at most. Is this enough of an exposure to cause cancer?</t>
        </is>
      </c>
      <c r="D517" t="n">
        <v>1</v>
      </c>
      <c r="E517" t="n">
        <v>2</v>
      </c>
      <c r="F517">
        <f>HYPERLINK("https://www.reddit.com/r/cancer/comments/aluemi/is_it_dangerous_to_expose_skin_to_chloroform_i/")</f>
        <v/>
      </c>
      <c r="G517" t="inlineStr">
        <is>
          <t>2019-01-31 13:22:39</t>
        </is>
      </c>
      <c r="H517" t="inlineStr"/>
    </row>
    <row r="518">
      <c r="A518" t="inlineStr">
        <is>
          <t>aluo35</t>
        </is>
      </c>
      <c r="B518" t="inlineStr">
        <is>
          <t>The financial cost of cancer</t>
        </is>
      </c>
      <c r="C518" t="inlineStr">
        <is>
          <t>Hey r/cancer
You've been a huge resource for me as I spent the last 6 months going through chemo and surgery. Just wanted to give back and provide some insight into the financial cost of my cancer treatment. To provide some background, in June I was diagnosed with a germ cell tumor in my chest. It's a rare type of cancer that happens when you're 15-30 yrs old.
I first want to say that when I was diagnosed with bronchitis at the end of April, the doctor said he was on the fence about ordering an Xray just in case it could be pneumonia. Taking his word for it and not knowing that an Xray cost about $50 I went along with his advice and chose not to do it. Coulda/Woulda/Shoulda doesn’t really help after the fact but I did think about how things would have been different if I caught the tumor a month and a half earlier than I did.
I have everything broken out into categories so let’s start from the top:
My urgent care visit when I was first diagnosed with a tumor was $460.30
All the MRIs, CT scans, ultrasounds was $12,078.32
Xray services which I assume include radiologist fees were $7,464.46
I was admitted to the emergency room three times. The day I was diagnosed with a tumor, the first time I got bleomycin, and the second time I got bleomycin. These were $3,133.41
I spent a total of 12 days in the hospital which cost $141,962.50
All doctor visits both in office and at the hospital was $45,293.3
Lab services to run tests those samples the blood suckers took from me $7,453.02
Chemotherapy meds, Neulasta, all the pain killers I got after surgery, etc. $74,457.07
Outpatient Hospital, not sure what this cost is (maybe my physical therapy post surgery?) cost $2,243.40
The surgery related equipment to put in, clean, and take out my PICC line was $8,712.34
All of this adds up to a grand total of $303,258.07
I want to break down the total costs into chunks to better tell the story.
It cost $1,836.40 the first day I found out I had a tumor.
The biopsy to test the tumor to see if it was cancer cost $7,324.65.
The office visit for them to tell me that I had cancer cost $401.
When I first visited the Mayo Clinic, was admitted right away, and instructed to begin chemo therapy for 6 days was $62,214.11.
After my first high fever from getting a shot of bleomycin, I went to the hospital and was admitted for 6 days cost $30,522.32.
One shot of bleomycin was $841.65, while the total cost of my visit to Rochester for my one day per week visit was about $984.30 per week.
When I needed to go to Mayo for the full 5 day session of chemo, the total was $23,195.50. Just the chemo meds cost $1,821.87 per day. This doesn’t count the cost of me sitting in the chair or the nurses administering the meds either.
The entire chest surgery experience was $121,580.32. The actual day of surgery cost $119,421.50.
Out of the total $303,258.07 that my cancer incurred to the medical system, I only had to pay $2,950.73 out of pocket. That is a 99.02% discount. Pretty good deal right?
I absolutely count the value of being alive priceless but considering medical expenses are not transparent at all, I think this gives a lot of perspective of what it cost for me to get healthy again in the course of 6 months. I also cannot imagine what life must be like for those who can’t afford health insurance.
I'm more than happy to answer questions if anyone has any.</t>
        </is>
      </c>
      <c r="D518" t="n">
        <v>1</v>
      </c>
      <c r="E518" t="n">
        <v>33</v>
      </c>
      <c r="F518">
        <f>HYPERLINK("https://www.reddit.com/r/cancer/comments/aluo35/the_financial_cost_of_cancer/")</f>
        <v/>
      </c>
      <c r="G518" t="inlineStr">
        <is>
          <t>2019-01-31 13:47:41</t>
        </is>
      </c>
      <c r="H518" t="inlineStr"/>
    </row>
    <row r="519">
      <c r="A519" t="inlineStr">
        <is>
          <t>alutjk</t>
        </is>
      </c>
      <c r="B519" t="inlineStr">
        <is>
          <t>My mother was given 2 weeks to live</t>
        </is>
      </c>
      <c r="C519" t="inlineStr">
        <is>
          <t xml:space="preserve">My mother has been battling primary central nervous system lymphoma for 2 years. She was doing immunotherapy and every time it would go away, it would come back shortly after. First time was around 6 months and then 2 weeks. I’m November she had some very bad seizures and when no one could get ahold of her for 6 hours, her husband called the police and they found her on the floor. She was in the ICU and then the neuro unit in Boston for 3 weeks and then went to a rehab and was home by Christmas. They decided to do radiation on her brain and had high hopes that she would recover fully from it. She’s had some aphasia but has been getting so much better!! Well, yesterday was her MRI and they found very big tumors all down her spine. The doctor said she most likely has 2 weeks left to live! Has anyone here been told they had weeks or months to live and the doctors were wrong? I’m looking to hear about miracle stories and also if there’s anything you think we should try? Thank you and god bless! </t>
        </is>
      </c>
      <c r="D519" t="n">
        <v>1</v>
      </c>
      <c r="E519" t="n">
        <v>1</v>
      </c>
      <c r="F519">
        <f>HYPERLINK("https://www.reddit.com/r/cancer/comments/alutjk/my_mother_was_given_2_weeks_to_live/")</f>
        <v/>
      </c>
      <c r="G519" t="inlineStr">
        <is>
          <t>2019-01-31 14:01:53</t>
        </is>
      </c>
      <c r="H519" t="inlineStr"/>
    </row>
    <row r="520">
      <c r="A520" t="inlineStr">
        <is>
          <t>alv4dv</t>
        </is>
      </c>
      <c r="B520" t="inlineStr">
        <is>
          <t>Neutropaenia: How to Politely Inform Guests</t>
        </is>
      </c>
      <c r="C520" t="inlineStr">
        <is>
          <t xml:space="preserve">I've been having a lot of visitors to my home and my blood fluctuates between neutropaenic and severely neutropaenic. I have masks and handwash at my entry. I have more handwash around the house in various places.
I've been warning guests in advance that if they are sick, please practice proper hygiene around coughing and sneezing, and there are masks available if necessary.
I have a few concerns:
* I feel like an arsehole when I tell people about this. I'm used to being the best host I can. Imposing conditions on guests feels unnatural to me.
* Should I wear a mask myself?
* If someone sneezes on something, how long until that object stops being dangerous to me?
* If someone breaches these conditions during a visit, how do I confront the situation?
* Children often cannot be managed to have proper sneezing hygiene. 
* Is there anything else I should be asking my guests or avoiding?
I want to find a way to remind guests before they arrive about these precautions in a way that is lighthearted, welcoming, and won't scare them away from visiting.
I also want a way to give this same warning to tradespeople and others who might turn up without warning and with whom normal communication isn't possible.
</t>
        </is>
      </c>
      <c r="D520" t="n">
        <v>1</v>
      </c>
      <c r="E520" t="n">
        <v>12</v>
      </c>
      <c r="F520">
        <f>HYPERLINK("https://www.reddit.com/r/cancer/comments/alv4dv/neutropaenia_how_to_politely_inform_guests/")</f>
        <v/>
      </c>
      <c r="G520" t="inlineStr">
        <is>
          <t>2019-01-31 14:30:32</t>
        </is>
      </c>
      <c r="H520" t="inlineStr"/>
    </row>
    <row r="521">
      <c r="A521" t="inlineStr">
        <is>
          <t>alw9e4</t>
        </is>
      </c>
      <c r="B521" t="inlineStr">
        <is>
          <t>My wife just got diagnosed with endometrial cancer. We are both 26.</t>
        </is>
      </c>
      <c r="C521" t="inlineStr">
        <is>
          <t xml:space="preserve">I feel lost , it feels like a nightmare I have no idea what to expect or what the next step is. I’m scared, nervous, anxious, angry.  Does anyone have any words of encouragement ? </t>
        </is>
      </c>
      <c r="D521" t="n">
        <v>1</v>
      </c>
      <c r="E521" t="n">
        <v>19</v>
      </c>
      <c r="F521">
        <f>HYPERLINK("https://www.reddit.com/r/cancer/comments/alw9e4/my_wife_just_got_diagnosed_with_endometrial/")</f>
        <v/>
      </c>
      <c r="G521" t="inlineStr">
        <is>
          <t>2019-01-31 16:43:13</t>
        </is>
      </c>
      <c r="H521" t="inlineStr"/>
    </row>
    <row r="522">
      <c r="A522" t="inlineStr">
        <is>
          <t>alx7m9</t>
        </is>
      </c>
      <c r="B522" t="inlineStr">
        <is>
          <t>I'm finally done.</t>
        </is>
      </c>
      <c r="C522" t="inlineStr">
        <is>
          <t>After a year of nonstop pain, chemo, and radiation, I could not be more happy to say I am done with treatment. It's been so hard, and I'm lucky to have family and friends to support me through this. It wasn't the life I wanted, but it was the life I was given and dammit I am gonna live it. 
It's been a rollercoaster. Sometimes I just wanted to stop trying. But now I'm happy I never did. 
If any of you are battling cancer, just remember that you can't let it stop you from living your life. For most people there is a light at the end of the long, painful tunnel, and stepping out of the darkness is the best feeling you could ever think of. 
Keep fighting, and keep supporting your loved ones. ❤</t>
        </is>
      </c>
      <c r="D522" t="n">
        <v>1</v>
      </c>
      <c r="E522" t="n">
        <v>24</v>
      </c>
      <c r="F522">
        <f>HYPERLINK("https://www.reddit.com/r/cancer/comments/alx7m9/im_finally_done/")</f>
        <v/>
      </c>
      <c r="G522" t="inlineStr">
        <is>
          <t>2019-01-31 18:26:13</t>
        </is>
      </c>
      <c r="H522" t="inlineStr"/>
    </row>
    <row r="523">
      <c r="A523" t="inlineStr">
        <is>
          <t>alz39l</t>
        </is>
      </c>
      <c r="B523" t="inlineStr">
        <is>
          <t>Possible skin cancer!? Derm appointment</t>
        </is>
      </c>
      <c r="C523" t="inlineStr">
        <is>
          <t>My bladder doctor ( who had skin cancer) told me my moles look off and I should get them checked. Pre cancer, cervic cancer and melanoma kind of run in the family. I’m terrified as I’m 15 but I’m really concerned for the appointment. I basically want to know how the dermatologist checks for skin cancer. By that I mean am I going to have to get like full on nude in front of them? I have moles almost the size of a pencil erasers around my breast.  I’m trans so I’m very uncomfortable with that part of my body. And all the rest of my body expecially since I’m overweight.  I know I should be more worried about the cancer but I’m kind of just going through the motions on this since it’s so scary. So I have anxiety about the next scariest thing, which for me, is getting naked. So anyone who has went to the derm for skin cancer checks please leave the info below. Also if you did have some type of skin cancer how did they get rid of it? Did it hurt? Do you get chemo or do they just cut it off? I’m just trying to plan just Incase I get told I have something. 
Thanks!</t>
        </is>
      </c>
      <c r="D523" t="n">
        <v>1</v>
      </c>
      <c r="E523" t="n">
        <v>4</v>
      </c>
      <c r="F523">
        <f>HYPERLINK("https://www.reddit.com/r/cancer/comments/alz39l/possible_skin_cancer_derm_appointment/")</f>
        <v/>
      </c>
      <c r="G523" t="inlineStr">
        <is>
          <t>2019-01-31 22:09:50</t>
        </is>
      </c>
      <c r="H523" t="inlineStr"/>
    </row>
    <row r="524">
      <c r="A524" t="inlineStr">
        <is>
          <t>alzl9b</t>
        </is>
      </c>
      <c r="B524" t="inlineStr">
        <is>
          <t>Funeral plans have been prepared..</t>
        </is>
      </c>
      <c r="C524" t="inlineStr">
        <is>
          <t xml:space="preserve">My dad has pancreatic cancer and he was diagnosed around July 2017. He was put into hospice care 2 weeks ago. His hospital doctors says he has 12 to 14 weeks left but hospice said 4 weeks. 
I am not ready for this . He called me yesterday saying that he can't eat as much and that sometimes his stomach really hurts. 
To be honest, I don't know where else it has spread to.. I think maybe his liver. He doesn't really tell me.. 
Our family has planned out the funeral plan already and it seems to be happening so quickly. I don't want to go through with this.. 
What did you guys do for whoever in your life had cancer and the person was told they have weeks to live? 
</t>
        </is>
      </c>
      <c r="D524" t="n">
        <v>1</v>
      </c>
      <c r="E524" t="n">
        <v>3</v>
      </c>
      <c r="F524">
        <f>HYPERLINK("https://www.reddit.com/r/cancer/comments/alzl9b/funeral_plans_have_been_prepared/")</f>
        <v/>
      </c>
      <c r="G524" t="inlineStr">
        <is>
          <t>2019-01-31 23:21:02</t>
        </is>
      </c>
      <c r="H524" t="inlineStr"/>
    </row>
    <row r="525">
      <c r="A525" t="inlineStr">
        <is>
          <t>am1h7p</t>
        </is>
      </c>
      <c r="B525" t="inlineStr">
        <is>
          <t>Two Weeks! (rant/pity party)</t>
        </is>
      </c>
      <c r="C525" t="inlineStr">
        <is>
          <t>It's two weeks in now. Not even 1/3 of the way through the radiation. Not gonna lie, today is not a good day. There is pain as I expected but I did not expect that my mouth would be covered with a thick brown film. I have to constantly spit and gargle with salt water to get rid of it and after sleeping I have to try to scrape the bad parts off with my fingers or tooth brush. My mouth makes me wretch and causes nausea because of the film and taste. My tongue is swelled up and hurting, but because my cancer is getting smaller my throat does not hurt as bad as it used to. But the real problem is that one of the nurses noticed something on my other tonsil. Didn't want to hear that, probably nothing, but I have to wait until Monday to see the doctor.  
But today is Friday also which means no work for two days!!!!! Weekend allow me to exercise and rest which I  need! ALL THAT REMAINS is 23 days!</t>
        </is>
      </c>
      <c r="D525" t="n">
        <v>1</v>
      </c>
      <c r="E525" t="n">
        <v>13</v>
      </c>
      <c r="F525">
        <f>HYPERLINK("https://www.reddit.com/r/cancer/comments/am1h7p/two_weeks_rantpity_party/")</f>
        <v/>
      </c>
      <c r="G525" t="inlineStr">
        <is>
          <t>2019-02-01 04:22:44</t>
        </is>
      </c>
      <c r="H525" t="inlineStr"/>
    </row>
    <row r="526">
      <c r="A526" t="inlineStr">
        <is>
          <t>am222c</t>
        </is>
      </c>
      <c r="B526" t="inlineStr">
        <is>
          <t>mom was diagnosed with stage 4 non-small lung cancer yesterday, in need of a hug, some prayers, advice &amp;amp; insight</t>
        </is>
      </c>
      <c r="C526" t="inlineStr">
        <is>
          <t>i'm devastated. my mom is only 51 and i'm only 17. my mom tells us to be ready. but i can't even bear imagining life without my mom. and when i remember that i might not have my mom with me in 5 years, i break down all over again. i don't want to live without her. i'm so so so scared. my heart feels so heavy. i never thought that something like this would happen to my mom. i called her wonder woman ever since i was a toddler. she still has so many big goals and dreams and this doesn't feel right. she was healthy and so physically strong and seeing her so small and weak now makes me cry all over again. she did literally everything right and got back in shape last year so she could live a long life and now she gets fucking lung cancer and we couldn't even prevent it. 
my mom will be discharged tomorrow. she will still need to be hooked up to an oxygen tank. i've been crying nonstop. i want to be strong for my mom because i don't want her to see me sad and hear me crying and stress her out. but i still can't process it. it feels like a bad dream. this literally does not feel real. but then i remember that this is our reality now and i'm reminded of how fucking unfair life is.
i want to do everything in my power to help my mom and to be strong for myself and for her. do you guys have any advice on how to cope and accept this? on things i can do for my mom? and things i can do with my mom, if that's possible? and any other helpful advice and insight for this trial to come? i want to harness an environment for her to try to help her heal and spend as much time with her as possible. 
i would also appreciate it if you guys could set time aside for a little prayer for my mom if you guys want.
thank you guys.
&amp;amp;#x200B;
\----------------------------------------------------------------------------------------------------------------------
very long text down below (just keeping this at the bottom to vent and so i could get to the point at the top)
&amp;amp;#x200B;
my mom hasn't been feeling well for the past two months. she was so healthy and physically strong, (literally stronger than me. i couldn't even lift her weights haha). she eats healthily, exercised a lot, never smoked (but my grandma was a chain smoker and smoked inside the house, but she lived to be 85 IIRC). all of a sudden she started having shortness of breath and no energy. she never had these problems before.
the first time she went to Urgent Care they didn't even check her breathing or take x-rays. a week or two ago my mom said she blacked out while i was out and last week she felt like she was having a heart attack at night. she wasn't getting better and last Thursday she went again. her doctor called later that afternoon, saying she has pneumonia in her lungs and that she has to go the er. we went to the er, then she got admitted to the hospital.
this Wednesday we found out that she has cancer. her left lung has already collapsed. i cried the whole way to the hospital. that night i went home and took a shower and I kept thinking how this all felt like a bad dream.
yesterday morning when i woke up i remembered it all over again, i immediately started sobbing again. my dad came in my room asking me what i wanted to eat and i asked him for a hug while i was crying. we visited her again and my mom tells me her cancer metastasized in her pleural cavity. i started freaking out and asked what stage it's in. my dad tells me stage 4. i immediately broke down and started sobbing onto my mom's lap. i could hear my dad sniffle and he never cries. (but every time someone comes in and prays for us he cries again, and my mom does too.)
i'm only 17, a senior in high school. i wish i could be worrying about shit like college acceptances and my activities and grades and prom but now those problems seem so stupid and miniscule. now, instead, i'm worrying if my mom will see me graduate from high school, graduate from college (she told me she might not see me do this and fuck i'm fucking sad), get married, have children. literally in december, she told me that she's excited to be busy preparing Christmas presents for her grandchildren when we're older.
my mom's only 51. i know that life isn't fair but this. fucking. sucks. my mom has been through so much and is the strongest, loudest, bravest, most outgoing, God-fearing, and kind person i know. and it breaks my heart for her to say that she's scared and in disbelief and not ready to die.
i can't help but feel guilty for stressing her out so much and not persistently urging her to go to the doctor again. i know this isn't my fault, but i just feel so fucking selfish. every time something happens to me she takes me to Urgent Care, the ER, she even scheduled a neurologist appointment for me for my head-twitching (which she cried about). and i couldn't even do the same, even when she started asking me about her asthma and telling me she feels like that, or when she told us she blacked out and when she told us she felt like she had a heart attack. i just wish i looked up her symptoms and cared for her how she does for me.
my mom will be discharged tomorrow. she's going to need an oxygen tank. yesterday they did a CT scan on her brain and neck area and i pray to God that it hasn't spread further. they are also testing to see if she has the ALK mutation so we can do that treatment. i'm hoping for a miracle. i know it's not realistic. but i need as much time as possible with my mom.
i feel so heartbroken, but i can't even imagine how helpless and scared my mom feels. we all thought she was healthy. my mom was literally the healthiest of all of us in the family. we already lost my grandma from breast cancer. and now this. of all possible things. fuck cancer.
my uncle smokes. my dad used to smoke. my mom never touched a cigarette in her life. my uncles live in the philippines where the air quality is poor. we live in california, and maybe the wildfires affected her because our AQI was at 300 at one point, but still. this sucks.
ugh.
(i'm sorry for the long post)</t>
        </is>
      </c>
      <c r="D526" t="n">
        <v>1</v>
      </c>
      <c r="E526" t="n">
        <v>26</v>
      </c>
      <c r="F526">
        <f>HYPERLINK("https://www.reddit.com/r/cancer/comments/am222c/mom_was_diagnosed_with_stage_4_nonsmall_lung/")</f>
        <v/>
      </c>
      <c r="G526" t="inlineStr">
        <is>
          <t>2019-02-01 05:36:02</t>
        </is>
      </c>
      <c r="H526" t="inlineStr"/>
    </row>
    <row r="527">
      <c r="A527" t="inlineStr">
        <is>
          <t>am31mo</t>
        </is>
      </c>
      <c r="B527" t="inlineStr">
        <is>
          <t>What now??</t>
        </is>
      </c>
      <c r="C527" t="inlineStr">
        <is>
          <t xml:space="preserve">Please, I need your help - Out of the box ideas, connections, solution, etc.
My beautiful,  vibrant sister has been 10 rounds with cancer in the last 18 months. 
3 rounds of chemo, a double mastectomy,  30kg weight gain, induced menopause, bone pain, fatigue and nausea have only put the slightest dent in her radiant personality. 
She has continued to work full time (except for hospital stays) and is the devoted single mother of gorgeous twin girls who are just starting Yr 12.  She is invincible!  Or not.
This week has brought news that:
- her job will be consolidated into a large corp - relieving her of her understanding workplace, support network and second family.
- her daughter is not eligible for public surgery to fix her fractured femur and snapped ACL. Cost $10,000 after Medicare or wait up to 24 mths.
- the 10 year course of cancer repelling drugs she takes is  crippling her joints. She's struggling to walk.  Only been taking it for 5 months.
- the drugs she is taking for 2 years to try and stop the cancer migration from her lympnodes to her lungs, liver and brain will be stopped if she cant stop being so sick.
Please come at me with your experience, local knowledge, connections, etc. Anything.
We need to know - 
. An employer who needs a bookkeeper/accountant/BAS Agent/project manager in the eastern suburbs that is understanding of days or short periods of time off? 
- tips/ tricks/ experience  in dealing with getting public health to do low priority surgery.
- any ideas from people who have had success with pain or fatigue management after cancer and/or long term treatment.
- financial and housing info that might make her life easier and affordable on a part time wage (and still independent).
Cheers for the ideas </t>
        </is>
      </c>
      <c r="D527" t="n">
        <v>1</v>
      </c>
      <c r="E527" t="n">
        <v>0</v>
      </c>
      <c r="F527">
        <f>HYPERLINK("https://www.reddit.com/r/cancer/comments/am31mo/what_now/")</f>
        <v/>
      </c>
      <c r="G527" t="inlineStr">
        <is>
          <t>2019-02-01 07:20:14</t>
        </is>
      </c>
      <c r="H527" t="inlineStr"/>
    </row>
    <row r="528">
      <c r="A528" t="inlineStr">
        <is>
          <t>am31st</t>
        </is>
      </c>
      <c r="B528" t="inlineStr">
        <is>
          <t>cancer, treatment, and aftermath</t>
        </is>
      </c>
      <c r="C528" t="inlineStr">
        <is>
          <t>i just want to share a little piece i wrote about my experiences going through cancer treatment and my feelings towards the language we used to talk about cancer. i hope this doesn't come off as blogspam or seen as solicitation. it kind of started as a journal in a form of self therapy since i was having a lot of anxiety when the first anniversary of my acute myeloid leukemia diagnosis date was coming up, but i've decided to make it public on medium and revised/edited it with that in mind. this piece is still very personal to me and it only speaks for myself and my struggles in dealing with my cancer.
[https://medium.com/@transgendercancergirl/cancer-treatment-and-aftermath-b3769dc8b728](https://medium.com/@transgendercancergirl/cancer-treatment-and-aftermath-b3769dc8b728)</t>
        </is>
      </c>
      <c r="D528" t="n">
        <v>1</v>
      </c>
      <c r="E528" t="n">
        <v>0</v>
      </c>
      <c r="F528">
        <f>HYPERLINK("https://www.reddit.com/r/cancer/comments/am31st/cancer_treatment_and_aftermath/")</f>
        <v/>
      </c>
      <c r="G528" t="inlineStr">
        <is>
          <t>2019-02-01 07:20:43</t>
        </is>
      </c>
      <c r="H528" t="inlineStr"/>
    </row>
    <row r="529">
      <c r="A529" t="inlineStr">
        <is>
          <t>am4g5z</t>
        </is>
      </c>
      <c r="B529" t="inlineStr">
        <is>
          <t>The Most Inspiring Cancer Story You'll Ever Read!</t>
        </is>
      </c>
      <c r="C529" t="inlineStr">
        <is>
          <t xml:space="preserve">***It's my Mom's.***
&amp;amp;#x200B;
I'm going anon on this, for two reasons. Firstly, to protect her privacy. Secondly, because the important bit of her story is the same story as a few hundred other women, who also deserve the honor.  
Let's start the week before Christmas last year 2012.  
That was the week of the family reunion. While my children were playing upstairs, my parents (aka grannie and grandad) told us two things:  
* My dad's cancer seemed to have improved, but,  
* My mum had breast cancer.
Dad's cancer had had complications, the details of which aren't important, but let us just say that it had been a taxing year for all of us, but especially them.  
My mum had an operation, to be followed by radiotherapy.  
I live in the UK. In the UK, we have a major problem with breast cancer, which is basically that women aren't dying of other things anymore, so far, far, more of them are living long enough to get it.   
We're also in a country with a tanked economy, a massive national debt, a government elected on a platform of reducing the deficit, and a National Health Service.  
As such, there's a major clinical trial going on about women and breast cancer.  
The quick summary is that we have a treatment protocol that we know is effective, but involves multiple doses of radiotherapy.  
The trial is to look at whether an alternative protocol is acceptable. This protocol is a single dose at a much higher level.  
The possible downsides are:  
1. It might not be as effective
2. Radiation poisoning, to the extent that she was issued a kit which was basically "if you suffer radiation burns, use the following included items and get to a doctor ASAP."  
The possible upside is:  
1. If it works, it could be scaled up "affordable" to meet the "demand."  
There is NO EXPECTATION that it will prove medically better. The benefits are to future women, who may end up with an "equally or almost as good" treatment that can be rolled out more widely.  
Let me state the obvious, there are NO CONCEIVABLE BENEFITS to anyone volunteering to take part in the trial.  
Mum, knowing all this, volunteered.  
**In the middle of cancer, less than a year after her husband had had cancer, with no possible upside to herself, she volunteered to run the risk of radiation poisoning so that future women might benefit from the learnings of the trial.** </t>
        </is>
      </c>
      <c r="D529" t="n">
        <v>1</v>
      </c>
      <c r="E529" t="n">
        <v>10</v>
      </c>
      <c r="F529">
        <f>HYPERLINK("https://www.reddit.com/r/cancer/comments/am4g5z/the_most_inspiring_cancer_story_youll_ever_read/")</f>
        <v/>
      </c>
      <c r="G529" t="inlineStr">
        <is>
          <t>2019-02-01 09:29:06</t>
        </is>
      </c>
      <c r="H529" t="inlineStr"/>
    </row>
    <row r="530">
      <c r="A530" t="inlineStr">
        <is>
          <t>am8gqi</t>
        </is>
      </c>
      <c r="B530" t="inlineStr">
        <is>
          <t>I Hate This Maybe Game</t>
        </is>
      </c>
      <c r="C530" t="inlineStr">
        <is>
          <t xml:space="preserve">I have had and gone through treatment for 3 different, unrelated cancers.  I have come through with scars, lingering aftereffects, and honestly, some PTSD. 
Last week I went to my latest cancer surgeon for my 2nd six month check-up. Honesty I never considered anything other than the doctor is ALWAYS late so I anticipated that frustration, and he has a bedside manner that I find off-putting.  However, he is the best surgeon in my area for the cancer I had. During my ultrasound he tells me that my lymph nodes are looking "funny" and that he would have his nurses schedule a head to toe MRI, with contrast (yeah 8 hours of my life on a hard table), a new PET scan, a list of blood tests another ultrasound in 6 weeks and then possibly a biopsy, but not to worry, it is probably nothing.  
Now I seriously try to not stress out, read shit on-line about the possibilities, or let the unknown affect my daily life.  That being said, I am internally losing my mind.  I have never had a doctor order all those tests and it not be something.
Am I over-reacting, responding to the cancer PTSD, or am I reasonably terrified?  I can't tell my husband as he is actually far more high strung about this type thing than I am.   I think his comes from having to sit and wait and regardless of the outcome not being able to fix it.  Therefore I will not burden him more than necessary. </t>
        </is>
      </c>
      <c r="D530" t="n">
        <v>1</v>
      </c>
      <c r="E530" t="n">
        <v>17</v>
      </c>
      <c r="F530">
        <f>HYPERLINK("https://www.reddit.com/r/cancer/comments/am8gqi/i_hate_this_maybe_game/")</f>
        <v/>
      </c>
      <c r="G530" t="inlineStr">
        <is>
          <t>2019-02-01 15:57:40</t>
        </is>
      </c>
      <c r="H530" t="inlineStr"/>
    </row>
    <row r="531">
      <c r="A531" t="inlineStr">
        <is>
          <t>am97pb</t>
        </is>
      </c>
      <c r="B531" t="inlineStr">
        <is>
          <t>Walking Around My Mom’s Home Today And Calling for Her Was Strangely Therapeutic</t>
        </is>
      </c>
      <c r="C531" t="inlineStr">
        <is>
          <t>My mom passed 3 months ago. I went to visit my dad today, but he wasn’t there when I got to their home. When she was alive I would call out to her as soon as I entered their home to figure out what room she was in. I had a strong urge to do it, knowing no one was home. I walked around calling for her, waiting for her presence to be heard. I am crying now, but it is nice to relieve a sweet memories of when she was alive.</t>
        </is>
      </c>
      <c r="D531" t="n">
        <v>1</v>
      </c>
      <c r="E531" t="n">
        <v>4</v>
      </c>
      <c r="F531">
        <f>HYPERLINK("https://www.reddit.com/r/cancer/comments/am97pb/walking_around_my_moms_home_today_and_calling_for/")</f>
        <v/>
      </c>
      <c r="G531" t="inlineStr">
        <is>
          <t>2019-02-01 17:23:08</t>
        </is>
      </c>
      <c r="H531" t="inlineStr"/>
    </row>
    <row r="532">
      <c r="A532" t="inlineStr">
        <is>
          <t>am9mdv</t>
        </is>
      </c>
      <c r="B532" t="inlineStr">
        <is>
          <t>Good news, bad news.</t>
        </is>
      </c>
      <c r="C532" t="inlineStr">
        <is>
          <t xml:space="preserve">CT scan today and the sites of my lymphoma have shrunk a bit with treatment so my current chemo regimen may be working.  Now, however, I have multiple blood clots in my lungs and had to fork out several hundred dollars for three weeks worth of anti-coagulants.  Sometimes cancer makes you prone to blood clots and I guess I'm just one of those lucky people.  As for the cost, it's nice to know I'm helping to pay for some pharmaceutical exec's kid to go to an Ivy League school.  </t>
        </is>
      </c>
      <c r="D532" t="n">
        <v>1</v>
      </c>
      <c r="E532" t="n">
        <v>6</v>
      </c>
      <c r="F532">
        <f>HYPERLINK("https://www.reddit.com/r/cancer/comments/am9mdv/good_news_bad_news/")</f>
        <v/>
      </c>
      <c r="G532" t="inlineStr">
        <is>
          <t>2019-02-01 18:10:33</t>
        </is>
      </c>
      <c r="H532" t="inlineStr"/>
    </row>
    <row r="533">
      <c r="A533" t="inlineStr">
        <is>
          <t>am9mfa</t>
        </is>
      </c>
      <c r="B533" t="inlineStr">
        <is>
          <t>I start chemo mid February</t>
        </is>
      </c>
      <c r="C533" t="inlineStr">
        <is>
          <t>I had testicular cancer, which blows my mind since I smoke and dip, I had surgery and it has moved on to nodes in my pelvis, I have posted this before and received a lot of support, it’s official I will be getting a port on Tuesday, my lung test was great, but guys... I’m scared,...</t>
        </is>
      </c>
      <c r="D533" t="n">
        <v>1</v>
      </c>
      <c r="E533" t="n">
        <v>4</v>
      </c>
      <c r="F533">
        <f>HYPERLINK("https://www.reddit.com/r/cancer/comments/am9mfa/i_start_chemo_mid_february/")</f>
        <v/>
      </c>
      <c r="G533" t="inlineStr">
        <is>
          <t>2019-02-01 18:10:42</t>
        </is>
      </c>
      <c r="H533" t="inlineStr"/>
    </row>
    <row r="534">
      <c r="A534" t="inlineStr">
        <is>
          <t>am9msk</t>
        </is>
      </c>
      <c r="B534" t="inlineStr">
        <is>
          <t>Does anyone have experience with Cetuximab (Erbitux)?</t>
        </is>
      </c>
      <c r="C534" t="inlineStr">
        <is>
          <t>I just started on it today in addition to my Folfox and Avastin infusions. I'm just wondering about the pros and cons, specifically how bad the "rash" can be for some people vs how effective it is at shrinking tumors. It was a no-brainer for me to try it when my genetic tests came back and revealed that I'm a candidate for its use, but I'm curious about some real world experiences. Thanks.</t>
        </is>
      </c>
      <c r="D534" t="n">
        <v>1</v>
      </c>
      <c r="E534" t="n">
        <v>10</v>
      </c>
      <c r="F534">
        <f>HYPERLINK("https://www.reddit.com/r/cancer/comments/am9msk/does_anyone_have_experience_with_cetuximab_erbitux/")</f>
        <v/>
      </c>
      <c r="G534" t="inlineStr">
        <is>
          <t>2019-02-01 18:11:50</t>
        </is>
      </c>
      <c r="H534" t="inlineStr"/>
    </row>
    <row r="535">
      <c r="A535" t="inlineStr">
        <is>
          <t>amagif</t>
        </is>
      </c>
      <c r="B535" t="inlineStr">
        <is>
          <t>Need help with CBD/THC Marijuana</t>
        </is>
      </c>
      <c r="C535" t="inlineStr">
        <is>
          <t>Hello friends. My best friend is in the first few weeks of chemo and it’s sheer hell. She has horrible sores in her mouth which are the worst the doctors have seen. They’re at a loss to help her; she’s in tremendous pain. 
I’m hoping someone can suggest the best CBD and THC‘s (combination or not), whatever it takes, that might help her. She would smoke it or Vape it but it hurts Her throat too much. Edibles are a challenge because she’s not allowed sugar or chocolate. She can’t chew anything hard like a cookie even if it was sugar-free because it scratches her’s throat. I am trying to find sugar-free gummy’s. Any suggestions at all would be wonderful. 
My son worked in a Toronto Canada dispensary for a year and he said there was a particular strain called Angels Tears and that all his chemo and cancer patients loved it… They couldn’t keep it in stock. I’ve researched it and have found mixed reviews, so if anyone has any experience, please pipe in.  
I’m in the San Francisco bay area so, if you’re here and you can provide any links I’d be grateful. Thank you so much. 
Gonna x-post to San Francisco and Bay Area subs.</t>
        </is>
      </c>
      <c r="D535" t="n">
        <v>1</v>
      </c>
      <c r="E535" t="n">
        <v>33</v>
      </c>
      <c r="F535">
        <f>HYPERLINK("https://www.reddit.com/r/cancer/comments/amagif/need_help_with_cbdthc_marijuana/")</f>
        <v/>
      </c>
      <c r="G535" t="inlineStr">
        <is>
          <t>2019-02-01 19:53:21</t>
        </is>
      </c>
      <c r="H535" t="inlineStr"/>
    </row>
    <row r="536">
      <c r="A536" t="inlineStr">
        <is>
          <t>amakrp</t>
        </is>
      </c>
      <c r="B536" t="inlineStr">
        <is>
          <t>Stage 4 (Mets to adrenal gland only) non small cell lung cancer.</t>
        </is>
      </c>
      <c r="C536" t="inlineStr">
        <is>
          <t xml:space="preserve">My mom was diagnosed with stage 4 non small cell lung cancer today. Using a throwaway because my main has identifying info and this piece of the puzzle would easily put it together for my students (I’m a high school teacher with students who use reddit and actively try to find me). 
Basically, fuck this. Fuck cancer. Fuck this diagnosis. My mom is a saint. She gave up everything for me. She literally sacrificed her whole life so I could get out of the hell hole of poverty I started out in. She got me through college, helped me deliver my son, helped me finish my masters degree. She’s so fucking gentle guys. Animals walk up to her willingly, she has never once raised her voice at me (and I’ve definitely deserved it). She’s the most amazing human that ever lived. There are murderers and child rapists and people who shoot up schools out there and they’re just fine. But no. My mom has cancer. I just can’t get over the  enormity if that unfairness.
I need someone to just talk to me rationally. What are the options? What do I need to do? Is my mom going to be alive next year? Next month? 
They gave her a 2% chance of seeing five years. A zero percent chance of survival. That can’t be right? There’s no fucking way that’s right. </t>
        </is>
      </c>
      <c r="D536" t="n">
        <v>1</v>
      </c>
      <c r="E536" t="n">
        <v>14</v>
      </c>
      <c r="F536">
        <f>HYPERLINK("https://www.reddit.com/r/cancer/comments/amakrp/stage_4_mets_to_adrenal_gland_only_non_small_cell/")</f>
        <v/>
      </c>
      <c r="G536" t="inlineStr">
        <is>
          <t>2019-02-01 20:07:28</t>
        </is>
      </c>
      <c r="H536" t="inlineStr"/>
    </row>
    <row r="537">
      <c r="A537" t="inlineStr">
        <is>
          <t>amalw2</t>
        </is>
      </c>
      <c r="B537" t="inlineStr">
        <is>
          <t>I think I’m actually done</t>
        </is>
      </c>
      <c r="C537" t="inlineStr">
        <is>
          <t xml:space="preserve">I don’t know. It’s been weird. I’ve spent a lot of time in pain, to be honest I can’t really remember what it feels like to not be in pain. It started when I was 10. 10... I used to have a lot of goals. Like I wanted to be a football player, an astronaut, an officer, a firefighter; the usual. But I had cancer in my foot, and I haven’t been able to run since I was 12. I loved life though. I met a lot of cool people, I fell in love too many times, I talked about life, I’ve got some amazing memories. Behind everything I still had the pain. It’s always been there, somewhere in the background. 
My leg was destroyed. 5 inches shorter than my other leg, 4-5 shoe sizes difference. Every step was a reminder, a reminder that I was living on borrowed time. 
2 years of chemo, 2 months of radiation and 10+ surgeries was the initial treatment. I was free of cancer after a couple years. Then it came back, more chemo/radiation/surgeries. Free hjof cancer for a couple years. Then it came back. Only chemo this time, then it was fine. Free of cancer for a year. Only a surgery this time, the amputation of my leg. I was fine though.
It returned again, it’s in my brain this time. I feel pretty weird. I can’t remember being this excited for anything else in my life. My doctors said I’ve got a couple months. I want it over with, I want it done. I’ve waited for so fucking long for this day. The pain will end, everything will end. I’m crying right now and I don’t even care how fucked up it is; but it’s tears of joy. I’ve waited and I’ve waited, and it will finally be over. I’m gonna load up on Oxy and join in on the eternal slumber. 
I’m 23 years old and I’ve had cancer since I was 10. I wished for death since I was 13, and now it’s finally happening. I know this subreddit is about the positivty, but honestly this is positive. I can’t remember being this happy. I can’t stand the pain. Every moment of the past decade has been pain; BUT NOW IT’S DONE WITH. For the first time in many years, I feel happy. My family loves me, I have too many friends, I love all of them. I’m sad that they’ll be sad, but if I didn’t have them I would’ve already killed myself. This way I’m not a let down, this way I’m not breaking anyone’s heart. A girl told me last week she fell in love with me, that kind of sucks but either way she’ll be better off. I don’t know I’m just rambling, it feels like a massive burden has been lifted off of my shoulders, I’m sorry for this wall of text. I love you and I hope you’re having a great day! </t>
        </is>
      </c>
      <c r="D537" t="n">
        <v>1</v>
      </c>
      <c r="E537" t="n">
        <v>53</v>
      </c>
      <c r="F537">
        <f>HYPERLINK("https://www.reddit.com/r/cancer/comments/amalw2/i_think_im_actually_done/")</f>
        <v/>
      </c>
      <c r="G537" t="inlineStr">
        <is>
          <t>2019-02-01 20:11:30</t>
        </is>
      </c>
      <c r="H537" t="inlineStr"/>
    </row>
    <row r="538">
      <c r="A538" t="inlineStr">
        <is>
          <t>amamug</t>
        </is>
      </c>
      <c r="B538" t="inlineStr">
        <is>
          <t>I can't stand this waiting game. I'm losing my mind.</t>
        </is>
      </c>
      <c r="C538" t="inlineStr">
        <is>
          <t>I have not had a confirmed diagnosis yet but I have my inguinal lymph nodes are swelling larger every day. Most of my blood work is fine but I live in Alaska and my doctors are all backed up. When I scheduled my CT scan I got a date almost a month in the future. I still have to wait for the 20th of February. I just got referred to oncology and the lady on the phone was super nice and helpful and said they might be able to get me a CT scan earlier than that and I should expect a call back soon. I called back the next day (today Friday) and was told that the scheduling person was off today and won't be in until Monday. MONDAY I CAN'T WAIT UNTIL MONDAY TO GET A **DATE** FOR MY APPOINTMENT. There's no telling how long it will even take get diagnosis.
I'm freaking out. I try not to because that won't make time go by any faster but it all hits me when I try to sleep. I'm busy throughout the day and don't think of it much, but now It's the only thing on my mind. 
Vent/rant over. Sorry I had to tell someone.</t>
        </is>
      </c>
      <c r="D538" t="n">
        <v>1</v>
      </c>
      <c r="E538" t="n">
        <v>1</v>
      </c>
      <c r="F538">
        <f>HYPERLINK("https://www.reddit.com/r/cancer/comments/amamug/i_cant_stand_this_waiting_game_im_losing_my_mind/")</f>
        <v/>
      </c>
      <c r="G538" t="inlineStr">
        <is>
          <t>2019-02-01 20:15:11</t>
        </is>
      </c>
      <c r="H538" t="inlineStr"/>
    </row>
    <row r="539">
      <c r="A539" t="inlineStr">
        <is>
          <t>amark8</t>
        </is>
      </c>
      <c r="B539" t="inlineStr">
        <is>
          <t>My mom passed away from diffused large b-cell lymphoma on December 3rd, 2018 and I just found out my dad was diagnosed today with metastatic lung cancer in both lungs</t>
        </is>
      </c>
      <c r="C539" t="inlineStr">
        <is>
          <t>Life sure is strange, ain’t it?</t>
        </is>
      </c>
      <c r="D539" t="n">
        <v>1</v>
      </c>
      <c r="E539" t="n">
        <v>10</v>
      </c>
      <c r="F539">
        <f>HYPERLINK("https://www.reddit.com/r/cancer/comments/amark8/my_mom_passed_away_from_diffused_large_bcell/")</f>
        <v/>
      </c>
      <c r="G539" t="inlineStr">
        <is>
          <t>2019-02-01 20:32:58</t>
        </is>
      </c>
      <c r="H539" t="inlineStr"/>
    </row>
    <row r="540">
      <c r="A540" t="inlineStr">
        <is>
          <t>amb2gy</t>
        </is>
      </c>
      <c r="B540" t="inlineStr">
        <is>
          <t>Dad suffering from PSC for last year, just now diagnosed with cancer of bile duct. What should I know?</t>
        </is>
      </c>
      <c r="C540" t="inlineStr">
        <is>
          <t>My dad has been treating symptoms of PSC for the last year. This week, a biopsy revealed cancer on the walls of his bile duct. He doesnt know much, I know even less. I understand biology/biochem pretty well. What do I need to know about his condition and how I can support him?
He is not very old (mid 50s). Google searches say intraheptic cancer prognosis is extremely poor (~12-15% /5 years).</t>
        </is>
      </c>
      <c r="D540" t="n">
        <v>1</v>
      </c>
      <c r="E540" t="n">
        <v>0</v>
      </c>
      <c r="F540">
        <f>HYPERLINK("https://www.reddit.com/r/cancer/comments/amb2gy/dad_suffering_from_psc_for_last_year_just_now/")</f>
        <v/>
      </c>
      <c r="G540" t="inlineStr">
        <is>
          <t>2019-02-01 21:13:39</t>
        </is>
      </c>
      <c r="H540" t="inlineStr"/>
    </row>
    <row r="541">
      <c r="A541" t="inlineStr">
        <is>
          <t>amd0uv</t>
        </is>
      </c>
      <c r="B541" t="inlineStr">
        <is>
          <t>Treatment isn’t working so far.</t>
        </is>
      </c>
      <c r="C541" t="inlineStr">
        <is>
          <t>Cancer treatment isn’t going so well.  The cancer continues to grow despite it.   At our last meeting, my nurse practitioner told me that she sees months rather than years left.  Even though I’ve just started a new therapy, I am terrified that I am really getting close to the end.  I don’t know what to do with myself.  
I would like to be able to maintain hope that there may yet be years left but there are cancerous tumors all over my lungs and in my bones and what we’ve thrown at it so far has not knocked it down.
I’m scared.  I’m unbelievably sad.  Does anyone know how to do this?  Or how to cope?  Any wisdom you can share?</t>
        </is>
      </c>
      <c r="D541" t="n">
        <v>1</v>
      </c>
      <c r="E541" t="n">
        <v>15</v>
      </c>
      <c r="F541">
        <f>HYPERLINK("https://www.reddit.com/r/cancer/comments/amd0uv/treatment_isnt_working_so_far/")</f>
        <v/>
      </c>
      <c r="G541" t="inlineStr">
        <is>
          <t>2019-02-02 02:44:00</t>
        </is>
      </c>
      <c r="H541" t="inlineStr"/>
    </row>
    <row r="542">
      <c r="A542" t="inlineStr">
        <is>
          <t>amfb3b</t>
        </is>
      </c>
      <c r="B542" t="inlineStr">
        <is>
          <t>My friend is diagnosed with lung cancer and is currently undergoing chemo. What can I do to make this better?</t>
        </is>
      </c>
      <c r="C542" t="inlineStr">
        <is>
          <t>My friend has taken leave from college and is currently undergoing chemotherapy. She started her course about three days ago. She was all good when it started. Today she texted saying she is done, that it is tiring, painful, that she wants to quit. She lives about 12 hours away from where I do. I plan to visit her in the coming weekend. Is there anything I can do or get her to do during the course of treatment? Her parents are with her and her mother is constantly crying, this has further made my friend feel guilty sort of.
I do not know the exact details of the diagnosis. From what I gathered from what she told me, it started with allergic bronchitis and a hole in the lung and an infection. We met two years ago, she was perfectly healthy and jumpy as a person, I therefore would like to assume that it was "detected in an early stage" and something can be done about this.</t>
        </is>
      </c>
      <c r="D542" t="n">
        <v>1</v>
      </c>
      <c r="E542" t="n">
        <v>19</v>
      </c>
      <c r="F542">
        <f>HYPERLINK("https://www.reddit.com/r/cancer/comments/amfb3b/my_friend_is_diagnosed_with_lung_cancer_and_is/")</f>
        <v/>
      </c>
      <c r="G542" t="inlineStr">
        <is>
          <t>2019-02-02 07:57:03</t>
        </is>
      </c>
      <c r="H542" t="inlineStr"/>
    </row>
    <row r="543">
      <c r="A543" t="inlineStr">
        <is>
          <t>amffku</t>
        </is>
      </c>
      <c r="B543" t="inlineStr">
        <is>
          <t>My surgery to remove lymph nodes in my neck that are Effected by Non Hodgkin Lymphoma is on the 13th</t>
        </is>
      </c>
      <c r="C543" t="inlineStr">
        <is>
          <t>I just wanted to make this post to wish everyone who is going through the rough ride that comes along with cancer, a long life full of health, wealth, and happiness! This is just a bump in the road. Keep your heads held high and know that there is always someone by your side! None of us are alone! Good luck and much love &amp;lt;3</t>
        </is>
      </c>
      <c r="D543" t="n">
        <v>1</v>
      </c>
      <c r="E543" t="n">
        <v>29</v>
      </c>
      <c r="F543">
        <f>HYPERLINK("https://www.reddit.com/r/cancer/comments/amffku/my_surgery_to_remove_lymph_nodes_in_my_neck_that/")</f>
        <v/>
      </c>
      <c r="G543" t="inlineStr">
        <is>
          <t>2019-02-02 08:09:59</t>
        </is>
      </c>
      <c r="H543" t="inlineStr"/>
    </row>
    <row r="544">
      <c r="A544" t="inlineStr">
        <is>
          <t>amhhdl</t>
        </is>
      </c>
      <c r="B544" t="inlineStr">
        <is>
          <t>18 and diagnosed with Hodgkins Lymphoma.</t>
        </is>
      </c>
      <c r="C544" t="inlineStr">
        <is>
          <t xml:space="preserve">Just turned 18 and have been diagnosed with lymphoma. Had big plans for the upcoming months and summer but looks like I will be in treatment instead. It blows but it is what it is, just wanted to get it off my chest. I hope you all have a wonderfully happy day! </t>
        </is>
      </c>
      <c r="D544" t="n">
        <v>1</v>
      </c>
      <c r="E544" t="n">
        <v>9</v>
      </c>
      <c r="F544">
        <f>HYPERLINK("https://www.reddit.com/r/cancer/comments/amhhdl/18_and_diagnosed_with_hodgkins_lymphoma/")</f>
        <v/>
      </c>
      <c r="G544" t="inlineStr">
        <is>
          <t>2019-02-02 11:34:23</t>
        </is>
      </c>
      <c r="H544" t="inlineStr"/>
    </row>
    <row r="545">
      <c r="A545" t="inlineStr">
        <is>
          <t>ami2fq</t>
        </is>
      </c>
      <c r="B545" t="inlineStr">
        <is>
          <t>A Small Victory</t>
        </is>
      </c>
      <c r="C545" t="inlineStr">
        <is>
          <t>Hubby had a CT Scan on Wednesday to see if any other tumors have grown since his last scan in November. He was also diagnosed with an AVN (avascular necrosis) in his right leg/hip back in December and the pain has suddenly increased, so there was concern that the Ewing’s may have been growing in that leg.
I am happy to report that the scan is not showing any sort of growth anywhere else in his body right now.  It seems like victories have been few and far between over the last six months, but I will happily take this!</t>
        </is>
      </c>
      <c r="D545" t="n">
        <v>1</v>
      </c>
      <c r="E545" t="n">
        <v>7</v>
      </c>
      <c r="F545">
        <f>HYPERLINK("https://www.reddit.com/r/cancer/comments/ami2fq/a_small_victory/")</f>
        <v/>
      </c>
      <c r="G545" t="inlineStr">
        <is>
          <t>2019-02-02 12:32:41</t>
        </is>
      </c>
      <c r="H545" t="inlineStr"/>
    </row>
    <row r="546">
      <c r="A546" t="inlineStr">
        <is>
          <t>amj33f</t>
        </is>
      </c>
      <c r="B546" t="inlineStr">
        <is>
          <t>This is not what I came here for......</t>
        </is>
      </c>
      <c r="C546" t="inlineStr">
        <is>
          <t xml:space="preserve">Here I am looking for cancerous chat, you know politically incorrect scumbags making jokes about minorities and the less fortunate. 
   But all I see is inspiring  stories of survivors and  heart wrenching stories from Friends and families. Truly powerful. </t>
        </is>
      </c>
      <c r="D546" t="n">
        <v>1</v>
      </c>
      <c r="E546" t="n">
        <v>12</v>
      </c>
      <c r="F546">
        <f>HYPERLINK("https://www.reddit.com/r/cancer/comments/amj33f/this_is_not_what_i_came_here_for/")</f>
        <v/>
      </c>
      <c r="G546" t="inlineStr">
        <is>
          <t>2019-02-02 14:16:05</t>
        </is>
      </c>
      <c r="H546" t="inlineStr"/>
    </row>
    <row r="547">
      <c r="A547" t="inlineStr">
        <is>
          <t>amkqfl</t>
        </is>
      </c>
      <c r="B547" t="inlineStr">
        <is>
          <t>is there a term for this and is it common among cancer patients?</t>
        </is>
      </c>
      <c r="C547" t="inlineStr">
        <is>
          <t xml:space="preserve">(i posted this on r/medical and someone suggested i post it here and i was about to but i wasn't sure it followed community guidelines)
 hello, i don't really know where to ask this or how to ask it so i completely understand if the post ends up being removed/misinterpreted. basically my step-sister died of stage iv liver cancer (hepatoblastoma which spread to the lungs) almost two years ago at age 11 and she only survived less than a month. she was allowed to be transferred from the hospital to her mom's house where she spent the rest of her time. nearing the end of it i wasn't even sure if she could actually hear anyone, it was pretty much like she was brain dead which is what the doctors said would happen (and she would have had the choice to be put on a machine that kept her alive but she'd still be brain dead) but before that happened she would try to get out of bed by herself and i don't know if she knew she was doing it. she would just try to get up for no reason (except trying to use the bathroom a few times) and we would have to keep her from doing it. is this common in cancer patients and is there an actual term for this action? also, are there any causes for liver cancer that young? i believe what she had was pretty rare. i would search it up but i never know how to phrase it all so i just get a bunch of vague or confusing stuff. i was 14 when she passed and now i'm 16 but i'm still trying to understand everything. thanks to anyone who comments. </t>
        </is>
      </c>
      <c r="D547" t="n">
        <v>1</v>
      </c>
      <c r="E547" t="n">
        <v>31</v>
      </c>
      <c r="F547">
        <f>HYPERLINK("https://www.reddit.com/r/cancer/comments/amkqfl/is_there_a_term_for_this_and_is_it_common_among/")</f>
        <v/>
      </c>
      <c r="G547" t="inlineStr">
        <is>
          <t>2019-02-02 17:15:34</t>
        </is>
      </c>
      <c r="H547" t="inlineStr"/>
    </row>
    <row r="548">
      <c r="A548" t="inlineStr">
        <is>
          <t>aml1za</t>
        </is>
      </c>
      <c r="B548" t="inlineStr">
        <is>
          <t>Calling all gamers!</t>
        </is>
      </c>
      <c r="C548" t="inlineStr">
        <is>
          <t xml:space="preserve">Have steam? Or have xbox? We have groups on both for the subreddit and discord. 
Search "rcancer" on steam groups and search "rcancer friends" on xbox live clubs. 
Currently trying to get a playstation group set up too, so stay tuned sony heads. :)
Also come chat in the official r/cancer discord channel... we love talking about all gaming, music, cats.... and basically anything and the serious stuff too. - https://discord.gg/BJp6NDw
</t>
        </is>
      </c>
      <c r="D548" t="n">
        <v>1</v>
      </c>
      <c r="E548" t="n">
        <v>11</v>
      </c>
      <c r="F548">
        <f>HYPERLINK("https://www.reddit.com/r/cancer/comments/aml1za/calling_all_gamers/")</f>
        <v/>
      </c>
      <c r="G548" t="inlineStr">
        <is>
          <t>2019-02-02 17:54:12</t>
        </is>
      </c>
      <c r="H548" t="inlineStr"/>
    </row>
    <row r="549">
      <c r="A549" t="inlineStr">
        <is>
          <t>amlrry</t>
        </is>
      </c>
      <c r="B549" t="inlineStr">
        <is>
          <t>I’m not sure if we made the right decision</t>
        </is>
      </c>
      <c r="C549" t="inlineStr">
        <is>
          <t>My mom signed the DNR for my dad to not put him on life support. We decided to put him in hospice instead because he was in a lot of pain and the doctors and nurses said there was nothing else they could do for him.
He couldn’t talk anymore, he couldn’t open his eyes and he had to wear a feeding tube because he couldn’t open his mouth to swallow anymore.
My mom asked him if he wanted us to keep fighting for him I’m not sure if he said yes or no. It sounded like he said yes but there was literally nothing else we could do.
Now i feel bad because now I’m thinking maybe we should have kept him alive longer to see if things would have improved with him.
The doctors said if he were to live he would require 24 hour care, he couldn’t even use the rest room on his own or even take his medicine anymore. They had to give it to him through IV.
I don’t know. Maybe if we would have waited more days or maybe months he would have been able to swallow again, open his eyes and talk to us.
But on the other hand I’m glad he isn’t in pain anymore. I just don’t know how to feel. Do you guys think he would have gotten better?</t>
        </is>
      </c>
      <c r="D549" t="n">
        <v>1</v>
      </c>
      <c r="E549" t="n">
        <v>1</v>
      </c>
      <c r="F549">
        <f>HYPERLINK("https://www.reddit.com/r/cancer/comments/amlrry/im_not_sure_if_we_made_the_right_decision/")</f>
        <v/>
      </c>
      <c r="G549" t="inlineStr">
        <is>
          <t>2019-02-02 19:22:59</t>
        </is>
      </c>
      <c r="H549" t="inlineStr"/>
    </row>
    <row r="550">
      <c r="A550" t="inlineStr">
        <is>
          <t>ampxyt</t>
        </is>
      </c>
      <c r="B550" t="inlineStr">
        <is>
          <t>Neck swelling after neck dissection</t>
        </is>
      </c>
      <c r="C550" t="inlineStr">
        <is>
          <t xml:space="preserve">Hello friends. Tuesday I had a complete thyroidectomy and neck dissection to remove metastasized lymph nodes on the left side of my neck. I do have a drain tube, but it hasn't produced anything since Friday morning. I did lose feeling in my luck and upper chest, but some phantom twitches are creeping back in. My question is about the amount of swelling. I'm supposed to have the drain removed tomorrow, but the swelling around my neck looks like I have a goiter, and it feels like a big water balloon around my neck. From what i read, this sounds like a seroma. Is this normal, or should I head to the emergency center to get this addressed today? Low grade fever, general achiness, but no sign of infection around the incision or drain site. Many thanks. </t>
        </is>
      </c>
      <c r="D550" t="n">
        <v>1</v>
      </c>
      <c r="E550" t="n">
        <v>11</v>
      </c>
      <c r="F550">
        <f>HYPERLINK("https://www.reddit.com/r/cancer/comments/ampxyt/neck_swelling_after_neck_dissection/")</f>
        <v/>
      </c>
      <c r="G550" t="inlineStr">
        <is>
          <t>2019-02-03 06:22:23</t>
        </is>
      </c>
      <c r="H550" t="inlineStr"/>
    </row>
    <row r="551">
      <c r="A551" t="inlineStr">
        <is>
          <t>amr2e3</t>
        </is>
      </c>
      <c r="B551" t="inlineStr">
        <is>
          <t>How to preserve your thoughts, ideas, and preferences after your body dies</t>
        </is>
      </c>
      <c r="C551" t="inlineStr">
        <is>
          <t>Hey, what are some methods you guys have used that help you record some of yourself and your personality? If I die from this I would love to leave something behind for my SO (we are very young, I’m only 21). Thanks and fuck cancer</t>
        </is>
      </c>
      <c r="D551" t="n">
        <v>1</v>
      </c>
      <c r="E551" t="n">
        <v>17</v>
      </c>
      <c r="F551">
        <f>HYPERLINK("https://www.reddit.com/r/cancer/comments/amr2e3/how_to_preserve_your_thoughts_ideas_and/")</f>
        <v/>
      </c>
      <c r="G551" t="inlineStr">
        <is>
          <t>2019-02-03 08:28:31</t>
        </is>
      </c>
      <c r="H551" t="inlineStr"/>
    </row>
    <row r="552">
      <c r="A552" t="inlineStr">
        <is>
          <t>amt3g9</t>
        </is>
      </c>
      <c r="B552" t="inlineStr">
        <is>
          <t>Dexamethasone is the absolute worst</t>
        </is>
      </c>
      <c r="C552" t="inlineStr">
        <is>
          <t>Anyone else have the worst side affects with this steroid? Especially vile mood swings.</t>
        </is>
      </c>
      <c r="D552" t="n">
        <v>1</v>
      </c>
      <c r="E552" t="n">
        <v>19</v>
      </c>
      <c r="F552">
        <f>HYPERLINK("https://www.reddit.com/r/cancer/comments/amt3g9/dexamethasone_is_the_absolute_worst/")</f>
        <v/>
      </c>
      <c r="G552" t="inlineStr">
        <is>
          <t>2019-02-03 11:39:56</t>
        </is>
      </c>
      <c r="H552" t="inlineStr"/>
    </row>
    <row r="553">
      <c r="A553" t="inlineStr">
        <is>
          <t>amtxzw</t>
        </is>
      </c>
      <c r="B553" t="inlineStr">
        <is>
          <t>Miracle berry tablets are ACTUALLY helping my dad taste again after chemo wiped out his taste buds over 4 months ago</t>
        </is>
      </c>
      <c r="C553" t="inlineStr">
        <is>
          <t xml:space="preserve">I’ve posted before about how, 4 months after SCT and the heavy chemo given beforehand, my dad has not been able to taste food and it was taking its toll mentally and physically. I read about these tablets made from a fruit called “miracle berries” and got my dad to try them and they are. actually. helping....this is such a game changer. Today, he had one of his old favorites, pizza, and while it didn’t taste exactly like it used to, the improvement in the taste was enough to where he could get it down and actually enjoy it! Never until cancer touched our lives would I imagine I could get so excited about my dad eating two slices of pizza.
I wanted to share this here because I think that the loss of taste/depression caused by not being able to taste your favorite foods is so under-discussed with regard to cancer treatment side effects, with most of the literature addressing the nausea side effect and ways to overcome it while leaving out the issue of being hungry but food tasting so gross that it makes them gag or not want to eat anymore. Hope this helps and that we can finally get some weight back on my dad. </t>
        </is>
      </c>
      <c r="D553" t="n">
        <v>1</v>
      </c>
      <c r="E553" t="n">
        <v>4</v>
      </c>
      <c r="F553">
        <f>HYPERLINK("https://www.reddit.com/r/cancer/comments/amtxzw/miracle_berry_tablets_are_actually_helping_my_dad/")</f>
        <v/>
      </c>
      <c r="G553" t="inlineStr">
        <is>
          <t>2019-02-03 12:58:35</t>
        </is>
      </c>
      <c r="H553" t="inlineStr"/>
    </row>
    <row r="554">
      <c r="A554" t="inlineStr">
        <is>
          <t>amw6mp</t>
        </is>
      </c>
      <c r="B554" t="inlineStr">
        <is>
          <t>Fight for Cancer -4 Feb World Cancer Day</t>
        </is>
      </c>
      <c r="C554" t="inlineStr">
        <is>
          <t>#worldCancerDay 4February #cautions #precautions #fightCancer #yoga #exercise #fitIndia #lifeStyle.  At least 35% of all cancers worldwide are caused by an incorrect diet, and in the case of colon cancer, diet may account for 80% of the cases. Recently emphasis has been put specifically to explore the chemo-protective role of diet. http://www.omilights.com/how-can-diet-cause-and-cure-cancer/</t>
        </is>
      </c>
      <c r="D554" t="n">
        <v>1</v>
      </c>
      <c r="E554" t="n">
        <v>0</v>
      </c>
      <c r="F554">
        <f>HYPERLINK("https://www.reddit.com/r/cancer/comments/amw6mp/fight_for_cancer_4_feb_world_cancer_day/")</f>
        <v/>
      </c>
      <c r="G554" t="inlineStr">
        <is>
          <t>2019-02-03 16:50:23</t>
        </is>
      </c>
      <c r="H554" t="inlineStr"/>
    </row>
    <row r="555">
      <c r="A555" t="inlineStr">
        <is>
          <t>amwb49</t>
        </is>
      </c>
      <c r="B555" t="inlineStr">
        <is>
          <t>Colon cancer</t>
        </is>
      </c>
      <c r="C555" t="inlineStr">
        <is>
          <t xml:space="preserve">I have been constipated for 3 weeks now I only get a little out at the time the shape of the stool is different everytime havent noticed any blood but my stomach is constantly gurgling and I also have cystic fibrosis which puts me 5 to 10 times higher risk than the average person I've tried laxatives and stool softeners and nothing works I do have a dr. Appointment scheduled I'm just really scared I'm only 23 </t>
        </is>
      </c>
      <c r="D555" t="n">
        <v>1</v>
      </c>
      <c r="E555" t="n">
        <v>1</v>
      </c>
      <c r="F555">
        <f>HYPERLINK("https://www.reddit.com/r/cancer/comments/amwb49/colon_cancer/")</f>
        <v/>
      </c>
      <c r="G555" t="inlineStr">
        <is>
          <t>2019-02-03 17:04:49</t>
        </is>
      </c>
      <c r="H555" t="inlineStr"/>
    </row>
    <row r="556">
      <c r="A556" t="inlineStr">
        <is>
          <t>amwdom</t>
        </is>
      </c>
      <c r="B556" t="inlineStr">
        <is>
          <t>Fuck cancer</t>
        </is>
      </c>
      <c r="C556" t="inlineStr">
        <is>
          <t xml:space="preserve">Ten years ago you left my body.  Even though you are gone you still live with me.  You are thought of every day.  You are stressed over and cried over with every CT, MRI, blood test and biopsy.  Eighteen months ago we thought you had returned, but no you were just testing me again and letting me know you could return if you wanted to.  You have your little spot where you sit and wait, just waiting to pounce.  Not for long, you are going very soon.  The anxiety you give me every 6 months is terrible.  The relief I feel after receiving results makes me happy and then 6 months later we play again.  I hate you with everything I have, I hate the tests, I hate the way you creep around me and I wish you would just leave me.  Fuck you cancer.  
</t>
        </is>
      </c>
      <c r="D556" t="n">
        <v>1</v>
      </c>
      <c r="E556" t="n">
        <v>24</v>
      </c>
      <c r="F556">
        <f>HYPERLINK("https://www.reddit.com/r/cancer/comments/amwdom/fuck_cancer/")</f>
        <v/>
      </c>
      <c r="G556" t="inlineStr">
        <is>
          <t>2019-02-03 17:13:25</t>
        </is>
      </c>
      <c r="H556" t="inlineStr"/>
    </row>
    <row r="557">
      <c r="A557" t="inlineStr">
        <is>
          <t>amxv4w</t>
        </is>
      </c>
      <c r="B557" t="inlineStr">
        <is>
          <t>Dad having partial glossectomy this week. Advice on keeping him stimulated during recovery or helpful hints on keeping him positive?</t>
        </is>
      </c>
      <c r="C557" t="inlineStr">
        <is>
          <t xml:space="preserve">As my title says, my dad is having a partial glossectomy this week. Two weeks ago he was diagnosed with tongue cancer that is pretty aggressive and the surgeon believes they will have to remove 1/3 - 1/2 his tongue (depending on what they see during the surgery. 
My dad doesn’t sit around much in general but from what I hear the recovery can be painful and he might not be able to go to work for up to 6 weeks depending on how quickly his body starts healing. He’s a draftsman by day and in his spare time does a lot of construction/fixing cars/working out in the yard. I feel like not being able to do any intense physical labor for a few months is going to drive him insane. 
I live about an hour away and my mom will be at home with him. I just don’t want to see him get depressed or frustrated (or at least be able to sympathize with him in a healthy way) </t>
        </is>
      </c>
      <c r="D557" t="n">
        <v>1</v>
      </c>
      <c r="E557" t="n">
        <v>2</v>
      </c>
      <c r="F557">
        <f>HYPERLINK("https://www.reddit.com/r/cancer/comments/amxv4w/dad_having_partial_glossectomy_this_week_advice/")</f>
        <v/>
      </c>
      <c r="G557" t="inlineStr">
        <is>
          <t>2019-02-03 20:12:10</t>
        </is>
      </c>
      <c r="H557" t="inlineStr"/>
    </row>
    <row r="558">
      <c r="A558" t="inlineStr">
        <is>
          <t>amxy1n</t>
        </is>
      </c>
      <c r="B558" t="inlineStr">
        <is>
          <t>started losing my hair today</t>
        </is>
      </c>
      <c r="C558" t="inlineStr">
        <is>
          <t xml:space="preserve">shit is freaky. i haven’t felt right since it started happening. any help or advice? i know it’s just hair but it’s just kind of a sign that this *really* is happening. </t>
        </is>
      </c>
      <c r="D558" t="n">
        <v>1</v>
      </c>
      <c r="E558" t="n">
        <v>18</v>
      </c>
      <c r="F558">
        <f>HYPERLINK("https://www.reddit.com/r/cancer/comments/amxy1n/started_losing_my_hair_today/")</f>
        <v/>
      </c>
      <c r="G558" t="inlineStr">
        <is>
          <t>2019-02-03 20:21:41</t>
        </is>
      </c>
      <c r="H558" t="inlineStr"/>
    </row>
    <row r="559">
      <c r="A559" t="inlineStr">
        <is>
          <t>amy1tj</t>
        </is>
      </c>
      <c r="B559" t="inlineStr">
        <is>
          <t>Scared: high deductible</t>
        </is>
      </c>
      <c r="C559" t="inlineStr">
        <is>
          <t xml:space="preserve">I was recently diagnosed with cancer and am a member of a high deductible insurance plan. What should I expect? Any tips on reducing my share of expenses? </t>
        </is>
      </c>
      <c r="D559" t="n">
        <v>1</v>
      </c>
      <c r="E559" t="n">
        <v>3</v>
      </c>
      <c r="F559">
        <f>HYPERLINK("https://www.reddit.com/r/cancer/comments/amy1tj/scared_high_deductible/")</f>
        <v/>
      </c>
      <c r="G559" t="inlineStr">
        <is>
          <t>2019-02-03 20:34:09</t>
        </is>
      </c>
      <c r="H559" t="inlineStr"/>
    </row>
    <row r="560">
      <c r="A560" t="inlineStr">
        <is>
          <t>amyjd7</t>
        </is>
      </c>
      <c r="B560" t="inlineStr">
        <is>
          <t>Confused about diagnosis.</t>
        </is>
      </c>
      <c r="C560" t="inlineStr">
        <is>
          <t>I was told I have ovarian cancer, stage 3c. However, in my hospital discharge paperwork it says I have serous adenoma. Is this the same thing?</t>
        </is>
      </c>
      <c r="D560" t="n">
        <v>1</v>
      </c>
      <c r="E560" t="n">
        <v>2</v>
      </c>
      <c r="F560">
        <f>HYPERLINK("https://www.reddit.com/r/cancer/comments/amyjd7/confused_about_diagnosis/")</f>
        <v/>
      </c>
      <c r="G560" t="inlineStr">
        <is>
          <t>2019-02-03 21:34:17</t>
        </is>
      </c>
      <c r="H560" t="inlineStr"/>
    </row>
    <row r="561">
      <c r="A561" t="inlineStr">
        <is>
          <t>amz2l0</t>
        </is>
      </c>
      <c r="B561" t="inlineStr">
        <is>
          <t>Cancer Metabolism Based Therapeutics Market - Global Industry Insights, 2018–2026</t>
        </is>
      </c>
      <c r="C561" t="inlineStr">
        <is>
          <t xml:space="preserve"> 
Limited options of cancer metabolism targeting therapies are expected provide potential opportunities for development of novel cancer metabolism-based therapeutics in the near future.</t>
        </is>
      </c>
      <c r="D561" t="n">
        <v>1</v>
      </c>
      <c r="E561" t="n">
        <v>0</v>
      </c>
      <c r="F561">
        <f>HYPERLINK("https://www.reddit.com/r/cancer/comments/amz2l0/cancer_metabolism_based_therapeutics_market/")</f>
        <v/>
      </c>
      <c r="G561" t="inlineStr">
        <is>
          <t>2019-02-03 22:46:29</t>
        </is>
      </c>
      <c r="H561" t="inlineStr"/>
    </row>
    <row r="562">
      <c r="A562" t="inlineStr">
        <is>
          <t>an0bvu</t>
        </is>
      </c>
      <c r="B562" t="inlineStr">
        <is>
          <t>Cancer Biomarkers Market - Global Industry Growth, and Forecast to 2026</t>
        </is>
      </c>
      <c r="C562" t="inlineStr">
        <is>
          <t xml:space="preserve"> 
Cancer biomarkers are biological molecule produced either by tumor cells or by human tissues in response to cancer.</t>
        </is>
      </c>
      <c r="D562" t="n">
        <v>1</v>
      </c>
      <c r="E562" t="n">
        <v>0</v>
      </c>
      <c r="F562">
        <f>HYPERLINK("https://www.reddit.com/r/cancer/comments/an0bvu/cancer_biomarkers_market_global_industry_growth/")</f>
        <v/>
      </c>
      <c r="G562" t="inlineStr">
        <is>
          <t>2019-02-04 02:13:31</t>
        </is>
      </c>
      <c r="H562" t="inlineStr"/>
    </row>
    <row r="563">
      <c r="A563" t="inlineStr">
        <is>
          <t>an0hha</t>
        </is>
      </c>
      <c r="B563" t="inlineStr">
        <is>
          <t>sigmoid colectomy recovery tips?</t>
        </is>
      </c>
      <c r="C563" t="inlineStr">
        <is>
          <t>I'm getting a laproscopic sigmoid colectomy. I'm single so I'll be recovering alone at home. Are there any tips on what I should prep at home to make the recovery easier? I'm thinking of stocking up on canned soups and disposable bowls / spoons. What should I plan for when recovering alone at home?</t>
        </is>
      </c>
      <c r="D563" t="n">
        <v>1</v>
      </c>
      <c r="E563" t="n">
        <v>1</v>
      </c>
      <c r="F563">
        <f>HYPERLINK("https://www.reddit.com/r/cancer/comments/an0hha/sigmoid_colectomy_recovery_tips/")</f>
        <v/>
      </c>
      <c r="G563" t="inlineStr">
        <is>
          <t>2019-02-04 02:38:20</t>
        </is>
      </c>
      <c r="H563" t="inlineStr"/>
    </row>
    <row r="564">
      <c r="A564" t="inlineStr">
        <is>
          <t>an188n</t>
        </is>
      </c>
      <c r="B564" t="inlineStr">
        <is>
          <t>You don't have cancer (vent).</t>
        </is>
      </c>
      <c r="C564" t="inlineStr">
        <is>
          <t xml:space="preserve">After reading some of your posts, I feel bad for posting this here. But I don't know another place to post. Mods, please remove if necessary.  I was diagnosed with ductal carcinoma in situ about three weeks ago. There's a chance it's become invasive  already. I'm in the process of getting  some tests to determine the best course of action, and it's been stressful. I have a sibling who experienced stage one breast cancer, and she keeps telling me that I don't really have cancer.
My oncologist and my pcp seem to think it's cancer. The radiation I have to go through seems to think it's cancer. The surgery that I have to have seems to suggest that I have cancer, though it's early stage (I've never been under the knife and that scares me most). The disruption to my life seems to suggest that something's not right here. 
I didn't ask for this. I don't want this, but it is what it is no matter how much my sister wants to dismiss it. Again, I know I'm nowhere near the situation some of you are in, but I just needed to vent.
</t>
        </is>
      </c>
      <c r="D564" t="n">
        <v>1</v>
      </c>
      <c r="E564" t="n">
        <v>21</v>
      </c>
      <c r="F564">
        <f>HYPERLINK("https://www.reddit.com/r/cancer/comments/an188n/you_dont_have_cancer_vent/")</f>
        <v/>
      </c>
      <c r="G564" t="inlineStr">
        <is>
          <t>2019-02-04 04:31:06</t>
        </is>
      </c>
      <c r="H564" t="inlineStr"/>
    </row>
    <row r="565">
      <c r="A565" t="inlineStr">
        <is>
          <t>an3vs7</t>
        </is>
      </c>
      <c r="B565" t="inlineStr">
        <is>
          <t>Wife (33F) with BC mets in bones/lungs/liver</t>
        </is>
      </c>
      <c r="C565" t="inlineStr">
        <is>
          <t xml:space="preserve">Hi all,
I don’t know why I’m posting, but I’m reaching out for any guidance or help. 
All along, I felt my wife would make a swift recovery from this dam cancer.  She is a fighter, mother of three kids (8/4/2). Effervescent and energetic. Gracious and modest. I imagined her bouncing back. And here we are:
Sep 2017 -  Diagnosed with invasive ductal carcinoma, chemo round 1
Mar 2018 - Bilateral mastectomy
Found out it mutated, another round of chemo
July 2018 - Tumor under arm sparked hormone blocking pills
Oct 2018 - Mets to lungs, switched to another pill
Nov 2018 - radiation of tumor under arm
Dec 2018 - Mets to bones/liver
Jan 2018 - round 3 chemo
At no point did I think we would keep missing with these treatments. It feels like we’re always shooting at a moving target.
She was in the hospital 6 days last week for pain in her abdomen and is currently home in hospice care. 
I don’t know what to do. Any thoughts or advice would be appreciated.  </t>
        </is>
      </c>
      <c r="D565" t="n">
        <v>1</v>
      </c>
      <c r="E565" t="n">
        <v>12</v>
      </c>
      <c r="F565">
        <f>HYPERLINK("https://www.reddit.com/r/cancer/comments/an3vs7/wife_33f_with_bc_mets_in_boneslungsliver/")</f>
        <v/>
      </c>
      <c r="G565" t="inlineStr">
        <is>
          <t>2019-02-04 09:22:03</t>
        </is>
      </c>
      <c r="H565" t="inlineStr"/>
    </row>
    <row r="566">
      <c r="A566" t="inlineStr">
        <is>
          <t>an4ols</t>
        </is>
      </c>
      <c r="B566" t="inlineStr">
        <is>
          <t>Any advice about immunity to other diseases post chemotherapy?</t>
        </is>
      </c>
      <c r="C566" t="inlineStr">
        <is>
          <t>Does anyone know anything about chemotherapy removing old immunity to other diseases? I'm googling but all I can find is about if you are currently having chemo, rather than the after effects.
I finished chemo six months ago and my daughter currently has chicken pox. I had this as a child but can I get it again now? I go to a post mastectomy physio group at the hospital and I really don't want to be taking chicken pox in with me!
And while I'm thinking about it, do I need to be re-vaccinated against everything?</t>
        </is>
      </c>
      <c r="D566" t="n">
        <v>1</v>
      </c>
      <c r="E566" t="n">
        <v>1</v>
      </c>
      <c r="F566">
        <f>HYPERLINK("https://www.reddit.com/r/cancer/comments/an4ols/any_advice_about_immunity_to_other_diseases_post/")</f>
        <v/>
      </c>
      <c r="G566" t="inlineStr">
        <is>
          <t>2019-02-04 10:34:55</t>
        </is>
      </c>
      <c r="H566" t="inlineStr"/>
    </row>
    <row r="567">
      <c r="A567" t="inlineStr">
        <is>
          <t>an7f6p</t>
        </is>
      </c>
      <c r="B567" t="inlineStr">
        <is>
          <t>How to help dad - cancer 2 and ~10 surgeries in as many years, and hes just not himself.</t>
        </is>
      </c>
      <c r="C567" t="inlineStr">
        <is>
          <t>So my dad(56) has been through a lot. Its actually ridiculous. 
Its been 3 years since last cancer (prostate, stage 3, gleeson score of 8.0) surgical removal, good margins, no need for radiation thankfully. Previous cancer -10 years ago, kidney, had removal of kidney, no chemo or radiation.
September just gone, he had emergency heart surgery. 
Last week, he said to me he just hasn't felt the same since the prostate cancer. He honestly feels like a broken man from my POV, but i also feel thats completely understandable given everything hes been through.
He's a simple man, he throws himself into work - but hes too exhausted to work and he keeps getting sick (colds, flu - he had flu 2 weeks ago), he likes doing up his house, gardening, he has an allotment he tends to daily. He doesn't drink, he rarely socialises outside of work (he has a wife). Family is scarce - don't want to get into it, but its basically me and his wife, thats it.
I'm just, I just want to help him. are there resources you can point me to? do you have a personal experience you think is relatable to this? Any suggestions at all? 
If not, thank you for reading this, I hope you have a good week. Keep fighting the good fight, you've got this!</t>
        </is>
      </c>
      <c r="D567" t="n">
        <v>1</v>
      </c>
      <c r="E567" t="n">
        <v>5</v>
      </c>
      <c r="F567">
        <f>HYPERLINK("https://www.reddit.com/r/cancer/comments/an7f6p/how_to_help_dad_cancer_2_and_10_surgeries_in_as/")</f>
        <v/>
      </c>
      <c r="G567" t="inlineStr">
        <is>
          <t>2019-02-04 14:48:27</t>
        </is>
      </c>
      <c r="H567" t="inlineStr"/>
    </row>
    <row r="568">
      <c r="A568" t="inlineStr">
        <is>
          <t>an7gt8</t>
        </is>
      </c>
      <c r="B568" t="inlineStr">
        <is>
          <t>Anyone gone through chemo AND radiation with Cisplatin and Etoposide?</t>
        </is>
      </c>
      <c r="C568" t="inlineStr">
        <is>
          <t>On my birthday two months ago (December 20), I was diagnosed with Stage II (on the verge of being Stage III) Small Cell Neuroendocrine Cervical Carcinoma. It’s very rare, with only three percent of cervical cancers being this kind. In about two weeks I start 5 weeks of radiation, 5 days a week; and also start chemo with 4 sessions over 12 weeks. I was wondering if anyone has experience with this? My chemo drugs will be Cisplatin and Etoposide. I’ve been told by my doctors that around weeks 2-4 will be very hard physically for me. I am TERRIFIED of pain, and when my mother went through chemo for ovarian cancer she was in immense pain about two days after her first chemo session. I’ve been chatting with a few people who have gone through chemo, but I can’t find anyone who has gone through chemo and radiation at the same time (at least radiation in their pelvis like I will be having). Any tips will be greatly appreciated.</t>
        </is>
      </c>
      <c r="D568" t="n">
        <v>1</v>
      </c>
      <c r="E568" t="n">
        <v>13</v>
      </c>
      <c r="F568">
        <f>HYPERLINK("https://www.reddit.com/r/cancer/comments/an7gt8/anyone_gone_through_chemo_and_radiation_with/")</f>
        <v/>
      </c>
      <c r="G568" t="inlineStr">
        <is>
          <t>2019-02-04 14:53:16</t>
        </is>
      </c>
      <c r="H568" t="inlineStr"/>
    </row>
    <row r="569">
      <c r="A569" t="inlineStr">
        <is>
          <t>an7mgg</t>
        </is>
      </c>
      <c r="B569" t="inlineStr">
        <is>
          <t>Anyone have a neutropenia fever?</t>
        </is>
      </c>
      <c r="C569" t="inlineStr">
        <is>
          <t>Anyone have a neutropenia fever? What should I expect?</t>
        </is>
      </c>
      <c r="D569" t="n">
        <v>1</v>
      </c>
      <c r="E569" t="n">
        <v>8</v>
      </c>
      <c r="F569">
        <f>HYPERLINK("https://www.reddit.com/r/cancer/comments/an7mgg/anyone_have_a_neutropenia_fever/")</f>
        <v/>
      </c>
      <c r="G569" t="inlineStr">
        <is>
          <t>2019-02-04 15:09:41</t>
        </is>
      </c>
      <c r="H569" t="inlineStr"/>
    </row>
    <row r="570">
      <c r="A570" t="inlineStr">
        <is>
          <t>an8s5z</t>
        </is>
      </c>
      <c r="B570" t="inlineStr">
        <is>
          <t>Those of you who lived with someone who passed from cancer</t>
        </is>
      </c>
      <c r="C570" t="inlineStr">
        <is>
          <t>How did you cope with not seeing them at home anymore? Did you move? are you still living there?
I’m having a hard time not seeing my dad around the house anymore and I’m sad. 
Will moving make things better for me?</t>
        </is>
      </c>
      <c r="D570" t="n">
        <v>1</v>
      </c>
      <c r="E570" t="n">
        <v>18</v>
      </c>
      <c r="F570">
        <f>HYPERLINK("https://www.reddit.com/r/cancer/comments/an8s5z/those_of_you_who_lived_with_someone_who_passed/")</f>
        <v/>
      </c>
      <c r="G570" t="inlineStr">
        <is>
          <t>2019-02-04 17:13:19</t>
        </is>
      </c>
      <c r="H570" t="inlineStr"/>
    </row>
    <row r="571">
      <c r="A571" t="inlineStr">
        <is>
          <t>an8yw7</t>
        </is>
      </c>
      <c r="B571" t="inlineStr">
        <is>
          <t>My mom has cancer...</t>
        </is>
      </c>
      <c r="C571" t="inlineStr">
        <is>
          <t>So about a year ago my mom was diagnosed with breast cancer, and she went for treatments (chemo specifically) and after a while she completed the treatment and was "cancer free". She had to keep going back for blood tests, and they recently found that the cancer was back... And metastatic. It's now in her bones, and she is a little worried but still staying strong. Until tonight. They found spots on her brain. Now she's scared, and so am I. I don't have a whole lot of people I can talk to about it, so I was hoping that posting here would provide me with... Support? Insight into what the future might hold? Help? I'm not really sure... But I'm scared for her and I don't know where to turn.</t>
        </is>
      </c>
      <c r="D571" t="n">
        <v>1</v>
      </c>
      <c r="E571" t="n">
        <v>10</v>
      </c>
      <c r="F571">
        <f>HYPERLINK("https://www.reddit.com/r/cancer/comments/an8yw7/my_mom_has_cancer/")</f>
        <v/>
      </c>
      <c r="G571" t="inlineStr">
        <is>
          <t>2019-02-04 17:33:52</t>
        </is>
      </c>
      <c r="H571" t="inlineStr"/>
    </row>
    <row r="572">
      <c r="A572" t="inlineStr">
        <is>
          <t>an9qno</t>
        </is>
      </c>
      <c r="B572" t="inlineStr">
        <is>
          <t>Hand foot syndrome</t>
        </is>
      </c>
      <c r="C572" t="inlineStr">
        <is>
          <t>About 5 weeks ago I had hand foot syndrome, where a chemotherapy drug accumulated in my hands &amp;amp; feet causing swelling &amp;amp; some neuropathy &amp;amp; pain. The swelling went down within a week or so of stopping the drug, and then it took another two weeks or so for the skin to complete sloughing off.
Now I'm on a high dose of hydroxyurea to bring my WBC back down (it was 67 last Wednesday, but had dropped to 22 by Sunday), and I think I'm experiencing the first steps in hand foot again.
I have an appointment tomorrow and called to see if I could skip a dose, but the nurse &amp;amp; doctor on call didn't think I should. But now I'm thinking I'm going to take half the dose for the next two doses, because that's the kind of thing they had me doing once it came down under control in the past too, and I *really* want to avoid more weeks of swelling &amp;amp; peeling.
I'm kind of just making that decision myself right now. I really wish I had asked the nurse on call to page my doctor, I think he would have agreed with me if I told him what was going on. Now I don't know why I'm posting here.</t>
        </is>
      </c>
      <c r="D572" t="n">
        <v>1</v>
      </c>
      <c r="E572" t="n">
        <v>7</v>
      </c>
      <c r="F572">
        <f>HYPERLINK("https://www.reddit.com/r/cancer/comments/an9qno/hand_foot_syndrome/")</f>
        <v/>
      </c>
      <c r="G572" t="inlineStr">
        <is>
          <t>2019-02-04 19:00:27</t>
        </is>
      </c>
      <c r="H572" t="inlineStr"/>
    </row>
    <row r="573">
      <c r="A573" t="inlineStr">
        <is>
          <t>an9v7o</t>
        </is>
      </c>
      <c r="B573" t="inlineStr">
        <is>
          <t>My First round of chemo!</t>
        </is>
      </c>
      <c r="C573" t="inlineStr">
        <is>
          <t>As of 10:00, I have started my first cycle of chemo ever. I have learned I am fighting Stage IV Hodgkin’s Lymphoma. I’m trying to keep a positive mindset, although this will be a long and tedious process. This is just the first step in kicking cancer’s ass. Wish me luck!</t>
        </is>
      </c>
      <c r="D573" t="n">
        <v>1</v>
      </c>
      <c r="E573" t="n">
        <v>9</v>
      </c>
      <c r="F573">
        <f>HYPERLINK("https://www.reddit.com/r/cancer/comments/an9v7o/my_first_round_of_chemo/")</f>
        <v/>
      </c>
      <c r="G573" t="inlineStr">
        <is>
          <t>2019-02-04 19:14:40</t>
        </is>
      </c>
      <c r="H573" t="inlineStr"/>
    </row>
    <row r="574">
      <c r="A574" t="inlineStr">
        <is>
          <t>an9xsn</t>
        </is>
      </c>
      <c r="B574" t="inlineStr">
        <is>
          <t>So many feelings, and nothing makes sense.</t>
        </is>
      </c>
      <c r="C574" t="inlineStr">
        <is>
          <t>Hi, I was recently diagnosed with a small focus colon cancer. It was removed but it couldn't be confirmed that the margins were clear. Had more tests, met with the oncologist,  and then found out that the doctors had gotten it all. It doesn't feel real- the diagnosis,  the results- all of it. My sibling is going through treatment for colon cancer and having a terrible time. I feel like a fraud, like I shouldn't be feeling upset that I had cancer when mine was fully removed and my sibling is suffering. I hate this so much! I will have to be closely monitored for a reoccurrence,  and I know that you don't see an oncologist unless it really is cancer, but my brain is so confused! Thank you for reading this-</t>
        </is>
      </c>
      <c r="D574" t="n">
        <v>1</v>
      </c>
      <c r="E574" t="n">
        <v>9</v>
      </c>
      <c r="F574">
        <f>HYPERLINK("https://www.reddit.com/r/cancer/comments/an9xsn/so_many_feelings_and_nothing_makes_sense/")</f>
        <v/>
      </c>
      <c r="G574" t="inlineStr">
        <is>
          <t>2019-02-04 19:22:48</t>
        </is>
      </c>
      <c r="H574" t="inlineStr"/>
    </row>
    <row r="575">
      <c r="A575" t="inlineStr">
        <is>
          <t>ana0fo</t>
        </is>
      </c>
      <c r="B575" t="inlineStr">
        <is>
          <t>I'm getting CT scan results tomorrow.</t>
        </is>
      </c>
      <c r="C575" t="inlineStr">
        <is>
          <t xml:space="preserve">Two weeks ago I had my first kidney stone and when I went to the hospital they did a low radiation CT scan of my abdomen to locate the rock. While they were doing that they noticed something up towards my chest and requested a full CT scan with contrast. 
I had the second scan done on Thursday and first thing this morning I got a call from my doctor asking me to come into the office tomorrow at 09:00 tomorrow. I’ve had cancer before and given how fast everything is happening and that a fact to face meeting was requested is freaking me the fuck out. But I haven’t told anyone in my life what’s going on. I’ve been brushing the multiple doctor’s appointments off as follow up on my stones.
I feel like I have to protect my friends and family because almost all of them have their own serious drama going on so I thought I would just confess to strangers.
</t>
        </is>
      </c>
      <c r="D575" t="n">
        <v>1</v>
      </c>
      <c r="E575" t="n">
        <v>5</v>
      </c>
      <c r="F575">
        <f>HYPERLINK("https://www.reddit.com/r/cancer/comments/ana0fo/im_getting_ct_scan_results_tomorrow/")</f>
        <v/>
      </c>
      <c r="G575" t="inlineStr">
        <is>
          <t>2019-02-04 19:31:18</t>
        </is>
      </c>
      <c r="H575" t="inlineStr"/>
    </row>
    <row r="576">
      <c r="A576" t="inlineStr">
        <is>
          <t>anakw8</t>
        </is>
      </c>
      <c r="B576" t="inlineStr">
        <is>
          <t>Re-gifting advice</t>
        </is>
      </c>
      <c r="C576" t="inlineStr">
        <is>
          <t>Hello.  I posted a little while ago about my friend.  She recently lost her battle and she leaves behind young adult children.  
She was really looking forward to being a grandma one day. I have two little ones and she gave me beautiful blankets and toys when they were born.  
I don't know what she left behind for her own children.  But I was wondering if you think this is weird or inappropriate.  I have gathered the baby gifts from her and they are in very good condition.  Is it weird to save them for her children when they have babies?  I know it could be 10-15 years from now, or never.   Just wondering.  Thanks.</t>
        </is>
      </c>
      <c r="D576" t="n">
        <v>1</v>
      </c>
      <c r="E576" t="n">
        <v>5</v>
      </c>
      <c r="F576">
        <f>HYPERLINK("https://www.reddit.com/r/cancer/comments/anakw8/regifting_advice/")</f>
        <v/>
      </c>
      <c r="G576" t="inlineStr">
        <is>
          <t>2019-02-04 20:38:08</t>
        </is>
      </c>
      <c r="H576" t="inlineStr"/>
    </row>
    <row r="577">
      <c r="A577" t="inlineStr">
        <is>
          <t>anbwxs</t>
        </is>
      </c>
      <c r="B577" t="inlineStr">
        <is>
          <t>a friend just got diagnosed and wants information on CBD treatments.</t>
        </is>
      </c>
      <c r="C577" t="inlineStr">
        <is>
          <t>a close family friend just got diagnosed. he lives in japan and i live in the US. he contacted me with the news today and wants help finding information on CDB treatments and doctors that can administer them. he is curious because he doesn’t want to do chemotherapy if possible.
has anyone here tried CBD treatments? would you recommend it? is there anything else that i should look into?
i understand that it is a field that needs more research but i have read some articles and studies that seem to indicate that is could potentially help.
also, not sure if this makes a difference but i’m pretty sure it is lung cancer that he has but he was kinda vague about it and my japanese is a bit rusty so he might have meant somewhere else in his body.</t>
        </is>
      </c>
      <c r="D577" t="n">
        <v>1</v>
      </c>
      <c r="E577" t="n">
        <v>10</v>
      </c>
      <c r="F577">
        <f>HYPERLINK("https://www.reddit.com/r/cancer/comments/anbwxs/a_friend_just_got_diagnosed_and_wants_information/")</f>
        <v/>
      </c>
      <c r="G577" t="inlineStr">
        <is>
          <t>2019-02-04 23:44:09</t>
        </is>
      </c>
      <c r="H577" t="inlineStr"/>
    </row>
    <row r="578">
      <c r="A578" t="inlineStr">
        <is>
          <t>ane2p9</t>
        </is>
      </c>
      <c r="B578" t="inlineStr">
        <is>
          <t>Feeling Grateful</t>
        </is>
      </c>
      <c r="C578" t="inlineStr">
        <is>
          <t xml:space="preserve">Yesterday was World Cancer Day, and I took a moment to think of the friends I have who are suffering from this dreadful disease with such grace and bravery, of those that beat it, and those that are no longer here.   
My nurse at treatment today asked me how I was feeling, and when I replied, “grateful!”, she gave me a puzzled look. So I said to her, “I’m grateful I was diagnosed early and am on a curative path. I’m grateful that so far the side effects have been relatively kind to me and I have such wonderful support from friends, family and amazing medical staff, so yep, I’m feeling pretty grateful!” </t>
        </is>
      </c>
      <c r="D578" t="n">
        <v>1</v>
      </c>
      <c r="E578" t="n">
        <v>7</v>
      </c>
      <c r="F578">
        <f>HYPERLINK("https://www.reddit.com/r/cancer/comments/ane2p9/feeling_grateful/")</f>
        <v/>
      </c>
      <c r="G578" t="inlineStr">
        <is>
          <t>2019-02-05 05:26:25</t>
        </is>
      </c>
      <c r="H578" t="inlineStr"/>
    </row>
    <row r="579">
      <c r="A579" t="inlineStr">
        <is>
          <t>ane62x</t>
        </is>
      </c>
      <c r="B579" t="inlineStr">
        <is>
          <t>How did you try to prevent neuropathy?</t>
        </is>
      </c>
      <c r="C579" t="inlineStr">
        <is>
          <t>Hi everyone! I just started chemo (paclitaxel and carboplatin every three weeks) for stage 3c ovarian cancer. I'm terrified of developing permanent neuropathy. 
What helped prevent it for you? Did accupuncture work? B vitamins? Icing your fingers during chemo? What didn't work? :D</t>
        </is>
      </c>
      <c r="D579" t="n">
        <v>1</v>
      </c>
      <c r="E579" t="n">
        <v>12</v>
      </c>
      <c r="F579">
        <f>HYPERLINK("https://www.reddit.com/r/cancer/comments/ane62x/how_did_you_try_to_prevent_neuropathy/")</f>
        <v/>
      </c>
      <c r="G579" t="inlineStr">
        <is>
          <t>2019-02-05 05:37:54</t>
        </is>
      </c>
      <c r="H579" t="inlineStr"/>
    </row>
    <row r="580">
      <c r="A580" t="inlineStr">
        <is>
          <t>ane69u</t>
        </is>
      </c>
      <c r="B580" t="inlineStr">
        <is>
          <t>(U.S.) A new law enacted this past fall will allow deferments for public student loan payments while going through cancer treatment and for 6 months after treatment.</t>
        </is>
      </c>
      <c r="C580" t="inlineStr">
        <is>
          <t xml:space="preserve">A resource for those who may be struggling with student loans during treatment. The U.S. recently passed legislation which includes a provision to allow cancer patients to defer and stop accruing interest on public student loans while going through active treatment and for 6 months after treatment. The details are pretty sparse so far and it seems the department of education is still trying to figure out how to enact it. 
More [details.](https://studentaid.ed.gov/sa/repay-loans/deferment-forbearance#deferment-eligibility)
[Press release regarding the Deferment for active cancer treatment act](https://perlmutter.house.gov/news/documentsingle.aspx?DocumentID=2246)
[H.R.6157 - Department of Defense and Labor, Health and Human Services, and Education Appropriations Act, 2019 and Continuing Appropriations Act, 2019](https://www.congress.gov/bill/115th-congress/house-bill/6157)
Excerpt section 309 of H.R. 6197
''Sec. 309) Allows certain borrowers receiving cancer treatment to defer payments on student loans during: (1) any period in which the borrower is receiving treatment for cancer, and (2) the six months after the treatment period.''
The student aid website states the following:
''The Department of Education Appropriations Act, 2019 includes a provision that allows individuals diagnosed with cancer to have their federal student loans placed in a deferment status while they undergo cancer treatment. The U.S. Department of Education is assessing the newly enacted law and will explain the new deferment conditions to customers on this page as soon as more details are available. We encourage you to check back periodically. If you need assistance in the meantime, contact your federal loan servicer.''
</t>
        </is>
      </c>
      <c r="D580" t="n">
        <v>1</v>
      </c>
      <c r="E580" t="n">
        <v>0</v>
      </c>
      <c r="F580">
        <f>HYPERLINK("https://www.reddit.com/r/cancer/comments/ane69u/us_a_new_law_enacted_this_past_fall_will_allow/")</f>
        <v/>
      </c>
      <c r="G580" t="inlineStr">
        <is>
          <t>2019-02-05 05:38:36</t>
        </is>
      </c>
      <c r="H580" t="inlineStr"/>
    </row>
    <row r="581">
      <c r="A581" t="inlineStr">
        <is>
          <t>anehr1</t>
        </is>
      </c>
      <c r="B581" t="inlineStr">
        <is>
          <t>Please help me understand coworker’s diagnosis....</t>
        </is>
      </c>
      <c r="C581" t="inlineStr">
        <is>
          <t xml:space="preserve">A coworker was diagnosed with stage 1 cervical cancer. She is in her 40s and has kids, so when doctor suggested hysterectomy, she was fine with it. During procedure, whatever they tested was benign. At her follow up scan a few weeks later, no cancer was found. Does this mean she did not have cancer? Thanks for any info you can offer. </t>
        </is>
      </c>
      <c r="D581" t="n">
        <v>1</v>
      </c>
      <c r="E581" t="n">
        <v>0</v>
      </c>
      <c r="F581">
        <f>HYPERLINK("https://www.reddit.com/r/cancer/comments/anehr1/please_help_me_understand_coworkers_diagnosis/")</f>
        <v/>
      </c>
      <c r="G581" t="inlineStr">
        <is>
          <t>2019-02-05 06:15:56</t>
        </is>
      </c>
      <c r="H581" t="inlineStr"/>
    </row>
    <row r="582">
      <c r="A582" t="inlineStr">
        <is>
          <t>anfl81</t>
        </is>
      </c>
      <c r="B582" t="inlineStr">
        <is>
          <t>Answer Please?</t>
        </is>
      </c>
      <c r="C582" t="inlineStr">
        <is>
          <t>So i started to have nose bleeds, nothing to concerning (one every couple of days). I shrugged it off, thought it would be nothing like a normal person, but as of recently, i've been getting really itchy skin out of nowhere (Ya know that itchy feeling you get when jumping into a boiling bath? That just happens all over my back and no where else.) Then today i noticed i had some weird red spots on my left shoulder, nothing to not washing enough as i bathe everyday</t>
        </is>
      </c>
      <c r="D582" t="n">
        <v>1</v>
      </c>
      <c r="E582" t="n">
        <v>3</v>
      </c>
      <c r="F582">
        <f>HYPERLINK("https://www.reddit.com/r/cancer/comments/anfl81/answer_please/")</f>
        <v/>
      </c>
      <c r="G582" t="inlineStr">
        <is>
          <t>2019-02-05 08:10:47</t>
        </is>
      </c>
      <c r="H582" t="inlineStr"/>
    </row>
    <row r="583">
      <c r="A583" t="inlineStr">
        <is>
          <t>angiul</t>
        </is>
      </c>
      <c r="B583" t="inlineStr">
        <is>
          <t>So I found out I probably have testicular cancer</t>
        </is>
      </c>
      <c r="C583" t="inlineStr">
        <is>
          <t xml:space="preserve">Hello everyone. 
I'm a car salesman in my 30s. I've been working to get computer certifications to get into I.T. 
I quit smoking 5 years ago, and a year and a half ago started exercising, eating healthy, lost 110 pounds and look damn good. 
I felt a lump in my scrotum, and after some self diagnosis, decided it was probably a cyst, but scheduled a doctors appointment to be sure.  He felt it, said 'Its probably a cyst, but I'm going to order an ultrasound just to make sure'. 
He called me the next day to let me know that they found something inside the testicle on the opposite side of the cyst.  I met with the urologist last week and I'm scheduled to have my testicle removed tomorrow.  
I know as of right now in the world of cancer I know I'm pretty lucky. The doctor said it's uncommon to find them this early and testicular cancer is really treatable.
I'm still scared as shit and I guess I'm just kind of venting here because I don't want to scare my girlfriend or my family and it's pretty scary to say out loud.  So thanks for listening.
</t>
        </is>
      </c>
      <c r="D583" t="n">
        <v>1</v>
      </c>
      <c r="E583" t="n">
        <v>13</v>
      </c>
      <c r="F583">
        <f>HYPERLINK("https://www.reddit.com/r/cancer/comments/angiul/so_i_found_out_i_probably_have_testicular_cancer/")</f>
        <v/>
      </c>
      <c r="G583" t="inlineStr">
        <is>
          <t>2019-02-05 09:39:16</t>
        </is>
      </c>
      <c r="H583" t="inlineStr"/>
    </row>
    <row r="584">
      <c r="A584" t="inlineStr">
        <is>
          <t>anhau6</t>
        </is>
      </c>
      <c r="B584" t="inlineStr">
        <is>
          <t>Signs Of Deterioration In Cancer Patients</t>
        </is>
      </c>
      <c r="C584" t="inlineStr">
        <is>
          <t xml:space="preserve"> Signs of deterioration in cancer patients means that what type of symptoms and sign will appear in cancer patient when he is in his last stage of life. How can you came to know that your loved one is spending his last weeks of life .so signs of deterioration in cancer patients may vary. 
\#cancerpatients #deterioration #[SignsOfDeteriorationInCancerPatients](https://www.medfaw.com/signs-of-deterioration-in-cancer-patients.html)</t>
        </is>
      </c>
      <c r="D584" t="n">
        <v>1</v>
      </c>
      <c r="E584" t="n">
        <v>0</v>
      </c>
      <c r="F584">
        <f>HYPERLINK("https://www.reddit.com/r/cancer/comments/anhau6/signs_of_deterioration_in_cancer_patients/")</f>
        <v/>
      </c>
      <c r="G584" t="inlineStr">
        <is>
          <t>2019-02-05 10:51:25</t>
        </is>
      </c>
      <c r="H584" t="inlineStr"/>
    </row>
    <row r="585">
      <c r="A585" t="inlineStr">
        <is>
          <t>anhyg9</t>
        </is>
      </c>
      <c r="B585" t="inlineStr">
        <is>
          <t>Friend has given up.... what can I say to them?</t>
        </is>
      </c>
      <c r="C585" t="inlineStr">
        <is>
          <t>Maybe it's not even my place to change their mind, but a close friend of mine was diagnosed with stage 4 lung cancer that has spread to the bone near his spine.  He has totally given up.  His doctors have suggested specific types of exercise and diet to help, but he won't do it.  He won't even move, the diagnosis broke his spirit and he went from a jovial, positive person to someone I barely recognize.  Should I just be with him?  I don't even know what to say or do, but it's so hard to just sit by passively.</t>
        </is>
      </c>
      <c r="D585" t="n">
        <v>1</v>
      </c>
      <c r="E585" t="n">
        <v>20</v>
      </c>
      <c r="F585">
        <f>HYPERLINK("https://www.reddit.com/r/cancer/comments/anhyg9/friend_has_given_up_what_can_i_say_to_them/")</f>
        <v/>
      </c>
      <c r="G585" t="inlineStr">
        <is>
          <t>2019-02-05 11:53:04</t>
        </is>
      </c>
      <c r="H585" t="inlineStr"/>
    </row>
    <row r="586">
      <c r="A586" t="inlineStr">
        <is>
          <t>anixrz</t>
        </is>
      </c>
      <c r="B586" t="inlineStr">
        <is>
          <t>How do you deal with the aftermath of cancer ? (mentally exhausted)</t>
        </is>
      </c>
      <c r="C586" t="inlineStr">
        <is>
          <t>Been fighting cancer for the past 2.5 years (TC Stage IIIC) and finally I'm considered CANCER FREE... Now I'm battling another battle which is being **mentally exhausted,**
&amp;amp;#x200B;
People who passed by this, how did you deal with it ?</t>
        </is>
      </c>
      <c r="D586" t="n">
        <v>1</v>
      </c>
      <c r="E586" t="n">
        <v>9</v>
      </c>
      <c r="F586">
        <f>HYPERLINK("https://www.reddit.com/r/cancer/comments/anixrz/how_do_you_deal_with_the_aftermath_of_cancer/")</f>
        <v/>
      </c>
      <c r="G586" t="inlineStr">
        <is>
          <t>2019-02-05 13:27:57</t>
        </is>
      </c>
      <c r="H586" t="inlineStr"/>
    </row>
    <row r="587">
      <c r="A587" t="inlineStr">
        <is>
          <t>ank2t3</t>
        </is>
      </c>
      <c r="B587" t="inlineStr">
        <is>
          <t>No I don't have a stash of pain meds and I wouldn't give you any if I did.</t>
        </is>
      </c>
      <c r="C587" t="inlineStr">
        <is>
          <t xml:space="preserve">Geez, people find out I have cancer and suddenly think they can hit me up for presciption pain pills!
I've got news for them!
I don't have any prescription pain pills and wouldn't give them any if I did!
I don't have much cancer related pain right now (thankfully!).
And do you know what my doctors tell me to take for pain? TYLENOL! Not Tylenol witj Codeine. Just plain ol' over the counter Tylenol! That's right! After my surgery I was given 5mg of oxysomething once in the hospital and then Tylenol from there on out and if I were to call my doctor right now and tell them X hurts, they would tell me to take...you guessed it, Tylenol! And it works pretty well in me too.
And, if I did have cancer related pain bad enough to necessitate narcotics/opioids then you can sure as hell bet I wouldn't be sharing it because if I had it it would only be because I needed it, for, you know, cancer pain.
Go find another pill buddy...unless you want some Tylenol (I also have Advil).
</t>
        </is>
      </c>
      <c r="D587" t="n">
        <v>1</v>
      </c>
      <c r="E587" t="n">
        <v>35</v>
      </c>
      <c r="F587">
        <f>HYPERLINK("https://www.reddit.com/r/cancer/comments/ank2t3/no_i_dont_have_a_stash_of_pain_meds_and_i_wouldnt/")</f>
        <v/>
      </c>
      <c r="G587" t="inlineStr">
        <is>
          <t>2019-02-05 15:16:13</t>
        </is>
      </c>
      <c r="H587" t="inlineStr"/>
    </row>
    <row r="588">
      <c r="A588" t="inlineStr">
        <is>
          <t>ankcra</t>
        </is>
      </c>
      <c r="B588" t="inlineStr">
        <is>
          <t>Feeling whiny.</t>
        </is>
      </c>
      <c r="C588" t="inlineStr">
        <is>
          <t xml:space="preserve">I had another slew of appointments the last two days with my oncology docs. My big surgery is February 8th. I knew they were taking the tumor, a portion of my colon, my uterus, and possibly my bladder. Today I found out that they are also planning to take my cervix and possibly half my vagina. There was talk of taking skin and muscle grafts from my thighs to rebuild it. Wtf. Cancer sucks. It wasn’t enough that I’ve had an ostomy bag for the last month and will most likely getting a urostomy for life. I get a rebuilt vagina, like they are rebuilding the motor for a car. I feel like today is one of those days where I was kicked when I was already feeling down. 
I’m so tired of hearing- well at least you get to live. You can beat this. It’s not the end of the world. Plenty of people have had this done and they are fine. Yeah well I’m. Not. Fine. With. It.  Whiny selfish me wants to keep her own vagina just the way it is. </t>
        </is>
      </c>
      <c r="D588" t="n">
        <v>1</v>
      </c>
      <c r="E588" t="n">
        <v>26</v>
      </c>
      <c r="F588">
        <f>HYPERLINK("https://www.reddit.com/r/cancer/comments/ankcra/feeling_whiny/")</f>
        <v/>
      </c>
      <c r="G588" t="inlineStr">
        <is>
          <t>2019-02-05 15:44:52</t>
        </is>
      </c>
      <c r="H588" t="inlineStr"/>
    </row>
    <row r="589">
      <c r="A589" t="inlineStr">
        <is>
          <t>anksln</t>
        </is>
      </c>
      <c r="B589" t="inlineStr">
        <is>
          <t>Not sure what to think</t>
        </is>
      </c>
      <c r="C589" t="inlineStr">
        <is>
          <t>I found a lump under my arm about a week ago and went to go have it checked out today. I got referred for imaging and my doctor sat and thought for a bit before telling me what she wanted to do. 
I had Severe Aplastic Anemia when I was younger, which required chemo and a bone marrow transplant. It technically wasnt cancer, but I know what the process entails.
I'm 20. I just got back into college after some time off. I dont know what to do. If this is cancer it'll completely derail my life. I am far from financially stable, and if I cant work I dont know what I'd do. I know I dont know anything for sure, but I cant help but stress.</t>
        </is>
      </c>
      <c r="D589" t="n">
        <v>1</v>
      </c>
      <c r="E589" t="n">
        <v>1</v>
      </c>
      <c r="F589">
        <f>HYPERLINK("https://www.reddit.com/r/cancer/comments/anksln/not_sure_what_to_think/")</f>
        <v/>
      </c>
      <c r="G589" t="inlineStr">
        <is>
          <t>2019-02-05 16:30:44</t>
        </is>
      </c>
      <c r="H589" t="inlineStr"/>
    </row>
    <row r="590">
      <c r="A590" t="inlineStr">
        <is>
          <t>anku5a</t>
        </is>
      </c>
      <c r="B590" t="inlineStr">
        <is>
          <t>My story (so far )</t>
        </is>
      </c>
      <c r="C590" t="inlineStr">
        <is>
          <t xml:space="preserve">Here it goes , I was holding off , but I feel it’s healthy to talk about it . 
 One day in summer , the 17th of aug actually , I scratched my neck and I had a huge lump there . What the hell is this ? I’m assuming this would be the normal reaction I suppose , so I went to my wife’s work (psych nurse ) and asked if I should be concerned . She said not much we can do on the Friday of a long weekend , if it doesn’t hurt and I dont feel sick it can wait till next week. From there I had cat scans , biopsy’s , finally a pet scan that showed glowing all over my face. Dr said we need to remove a partial tonsil (had them out as a kid) and do a biopsy of the base of tongue . Holy hell I wasn’t prepared for the pain of the tonsillectomy . Biopsy came back inconclusive , so they said let’s biopsy the left side of my neck where I had one little lymph node glowing, if that’s inconclusive we will treat the lump as a cyst and remove it . Well it came back as thyroid cancer, I was shocked , but not frightened . It sure made the pain in my throat go away fast. They removed it jan 3rd and removed all the lymph nodes on my right side . Jan 9th I went in to remove the centre stitch ( others were all internal) and the pathology showed I also had squamous cell carcinoma base of the tongue cancer.  I had researched the hell out of it , so I was prepared , shocked again , stunned , but prepared. 
 Well last Thursday my dad passed away , he was a minister for 45 years , foster parent for over 55 years helping more than 200 kids , gave his life to the community and people , they had 2 natural children and adopted 7 more ( me included ) he had dementia for the last 5 years , the last 2 badly , in a home the last 8 months . We have come to find out he had no life insurance , during the dementia he had renegotiated loans and mortgages to have no insurance because of his age . He left mom with 3500 in their bank and 4000 owing to the nursing home . To top it off I start my radiation tomorrow and chemo Thursday .  I feel helpless . Their local radio station started a go fund me for mom to help with some of the bills, but it hasn’t seemed to get any traction , I still thank them for trying . 
 End of rant , thanks for listening , reading other people stories on here has helped me a lot , I know what’s ahead , and there are a few currently doing the same , they are a little ahead of me and it helps to read their suggestions . </t>
        </is>
      </c>
      <c r="D590" t="n">
        <v>1</v>
      </c>
      <c r="E590" t="n">
        <v>13</v>
      </c>
      <c r="F590">
        <f>HYPERLINK("https://www.reddit.com/r/cancer/comments/anku5a/my_story_so_far/")</f>
        <v/>
      </c>
      <c r="G590" t="inlineStr">
        <is>
          <t>2019-02-05 16:35:23</t>
        </is>
      </c>
      <c r="H590" t="inlineStr"/>
    </row>
    <row r="591">
      <c r="A591" t="inlineStr">
        <is>
          <t>anmd41</t>
        </is>
      </c>
      <c r="B591" t="inlineStr">
        <is>
          <t>Falling apart</t>
        </is>
      </c>
      <c r="C591" t="inlineStr">
        <is>
          <t>Decompressing from a great weekend, first time back in one of my communities (even if I couldn't fight the tournament). Off my meds for almost a week because my Dr. Doesn't seem to be answering his private voice mail box. Loosening at the seams, keep having the death by cancer thoughts, dunno. I'm not doing well, I guess. Feel like a burden to my wife and friends.</t>
        </is>
      </c>
      <c r="D591" t="n">
        <v>1</v>
      </c>
      <c r="E591" t="n">
        <v>3</v>
      </c>
      <c r="F591">
        <f>HYPERLINK("https://www.reddit.com/r/cancer/comments/anmd41/falling_apart/")</f>
        <v/>
      </c>
      <c r="G591" t="inlineStr">
        <is>
          <t>2019-02-05 19:19:32</t>
        </is>
      </c>
      <c r="H591" t="inlineStr"/>
    </row>
    <row r="592">
      <c r="A592" t="inlineStr">
        <is>
          <t>anmifo</t>
        </is>
      </c>
      <c r="B592" t="inlineStr">
        <is>
          <t>Scared to death</t>
        </is>
      </c>
      <c r="C592" t="inlineStr">
        <is>
          <t xml:space="preserve">So I have been having constipation for 3 weeks now I havent been stopped up completely I can go but it's hard to push out the stool is not hard but normal no blood in it but been having alot of stomach gurgling in lower abdomen as well as a stiff back feeling I've also had increased mucus in it as well I went to a gi and he is going a colonoscopy in a couple weeks although he doesn't think its necessary but is doing it for peace of mind I'm so scared of the results and would like some advice of what it could be besides colon cancer I'm only 23 years old </t>
        </is>
      </c>
      <c r="D592" t="n">
        <v>1</v>
      </c>
      <c r="E592" t="n">
        <v>5</v>
      </c>
      <c r="F592">
        <f>HYPERLINK("https://www.reddit.com/r/cancer/comments/anmifo/scared_to_death/")</f>
        <v/>
      </c>
      <c r="G592" t="inlineStr">
        <is>
          <t>2019-02-05 19:35:41</t>
        </is>
      </c>
      <c r="H592" t="inlineStr"/>
    </row>
    <row r="593">
      <c r="A593" t="inlineStr">
        <is>
          <t>anmvaz</t>
        </is>
      </c>
      <c r="B593" t="inlineStr">
        <is>
          <t>How to deal with hair loss from chemo??</t>
        </is>
      </c>
      <c r="C593" t="inlineStr">
        <is>
          <t>I’m starting my chemo and radiation in about two weeks from now.. Aside from being so completely consumed with fear from the pain I might be in, I am horrified at the thought of losing my hair. Does anyone have any tips for coping besides the common response that I keep getting from people NOT going through this (which is “It will grow back”)?? 
My mother had ovarian cancer and lost her hair, and she said the hair loss should be the least of my worries. That doesn’t help. I am sincerely worried and depressed about it. I’m not vain or narcissistic by any means whatsoever, but the thought of being bald is bugging me to my very core. Any advice would be greatly appreciated. Also, if anyone has any recommendations for websites or any place that has scarves or head wraps for this kind of thing, I would love to know.  I’m open to wigs as well. 
Now that I’m typing all this it seems kind of petty compared to everything else that’s going on, but I can’t help it. I’m scared.
Fuck cancer.</t>
        </is>
      </c>
      <c r="D593" t="n">
        <v>1</v>
      </c>
      <c r="E593" t="n">
        <v>63</v>
      </c>
      <c r="F593">
        <f>HYPERLINK("https://www.reddit.com/r/cancer/comments/anmvaz/how_to_deal_with_hair_loss_from_chemo/")</f>
        <v/>
      </c>
      <c r="G593" t="inlineStr">
        <is>
          <t>2019-02-05 20:14:52</t>
        </is>
      </c>
      <c r="H593" t="inlineStr"/>
    </row>
    <row r="594">
      <c r="A594" t="inlineStr">
        <is>
          <t>annclu</t>
        </is>
      </c>
      <c r="B594" t="inlineStr">
        <is>
          <t>Be your own best advocate.</t>
        </is>
      </c>
      <c r="C594" t="inlineStr">
        <is>
          <t xml:space="preserve">Be your own best advocate, if something doesn't feel right keep saying something and don't let doctors tell you differently. I say this because I finally found a doctor who listened to me, and it wasn't even an oncologist! 
My background: appendix removal May of 2018, they found a stage 1 NET, I had a very rude oncologist follow up tell me I was fine. Had to fight insurance to find me a 2nd opinion who told me the same thing, but I still felt like I did when I went into the ER for that appendectomy. 
So I followed up with my GI doc since that's where my main symptoms sat, a lot of nausea and vomiting, abdominal pain and such. He did an upper endoscopy and found a large hiatal hernia along with a lot of gastritis and duodenitis. So we started testing for getting the hiatal hernia repaired, which is a couple of uncomfortable pre surgical tests and involves a cardiothoracic surgeon.
My cardiothoracic surgeon listened to my ongoing issues and symptoms and ran a blood test which showed elevated Gastrin levels, which could be caused by NETS. So within the next month I have to have a CT of my abdomen/pelvis, another upper endoscopy with specific biopsies looking for NETS, another Gastrin level draw, and follow ups with both my GI and my cardiothoracic surgeon. 
So fuck those oncologists who told me I was fine when I knew I was not. Hopefully my tests will come back negative and I do not have more cancer, but it's going to be a rough month.
Never stop fighting for yourselves friends. </t>
        </is>
      </c>
      <c r="D594" t="n">
        <v>1</v>
      </c>
      <c r="E594" t="n">
        <v>7</v>
      </c>
      <c r="F594">
        <f>HYPERLINK("https://www.reddit.com/r/cancer/comments/annclu/be_your_own_best_advocate/")</f>
        <v/>
      </c>
      <c r="G594" t="inlineStr">
        <is>
          <t>2019-02-05 21:09:18</t>
        </is>
      </c>
      <c r="H594" t="inlineStr"/>
    </row>
    <row r="595">
      <c r="A595" t="inlineStr">
        <is>
          <t>annfnt</t>
        </is>
      </c>
      <c r="B595" t="inlineStr">
        <is>
          <t>Just want some help.</t>
        </is>
      </c>
      <c r="C595" t="inlineStr">
        <is>
          <t>My mum has recently been diagnosed with Hepatic Cellular Carcinoma with TIV. Currently her legs and abdomen are swelling with extra fluid and i just dont know what to do. our doctors haven told/given any advice on how I could help her she is in alot of pain and as a by stander i feel so helpless. i am unsure if this is in the wrong place but I'm just trying here. Thankyou and have a lovely day</t>
        </is>
      </c>
      <c r="D595" t="n">
        <v>1</v>
      </c>
      <c r="E595" t="n">
        <v>0</v>
      </c>
      <c r="F595">
        <f>HYPERLINK("https://www.reddit.com/r/cancer/comments/annfnt/just_want_some_help/")</f>
        <v/>
      </c>
      <c r="G595" t="inlineStr">
        <is>
          <t>2019-02-05 21:19:08</t>
        </is>
      </c>
      <c r="H595" t="inlineStr"/>
    </row>
    <row r="596">
      <c r="A596" t="inlineStr">
        <is>
          <t>annsof</t>
        </is>
      </c>
      <c r="B596" t="inlineStr">
        <is>
          <t>Cabozantinib tablets uses,side effects,dosage and cost</t>
        </is>
      </c>
      <c r="C596" t="inlineStr">
        <is>
          <t xml:space="preserve">[Cabozantinib](https://blueberrypharma.com/cabozantinib.php)belongs to a type of targeted therapy drug known as a tyrosine kinase inhibitor. It acts by inhibiting the signals inner cancer cells which made them grow and divide @ Blueberry Pharmaceuticals </t>
        </is>
      </c>
      <c r="D596" t="n">
        <v>1</v>
      </c>
      <c r="E596" t="n">
        <v>2</v>
      </c>
      <c r="F596">
        <f>HYPERLINK("https://www.reddit.com/r/cancer/comments/annsof/cabozantinib_tablets_usesside_effectsdosage_and/")</f>
        <v/>
      </c>
      <c r="G596" t="inlineStr">
        <is>
          <t>2019-02-05 22:04:32</t>
        </is>
      </c>
      <c r="H596" t="inlineStr"/>
    </row>
    <row r="597">
      <c r="A597" t="inlineStr">
        <is>
          <t>anog68</t>
        </is>
      </c>
      <c r="B597" t="inlineStr">
        <is>
          <t>How to be supportive?</t>
        </is>
      </c>
      <c r="C597" t="inlineStr">
        <is>
          <t>So...yeah...hi. Let's just jump into the wonderful bit that is cancer: My husband's  very good friend got the news yesterday that his cancer came back for more. It's Round 3 actually and I really hope it's not ending with a fatality. The first two times they caught it very early on and it hadn't spread anywhere so they simply removed the (luckily) not essential organs and he was good.  
This time it is sitting in the prostate and apparently has somehow found it's way into the lungs. When he calles us last night my husband and him were kind of just freaking out together because that's some awful news right there that none of us were expecting.  
Now, if I understood correctly his treatment this time around is going to be Chemo which from all I heard is basically 50 shades of shitty.   
I know myself and my flaws. I usually deal with this kind of things by simply turning into someone with the emotional availability and range of a rock which is neither what my husband nor his friend need in times like this. Does anyone have any advice on how to be supportive to both? Because I feel my brain heading for the rock-mode where I just focus on the logic and organisation.</t>
        </is>
      </c>
      <c r="D597" t="n">
        <v>1</v>
      </c>
      <c r="E597" t="n">
        <v>2</v>
      </c>
      <c r="F597">
        <f>HYPERLINK("https://www.reddit.com/r/cancer/comments/anog68/how_to_be_supportive/")</f>
        <v/>
      </c>
      <c r="G597" t="inlineStr">
        <is>
          <t>2019-02-05 23:41:40</t>
        </is>
      </c>
      <c r="H597" t="inlineStr"/>
    </row>
    <row r="598">
      <c r="A598" t="inlineStr">
        <is>
          <t>anpdf5</t>
        </is>
      </c>
      <c r="B598" t="inlineStr">
        <is>
          <t>Not sure how to deal with this</t>
        </is>
      </c>
      <c r="C598" t="inlineStr">
        <is>
          <t>Good morning all,
So to put it into context our family has had a series of bad luck over the last year. My Mum had been going downhill for a while she had cold feet and hands was diagnosed with diabetes and eventually after a series of other complications became bed bound, it was sad to watch and after I contacted the Dr's they got involved but my Mum refused to go to hospital, she was proud and stubborn. I suspected something more serious was happening to contacted my 3 other older Brothers to go to their house and find out what was happening, one of my Brothers couldn't as he lived 300 miles away but me and my other 2 Brothers went around one evening after work prepared for an argument but by this point I didn't care as long as we helped her.
We met my Dad at the door who was surprised to see us 3, we then took him to another room to ask him if he really knows what's going on, he didn't. Me and my 2nd eldest Brother went upstairs to talk to my Mum who again was shocked to see us both. She was being her stubborn self and wouldn't let anything go, I eventually broke town, burst into tears and grabbed her hand and begged her to tell me, probably not the best way to go about things but it worked. She came out and said "The Dr said I don't have long to live". My 2 other Brothers didn't cope well from that moment and left, I sat with my Mum and we talked, normally for once which we hadn't done in a very long time and it was nice. It then dawned on me my Dad didn't know, I again spoke to my Mum and said he has to know. I called my Dad up and my Mum physically couldn't do it, she looked at me and so I just came out and said it. We all sat and spoke together and eventually I left them to talk together, broke down in a heap outside. I spoke to the Dr and went on some anti depressants which really did help me get through a rough patch, My Mum passed a week later during the night. 
I feel like a shitty human for saying so but it some ways it was a relief, she had no quality of life in that bed, my Dad having to help her clean and go to the toilet.
2 months later my Father in law is diagnosed with bowel cancer followed by prostate cancer, they caught it early so gave us a bunch of options to deal with it, he had an operation to remove part of the bowel and had regular tests now. They are just keeping an eye on the prostate cancer as it's so small and slow growing.
1 Month later my Nan dies, was put down to age.
Yesterday my Father and Mother in law come around after my Mother in law had tests at the hospital and she has been told she has pancreatic cancer which has spread to the liver which is life limiting, again our world has been shook, back to square 1. She has an operation Friday to put a stent in to make her comfortable and hopefully find out "how long".
My Wife is trying to stay strong, she never usually reacts to most things but I can see cracks, I've seen tears which she tries to hide. She's focusing a lot on the after, which I try to divert her away from for now and focus on her Mums life now and to enjoy whatever we can, we're talking openly about things and not hiding them at all as there's no point.
Has anyone got experience with pancreatic that's spread to the liver? What can we expect, how can I help?
&amp;amp;#x200B;
Thank you for any words of advice!</t>
        </is>
      </c>
      <c r="D598" t="n">
        <v>1</v>
      </c>
      <c r="E598" t="n">
        <v>0</v>
      </c>
      <c r="F598">
        <f>HYPERLINK("https://www.reddit.com/r/cancer/comments/anpdf5/not_sure_how_to_deal_with_this/")</f>
        <v/>
      </c>
      <c r="G598" t="inlineStr">
        <is>
          <t>2019-02-06 02:19:37</t>
        </is>
      </c>
      <c r="H598" t="inlineStr"/>
    </row>
    <row r="599">
      <c r="A599" t="inlineStr">
        <is>
          <t>anpe2i</t>
        </is>
      </c>
      <c r="B599" t="inlineStr">
        <is>
          <t>I think I may have Lymphoma.</t>
        </is>
      </c>
      <c r="C599" t="inlineStr">
        <is>
          <t xml:space="preserve">I am a 20 year old male with cerebral palsy and I believe that I have Lymphoma. This never really crossed my mind until I noticed a bump in the center of my chest. Which I first noticed a few months ago and dismissed it as a cyst. But I've noticed it has grown considerably so I looked more into it, I found Lymphoma and discovered that all these issues I've been having recently match the symptoms scarily well. At the end of the summer, I lost almost all my appetite and it was hard to eat. At college, I found that I'd be completely full without finishing a meal. When I came home for winter break I weighed 40 pounds less than I did before I left home. I've been keeping up to date and even though I've been eating better lately I've lost 10-15 pounds this month. My body feels like it's been getting progressively weaker which I just blamed on me losing weight, which I might be right but it is still alarming to me. I always sweat a ton and my underwear will be completely soaked as well as my blanket and sheets when I wake up. I have a constant cough for the past year and recently have been having bad chest pain off and on. Finally the last thing I noticed is shortness of breath. I will start breathing like I just sprinted after a decent walk, and I have difficulty breathing even sometimes while only walking. My mother and grandmother currently have breast cancer. These things all together seem like way too much of a coincidence for me. Is there a chance this could be something else? </t>
        </is>
      </c>
      <c r="D599" t="n">
        <v>1</v>
      </c>
      <c r="E599" t="n">
        <v>3</v>
      </c>
      <c r="F599">
        <f>HYPERLINK("https://www.reddit.com/r/cancer/comments/anpe2i/i_think_i_may_have_lymphoma/")</f>
        <v/>
      </c>
      <c r="G599" t="inlineStr">
        <is>
          <t>2019-02-06 02:22:31</t>
        </is>
      </c>
      <c r="H599" t="inlineStr"/>
    </row>
    <row r="600">
      <c r="A600" t="inlineStr">
        <is>
          <t>anpo2t</t>
        </is>
      </c>
      <c r="B600" t="inlineStr">
        <is>
          <t>Have you been recently diagnosed with cancer? We need your help in our research.</t>
        </is>
      </c>
      <c r="C600" t="inlineStr">
        <is>
          <t>We are currently looking for people to take part in our research study at the University of Chester, UK, on daily functioning and psychological wellbeing in cancer patients.
Receiving a cancer diagnosis and all that comes after this can often be a distressing, worrying and confusing time. Our aim is to investigate how cancer has affected your daily functioning and emotional wellbeing. We are particularly interested in how this then affects decisions you make about your treatment. Our goal is to help others that might find themselves in your position in the future. To do this, we need your help.
Anyone who is over 16 years of age and been diagnosed with any type of cancer can take part. If you decide to take part, you will be asked to complete an online questionnaire that will take around 30 minutes to complete. You will be also asked whether you would like to participate in a phone or Skype interview at a later date, but you don’t have to agree to this to take part in the questionnaire study. While we hope that taking part will be a positive experience for you, we also understand that answering questions about your illness may be upsetting. You can always stop the questionnaire at any time. All your answers and data will be anonymous.
If you would like to take part, please click the following link. This will take you to the survey and study information sheet.
Link: [https://chester.onlinesurveys.ac.uk/reddit](https://chester.onlinesurveys.ac.uk/reddit)
Thank you,
David Budzynski, BSc (Hons)
MRes student conducting the research</t>
        </is>
      </c>
      <c r="D600" t="n">
        <v>1</v>
      </c>
      <c r="E600" t="n">
        <v>0</v>
      </c>
      <c r="F600">
        <f>HYPERLINK("https://www.reddit.com/r/cancer/comments/anpo2t/have_you_been_recently_diagnosed_with_cancer_we/")</f>
        <v/>
      </c>
      <c r="G600" t="inlineStr">
        <is>
          <t>2019-02-06 03:08:42</t>
        </is>
      </c>
      <c r="H600" t="inlineStr"/>
    </row>
    <row r="601">
      <c r="A601" t="inlineStr">
        <is>
          <t>anqavq</t>
        </is>
      </c>
      <c r="B601" t="inlineStr">
        <is>
          <t>Pediatric Oncology - Types of Childhood Cancers</t>
        </is>
      </c>
      <c r="C601" t="inlineStr">
        <is>
          <t>We at Cancer Care Specialties Mena, ensure that the children receive the best treatment from the doctors who are experts in the field of pediatric oncology.
&amp;amp;#x200B;</t>
        </is>
      </c>
      <c r="D601" t="n">
        <v>1</v>
      </c>
      <c r="E601" t="n">
        <v>0</v>
      </c>
      <c r="F601">
        <f>HYPERLINK("https://www.reddit.com/r/cancer/comments/anqavq/pediatric_oncology_types_of_childhood_cancers/")</f>
        <v/>
      </c>
      <c r="G601" t="inlineStr">
        <is>
          <t>2019-02-06 04:38:56</t>
        </is>
      </c>
      <c r="H601" t="inlineStr"/>
    </row>
    <row r="602">
      <c r="A602" t="inlineStr">
        <is>
          <t>anqxoa</t>
        </is>
      </c>
      <c r="B602" t="inlineStr">
        <is>
          <t>Transvaginal Ultrasound: What to expect?</t>
        </is>
      </c>
      <c r="C602" t="inlineStr">
        <is>
          <t xml:space="preserve">Basically what the title says. I know it's not the worst procedure that exists but I'm pretty scared. 
Does it hurt? If you've had this, what did you wish you knew before you got it done? </t>
        </is>
      </c>
      <c r="D602" t="n">
        <v>1</v>
      </c>
      <c r="E602" t="n">
        <v>12</v>
      </c>
      <c r="F602">
        <f>HYPERLINK("https://www.reddit.com/r/cancer/comments/anqxoa/transvaginal_ultrasound_what_to_expect/")</f>
        <v/>
      </c>
      <c r="G602" t="inlineStr">
        <is>
          <t>2019-02-06 05:57:25</t>
        </is>
      </c>
      <c r="H602" t="inlineStr"/>
    </row>
    <row r="603">
      <c r="A603" t="inlineStr">
        <is>
          <t>anrdxd</t>
        </is>
      </c>
      <c r="B603" t="inlineStr">
        <is>
          <t>Muscle gain after surgery</t>
        </is>
      </c>
      <c r="C603" t="inlineStr">
        <is>
          <t xml:space="preserve">Apologies if repeat but I literally don't have energy to check.
I was pretty fit a year ago, diagosed with cancer. 6 rounds/months of chemo later, weakened but no weight loss. Then had major surgery, went well, but lost a stone. (~6.5kg).
A week in hospital, then a week out, then had a 'blip', another 10 days in hospital, and lost another stone.
 I went from 11 to 9. I'm weak AF.
Now I know how to put on weight (eat) , and I know it takes time, but I'm worried any weight I put on will not be muscle and go straight to stomach. I want at least a decent amount of muscle. Issue is, exercise is ruled out for 3 months (other than gentle walks). 
Surgery was on torso (adrenal, kidney, small part of liver removed) so docs said anything involving pressure on this could lead to hernia. Weights are out, even body weight. I asked about stationary bike and swimming - no. Yoga - not without proper technique which I don't have.
I know people are gonna say ask a medical professional but but does anyone have any experience with this? Or advice/potential tips? I'd hate to be skinny fat. Much appreciated. </t>
        </is>
      </c>
      <c r="D603" t="n">
        <v>1</v>
      </c>
      <c r="E603" t="n">
        <v>9</v>
      </c>
      <c r="F603">
        <f>HYPERLINK("https://www.reddit.com/r/cancer/comments/anrdxd/muscle_gain_after_surgery/")</f>
        <v/>
      </c>
      <c r="G603" t="inlineStr">
        <is>
          <t>2019-02-06 06:46:47</t>
        </is>
      </c>
      <c r="H603" t="inlineStr"/>
    </row>
    <row r="604">
      <c r="A604" t="inlineStr">
        <is>
          <t>anrrzo</t>
        </is>
      </c>
      <c r="B604" t="inlineStr">
        <is>
          <t>My father was diagnosed with stage 4 cancer and I do not know what to expect...</t>
        </is>
      </c>
      <c r="C604" t="inlineStr">
        <is>
          <t>My only close family members are my mom and my dad. Yesterday my dad was diagnosed with stage 4. My dad starts his chemo therapy next week... How should I prepare for this?</t>
        </is>
      </c>
      <c r="D604" t="n">
        <v>1</v>
      </c>
      <c r="E604" t="n">
        <v>6</v>
      </c>
      <c r="F604">
        <f>HYPERLINK("https://www.reddit.com/r/cancer/comments/anrrzo/my_father_was_diagnosed_with_stage_4_cancer_and_i/")</f>
        <v/>
      </c>
      <c r="G604" t="inlineStr">
        <is>
          <t>2019-02-06 07:27:09</t>
        </is>
      </c>
      <c r="H604" t="inlineStr"/>
    </row>
    <row r="605">
      <c r="A605" t="inlineStr">
        <is>
          <t>ansfhn</t>
        </is>
      </c>
      <c r="B605" t="inlineStr">
        <is>
          <t>Needle Biopsy</t>
        </is>
      </c>
      <c r="C605" t="inlineStr">
        <is>
          <t>My mother was diagnosed with squamous cell carcinoma that had spread from her tongue to her lymph nodes a year ago. They were able to remove the lesions from the tongue and her neck. She went for 7 weeks of proton radiation to catch anything that was remaining. During proton radiation two wart looking bumps appeared on the outside of her neck and the back portion of her neck became inflamed. The doctors have all said that they believe the cancer has returned. They did a CT scan that showed a lesion in the same area where they removed the lymph nodes and neck tumor. The ENT surgeon did a fine needle biopsy during her visit that came back negative. He sent her to have an ultrasound guided biopsy which took two samples from the back neck area and both samples came back negative. She is going for a PET scan this week as well. I wanted to find out if anybody can tell me how reliable are the needle biopsies and ultrasound biopsies? How common is a false negative result?</t>
        </is>
      </c>
      <c r="D605" t="n">
        <v>1</v>
      </c>
      <c r="E605" t="n">
        <v>0</v>
      </c>
      <c r="F605">
        <f>HYPERLINK("https://www.reddit.com/r/cancer/comments/ansfhn/needle_biopsy/")</f>
        <v/>
      </c>
      <c r="G605" t="inlineStr">
        <is>
          <t>2019-02-06 08:28:15</t>
        </is>
      </c>
      <c r="H605" t="inlineStr"/>
    </row>
    <row r="606">
      <c r="A606" t="inlineStr">
        <is>
          <t>antigq</t>
        </is>
      </c>
      <c r="B606" t="inlineStr">
        <is>
          <t>Taxol/Carbo/Avastin - How did your cycle go?</t>
        </is>
      </c>
      <c r="C606" t="inlineStr">
        <is>
          <t xml:space="preserve">Hi guys, I've been lurking here for a while, but just started chemo again, and I'm just curious as to what to expect. When I did weekly Cisplatin last year with radiation, I had a pretty predictable cycle. Usually wide awake for two to three days after due to the Dexamethasone and then crash usually on day 4 or 5, start feeling normal again day 6, just in time to start the next cycle. I should mention I never had any nausea with Cisplatin, just extreme fatigue. This go 'round, I'm doing Taxol, Carboplatin, and Avastin on a 21-day cycle. I had my first infusion on Monday. With the Cisplatin, I had the Dexamethasone in my IV, but now I'm taking it orally for 3 days post chemo, and not experiencing insomnia and energy boost that I had previously, which I can't decide if it is a blessing or curse. I was really dreading insomnia, but I was hoping for the energy to get things done and I'm dragging already. No nausea though, but I'm expecting things to change once the steroids work their way out of my system. What was your experience? I know every body is different, but I'd like to get a vague idea of what I can expect. </t>
        </is>
      </c>
      <c r="D606" t="n">
        <v>1</v>
      </c>
      <c r="E606" t="n">
        <v>2</v>
      </c>
      <c r="F606">
        <f>HYPERLINK("https://www.reddit.com/r/cancer/comments/antigq/taxolcarboavastin_how_did_your_cycle_go/")</f>
        <v/>
      </c>
      <c r="G606" t="inlineStr">
        <is>
          <t>2019-02-06 10:05:04</t>
        </is>
      </c>
      <c r="H606" t="inlineStr"/>
    </row>
    <row r="607">
      <c r="A607" t="inlineStr">
        <is>
          <t>antrdv</t>
        </is>
      </c>
      <c r="B607" t="inlineStr">
        <is>
          <t>Overwhelmed Before Stepmom's Death</t>
        </is>
      </c>
      <c r="C607" t="inlineStr">
        <is>
          <t>I'm not sure what I'm trying to get out of this post beyond a chance to vent and maybe some general words of advice.
&amp;amp;#x200B;
My dad's girlfriend was diagnosed with stage IV terminal lung cancer almost four years ago.  She has become a stepmom figure to me, and I've only just realized how much so in the past few weeks.  At the last appointment she had, the doctor told her she only had 3-9 months to live.  The doctor's have struggled with her diagnosis from the beginning, first misdiagnosing her by saying she only had a chest infection, and then being unable to figure out whether it was small or non-small cell.  It was finally decided that it is both small and non-small cell and her doctor almost seems to have given up on helping her.  She has tried several different treatments including multiple chemo therapies, radiation sessions, and trials.  The doctor's have agreed to try one more chemo before saying that there is nothing left.
&amp;amp;#x200B;
The entire family has always tried to stay positive and hopeful from the beginning, but we've all kind of lost it after this last appointment.
&amp;amp;#x200B;
I, personally, am really struggling because I have never dealt with a death that was expected.  I have only ever experienced loss when it was sudden and unexpected (once with my mom and again with my uncle).  It almost feels like I'm already grieving this loss, and that scares me because I don't know what to expect when she actually dies.  Will it be worse?
&amp;amp;#x200B;
I'm also feeling selfish at the moment for a couple reasons.  First, I feel bad that I'm not spending as much time with her as possible.  I am very busy at college (I signed up for a lot and am super involved this semester) so I can't get home as often. I am scared that I am going to regret not spending as much time with her or that her symptoms will be a lot more noticeable when I do eventually get to go home than if I were to see her often (it would seem less drastic of a change).  Second, when she dies I will have to find a new place to live.  I haven't told anyone in my family that I am house hunting with my boyfriend because I don't want them to know that I have already begun preparing for when she dies.  I am worried they'll think it's rude of me and be really mad. 
&amp;amp;#x200B;
All in all, this has all been weighing on me and it feels good to be able to vent about it outside of the family.  Thanks for listening.
&amp;amp;#x200B;
tl;dr My dad's girlfriend is dying and I think I'm prematurely grieving, feeling selfish for not visiting often, and feeling guilty for actively trying to find a place to live when she dies.</t>
        </is>
      </c>
      <c r="D607" t="n">
        <v>1</v>
      </c>
      <c r="E607" t="n">
        <v>6</v>
      </c>
      <c r="F607">
        <f>HYPERLINK("https://www.reddit.com/r/cancer/comments/antrdv/overwhelmed_before_stepmoms_death/")</f>
        <v/>
      </c>
      <c r="G607" t="inlineStr">
        <is>
          <t>2019-02-06 10:27:34</t>
        </is>
      </c>
      <c r="H607" t="inlineStr"/>
    </row>
    <row r="608">
      <c r="A608" t="inlineStr">
        <is>
          <t>anytkh</t>
        </is>
      </c>
      <c r="B608" t="inlineStr">
        <is>
          <t>If I Didn't Know I Had Cancer . . .</t>
        </is>
      </c>
      <c r="C608" t="inlineStr">
        <is>
          <t>..I wouldn't know I had cancer. Diagnosed a few months ago with a breast cancer that I know had been growing for a while (complicated reasons for neglecting it). PET scan found involvement in bones - an automatic Stage IV. Bone scan found some of that was not cancer, but due to arthritis.
Surprised to learn I would not have chemo or surgery. The slow-growing, estrogen-sensitive tumor would be treated with hormone blockers and a fairly new medication (Imbrance). Side effects have been minimal. I have not had to give up any activities.
I'm a Christian and believe that I have received the "peace that passes understanding." I could tell you more about that aspect if anyone is interested.
 It helps that I am older (76), so that may be why the treatment is less aggressive , but it appears to be working as the tumor has shrunk a bit. My oncologist says I should think of it as a chronic illness for which I will need continued treatment. At my age, I take it one day at a time. I have already had a long life so think of any future as a bonus.
I feel a bit guilty when I think about how easy I am getting off and what some of the people I know with cancer have had to go through. It breaks my heart to see young folks diagnosed. My prayers are with you all.</t>
        </is>
      </c>
      <c r="D608" t="n">
        <v>1</v>
      </c>
      <c r="E608" t="n">
        <v>24</v>
      </c>
      <c r="F608">
        <f>HYPERLINK("https://www.reddit.com/r/cancer/comments/anytkh/if_i_didnt_know_i_had_cancer/")</f>
        <v/>
      </c>
      <c r="G608" t="inlineStr">
        <is>
          <t>2019-02-06 18:26:06</t>
        </is>
      </c>
      <c r="H608" t="inlineStr"/>
    </row>
    <row r="609">
      <c r="A609" t="inlineStr">
        <is>
          <t>anyx1c</t>
        </is>
      </c>
      <c r="B609" t="inlineStr">
        <is>
          <t>Removed my abs (rectus abdominis) on my right side. Need some advice, please.</t>
        </is>
      </c>
      <c r="C609" t="inlineStr">
        <is>
          <t xml:space="preserve">So my surgery was in October. Since then I have been having some trouble with tiredness. Sometimes it's more like exhaustion. My abs on my right side were removed to form a "flap" for my colostomy. I don't have any pain to speak of, however it feels wrong. I can't really explain it. It's like I'm so much weaker that I even walk more slowly. I question whether or not this feeling is because of my loss of muscle or if it is depression. Would I notice the loss of half my abs to a great extent? My doctor (surgeon) seems to think its depression, and maybe it is, but if it is that, I'm not sure I want to go on antidepressants for a physical problem.  I have a limit on how much I can lift, and must be careful of not doing anything strenuous.   </t>
        </is>
      </c>
      <c r="D609" t="n">
        <v>1</v>
      </c>
      <c r="E609" t="n">
        <v>0</v>
      </c>
      <c r="F609">
        <f>HYPERLINK("https://www.reddit.com/r/cancer/comments/anyx1c/removed_my_abs_rectus_abdominis_on_my_right_side/")</f>
        <v/>
      </c>
      <c r="G609" t="inlineStr">
        <is>
          <t>2019-02-06 18:36:51</t>
        </is>
      </c>
      <c r="H609" t="inlineStr"/>
    </row>
    <row r="610">
      <c r="A610" t="inlineStr">
        <is>
          <t>anyys0</t>
        </is>
      </c>
      <c r="B610" t="inlineStr">
        <is>
          <t>Swallowing pain</t>
        </is>
      </c>
      <c r="C610" t="inlineStr">
        <is>
          <t>Over the last day or two it’s become incredibly painful to swallow, so I’m not eating or drinking like I should be.
My throat is painful &amp;amp; often burning feeling, and swallowing makes it worse.
Ice cream felt a tiny bit better, cold water, I drank three gatorades hoping hydration would help, but it’s as bad as ever. I’m about to try pudding.
Any suggestions?</t>
        </is>
      </c>
      <c r="D610" t="n">
        <v>1</v>
      </c>
      <c r="E610" t="n">
        <v>5</v>
      </c>
      <c r="F610">
        <f>HYPERLINK("https://www.reddit.com/r/cancer/comments/anyys0/swallowing_pain/")</f>
        <v/>
      </c>
      <c r="G610" t="inlineStr">
        <is>
          <t>2019-02-06 18:42:10</t>
        </is>
      </c>
      <c r="H610" t="inlineStr"/>
    </row>
    <row r="611">
      <c r="A611" t="inlineStr">
        <is>
          <t>anz8f7</t>
        </is>
      </c>
      <c r="B611" t="inlineStr">
        <is>
          <t>🎗The SOTU went Gold for Childhood Cancer and I never thought we would see this day!🎗</t>
        </is>
      </c>
      <c r="C611" t="inlineStr">
        <is>
          <t>I don’t know what the world walked away with after watching the President of the United States at the State of the Union, but it was one of the greatest things I ever watched.  When my son was 2 years old he was diagnosed with a childhood specific form of cancer.  He lost a kidney, it spread to his lungs, and underwent surgeries, chemotherapy, and radiation as treatment.  I cannot express what it’s like to watch your child battle this awful disease, it’s just the most horrific thing.  As you make the decisions to provide them a life saving option, if you removed the good of it, it would just be torture.  
My son beat his cancer and is living a normal life, with bad teeth from chemotherapy, and a terrible fear of needles.. and we hope that’s all he deals with.  Since he was first able to, we did walk after walk, fundraiser after fundraiser to do what we could to raise money for research so no child would face what he had or worse.  We are tied in tight to the Childhood Cancer community, we have seen so many of our friend’s children pass from the disease after fighting so hard.  The treatments for childhood cancer are decades beyond decades old, underfunded research, and nothing to society in lighting the Empire State Building Gold over during Childhood Cancer Awareness month in September.  
Last night though, the world heard it!  The world heard the same thing parents across the Childhood Cancer community have been saying for decades, they heard what we walk for, what we run for, why we beg our friends, neighbors, and strangers for money. Tonight from the highest office of the United States government, the world heard the goal of wanting to eliminate Childhood Cancer!! Backed with a $500 Million promise to fund research for better treatments, options, and hopefully a cure over the next 10 years. 
I don’t care of the political opinions, the opposition, the nay sayers. The world heard our children’s struggles and they heard the need for more help. The Childhood Cancer community was heard by the world.  It’s a start, and I can only pray it fuels a moment that finds a cure to this terrible disease.  That no child has to suffer, no parent loses their child, and that no child suffers the effects of chemotherapy and radiation treatments in the future.  
I don’t know what everyone else took from the State of the Union, to be honest I don’t care.  All I know right now is there is more hope for kids fighting Childhood Cancer. 🎗</t>
        </is>
      </c>
      <c r="D611" t="n">
        <v>1</v>
      </c>
      <c r="E611" t="n">
        <v>14</v>
      </c>
      <c r="F611">
        <f>HYPERLINK("https://www.reddit.com/r/cancer/comments/anz8f7/the_sotu_went_gold_for_childhood_cancer_and_i/")</f>
        <v/>
      </c>
      <c r="G611" t="inlineStr">
        <is>
          <t>2019-02-06 19:10:48</t>
        </is>
      </c>
      <c r="H611" t="inlineStr"/>
    </row>
    <row r="612">
      <c r="A612" t="inlineStr">
        <is>
          <t>ao0za3</t>
        </is>
      </c>
      <c r="B612" t="inlineStr">
        <is>
          <t>Partner do's &amp;amp; dont's</t>
        </is>
      </c>
      <c r="C612" t="inlineStr">
        <is>
          <t>Hi all, I \[25F\] have been with my \[27F\] partner for almost two years and we just found out several weeks ago, after her brain tumor was resected, that instead of a grade II tumor she has a grade III anaplastic astrocytoma. She is starting fertility preservation for the next several weeks and radiation immediately after, then chemo a month after that's finished. Things are moving so quickly and she has barely had the time to process what is going on for her. I'm feeling similarly.
&amp;amp;#x200B;
I know almost nothing about cancer, especially living with it. I know things are going to get harder from here, way more than I can imagine, and I want her to feel my love and support for her throughout this process. I love her so much and want to marry her when the time is right.
What are your tips for being a supportive and helpful partner? I'm in the counseling field so I'm fairly good at the listening and empathy part, but I know there's so much more to learn. Thoughts? Tips? Do's and dont's? Thanks in advance :)</t>
        </is>
      </c>
      <c r="D612" t="n">
        <v>1</v>
      </c>
      <c r="E612" t="n">
        <v>13</v>
      </c>
      <c r="F612">
        <f>HYPERLINK("https://www.reddit.com/r/cancer/comments/ao0za3/partner_dos_donts/")</f>
        <v/>
      </c>
      <c r="G612" t="inlineStr">
        <is>
          <t>2019-02-06 22:40:51</t>
        </is>
      </c>
      <c r="H612" t="inlineStr"/>
    </row>
    <row r="613">
      <c r="A613" t="inlineStr">
        <is>
          <t>ao138j</t>
        </is>
      </c>
      <c r="B613" t="inlineStr">
        <is>
          <t>Nivolumab tablet online | Apple pharmaceuticals</t>
        </is>
      </c>
      <c r="C613" t="inlineStr">
        <is>
          <t xml:space="preserve">[Nivolumab](http://anti-cancer-drugs.com/nivolumab.php) is the generic name for the trade drug name Opdivo, For the treatment of patients with metastatic non-small cell lung cancer (NSCLC) with progression on or after platinum-based chemotherapy </t>
        </is>
      </c>
      <c r="D613" t="n">
        <v>1</v>
      </c>
      <c r="E613" t="n">
        <v>0</v>
      </c>
      <c r="F613">
        <f>HYPERLINK("https://www.reddit.com/r/cancer/comments/ao138j/nivolumab_tablet_online_apple_pharmaceuticals/")</f>
        <v/>
      </c>
      <c r="G613" t="inlineStr">
        <is>
          <t>2019-02-06 22:56:33</t>
        </is>
      </c>
      <c r="H613" t="inlineStr"/>
    </row>
    <row r="614">
      <c r="A614" t="inlineStr">
        <is>
          <t>ao1xcl</t>
        </is>
      </c>
      <c r="B614" t="inlineStr">
        <is>
          <t>How to support a cousin who’s losing everyone to cancer?</t>
        </is>
      </c>
      <c r="C614" t="inlineStr">
        <is>
          <t>- his dad (my uncle) had liver cancer surgically resected a few months ago. He’s recently started having issues with memory and motor ability though. The brain scan is scheduled next week, with doctors suspecting brain mets.
- his mother (my aunt) had a mastectomy + radiation treatment to get rid of breast cancer a few months ago. It got picked up early, but she’s recently had to get a biopsy because of some suspicious skin spots near the cancer site. Not promising.
- his wife, and mother of his two children, has been diagnosed with a very aggressive form of breast cancer. She’s had surgery and is now on a second cycle of chemo, before going into radiation.
How do I even support a guy whose life is getting ripped apart by cancer on so many fronts? 
Fuck cancer!!</t>
        </is>
      </c>
      <c r="D614" t="n">
        <v>1</v>
      </c>
      <c r="E614" t="n">
        <v>2</v>
      </c>
      <c r="F614">
        <f>HYPERLINK("https://www.reddit.com/r/cancer/comments/ao1xcl/how_to_support_a_cousin_whos_losing_everyone_to/")</f>
        <v/>
      </c>
      <c r="G614" t="inlineStr">
        <is>
          <t>2019-02-07 01:11:58</t>
        </is>
      </c>
      <c r="H614" t="inlineStr"/>
    </row>
    <row r="615">
      <c r="A615" t="inlineStr">
        <is>
          <t>ao3l2i</t>
        </is>
      </c>
      <c r="B615" t="inlineStr">
        <is>
          <t>Feeling Helpless and lost, MIL diagnosed with Stage 4 Uterine Cancer</t>
        </is>
      </c>
      <c r="C615" t="inlineStr">
        <is>
          <t>My Mother in law was diagnosed 1 week ago yesterday with Serous Adenocarcinoma of the Uterus.  It is aggressive and there is a very low survival rate.  Yesterday she had surgery and while inside, the doctor found tumors everywhere in her abdomen, he had to take her spleen and some intestine.  He also found tumors on the liver and many in the surrounding tissue.  He informed us that there was also another type of uterine cancer present, another very rare and very aggressive type.  
I can't imagine what my wife is going through, she is shattered.  I can't imagine how scared my mother in law is.  I can't imagine what my father in law is feeling.
I don't know what to do.  The feeling of helplessness is infinite.  When my wife got home last night after the surgery we cried for hours.
  She doesn't want to die, she's not ready, we're not ready, and all I can think about is that our 9 month old daughter may never know her grandma.  
I don't know if I'm looking for coping strategies, or just wanted to look for a sense of community.  I don't know anything and I'm scared.</t>
        </is>
      </c>
      <c r="D615" t="n">
        <v>1</v>
      </c>
      <c r="E615" t="n">
        <v>5</v>
      </c>
      <c r="F615">
        <f>HYPERLINK("https://www.reddit.com/r/cancer/comments/ao3l2i/feeling_helpless_and_lost_mil_diagnosed_with/")</f>
        <v/>
      </c>
      <c r="G615" t="inlineStr">
        <is>
          <t>2019-02-07 05:12:18</t>
        </is>
      </c>
      <c r="H615" t="inlineStr"/>
    </row>
    <row r="616">
      <c r="A616" t="inlineStr">
        <is>
          <t>ao41xa</t>
        </is>
      </c>
      <c r="B616" t="inlineStr">
        <is>
          <t>Insurance: deductible vs. Total Out of Pocket Expenses?</t>
        </is>
      </c>
      <c r="C616" t="inlineStr">
        <is>
          <t>So what is the game that the insurance companies are playing with my Deductible vs. Total Out of Pocket Expenses?</t>
        </is>
      </c>
      <c r="D616" t="n">
        <v>1</v>
      </c>
      <c r="E616" t="n">
        <v>5</v>
      </c>
      <c r="F616">
        <f>HYPERLINK("https://www.reddit.com/r/cancer/comments/ao41xa/insurance_deductible_vs_total_out_of_pocket/")</f>
        <v/>
      </c>
      <c r="G616" t="inlineStr">
        <is>
          <t>2019-02-07 06:05:36</t>
        </is>
      </c>
      <c r="H616" t="inlineStr"/>
    </row>
    <row r="617">
      <c r="A617" t="inlineStr">
        <is>
          <t>ao5ca3</t>
        </is>
      </c>
      <c r="B617" t="inlineStr">
        <is>
          <t>Mom’s breast cancer has spread</t>
        </is>
      </c>
      <c r="C617" t="inlineStr">
        <is>
          <t xml:space="preserve">My mom was diagnosed with metastatic breast cancer in November of 2016. It has gone to her bones. She has been following up regularly and up until this month, everything appeared to be going well. However, as of this last weekend it was discovered it has moved to her esophagus, as well as the lining of several of her organs. The medical staff sucked, they weren’t communicative and due to being on the cardiology floor, oncology wasn’t around much of the time. She had to have a bunch of fluid removed from her heart and lungs, so right now she can’t start treatment. She’s back home, but is likely going to have to get a feeding tube due to the inability to eat much outside of ensure and other liquid-like foods. 
I’m feeling really scared and lonely. I’m an only child, and my parents are divorced and I don’t have a relationship with my dad. My boyfriend doesn’t seem to know how to be supportive, and my best friend lives on the opposite side of the country. My friends here are being fairly negligent. I don’t really know what to do. I am being there for my mom, but I don’t feel like I have a support for me. Today is the first day I haven’t fallen into tears on myself. 
I guess I’m coming here to talk to someone who’s going/gone through this situation. I would like to just figure out how to move through this without taking a bunch of antidepressants and anti anxiety meds. What can I do to help my mom better? When she has to go back to the hospital, what are some effective ways to get the doctors to do their jobs better? 
Thanks for the help and advice in advance. </t>
        </is>
      </c>
      <c r="D617" t="n">
        <v>1</v>
      </c>
      <c r="E617" t="n">
        <v>24</v>
      </c>
      <c r="F617">
        <f>HYPERLINK("https://www.reddit.com/r/cancer/comments/ao5ca3/moms_breast_cancer_has_spread/")</f>
        <v/>
      </c>
      <c r="G617" t="inlineStr">
        <is>
          <t>2019-02-07 08:15:12</t>
        </is>
      </c>
      <c r="H617" t="inlineStr"/>
    </row>
    <row r="618">
      <c r="A618" t="inlineStr">
        <is>
          <t>ao7ak3</t>
        </is>
      </c>
      <c r="B618" t="inlineStr">
        <is>
          <t>Can someone help clear this up for me?</t>
        </is>
      </c>
      <c r="C618" t="inlineStr">
        <is>
          <t>This is a bit of a complex story, so please just bear with me.
A month ago I went to my dermatologist for a mole on the sole of my foot, between my big and next toe.  I noticed it about a year ago, and in that time it's doubled in size.  I played it safe and got it checked. She immediately shaved off a section for biopsy (on my first visit, I was kind of surprised). They told me my results would be ready in about 2 wks.  Fast forward to the end of 2 wks, and they tell me 2-3 wks.  This week (week 4) they tell me 2-4 wks. Sigh.
Here's the weird part. I got a message on my phone that my primary care doctor has updated my patient portal site - where he keeps all my test results and diagnoses and such for me to refer to if  I need to.  So I log in, and at the bottom of the list is the new diagnosis "Basal Cell Tumor".
WTF.
Is this something for me to worry about??  Nobody called me or told me, I'm flying blind.  What do I do now?</t>
        </is>
      </c>
      <c r="D618" t="n">
        <v>1</v>
      </c>
      <c r="E618" t="n">
        <v>3</v>
      </c>
      <c r="F618">
        <f>HYPERLINK("https://www.reddit.com/r/cancer/comments/ao7ak3/can_someone_help_clear_this_up_for_me/")</f>
        <v/>
      </c>
      <c r="G618" t="inlineStr">
        <is>
          <t>2019-02-07 11:12:30</t>
        </is>
      </c>
      <c r="H618" t="inlineStr"/>
    </row>
    <row r="619">
      <c r="A619" t="inlineStr">
        <is>
          <t>ao7lxj</t>
        </is>
      </c>
      <c r="B619" t="inlineStr">
        <is>
          <t>Has anyone used there medicines?</t>
        </is>
      </c>
      <c r="C619" t="inlineStr">
        <is>
          <t>I am not sure if I'm breaking the rules, but I am looking for
curcumin - either lyposomal or in-vein.
&amp;amp;#x200B;
Any links where I can buy cheap and good one?
&amp;amp;#x200B;
Thank you!</t>
        </is>
      </c>
      <c r="D619" t="n">
        <v>1</v>
      </c>
      <c r="E619" t="n">
        <v>0</v>
      </c>
      <c r="F619">
        <f>HYPERLINK("https://www.reddit.com/r/cancer/comments/ao7lxj/has_anyone_used_there_medicines/")</f>
        <v/>
      </c>
      <c r="G619" t="inlineStr">
        <is>
          <t>2019-02-07 11:40:02</t>
        </is>
      </c>
      <c r="H619" t="inlineStr"/>
    </row>
    <row r="620">
      <c r="A620" t="inlineStr">
        <is>
          <t>ao7ty0</t>
        </is>
      </c>
      <c r="B620" t="inlineStr">
        <is>
          <t>3rd Update</t>
        </is>
      </c>
      <c r="C620" t="inlineStr">
        <is>
          <t>Quick Catch Up: Testicular cancer when I was 18, removed left testicle. Testicular cancer again at 29, removed remaining right testicle.
Went to see the Oncologist this morning and got my results and form a plan. The plan is to have 1-2 rounds of chemo. I was expecting that much. 
However, an abdominal CT scan from earlier this week showed several lesions on my pelvis and lower spine. There are a few of them ranging from 2-5 cm.
I was not expecting this news. 
Right now my Oncologist is going back to look at older CT scans to see if these have been there or are new. Once that is done they will see about a biopsy and go from there. 
So the focus right now is to see what's going on with the lesions and then move to the testicular treatment.
I've been able to deal with the TC pretty well, as stated before in earlier posts. But I'm not going to lie, I'm a little frightened of the prospect of bone cancer on top of TC. 
I know everyone here understands what this is like, so I appreciate you taking time to read this.</t>
        </is>
      </c>
      <c r="D620" t="n">
        <v>1</v>
      </c>
      <c r="E620" t="n">
        <v>2</v>
      </c>
      <c r="F620">
        <f>HYPERLINK("https://www.reddit.com/r/cancer/comments/ao7ty0/3rd_update/")</f>
        <v/>
      </c>
      <c r="G620" t="inlineStr">
        <is>
          <t>2019-02-07 11:58:58</t>
        </is>
      </c>
      <c r="H620" t="inlineStr"/>
    </row>
    <row r="621">
      <c r="A621" t="inlineStr">
        <is>
          <t>ao81o9</t>
        </is>
      </c>
      <c r="B621" t="inlineStr">
        <is>
          <t>I'm in remission!</t>
        </is>
      </c>
      <c r="C621" t="inlineStr">
        <is>
          <t>I was diagnosed with Stage IV Cervical Cancer last September.  My CT scan from last week shows no cancer - Woo Hoo! 
I have to get a PET scan in 3 weeks to be sure, but today is my final chemo infusion.  If my PET shows clean, I'll have Avastin infusions every 3 weeks for a total of 12 infusions to ensure no new cancers appear.  I am just over the moon!
FUCK CANCER</t>
        </is>
      </c>
      <c r="D621" t="n">
        <v>1</v>
      </c>
      <c r="E621" t="n">
        <v>43</v>
      </c>
      <c r="F621">
        <f>HYPERLINK("https://www.reddit.com/r/cancer/comments/ao81o9/im_in_remission/")</f>
        <v/>
      </c>
      <c r="G621" t="inlineStr">
        <is>
          <t>2019-02-07 12:17:16</t>
        </is>
      </c>
      <c r="H621" t="inlineStr"/>
    </row>
    <row r="622">
      <c r="A622" t="inlineStr">
        <is>
          <t>ao89w0</t>
        </is>
      </c>
      <c r="B622" t="inlineStr">
        <is>
          <t>My uncle’s prostate cancer spread to his bones. What can I do to help, or at least not make things worse?</t>
        </is>
      </c>
      <c r="C622" t="inlineStr">
        <is>
          <t>He has 2 family members living with him, so he isn’t alone.  He lives 600 miles away, so I can only visit maybe 1-2 weekends per month.</t>
        </is>
      </c>
      <c r="D622" t="n">
        <v>1</v>
      </c>
      <c r="E622" t="n">
        <v>0</v>
      </c>
      <c r="F622">
        <f>HYPERLINK("https://www.reddit.com/r/cancer/comments/ao89w0/my_uncles_prostate_cancer_spread_to_his_bones/")</f>
        <v/>
      </c>
      <c r="G622" t="inlineStr">
        <is>
          <t>2019-02-07 12:37:18</t>
        </is>
      </c>
      <c r="H622" t="inlineStr"/>
    </row>
    <row r="623">
      <c r="A623" t="inlineStr">
        <is>
          <t>ao8xsl</t>
        </is>
      </c>
      <c r="B623" t="inlineStr">
        <is>
          <t>How long does my Father have? (78, leukemia, chemo failed, suddenly struggling to walk)</t>
        </is>
      </c>
      <c r="C623" t="inlineStr">
        <is>
          <t xml:space="preserve">My Father has been fighting leukemia for 1.5 years, the chemo has failed the doctors say, but won't give a time to death. Anywhere from weeks to months they say. So it's looks like we're close to the end. In the past few days he's found he can barely walk, wants to stay in bed. No temperature or infection. 
Anyone know if, at this stage, he could pass in days, weeks or months? </t>
        </is>
      </c>
      <c r="D623" t="n">
        <v>1</v>
      </c>
      <c r="E623" t="n">
        <v>2</v>
      </c>
      <c r="F623">
        <f>HYPERLINK("https://www.reddit.com/r/cancer/comments/ao8xsl/how_long_does_my_father_have_78_leukemia_chemo/")</f>
        <v/>
      </c>
      <c r="G623" t="inlineStr">
        <is>
          <t>2019-02-07 13:36:03</t>
        </is>
      </c>
      <c r="H623" t="inlineStr"/>
    </row>
    <row r="624">
      <c r="A624" t="inlineStr">
        <is>
          <t>ao9brg</t>
        </is>
      </c>
      <c r="B624" t="inlineStr">
        <is>
          <t>How long for biopsy results?!?!</t>
        </is>
      </c>
      <c r="C624" t="inlineStr">
        <is>
          <t>My family member had a lymph node biopsy in groin one week ago today. Cat scan suspected lymphoma. No results yet!  Is this common?</t>
        </is>
      </c>
      <c r="D624" t="n">
        <v>1</v>
      </c>
      <c r="E624" t="n">
        <v>4</v>
      </c>
      <c r="F624">
        <f>HYPERLINK("https://www.reddit.com/r/cancer/comments/ao9brg/how_long_for_biopsy_results/")</f>
        <v/>
      </c>
      <c r="G624" t="inlineStr">
        <is>
          <t>2019-02-07 14:11:23</t>
        </is>
      </c>
      <c r="H624" t="inlineStr"/>
    </row>
    <row r="625">
      <c r="A625" t="inlineStr">
        <is>
          <t>ao9c7b</t>
        </is>
      </c>
      <c r="B625" t="inlineStr">
        <is>
          <t>By a Centemeter</t>
        </is>
      </c>
      <c r="C625" t="inlineStr">
        <is>
          <t>My recent diagnosis of Hodgkin’s Lymphoma was a shock. However, I was even more shocked to be diagnosed as Stage IV. I have recently learned that I am Stage IV by less than a centemeter. The Lymphoma spread to my hip and there is a tumor that is less than a centemeter on my hip bone. I know my cancer is one of the most treatable, so I am staying positive. These last couple of weeks have just been a shock to me.</t>
        </is>
      </c>
      <c r="D625" t="n">
        <v>1</v>
      </c>
      <c r="E625" t="n">
        <v>5</v>
      </c>
      <c r="F625">
        <f>HYPERLINK("https://www.reddit.com/r/cancer/comments/ao9c7b/by_a_centemeter/")</f>
        <v/>
      </c>
      <c r="G625" t="inlineStr">
        <is>
          <t>2019-02-07 14:12:29</t>
        </is>
      </c>
      <c r="H625" t="inlineStr"/>
    </row>
    <row r="626">
      <c r="A626" t="inlineStr">
        <is>
          <t>ao9fwt</t>
        </is>
      </c>
      <c r="B626" t="inlineStr">
        <is>
          <t>Constant fear of getting cancer at some point in my life</t>
        </is>
      </c>
      <c r="C626" t="inlineStr">
        <is>
          <t xml:space="preserve">Hey there, M/17 here and I want to talk about my fear about cancers and their silent aspect. I am really afraid of dying young because I still have a lot of dreams and I'd do everything to get it diagnosed early but here's the problem:
I'd start doing tests when I live alone but I still live at my mom's house and I feel shame when I talk about cancer woth my mom because she thinks it's so rare that it is nearly impossible that I have it but I fear throat cancer because then they take everything out there and this sound disgusting.
I'm a bit ill at the moment and I have a weird feeling in my throat and it always remembers me of cancer and that I can get throat cancer.. I don't know how to overcome my fear.
I appreciate every help I can get. </t>
        </is>
      </c>
      <c r="D626" t="n">
        <v>1</v>
      </c>
      <c r="E626" t="n">
        <v>4</v>
      </c>
      <c r="F626">
        <f>HYPERLINK("https://www.reddit.com/r/cancer/comments/ao9fwt/constant_fear_of_getting_cancer_at_some_point_in/")</f>
        <v/>
      </c>
      <c r="G626" t="inlineStr">
        <is>
          <t>2019-02-07 14:22:15</t>
        </is>
      </c>
      <c r="H626" t="inlineStr"/>
    </row>
    <row r="627">
      <c r="A627" t="inlineStr">
        <is>
          <t>ao9k72</t>
        </is>
      </c>
      <c r="B627" t="inlineStr">
        <is>
          <t>Insurance denied 3 month scans. Anyone experience this?</t>
        </is>
      </c>
      <c r="C627" t="inlineStr">
        <is>
          <t xml:space="preserve">So I wrapped up chemo in November and had end of treatment scans. Everything was good then. I have 3 month scans scheduled for later this month, but insurance denied (Aetna with the help of evicore). Literally every doctor I have ever seen has said that the first year following treatment I need scans every 3 months, then I can cut back to every 4 months the second year, and every 6 months the third year. Even the Johns Hopkins docs have said this is the process. Evicore seems to think that I only need a scan if I have symptoms, according to their denial. My onc has done a peer to peer and said she would try to appeal again. I’m getting the scan done even if I have to pay for it myself, but this has really sent my anxiety through the roof this week. Has anyone been able to navigate this? Has anyone had success getting paid back if they had to go out of pocket?  It’s within my deductible so I’d be paying anyway, I’d just like it to be reduced to the insurance rate and counted towards my out of pocket max. </t>
        </is>
      </c>
      <c r="D627" t="n">
        <v>1</v>
      </c>
      <c r="E627" t="n">
        <v>10</v>
      </c>
      <c r="F627">
        <f>HYPERLINK("https://www.reddit.com/r/cancer/comments/ao9k72/insurance_denied_3_month_scans_anyone_experience/")</f>
        <v/>
      </c>
      <c r="G627" t="inlineStr">
        <is>
          <t>2019-02-07 14:33:37</t>
        </is>
      </c>
      <c r="H627" t="inlineStr"/>
    </row>
    <row r="628">
      <c r="A628" t="inlineStr">
        <is>
          <t>aoacyf</t>
        </is>
      </c>
      <c r="B628" t="inlineStr">
        <is>
          <t>CAR-T CELL PHANTOM PAINS. ANYONE?</t>
        </is>
      </c>
      <c r="C628" t="inlineStr">
        <is>
          <t>CAR-T Cell therapy is so new so finding others that have had it is somewhat challenging. I have DLBC NHL and I have consistently had abdominal and groin aches where my cancer previously was/is after treatment. However, my first scan one month out showed significant improvement  of my overall cancer locations. I asked my oncologist why I keep having these aches and she mentioned some studies have showed patients have phantom pains. Has anyone else ever been told this or had the same aches that I have been dealing with. Aches really start to screw with your head after awhile...smh.</t>
        </is>
      </c>
      <c r="D628" t="n">
        <v>1</v>
      </c>
      <c r="E628" t="n">
        <v>1</v>
      </c>
      <c r="F628">
        <f>HYPERLINK("https://www.reddit.com/r/cancer/comments/aoacyf/cart_cell_phantom_pains_anyone/")</f>
        <v/>
      </c>
      <c r="G628" t="inlineStr">
        <is>
          <t>2019-02-07 15:52:37</t>
        </is>
      </c>
      <c r="H628" t="inlineStr"/>
    </row>
    <row r="629">
      <c r="A629" t="inlineStr">
        <is>
          <t>aoapek</t>
        </is>
      </c>
      <c r="B629" t="inlineStr">
        <is>
          <t>What item(s) did you find most helpful during your treatment process or recovery period?</t>
        </is>
      </c>
      <c r="C629" t="inlineStr">
        <is>
          <t>Hello everyone. I work for a physician who has recently been diagnosed with breast cancer and will be going out for surgery next week. The office is going to have a breakfast for her and put together a recovery basket to use while she is out. Would you recommend anything specific that could make things maybe a little easier for her, or provide a distraction?</t>
        </is>
      </c>
      <c r="D629" t="n">
        <v>1</v>
      </c>
      <c r="E629" t="n">
        <v>3</v>
      </c>
      <c r="F629">
        <f>HYPERLINK("https://www.reddit.com/r/cancer/comments/aoapek/what_items_did_you_find_most_helpful_during_your/")</f>
        <v/>
      </c>
      <c r="G629" t="inlineStr">
        <is>
          <t>2019-02-07 16:27:27</t>
        </is>
      </c>
      <c r="H629" t="inlineStr"/>
    </row>
    <row r="630">
      <c r="A630" t="inlineStr">
        <is>
          <t>aoarrv</t>
        </is>
      </c>
      <c r="B630" t="inlineStr">
        <is>
          <t>How long does my father can live ?</t>
        </is>
      </c>
      <c r="C630" t="inlineStr">
        <is>
          <t xml:space="preserve">Can someone please give me some estimation time ? My dad was diagnosed last year with esophageal cancer and last week i saw that he is in Stage IV with metastasis to lung . He tries his best to keep everything hidden from me but i found out . While I understand his decision this thing kills me on the inside , i don't have the doctor phone number otherwise i would have gone to talk with her , i am going through terrible times and i want to know please </t>
        </is>
      </c>
      <c r="D630" t="n">
        <v>1</v>
      </c>
      <c r="E630" t="n">
        <v>2</v>
      </c>
      <c r="F630">
        <f>HYPERLINK("https://www.reddit.com/r/cancer/comments/aoarrv/how_long_does_my_father_can_live/")</f>
        <v/>
      </c>
      <c r="G630" t="inlineStr">
        <is>
          <t>2019-02-07 16:34:22</t>
        </is>
      </c>
      <c r="H630" t="inlineStr"/>
    </row>
    <row r="631">
      <c r="A631" t="inlineStr">
        <is>
          <t>aob1zl</t>
        </is>
      </c>
      <c r="B631" t="inlineStr">
        <is>
          <t>Leukemia and Lymphoma Society Firefighter Stairclimb</t>
        </is>
      </c>
      <c r="C631" t="inlineStr">
        <is>
          <t xml:space="preserve"> What's up reddit! I am a long time lurker on here and a first time poster... so here it goes.
&amp;amp;#x200B;
My name is Ethan Blood. I am a Firefighter Paramedic for the San Bernardino County Fire Department in Southern California. This year, on a team with several of my coworkers, I am participating in the Leukemia and Lymphoma Society Firefighter Stairclimb fundraising event in Seattle, WA. The Event takes place on March 10th. I will be raising funds throughout the season in the name of funding and finding a cure. This cause hits especially close to home to me and my department brothers and sisters due to one of our own having a very young son who has been afflicted with this terrible disease. Please consider making a donation to not only help me achieve my personal fundraising goal, but to benefit patients and their families everywhere.   
**What is the LLS Firefighter Stairclimb?**  
The LLS Firefighter Stairclimb is the world's largest on-air stair climb competition, and annual fundraiser held at the tallest building in town, the Columbia Center. All 2,000 participants are career or volunteer firefighters who will climb up the second tallest skyscraper west of the Mississippi in full turnout gear, weighing over 50 pounds, while on-air. Throughout the 69 flights of stairs, 1,356 steps, and 788 ft. of vertical elevation gain, we all remember that every step forward is representative of moving closer to a cure. Although this is an extreme test of physical endurance, it pales in comparison to what blood cancer patients endure. All proceeds raised directly benefit The Leukemia &amp;amp; Lymphoma Society, and since its inception in 1991, this event has raised over $17 million thus far.
Thank you for your time, consideration, and sincere generosity. We climb because beating cancer is in our blood. 
&amp;amp;#x200B;
This link will direct you to the official Leukemia and Lymphoma Society web page and will provide you with further information on the event, as well as show you how you can lend your support to me and thousands of other firefighters from across the country. Thank you for your support!
&amp;amp;#x200B;
Yours in service,
&amp;amp;#x200B;
Ethan Blood
&amp;amp;#x200B;
[http://www.llswa.org/site/TR/LLSWA/llswaFF?px=1881874&amp;amp;pg=personal&amp;amp;fr\_id=1620](http://www.llswa.org/site/TR/LLSWA/llswaFF?px=1881874&amp;amp;pg=personal&amp;amp;fr_id=1620)</t>
        </is>
      </c>
      <c r="D631" t="n">
        <v>1</v>
      </c>
      <c r="E631" t="n">
        <v>1</v>
      </c>
      <c r="F631">
        <f>HYPERLINK("https://www.reddit.com/r/cancer/comments/aob1zl/leukemia_and_lymphoma_society_firefighter/")</f>
        <v/>
      </c>
      <c r="G631" t="inlineStr">
        <is>
          <t>2019-02-07 17:05:29</t>
        </is>
      </c>
      <c r="H631" t="inlineStr"/>
    </row>
    <row r="632">
      <c r="A632" t="inlineStr">
        <is>
          <t>aobesb</t>
        </is>
      </c>
      <c r="B632" t="inlineStr">
        <is>
          <t>What aids sleeping with liver cancer</t>
        </is>
      </c>
      <c r="C632" t="inlineStr">
        <is>
          <t xml:space="preserve"> My grandad is currently going through hell because he has cancer of the liver, lung and colon. He complains that he can't get sleep because when he lies down he has this weird sensation and it gets worse and makes him feel like he has to stand up. Is there anything to help with this? The doctors have tried sleeping medication but to our luck has no effect. He needs sleep big time and it's starting to make him weaker and recently he's contracted a cold and has this horrible cough. So if anyone has any similar experiences or any tips with this sort of thing, I would greatly appreciate it if you could share them and I could relay them back to my grandad. Thank you.</t>
        </is>
      </c>
      <c r="D632" t="n">
        <v>1</v>
      </c>
      <c r="E632" t="n">
        <v>4</v>
      </c>
      <c r="F632">
        <f>HYPERLINK("https://www.reddit.com/r/cancer/comments/aobesb/what_aids_sleeping_with_liver_cancer/")</f>
        <v/>
      </c>
      <c r="G632" t="inlineStr">
        <is>
          <t>2019-02-07 17:45:37</t>
        </is>
      </c>
      <c r="H632" t="inlineStr"/>
    </row>
    <row r="633">
      <c r="A633" t="inlineStr">
        <is>
          <t>aobs8m</t>
        </is>
      </c>
      <c r="B633" t="inlineStr">
        <is>
          <t>My husband lost his battle to cancer on Sunday.</t>
        </is>
      </c>
      <c r="C633" t="inlineStr">
        <is>
          <t>He had stage 4 colon cancer met to the lymph nodes. He didn’t even make it a year. Radiation first. Killed his appetite. Never had any luck with chemo. Was in and out of the hospital for almost the whole year. Lost over a hundred pounds and couldn’t eat. I’m so heartbroken. Cancer sucks! He was only 48 years old. 😢💔</t>
        </is>
      </c>
      <c r="D633" t="n">
        <v>1</v>
      </c>
      <c r="E633" t="n">
        <v>24</v>
      </c>
      <c r="F633">
        <f>HYPERLINK("https://www.reddit.com/r/cancer/comments/aobs8m/my_husband_lost_his_battle_to_cancer_on_sunday/")</f>
        <v/>
      </c>
      <c r="G633" t="inlineStr">
        <is>
          <t>2019-02-07 18:26:46</t>
        </is>
      </c>
      <c r="H633" t="inlineStr"/>
    </row>
    <row r="634">
      <c r="A634" t="inlineStr">
        <is>
          <t>aoc4ai</t>
        </is>
      </c>
      <c r="B634" t="inlineStr">
        <is>
          <t>First Reddit post, prostate cancer survival questions.</t>
        </is>
      </c>
      <c r="C634" t="inlineStr">
        <is>
          <t>Gonna be short cause of all the trauma Ive been through since finding out. Had radical prostectomy, radiation and 2 1/2 years of hormone therapy. Also had colon cancer resection operation considered successful. 
Anyway, due quality of life issues with hormone therapy, I stopped treatment last December, 2018. Since then I have not really come back to any assemblence of my former self since treatment started other than about a decrease of 10 percent of join pain.
My question is, has anyone else had extended side effects after Lupron treatment had stopped in which oncologist is stumped by the fact that your not back to normal after a year, or is he covering his ass like it's some surprise that your not responding like every other patient he treated? My joints and muscles pain have yet to recover, Ive lost major muscle tone that doesn't seem to want to come back and ED is non stop. I'm 53 btw.</t>
        </is>
      </c>
      <c r="D634" t="n">
        <v>1</v>
      </c>
      <c r="E634" t="n">
        <v>0</v>
      </c>
      <c r="F634">
        <f>HYPERLINK("https://www.reddit.com/r/cancer/comments/aoc4ai/first_reddit_post_prostate_cancer_survival/")</f>
        <v/>
      </c>
      <c r="G634" t="inlineStr">
        <is>
          <t>2019-02-07 19:04:25</t>
        </is>
      </c>
      <c r="H634" t="inlineStr"/>
    </row>
    <row r="635">
      <c r="A635" t="inlineStr">
        <is>
          <t>aod0oq</t>
        </is>
      </c>
      <c r="B635" t="inlineStr">
        <is>
          <t>Help me advocate for my mom! Tips for first post metastasis appointment with Oncologist.</t>
        </is>
      </c>
      <c r="C635" t="inlineStr">
        <is>
          <t xml:space="preserve">Looking for some tips! My mom was diagnosed with Transitional Cell Carcinoma (urothileal cell carcinoma) and had a nephrectomy in October. She was having some side pain and her oncologist said it couldn’t be metastasis after reviewing an imaging study but unfortunately it appears as though it has metastasized into her abdominal wall.
I’m looking for tips about our first appointment with the oncologist after finding out that it’s metastasized. 
She’s never had chemo or radiation. 
What questions should I ask? 
In reading online I’m seeing that it’s rare for urothileal cell carcinoma to metastasis into the abdominal wall so any tips about how I can make sure I’m advocating for my mom to the best of my ability would be a huge help!
TLDR: Moms got cancer. Please let me know how I can best advocate for her and maximize the minutes we get with her oncologist. </t>
        </is>
      </c>
      <c r="D635" t="n">
        <v>1</v>
      </c>
      <c r="E635" t="n">
        <v>0</v>
      </c>
      <c r="F635">
        <f>HYPERLINK("https://www.reddit.com/r/cancer/comments/aod0oq/help_me_advocate_for_my_mom_tips_for_first_post/")</f>
        <v/>
      </c>
      <c r="G635" t="inlineStr">
        <is>
          <t>2019-02-07 20:51:26</t>
        </is>
      </c>
      <c r="H635" t="inlineStr"/>
    </row>
    <row r="636">
      <c r="A636" t="inlineStr">
        <is>
          <t>aod3zj</t>
        </is>
      </c>
      <c r="B636" t="inlineStr">
        <is>
          <t>Tips for meeting with Oncologist?</t>
        </is>
      </c>
      <c r="C636" t="inlineStr">
        <is>
          <t>Looking for some tips! My mom was diagnosed with Transitional Cell Carcinoma (urothileal cell carcinoma) and had a nephrectomy in October. 
The doctor thought that would be the end of the cancer so he didn’t really spend much time with us. Had some side pain, her oncologist said it couldn’t be metastasis after reviewing an imaging study but unfortunately it appears as though it has metastasized into her abdominal wall.  
I’m looking for tips about our first appointment with the oncologist after finding out that it’s metastasized.  She’s never had chemo or radiation.  What questions should I ask?  What should I expect?
In reading online I’m seeing that it’s rare for urothileal cell carcinoma to metastasis into the abdominal wall so any tips about how I can make sure I’m advocating for my mom to the best of my ability would be a huge help!  
TLDR: Moms got cancer. Please let me know how I can best advocate for her and maximize the minutes we get with her oncologist</t>
        </is>
      </c>
      <c r="D636" t="n">
        <v>1</v>
      </c>
      <c r="E636" t="n">
        <v>8</v>
      </c>
      <c r="F636">
        <f>HYPERLINK("https://www.reddit.com/r/cancer/comments/aod3zj/tips_for_meeting_with_oncologist/")</f>
        <v/>
      </c>
      <c r="G636" t="inlineStr">
        <is>
          <t>2019-02-07 21:02:45</t>
        </is>
      </c>
      <c r="H636" t="inlineStr"/>
    </row>
    <row r="637">
      <c r="A637" t="inlineStr">
        <is>
          <t>aod68e</t>
        </is>
      </c>
      <c r="B637" t="inlineStr">
        <is>
          <t>My dads wake is today</t>
        </is>
      </c>
      <c r="C637" t="inlineStr">
        <is>
          <t>I think it’s finally kicking in that my dad is officially gone. I can’t sleep at all.
He passed away last week from stage 3 multiple myeloma.
My family and I are leaving at 7am to go back to his home town to see him. I can’t breathe.</t>
        </is>
      </c>
      <c r="D637" t="n">
        <v>1</v>
      </c>
      <c r="E637" t="n">
        <v>4</v>
      </c>
      <c r="F637">
        <f>HYPERLINK("https://www.reddit.com/r/cancer/comments/aod68e/my_dads_wake_is_today/")</f>
        <v/>
      </c>
      <c r="G637" t="inlineStr">
        <is>
          <t>2019-02-07 21:10:28</t>
        </is>
      </c>
      <c r="H637" t="inlineStr"/>
    </row>
    <row r="638">
      <c r="A638" t="inlineStr">
        <is>
          <t>aodh8y</t>
        </is>
      </c>
      <c r="B638" t="inlineStr">
        <is>
          <t>What’s an appropriate gift to get for a survivor who just finished chemo or found out they’re in remission?</t>
        </is>
      </c>
      <c r="C638" t="inlineStr">
        <is>
          <t>I understand the journey never ends and cancer will always be there lurking, but all battles won should have some celebration in this fight, what are appropriate gifts or things to do for loved ones in this lifelong fight?</t>
        </is>
      </c>
      <c r="D638" t="n">
        <v>1</v>
      </c>
      <c r="E638" t="n">
        <v>11</v>
      </c>
      <c r="F638">
        <f>HYPERLINK("https://www.reddit.com/r/cancer/comments/aodh8y/whats_an_appropriate_gift_to_get_for_a_survivor/")</f>
        <v/>
      </c>
      <c r="G638" t="inlineStr">
        <is>
          <t>2019-02-07 21:49:12</t>
        </is>
      </c>
      <c r="H638" t="inlineStr"/>
    </row>
    <row r="639">
      <c r="A639" t="inlineStr">
        <is>
          <t>aoent5</t>
        </is>
      </c>
      <c r="B639" t="inlineStr">
        <is>
          <t>Partner just had first post treatment MRI, awaiting our follow up appointment. He is terrified.</t>
        </is>
      </c>
      <c r="C639" t="inlineStr">
        <is>
          <t>Hi everyone,
Long time lurker - grateful for these forums in helping provide invaluable information and insight.
Just to keep it quick/not too rambling a post - I am the partner of a cancer patient - Male, late 50's, diagnosed with Squamous Cell Anal Cancer last year. We've been through 6 weeks of radical chemo and radiotherapy. His Oncologist said there was a 75% chance they would get all of the tumour just through this treatment but possibility of surgery if not. He's just had his MRI scan and we are due to have our follow up appointment next Friday to see how the treatment has gone.
Yesterday he openly admitted to me he was terrified - which is very unlike him as he is usually quite reluctant to talk about being frightened. In particular he's terrified about the possibility of surgery if there is still some of the tumour in tact.  Just wondering if anyone had any advice as to how I can best support him during this frightening time, and if there was anything that any of your partners did that you really found helpful? Obviously I am there for him as I was through the treatment but just wondering what you all found most helpful.
Huge thanks for any help and insight in advance.
&amp;amp;#x200B;</t>
        </is>
      </c>
      <c r="D639" t="n">
        <v>1</v>
      </c>
      <c r="E639" t="n">
        <v>4</v>
      </c>
      <c r="F639">
        <f>HYPERLINK("https://www.reddit.com/r/cancer/comments/aoent5/partner_just_had_first_post_treatment_mri/")</f>
        <v/>
      </c>
      <c r="G639" t="inlineStr">
        <is>
          <t>2019-02-08 00:49:53</t>
        </is>
      </c>
      <c r="H639" t="inlineStr"/>
    </row>
    <row r="640">
      <c r="A640" t="inlineStr">
        <is>
          <t>aof14q</t>
        </is>
      </c>
      <c r="B640" t="inlineStr">
        <is>
          <t>ABVD</t>
        </is>
      </c>
      <c r="C640" t="inlineStr">
        <is>
          <t xml:space="preserve">So I was recently diagnosed with Hodgkin's Lymphoma (stage IIa) and started the ABVD regimen; with chemotherapy being administered once every two weeks. I was wondering about the possible effects on the immune system; and as to when exactly my immune system would be weakest. Is it advisable to go out of the house during this period? For context I am 19, and have had few health problems apart from this. </t>
        </is>
      </c>
      <c r="D640" t="n">
        <v>1</v>
      </c>
      <c r="E640" t="n">
        <v>3</v>
      </c>
      <c r="F640">
        <f>HYPERLINK("https://www.reddit.com/r/cancer/comments/aof14q/abvd/")</f>
        <v/>
      </c>
      <c r="G640" t="inlineStr">
        <is>
          <t>2019-02-08 01:53:48</t>
        </is>
      </c>
      <c r="H640" t="inlineStr"/>
    </row>
    <row r="641">
      <c r="A641" t="inlineStr">
        <is>
          <t>aogo4g</t>
        </is>
      </c>
      <c r="B641" t="inlineStr">
        <is>
          <t>My boyfriend passed away. Share any heartwarming stories.</t>
        </is>
      </c>
      <c r="C641" t="inlineStr">
        <is>
          <t xml:space="preserve">  My boyfriend passed away yesterday from brain cancer. 
Instead of being sad, I’m trying to remember the funniest and best times of him. For instance, he was so surprised when he found out ancient penguins were as tall and heavy as he is, and exclaimed, “I need to fight one of those!”
&amp;amp;#x200B;
It might’ve been a “had to be there” moment.
&amp;amp;#x200B;
At any rate, he was so clever and quick, smart as a whip, fast-talking and sometimes depressed. He would ask if he was messed up because he sometimes had darker thoughts. I would hug him and remind him how amazing and special he was. Not just to me, either, but to everyone that met him. We played D&amp;amp;D, and he was a video game nerd. His friends told me he had a special talent for finding the best games. He knew a lot about weaponry and owned a few swords. He had a few collectibles, too. Never opened them. He liked to preserve things. He’s an incredibly gentle soul.
&amp;amp;#x200B;
Some of his friends and I had ribs yesterday - one of his favourite foods. 
&amp;amp;#x200B;
To any of you going through this, or have loved ones going through this: do you have any special stories you’d like to share? </t>
        </is>
      </c>
      <c r="D641" t="n">
        <v>1</v>
      </c>
      <c r="E641" t="n">
        <v>21</v>
      </c>
      <c r="F641">
        <f>HYPERLINK("https://www.reddit.com/r/cancer/comments/aogo4g/my_boyfriend_passed_away_share_any_heartwarming/")</f>
        <v/>
      </c>
      <c r="G641" t="inlineStr">
        <is>
          <t>2019-02-08 05:48:29</t>
        </is>
      </c>
      <c r="H641" t="inlineStr"/>
    </row>
    <row r="642">
      <c r="A642" t="inlineStr">
        <is>
          <t>aoi1v7</t>
        </is>
      </c>
      <c r="B642" t="inlineStr">
        <is>
          <t>End Stage Cancer Symptoms Timeline - MedfaW</t>
        </is>
      </c>
      <c r="C642" t="inlineStr">
        <is>
          <t xml:space="preserve"> [End-stage cancer symptoms timeline](https://www.medfaw.com/end-stage-cancer-symptoms-timeline.html) may include many apparent symptoms of dying. Which you may see in your loved ones at its end stages. These symptoms are visible you have to deal with your loved ones very carefully .you have to clearly understand their condition and show them love instead of getting irritated from them. </t>
        </is>
      </c>
      <c r="D642" t="n">
        <v>1</v>
      </c>
      <c r="E642" t="n">
        <v>0</v>
      </c>
      <c r="F642">
        <f>HYPERLINK("https://www.reddit.com/r/cancer/comments/aoi1v7/end_stage_cancer_symptoms_timeline_medfaw/")</f>
        <v/>
      </c>
      <c r="G642" t="inlineStr">
        <is>
          <t>2019-02-08 08:13:57</t>
        </is>
      </c>
      <c r="H642" t="inlineStr"/>
    </row>
    <row r="643">
      <c r="A643" t="inlineStr">
        <is>
          <t>aoigh0</t>
        </is>
      </c>
      <c r="B643" t="inlineStr">
        <is>
          <t>Can Liver Damage Be Reversed? - MedfaW</t>
        </is>
      </c>
      <c r="C643" t="inlineStr">
        <is>
          <t xml:space="preserve"> 
**Following foods are very good for liver repair.**
* Coffee is the best beverages you can drink to promote your liver health
* Tea
* Grapefruit
* Blueberries and Cranberries
* Grapes
* Prickly Pear
* Beetroot Juice
* Cruciferous Vegetables
* Nuts
* Fatty fish</t>
        </is>
      </c>
      <c r="D643" t="n">
        <v>1</v>
      </c>
      <c r="E643" t="n">
        <v>2</v>
      </c>
      <c r="F643">
        <f>HYPERLINK("https://www.reddit.com/r/cancer/comments/aoigh0/can_liver_damage_be_reversed_medfaw/")</f>
        <v/>
      </c>
      <c r="G643" t="inlineStr">
        <is>
          <t>2019-02-08 08:52:36</t>
        </is>
      </c>
      <c r="H643" t="inlineStr"/>
    </row>
    <row r="644">
      <c r="A644" t="inlineStr">
        <is>
          <t>aokt94</t>
        </is>
      </c>
      <c r="B644" t="inlineStr">
        <is>
          <t>How often do you get your port flushed?</t>
        </is>
      </c>
      <c r="C644" t="inlineStr">
        <is>
          <t>I've seen anywhere from 4-12 weeks. Is there an optimal time frame?</t>
        </is>
      </c>
      <c r="D644" t="n">
        <v>1</v>
      </c>
      <c r="E644" t="n">
        <v>5</v>
      </c>
      <c r="F644">
        <f>HYPERLINK("https://www.reddit.com/r/cancer/comments/aokt94/how_often_do_you_get_your_port_flushed/")</f>
        <v/>
      </c>
      <c r="G644" t="inlineStr">
        <is>
          <t>2019-02-08 12:37:50</t>
        </is>
      </c>
      <c r="H644" t="inlineStr"/>
    </row>
    <row r="645">
      <c r="A645" t="inlineStr">
        <is>
          <t>aol08v</t>
        </is>
      </c>
      <c r="B645" t="inlineStr">
        <is>
          <t>Entering the caregiving role</t>
        </is>
      </c>
      <c r="C645" t="inlineStr">
        <is>
          <t>My Dad was diagnosed with primary liver cancer last week. We met with the Interventional Radiologist today and we are going to try the radioactive embolization. The Dr explained that this is palliative care in hopes that it won’t spread as my Dad does not qualify for surgery or a transplant.
I am feeling a bit overwhelmed as my Mom died 7 years ago and my brother lives out of state so I will be handling all the appointments, etc.. I am just praying I can help him make the right decisions as needed. I will take one day and appointment at a time.
Thx for listening..</t>
        </is>
      </c>
      <c r="D645" t="n">
        <v>1</v>
      </c>
      <c r="E645" t="n">
        <v>3</v>
      </c>
      <c r="F645">
        <f>HYPERLINK("https://www.reddit.com/r/cancer/comments/aol08v/entering_the_caregiving_role/")</f>
        <v/>
      </c>
      <c r="G645" t="inlineStr">
        <is>
          <t>2019-02-08 12:56:49</t>
        </is>
      </c>
      <c r="H645" t="inlineStr"/>
    </row>
    <row r="646">
      <c r="A646" t="inlineStr">
        <is>
          <t>aolt2u</t>
        </is>
      </c>
      <c r="B646" t="inlineStr">
        <is>
          <t>Cisplatin, you suck.</t>
        </is>
      </c>
      <c r="C646" t="inlineStr">
        <is>
          <t xml:space="preserve">
I’m having a crappy day and just need to vent somewhere that someone else will understand. 
Started Cisplatin for the first time yesterday. I haven’t had to deal with nausea as a side effect in quite a while and I forgot how much it sucks. 
Anyone have any good tried and true remedies for this awful feeling? </t>
        </is>
      </c>
      <c r="D646" t="n">
        <v>1</v>
      </c>
      <c r="E646" t="n">
        <v>6</v>
      </c>
      <c r="F646">
        <f>HYPERLINK("https://www.reddit.com/r/cancer/comments/aolt2u/cisplatin_you_suck/")</f>
        <v/>
      </c>
      <c r="G646" t="inlineStr">
        <is>
          <t>2019-02-08 14:16:02</t>
        </is>
      </c>
      <c r="H646" t="inlineStr"/>
    </row>
    <row r="647">
      <c r="A647" t="inlineStr">
        <is>
          <t>aom3fu</t>
        </is>
      </c>
      <c r="B647" t="inlineStr">
        <is>
          <t>How do you deal with chemo's side effects?</t>
        </is>
      </c>
      <c r="C647" t="inlineStr">
        <is>
          <t>I have been diagnosed with Osteosarcoma, and started Chemotherapy two days ago.
I cant imagine how people deal with this for years on end.
I cant eat, I want to puke, I have nothing to puke, not even stomach acid.
Every joint of my body hurts, walking hurts, i have no energy.
How do you deal with this? Its almost an uncanny feeling all the time.</t>
        </is>
      </c>
      <c r="D647" t="n">
        <v>1</v>
      </c>
      <c r="E647" t="n">
        <v>11</v>
      </c>
      <c r="F647">
        <f>HYPERLINK("https://www.reddit.com/r/cancer/comments/aom3fu/how_do_you_deal_with_chemos_side_effects/")</f>
        <v/>
      </c>
      <c r="G647" t="inlineStr">
        <is>
          <t>2019-02-08 14:45:57</t>
        </is>
      </c>
      <c r="H647" t="inlineStr"/>
    </row>
    <row r="648">
      <c r="A648" t="inlineStr">
        <is>
          <t>aom6ay</t>
        </is>
      </c>
      <c r="B648" t="inlineStr">
        <is>
          <t>final scan clear- in remission!</t>
        </is>
      </c>
      <c r="C648" t="inlineStr">
        <is>
          <t>My doctor officially cleared me a couple days ago and I had my port removed this morning, it feels so good to be able to look ahead with some degree of certainty.  I was physically isolated from all my friends for 6 months during treatment and its a relief to be going back to school and "" normalcy" as much as I can.  Pretty sure my scan was clear 2 months in and my doctor said the chance of recurrence is very low.  I only posted on here a couple times but being able to read posts by people going through some of the same shit helped me feel less alone, just wanted to say thank you and best of luck to all of you!!</t>
        </is>
      </c>
      <c r="D648" t="n">
        <v>1</v>
      </c>
      <c r="E648" t="n">
        <v>24</v>
      </c>
      <c r="F648">
        <f>HYPERLINK("https://www.reddit.com/r/cancer/comments/aom6ay/final_scan_clear_in_remission/")</f>
        <v/>
      </c>
      <c r="G648" t="inlineStr">
        <is>
          <t>2019-02-08 14:53:54</t>
        </is>
      </c>
      <c r="H648" t="inlineStr"/>
    </row>
    <row r="649">
      <c r="A649" t="inlineStr">
        <is>
          <t>aonc6m</t>
        </is>
      </c>
      <c r="B649" t="inlineStr">
        <is>
          <t>Mini-vacation ideas for someone going through chemo?</t>
        </is>
      </c>
      <c r="C649" t="inlineStr">
        <is>
          <t xml:space="preserve">Hi everyone,
I’m new here and I hope this discussion is allowed. 
A distant relative of mine was just diagnosed with stage two brain cancer and will be starting chemo in just a couple of days. 
We used to hang out when I was quite young (2-6), but didn’t remain close as he is a fair bit older than me. I’m very saddened by this diagnosis and want to do something nice for him. 
He has a young family, he’s been married for a little over a year and has a year old daughter. 
I was thinking about sending him and his wife to a nice hotel for the weekend, perhaps one with a spa. I was thinking that might be relaxing for them amongst the stress. 
I’ve never known anyone with cancer before and I don’t know what the effects of chemo might be, so I don’t know what sort of activities might be too strenuous for him. 
I would like to do this anonymously, so I don’t feel comfortable asking him what he would like (as he’ll probably tell me not to do anything for him anyway). 
Does anyone have any ideas of what might be a nice mini vacation for someone undergoing chemo? 
Thank you all. &amp;lt;3 </t>
        </is>
      </c>
      <c r="D649" t="n">
        <v>1</v>
      </c>
      <c r="E649" t="n">
        <v>4</v>
      </c>
      <c r="F649">
        <f>HYPERLINK("https://www.reddit.com/r/cancer/comments/aonc6m/minivacation_ideas_for_someone_going_through_chemo/")</f>
        <v/>
      </c>
      <c r="G649" t="inlineStr">
        <is>
          <t>2019-02-08 17:00:02</t>
        </is>
      </c>
      <c r="H649" t="inlineStr"/>
    </row>
    <row r="650">
      <c r="A650" t="inlineStr">
        <is>
          <t>aondwx</t>
        </is>
      </c>
      <c r="B650" t="inlineStr">
        <is>
          <t>Tendon Issues Post Chemo</t>
        </is>
      </c>
      <c r="C650" t="inlineStr">
        <is>
          <t>Hey Everyone, I finished my 3xBEP for testicular cancer a year and half ago and beat cancer. As I have begun to be more physically active and working more I am starting to have issues I didn't have before chemo. I work heavily on the computer using the mouse and keyboard for 8-10 hours a day. I also do a lot of paddling in the water since I like to surf for my physical activity. 
&amp;amp;#x200B;
The issue is, the more I surf and the more I work the more issues I am having with tendons in my arms. The tendons connecting the bicep and the tendons in the elbow are mainly the issue. Has anyone experience this? Are there any supplements that can help repair the tendons? Do certain types of chemo cause tendonitis?</t>
        </is>
      </c>
      <c r="D650" t="n">
        <v>1</v>
      </c>
      <c r="E650" t="n">
        <v>2</v>
      </c>
      <c r="F650">
        <f>HYPERLINK("https://www.reddit.com/r/cancer/comments/aondwx/tendon_issues_post_chemo/")</f>
        <v/>
      </c>
      <c r="G650" t="inlineStr">
        <is>
          <t>2019-02-08 17:05:41</t>
        </is>
      </c>
      <c r="H650" t="inlineStr"/>
    </row>
    <row r="651">
      <c r="A651" t="inlineStr">
        <is>
          <t>aonfwk</t>
        </is>
      </c>
      <c r="B651" t="inlineStr">
        <is>
          <t>Oncology question</t>
        </is>
      </c>
      <c r="C651" t="inlineStr">
        <is>
          <t>My dad had a physical (he's 71) and his doctor must have run some tests that include a prostate cancer screen. The numbers "didn't look great" (I don't have the actual numbers--my dad is very private about medical things). Since then, they've run other tests to check for metastasis to bones and lungs but haven't actually biopsied his prostate. That procedure is scheduled for next week. Are they just not bothering because they feel confident that it's prostate cancer? Why check for metastasis before even having a cancer diagnosis? Any input would be great.</t>
        </is>
      </c>
      <c r="D651" t="n">
        <v>1</v>
      </c>
      <c r="E651" t="n">
        <v>2</v>
      </c>
      <c r="F651">
        <f>HYPERLINK("https://www.reddit.com/r/cancer/comments/aonfwk/oncology_question/")</f>
        <v/>
      </c>
      <c r="G651" t="inlineStr">
        <is>
          <t>2019-02-08 17:11:58</t>
        </is>
      </c>
      <c r="H651" t="inlineStr"/>
    </row>
    <row r="652">
      <c r="A652" t="inlineStr">
        <is>
          <t>aoohpb</t>
        </is>
      </c>
      <c r="B652" t="inlineStr">
        <is>
          <t>My dad is in the living room in the dying process as I type this</t>
        </is>
      </c>
      <c r="C652" t="inlineStr">
        <is>
          <t xml:space="preserve">My dad (50) was diagnosed with stage four colon cancer in August of 2017. He went through chemo treatments (I know one was 5FU, wearing the pump), and that got his CEA levels down a ton. Things were looking up. He ended up getting a scan, and they found 7 tumors all over his liver. On the left and right side. His surgeon was planning on removing 70% of his liver, letting it grow back, and then removing the remaining tumors. When he went in for surgery, they found that the tumors were too close to the veins. And if they cut those out, he would of died. So the surgery was cancelled. Next step, radiation. He did Y90, and had a really bad reaction. His body couldn’t handle it. They did another CEA scan, and his levels went from the 50s to the 200s. It went in an extreme downward spiral. His liver was failing. His oncologist gave him 3-6 months in December. On Sunday he called me to work on the cars, and on Monday at 2 am he texted me that he didn’t know how much longer he could hold on, and that he loved me. Now, there’s a nurse in the living room 24/7. He’s in his hospital bed, asleep, waking up ever so often confused and not making sense. He can’t really open his eyes. He’s swollen everywhere. And he really has one foot in this world, and the other in the next. I’m 21 years old, and I’m about to lose my best friend. I’m really scared and really overwhelmed and I’m just venting right now. But honestly, fuck cancer. </t>
        </is>
      </c>
      <c r="D652" t="n">
        <v>1</v>
      </c>
      <c r="E652" t="n">
        <v>28</v>
      </c>
      <c r="F652">
        <f>HYPERLINK("https://www.reddit.com/r/cancer/comments/aoohpb/my_dad_is_in_the_living_room_in_the_dying_process/")</f>
        <v/>
      </c>
      <c r="G652" t="inlineStr">
        <is>
          <t>2019-02-08 19:24:16</t>
        </is>
      </c>
      <c r="H652" t="inlineStr"/>
    </row>
    <row r="653">
      <c r="A653" t="inlineStr">
        <is>
          <t>aoot1f</t>
        </is>
      </c>
      <c r="B653" t="inlineStr">
        <is>
          <t>Need Advice, My Dad Has Cancer</t>
        </is>
      </c>
      <c r="C653" t="inlineStr">
        <is>
          <t>So as the title states my dad has cancer, its aggressive but they caught it early and they said he has a good chance of beating it with chemo. Thing is, after his first round of chemo he doesn't want to eat or drink water or get out of bed. The doctors tell him he needs to eat and he needs to be more active but he wont listen, the past few days hes been eating barely anything and doesn't even make an effort to go to the bathroom so he wears diapers (doctors say he shouldnt be doing this). I dont want to think hes given up, but hes getting less and less active everyday. The doctors all said my dad was a picture of health before starting chemo and he was very much able and would work on his cars and run daily before his diagnosis. Any advice on what I can do to get him active and eating?</t>
        </is>
      </c>
      <c r="D653" t="n">
        <v>1</v>
      </c>
      <c r="E653" t="n">
        <v>5</v>
      </c>
      <c r="F653">
        <f>HYPERLINK("https://www.reddit.com/r/cancer/comments/aoot1f/need_advice_my_dad_has_cancer/")</f>
        <v/>
      </c>
      <c r="G653" t="inlineStr">
        <is>
          <t>2019-02-08 20:04:56</t>
        </is>
      </c>
      <c r="H653" t="inlineStr"/>
    </row>
    <row r="654">
      <c r="A654" t="inlineStr">
        <is>
          <t>aopgxq</t>
        </is>
      </c>
      <c r="B654" t="inlineStr">
        <is>
          <t>Hey y’all</t>
        </is>
      </c>
      <c r="C654" t="inlineStr">
        <is>
          <t>I felt I should give u guys an update on my moms situation. A few days ago (Wednesday 2/6/19) she passed. It’s been a rollercoaster of emotions, and has felt like it’s been weeks. Please leave any coping advice below, it would be much appreciated :^)</t>
        </is>
      </c>
      <c r="D654" t="n">
        <v>1</v>
      </c>
      <c r="E654" t="n">
        <v>3</v>
      </c>
      <c r="F654">
        <f>HYPERLINK("https://www.reddit.com/r/cancer/comments/aopgxq/hey_yall/")</f>
        <v/>
      </c>
      <c r="G654" t="inlineStr">
        <is>
          <t>2019-02-08 21:35:31</t>
        </is>
      </c>
      <c r="H654" t="inlineStr"/>
    </row>
    <row r="655">
      <c r="A655" t="inlineStr">
        <is>
          <t>aopmyu</t>
        </is>
      </c>
      <c r="B655" t="inlineStr">
        <is>
          <t>Metastatic cancer, diabetes, and traumatic brain injury</t>
        </is>
      </c>
      <c r="C655" t="inlineStr">
        <is>
          <t xml:space="preserve">As the title says, my dad is not in the best state. The fact that he’s alive is a miracle. If you were to meet him, you’d never know. But I know. And I see his struggles every day. He forgets the simplest things, like how to work his seatbelt. It kills me, because he’s the smartest guy I know. Every day I worry about how much time he has left. What he can see me accomplish. I don’t know what to do. 
He’s fine now, but how long will this last.
</t>
        </is>
      </c>
      <c r="D655" t="n">
        <v>1</v>
      </c>
      <c r="E655" t="n">
        <v>3</v>
      </c>
      <c r="F655">
        <f>HYPERLINK("https://www.reddit.com/r/cancer/comments/aopmyu/metastatic_cancer_diabetes_and_traumatic_brain/")</f>
        <v/>
      </c>
      <c r="G655" t="inlineStr">
        <is>
          <t>2019-02-08 22:00:27</t>
        </is>
      </c>
      <c r="H655" t="inlineStr"/>
    </row>
    <row r="656">
      <c r="A656" t="inlineStr">
        <is>
          <t>aoq9s3</t>
        </is>
      </c>
      <c r="B656" t="inlineStr">
        <is>
          <t>Self-care for caregivers?</t>
        </is>
      </c>
      <c r="C656" t="inlineStr">
        <is>
          <t xml:space="preserve">I've been caring for my spouse, who has Stage IV pancreatic cancer, since last summer. Helper her through a painful biopsy, two types of chemo, and the resulting side effects. She's on FOLFIRINOX now, which we're hoping will buy us about another year... but six months in, I'm already drained. Not only from the physical care she needs, but the emotional support as well. Need to do something soon before the engine sputters.
Any suggestions on how to recharge or prevent burning out? </t>
        </is>
      </c>
      <c r="D656" t="n">
        <v>1</v>
      </c>
      <c r="E656" t="n">
        <v>3</v>
      </c>
      <c r="F656">
        <f>HYPERLINK("https://www.reddit.com/r/cancer/comments/aoq9s3/selfcare_for_caregivers/")</f>
        <v/>
      </c>
      <c r="G656" t="inlineStr">
        <is>
          <t>2019-02-08 23:40:38</t>
        </is>
      </c>
      <c r="H656" t="inlineStr"/>
    </row>
    <row r="657">
      <c r="A657" t="inlineStr">
        <is>
          <t>aoqsxq</t>
        </is>
      </c>
      <c r="B657" t="inlineStr">
        <is>
          <t>Nivolumab (Opdivo &amp;amp; Opdyta) Injection Online - uses, side effects, dosage and cost</t>
        </is>
      </c>
      <c r="C657" t="inlineStr">
        <is>
          <t xml:space="preserve">[Nivolumab Injection](https://blueberrypharma.com/nivolumab.php) is the generic name for the trade drug name Opdivo.To learn Nivolumab uses, side effects, dosage and cost @ Blueberry pharmaceuticals </t>
        </is>
      </c>
      <c r="D657" t="n">
        <v>1</v>
      </c>
      <c r="E657" t="n">
        <v>0</v>
      </c>
      <c r="F657">
        <f>HYPERLINK("https://www.reddit.com/r/cancer/comments/aoqsxq/nivolumab_opdivo_opdyta_injection_online_uses/")</f>
        <v/>
      </c>
      <c r="G657" t="inlineStr">
        <is>
          <t>2019-02-09 01:16:55</t>
        </is>
      </c>
      <c r="H657" t="inlineStr"/>
    </row>
    <row r="658">
      <c r="A658" t="inlineStr">
        <is>
          <t>aor52z</t>
        </is>
      </c>
      <c r="B658" t="inlineStr">
        <is>
          <t>Cure for Cancer?</t>
        </is>
      </c>
      <c r="C658" t="inlineStr">
        <is>
          <t>I am the youngest of 5 siblings. My 2nd Eldest brother was diagnosed with Stage 4 Terminal Brain Cancer on April 20th 2014. He was enrolled in active service for our nation's defense force's. He was drug free until he was in recovery from surgery. The opioids could not suppress the immense pain he felt when his symptoms flared up. His ability to walk steadily faded. His memory faded, His speech faded. All at once. On February 6th (The Birthday of my 3rd eldest brother) 2019 at 5:20 PM it tore from the back of his brain until it consumed His entire brain. His Heart carried on for 10 more minutes. He donated his Brain to science in Hopes the research they accomplished through him could find a cure. Research on administering organic foreign chemicals unfamiliar and familiar to the brain is being conducted in countries overseas.</t>
        </is>
      </c>
      <c r="D658" t="n">
        <v>1</v>
      </c>
      <c r="E658" t="n">
        <v>1</v>
      </c>
      <c r="F658">
        <f>HYPERLINK("https://www.reddit.com/r/cancer/comments/aor52z/cure_for_cancer/")</f>
        <v/>
      </c>
      <c r="G658" t="inlineStr">
        <is>
          <t>2019-02-09 02:18:35</t>
        </is>
      </c>
      <c r="H658" t="inlineStr"/>
    </row>
    <row r="659">
      <c r="A659" t="inlineStr">
        <is>
          <t>aorj1p</t>
        </is>
      </c>
      <c r="B659" t="inlineStr">
        <is>
          <t>I need your views urgently!!!!!</t>
        </is>
      </c>
      <c r="C659" t="inlineStr">
        <is>
          <t>My moms chemo starts in 2 days and i was reading about alternate natural methods to cure cancer and came across this book called the big cancer lie and I don’t know whether it’s real or not would be helpful if I got some of your views on this</t>
        </is>
      </c>
      <c r="D659" t="n">
        <v>1</v>
      </c>
      <c r="E659" t="n">
        <v>15</v>
      </c>
      <c r="F659">
        <f>HYPERLINK("https://www.reddit.com/r/cancer/comments/aorj1p/i_need_your_views_urgently/")</f>
        <v/>
      </c>
      <c r="G659" t="inlineStr">
        <is>
          <t>2019-02-09 03:23:17</t>
        </is>
      </c>
      <c r="H659" t="inlineStr"/>
    </row>
    <row r="660">
      <c r="A660" t="inlineStr">
        <is>
          <t>aot3gy</t>
        </is>
      </c>
      <c r="B660" t="inlineStr">
        <is>
          <t>What does skin cancer feel like and how do you make it feel better/more comfortable?</t>
        </is>
      </c>
      <c r="C660" t="inlineStr">
        <is>
          <t xml:space="preserve">Hi all,
I hope it's okay that I post this here, since it's technically regarding my cat. She was recently diagnosed with skin cancer (squamous cell carcinoma) on her lower belly and one leg. 
She is turning 16 this year and has been extremely healthy up to this point, so it's hard for my husband and I to watch her discomfort. She has several open ulcers, lots of scabs, and one section where it looks like her skin is just detaching (sorry if that's too graphic). It's pretty large since unfortunately we tried everything before finally getting a biopsy done about a month ago, and it initially started on her leg in September 2018. 
She has been on prednisolone for almost three weeks and the inflammation has really gone down, but she still tries to lick it so I assume it's either itchy or painful. She lets us touch it without any problems, so I'm guessing the former... It's pretty hot to the touch. 
I guess my question for any of those who have SCC skin cancer or know someone who does: can someone explain what it feels like and what you could do other than regular treatment to stop the itching and/or pain? I know some things you do may not be useful for a cat, but I just want to at least understand how she feels so I can help her feel more comfortable and maybe adapt some methods you guys do to suit her. Thank you in advance! </t>
        </is>
      </c>
      <c r="D660" t="n">
        <v>1</v>
      </c>
      <c r="E660" t="n">
        <v>24</v>
      </c>
      <c r="F660">
        <f>HYPERLINK("https://www.reddit.com/r/cancer/comments/aot3gy/what_does_skin_cancer_feel_like_and_how_do_you/")</f>
        <v/>
      </c>
      <c r="G660" t="inlineStr">
        <is>
          <t>2019-02-09 07:09:15</t>
        </is>
      </c>
      <c r="H660" t="inlineStr"/>
    </row>
    <row r="661">
      <c r="A661" t="inlineStr">
        <is>
          <t>aot3pu</t>
        </is>
      </c>
      <c r="B661" t="inlineStr">
        <is>
          <t>Hair loss?</t>
        </is>
      </c>
      <c r="C661" t="inlineStr">
        <is>
          <t xml:space="preserve">Hello all,
First off, I want to extend my thoughts and prayers and sympathy out to all of you in here personally dealing with cancer and to anybody else here who is finding information for somebody they know with cancer. Stay strong and keep fighting
Has anyone else experienced hair loss and/or thinning after a major surgery? I'm assuming it's a combination of the stress on my body as I recover and a mess of all the meds I was on. How long did it take for your hair to get back to normal or what natural remedies did you use? I'm trying to stay away from hair products ridden with chemicals so I don't want to use Rogaine.
I'm 28 yo female and just went through surgery a few weeks ago for stage 2 squamous cell carcinoma tumor on the right side of my tongue (HPV negative).
They removed about half of my tongue and used a skin graft with muscle from my wrist and sutured it to the healthy part of my tongue. They also removed some lymph nodes from the left and right side of my neck which were all negative so no need for radiation or chemo!! When people ask me what happened I tell a fun story of how a shark bit my arm and my neck is because Frankenstein is my husband haha. 
All jokes aside, I have experienced some major hair loss/thinning and it's still happening. Especially after my shower I will keep pulling strands and strands of hair out without any effort. Help me!! 
</t>
        </is>
      </c>
      <c r="D661" t="n">
        <v>1</v>
      </c>
      <c r="E661" t="n">
        <v>5</v>
      </c>
      <c r="F661">
        <f>HYPERLINK("https://www.reddit.com/r/cancer/comments/aot3pu/hair_loss/")</f>
        <v/>
      </c>
      <c r="G661" t="inlineStr">
        <is>
          <t>2019-02-09 07:10:06</t>
        </is>
      </c>
      <c r="H661" t="inlineStr"/>
    </row>
    <row r="662">
      <c r="A662" t="inlineStr">
        <is>
          <t>aot57d</t>
        </is>
      </c>
      <c r="B662" t="inlineStr">
        <is>
          <t>It was a good day!</t>
        </is>
      </c>
      <c r="C662" t="inlineStr">
        <is>
          <t>Well more like a good week. My thrush is gone! The sore that was found on my other tonsil was just from thrush not cancer. I have decent pain meds and I am looking at pain management. Another week with no peg tube. It's been good.  
https://youtu.be/h4UqMyldS7Q</t>
        </is>
      </c>
      <c r="D662" t="n">
        <v>1</v>
      </c>
      <c r="E662" t="n">
        <v>0</v>
      </c>
      <c r="F662">
        <f>HYPERLINK("https://www.reddit.com/r/cancer/comments/aot57d/it_was_a_good_day/")</f>
        <v/>
      </c>
      <c r="G662" t="inlineStr">
        <is>
          <t>2019-02-09 07:15:12</t>
        </is>
      </c>
      <c r="H662" t="inlineStr"/>
    </row>
    <row r="663">
      <c r="A663" t="inlineStr">
        <is>
          <t>aota3n</t>
        </is>
      </c>
      <c r="B663" t="inlineStr">
        <is>
          <t>Help to deal with severe panic attacks</t>
        </is>
      </c>
      <c r="C663" t="inlineStr">
        <is>
          <t>My parents are both going through chemo at the moment. One has a history of anxiety attacks and the chemo is causing depression and mental breakdowns. How can I help console them during this crying episodes. They keep coming in waves throughout the day and it’s taking a toll on them.</t>
        </is>
      </c>
      <c r="D663" t="n">
        <v>1</v>
      </c>
      <c r="E663" t="n">
        <v>3</v>
      </c>
      <c r="F663">
        <f>HYPERLINK("https://www.reddit.com/r/cancer/comments/aota3n/help_to_deal_with_severe_panic_attacks/")</f>
        <v/>
      </c>
      <c r="G663" t="inlineStr">
        <is>
          <t>2019-02-09 07:31:23</t>
        </is>
      </c>
      <c r="H663" t="inlineStr"/>
    </row>
    <row r="664">
      <c r="A664" t="inlineStr">
        <is>
          <t>aotdyx</t>
        </is>
      </c>
      <c r="B664" t="inlineStr">
        <is>
          <t>Cherish every moment with your loved ones. You never know when you may lose them</t>
        </is>
      </c>
      <c r="C664" t="inlineStr">
        <is>
          <t>My mom was diagnosed with leiomyosarcoma about 5 years ago.  We found out in the worst way.  To make a long story short(er).  6 years ago she fell and broke a couple ribs.  Got them X-ray’d to confirm they were broken.  Fast forward 2 years.  She goes to the doctor for a routine visit, the doctor says “so did you get the lump on your liver checked out?”  My mom had no idea what the doc was talking about.  Someone saw tumors in her x-day from 2 years ago, wrote in her file that she had a tumor, and they never told her.  Obviously finding out she had a tumor she got it looked at.  Turns out it’s Leiomyosarcoma, a rare and VERY aggressive soft tissue cancer.  Fast forward a month.  She gets a surgery to remove the tumor.  Get a call a couple weeks later, the docs say she’s cancer free!  Get a call a couple weeks later, “we’re sorry ma’am but we made a mistake., you’re not cancer free.  The cancer has already spread to your lympyh nodes we need to start chemo immediately”.  Another surgery to remove lymph nodes.  We’re sorry it’s already spread to multiple organs.  She fought bravely for another 2 years and passed away Feb 12 2018.  Her first anniversary is coming up and it’s killing me
Moral of my long story is that you need to be thankful for every moment you have with your loved ones.  You never know when it will be taken away</t>
        </is>
      </c>
      <c r="D664" t="n">
        <v>1</v>
      </c>
      <c r="E664" t="n">
        <v>12</v>
      </c>
      <c r="F664">
        <f>HYPERLINK("https://www.reddit.com/r/cancer/comments/aotdyx/cherish_every_moment_with_your_loved_ones_you/")</f>
        <v/>
      </c>
      <c r="G664" t="inlineStr">
        <is>
          <t>2019-02-09 07:43:50</t>
        </is>
      </c>
      <c r="H664" t="inlineStr"/>
    </row>
    <row r="665">
      <c r="A665" t="inlineStr">
        <is>
          <t>aou8ml</t>
        </is>
      </c>
      <c r="B665" t="inlineStr">
        <is>
          <t>Supporting Family after Terminal Cancer Diagnosis</t>
        </is>
      </c>
      <c r="C665" t="inlineStr">
        <is>
          <t xml:space="preserve">My brother in law was diagnosed with colon cancer initially in 2014. He beat it, and he did his yearly scans, one came back with a small blip on it, but we were assured it wasn't cancer. When his next scan up, it was definitely cancer, and it was pressing on his kidneys. Started Chemo, and went through the process of getting it to shrink so it could be removed. It wouldn't shrink. So he did radiation, got to a hopeful place from the scans that it looked like it could be removed. Thursday, they went in for surgery. This wasn't going to be easy surgery, the cancer was dead but in a lot of his organs, but clear of his abdominal wall according to scans. However when they went in, it was on his abdominal wall. They cancelled the surgery, and have given him 1-2 years. 
He's married to my childhood best friend, he has three kids, two sisters and two brothers. I just need to know how to best support them. I've tried googling, and it mostly comes up with telling kids about cancer or being the primary support for someone who has terminal cancer (which are very important topics, don't get me wrong) but how do I support my husband who is losing his little brother? How do I help his sister who's world is falling apart at this news? His kids screaming and begging for him to not die.
I obviously can't do anything directly about the cancer, I can't fix the big problem, what can I do? Is there even anything to do? My husband has been depressive in the past (as a teen, before I met him) and he feels like maybe he's getting there again, but at the same time he's not sure if he's just sad because of the news. I believe in feeling sad when there's a reason for it. My brother in law saw all of us sobbing and asked why everyone was so upset. He's a great guy. 
Is there even anything to do? Most people have just said "be there." </t>
        </is>
      </c>
      <c r="D665" t="n">
        <v>1</v>
      </c>
      <c r="E665" t="n">
        <v>5</v>
      </c>
      <c r="F665">
        <f>HYPERLINK("https://www.reddit.com/r/cancer/comments/aou8ml/supporting_family_after_terminal_cancer_diagnosis/")</f>
        <v/>
      </c>
      <c r="G665" t="inlineStr">
        <is>
          <t>2019-02-09 09:13:04</t>
        </is>
      </c>
      <c r="H665" t="inlineStr"/>
    </row>
    <row r="666">
      <c r="A666" t="inlineStr">
        <is>
          <t>aowovs</t>
        </is>
      </c>
      <c r="B666" t="inlineStr">
        <is>
          <t>Relatives Trying to Convince me to Use Cannabis Oil</t>
        </is>
      </c>
      <c r="C666" t="inlineStr">
        <is>
          <t>I asked them to accompany their urging with a study. They provided me [this](https://www.ncbi.nlm.nih.gov/pubmed/21475304/). I don't know enough of this lingo to assess its validity in indicating cannabis oil for hepatocellular carcinoma. TACE and SIRTEX are futile.
Any advice is appreciated.</t>
        </is>
      </c>
      <c r="D666" t="n">
        <v>1</v>
      </c>
      <c r="E666" t="n">
        <v>26</v>
      </c>
      <c r="F666">
        <f>HYPERLINK("https://www.reddit.com/r/cancer/comments/aowovs/relatives_trying_to_convince_me_to_use_cannabis/")</f>
        <v/>
      </c>
      <c r="G666" t="inlineStr">
        <is>
          <t>2019-02-09 13:01:51</t>
        </is>
      </c>
      <c r="H666" t="inlineStr"/>
    </row>
    <row r="667">
      <c r="A667" t="inlineStr">
        <is>
          <t>aoy7uv</t>
        </is>
      </c>
      <c r="B667" t="inlineStr">
        <is>
          <t>psa still great.</t>
        </is>
      </c>
      <c r="C667" t="inlineStr">
        <is>
          <t>got diagnosed with prostate cancer 15 years ago.  had a radical, salvage radiation and everything was okay for a few years.  then it came back.  had some aggressive hormone pharma, lost all my body hair, and knocked it back.  now i am going on 4 years with no meds with no recurrence.  my oncologist says it would be very unusual for me to be cured, but he is getting pretty excited.  of course 8 to 9 hours sleep per night, an amazing diet, and many miles per week of mountain biking could be having some effect.  (when i had my recurrence, my lifestyle was shit)  so wish me luck and believe that great things can happen.  at least i am as happy as i have ever been, savoring every moment with as much joy as possible.  best of wishes to you too.</t>
        </is>
      </c>
      <c r="D667" t="n">
        <v>1</v>
      </c>
      <c r="E667" t="n">
        <v>2</v>
      </c>
      <c r="F667">
        <f>HYPERLINK("https://www.reddit.com/r/cancer/comments/aoy7uv/psa_still_great/")</f>
        <v/>
      </c>
      <c r="G667" t="inlineStr">
        <is>
          <t>2019-02-09 15:36:47</t>
        </is>
      </c>
      <c r="H667" t="inlineStr"/>
    </row>
    <row r="668">
      <c r="A668" t="inlineStr">
        <is>
          <t>aozh4u</t>
        </is>
      </c>
      <c r="B668" t="inlineStr">
        <is>
          <t>colon cancer?</t>
        </is>
      </c>
      <c r="C668" t="inlineStr">
        <is>
          <t>hey everyone, i’m sorry if this isn’t the right place to post this but i’m getting worried. 
so i have had ulcerative colitis for 7 years now, i got diagnosed when i was 12 and i am 19 now. i’ve been on tons of different medications in the past but the only one that really made a difference was a chemo pill called 6-MP. I had to stop taking it though because it ended up giving me drug induced hepatitis. after that i stopped all meds for 2 years and very recently started taking a pill called asacol that was still in my records at my PCP. i am in between GIs because i had been going to a pediatric gastro. the asacol was making my symptoms worse and their website suggested to stop taking it if that happens so i did. it’s been a couple weeks now and for the past few days i have BARELY been able to poop at all. like i’ll try but the toilet just fills with blood and some mucus. i took a laxative on the first day and had black diarrhea. nothing since even with laxatives. this is super alarming to me because i have been using the bathroom 5-10 times per day for the past 7 years of my life so this is abnormal for me. 
some other symptoms i’ve noticed are exhaustion, night sweats, dizziness and the same times every night, headaches, shortness of breath, bruises, and back pain. i’m not sure what these are but they’re relatively new from the past few months. i went to my PCP and they told me i was probably just over working myself and didn’t even ask to see my bruises. all of my blood test including CBC came back normal. (including iron which seems odd to me considering how much blood i lose daily lol)
so basically i’m wondering if anyone else had these symptoms or if they seem alarming enough to move things along? im making an appt with a new GI but it generally takes 6-8 weeks to get an appointment unless it seems more urgent. should i say something to get in faster?</t>
        </is>
      </c>
      <c r="D668" t="n">
        <v>1</v>
      </c>
      <c r="E668" t="n">
        <v>4</v>
      </c>
      <c r="F668">
        <f>HYPERLINK("https://www.reddit.com/r/cancer/comments/aozh4u/colon_cancer/")</f>
        <v/>
      </c>
      <c r="G668" t="inlineStr">
        <is>
          <t>2019-02-09 17:59:01</t>
        </is>
      </c>
      <c r="H668" t="inlineStr"/>
    </row>
    <row r="669">
      <c r="A669" t="inlineStr">
        <is>
          <t>ap1vv4</t>
        </is>
      </c>
      <c r="B669" t="inlineStr">
        <is>
          <t>Less than a year in remission....</t>
        </is>
      </c>
      <c r="C669" t="inlineStr">
        <is>
          <t>I thought I was developing scar tissue after treatment but I lost my insurance and couldn’t afford to pay out of pocket for a 3 month follow up. I finally have new insurance and was able to make it in on Friday. I’d been in so much pain these past few months. It hurts to sit, to walk, to climb stairs. I can’t wear jeans anymore. Buying a heated bidet has saved me from torture. Using my dilator is excruciating, so painful that I lose my breath and burst into tears. It feels like razor blades.
I thought the lumps must just be scar tissue and I just have the worst luck with side effects. My oncologist looked worried. Shocked. He kept saying he was concerned. They booked me for an emergency biopsy. I just lost my job. My relationship is falling apart. I don’t want to do this again.</t>
        </is>
      </c>
      <c r="D669" t="n">
        <v>1</v>
      </c>
      <c r="E669" t="n">
        <v>25</v>
      </c>
      <c r="F669">
        <f>HYPERLINK("https://www.reddit.com/r/cancer/comments/ap1vv4/less_than_a_year_in_remission/")</f>
        <v/>
      </c>
      <c r="G669" t="inlineStr">
        <is>
          <t>2019-02-09 23:32:57</t>
        </is>
      </c>
      <c r="H669" t="inlineStr"/>
    </row>
    <row r="670">
      <c r="A670" t="inlineStr">
        <is>
          <t>ap1w71</t>
        </is>
      </c>
      <c r="B670" t="inlineStr">
        <is>
          <t>supporting a recently diagnosed friend</t>
        </is>
      </c>
      <c r="C670" t="inlineStr">
        <is>
          <t>my best friend (f15) was diagnosed with stage 2 non small cell lung cancer and I (m15) really have no idea what i can do to help and support her through this i really need some advice on what i should say or do to help comfort her
any advice is greatly appreciated</t>
        </is>
      </c>
      <c r="D670" t="n">
        <v>1</v>
      </c>
      <c r="E670" t="n">
        <v>10</v>
      </c>
      <c r="F670">
        <f>HYPERLINK("https://www.reddit.com/r/cancer/comments/ap1w71/supporting_a_recently_diagnosed_friend/")</f>
        <v/>
      </c>
      <c r="G670" t="inlineStr">
        <is>
          <t>2019-02-09 23:34:32</t>
        </is>
      </c>
      <c r="H670" t="inlineStr"/>
    </row>
    <row r="671">
      <c r="A671" t="inlineStr">
        <is>
          <t>ap3vly</t>
        </is>
      </c>
      <c r="B671" t="inlineStr">
        <is>
          <t>Early detection</t>
        </is>
      </c>
      <c r="C671" t="inlineStr">
        <is>
          <t xml:space="preserve">Hi. My wife is 43 and both her parents had and surivived cancer. Combine the fact she smokes and enjoys beer.. a LOT... I assume it's almost a guarantee she is going to get cancer at some point, breast being the most likely variety, same as her mom. 
I'm unclear on my genetic potential as my mom was adopted and I've not seen my biological father for 20 years so no way to track down their medical history. 
Obviously living a healthier lifestyle will reduce the chances but my question is what kind of testing is available for early detection? Shoud this be done every year? What types of cancer do those tests cover? What can you do yourself at home?
Thank you.
</t>
        </is>
      </c>
      <c r="D671" t="n">
        <v>1</v>
      </c>
      <c r="E671" t="n">
        <v>4</v>
      </c>
      <c r="F671">
        <f>HYPERLINK("https://www.reddit.com/r/cancer/comments/ap3vly/early_detection/")</f>
        <v/>
      </c>
      <c r="G671" t="inlineStr">
        <is>
          <t>2019-02-10 05:28:15</t>
        </is>
      </c>
      <c r="H671" t="inlineStr"/>
    </row>
    <row r="672">
      <c r="A672" t="inlineStr">
        <is>
          <t>ap3xu3</t>
        </is>
      </c>
      <c r="B672" t="inlineStr">
        <is>
          <t>Is my best friend (M, 20) lying about having Testicular Cancer?</t>
        </is>
      </c>
      <c r="C672" t="inlineStr">
        <is>
          <t xml:space="preserve">Hey guys. I’ll keep this brief. Basically my mate went to the doctors with a lump on his testicle. Was mistakenly diagnosed with the wrong problem and thus given medication that didn’t work. He got a letter from the doc’s asking him to go back as he was misdiagnosed and he has told me and another mate he has cancer in his testicle. Obviously I want to believe him but my dads friend had TC and I was under the impression your testicle had to be removed and then your body zapped with radiation, chemo or left under surveillance. Therefore I don’t believe he has it as he doesn’t require these treatments? Is he lying? If he is I’ll be disgusted. 
Cheers in advance. </t>
        </is>
      </c>
      <c r="D672" t="n">
        <v>1</v>
      </c>
      <c r="E672" t="n">
        <v>6</v>
      </c>
      <c r="F672">
        <f>HYPERLINK("https://www.reddit.com/r/cancer/comments/ap3xu3/is_my_best_friend_m_20_lying_about_having/")</f>
        <v/>
      </c>
      <c r="G672" t="inlineStr">
        <is>
          <t>2019-02-10 05:36:56</t>
        </is>
      </c>
      <c r="H672" t="inlineStr"/>
    </row>
    <row r="673">
      <c r="A673" t="inlineStr">
        <is>
          <t>ap61ev</t>
        </is>
      </c>
      <c r="B673" t="inlineStr">
        <is>
          <t>Sex after cancer [NSFW]</t>
        </is>
      </c>
      <c r="C673" t="inlineStr">
        <is>
          <t xml:space="preserve">I (38/F) am about 2 years post remission from ALL and I find sex still to be difficult and just not as fun. It’s hard to orgasm but that also can be my anti-depressants side effects, though sometimes I’ll do a drug holiday and it’ll still be hard. I know I can orgasm but it takes longer than before. Also I suffer from some chronic pain in my back and legs and so one wrong turn and I can get really bad cramps that I either grin and bear or stop everything and attend to. It totally ruins the mood. Also my drive in general has gone down even though my SO is a really wonderful person. Anyone else dealing with this? Any tips on how to make things more enjoyable? </t>
        </is>
      </c>
      <c r="D673" t="n">
        <v>1</v>
      </c>
      <c r="E673" t="n">
        <v>8</v>
      </c>
      <c r="F673">
        <f>HYPERLINK("https://www.reddit.com/r/cancer/comments/ap61ev/sex_after_cancer_nsfw/")</f>
        <v/>
      </c>
      <c r="G673" t="inlineStr">
        <is>
          <t>2019-02-10 09:25:30</t>
        </is>
      </c>
      <c r="H673" t="inlineStr"/>
    </row>
    <row r="674">
      <c r="A674" t="inlineStr">
        <is>
          <t>ap71yf</t>
        </is>
      </c>
      <c r="B674" t="inlineStr">
        <is>
          <t>My mother's results came back..</t>
        </is>
      </c>
      <c r="C674" t="inlineStr">
        <is>
          <t xml:space="preserve">The news is both good and bad. My mother's result said she has a little bit of Papillary Thyroid Cancer (less than 1%).  I'm very grateful that we found this news, but I'm also scared for my mother and our family. Should I be really worried at this point? Will she survive?  I'm just scared right now. I do not want to anything to happen to my mother and my family. </t>
        </is>
      </c>
      <c r="D674" t="n">
        <v>1</v>
      </c>
      <c r="E674" t="n">
        <v>14</v>
      </c>
      <c r="F674">
        <f>HYPERLINK("https://www.reddit.com/r/cancer/comments/ap71yf/my_mothers_results_came_back/")</f>
        <v/>
      </c>
      <c r="G674" t="inlineStr">
        <is>
          <t>2019-02-10 11:02:23</t>
        </is>
      </c>
      <c r="H674" t="inlineStr"/>
    </row>
    <row r="675">
      <c r="A675" t="inlineStr">
        <is>
          <t>ap8nm4</t>
        </is>
      </c>
      <c r="B675" t="inlineStr">
        <is>
          <t>Help by donating for childrens Leukemia and Lymphoma</t>
        </is>
      </c>
      <c r="C675" t="inlineStr">
        <is>
          <t>https://events.lls.org/pages/soh/meadowdale-elementary-school-2019/RStell
untitled https://imgur.com/gallery/cTNUwjR</t>
        </is>
      </c>
      <c r="D675" t="n">
        <v>1</v>
      </c>
      <c r="E675" t="n">
        <v>0</v>
      </c>
      <c r="F675">
        <f>HYPERLINK("https://www.reddit.com/r/cancer/comments/ap8nm4/help_by_donating_for_childrens_leukemia_and/")</f>
        <v/>
      </c>
      <c r="G675" t="inlineStr">
        <is>
          <t>2019-02-10 13:28:15</t>
        </is>
      </c>
      <c r="H675" t="inlineStr"/>
    </row>
    <row r="676">
      <c r="A676" t="inlineStr">
        <is>
          <t>ap8w1e</t>
        </is>
      </c>
      <c r="B676" t="inlineStr">
        <is>
          <t>Radiation - What to expect</t>
        </is>
      </c>
      <c r="C676" t="inlineStr">
        <is>
          <t>Diagnosed with Triple Negative Breast Cancer (IDC) stage 3c (although lymph node involvement was inconclusive, and the pathology from my recent surgery came back negative on the nodes).
I met with my  radiation oncologist a few weeks back, although it was a surprise appointment, (was at the hospital for physio and surgical review after my surgery to remove the tumor and lymph nodes), so was in no way prepared for the appointment.
I am due to attend my planning appointment this afternoon...and am way more nervous about this than I was about the chemo, though no idea why.
At this stage, I believe the plan is to irradiate the tumor site in the breast, and the lymph nodes both at the mid-line/sternum, and the base of my neck.
While I understand the mechanics of it - I have no real idea what to expect with regards to side effects.
Can anyone give me some ideas on what to expect, and any tips to make dealing with the treatment and side effects easier?</t>
        </is>
      </c>
      <c r="D676" t="n">
        <v>1</v>
      </c>
      <c r="E676" t="n">
        <v>5</v>
      </c>
      <c r="F676">
        <f>HYPERLINK("https://www.reddit.com/r/cancer/comments/ap8w1e/radiation_what_to_expect/")</f>
        <v/>
      </c>
      <c r="G676" t="inlineStr">
        <is>
          <t>2019-02-10 13:50:24</t>
        </is>
      </c>
      <c r="H676" t="inlineStr"/>
    </row>
    <row r="677">
      <c r="A677" t="inlineStr">
        <is>
          <t>ap9a22</t>
        </is>
      </c>
      <c r="B677" t="inlineStr">
        <is>
          <t>My dad don’t have much time to live anymore and I want to everything to make the rest of his life as good as possible</t>
        </is>
      </c>
      <c r="C677" t="inlineStr">
        <is>
          <t>I really try everything to make him happy as possible. I am with him as much as I can and help him where I can. Do you guys have any ideas for me to give my dad a good ’rest life’? Things like buying a pet or something? Appreciate every answer of you</t>
        </is>
      </c>
      <c r="D677" t="n">
        <v>1</v>
      </c>
      <c r="E677" t="n">
        <v>7</v>
      </c>
      <c r="F677">
        <f>HYPERLINK("https://www.reddit.com/r/cancer/comments/ap9a22/my_dad_dont_have_much_time_to_live_anymore_and_i/")</f>
        <v/>
      </c>
      <c r="G677" t="inlineStr">
        <is>
          <t>2019-02-10 14:27:44</t>
        </is>
      </c>
      <c r="H677" t="inlineStr"/>
    </row>
    <row r="678">
      <c r="A678" t="inlineStr">
        <is>
          <t>apaapc</t>
        </is>
      </c>
      <c r="B678" t="inlineStr">
        <is>
          <t>Scared that I have colorectal cancer.</t>
        </is>
      </c>
      <c r="C678" t="inlineStr">
        <is>
          <t>I apologize for posting this here.  I know it isn't the right place.  But I'm in a bad spot mentally and physically, and have virtually no one I can turn to.
I am 30 years old and male. I weigh 122lbs and am 5"6.
I am 30 years old and male.  I weigh 122lbs and am 5"6. 
I've been having gut symptoms for a couple months now:
* Sometimes feel like bowels aren't completely voided, and can't push the rest out - sometimes can push out the rest later in the day.
* Thin/ribbon like stools sometimes - usually 2nd movement in the day, if I have one, is like this.
* Stool often broken up into large chunks instead of one long stool
* Undigested bits of food in stool
* Short episodes of severe shooting pain inside rectum area
* Lower left abdominal pain and discomfort.
* Nausea and dizziness
* Seem to never gain weight despite eating 2500-3000kcal a day.
* Feel very hungry much of the time, often shortly after eating. Gnawing feeling of hunger.
* Urine retention due to tight bladder neck (began around 2 years ago, diagnosed via cystoscopy in November)
* Fatigue/weakness - legs shake when walking down stairs, hands feel uncoordinated, very drowsy sometimes.
It is SO hard to get a doctor to take these symptoms seriously.  Blood and ultrasound were ok, so now I am blown off by my family doctor.  I need guidance, please tell me I'll be ok.</t>
        </is>
      </c>
      <c r="D678" t="n">
        <v>1</v>
      </c>
      <c r="E678" t="n">
        <v>23</v>
      </c>
      <c r="F678">
        <f>HYPERLINK("https://www.reddit.com/r/cancer/comments/apaapc/scared_that_i_have_colorectal_cancer/")</f>
        <v/>
      </c>
      <c r="G678" t="inlineStr">
        <is>
          <t>2019-02-10 16:13:13</t>
        </is>
      </c>
      <c r="H678" t="inlineStr"/>
    </row>
    <row r="679">
      <c r="A679" t="inlineStr">
        <is>
          <t>apat9v</t>
        </is>
      </c>
      <c r="B679" t="inlineStr">
        <is>
          <t>Difficult situation, would appreciate help from those also with incurable cancers</t>
        </is>
      </c>
      <c r="C679" t="inlineStr">
        <is>
          <t xml:space="preserve">Hey. So I've posted here a few times before. General gist is I got diagnosed with stage 4 ovarian cancer a couple months ago, aged 23. It's in my lungs and it's pretty bad. Right from the start they said that it was incurable and that I'd be getting treatment for the rest of my life. I started on a round of chemo (which was light and thus did not impact my life much at all) but a recent CT scan shows that this chemo has had little effect. There is an option of massive surgery but my surgeon only wants to do that if my life suddenly becomes at risk, it wouldn't be healing me, it'd be keeping me alive and since it'd be so intense they only want to do it if its absolutely necessary. 
So. My difficult situation. My doctors said that I could try a further round of chemo, but this would be the intense, hair-removing, highly destructive stuff that would impact my quality of life a lot. My doctor also said that this last-ditch chemo option had a less than 10% chance of actually working. It might just make my last few months extremely horrible with no reward. My other option is to do nothing and simply enjoy what time I have left, with my doctors working to alleviate pressure from symptoms. I'm currently doing pretty good so far, you wouldn't even think I'd caught a cold this past year.
I am aware that this is the sort of situation where this is no right answer. There's simply picking the option that is best for you. But I really don't know. I want to live more than anything. But chemo is terrifying, and I hate being sick, I just want to be unconscious when I don't feel good, and I wouldn't ever finish chemo and go back to my old life. It'd just be accepting being very ill as a stage of life before I die. And that's if it works. It's more likely that it won't work and I'll just add more misery onto my life before I die. But I say that and I still want to do it because I don't want to die even though I'm gonna hate life the whole time. The option of doing nothing is something I am considering, because I know I can't cheat an early death, but I find the thought of just sitting there and not doing anything to combat the illness inside me extremely difficult. I genuinely would try doing essential oils or something just as a little sanity-restoring thing if I went with that option. So far with my treatment I've been... holidaying, essentially, I've been seeing friends and watching a lot of tv and spending time with my family. I've really enjoyed this break from adult life in a weird way. I don't want to give that freedom up for chemo. I read a blog from a woman in her thirties who was diagnosed with incurable cancer, fought it with chemo a bit and got a few more years that way but eventually called it quits. The fact that she tried makes me feel like I have to try. I feel like there's this pressure on me to fight (everyone everywhere tells you to fight cancer and that's great and all but I already lost my fight guys) and it goes against a lot to just say, no, I'm not doing that. 
My one vague compromise is to do nothing, enjoy what time I have left, and when I get hospitalised or ill enough that I can't enjoy my life as I did before, then I try the chemo. Because at that point I won't be getting better no matter what I do. I kind of feel like I'm just being a coward though. Too scared to consent to the chemo that realistically will not work. But truthfully, the kind of life that a cancer patient lives - going through chemo with limited strength and no hair and a hundred horrible side-effects from treatment - I don't want to live like that. Idk. I know there isn't really a question here but it's just a bit sad. I would really appreciate hearing from others in my position or from those who are familiar with this sort of situation. The classic cancer story is "I had this disease and I fought it and I won/lost" there isn't really any discussion around people who have already lost. </t>
        </is>
      </c>
      <c r="D679" t="n">
        <v>1</v>
      </c>
      <c r="E679" t="n">
        <v>46</v>
      </c>
      <c r="F679">
        <f>HYPERLINK("https://www.reddit.com/r/cancer/comments/apat9v/difficult_situation_would_appreciate_help_from/")</f>
        <v/>
      </c>
      <c r="G679" t="inlineStr">
        <is>
          <t>2019-02-10 17:09:16</t>
        </is>
      </c>
      <c r="H679" t="inlineStr"/>
    </row>
    <row r="680">
      <c r="A680" t="inlineStr">
        <is>
          <t>apdedp</t>
        </is>
      </c>
      <c r="B680" t="inlineStr">
        <is>
          <t>How to overcome the effects of chemo brain?</t>
        </is>
      </c>
      <c r="C680" t="inlineStr">
        <is>
          <t>What are some things that you did/do to improve mental sharpness after chemotherapy? Lately I’ve been having issues with memory and staying focused on tasks, and would appreciate any tips you guys have 😊</t>
        </is>
      </c>
      <c r="D680" t="n">
        <v>1</v>
      </c>
      <c r="E680" t="n">
        <v>21</v>
      </c>
      <c r="F680">
        <f>HYPERLINK("https://www.reddit.com/r/cancer/comments/apdedp/how_to_overcome_the_effects_of_chemo_brain/")</f>
        <v/>
      </c>
      <c r="G680" t="inlineStr">
        <is>
          <t>2019-02-10 22:18:56</t>
        </is>
      </c>
      <c r="H680" t="inlineStr"/>
    </row>
    <row r="681">
      <c r="A681" t="inlineStr">
        <is>
          <t>apefyr</t>
        </is>
      </c>
      <c r="B681" t="inlineStr">
        <is>
          <t>Global Chemotherapy Devices Market to Surpass US$ 21.1 billion by 2026: Coherent Market Insights</t>
        </is>
      </c>
      <c r="C681" t="inlineStr">
        <is>
          <t xml:space="preserve"> 
**Technological advancements in cancer treatments such as chemotherapy and rising investment in cancer care are reducing the number of cancer deaths worldwide.**</t>
        </is>
      </c>
      <c r="D681" t="n">
        <v>1</v>
      </c>
      <c r="E681" t="n">
        <v>0</v>
      </c>
      <c r="F681">
        <f>HYPERLINK("https://www.reddit.com/r/cancer/comments/apefyr/global_chemotherapy_devices_market_to_surpass_us/")</f>
        <v/>
      </c>
      <c r="G681" t="inlineStr">
        <is>
          <t>2019-02-11 01:08:42</t>
        </is>
      </c>
      <c r="H681" t="inlineStr"/>
    </row>
    <row r="682">
      <c r="A682" t="inlineStr">
        <is>
          <t>apftoc</t>
        </is>
      </c>
      <c r="B682" t="inlineStr">
        <is>
          <t>My dad [58] has SSC in his mouth, invaded his jaw bone. Just looking for advice and any experience</t>
        </is>
      </c>
      <c r="C682" t="inlineStr">
        <is>
          <t xml:space="preserve">So my dad has already survived leukaemia 25years ago, I was 4 when he went into remission. Because of the experimental radiation and chemo he has then he has a very long list of problems: right ventricular brain damage, mild retinopathy, osteonecrosis, and epilepsy. Surprisingly he is in pretty good health, no fits for over 20years, he works full time, apart from pain killers he only takes thyroid tablets. 
I live at my parents with my three kiddies, there's alot of love in this house, we all adore my dad, everyone does. So far my dad has been told it's T4, he gets his CT scan results for dimensions and to see if there's any mets this week. We all know currently he has about a 30% of surviving this in 5 years, we are coping... trying to be positive but matter of fact about it all. I don't know how we will cope if it's worse news. 
I'm here for my parents, I'm there to pick up the things that get dropped, my other half is helping me too. My dad has been told that he will have a mandiblectomy with reconstruction and neck dissection and radiotherapy for 6 weeks/daily. Not sure on which one first. He is being seen at one of the best hospitals in the country (UK), I'm actually a registered nurse and so is my other half. 
We are all just abit scared and sad. 
</t>
        </is>
      </c>
      <c r="D682" t="n">
        <v>1</v>
      </c>
      <c r="E682" t="n">
        <v>2</v>
      </c>
      <c r="F682">
        <f>HYPERLINK("https://www.reddit.com/r/cancer/comments/apftoc/my_dad_58_has_ssc_in_his_mouth_invaded_his_jaw/")</f>
        <v/>
      </c>
      <c r="G682" t="inlineStr">
        <is>
          <t>2019-02-11 04:34:13</t>
        </is>
      </c>
      <c r="H682" t="inlineStr"/>
    </row>
    <row r="683">
      <c r="A683" t="inlineStr">
        <is>
          <t>aphzh4</t>
        </is>
      </c>
      <c r="B683" t="inlineStr">
        <is>
          <t>Looking for help and advice organizing a fundraiser for 33 year old friend. Stage 3 breast cancer</t>
        </is>
      </c>
      <c r="C683" t="inlineStr">
        <is>
          <t xml:space="preserve">Hi All.  Looking for any tips or tricks to help raise money for my friend. She is 33 and was diagnosed right before Christmas with stage 3 breast cancer. Her husband and I are organizing a benefit to help with costs as they live in PA and once she goes out on FMLA will have no income. Many people will be coming in from out of town so I have already thought of recommending a hotel and working out something for the  hotel donating a percentage or maybe a flat rate for the uptick I’m business. Besides silent auctions is there anything I should know? Or advice? </t>
        </is>
      </c>
      <c r="D683" t="n">
        <v>1</v>
      </c>
      <c r="E683" t="n">
        <v>1</v>
      </c>
      <c r="F683">
        <f>HYPERLINK("https://www.reddit.com/r/cancer/comments/aphzh4/looking_for_help_and_advice_organizing_a/")</f>
        <v/>
      </c>
      <c r="G683" t="inlineStr">
        <is>
          <t>2019-02-11 08:33:01</t>
        </is>
      </c>
      <c r="H683" t="inlineStr"/>
    </row>
    <row r="684">
      <c r="A684" t="inlineStr">
        <is>
          <t>api0wo</t>
        </is>
      </c>
      <c r="B684" t="inlineStr">
        <is>
          <t>Breast cancer diagnosis to treatment timeframe</t>
        </is>
      </c>
      <c r="C684" t="inlineStr">
        <is>
          <t>Hi all,
First of all, cancer is a horrible thing and I'm that any of you and your loved ones have to experience this ordeal. Prayers to all of you.
Second of all, I'm just here asking for myself and my mom who was diagnosed a few weeks ago with triple positive breast CA. CT TAP showed some hypodense lesions in the liver (too small to characterize). So essentially node negative with high risk features (4.7cm all around).
She got the Breast ultrasound on Jan 2 of this year and is currently has the staging and grading all done. It seems like they're going for a surgical approach and then adjuvant chemo.
She lives in Canada and I'm in Europe for school and we both want her here to see my graduation at the end of May. 
So, our question is...will she be able to? What are your experiences with surgery and chemo in terms of timeframe (realistically)? I know that chemo's got a lot of nasty side effects and I don't think she'll be up for a transatlantic flight/is it even safe considering risks of neutropenia, etc...
TLDR: mom's got stage IA/B triple positive breast CA with no definitive mets. Will she make it to my overseas grad at the end of May? Will she have started chemo then?
&amp;amp;#x200B;
Thanks for reading. I know treatment/timing differs depending on country, etc, and individual situation, but just wanted to get a sense so we can plan. 
&amp;amp;#x200B;
&amp;amp;#x200B;</t>
        </is>
      </c>
      <c r="D684" t="n">
        <v>1</v>
      </c>
      <c r="E684" t="n">
        <v>8</v>
      </c>
      <c r="F684">
        <f>HYPERLINK("https://www.reddit.com/r/cancer/comments/api0wo/breast_cancer_diagnosis_to_treatment_timeframe/")</f>
        <v/>
      </c>
      <c r="G684" t="inlineStr">
        <is>
          <t>2019-02-11 08:36:48</t>
        </is>
      </c>
      <c r="H684" t="inlineStr"/>
    </row>
    <row r="685">
      <c r="A685" t="inlineStr">
        <is>
          <t>apj7uc</t>
        </is>
      </c>
      <c r="B685" t="inlineStr">
        <is>
          <t>Just wanted to share my vent</t>
        </is>
      </c>
      <c r="C685" t="inlineStr">
        <is>
          <t xml:space="preserve">It’s been a bad day and I’m sorry if this is terribly depressing but I’m just incredibly angry and it’s cathartic for me to share  
You snuck into our lives
We thought it was a surprise
But really you’ve been here a while
You decided to rear your ugly head
When we were about to be wed
And despite all the love we’ve received 
It’s mostly pure grief 
Grieving for the life we had envisioned,
For the children we wanted to raise together,
For the house we cannot buy,
For the dog we’ll never walk
For the trips we cannot take
For the days we do not smile
For your dream job you cannot do
For all the laughter that has disappeared
For the days laid to waste being sick in bed
For the time lost sitting in offices getting told life altering horrific news
For the loss of intimacy
For the loss of growing old together
For the life taken that we spent 8 years building together
For the loss of some of our biggest hopes and dreams
For everything 
</t>
        </is>
      </c>
      <c r="D685" t="n">
        <v>1</v>
      </c>
      <c r="E685" t="n">
        <v>1</v>
      </c>
      <c r="F685">
        <f>HYPERLINK("https://www.reddit.com/r/cancer/comments/apj7uc/just_wanted_to_share_my_vent/")</f>
        <v/>
      </c>
      <c r="G685" t="inlineStr">
        <is>
          <t>2019-02-11 10:24:09</t>
        </is>
      </c>
      <c r="H685" t="inlineStr"/>
    </row>
    <row r="686">
      <c r="A686" t="inlineStr">
        <is>
          <t>apkwpq</t>
        </is>
      </c>
      <c r="B686" t="inlineStr">
        <is>
          <t>I’m kicking colon cancer’s ass one day at a time!</t>
        </is>
      </c>
      <c r="C686" t="inlineStr">
        <is>
          <t xml:space="preserve">I had surgery on Friday to remove the cancerous tumor from my colon. They took my bladder, uterus, cervix, the tumor, and a portion of my large intestine. I have a huge midline incision. Now a full three days later, I am feeling amazed. No more uti symptoms, no more awful blood in my urine. No cramps and no more ileostomy. I feel like I’ve been taken apart and put together as a whole other person. I have surgery aches and pains and a urostomy bag, but those are a tiny price to pay to be cancer free. 
Just wanted to say thank you for all the kind words, everyone on here has really been really awesome and mood boosting. It feels good to post something and have people who know what I’m going through. </t>
        </is>
      </c>
      <c r="D686" t="n">
        <v>4</v>
      </c>
      <c r="E686" t="n">
        <v>24</v>
      </c>
      <c r="F686">
        <f>HYPERLINK("https://www.reddit.com/r/cancer/comments/apkwpq/im_kicking_colon_cancers_ass_one_day_at_a_time/")</f>
        <v/>
      </c>
      <c r="G686" t="inlineStr">
        <is>
          <t>2019-02-11 12:56:26</t>
        </is>
      </c>
      <c r="H686" t="inlineStr"/>
    </row>
    <row r="687">
      <c r="A687" t="inlineStr">
        <is>
          <t>aplhwr</t>
        </is>
      </c>
      <c r="B687" t="inlineStr">
        <is>
          <t>Talk to me about immunotherapy...</t>
        </is>
      </c>
      <c r="C687" t="inlineStr">
        <is>
          <t>My Dad has inoperable cancer in his throat and mouth and the doctor said they want to do immunotherapy along with radiation. Anyone have experience with this?</t>
        </is>
      </c>
      <c r="D687" t="n">
        <v>1</v>
      </c>
      <c r="E687" t="n">
        <v>2</v>
      </c>
      <c r="F687">
        <f>HYPERLINK("https://www.reddit.com/r/cancer/comments/aplhwr/talk_to_me_about_immunotherapy/")</f>
        <v/>
      </c>
      <c r="G687" t="inlineStr">
        <is>
          <t>2019-02-11 13:49:08</t>
        </is>
      </c>
      <c r="H687" t="inlineStr"/>
    </row>
    <row r="688">
      <c r="A688" t="inlineStr">
        <is>
          <t>aplpgi</t>
        </is>
      </c>
      <c r="B688" t="inlineStr">
        <is>
          <t>"Dealing With Our Health Insurance Provider Has Been The Hardest Part" (Venting)</t>
        </is>
      </c>
      <c r="C688" t="inlineStr">
        <is>
          <t xml:space="preserve">My mom has said this to me a few times during her treatment, and it breaks my heart. Do we get how wild that is? A honest tax paying citizen pays an enormous monthly fee for her family plan, and they refuse to foot the bill. I ask my mom what hurts. She says her skin is raw. It hurts to move. She's physically exhausted. She doesn't like eating because she's scared of how her body will react afterwards. She's fighting for her life.  The health insurance company still isn't giving her clear answers on her payment plan.  At this point, I feel like I don't even have to tell you I'm an American because stories like these are so depressingly common. Shout-out to our lawmakers for letting our health insurance companies get away with murder. </t>
        </is>
      </c>
      <c r="D688" t="n">
        <v>1</v>
      </c>
      <c r="E688" t="n">
        <v>3</v>
      </c>
      <c r="F688">
        <f>HYPERLINK("https://www.reddit.com/r/cancer/comments/aplpgi/dealing_with_our_health_insurance_provider_has/")</f>
        <v/>
      </c>
      <c r="G688" t="inlineStr">
        <is>
          <t>2019-02-11 14:08:18</t>
        </is>
      </c>
      <c r="H688" t="inlineStr"/>
    </row>
    <row r="689">
      <c r="A689" t="inlineStr">
        <is>
          <t>apmc6f</t>
        </is>
      </c>
      <c r="B689" t="inlineStr">
        <is>
          <t>What did you never expect from cancer, I have to be left handed now.</t>
        </is>
      </c>
      <c r="C689" t="inlineStr">
        <is>
          <t>When I was first diagnosed with cancer I expected pain and suffering. I expect to be sick more often than not.  I expect tears.  I expected horrible side effects from medications.  I expected to be in debt and to have to find charities to help with the cost.   
I never expected to still be here. I never expected to be able to still be working. I never expected to get Lymphadema in my entire right arm.  In order to control it I now have to be left handed.  I work with my hands all day and now I basically have to relearn how to do my job, and my every day life.</t>
        </is>
      </c>
      <c r="D689" t="n">
        <v>1</v>
      </c>
      <c r="E689" t="n">
        <v>1</v>
      </c>
      <c r="F689">
        <f>HYPERLINK("https://www.reddit.com/r/cancer/comments/apmc6f/what_did_you_never_expect_from_cancer_i_have_to/")</f>
        <v/>
      </c>
      <c r="G689" t="inlineStr">
        <is>
          <t>2019-02-11 15:08:22</t>
        </is>
      </c>
      <c r="H689" t="inlineStr"/>
    </row>
    <row r="690">
      <c r="A690" t="inlineStr">
        <is>
          <t>apmic7</t>
        </is>
      </c>
      <c r="B690" t="inlineStr">
        <is>
          <t>My port is stubborn</t>
        </is>
      </c>
      <c r="C690" t="inlineStr">
        <is>
          <t>I just started chemo for ovarian cancer last week. We used my port 3 times and it was easy no problems each time last week. Today I only have chemo one day, today, and no blood draw from it. Is this how my treatment is going to go?</t>
        </is>
      </c>
      <c r="D690" t="n">
        <v>1</v>
      </c>
      <c r="E690" t="n">
        <v>13</v>
      </c>
      <c r="F690">
        <f>HYPERLINK("https://www.reddit.com/r/cancer/comments/apmic7/my_port_is_stubborn/")</f>
        <v/>
      </c>
      <c r="G690" t="inlineStr">
        <is>
          <t>2019-02-11 15:25:09</t>
        </is>
      </c>
      <c r="H690" t="inlineStr"/>
    </row>
    <row r="691">
      <c r="A691" t="inlineStr">
        <is>
          <t>apmuz8</t>
        </is>
      </c>
      <c r="B691" t="inlineStr">
        <is>
          <t>I just “beat” cancer. Now what?</t>
        </is>
      </c>
      <c r="C691" t="inlineStr">
        <is>
          <t>Hello! I’ve posted a few times over the past couple of months and I just need some perspective. I was diagnosed with the early stages of endometrial cancer beginning in August and by December, the hormone treatment wasn’t working. I had a hysterectomy on NYE and since then, my doctor told me I was stage 1 grade 1A and the cancer is gone. 
I know I should be excited, but honestly I just feel... I guess empty. What do I do now? What happens after the fight is over? I’m trying to go back to my normal life, but I feel like I can’t relate to anything anymore.</t>
        </is>
      </c>
      <c r="D691" t="n">
        <v>1</v>
      </c>
      <c r="E691" t="n">
        <v>3</v>
      </c>
      <c r="F691">
        <f>HYPERLINK("https://www.reddit.com/r/cancer/comments/apmuz8/i_just_beat_cancer_now_what/")</f>
        <v/>
      </c>
      <c r="G691" t="inlineStr">
        <is>
          <t>2019-02-11 16:00:35</t>
        </is>
      </c>
      <c r="H691" t="inlineStr"/>
    </row>
    <row r="692">
      <c r="A692" t="inlineStr">
        <is>
          <t>apn4gv</t>
        </is>
      </c>
      <c r="B692" t="inlineStr">
        <is>
          <t>I moved home to help take care of my dad who's dying of cancer and I'm a little lost at what to do</t>
        </is>
      </c>
      <c r="C692" t="inlineStr">
        <is>
          <t xml:space="preserve">So I (25f) was living halfway across the world when my dad got diagnosed with stage 4 cancer in his esophagus with secondaries in his hip, left leg, lung. I knew it was serious but when he told me he played it off cool, my mom had to message me and tell me it's more serious than he was telling me. My brother is a doctor and we spoke frankly, he said dad wouldn't be alive next Christmas. 
I immediately booked a flight home and was back living with them 5 weeks later. His health took a serious decline from having a "pain in his leg and trouble eating" to not being able to eat anything and not being able to leave the house without a wheelchair, in the space it took me to get home. 
He's almost done his chemo, he has 1 more session. They did a scan and it showed it's not doing anything to the main tumor around his esophagus. So I think they're plan is to change the chemo type. 
To be fair, the chemo has been working amazing for his quality of life. He can now go for 2km walks with his stroller, he can eat soft foods, he has energy. It's a huge difference to the shadow of a man at Christmas. 
But I know while on the outside he seems ok, inside there's counless tumors that are doing what cancer does best. 
So I moved home to help my parents. My dad is 65 and my mom is 64. She was exhausted by the time I moved home, they spent weeks driving up and down everyday to hospital visits. Now that he's more independent it's been easier for her. 
I do what I can. I cook the meals most days. I do the food/ clothes/ anything shopping they need. My mum tends to do most of the cleaning as she's an absolute cleaning nut. I drive to places so they can relax, have a drink etc. 
I know I'm here to help ease the workload off my mom, to help dad however I can, and spend time with him.
I feel like I'm not doing enough sometimes. My dad and I are both quite introverted in the sense we will both happily spend our evenings alone reading/ browsing tv etc. Sometimes I feel like I don't spend enough time with him and worry I'll look back and regret not sitting with him more or taking care of him better.
I've been getting government support financially while I adjusted to moving home. I took a part time job in the next city over (1-2 hours each way traffic depending). I'm finding it really hard to clear my head in terms of what I should be doing. I feel like I should be working part time to help take care of my parents. But honestly they seem to not need me around 5 days a week. I work in dog grooming and it's hard to find a full time job in my country in this area. I told my dad about the job and he seems a little dissapointed and has brought it up so many times that I need a more local job, a real career. Tonight at 11.30pm I caught him looking up jobs in our city for me, suggesting I work as a manager for a Walmart-esque company. I explained I want to stay in the animal sector and he said he understood but I really feel like I'm letting him down by not getting a "real career". I think he would love nothing more than to see me in a full time career style office job before he dies. And I'm torn between my part time dog bathing job, which isn't amazing but it's in the industry I like vs getting a job that would make my dad so so happy.
I think this post was just more therapy for me to write than anything else.... But yeah. I'm a little lost as to my life right now. It's like my brain is mush. </t>
        </is>
      </c>
      <c r="D692" t="n">
        <v>1</v>
      </c>
      <c r="E692" t="n">
        <v>2</v>
      </c>
      <c r="F692">
        <f>HYPERLINK("https://www.reddit.com/r/cancer/comments/apn4gv/i_moved_home_to_help_take_care_of_my_dad_whos/")</f>
        <v/>
      </c>
      <c r="G692" t="inlineStr">
        <is>
          <t>2019-02-11 16:27:25</t>
        </is>
      </c>
      <c r="H692" t="inlineStr"/>
    </row>
    <row r="693">
      <c r="A693" t="inlineStr">
        <is>
          <t>apnzm0</t>
        </is>
      </c>
      <c r="B693" t="inlineStr">
        <is>
          <t>Grandma being put on Tagrisso</t>
        </is>
      </c>
      <c r="C693" t="inlineStr">
        <is>
          <t xml:space="preserve">My grandma was recently diagnosed with stage 4 lung cancer. She is being put on Tagrisso because she states that her blood work came back with mutations. What does this mean? Does anyone have experience with this drug? I saw nothing about it shrinking the cancer cells only about keeping them the same size. </t>
        </is>
      </c>
      <c r="D693" t="n">
        <v>1</v>
      </c>
      <c r="E693" t="n">
        <v>1</v>
      </c>
      <c r="F693">
        <f>HYPERLINK("https://www.reddit.com/r/cancer/comments/apnzm0/grandma_being_put_on_tagrisso/")</f>
        <v/>
      </c>
      <c r="G693" t="inlineStr">
        <is>
          <t>2019-02-11 17:59:48</t>
        </is>
      </c>
      <c r="H693" t="inlineStr"/>
    </row>
    <row r="694">
      <c r="A694" t="inlineStr">
        <is>
          <t>apo8mb</t>
        </is>
      </c>
      <c r="B694" t="inlineStr">
        <is>
          <t>Drinking after someone on chemo</t>
        </is>
      </c>
      <c r="C694" t="inlineStr">
        <is>
          <t>I know this might not be the best question, but is it safe to drink after someone on chemo?</t>
        </is>
      </c>
      <c r="D694" t="n">
        <v>1</v>
      </c>
      <c r="E694" t="n">
        <v>4</v>
      </c>
      <c r="F694">
        <f>HYPERLINK("https://www.reddit.com/r/cancer/comments/apo8mb/drinking_after_someone_on_chemo/")</f>
        <v/>
      </c>
      <c r="G694" t="inlineStr">
        <is>
          <t>2019-02-11 18:26:07</t>
        </is>
      </c>
      <c r="H694" t="inlineStr"/>
    </row>
    <row r="695">
      <c r="A695" t="inlineStr">
        <is>
          <t>apoomv</t>
        </is>
      </c>
      <c r="B695" t="inlineStr">
        <is>
          <t>Cancer in the family</t>
        </is>
      </c>
      <c r="C695" t="inlineStr">
        <is>
          <t xml:space="preserve">Well I'm new here.. Obviously this my first post on here. My husband is a 30 year stage 4 cancer survivor of nasopharyngeal adenocarcinoma. A true blessing that he is alive today. He has 3 kids before being married to me ( his 1st wife passed in 2008) I have dealt for the past 2 almost 3 years of being married to him that he struggles with eating. The radiation and the chemo.. Detroyed his teeth and phlegm.His teeth are falling out. He also is almost deaf from the chemo (has hearing aides... Thank God)
. I really wish there was something I can do once he does lose his entire set of teeth.. He had beautiful teeth in high school. Struggles to eat crunchy things as he doesnt have spit to kinda not tear up his mouth. He has gone to oral surgeons and there is no real way to get his mouth back even with implants as he would have to go into a hyperbaric chamber to get possible blood flow to his jaw. 
I'm just wamt to make it easier..how does one cope seeing a loved one struggle to eat? He is such a great husband and I hate to see him in pain. </t>
        </is>
      </c>
      <c r="D695" t="n">
        <v>1</v>
      </c>
      <c r="E695" t="n">
        <v>0</v>
      </c>
      <c r="F695">
        <f>HYPERLINK("https://www.reddit.com/r/cancer/comments/apoomv/cancer_in_the_family/")</f>
        <v/>
      </c>
      <c r="G695" t="inlineStr">
        <is>
          <t>2019-02-11 19:14:24</t>
        </is>
      </c>
      <c r="H695" t="inlineStr"/>
    </row>
    <row r="696">
      <c r="A696" t="inlineStr">
        <is>
          <t>aprfsq</t>
        </is>
      </c>
      <c r="B696" t="inlineStr">
        <is>
          <t>Opdyta 40 mg |Nivolumab | Blueberry pharmaceuticals</t>
        </is>
      </c>
      <c r="C696" t="inlineStr">
        <is>
          <t>[Opdyta 40 mg](https://blueberrypharma.com/opdyta-40mg.php) belongs to a group of cancer drugs known as monoclonal antibodies. Opdyta 40mg is also known as an immune checkpoint inhibitor @ Blueberry pharmaceuticals.</t>
        </is>
      </c>
      <c r="D696" t="n">
        <v>1</v>
      </c>
      <c r="E696" t="n">
        <v>0</v>
      </c>
      <c r="F696">
        <f>HYPERLINK("https://www.reddit.com/r/cancer/comments/aprfsq/opdyta_40_mg_nivolumab_blueberry_pharmaceuticals/")</f>
        <v/>
      </c>
      <c r="G696" t="inlineStr">
        <is>
          <t>2019-02-12 01:03:18</t>
        </is>
      </c>
      <c r="H696" t="inlineStr"/>
    </row>
    <row r="697">
      <c r="A697" t="inlineStr">
        <is>
          <t>aprog1</t>
        </is>
      </c>
      <c r="B697" t="inlineStr">
        <is>
          <t>Northern California - How to get a second opinion outside Kaiser?</t>
        </is>
      </c>
      <c r="C697" t="inlineStr">
        <is>
          <t xml:space="preserve">Kaiser has refused to provide us with a referral to any outside hospital. Does anyone have any information on how to seek oncology appointments or walk-ins with other hospitals in the region like UC Davis, Sutter, etc? We'd like to perform some testing and get a second opinion on diagnosis and treatment. </t>
        </is>
      </c>
      <c r="D697" t="n">
        <v>1</v>
      </c>
      <c r="E697" t="n">
        <v>1</v>
      </c>
      <c r="F697">
        <f>HYPERLINK("https://www.reddit.com/r/cancer/comments/aprog1/northern_california_how_to_get_a_second_opinion/")</f>
        <v/>
      </c>
      <c r="G697" t="inlineStr">
        <is>
          <t>2019-02-12 01:40:38</t>
        </is>
      </c>
      <c r="H697" t="inlineStr"/>
    </row>
    <row r="698">
      <c r="A698" t="inlineStr">
        <is>
          <t>apsbxu</t>
        </is>
      </c>
      <c r="B698" t="inlineStr">
        <is>
          <t>Opdyta 100 mg |Nivolumab |Blueberry pharmaceuticals</t>
        </is>
      </c>
      <c r="C698" t="inlineStr">
        <is>
          <t xml:space="preserve">[Opdyta 100mg](https://blueberrypharma.com/opdyta-100mg.php) belongs to a group of cancer drugs known as monoclonal antibodies. Opdyta 40mg is also known as an immune checkpoint inhibitor @ Blueberry pharmaceuticals </t>
        </is>
      </c>
      <c r="D698" t="n">
        <v>1</v>
      </c>
      <c r="E698" t="n">
        <v>0</v>
      </c>
      <c r="F698">
        <f>HYPERLINK("https://www.reddit.com/r/cancer/comments/apsbxu/opdyta_100_mg_nivolumab_blueberry_pharmaceuticals/")</f>
        <v/>
      </c>
      <c r="G698" t="inlineStr">
        <is>
          <t>2019-02-12 03:17:17</t>
        </is>
      </c>
      <c r="H698" t="inlineStr"/>
    </row>
    <row r="699">
      <c r="A699" t="inlineStr">
        <is>
          <t>apsqdv</t>
        </is>
      </c>
      <c r="B699" t="inlineStr">
        <is>
          <t>Lost my Nan to pancreatic cancer 3 months ago..</t>
        </is>
      </c>
      <c r="C699" t="inlineStr">
        <is>
          <t>I still remember her energy, her laugh and her wholesome loving personality and I feel like there is a massive part of myself missing without her here. Im 24 years old and still remember her singing to me to try and get me to sleep as a very small child. Im not sure if this despair I feel at night when im alone in my bed is normal or irational but the fact is that I miss her so much it hurts. The worst part is that even though I think about her  every day and spend most nights crying I just cant seem to talk to people about it. I watched her slowly get skinnier and skinnier until one day me and all my family watched her pass away in hospital and the world felt still. I'll never forget the feeling of driving back from the hospital, I felt like my whole entire universe had stopped spinning. I would give any single thing in the world to be able to talk to her one last time, and it is soul crushing to know I will never be able to. Does it get easier? I hope so.
Rest in peace Marls, and I hope you are enjoying it up there</t>
        </is>
      </c>
      <c r="D699" t="n">
        <v>1</v>
      </c>
      <c r="E699" t="n">
        <v>0</v>
      </c>
      <c r="F699">
        <f>HYPERLINK("https://www.reddit.com/r/cancer/comments/apsqdv/lost_my_nan_to_pancreatic_cancer_3_months_ago/")</f>
        <v/>
      </c>
      <c r="G699" t="inlineStr">
        <is>
          <t>2019-02-12 04:14:21</t>
        </is>
      </c>
      <c r="H699" t="inlineStr"/>
    </row>
    <row r="700">
      <c r="A700" t="inlineStr">
        <is>
          <t>apsvxq</t>
        </is>
      </c>
      <c r="B700" t="inlineStr">
        <is>
          <t>Cancer</t>
        </is>
      </c>
      <c r="C700" t="inlineStr">
        <is>
          <t>You have cancer lol</t>
        </is>
      </c>
      <c r="D700" t="n">
        <v>1</v>
      </c>
      <c r="E700" t="n">
        <v>0</v>
      </c>
      <c r="F700">
        <f>HYPERLINK("https://www.reddit.com/r/cancer/comments/apsvxq/cancer/")</f>
        <v/>
      </c>
      <c r="G700" t="inlineStr">
        <is>
          <t>2019-02-12 04:35:37</t>
        </is>
      </c>
      <c r="H700" t="inlineStr"/>
    </row>
    <row r="701">
      <c r="A701" t="inlineStr">
        <is>
          <t>apvb71</t>
        </is>
      </c>
      <c r="B701" t="inlineStr">
        <is>
          <t>Nausea, upset stomach</t>
        </is>
      </c>
      <c r="C701" t="inlineStr">
        <is>
          <t xml:space="preserve">Ok let’s not make the title sound like a pepto commercial. I am really struggling with my nausea after starting chemo. The zofran works for a while and then I go back to feeling not sure if I’m nauseated or hungry. 
Good news though, I’m in Washington and there is an array of cannabis products available to me. My questions are, what products helped with nausea? How effective was it? How long did it help? I’m looking for anything that isn’t smoking. </t>
        </is>
      </c>
      <c r="D701" t="n">
        <v>1</v>
      </c>
      <c r="E701" t="n">
        <v>55</v>
      </c>
      <c r="F701">
        <f>HYPERLINK("https://www.reddit.com/r/cancer/comments/apvb71/nausea_upset_stomach/")</f>
        <v/>
      </c>
      <c r="G701" t="inlineStr">
        <is>
          <t>2019-02-12 08:47:10</t>
        </is>
      </c>
      <c r="H701" t="inlineStr"/>
    </row>
    <row r="702">
      <c r="A702" t="inlineStr">
        <is>
          <t>apvumx</t>
        </is>
      </c>
      <c r="B702" t="inlineStr">
        <is>
          <t>Shampoo that helps regrow hair from loss due to chemo?</t>
        </is>
      </c>
      <c r="C702" t="inlineStr">
        <is>
          <t>Does anyone have any recommendations for shampoo that stimulates hair growth due to loss from chemo? I start my chemo and radiation next week, so anything that I can start using now or after my hair starts falling out would help. I’m sure that nothing can prevent it from falling out completely, but anything will help.</t>
        </is>
      </c>
      <c r="D702" t="n">
        <v>1</v>
      </c>
      <c r="E702" t="n">
        <v>62</v>
      </c>
      <c r="F702">
        <f>HYPERLINK("https://www.reddit.com/r/cancer/comments/apvumx/shampoo_that_helps_regrow_hair_from_loss_due_to/")</f>
        <v/>
      </c>
      <c r="G702" t="inlineStr">
        <is>
          <t>2019-02-12 09:34:20</t>
        </is>
      </c>
      <c r="H702" t="inlineStr"/>
    </row>
    <row r="703">
      <c r="A703" t="inlineStr">
        <is>
          <t>apwra1</t>
        </is>
      </c>
      <c r="B703" t="inlineStr">
        <is>
          <t>I just found out my mom has Stage 1 Breast Cancer. What follows?</t>
        </is>
      </c>
      <c r="C703" t="inlineStr">
        <is>
          <t>My mom finally got her exam results and she has Stage 1 Breast Cancer, it hasn't yet spread to other parts of the body and I don't know how to feel. On one hand I feel much more calm now that I know what she has, everyone in my family is... ok with the results. Even she thinks this is alright and she's willing to take any threatment.
Thing is, I don't know what to do, how to feel or how worried to be about this, I never really thought this was going to happen to me in any way so I'm feeling both calm because I know what she has and the stage it's in, and nervouse because from here everything can go wrong.
What do I do?</t>
        </is>
      </c>
      <c r="D703" t="n">
        <v>1</v>
      </c>
      <c r="E703" t="n">
        <v>7</v>
      </c>
      <c r="F703">
        <f>HYPERLINK("https://www.reddit.com/r/cancer/comments/apwra1/i_just_found_out_my_mom_has_stage_1_breast_cancer/")</f>
        <v/>
      </c>
      <c r="G703" t="inlineStr">
        <is>
          <t>2019-02-12 10:53:19</t>
        </is>
      </c>
      <c r="H703" t="inlineStr"/>
    </row>
    <row r="704">
      <c r="A704" t="inlineStr">
        <is>
          <t>apwri1</t>
        </is>
      </c>
      <c r="B704" t="inlineStr">
        <is>
          <t>Most up to date treatments for lung cancer</t>
        </is>
      </c>
      <c r="C704" t="inlineStr">
        <is>
          <t xml:space="preserve">My father in his 70’s was just told he has lung cancer.  The spot on his lung is about and inch big.  I’ve heard a lot about immunotherapy and I’m hoping he can undergo a milder form of therapy rather than chemo.. wishful thinking I guess. 
Does anyone know what the first line of defense is for lung cancer? 
Thanks everyone </t>
        </is>
      </c>
      <c r="D704" t="n">
        <v>1</v>
      </c>
      <c r="E704" t="n">
        <v>10</v>
      </c>
      <c r="F704">
        <f>HYPERLINK("https://www.reddit.com/r/cancer/comments/apwri1/most_up_to_date_treatments_for_lung_cancer/")</f>
        <v/>
      </c>
      <c r="G704" t="inlineStr">
        <is>
          <t>2019-02-12 10:53:50</t>
        </is>
      </c>
      <c r="H704" t="inlineStr"/>
    </row>
    <row r="705">
      <c r="A705" t="inlineStr">
        <is>
          <t>aq0qrp</t>
        </is>
      </c>
      <c r="B705" t="inlineStr">
        <is>
          <t>Lost my father today</t>
        </is>
      </c>
      <c r="C705" t="inlineStr">
        <is>
          <t>Earlier today, my father passed away.  I don't want to say he lost the fight, because he fought so hard.  He passed peacefully though and didn't have much pain.
I just wanted to thank you all.  I only posted a couple of times, but mostly lurked.  
A lot of you were so helpful and I didn't feel so alone in this all the time.
So, thanks to you all &amp;lt;3</t>
        </is>
      </c>
      <c r="D705" t="n">
        <v>1</v>
      </c>
      <c r="E705" t="n">
        <v>14</v>
      </c>
      <c r="F705">
        <f>HYPERLINK("https://www.reddit.com/r/cancer/comments/aq0qrp/lost_my_father_today/")</f>
        <v/>
      </c>
      <c r="G705" t="inlineStr">
        <is>
          <t>2019-02-12 17:02:24</t>
        </is>
      </c>
      <c r="H705" t="inlineStr"/>
    </row>
    <row r="706">
      <c r="A706" t="inlineStr">
        <is>
          <t>aq1rcm</t>
        </is>
      </c>
      <c r="B706" t="inlineStr">
        <is>
          <t>Need help with chemo and a cold</t>
        </is>
      </c>
      <c r="C706" t="inlineStr">
        <is>
          <t xml:space="preserve">I am halfway through the first round of chemo to treat my endometrial cancer. Last week I contracted what feels like a cold and it is unrelenting.  I usually heal quickly when I get sick but with this chemo impacting my system none of my normal remedies work. I feel just as sick today as I did 6 days ago. Does anyone know of treatments that will help me get back on track?
I have to get healthy because I go back for my next treatment in nine days assuming I’m well enough to receive the chemo.  Any thoughts are greatly appreciated.  </t>
        </is>
      </c>
      <c r="D706" t="n">
        <v>1</v>
      </c>
      <c r="E706" t="n">
        <v>20</v>
      </c>
      <c r="F706">
        <f>HYPERLINK("https://www.reddit.com/r/cancer/comments/aq1rcm/need_help_with_chemo_and_a_cold/")</f>
        <v/>
      </c>
      <c r="G706" t="inlineStr">
        <is>
          <t>2019-02-12 18:52:12</t>
        </is>
      </c>
      <c r="H706" t="inlineStr"/>
    </row>
    <row r="707">
      <c r="A707" t="inlineStr">
        <is>
          <t>aq2m80</t>
        </is>
      </c>
      <c r="B707" t="inlineStr">
        <is>
          <t>thyroid cancer radio treatment</t>
        </is>
      </c>
      <c r="C707" t="inlineStr">
        <is>
          <t>hiya! I'm a 22 year old who recently got diagnosed with a mid stage thyroid cancer. Got my whole thyroid removed with some lymph nodes and I'm scheduled to get the high dosage iodine isotope treatment for 3 nights in few weeks. If anyone can share about their experiencs or tips regarding this treatment, i would appreciate it so so much!</t>
        </is>
      </c>
      <c r="D707" t="n">
        <v>1</v>
      </c>
      <c r="E707" t="n">
        <v>4</v>
      </c>
      <c r="F707">
        <f>HYPERLINK("https://www.reddit.com/r/cancer/comments/aq2m80/thyroid_cancer_radio_treatment/")</f>
        <v/>
      </c>
      <c r="G707" t="inlineStr">
        <is>
          <t>2019-02-12 20:26:04</t>
        </is>
      </c>
      <c r="H707" t="inlineStr"/>
    </row>
    <row r="708">
      <c r="A708" t="inlineStr">
        <is>
          <t>aq2yf9</t>
        </is>
      </c>
      <c r="B708" t="inlineStr">
        <is>
          <t>Happy news post regarding my cancer</t>
        </is>
      </c>
      <c r="C708" t="inlineStr">
        <is>
          <t>**Background info**: I had Stage 2B cervical cancer; underwent radiotherapy, chemotherapy, and brachytherapy within a span of 8 weeks. Declared officially cleared of cancer day after Christmas 2018. 
A couple of days ago, I met with my oncologist, who showed me scans from my RT showing the decrease in tumour size. Already good news. He, like two other doctors, noted that once I completed RT, there were no longer signs of the disease. Brachytherapy was given to me as a precautionary measure.
Now the really great news.
My doctor said I was a great responder to treatment, that my body responded "beautifully". Because of this, he said that this is a curable disease, and that we will be looking at a cure for me(!!!)
I am  elated with this news - couldn't have asked for anything better. But I'm also still apprehensive.
I've been sharing this news a lot because I want others to remain hopeful for me as well. Sometimes it's hard to take in good news when everything else has been awful. The anxiety is bad and the worry that it may come back will always be there. There is so much hesitation when it comes to celebrating good news sometimes, but reaffirming and reassuring words from others always helps.
**Please feel free to share your good news here, however small it may seem. All good news should be shared and celebrated!**</t>
        </is>
      </c>
      <c r="D708" t="n">
        <v>1</v>
      </c>
      <c r="E708" t="n">
        <v>9</v>
      </c>
      <c r="F708">
        <f>HYPERLINK("https://www.reddit.com/r/cancer/comments/aq2yf9/happy_news_post_regarding_my_cancer/")</f>
        <v/>
      </c>
      <c r="G708" t="inlineStr">
        <is>
          <t>2019-02-12 21:06:00</t>
        </is>
      </c>
      <c r="H708" t="inlineStr"/>
    </row>
    <row r="709">
      <c r="A709" t="inlineStr">
        <is>
          <t>aq2za4</t>
        </is>
      </c>
      <c r="B709" t="inlineStr">
        <is>
          <t>My mom’s melanoma cancer came back.</t>
        </is>
      </c>
      <c r="C709" t="inlineStr">
        <is>
          <t>Or has it been here this whole time and the doctors got it wrong? They want to put her on chemotherapy. They called her late at night and the lady didn’t want to tell my mom the Stage over the phone. She’s seeing the doctor in two days. 
What’s going to happen to my mom?</t>
        </is>
      </c>
      <c r="D709" t="n">
        <v>1</v>
      </c>
      <c r="E709" t="n">
        <v>6</v>
      </c>
      <c r="F709">
        <f>HYPERLINK("https://www.reddit.com/r/cancer/comments/aq2za4/my_moms_melanoma_cancer_came_back/")</f>
        <v/>
      </c>
      <c r="G709" t="inlineStr">
        <is>
          <t>2019-02-12 21:08:49</t>
        </is>
      </c>
      <c r="H709" t="inlineStr"/>
    </row>
    <row r="710">
      <c r="A710" t="inlineStr">
        <is>
          <t>aq30du</t>
        </is>
      </c>
      <c r="B710" t="inlineStr">
        <is>
          <t>What are the best things family members can do when their loved one is struggling with sickness and fatigue and having a bad day?</t>
        </is>
      </c>
      <c r="C710" t="inlineStr">
        <is>
          <t>For cancer survivors and people currently fighting, what were the things your family and friends did or said that made you feel better on the days you felt like crap? My step-mom has been having some rough Times w this round of chemo treatment and I want to help her get through it  without being overbearing.</t>
        </is>
      </c>
      <c r="D710" t="n">
        <v>1</v>
      </c>
      <c r="E710" t="n">
        <v>5</v>
      </c>
      <c r="F710">
        <f>HYPERLINK("https://www.reddit.com/r/cancer/comments/aq30du/what_are_the_best_things_family_members_can_do/")</f>
        <v/>
      </c>
      <c r="G710" t="inlineStr">
        <is>
          <t>2019-02-12 21:12:12</t>
        </is>
      </c>
      <c r="H710" t="inlineStr"/>
    </row>
    <row r="711">
      <c r="A711" t="inlineStr">
        <is>
          <t>aq36uy</t>
        </is>
      </c>
      <c r="B711" t="inlineStr">
        <is>
          <t>Diabetes &amp;amp; Pancreatic Cancer?</t>
        </is>
      </c>
      <c r="C711" t="inlineStr">
        <is>
          <t>Hello all, my grandfather has been suffering from pancreatic cancer for the last 2 years or so and diabetes for many more. Unfortunately, he's in hospice care as of two days ago. While I was sitting w my mother and his wife, his blood sugar went low. They gave him orange juice with additional sugar added, but it's like his sugar refused to climb. I am not a medical expert but I am assuming there's a strange interaction between the diabetes and cancer going on. It's like trying to start a car and it doesn't start. He was rushed to the hospital yesterday- they got his sugar up to 300, but within the hour it was down to 90- he doesn't take insulin. Anybody have an idea of what's going on?</t>
        </is>
      </c>
      <c r="D711" t="n">
        <v>1</v>
      </c>
      <c r="E711" t="n">
        <v>7</v>
      </c>
      <c r="F711">
        <f>HYPERLINK("https://www.reddit.com/r/cancer/comments/aq36uy/diabetes_pancreatic_cancer/")</f>
        <v/>
      </c>
      <c r="G711" t="inlineStr">
        <is>
          <t>2019-02-12 21:33:54</t>
        </is>
      </c>
      <c r="H711" t="inlineStr"/>
    </row>
    <row r="712">
      <c r="A712" t="inlineStr">
        <is>
          <t>aq3hrp</t>
        </is>
      </c>
      <c r="B712" t="inlineStr">
        <is>
          <t>Opdyta 40mg tablet online | Apple pharmaceuticals</t>
        </is>
      </c>
      <c r="C712" t="inlineStr">
        <is>
          <t xml:space="preserve">Nivolumab is a generic form of brand name [Opdyta 40mg](http://anti-cancer-drugs.com/opdyta-40mg.php) which is a targeted therapy drug presently used to cure of melanoma, non-small cell lung cancer or kidney (renal cell) cancer, it belongs to a group of cancer drugs known as monoclonal antibodies, it is also known as an immune checkpoint inhibitor. Sometimes these drugs are called targeted therapies because they target specific proteins (receptors) on the surface of cells </t>
        </is>
      </c>
      <c r="D712" t="n">
        <v>1</v>
      </c>
      <c r="E712" t="n">
        <v>0</v>
      </c>
      <c r="F712">
        <f>HYPERLINK("https://www.reddit.com/r/cancer/comments/aq3hrp/opdyta_40mg_tablet_online_apple_pharmaceuticals/")</f>
        <v/>
      </c>
      <c r="G712" t="inlineStr">
        <is>
          <t>2019-02-12 22:12:24</t>
        </is>
      </c>
      <c r="H712" t="inlineStr"/>
    </row>
    <row r="713">
      <c r="A713" t="inlineStr">
        <is>
          <t>aq6opz</t>
        </is>
      </c>
      <c r="B713" t="inlineStr">
        <is>
          <t>Moms treatment is done but my anxiety has never been worse</t>
        </is>
      </c>
      <c r="C713" t="inlineStr">
        <is>
          <t xml:space="preserve">My mom just finished treatment for a high grade uterine cancer. The odds are with us, but I’m starting to get very anxious.. for the past year she’s been fighting it with chemo and radiation. But now that treatment is done, if any of the cancer had gotten out, now is the time it will grow. It’s been giving me horrible anxiety and I basically haven’t slept for 3 days. How do you deal with just waiting and hoping it doesn’t come back? 
As a side note, this has also triggered some kind of health anxiety for me and every time something feels “off” my mind rushes to the worst case. I’ve had some swollen glands in my neck so my mind automatically thinks cancer. I’m so physically and emotionally drained from all this worry and anxiety.. anyone else dealing with something like this? </t>
        </is>
      </c>
      <c r="D713" t="n">
        <v>1</v>
      </c>
      <c r="E713" t="n">
        <v>5</v>
      </c>
      <c r="F713">
        <f>HYPERLINK("https://www.reddit.com/r/cancer/comments/aq6opz/moms_treatment_is_done_but_my_anxiety_has_never/")</f>
        <v/>
      </c>
      <c r="G713" t="inlineStr">
        <is>
          <t>2019-02-13 05:40:42</t>
        </is>
      </c>
      <c r="H713" t="inlineStr"/>
    </row>
    <row r="714">
      <c r="A714" t="inlineStr">
        <is>
          <t>aq71ai</t>
        </is>
      </c>
      <c r="B714" t="inlineStr">
        <is>
          <t>Song</t>
        </is>
      </c>
      <c r="C714" t="inlineStr">
        <is>
          <t>IF YOU HAVE CANCER CLAPS YOUR HANDS
IF YOU HAVE CANCER CLAPS YOUR HANDS
ENJOY DEATH MOFOS</t>
        </is>
      </c>
      <c r="D714" t="n">
        <v>1</v>
      </c>
      <c r="E714" t="n">
        <v>8</v>
      </c>
      <c r="F714">
        <f>HYPERLINK("https://www.reddit.com/r/cancer/comments/aq71ai/song/")</f>
        <v/>
      </c>
      <c r="G714" t="inlineStr">
        <is>
          <t>2019-02-13 06:18:58</t>
        </is>
      </c>
      <c r="H714" t="inlineStr"/>
    </row>
    <row r="715">
      <c r="A715" t="inlineStr">
        <is>
          <t>aq7j0r</t>
        </is>
      </c>
      <c r="B715" t="inlineStr">
        <is>
          <t>How does cancer affect way of life?</t>
        </is>
      </c>
      <c r="C715" t="inlineStr">
        <is>
          <t>I’m waiting to have a checkup next Monday for heavy bleeding in my stool, constipation, and abdominal bloating. Now, the paranoid side of me has been fearful that it might be some form of colorectal cancer. I realize that may be a huge overreaction on my part that may cause me unnecessary stress, but it got me wondering about how cancer affects way of life. I am currently a senior in high school, and would like to hear experiences about how having to undergo treatment might affect a persons typical daily life.</t>
        </is>
      </c>
      <c r="D715" t="n">
        <v>1</v>
      </c>
      <c r="E715" t="n">
        <v>6</v>
      </c>
      <c r="F715">
        <f>HYPERLINK("https://www.reddit.com/r/cancer/comments/aq7j0r/how_does_cancer_affect_way_of_life/")</f>
        <v/>
      </c>
      <c r="G715" t="inlineStr">
        <is>
          <t>2019-02-13 07:11:12</t>
        </is>
      </c>
      <c r="H715" t="inlineStr"/>
    </row>
    <row r="716">
      <c r="A716" t="inlineStr">
        <is>
          <t>aq808r</t>
        </is>
      </c>
      <c r="B716" t="inlineStr">
        <is>
          <t>Mom's Cancer Options</t>
        </is>
      </c>
      <c r="C716" t="inlineStr">
        <is>
          <t xml:space="preserve">So not sure where to post this, I figured I would start here and see.  A little backstory here, about 5 years ago my mother was diagnosed with polycystic kidneys and was able to have a kidney transplant so now she has a new kidney.  A month or so back she had some issues arise and ended up having a hysterectomy and recently some tests came back showing she still has endometrial cancer.  She goes in on Tuesday for a catscan and to discuss her options, depending on how far it has spread.  Since she was told about the possibility of this cancer spreading she is convinced that she cannot undergo chemotherapy because she will lose the kidney.  She also does not want to go on dialysis  Her option now is she wants to travel to Tijuana and go to some Immunity Therapy Center.  I guess what I'm trying to get out of this post is to figure out if anyone has been in this same situation, organ donor recipient who then is diagnosed with cancer, or if anyone has had any dealings with other alternative therapies for cancer treatment and how that went for them.  Thanks for taking the time to read this and any feedback/stories are appreciated, god bless. </t>
        </is>
      </c>
      <c r="D716" t="n">
        <v>1</v>
      </c>
      <c r="E716" t="n">
        <v>9</v>
      </c>
      <c r="F716">
        <f>HYPERLINK("https://www.reddit.com/r/cancer/comments/aq808r/moms_cancer_options/")</f>
        <v/>
      </c>
      <c r="G716" t="inlineStr">
        <is>
          <t>2019-02-13 07:57:59</t>
        </is>
      </c>
      <c r="H716" t="inlineStr"/>
    </row>
    <row r="717">
      <c r="A717" t="inlineStr">
        <is>
          <t>aq86ja</t>
        </is>
      </c>
      <c r="B717" t="inlineStr">
        <is>
          <t>Came to a realization in Therapy!</t>
        </is>
      </c>
      <c r="C717" t="inlineStr">
        <is>
          <t>As part of this awful experience, I agreed to see a therapist. I have not been coping well with this journey. 
To start, I found out in March 2017 that I had a huge tumor (ovarian cancer, Stage 1). The day after my birthday (May 30th)  I had the big debulking surgery where they took everything. Including omentum and appendix. 
Recently, I was thinking about how I will be 37 on May 30 and how it doesn't seem like it at all. That's when it hit me. 
I'm stuck in time! My world literally ended on that day in March. I've had horrible menopause, depression, anxiety, insomnia and PTSD. Chemotherapy has left me with chronic pain. It's like I can't move forward at all. It was definitely a major development, one that I came to myself!
Is anyone else stuck? Would you like to talk about it?</t>
        </is>
      </c>
      <c r="D717" t="n">
        <v>1</v>
      </c>
      <c r="E717" t="n">
        <v>22</v>
      </c>
      <c r="F717">
        <f>HYPERLINK("https://www.reddit.com/r/cancer/comments/aq86ja/came_to_a_realization_in_therapy/")</f>
        <v/>
      </c>
      <c r="G717" t="inlineStr">
        <is>
          <t>2019-02-13 08:13:58</t>
        </is>
      </c>
      <c r="H717" t="inlineStr"/>
    </row>
    <row r="718">
      <c r="A718" t="inlineStr">
        <is>
          <t>aq9hfm</t>
        </is>
      </c>
      <c r="B718" t="inlineStr">
        <is>
          <t>CML Patients - Are you having trouble with high copays and cost of medication like Imatinib?</t>
        </is>
      </c>
      <c r="C718" t="inlineStr">
        <is>
          <t xml:space="preserve">I am a CML patient and am gathering stories of patient experiences, specifically related to cost of medication, to take to lawmakers. I wrote [Big Pharma's Prices Are Outrageous](https://arizonarepublic-az.newsmemory.com/?publink=00df56f7e&amp;amp;fbclid=IwAR2YLpvD7EQvZaPUydqLzbqkMu9nFigzxZg5Fgk3B7b6ub9Mwy3QEexerzk) that was published in my local paper last weekend. If you're a CML patient in need of resources to find affordable meds like Imatinib, I have recommendations. </t>
        </is>
      </c>
      <c r="D718" t="n">
        <v>1</v>
      </c>
      <c r="E718" t="n">
        <v>0</v>
      </c>
      <c r="F718">
        <f>HYPERLINK("https://www.reddit.com/r/cancer/comments/aq9hfm/cml_patients_are_you_having_trouble_with_high/")</f>
        <v/>
      </c>
      <c r="G718" t="inlineStr">
        <is>
          <t>2019-02-13 10:08:31</t>
        </is>
      </c>
      <c r="H718" t="inlineStr"/>
    </row>
    <row r="719">
      <c r="A719" t="inlineStr">
        <is>
          <t>aq9irg</t>
        </is>
      </c>
      <c r="B719" t="inlineStr">
        <is>
          <t>This belongs here</t>
        </is>
      </c>
      <c r="C719" t="inlineStr">
        <is>
          <t>I thought his belonged here r/MGTOW</t>
        </is>
      </c>
      <c r="D719" t="n">
        <v>1</v>
      </c>
      <c r="E719" t="n">
        <v>0</v>
      </c>
      <c r="F719">
        <f>HYPERLINK("https://www.reddit.com/r/cancer/comments/aq9irg/this_belongs_here/")</f>
        <v/>
      </c>
      <c r="G719" t="inlineStr">
        <is>
          <t>2019-02-13 10:11:44</t>
        </is>
      </c>
      <c r="H719" t="inlineStr"/>
    </row>
    <row r="720">
      <c r="A720" t="inlineStr">
        <is>
          <t>aqa97i</t>
        </is>
      </c>
      <c r="B720" t="inlineStr">
        <is>
          <t>CyberKnife treatment recovery</t>
        </is>
      </c>
      <c r="C720" t="inlineStr">
        <is>
          <t>My mother just got done with her CyberKnife treatment this past friday. I know that being exhusted because of said treatmeat is normal. It has been five days and she has spent 95% of that time sleeping. I am not worried about the amount she is sleeping, I know it is just her body reacting to the treatment. I am just curious if there is a timeframe where others have started to have more energy after the treatment?</t>
        </is>
      </c>
      <c r="D720" t="n">
        <v>1</v>
      </c>
      <c r="E720" t="n">
        <v>2</v>
      </c>
      <c r="F720">
        <f>HYPERLINK("https://www.reddit.com/r/cancer/comments/aqa97i/cyberknife_treatment_recovery/")</f>
        <v/>
      </c>
      <c r="G720" t="inlineStr">
        <is>
          <t>2019-02-13 11:16:34</t>
        </is>
      </c>
      <c r="H720" t="inlineStr"/>
    </row>
    <row r="721">
      <c r="A721" t="inlineStr">
        <is>
          <t>aqcc4n</t>
        </is>
      </c>
      <c r="B721" t="inlineStr">
        <is>
          <t>My father died two weeks ago</t>
        </is>
      </c>
      <c r="C721" t="inlineStr">
        <is>
          <t>My father succumbed to his cancer (diagnosed at stage IV, NHL) in late January after 1.5 years of non-stop fighting. I got to see him for Christmas and he even lit up a few times when I talked about him and mom moving to be closer to me and the rest of the family. But he was so, so sick and had been for a long time. Two weeks after I left he had horrible seizures that erased his memory, his ability to speak coherently, and made his start hallucinating. 24 hours after being admitted to the ER he had stopped speaking; 24 hours later he was unresponsive, constantly seizing with his face contorted in pain. He was moved to hospice after the neurologist said there was no hope of recovery. He spent the last two days surrounded by extended family, most of whom got to say goodbye before he finally passed. 
Everyone thought he would last the weekend but he was gone before 9pm on the Friday. A few of us had gotten dinner into the hospital, taking turns talking to him and just watching him breathe. Then I looked up and he was gone, the color drained from his face and his cheeks sunken in. 
I've been trying to keep busy, get through the grief by just bearing down on everything else in life and not thinking about it. But today I feel like I'm at the bottom of a pit. 
I don't know what to do. I hate this disease and what it's done to my family. As tax season approaches so many of my friends have flippantly said "oh, I'll just ask my dad for help". I'm so angry and sad.</t>
        </is>
      </c>
      <c r="D721" t="n">
        <v>1</v>
      </c>
      <c r="E721" t="n">
        <v>8</v>
      </c>
      <c r="F721">
        <f>HYPERLINK("https://www.reddit.com/r/cancer/comments/aqcc4n/my_father_died_two_weeks_ago/")</f>
        <v/>
      </c>
      <c r="G721" t="inlineStr">
        <is>
          <t>2019-02-13 14:20:09</t>
        </is>
      </c>
      <c r="H721" t="inlineStr"/>
    </row>
    <row r="722">
      <c r="A722" t="inlineStr">
        <is>
          <t>aqcgam</t>
        </is>
      </c>
      <c r="B722" t="inlineStr">
        <is>
          <t>Told wife has cancer after biopsy stated no cancer??</t>
        </is>
      </c>
      <c r="C722" t="inlineStr">
        <is>
          <t>Hello all.  Not really someone who goes to forums or chats for help on matters but I'm very confused and stressed out to say the least.  I wont bore you with all the details but I want to try and explain what happened and get some opinions.
A few months ago my wife was trying to be a kidney donor for her aunt.  At some point during the mandatory testing for donors, she had a CAT Scan.  The CAT Scan showed a mass.
At first, we were told it was likely an AVM (arteriovenous malformation) which is NBD.  But we were told to get a biopsy just to be safe as one the specialist disagreed with the AVM suggestion.  Upon further inspection (MRI), we were told my wife needed to have a byopsy (endoscopic).  Which we did.  
The results came back "good".  "These are your results.  They look very good- no evidence of cancer there on these biopsies.  The mass is a muscle tumor called a GIST, follow up with Dr.XXXX so you can discuss the management."
Cool!  A few days ago we go for a follow up and MY GOD, we were not expecting what we were told.  Dr.XXXX is telling us it's cancer and my wife either; Has to have a MAJOR operation, or do chemo and "possible" not have to have a major surgery, but a minor one.
How is it that the biopsy came back with such "good news" and no signs of cancer but then 3 weeks later my wife has cancer????  Did they keep testing the biopsy without telling us?  So confused, so stressed.  What to doooooo?</t>
        </is>
      </c>
      <c r="D722" t="n">
        <v>1</v>
      </c>
      <c r="E722" t="n">
        <v>28</v>
      </c>
      <c r="F722">
        <f>HYPERLINK("https://www.reddit.com/r/cancer/comments/aqcgam/told_wife_has_cancer_after_biopsy_stated_no_cancer/")</f>
        <v/>
      </c>
      <c r="G722" t="inlineStr">
        <is>
          <t>2019-02-13 14:31:03</t>
        </is>
      </c>
      <c r="H722" t="inlineStr"/>
    </row>
    <row r="723">
      <c r="A723" t="inlineStr">
        <is>
          <t>aqdcnl</t>
        </is>
      </c>
      <c r="B723" t="inlineStr">
        <is>
          <t>Cancer patients with psoriasis / psoriatic arthritis?</t>
        </is>
      </c>
      <c r="C723" t="inlineStr">
        <is>
          <t>Hi all, I was diagnosed last year with a soft tissue sarcoma on my leg. I had surgery to remove the tumor, followed by radiation treatments. The doctors believe they were able to remove/irradiate all of the cancer, and I'm getting scanned every three months for now.
Separately, I have psoriasis and psoriatic arthritis. I am working with my doctors to determine how to treat these diseases. One thing they have told me is that the most effective treatments--biologics like humira, stelara, or cosentyx--carry too high of a risk for someone, like me, with such a recent cancer diagnosis. We are considering other options like otezla, as DMARDs also aren't an option for me for a separate reason.
Has anyone else been diagnosed with both cancer and psoriatic arthtiris/psoriasis? If so, what course of treatment did you seek, and did you and your doctors consider biologics? It seems like the treatment options for recent cancer patients are somewhat limited.</t>
        </is>
      </c>
      <c r="D723" t="n">
        <v>1</v>
      </c>
      <c r="E723" t="n">
        <v>10</v>
      </c>
      <c r="F723">
        <f>HYPERLINK("https://www.reddit.com/r/cancer/comments/aqdcnl/cancer_patients_with_psoriasis_psoriatic_arthritis/")</f>
        <v/>
      </c>
      <c r="G723" t="inlineStr">
        <is>
          <t>2019-02-13 15:55:47</t>
        </is>
      </c>
      <c r="H723" t="inlineStr"/>
    </row>
    <row r="724">
      <c r="A724" t="inlineStr">
        <is>
          <t>aqeq31</t>
        </is>
      </c>
      <c r="B724" t="inlineStr">
        <is>
          <t>Immunotherapy</t>
        </is>
      </c>
      <c r="C724" t="inlineStr">
        <is>
          <t>Has anyone had any experiences with immunotherapy? Any comparisons with chemotherapy?</t>
        </is>
      </c>
      <c r="D724" t="n">
        <v>1</v>
      </c>
      <c r="E724" t="n">
        <v>5</v>
      </c>
      <c r="F724">
        <f>HYPERLINK("https://www.reddit.com/r/cancer/comments/aqeq31/immunotherapy/")</f>
        <v/>
      </c>
      <c r="G724" t="inlineStr">
        <is>
          <t>2019-02-13 18:20:01</t>
        </is>
      </c>
      <c r="H724" t="inlineStr"/>
    </row>
    <row r="725">
      <c r="A725" t="inlineStr">
        <is>
          <t>aqetfh</t>
        </is>
      </c>
      <c r="B725" t="inlineStr">
        <is>
          <t>Cancer and Cystic Fibrosis</t>
        </is>
      </c>
      <c r="C725" t="inlineStr">
        <is>
          <t>Does anyone have experience with Cancer and Cystic Fibrosis together?</t>
        </is>
      </c>
      <c r="D725" t="n">
        <v>1</v>
      </c>
      <c r="E725" t="n">
        <v>0</v>
      </c>
      <c r="F725">
        <f>HYPERLINK("https://www.reddit.com/r/cancer/comments/aqetfh/cancer_and_cystic_fibrosis/")</f>
        <v/>
      </c>
      <c r="G725" t="inlineStr">
        <is>
          <t>2019-02-13 18:30:09</t>
        </is>
      </c>
      <c r="H725" t="inlineStr"/>
    </row>
    <row r="726">
      <c r="A726" t="inlineStr">
        <is>
          <t>aqeynx</t>
        </is>
      </c>
      <c r="B726" t="inlineStr">
        <is>
          <t>Advice</t>
        </is>
      </c>
      <c r="C726" t="inlineStr">
        <is>
          <t>So after the first chemo session on Monday my moms CA 125 level has come down from 48 to 16 ... does that mean that she does not have cancer now or what??</t>
        </is>
      </c>
      <c r="D726" t="n">
        <v>1</v>
      </c>
      <c r="E726" t="n">
        <v>2</v>
      </c>
      <c r="F726">
        <f>HYPERLINK("https://www.reddit.com/r/cancer/comments/aqeynx/advice/")</f>
        <v/>
      </c>
      <c r="G726" t="inlineStr">
        <is>
          <t>2019-02-13 18:45:54</t>
        </is>
      </c>
      <c r="H726" t="inlineStr"/>
    </row>
    <row r="727">
      <c r="A727" t="inlineStr">
        <is>
          <t>aqf4vj</t>
        </is>
      </c>
      <c r="B727" t="inlineStr">
        <is>
          <t>It hurts</t>
        </is>
      </c>
      <c r="C727" t="inlineStr">
        <is>
          <t>My mother was diagnosed with stage IV colon cancer in September of 2018. It has been one of the hardest things I’ve had to hear in my life that the person whose always been there for me and been my number one supporter throughout my life has a life expectancy of about 2 years. It hurts to think that she might not be around for my little brothers graduation from high school, or to watch her kids grow up or be present at my future wedding. To top it off my father has a drinking problem and can’t deal and spends his time drinking instead of being by his wife’s side. My partner of about a year and a half left me when I needed him to support me the most at the beginning of 2019. It’s been pretty difficult sorting through all these emotions lately and it feels like a roller coaster that I can’t get off of. Everyday feels like a rain parade from hell. I want to be stronger for my mother and not have her worry about anything, but it’s been a lot of emotions for one person to deal with. I don’t know what else to do or who to turn to for advice.</t>
        </is>
      </c>
      <c r="D727" t="n">
        <v>1</v>
      </c>
      <c r="E727" t="n">
        <v>25</v>
      </c>
      <c r="F727">
        <f>HYPERLINK("https://www.reddit.com/r/cancer/comments/aqf4vj/it_hurts/")</f>
        <v/>
      </c>
      <c r="G727" t="inlineStr">
        <is>
          <t>2019-02-13 19:04:32</t>
        </is>
      </c>
      <c r="H727" t="inlineStr"/>
    </row>
    <row r="728">
      <c r="A728" t="inlineStr">
        <is>
          <t>aqg3j3</t>
        </is>
      </c>
      <c r="B728" t="inlineStr">
        <is>
          <t>Does anyone else get dental side effects Prolia injections?</t>
        </is>
      </c>
      <c r="C728" t="inlineStr">
        <is>
          <t xml:space="preserve">Hi. I’m a breast cancer survivor and i recently started Prolia injections to help combat osteoporosis. I had my ovaries removed when I was 35 because of cancer. Prolia is also used for cancer in the bones. I’m having all kinds of tooth and gum problems. Anyone else?  </t>
        </is>
      </c>
      <c r="D728" t="n">
        <v>1</v>
      </c>
      <c r="E728" t="n">
        <v>2</v>
      </c>
      <c r="F728">
        <f>HYPERLINK("https://www.reddit.com/r/cancer/comments/aqg3j3/does_anyone_else_get_dental_side_effects_prolia/")</f>
        <v/>
      </c>
      <c r="G728" t="inlineStr">
        <is>
          <t>2019-02-13 20:55:07</t>
        </is>
      </c>
      <c r="H728" t="inlineStr"/>
    </row>
    <row r="729">
      <c r="A729" t="inlineStr">
        <is>
          <t>aqgiep</t>
        </is>
      </c>
      <c r="B729" t="inlineStr">
        <is>
          <t>Opdyta 100mg tablet online</t>
        </is>
      </c>
      <c r="C729" t="inlineStr">
        <is>
          <t>Nivolumab is a generic form of brand name Opdyta 100mg which is a targeted therapy drug presently used to cure from melanoma, non-small cell lung cancer or kidney (renal cell) cancer, it belongs to a group of cancer drugs known as monoclonal antibodies, it is also known as an immune checkpoint inhibitor. Sometimes these drugs are called targeted therapies because they target specific proteins (receptors) on the surface of cells.</t>
        </is>
      </c>
      <c r="D729" t="n">
        <v>1</v>
      </c>
      <c r="E729" t="n">
        <v>0</v>
      </c>
      <c r="F729">
        <f>HYPERLINK("https://www.reddit.com/r/cancer/comments/aqgiep/opdyta_100mg_tablet_online/")</f>
        <v/>
      </c>
      <c r="G729" t="inlineStr">
        <is>
          <t>2019-02-13 21:45:57</t>
        </is>
      </c>
      <c r="H729" t="inlineStr"/>
    </row>
    <row r="730">
      <c r="A730" t="inlineStr">
        <is>
          <t>aqgokv</t>
        </is>
      </c>
      <c r="B730" t="inlineStr">
        <is>
          <t>My Father and Inconclusive Lung Biopsies</t>
        </is>
      </c>
      <c r="C730" t="inlineStr">
        <is>
          <t xml:space="preserve">My father was given a diagnosis of lung cancer from a CT scan.   He was told the mass was 14cm and inoperable and that once a biopsy is back they can determine the course of action.
His first biopsy came back inconclusive.   His oncologist said no big deal it happens we will schedule it again.    
2nd biopsy is inconclusive.    
He visits the pulmonary specialist and he immediately places him into the hospital with pneumonia and puts him in ICU.    A week into the ICU stay they attempt a 3rd biopsy by a different method and his heart rate rises and he is put on a ventilator and guess what this biopsy is also inconclusive.   
I talk to the pulmonologist and he tells me he isn't even sure it is cancer anymore because the PET Scan showed no cancer anywhere other than the mass in his lung and that it would be nearly impossible to have a 14cm tumor and it not have spread.   He begins to investigate the issue as possible tuberculosis.     
The oncologist says point blank that my father has cancer and this is what she does for a living and knows it is lung cancer.   
TB blood test is inconclusive but skin test shows no TB.   So that ends that. 
A 4th and final biopsy was performed on Friday of last week, this time they made an incision in his chest wall and got what they needed.    Under a microscope we are told it looks like a fungus but it needs to be sent for testing.
The 4th biopsy comes back as inclusive.    The lung doctor is thinking now that the pneumonia was fungal and caused this mass.     They believe he has pneumonia since October!
My father was dealing with bad Afib and leg swelling during his 2 week stay but is finally allowed to go home. 
Today the oncologist admits she isn't sure it is cancer any longer but wants to send him to a team of specialists in Atlanta.   
Well, one of the specialists is a surgeon and my father is saying that he will not consent to any removal of lung for any reason except life or death.    
After his stay in the ICU to treat the pneumonia he seems like the guy I remember before all this cancer talk started.  Fatigue is gone, he is eating again,  cough is gone,   and he seems full of life.      He said he feels the best he has in 6 months.   My father wants them to treat his afib and his swelling and just do a CT scan every so often to check the mass in his lung.  
At this point I am not even sure what to think.    Just posting here to have some other people to read this and hopefully talk with.   </t>
        </is>
      </c>
      <c r="D730" t="n">
        <v>1</v>
      </c>
      <c r="E730" t="n">
        <v>1</v>
      </c>
      <c r="F730">
        <f>HYPERLINK("https://www.reddit.com/r/cancer/comments/aqgokv/my_father_and_inconclusive_lung_biopsies/")</f>
        <v/>
      </c>
      <c r="G730" t="inlineStr">
        <is>
          <t>2019-02-13 22:08:08</t>
        </is>
      </c>
      <c r="H730" t="inlineStr"/>
    </row>
    <row r="731">
      <c r="A731" t="inlineStr">
        <is>
          <t>aqj2zc</t>
        </is>
      </c>
      <c r="B731" t="inlineStr">
        <is>
          <t>Waiting for scan after 6 months of treatment</t>
        </is>
      </c>
      <c r="C731" t="inlineStr">
        <is>
          <t>I don't post much here, but reading posts and comments   helps a lot, Thank you everyone.
I have Hodgkin's Lymphoma stage 2B
I have been Undergoing chemo for the last 6 months.
Last one was 3 weeks back. And I have a scan the coming Monday.
I had a scan at 3 months into treatment and was showing positive response.
These last 2 weeks I have been more stressed than the entire duration of the treatment.
I still feel weak and have an upset stomach most of them time. Have occasional pain and congestion in chest. But doc said its all well and we will wait for the scan.
I don't know how to calm myself. Just wanted to share this here.</t>
        </is>
      </c>
      <c r="D731" t="n">
        <v>1</v>
      </c>
      <c r="E731" t="n">
        <v>14</v>
      </c>
      <c r="F731">
        <f>HYPERLINK("https://www.reddit.com/r/cancer/comments/aqj2zc/waiting_for_scan_after_6_months_of_treatment/")</f>
        <v/>
      </c>
      <c r="G731" t="inlineStr">
        <is>
          <t>2019-02-14 04:09:03</t>
        </is>
      </c>
      <c r="H731" t="inlineStr"/>
    </row>
    <row r="732">
      <c r="A732" t="inlineStr">
        <is>
          <t>aqkdfs</t>
        </is>
      </c>
      <c r="B732" t="inlineStr">
        <is>
          <t>Misdiagnosis for pain</t>
        </is>
      </c>
      <c r="C732" t="inlineStr">
        <is>
          <t>Hey everyone so I’m not sure if the best place to post this, so I apologize in advance. I’m posting more so for my mother and family I would like outside thought on this situation and the action that should be taken.
A little over a year and a half ago my grandma was diagnosed with colorectal cancer. It is terminal and can’t be treated as she sought after it too late. She started doses of morphine and pain medicine in August with a new doctor. She’s been suffering pain since. She is now on hospice as of about a month and a half and has been misdiagnosed and treated by her doctor. They’ve been saying she is experiencing more “emotional not physical pain” so they were lowering her physical pain medicine. She’s been in the hospital for 2 weeks now due to unbearable physical pain from not having enough or the right doses medicine. She will hallucinate and see people, not only that she would cry continuously in pain begging for help and medicine. She’d say “why are they doing this to me what did I do to deserve this please make it stop” over and over the course my mom was visiting with her. My mom and aunt screamed and bitched at every doctor and nurse in the place to get her more pain medicine. Finally they got a new doctor on her case over the weekend and a new concoction of pain medicine. Monday for the first time since August, she said she wasn’t experiencing any pain. Any. It’s honestly just so sad being she doesn’t have a lot of time left. Is this some kind of malpractice? I am seriously concerned about her treatment from the doctors and hospice team I want things done right for her you know. Not only that they had placed a camera in her room and when she told my mother, my mother flipped it off and when they were monitoring or reviewing the footage they wrote it in my grandmas chart. To me this is utterly ridiculous and shouldn’t be allowed. My grandma is very back and forth and says my aunt mistreats her but she just acts like a child it’s hard for them to get through to her. Anyways a camera in my opinion and my mother’s is extremely unreasonable and her previous doctor needs reported and reviewed. Is there stuff here for a legal case to possibly get that doctors license revoked or something?
Thank you</t>
        </is>
      </c>
      <c r="D732" t="n">
        <v>1</v>
      </c>
      <c r="E732" t="n">
        <v>1</v>
      </c>
      <c r="F732">
        <f>HYPERLINK("https://www.reddit.com/r/cancer/comments/aqkdfs/misdiagnosis_for_pain/")</f>
        <v/>
      </c>
      <c r="G732" t="inlineStr">
        <is>
          <t>2019-02-14 06:36:23</t>
        </is>
      </c>
      <c r="H732" t="inlineStr"/>
    </row>
    <row r="733">
      <c r="A733" t="inlineStr">
        <is>
          <t>aqkdrw</t>
        </is>
      </c>
      <c r="B733" t="inlineStr">
        <is>
          <t>Metastatic soft tissue sarcoma</t>
        </is>
      </c>
      <c r="C733" t="inlineStr">
        <is>
          <t>In August of 2018, my mom(57) was diagnosed with metastatic soft tissue sarcoma. They found a 20cm growth in her uterus along with a few nodules in her lungs, after 30 rounds of radiation and a few rounds of chemo, her scan revealed that the growth in her uterus hadn't changed however the pre-existing nodules in her lungs had grown and new ones had popped up. I guess what i'm looking for is, seeing if anyone had experienced this with themselves or other family members? I'm having a hard time finding anything helpful online and I feel kind of lonely when it comes to finding someone to talk to about it who understands.</t>
        </is>
      </c>
      <c r="D733" t="n">
        <v>1</v>
      </c>
      <c r="E733" t="n">
        <v>6</v>
      </c>
      <c r="F733">
        <f>HYPERLINK("https://www.reddit.com/r/cancer/comments/aqkdrw/metastatic_soft_tissue_sarcoma/")</f>
        <v/>
      </c>
      <c r="G733" t="inlineStr">
        <is>
          <t>2019-02-14 06:37:22</t>
        </is>
      </c>
      <c r="H733" t="inlineStr"/>
    </row>
    <row r="734">
      <c r="A734" t="inlineStr">
        <is>
          <t>aqkyyw</t>
        </is>
      </c>
      <c r="B734" t="inlineStr">
        <is>
          <t>Dad is fading fast.</t>
        </is>
      </c>
      <c r="C734" t="inlineStr">
        <is>
          <t>He was diagnosed with small-cell lung cancer in May 2018.  He's been at home the last two or three weeks under hospice care.  Over the last week, his mind has degenerated along with his body.  He had to be hospitalized on Tuesday due to combative behavior.  He's not really lucid at all.  It is so scary and awful.  His birthday is next week Saturday.  If he makes it until then, it will be very surprising.</t>
        </is>
      </c>
      <c r="D734" t="n">
        <v>1</v>
      </c>
      <c r="E734" t="n">
        <v>10</v>
      </c>
      <c r="F734">
        <f>HYPERLINK("https://www.reddit.com/r/cancer/comments/aqkyyw/dad_is_fading_fast/")</f>
        <v/>
      </c>
      <c r="G734" t="inlineStr">
        <is>
          <t>2019-02-14 07:35:35</t>
        </is>
      </c>
      <c r="H734" t="inlineStr"/>
    </row>
    <row r="735">
      <c r="A735" t="inlineStr">
        <is>
          <t>aqlaj8</t>
        </is>
      </c>
      <c r="B735" t="inlineStr">
        <is>
          <t>Suspicion and fear</t>
        </is>
      </c>
      <c r="C735" t="inlineStr">
        <is>
          <t xml:space="preserve">Hey, I think I have a problem. 
I found a single lump like thing in each of my thighs, where they touch. 
I’m scared it may be cancer, and I’m scared to get confirmation by a doctor that it is. I don’t know what to do. Any help/advice is appreciated </t>
        </is>
      </c>
      <c r="D735" t="n">
        <v>1</v>
      </c>
      <c r="E735" t="n">
        <v>7</v>
      </c>
      <c r="F735">
        <f>HYPERLINK("https://www.reddit.com/r/cancer/comments/aqlaj8/suspicion_and_fear/")</f>
        <v/>
      </c>
      <c r="G735" t="inlineStr">
        <is>
          <t>2019-02-14 08:06:16</t>
        </is>
      </c>
      <c r="H735" t="inlineStr"/>
    </row>
    <row r="736">
      <c r="A736" t="inlineStr">
        <is>
          <t>aqnh26</t>
        </is>
      </c>
      <c r="B736" t="inlineStr">
        <is>
          <t>grandmother has been diagnosed with pancreatic cancer and depression</t>
        </is>
      </c>
      <c r="C736" t="inlineStr">
        <is>
          <t xml:space="preserve">So my grandmother has been suffering form depression lately. She's been losing weight , not eating much etc.  So when my grandfather (her husband) got hospitalised recently , after a few days my father and his siblings decided to also admit her to the hospital ( They went to a psychiatric doctor, and she seemed exhausted. she did had some fluid around her heart or something. They don't give me much information). After a couple of days in the hospital  she was diagnosed with pancreatic cancer. They decided to make her comfortable and treat her symptoms but to not pursue any active treatment.   
I'm not sure how much time she does have (because I have no clue in which stage etc. she is at) but now she only talks about wanting euthanasia. They got her on anti-depressant but I'm not sure if there's any point to it. I mean she doesn't want to live anymore and I get it. My sister told me that she should want to live to see her greatgrandchildren. etc. But I get why she wants that, there's no outlook to get better, her husband is also in hospital and doesn't always recognises her , she can't look after him. All her children and grandchildren are pretty much grown up. She can't really do anything she used to love.  I feel a bit guilty about having that feeling. I don't want to lose her but it is something I need to prepare for emotionally.  I'm planning on visiting her on Saturday (haven't seen her since the diagnosis) but i'm not sure how to handle the visit.  
&amp;amp;#x200B;
So kinda looking for some support and advice. Is there something I can do for her, what should or shouldn't I do when I do visit her. Is there something I shouldn't say or should say?  </t>
        </is>
      </c>
      <c r="D736" t="n">
        <v>1</v>
      </c>
      <c r="E736" t="n">
        <v>10</v>
      </c>
      <c r="F736">
        <f>HYPERLINK("https://www.reddit.com/r/cancer/comments/aqnh26/grandmother_has_been_diagnosed_with_pancreatic/")</f>
        <v/>
      </c>
      <c r="G736" t="inlineStr">
        <is>
          <t>2019-02-14 11:21:02</t>
        </is>
      </c>
      <c r="H736" t="inlineStr"/>
    </row>
    <row r="737">
      <c r="A737" t="inlineStr">
        <is>
          <t>aqohwh</t>
        </is>
      </c>
      <c r="B737" t="inlineStr">
        <is>
          <t>Help and resources</t>
        </is>
      </c>
      <c r="C737" t="inlineStr">
        <is>
          <t>So my best friend who I've known for 18 years told me today his dad was diagnosed with cancer. I am very close with the family and it breaks my heart to hear this. I'm wondering what are some resources I can give to help them in this tough time. My friend is an only child and was told he is now the man of the house which hit him hard. I want to provide as much support as I can for them. What is out there in the means of support and resources for the family to help them?</t>
        </is>
      </c>
      <c r="D737" t="n">
        <v>1</v>
      </c>
      <c r="E737" t="n">
        <v>5</v>
      </c>
      <c r="F737">
        <f>HYPERLINK("https://www.reddit.com/r/cancer/comments/aqohwh/help_and_resources/")</f>
        <v/>
      </c>
      <c r="G737" t="inlineStr">
        <is>
          <t>2019-02-14 12:53:10</t>
        </is>
      </c>
      <c r="H737" t="inlineStr"/>
    </row>
    <row r="738">
      <c r="A738" t="inlineStr">
        <is>
          <t>aqp02u</t>
        </is>
      </c>
      <c r="B738" t="inlineStr">
        <is>
          <t>During my treatment today, a cellist came and played for the patients.</t>
        </is>
      </c>
      <c r="C738" t="inlineStr">
        <is>
          <t xml:space="preserve">I love music so much and I was lucky that he was just in front of me during the recital. I bawled like a baby the whole time. It was amazing. 
Once he finished, I thanked him profusely as I was crying my eyes out. </t>
        </is>
      </c>
      <c r="D738" t="n">
        <v>1</v>
      </c>
      <c r="E738" t="n">
        <v>16</v>
      </c>
      <c r="F738">
        <f>HYPERLINK("https://www.reddit.com/r/cancer/comments/aqp02u/during_my_treatment_today_a_cellist_came_and/")</f>
        <v/>
      </c>
      <c r="G738" t="inlineStr">
        <is>
          <t>2019-02-14 13:39:09</t>
        </is>
      </c>
      <c r="H738" t="inlineStr"/>
    </row>
    <row r="739">
      <c r="A739" t="inlineStr">
        <is>
          <t>aqpa0u</t>
        </is>
      </c>
      <c r="B739" t="inlineStr">
        <is>
          <t>Anyone ever do trial? Stage 1</t>
        </is>
      </c>
      <c r="C739" t="inlineStr">
        <is>
          <t xml:space="preserve">And it worked? </t>
        </is>
      </c>
      <c r="D739" t="n">
        <v>1</v>
      </c>
      <c r="E739" t="n">
        <v>8</v>
      </c>
      <c r="F739">
        <f>HYPERLINK("https://www.reddit.com/r/cancer/comments/aqpa0u/anyone_ever_do_trial_stage_1/")</f>
        <v/>
      </c>
      <c r="G739" t="inlineStr">
        <is>
          <t>2019-02-14 14:04:55</t>
        </is>
      </c>
      <c r="H739" t="inlineStr"/>
    </row>
    <row r="740">
      <c r="A740" t="inlineStr">
        <is>
          <t>aqpqm9</t>
        </is>
      </c>
      <c r="B740" t="inlineStr">
        <is>
          <t>More lost than I ever could be</t>
        </is>
      </c>
      <c r="C740" t="inlineStr">
        <is>
          <t>I’ve been battling stage IV colon cancer for a little over two years. Through getting my colon removed,chemo, and radiation there has been some bright spots. September of 2017 it looked like there was a possibility that everything was calm.
Fast forward to last February when a mass comes back with a vengeance. The chemo and radiation route seem to be doing an alright job. I have to put stints and tubes in my kidneys so I can urinate properly. Still I keep fighting the best I can. All the while though I’m losing mobility in my left leg.
I’ve had a bit of a rough patch the past couple months. Appointments are hard to keep up with but I still making them for the most part. The other day I fell while trying to lay down and one of the kidneys tubes gets pulled out and I start bleeding like crazy. This has happened before but not to this extent.
I go in the hospital get what I need to get fixed. I’m resting in my room and one doctor starts talking to me about dnr orders. Didn’t think too much about it until I see my oncologist. I had just visited him just a week or two ago. The appointment was very uneventful just talking about getting my pain under control and even saying all my numbers looked good. This time I’m met with the idea of hospice and being told what I have may be incurable.
I’m just at a loss. Things weren’t great but they also weren’t horrible. After this hospital stay though I’m overwhelmed. Do I keep fighting? Do i try to get a second opinion and whatever that may bring? With some pt will it get better? I feel torn in so many pieces.</t>
        </is>
      </c>
      <c r="D740" t="n">
        <v>1</v>
      </c>
      <c r="E740" t="n">
        <v>4</v>
      </c>
      <c r="F740">
        <f>HYPERLINK("https://www.reddit.com/r/cancer/comments/aqpqm9/more_lost_than_i_ever_could_be/")</f>
        <v/>
      </c>
      <c r="G740" t="inlineStr">
        <is>
          <t>2019-02-14 14:48:29</t>
        </is>
      </c>
      <c r="H740" t="inlineStr"/>
    </row>
    <row r="741">
      <c r="A741" t="inlineStr">
        <is>
          <t>aqqooo</t>
        </is>
      </c>
      <c r="B741" t="inlineStr">
        <is>
          <t>Started chemo on Tuesday, will I feel this shit all the time??</t>
        </is>
      </c>
      <c r="C741" t="inlineStr">
        <is>
          <t xml:space="preserve">I started my chemo for stage 3 hogkins lymphoma on Tuesday and since then all Iv done is sleep and be nauseous, will I start to feel better at all or should I expect this for a little while now? Just wondering what your guys experience with chemo was like. </t>
        </is>
      </c>
      <c r="D741" t="n">
        <v>1</v>
      </c>
      <c r="E741" t="n">
        <v>20</v>
      </c>
      <c r="F741">
        <f>HYPERLINK("https://www.reddit.com/r/cancer/comments/aqqooo/started_chemo_on_tuesday_will_i_feel_this_shit/")</f>
        <v/>
      </c>
      <c r="G741" t="inlineStr">
        <is>
          <t>2019-02-14 16:23:54</t>
        </is>
      </c>
      <c r="H741" t="inlineStr"/>
    </row>
    <row r="742">
      <c r="A742" t="inlineStr">
        <is>
          <t>aqr6t8</t>
        </is>
      </c>
      <c r="B742" t="inlineStr">
        <is>
          <t>What to say at the funeral</t>
        </is>
      </c>
      <c r="C742" t="inlineStr">
        <is>
          <t>My dad just passed and I wanted to speak at his funeral... but I’ve never done anything like this and not sure what to say. Does anybody have any good ideas?</t>
        </is>
      </c>
      <c r="D742" t="n">
        <v>1</v>
      </c>
      <c r="E742" t="n">
        <v>4</v>
      </c>
      <c r="F742">
        <f>HYPERLINK("https://www.reddit.com/r/cancer/comments/aqr6t8/what_to_say_at_the_funeral/")</f>
        <v/>
      </c>
      <c r="G742" t="inlineStr">
        <is>
          <t>2019-02-14 17:18:08</t>
        </is>
      </c>
      <c r="H742" t="inlineStr"/>
    </row>
    <row r="743">
      <c r="A743" t="inlineStr">
        <is>
          <t>aqt1w7</t>
        </is>
      </c>
      <c r="B743" t="inlineStr">
        <is>
          <t>Last day of Prednisone tomorrow</t>
        </is>
      </c>
      <c r="C743" t="inlineStr">
        <is>
          <t>Was prescribed 90 MG for 5 weeks and weaned off for an additional 2. 
&amp;amp;#x200B;
Thank fucking god. 
&amp;amp;#x200B;</t>
        </is>
      </c>
      <c r="D743" t="n">
        <v>1</v>
      </c>
      <c r="E743" t="n">
        <v>16</v>
      </c>
      <c r="F743">
        <f>HYPERLINK("https://www.reddit.com/r/cancer/comments/aqt1w7/last_day_of_prednisone_tomorrow/")</f>
        <v/>
      </c>
      <c r="G743" t="inlineStr">
        <is>
          <t>2019-02-14 20:57:40</t>
        </is>
      </c>
      <c r="H743" t="inlineStr"/>
    </row>
    <row r="744">
      <c r="A744" t="inlineStr">
        <is>
          <t>aqu4uc</t>
        </is>
      </c>
      <c r="B744" t="inlineStr">
        <is>
          <t>Good news and a question</t>
        </is>
      </c>
      <c r="C744" t="inlineStr">
        <is>
          <t>So after finding more cancer after my first surgery I ended up having to get a hysterectomy and my doctor stated that there's minimal risk of anything showing in my ovaries since they were clear at the time of surgery. (tubes, cervix, and uterus are all gone) but I'm supposed to be doing follow ups and checks for the next 2 years just in case. The first one is coming up but I recently lost my job and no longer have insurance. I can't afford the appointment right now but with the risk being minimal, I should be fine to miss 1 or two appointments, right?</t>
        </is>
      </c>
      <c r="D744" t="n">
        <v>1</v>
      </c>
      <c r="E744" t="n">
        <v>0</v>
      </c>
      <c r="F744">
        <f>HYPERLINK("https://www.reddit.com/r/cancer/comments/aqu4uc/good_news_and_a_question/")</f>
        <v/>
      </c>
      <c r="G744" t="inlineStr">
        <is>
          <t>2019-02-14 23:23:50</t>
        </is>
      </c>
      <c r="H744" t="inlineStr"/>
    </row>
    <row r="745">
      <c r="A745" t="inlineStr">
        <is>
          <t>aquw09</t>
        </is>
      </c>
      <c r="B745" t="inlineStr">
        <is>
          <t>Big mole (in comparison to my others) on my back gets a tingling sensation once in a while. Also have a lump in the crease of my elbow.</t>
        </is>
      </c>
      <c r="C745" t="inlineStr">
        <is>
          <t>I only noticed the mole due to the odd tingling sensation I felt there, I looked in the mirror and noticed it. The border looks irregular, as well as the coloring, but it's kinda hard to tell due to it being on my back, I can't quite get a good look at it. It's circular shaped, nothing like those pictures when you google "melanoma", which are like black and shaped wildly. I don't know if it's been changing, because I just noticed it recently, even though the thing on my arm as been there a while, and the tingling sensation has been there for quite a while as well.
I went to the doctor for the lump in on my arm, on the inner part of my elbow in the summer of 2018. The only available doctor I can go to currently ( i live in a very rural area and don't have any insurance at all, or income), she just said to come back if it got hard or anything. It's not really super soft but it isn't hard either. It's still the same as it was when I went to that appointment ~8 months ago, I think.
I don't really know if lymph nodes are swollen, since I'm kinda skinny anyway, I don't really know if I can just feel them because of that, or because they're swollen. I'm 130 lbs 5'10". I lost about ~70 lbs in 9-ish months. Doc said this is probably because I bounce my legs a lot while sitting, and I don't eat much. I eat less than 1000 calories a day and spend most of my time sitting at a desk.
Anyway, I'm going to make an appointment next week, but my fear is that she will again think it's nothing and it ends up being serious or too late, and I can't get a 2nd opinion at all.
**Could the tingling sensation and lump on my arm be signs of something?**</t>
        </is>
      </c>
      <c r="D745" t="n">
        <v>1</v>
      </c>
      <c r="E745" t="n">
        <v>0</v>
      </c>
      <c r="F745">
        <f>HYPERLINK("https://www.reddit.com/r/cancer/comments/aquw09/big_mole_in_comparison_to_my_others_on_my_back/")</f>
        <v/>
      </c>
      <c r="G745" t="inlineStr">
        <is>
          <t>2019-02-15 01:24:50</t>
        </is>
      </c>
      <c r="H745" t="inlineStr"/>
    </row>
    <row r="746">
      <c r="A746" t="inlineStr">
        <is>
          <t>aqvkvv</t>
        </is>
      </c>
      <c r="B746" t="inlineStr">
        <is>
          <t>Drug Therapies for Cancer</t>
        </is>
      </c>
      <c r="C746" t="inlineStr">
        <is>
          <t>Each year the FDA approves promising new drug therapies for cancer. It now appears that some of the most promising cancer treatment avenues may actually lie within the bodies of the patients themselves.
**Targeted Cancer Treatments**
Like the development of chemotherapy in the 1940s, immunotherapy and targeted gene therapies could be real game changers. Immunotherapy, especially when combined with other targeted medications, has the potential to forever alter the landscape of cancer treatments.
&amp;amp;#x200B;
![img](m69hcdp2upg21 "New Ways to Fight an Old Foe")
This is especially true if it is partnered with gene-specific cancer therapies. Both of which can be used with, or without, traditional cancer treatments such as chemotherapy and radiation.
**Keytruda**  
The recently approved medication [Keytruda](https://www.keytruda.com/) (pembrolizumab), which fights certain solid cancerous tumors is an example of an advanced form of immunotherapy. Keytruda has been approved by the FDA to treat cancers such as melanoma which have metalized (spread) to other parts of the body, and cannot be removed surgically. 
[Learn more about it](https://www.aspcares.com/blog/drug-therapies-for-cancer/)</t>
        </is>
      </c>
      <c r="D746" t="n">
        <v>1</v>
      </c>
      <c r="E746" t="n">
        <v>0</v>
      </c>
      <c r="F746">
        <f>HYPERLINK("https://www.reddit.com/r/cancer/comments/aqvkvv/drug_therapies_for_cancer/")</f>
        <v/>
      </c>
      <c r="G746" t="inlineStr">
        <is>
          <t>2019-02-15 03:15:50</t>
        </is>
      </c>
      <c r="H746" t="inlineStr"/>
    </row>
    <row r="747">
      <c r="A747" t="inlineStr">
        <is>
          <t>aqw2vl</t>
        </is>
      </c>
      <c r="B747" t="inlineStr">
        <is>
          <t>Revolade 25 mg |Eltrombopag | Blueberry pharmacaeuticals</t>
        </is>
      </c>
      <c r="C747" t="inlineStr">
        <is>
          <t xml:space="preserve">Eltrombopag under the brand-name drug [Revolade 25mg](https://blueberrypharma.com/revolade-25mg.php). The drug is not available as a generic drug. Revolade 25 mg drug may be needed as part of a combination therapy </t>
        </is>
      </c>
      <c r="D747" t="n">
        <v>1</v>
      </c>
      <c r="E747" t="n">
        <v>1</v>
      </c>
      <c r="F747">
        <f>HYPERLINK("https://www.reddit.com/r/cancer/comments/aqw2vl/revolade_25_mg_eltrombopag_blueberry/")</f>
        <v/>
      </c>
      <c r="G747" t="inlineStr">
        <is>
          <t>2019-02-15 04:28:27</t>
        </is>
      </c>
      <c r="H747" t="inlineStr"/>
    </row>
    <row r="748">
      <c r="A748" t="inlineStr">
        <is>
          <t>aqw9jd</t>
        </is>
      </c>
      <c r="B748" t="inlineStr">
        <is>
          <t>I hate seeing my mom suffer</t>
        </is>
      </c>
      <c r="C748" t="inlineStr">
        <is>
          <t xml:space="preserve">It just baffles me that she went from a cheerful person living with a healthy and good lifestyle go to being diagnosed with cancer. It hurts seeing her hide her pain when i’m not around because she doesn’t want me to feel sad over it, I don’t know what to do, i’m scared. I’m not even sure if she’ll ever see the day where I graduate from college or have kids. I am lost without her. Fuck this disease. Fuck cancer. </t>
        </is>
      </c>
      <c r="D748" t="n">
        <v>1</v>
      </c>
      <c r="E748" t="n">
        <v>10</v>
      </c>
      <c r="F748">
        <f>HYPERLINK("https://www.reddit.com/r/cancer/comments/aqw9jd/i_hate_seeing_my_mom_suffer/")</f>
        <v/>
      </c>
      <c r="G748" t="inlineStr">
        <is>
          <t>2019-02-15 04:52:46</t>
        </is>
      </c>
      <c r="H748" t="inlineStr"/>
    </row>
    <row r="749">
      <c r="A749" t="inlineStr">
        <is>
          <t>aqwif5</t>
        </is>
      </c>
      <c r="B749" t="inlineStr">
        <is>
          <t>What can I do to help?</t>
        </is>
      </c>
      <c r="C749" t="inlineStr">
        <is>
          <t xml:space="preserve">My best friends mom found out that her bladder cancer is back. She’s been in remission for awhile but it’s back. I’m very very close with her and her family. They moved to Texas a few months ago so I can’t physically be there for them but I want to do something. What are some things I can send them? I want to send her stuff she can do in the hospital when she goes through chemo. Like puzzle books and such. But is there anything else you guys found helped while being in the hospital? 
Thanks for any help! </t>
        </is>
      </c>
      <c r="D749" t="n">
        <v>1</v>
      </c>
      <c r="E749" t="n">
        <v>5</v>
      </c>
      <c r="F749">
        <f>HYPERLINK("https://www.reddit.com/r/cancer/comments/aqwif5/what_can_i_do_to_help/")</f>
        <v/>
      </c>
      <c r="G749" t="inlineStr">
        <is>
          <t>2019-02-15 05:23:23</t>
        </is>
      </c>
      <c r="H749" t="inlineStr"/>
    </row>
    <row r="750">
      <c r="A750" t="inlineStr">
        <is>
          <t>aqxape</t>
        </is>
      </c>
      <c r="B750" t="inlineStr">
        <is>
          <t>Eff cancer</t>
        </is>
      </c>
      <c r="C750" t="inlineStr">
        <is>
          <t>Yesterday, I got the results of my 21-month scan and the shadow that they were tracking from the last scan grew and therefore is not a shadow - though it is very small and very localized. So, I'm no longer NED (though technically I suppose I wasn't three months ago either). 
I start immunotherapy on Thursday, and I'll be doing that every three weeks for up to the next two years. 
My doctor seems optimistic, so I am too, but I am annoyed. I was getting so close to that two-year mark. 
Gah!  
Thanks for a place to vent.</t>
        </is>
      </c>
      <c r="D750" t="n">
        <v>1</v>
      </c>
      <c r="E750" t="n">
        <v>13</v>
      </c>
      <c r="F750">
        <f>HYPERLINK("https://www.reddit.com/r/cancer/comments/aqxape/eff_cancer/")</f>
        <v/>
      </c>
      <c r="G750" t="inlineStr">
        <is>
          <t>2019-02-15 06:52:16</t>
        </is>
      </c>
      <c r="H750" t="inlineStr"/>
    </row>
    <row r="751">
      <c r="A751" t="inlineStr">
        <is>
          <t>ar07fz</t>
        </is>
      </c>
      <c r="B751" t="inlineStr">
        <is>
          <t>A member of my family was diagnosed with cancer last Friday. He was discharged from hospital on Tuesday, whilst awaiting results. Over the last 2 days he has suddenly become very confused, forgetful, doesn't want to take pain meds or eat/drink. Has anyone had any experience with this?</t>
        </is>
      </c>
      <c r="C751" t="inlineStr">
        <is>
          <t xml:space="preserve">Have spoken to Gp and macmillan nurse who aren't surprised by his behaviour. </t>
        </is>
      </c>
      <c r="D751" t="n">
        <v>1</v>
      </c>
      <c r="E751" t="n">
        <v>9</v>
      </c>
      <c r="F751">
        <f>HYPERLINK("https://www.reddit.com/r/cancer/comments/ar07fz/a_member_of_my_family_was_diagnosed_with_cancer/")</f>
        <v/>
      </c>
      <c r="G751" t="inlineStr">
        <is>
          <t>2019-02-15 11:25:46</t>
        </is>
      </c>
      <c r="H751" t="inlineStr"/>
    </row>
    <row r="752">
      <c r="A752" t="inlineStr">
        <is>
          <t>ar1hz7</t>
        </is>
      </c>
      <c r="B752" t="inlineStr">
        <is>
          <t>I think I have testicular cancer</t>
        </is>
      </c>
      <c r="C752" t="inlineStr">
        <is>
          <t xml:space="preserve">Im a 13 a male (obviously) and I’ve been experiencing pain in my right testicle for about 3 days now. I did some research and I’m very scared. My testicles aren’t swollen, neither of them are too big or too small but the pain just won’t go away. I don’t know if this is the right subreddit but I wanted to ask for help anyway. I’m too ashamed to tell my parents about this but I’m sure there’s some things I can do to find out if this is cancer or not before telling them. Please help! Serious answers only! </t>
        </is>
      </c>
      <c r="D752" t="n">
        <v>1</v>
      </c>
      <c r="E752" t="n">
        <v>15</v>
      </c>
      <c r="F752">
        <f>HYPERLINK("https://www.reddit.com/r/cancer/comments/ar1hz7/i_think_i_have_testicular_cancer/")</f>
        <v/>
      </c>
      <c r="G752" t="inlineStr">
        <is>
          <t>2019-02-15 13:27:41</t>
        </is>
      </c>
      <c r="H752" t="inlineStr"/>
    </row>
    <row r="753">
      <c r="A753" t="inlineStr">
        <is>
          <t>ar1ok6</t>
        </is>
      </c>
      <c r="B753" t="inlineStr">
        <is>
          <t>I’m 19, worried I might have blood cancer.</t>
        </is>
      </c>
      <c r="C753" t="inlineStr">
        <is>
          <t xml:space="preserve">I have OCD and suffer from some anxiety, so I might be a lot more paranoid than necessary. Just letting you guys know. 
Now, I’ve always been someone who enjoys going for walks in sunny weather. Almost everyday I’d put in my headphones and go for a walk, staying outside for about an hour. Sometimes more, sometimes less. I’d usually do this 3 times a day: Once in the afternoon (between 1-3 PM), once in the evening (between 4-7 PM), and once at night ( 9-10 PM ). I’ve never had any complications with the weather as far as I know. I’d itch if it was too hot, but that’s usually only if I have a jacket/sweater on when it isn’t called for, or if I’m wearing black (which I am at the time I’m typing this). Other than that, neither the sun ‘nor the temperature of the air really bothered me back then.
But as of late, say.. maybe since December (?) or even a little earlier, my skin has been getting very irritated whenever I go outside in the heat (it doesn’t happen in cold weather, I believe). It wouldn’t happen immediately, but pretty soon after I went out, my skin would begin to itch like crazy in a bunch of places. It’d get to the point where I’d have to run back inside as fast as possible so I could turn on the little fan in my room to get rid of all the annoying itching in places I can’t scratch in public. 
Just a few minutes ago, I was trying to find an answer as to why all of this is happening, to why my skin has been getting so insanely irritated when I go outside, and an article had pointed out that itchy skin can be a sign of blood cancer. Now, being that my mental health isn’t so good due to OCD and paranoia, I instantly went with the worst case scenario and began to look up the symptoms, and sure enough, itchy skin is one of them. You can imagine I’m freaking out pretty bad, but have refrained from looking up anymore of the symptoms, as I don’t want to put even more fear into myself.
Needless to say, it might not be so likely, as I don’t experience any other of the common symptoms that were listed. On top of that, my skin really only acts up when I’m outside in hot weather. I’m not constantly itching when I’m inside. Well I might be, I’m not sure. My paranoia now has me wondering how often I itch even when I’m inside now. Ugh. I’m very sorry if I’m being worried over nothing and just wasting y’all’s time. I just need some reassurance or some advice. </t>
        </is>
      </c>
      <c r="D753" t="n">
        <v>1</v>
      </c>
      <c r="E753" t="n">
        <v>1</v>
      </c>
      <c r="F753">
        <f>HYPERLINK("https://www.reddit.com/r/cancer/comments/ar1ok6/im_19_worried_i_might_have_blood_cancer/")</f>
        <v/>
      </c>
      <c r="G753" t="inlineStr">
        <is>
          <t>2019-02-15 13:45:30</t>
        </is>
      </c>
      <c r="H753" t="inlineStr"/>
    </row>
    <row r="754">
      <c r="A754" t="inlineStr">
        <is>
          <t>ar280h</t>
        </is>
      </c>
      <c r="B754" t="inlineStr">
        <is>
          <t>I feel so despress after cancer treatment</t>
        </is>
      </c>
      <c r="C754" t="inlineStr">
        <is>
          <t>Finally my doctor said that I am cancer free from skin cancer. I supposed to be happy because of this good news but I don’t know why I feel so despress. I always think I am not deserve it or I should die so other cancer pateints can live. did anyone here go through this state? And could you please tell me hope to cope with it?
Thank you so much</t>
        </is>
      </c>
      <c r="D754" t="n">
        <v>1</v>
      </c>
      <c r="E754" t="n">
        <v>2</v>
      </c>
      <c r="F754">
        <f>HYPERLINK("https://www.reddit.com/r/cancer/comments/ar280h/i_feel_so_despress_after_cancer_treatment/")</f>
        <v/>
      </c>
      <c r="G754" t="inlineStr">
        <is>
          <t>2019-02-15 14:39:31</t>
        </is>
      </c>
      <c r="H754" t="inlineStr"/>
    </row>
    <row r="755">
      <c r="A755" t="inlineStr">
        <is>
          <t>ar2b0y</t>
        </is>
      </c>
      <c r="B755" t="inlineStr">
        <is>
          <t>Goodbye, Dad. I love you.</t>
        </is>
      </c>
      <c r="C755" t="inlineStr">
        <is>
          <t>Time of death: 12:15pm.  02/23/1961 - 02/15/2019
Thankful that you are no longer suffering.  I'll miss you always.</t>
        </is>
      </c>
      <c r="D755" t="n">
        <v>1</v>
      </c>
      <c r="E755" t="n">
        <v>42</v>
      </c>
      <c r="F755">
        <f>HYPERLINK("https://www.reddit.com/r/cancer/comments/ar2b0y/goodbye_dad_i_love_you/")</f>
        <v/>
      </c>
      <c r="G755" t="inlineStr">
        <is>
          <t>2019-02-15 14:47:46</t>
        </is>
      </c>
      <c r="H755" t="inlineStr"/>
    </row>
    <row r="756">
      <c r="A756" t="inlineStr">
        <is>
          <t>ar4jc5</t>
        </is>
      </c>
      <c r="B756" t="inlineStr">
        <is>
          <t>Just need a few tips!</t>
        </is>
      </c>
      <c r="C756" t="inlineStr">
        <is>
          <t>Hey everyone! My mom was diagnosed with breast cancer last December, which I'm told is fairly advanced, and since I'm in college in another country I cannot spend a lot of time with her or do a lot for her. 
I know for a fact she wants me to buy her a wig since she has lost her hair to chemo- but I'm really confused what kind of wigs are best (money isn't an issue here). Her complexion is medium-ish?? A typical north Indian woman's complexion I'd say.
Also, what other things could I buy her which would make her happy? I was thinking of getting a set of pictures of our family framed and fly to her during her birthday- since it'll be during my college she wouldn't be expecting this.
Lastly, im not sure how well I'm dealing with this- it's more like nothing has changed in my routine, I talk to her the same amount, I haven't really told any of my friends about this either (I feel I'll be let off by everyone much more as they'll take this as an excuse). Is this normal? Is this denial? I also believe if I let this get to me too much, it'll start affecting everything around me, which kind of sounds selfish. 
Any help is appreciated!</t>
        </is>
      </c>
      <c r="D756" t="n">
        <v>5</v>
      </c>
      <c r="E756" t="n">
        <v>3</v>
      </c>
      <c r="F756">
        <f>HYPERLINK("https://www.reddit.com/r/cancer/comments/ar4jc5/just_need_a_few_tips/")</f>
        <v/>
      </c>
      <c r="G756" t="inlineStr">
        <is>
          <t>2019-02-15 18:58:39</t>
        </is>
      </c>
      <c r="H756" t="inlineStr"/>
    </row>
    <row r="757">
      <c r="A757" t="inlineStr">
        <is>
          <t>ar4vc5</t>
        </is>
      </c>
      <c r="B757" t="inlineStr">
        <is>
          <t>Just received word my dad doesn't even have a week left...</t>
        </is>
      </c>
      <c r="C757" t="inlineStr">
        <is>
          <t xml:space="preserve">Our hospice nurse literally just told us it could be any day but she doesn't think he'll make it through the week.  I should be sad and full of despair but I literally am just numb what is wrong with me?  </t>
        </is>
      </c>
      <c r="D757" t="n">
        <v>6</v>
      </c>
      <c r="E757" t="n">
        <v>7</v>
      </c>
      <c r="F757">
        <f>HYPERLINK("https://www.reddit.com/r/cancer/comments/ar4vc5/just_received_word_my_dad_doesnt_even_have_a_week/")</f>
        <v/>
      </c>
      <c r="G757" t="inlineStr">
        <is>
          <t>2019-02-15 19:38:42</t>
        </is>
      </c>
      <c r="H757" t="inlineStr"/>
    </row>
    <row r="758">
      <c r="A758" t="inlineStr">
        <is>
          <t>ar55lx</t>
        </is>
      </c>
      <c r="B758" t="inlineStr">
        <is>
          <t>How can I help my uncle?</t>
        </is>
      </c>
      <c r="C758" t="inlineStr">
        <is>
          <t xml:space="preserve">My uncle just found out he has lung cancer. He stopped smoking 35 years ago but smokes cigars still. 
We don't know the type of cancer but I think it's non small cell since there is mast and its affected his lymph nodes. That's all we know right now. He had an MRI for something else and it was found by accident. Now he's going to have everything else done in the coming weeks to tell him more. 
How can I help his family? My aunt and him and cousin. Would just dropping a dinner be too weird? We are supposed to have bday party at my parents house this week and they were going to bring the main food (they're italian and was going to bring italian food), so obvi I don't want them to do that anymore. I don't even know if they'll want to come to my parents house. 
I just want to help them without being intrusive. How can I do that? How can my family do that? We are all pretty close. Not like 100% close but close. I see them for every holiday and bday. I need to help him and my aunt. I'm the nephew. </t>
        </is>
      </c>
      <c r="D758" t="n">
        <v>7</v>
      </c>
      <c r="E758" t="n">
        <v>0</v>
      </c>
      <c r="F758">
        <f>HYPERLINK("https://www.reddit.com/r/cancer/comments/ar55lx/how_can_i_help_my_uncle/")</f>
        <v/>
      </c>
      <c r="G758" t="inlineStr">
        <is>
          <t>2019-02-15 20:12:33</t>
        </is>
      </c>
      <c r="H758" t="inlineStr"/>
    </row>
    <row r="759">
      <c r="A759" t="inlineStr">
        <is>
          <t>ar5pe1</t>
        </is>
      </c>
      <c r="B759" t="inlineStr">
        <is>
          <t>Revolade 25mg tablet online</t>
        </is>
      </c>
      <c r="C759" t="inlineStr">
        <is>
          <t xml:space="preserve">Eltrombopag is an oral tablet which is available as the brand-name drug [**Revolade 25mg**](http://anti-cancer-drugs.com/revolade-25mg.php). The drug is not available as a generic drug, it is a prescription drug which is used under the guidance of the doctor, this drug may be used as part of a combination therapy. Thereby drug may need to take it with other medications </t>
        </is>
      </c>
      <c r="D759" t="n">
        <v>0</v>
      </c>
      <c r="E759" t="n">
        <v>0</v>
      </c>
      <c r="F759">
        <f>HYPERLINK("https://www.reddit.com/r/cancer/comments/ar5pe1/revolade_25mg_tablet_online/")</f>
        <v/>
      </c>
      <c r="G759" t="inlineStr">
        <is>
          <t>2019-02-15 21:23:43</t>
        </is>
      </c>
      <c r="H759" t="inlineStr"/>
    </row>
    <row r="760">
      <c r="A760" t="inlineStr">
        <is>
          <t>ar63kq</t>
        </is>
      </c>
      <c r="B760" t="inlineStr">
        <is>
          <t>Help</t>
        </is>
      </c>
      <c r="C760" t="inlineStr">
        <is>
          <t xml:space="preserve">My friend recently lost her dad to lymphoma, so she is staying with me for a while. I want to help her mourn as best as possible but i dont want accidentally say something that will upset her. What are odd things that I need to avoid doing/saying? </t>
        </is>
      </c>
      <c r="D760" t="n">
        <v>5</v>
      </c>
      <c r="E760" t="n">
        <v>4</v>
      </c>
      <c r="F760">
        <f>HYPERLINK("https://www.reddit.com/r/cancer/comments/ar63kq/help/")</f>
        <v/>
      </c>
      <c r="G760" t="inlineStr">
        <is>
          <t>2019-02-15 22:16:39</t>
        </is>
      </c>
      <c r="H760" t="inlineStr"/>
    </row>
    <row r="761">
      <c r="A761" t="inlineStr">
        <is>
          <t>ar6vmj</t>
        </is>
      </c>
      <c r="B761" t="inlineStr">
        <is>
          <t>Postdoctoral Fellow Position in Cancer Genomics (Switzerland)</t>
        </is>
      </c>
      <c r="C761" t="inlineStr">
        <is>
          <t>A postdoctoral research fellow position is available in Department of Biomedicine, Basel, Switzerland [http://positionstoday.com/postdoc/postdoctoral-fellow-position-in-cancer-genomics/](http://positionstoday.com/postdoc/postdoctoral-fellow-position-in-cancer-genomics/)</t>
        </is>
      </c>
      <c r="D761" t="n">
        <v>0</v>
      </c>
      <c r="E761" t="n">
        <v>0</v>
      </c>
      <c r="F761">
        <f>HYPERLINK("https://www.reddit.com/r/cancer/comments/ar6vmj/postdoctoral_fellow_position_in_cancer_genomics/")</f>
        <v/>
      </c>
      <c r="G761" t="inlineStr">
        <is>
          <t>2019-02-16 00:18:28</t>
        </is>
      </c>
      <c r="H761" t="inlineStr"/>
    </row>
    <row r="762">
      <c r="A762" t="inlineStr">
        <is>
          <t>ar809s</t>
        </is>
      </c>
      <c r="B762" t="inlineStr">
        <is>
          <t>I cant help but cry uncontrollably when I think about the night I was diagnosed.</t>
        </is>
      </c>
      <c r="C762" t="inlineStr">
        <is>
          <t xml:space="preserve">I dont know. Randomly I'll get inside my own head and start thinking about the night I was diagnosed (October 26th, 2017). The look on my s/o's face after they told me.. literally minutes before he was comforting me and telling me to not worry. That is cant be cancer..  That raw emotion... the anxiety of it all really gets to me. How can I cope?
**I've been in remission since October 2018 but these thoughts still haunt me. </t>
        </is>
      </c>
      <c r="D762" t="n">
        <v>1</v>
      </c>
      <c r="E762" t="n">
        <v>0</v>
      </c>
      <c r="F762">
        <f>HYPERLINK("https://www.reddit.com/r/cancer/comments/ar809s/i_cant_help_but_cry_uncontrollably_when_i_think/")</f>
        <v/>
      </c>
      <c r="G762" t="inlineStr">
        <is>
          <t>2019-02-16 03:29:38</t>
        </is>
      </c>
      <c r="H762" t="inlineStr"/>
    </row>
    <row r="763">
      <c r="A763" t="inlineStr">
        <is>
          <t>arb7tt</t>
        </is>
      </c>
      <c r="B763" t="inlineStr">
        <is>
          <t>Moms moving to home health soon, no treatment, boyfriend is being a dick in my mind</t>
        </is>
      </c>
      <c r="C763" t="inlineStr">
        <is>
          <t xml:space="preserve">So my mom is getting really weak and she’s being moved to home health, and then likely hospice in the next few days. My boyfriend came out this week with me as he lives in San Diego, and the whole week he’s let me know that being at the hospital with my family is stressful for him and he doesn’t want to come up. A couple of weeks ago when I was first going through all of this with my mom, he told me I was making the situation about me. I keep trying to explain to him that this continued added narrative about how this is making him stressed is adding stress to me, because I care about his stress but ultimately I don’t fucking care about whether he’s stressed out. I don’t know what to fucking do. My family is leaving soon and I feel so fucking alone. I had to fill out parts of her will yesterday because she’s too weak to do anything. I feel like a nuisance and a burden to him, to my friends. I feel like a bad daughter. I am just having such a hard time and I don’t know what to do. He continues to tell me I’m the one spinning the problems, but I don’t think I am. We were supposed to go snowboarding tomorrow and I originally thought I wanted to but after some thought I decided I didn’t and he got upset about the fact I was cancelling, telling me I need to be more selfish. He’s just adding so much stress. I want him to leave but I also don’t feel like I have anyone else. </t>
        </is>
      </c>
      <c r="D763" t="n">
        <v>44</v>
      </c>
      <c r="E763" t="n">
        <v>33</v>
      </c>
      <c r="F763">
        <f>HYPERLINK("https://www.reddit.com/r/cancer/comments/arb7tt/moms_moving_to_home_health_soon_no_treatment/")</f>
        <v/>
      </c>
      <c r="G763" t="inlineStr">
        <is>
          <t>2019-02-16 10:00:47</t>
        </is>
      </c>
      <c r="H763" t="inlineStr"/>
    </row>
    <row r="764">
      <c r="A764" t="inlineStr">
        <is>
          <t>arbp5i</t>
        </is>
      </c>
      <c r="B764" t="inlineStr">
        <is>
          <t>Last night my Uncle lost his battle.</t>
        </is>
      </c>
      <c r="C764" t="inlineStr">
        <is>
          <t xml:space="preserve">My Aunt's husband had been fighting cancer for several years. When it first appeared surgery kept it at bay. When it reappeared elsewhere, chemo and keytruda seemed to ward it off. When it came back again it got the upper hand. He was admitted to the hospital a few days ago and passed away last night. 
I feel so awful for my Aunt who I love dearly. He was the love of her life. They have been married for about 20 years or so. He made her so happy. I feel so terrible for her loss. They live 1500 miles away but we did have visits from time to time over the years. He was a very kind and loving man, very happy and always made people smile. 
He also was a World of Warcraft fan, which is something we share in common. We had talked about playing together during the last few months, and even arranged getting characters on the same realm, but didn't get the opportunity to play due to timing conflicts. I know it's not very important in the scope of things, but I wish we had gotten to. 
I hate cancer. </t>
        </is>
      </c>
      <c r="D764" t="n">
        <v>3</v>
      </c>
      <c r="E764" t="n">
        <v>0</v>
      </c>
      <c r="F764">
        <f>HYPERLINK("https://www.reddit.com/r/cancer/comments/arbp5i/last_night_my_uncle_lost_his_battle/")</f>
        <v/>
      </c>
      <c r="G764" t="inlineStr">
        <is>
          <t>2019-02-16 10:47:59</t>
        </is>
      </c>
      <c r="H764" t="inlineStr"/>
    </row>
    <row r="765">
      <c r="A765" t="inlineStr">
        <is>
          <t>arbq0i</t>
        </is>
      </c>
      <c r="B765" t="inlineStr">
        <is>
          <t>Butt wipes</t>
        </is>
      </c>
      <c r="C765" t="inlineStr">
        <is>
          <t>Sorry for the awkward title. I couldn’t think of a better way to word it. 
Part of my cancer surgery involved a colon resection. My doctor explained my colon would slowly “wake up” and it is. That’s fantastic. However, I’m on the toilet a lot, with a lot of frequency and little form. I know that will come. 
It’s very messy. 
It’s really hard to wipe because I can’t really bend, but I can get it with butt wipes. However, my anus is so irritated. It feels like it has a million little paper cuts being immersed in alcohol. Looking for some good suggestions for butt wipes that won’t hurt so much!</t>
        </is>
      </c>
      <c r="D765" t="n">
        <v>7</v>
      </c>
      <c r="E765" t="n">
        <v>21</v>
      </c>
      <c r="F765">
        <f>HYPERLINK("https://www.reddit.com/r/cancer/comments/arbq0i/butt_wipes/")</f>
        <v/>
      </c>
      <c r="G765" t="inlineStr">
        <is>
          <t>2019-02-16 10:50:21</t>
        </is>
      </c>
      <c r="H765" t="inlineStr"/>
    </row>
    <row r="766">
      <c r="A766" t="inlineStr">
        <is>
          <t>arbu3l</t>
        </is>
      </c>
      <c r="B766" t="inlineStr">
        <is>
          <t>When/how should I see a doctor?</t>
        </is>
      </c>
      <c r="C766" t="inlineStr">
        <is>
          <t>This isn’t a “is it cancer thread” I am a little concerned and wondering if I should go to a doctor. I had a lot of family pass away from cancer like my grandparents and my dad. I’m 19 years old and found what feels like a small ball like thing, maybe the size of a dime in between my scrotum and my anus on my right buttcheek. This is sort of weird even typing but I value my health and don’t want to get sick like my dad was and I’m just wondering if I need to see a doctor. I really don’t feel comfortable talking with this to anyone like my mom or friends so wanted to type here.</t>
        </is>
      </c>
      <c r="D766" t="n">
        <v>2</v>
      </c>
      <c r="E766" t="n">
        <v>5</v>
      </c>
      <c r="F766">
        <f>HYPERLINK("https://www.reddit.com/r/cancer/comments/arbu3l/whenhow_should_i_see_a_doctor/")</f>
        <v/>
      </c>
      <c r="G766" t="inlineStr">
        <is>
          <t>2019-02-16 11:01:40</t>
        </is>
      </c>
      <c r="H766" t="inlineStr"/>
    </row>
    <row r="767">
      <c r="A767" t="inlineStr">
        <is>
          <t>ard8c7</t>
        </is>
      </c>
      <c r="B767" t="inlineStr">
        <is>
          <t>5/17 Bladder Cancer diagnosis</t>
        </is>
      </c>
      <c r="C767" t="inlineStr">
        <is>
          <t xml:space="preserve">So far, I’ve had 4 TURBT surgeries to remove growths in my bladder. My 5th surgery is scheduled for 2/28/19. In between surgeries I’ve had 3 courses of installations into the bladder via my urethra of BCG and Interferon. I worked full time the whole while, but I finally had to retire on 1/30/19. I just can’t work and do these treatments anymore. I have unusual reactions to the installations, including chills, fever, vomiting, nausea. 
I love my Urologist and his staff, and feel lucky to have them. I’ve now been referred to Stanford Hospital for this upcoming 5th surgery and a new specialist. I’m so weary of being treated. All I want is to not feel extremely tired anymore, and to have this behind me. Every time I think we’ve licked it, it comes back. 
I’m 67 in a couple of weeks, pretty healthy except for this. </t>
        </is>
      </c>
      <c r="D767" t="n">
        <v>24</v>
      </c>
      <c r="E767" t="n">
        <v>12</v>
      </c>
      <c r="F767">
        <f>HYPERLINK("https://www.reddit.com/r/cancer/comments/ard8c7/517_bladder_cancer_diagnosis/")</f>
        <v/>
      </c>
      <c r="G767" t="inlineStr">
        <is>
          <t>2019-02-16 13:23:12</t>
        </is>
      </c>
      <c r="H767" t="inlineStr"/>
    </row>
    <row r="768">
      <c r="A768" t="inlineStr">
        <is>
          <t>arez5x</t>
        </is>
      </c>
      <c r="B768" t="inlineStr">
        <is>
          <t>Where can I sign my mother up for clinical trials</t>
        </is>
      </c>
      <c r="C768" t="inlineStr">
        <is>
          <t>She qualified for rucaparib but it didn't work. She's done like 4 or 5 chemo treatments now but they won't try any again. I hear they're doing good stuff with immunotherapy or cutting edge stuff that isn't ok'ed with FDA or whatever. Is there a list or something? Do I have to email every cancer center personally?
If that's the case is there a list of emails or contact info? Thanks in advance.</t>
        </is>
      </c>
      <c r="D768" t="n">
        <v>4</v>
      </c>
      <c r="E768" t="n">
        <v>6</v>
      </c>
      <c r="F768">
        <f>HYPERLINK("https://www.reddit.com/r/cancer/comments/arez5x/where_can_i_sign_my_mother_up_for_clinical_trials/")</f>
        <v/>
      </c>
      <c r="G768" t="inlineStr">
        <is>
          <t>2019-02-16 16:23:21</t>
        </is>
      </c>
      <c r="H768" t="inlineStr"/>
    </row>
    <row r="769">
      <c r="A769" t="inlineStr">
        <is>
          <t>arf35h</t>
        </is>
      </c>
      <c r="B769" t="inlineStr">
        <is>
          <t>In just a couple of weeks, I will become my mom's caregiver, and I have a request.</t>
        </is>
      </c>
      <c r="C769" t="inlineStr">
        <is>
          <t xml:space="preserve">Preface to add, I apologize for any formatting or grammar errors, I am on my cellphone at the moment, so please bear with me.
So, not that it matters much but my mom is 48, I am 23. She went to the ER for seizures and other stuff a little less than a week ago, and scans revealed a tumor in her brain. They can't make an official diagnosis until after surgery and biopsy and whatnot, but they are almost 100% certain it is a glioblastoma. I am well aware that the outlook for this is not good and she likely doesnt have a lot of time left. That said, brain surgery is this upcoming Tuesday, and once (if...) she has recovered some, she will begin chemo and radiation. She has watched several loves ones go through chemo and radiation, but never for the brain, and of course a lot of this was in the 80s and 90s. She has been pretty open with me about what she has seen, the weight loss, sores, burns, hair loss, ect. But I haven't seen the things she has seen. I understand that each person will react differently, but I am a big fan of being informed and educated. Especially with this. We don't have any other family, it's her and I for the most part, unless you count my partner and some of his family, but none of them will be her caregiver. I am responsible for everything should I need to be, from her bank account and storage unit to her medical decisions, if she is no longer coherent. Anyways, sorry I tend to ramble a bit. In the spirit of being informed, I want to ask, what is it like to watch a loved one go through this? What am I about to go through? I do not want anyone to hold back, if you're able. I do not want to stir up bad memories, of course, but I do not need coddling, nor do I need to be sheltered or protected from this. Tell me the worst of the worst. The best of the best. I NEED to know. The little bit that we know at this point is that she isn't expected to have any personality changes, little to no big memory problems, right now she is struggling some with names of things, like what the name of a watch is, ect. That might get worse, but we won't know until after the tumor is removed. She is coming to stay with us tomorrow. I worked as a CNA for a little while so I know how to care for someone who is unable to care for themselves. I just need to have some idea of what to expect. Thank you all for any information you are willing to provide, and I am sorry if any of this brings up bad memories for you. </t>
        </is>
      </c>
      <c r="D769" t="n">
        <v>16</v>
      </c>
      <c r="E769" t="n">
        <v>12</v>
      </c>
      <c r="F769">
        <f>HYPERLINK("https://www.reddit.com/r/cancer/comments/arf35h/in_just_a_couple_of_weeks_i_will_become_my_moms/")</f>
        <v/>
      </c>
      <c r="G769" t="inlineStr">
        <is>
          <t>2019-02-16 16:35:11</t>
        </is>
      </c>
      <c r="H769" t="inlineStr"/>
    </row>
    <row r="770">
      <c r="A770" t="inlineStr">
        <is>
          <t>arg46l</t>
        </is>
      </c>
      <c r="B770" t="inlineStr">
        <is>
          <t>I need to rant.</t>
        </is>
      </c>
      <c r="C770" t="inlineStr">
        <is>
          <t>My mom, who is on excessive amounts of chemo and narcotics was just informed that whatever drug she was taking to "help her stay awake" (that's what she told me) is no longer covered. One month into the year. I hate these insurance companies that so arbitrarily play with the lives of the ones we love..her depression is at an all-time low, and she can barely function (if you were on as as much fentanyl as she was with her spinal mets, you'd be barely functioning, too). 
I just wish there was decency out there when it came to coverage.</t>
        </is>
      </c>
      <c r="D770" t="n">
        <v>66</v>
      </c>
      <c r="E770" t="n">
        <v>27</v>
      </c>
      <c r="F770">
        <f>HYPERLINK("https://www.reddit.com/r/cancer/comments/arg46l/i_need_to_rant/")</f>
        <v/>
      </c>
      <c r="G770" t="inlineStr">
        <is>
          <t>2019-02-16 18:31:12</t>
        </is>
      </c>
      <c r="H770" t="inlineStr"/>
    </row>
    <row r="771">
      <c r="A771" t="inlineStr">
        <is>
          <t>argk9b</t>
        </is>
      </c>
      <c r="B771" t="inlineStr">
        <is>
          <t>I may have cancer</t>
        </is>
      </c>
      <c r="C771" t="inlineStr">
        <is>
          <t xml:space="preserve">I was diagnosed with neurofibromatosis type 1 when I was born. My father was also diagnosed with the same genetic disorder and died at age 41 from a glioblastoma stage 4. I had an MRI done and they found spots on my brain. I went in due to olfactory hallucinations. The spots were found in the part of the brain where the mind perceives smells. There’s no conformation of cancer. But there’s still that possibility. I’m not sure how I’m supposed to feel. I’m not sure what I’m supposed to do. I’m afraid. </t>
        </is>
      </c>
      <c r="D771" t="n">
        <v>5</v>
      </c>
      <c r="E771" t="n">
        <v>7</v>
      </c>
      <c r="F771">
        <f>HYPERLINK("https://www.reddit.com/r/cancer/comments/argk9b/i_may_have_cancer/")</f>
        <v/>
      </c>
      <c r="G771" t="inlineStr">
        <is>
          <t>2019-02-16 19:25:01</t>
        </is>
      </c>
      <c r="H771" t="inlineStr"/>
    </row>
    <row r="772">
      <c r="A772" t="inlineStr">
        <is>
          <t>argvdj</t>
        </is>
      </c>
      <c r="B772" t="inlineStr">
        <is>
          <t>Every conversation is about cancer</t>
        </is>
      </c>
      <c r="C772" t="inlineStr">
        <is>
          <t>Ever since I got the brain cancer prognosis 5 months ago, nearly every conversation I have involves a discussion about cancer. I'm tired of thinking about it and talking about it, but at the same time I seem to have lost any interest in anything beyond trying to figure out how to stay alive as long as possible.
My old hobbies now bore me, and I'm having a hard time finding something new. I'm back to work at a job I used to be passionate about, but now I couldn't care less. I avoid social situations because all I have to talk about is cancer.
I'm in a funk and I'm not sure how to get out. I've always been a happy, curious person and I'm starting to feel like I turned into someone who's now just waiting out the inevitable... so what's the point to do or think about anything else.
Any advice?</t>
        </is>
      </c>
      <c r="D772" t="n">
        <v>25</v>
      </c>
      <c r="E772" t="n">
        <v>14</v>
      </c>
      <c r="F772">
        <f>HYPERLINK("https://www.reddit.com/r/cancer/comments/argvdj/every_conversation_is_about_cancer/")</f>
        <v/>
      </c>
      <c r="G772" t="inlineStr">
        <is>
          <t>2019-02-16 20:02:03</t>
        </is>
      </c>
      <c r="H772" t="inlineStr"/>
    </row>
    <row r="773">
      <c r="A773" t="inlineStr">
        <is>
          <t>ariohq</t>
        </is>
      </c>
      <c r="B773" t="inlineStr">
        <is>
          <t>Are they making his cancer worse?</t>
        </is>
      </c>
      <c r="C773" t="inlineStr">
        <is>
          <t>So I've read a lot about casein and caseinate. It's been promoted as something positive for the body and help with building muscle yada yada. But there are so many recent studies I've come across that point to it being carcinogenic. And these scientists are beyond credible, one being Dr. T. Colin Campbell (I look up to his work so much).
My best friend is 22 and got over his cancer last year. It came back, and is now affecting his CNS. He's laying in bed not able to control his body or face much at all. He has lung and blood problems. I'm really scared for him. On the bag of "food" they pump into his stomach, it lists canola oil and caseinate at the top of the ingredients. Why on Earth..?? Fatty oil and cancer-promoting caseinate is supposed to help?
Does anybody know about this? I need somebody to ask but I don't know who. I need my friend here with me.</t>
        </is>
      </c>
      <c r="D773" t="n">
        <v>4</v>
      </c>
      <c r="E773" t="n">
        <v>7</v>
      </c>
      <c r="F773">
        <f>HYPERLINK("https://www.reddit.com/r/cancer/comments/ariohq/are_they_making_his_cancer_worse/")</f>
        <v/>
      </c>
      <c r="G773" t="inlineStr">
        <is>
          <t>2019-02-17 00:21:26</t>
        </is>
      </c>
      <c r="H773" t="inlineStr"/>
    </row>
    <row r="774">
      <c r="A774" t="inlineStr">
        <is>
          <t>ariqin</t>
        </is>
      </c>
      <c r="B774" t="inlineStr">
        <is>
          <t>New Subreddit for those in remission!</t>
        </is>
      </c>
      <c r="C774" t="inlineStr">
        <is>
          <t>Thankfully, more people than ever are surviving cancer. But many struggle with life after the disease; you are expected to be elated, but we are often left feeling confused, depressed, isolated, exhausted and/or angry - or just a bit 'meh'.
&amp;amp;#x200B;
The good news is that you are **not** nuts, you are **not** ungrateful nor a wimp, and you do not automatically require professional help (though you may find it helps!). 
&amp;amp;#x200B;
Come and join a brand new community of others who might be feeling similar; r/Remission</t>
        </is>
      </c>
      <c r="D774" t="n">
        <v>39</v>
      </c>
      <c r="E774" t="n">
        <v>14</v>
      </c>
      <c r="F774">
        <f>HYPERLINK("https://www.reddit.com/r/cancer/comments/ariqin/new_subreddit_for_those_in_remission/")</f>
        <v/>
      </c>
      <c r="G774" t="inlineStr">
        <is>
          <t>2019-02-17 00:31:06</t>
        </is>
      </c>
      <c r="H774" t="inlineStr"/>
    </row>
    <row r="775">
      <c r="A775" t="inlineStr">
        <is>
          <t>arkxm3</t>
        </is>
      </c>
      <c r="B775" t="inlineStr">
        <is>
          <t>Has anyone else developed an intolerance to alcohol post chemo?</t>
        </is>
      </c>
      <c r="C775" t="inlineStr">
        <is>
          <t xml:space="preserve">I've been in remission for about three years now and can barely drink 3 beers before I'm completely trashed and have awful hangovers the next morning. Obviously the fix for this is not drinking, but I'm curious if anyone else has had a similar experience. </t>
        </is>
      </c>
      <c r="D775" t="n">
        <v>25</v>
      </c>
      <c r="E775" t="n">
        <v>17</v>
      </c>
      <c r="F775">
        <f>HYPERLINK("https://www.reddit.com/r/cancer/comments/arkxm3/has_anyone_else_developed_an_intolerance_to/")</f>
        <v/>
      </c>
      <c r="G775" t="inlineStr">
        <is>
          <t>2019-02-17 06:19:47</t>
        </is>
      </c>
      <c r="H775" t="inlineStr"/>
    </row>
    <row r="776">
      <c r="A776" t="inlineStr">
        <is>
          <t>arlgn4</t>
        </is>
      </c>
      <c r="B776" t="inlineStr">
        <is>
          <t>After a Melanoma Diagnosis...</t>
        </is>
      </c>
      <c r="C776" t="inlineStr">
        <is>
          <t>I have melanoma (IB\~IIA).
Is there a specific diet that can help me fight this cancer? Or nothing I eat or change in my diet will make a difference over the course of treatment?
Thank you!</t>
        </is>
      </c>
      <c r="D776" t="n">
        <v>7</v>
      </c>
      <c r="E776" t="n">
        <v>2</v>
      </c>
      <c r="F776">
        <f>HYPERLINK("https://www.reddit.com/r/cancer/comments/arlgn4/after_a_melanoma_diagnosis/")</f>
        <v/>
      </c>
      <c r="G776" t="inlineStr">
        <is>
          <t>2019-02-17 07:23:34</t>
        </is>
      </c>
      <c r="H776" t="inlineStr"/>
    </row>
    <row r="777">
      <c r="A777" t="inlineStr">
        <is>
          <t>arloua</t>
        </is>
      </c>
      <c r="B777" t="inlineStr">
        <is>
          <t>Think back to before you were diagnosed...</t>
        </is>
      </c>
      <c r="C777" t="inlineStr">
        <is>
          <t xml:space="preserve">When you or your doctor first noticed signs that something might be wrong, how did you handle the waiting game? 
I went in for my female annual exam this week and my doctor pointed out that there were moles and lesions on my vulva. When I got home, I confirmed seven marks of various shapes and sizes that weren't there six months ago when I last looked and my husband doesn't remember from December (he's now deployed). I also found marks inside the lower vaginal wall. I'm now waiting to hear from my doctor to see what he wants to do next and this wait is excruciating. 
The people I'd typically go to for comfort during stressful times are my mom, husband, and best friend, but none of them are nearby. I have friends that live where we are stationed, but they aren't really, "Let me tell you my fears about my vulva" types of friends. 
How did you stay sane while waiting for answers? </t>
        </is>
      </c>
      <c r="D777" t="n">
        <v>16</v>
      </c>
      <c r="E777" t="n">
        <v>14</v>
      </c>
      <c r="F777">
        <f>HYPERLINK("https://www.reddit.com/r/cancer/comments/arloua/think_back_to_before_you_were_diagnosed/")</f>
        <v/>
      </c>
      <c r="G777" t="inlineStr">
        <is>
          <t>2019-02-17 07:48:01</t>
        </is>
      </c>
      <c r="H777" t="inlineStr"/>
    </row>
    <row r="778">
      <c r="A778" t="inlineStr">
        <is>
          <t>armmsl</t>
        </is>
      </c>
      <c r="B778" t="inlineStr">
        <is>
          <t>They can't find the neuroendocrine tumour</t>
        </is>
      </c>
      <c r="C778" t="inlineStr">
        <is>
          <t xml:space="preserve">To date I've had CT, MRI &amp;amp; Octreoscan. Now waiting on a Gallium 68 Dotate PET scan. 
I have the high chromogranin A, along with classic carcinoid symptoms - which confirms it but they told me it's like finding a needle in a haystack to find this tumour and it could potentially still be small for conventional imaging. I'm in my early 30s, have an extensive endocrine history. Have been hospitalised with carcinoid symptoms and went into lactate acidosis at one point.
I am in the UK and feel the time to get to the bottom of this has taken too long and the doctors aren't really acting urgently. I've been told it's slow growing, but still, I want to get on treatment and feel better. My worry is this next scan they won't see it on this one either? 
There are barely any decent resources out there or even anyone around my age that has this type of cancer as it's very rare. So finding information on it is very difficult. 
I am sorry if I am posting in the wrong place. </t>
        </is>
      </c>
      <c r="D778" t="n">
        <v>19</v>
      </c>
      <c r="E778" t="n">
        <v>23</v>
      </c>
      <c r="F778">
        <f>HYPERLINK("https://www.reddit.com/r/cancer/comments/armmsl/they_cant_find_the_neuroendocrine_tumour/")</f>
        <v/>
      </c>
      <c r="G778" t="inlineStr">
        <is>
          <t>2019-02-17 09:22:36</t>
        </is>
      </c>
      <c r="H778" t="inlineStr"/>
    </row>
    <row r="779">
      <c r="A779" t="inlineStr">
        <is>
          <t>armsmt</t>
        </is>
      </c>
      <c r="B779" t="inlineStr">
        <is>
          <t>Advice for Keeping Mum Hydrated</t>
        </is>
      </c>
      <c r="C779" t="inlineStr">
        <is>
          <t xml:space="preserve">Hi all, we are struggling to keep my partners mum (82f) hydrated, she has been told by her oncologist she should be drinking around 2ltrs of water a day but as she has been diagnosed (in dec 2018) with cancer of the stomach she’s really struggling to consume so much liquid without bringing it back.
She was recently taken in to hospital for a couple of days after her 1st chemo knocked her for 6. Whilst in hospital they did not administer many drugs at all (just paracetamol), but they did have her on an iv drip to rehydrate her which seemed to work brilliantly! Now we’re back home she’s struggling again to drink as much as she needs it’s kind of a vicious circle.
I thought reaching out here someone might have had similar issues, if so could you please share any advice or tips to get more water into her, we have jellies ice lolly’s etc but I’m sure it’s not enough.
I’m wondering if we could ask to have a drip at home? We’re in the uk.
Many thanks in advance for any info you could share.
</t>
        </is>
      </c>
      <c r="D779" t="n">
        <v>32</v>
      </c>
      <c r="E779" t="n">
        <v>28</v>
      </c>
      <c r="F779">
        <f>HYPERLINK("https://www.reddit.com/r/cancer/comments/armsmt/advice_for_keeping_mum_hydrated/")</f>
        <v/>
      </c>
      <c r="G779" t="inlineStr">
        <is>
          <t>2019-02-17 09:37:46</t>
        </is>
      </c>
      <c r="H779" t="inlineStr"/>
    </row>
    <row r="780">
      <c r="A780" t="inlineStr">
        <is>
          <t>armx17</t>
        </is>
      </c>
      <c r="B780" t="inlineStr">
        <is>
          <t>I don't know what this post is meant to accomplish, but I need to just... I don't know. I don't know.</t>
        </is>
      </c>
      <c r="C780" t="inlineStr">
        <is>
          <t>This is just a messy copy and paste from a conversation with my SO 'cause typing it hurts.
My dad, 70, is in hospital, awaiting bone marrow biopsy to determine the specific type of leukemia that showed up on his most recent blood work, after which point they'll know what type of treatment is needed long-term. Right now, he has two options: aggressive chemotherapy, for a week of treatment with awful side effects and about 4-6 weeks in hospital after, with improved chances of recovery but higher risk of complications; or he can do a less intensive outpatient treatment to just sort of slow the progression of the disease but not stop it.
He's leaning towards the latter. He talks as if he's ready to die, but also as though he hasn't quite convinced himself. More than anything, I think he's afraid of the side effects of the aggressive chemo. I don't know which is best for him.
I think back to something like 10 years ago now, when a friend was being treated for testicular cancer. They eliminated the cancer, but because of his weakened immune system, he basically died from a cold. I think he was maybe 18 or 19. Dad's 70. There's no right answer. Does he go high risk, but high reward? Does he just... pass comfortably instead?
I'm not ready for any of this, but never will be either, so who knows. I want to talk to him about it, but need time to process it a bit myself, and also to be alone here without my mom complicating things. I might visit later, alone. I've never had anyone close to me die, either, and am scared shitless and have no clue what I'm doing.</t>
        </is>
      </c>
      <c r="D780" t="n">
        <v>4</v>
      </c>
      <c r="E780" t="n">
        <v>14</v>
      </c>
      <c r="F780">
        <f>HYPERLINK("https://www.reddit.com/r/cancer/comments/armx17/i_dont_know_what_this_post_is_meant_to_accomplish/")</f>
        <v/>
      </c>
      <c r="G780" t="inlineStr">
        <is>
          <t>2019-02-17 09:48:50</t>
        </is>
      </c>
      <c r="H780" t="inlineStr"/>
    </row>
    <row r="781">
      <c r="A781" t="inlineStr">
        <is>
          <t>aro2xr</t>
        </is>
      </c>
      <c r="B781" t="inlineStr">
        <is>
          <t>Sitting with my Mum tonight, not sure how long she has.</t>
        </is>
      </c>
      <c r="C781" t="inlineStr">
        <is>
          <t xml:space="preserve">Mum was diagnosed with stage 4 small cell lung cancer just over a month and a half ago which spread to her spine.
She was allowed home but complained of pain in her leg so came back for an x-ray.
She's had hip replacement for the pain in her leg, and non stop infections since she was admitted to hospital, she's fought Pneumonia, multiple chest infections... She only had radiotherapy on her spine for  week to reduce compressions.
I feel like this hospital has failed my Mum, she was told from the start that chemotherapy was available for her and she wanted it but delayed oncologist appointments prevented that, and now it's only a month and a bit later and her feet are mottling and I'm sitting here writing on reddit while I have to listen to her struggle to breath.
She hasn't eaten anything in over two weeks
She stopped drinking two days ago.
She's still not on a saline drip, they are letting her shrivel and wither.
She has been on 8 different wards since she was admitted, that's 1.25 wards every week.
The NHS have let my family down.
 I'm only 24 I'm not even half her age I don't know what to do, my life is about to become a wreck, everyone says they are here to help but I don't know the questions to ask.
</t>
        </is>
      </c>
      <c r="D781" t="n">
        <v>36</v>
      </c>
      <c r="E781" t="n">
        <v>7</v>
      </c>
      <c r="F781">
        <f>HYPERLINK("https://www.reddit.com/r/cancer/comments/aro2xr/sitting_with_my_mum_tonight_not_sure_how_long_she/")</f>
        <v/>
      </c>
      <c r="G781" t="inlineStr">
        <is>
          <t>2019-02-17 11:34:32</t>
        </is>
      </c>
      <c r="H781" t="inlineStr"/>
    </row>
    <row r="782">
      <c r="A782" t="inlineStr">
        <is>
          <t>arsntt</t>
        </is>
      </c>
      <c r="B782" t="inlineStr">
        <is>
          <t>My little cousin was diagnosed with Neuroblastoma</t>
        </is>
      </c>
      <c r="C782" t="inlineStr">
        <is>
          <t xml:space="preserve">He is 3 years old and had high fever , loss of appetite and a swelled abdomen for 2 weeks. We just got the report today that it’s Neuroblastoma. Have to meet the doctor in 3 hours to get further info. Any success stories will be so welcome right now. I will keep on updating as soon as we get more info. </t>
        </is>
      </c>
      <c r="D782" t="n">
        <v>23</v>
      </c>
      <c r="E782" t="n">
        <v>9</v>
      </c>
      <c r="F782">
        <f>HYPERLINK("https://www.reddit.com/r/cancer/comments/arsntt/my_little_cousin_was_diagnosed_with_neuroblastoma/")</f>
        <v/>
      </c>
      <c r="G782" t="inlineStr">
        <is>
          <t>2019-02-17 19:25:34</t>
        </is>
      </c>
      <c r="H782" t="inlineStr"/>
    </row>
    <row r="783">
      <c r="A783" t="inlineStr">
        <is>
          <t>arutx9</t>
        </is>
      </c>
      <c r="B783" t="inlineStr">
        <is>
          <t>Dealing with oral mucositis?</t>
        </is>
      </c>
      <c r="C783" t="inlineStr">
        <is>
          <t>I am currently having RT and chemo, with the RT being in the neck area. The number of ulcers has increased to around 40 and mainly in the soft palate area. I'm using Fentanyl patches and also taking Arcoxia tablets, but recently the pain has been intense, making even water hard to swallow.
Just wondered if anyone with similar experience had any tips on coping and how they eat/drink? All my oncologist can suggest is stronger painkillers. 
&amp;amp;#x200B;
Many thanks</t>
        </is>
      </c>
      <c r="D783" t="n">
        <v>6</v>
      </c>
      <c r="E783" t="n">
        <v>5</v>
      </c>
      <c r="F783">
        <f>HYPERLINK("https://www.reddit.com/r/cancer/comments/arutx9/dealing_with_oral_mucositis/")</f>
        <v/>
      </c>
      <c r="G783" t="inlineStr">
        <is>
          <t>2019-02-17 23:48:48</t>
        </is>
      </c>
      <c r="H783" t="inlineStr"/>
    </row>
    <row r="784">
      <c r="A784" t="inlineStr">
        <is>
          <t>arv6m9</t>
        </is>
      </c>
      <c r="B784" t="inlineStr">
        <is>
          <t>Advice</t>
        </is>
      </c>
      <c r="C784" t="inlineStr">
        <is>
          <t>Does anybody know of a reddit page i can post my link to, for raising money for skin cancer?</t>
        </is>
      </c>
      <c r="D784" t="n">
        <v>0</v>
      </c>
      <c r="E784" t="n">
        <v>0</v>
      </c>
      <c r="F784">
        <f>HYPERLINK("https://www.reddit.com/r/cancer/comments/arv6m9/advice/")</f>
        <v/>
      </c>
      <c r="G784" t="inlineStr">
        <is>
          <t>2019-02-18 00:41:51</t>
        </is>
      </c>
      <c r="H784" t="inlineStr"/>
    </row>
    <row r="785">
      <c r="A785" t="inlineStr">
        <is>
          <t>arvaf1</t>
        </is>
      </c>
      <c r="B785" t="inlineStr">
        <is>
          <t>Suggestions?</t>
        </is>
      </c>
      <c r="C785" t="inlineStr">
        <is>
          <t xml:space="preserve">My boyfriend has been admitted into the hospital for double lung pneumonia and the flu, he has been receiving chemo so his immune system is compromised it’s been three days already he was starting to look like he was in the mend, was feeling better today until they couldn’t get a blood draw out of his port ... so now we’re waiting to see if the meds work ... he’s sleeping and I’m wide awake with fear ... any advice on things to keep my mind busy while in the hospital? </t>
        </is>
      </c>
      <c r="D785" t="n">
        <v>3</v>
      </c>
      <c r="E785" t="n">
        <v>1</v>
      </c>
      <c r="F785">
        <f>HYPERLINK("https://www.reddit.com/r/cancer/comments/arvaf1/suggestions/")</f>
        <v/>
      </c>
      <c r="G785" t="inlineStr">
        <is>
          <t>2019-02-18 00:57:57</t>
        </is>
      </c>
      <c r="H785" t="inlineStr"/>
    </row>
    <row r="786">
      <c r="A786" t="inlineStr">
        <is>
          <t>arvo6w</t>
        </is>
      </c>
      <c r="B786" t="inlineStr">
        <is>
          <t>The sadness comes in cycles.</t>
        </is>
      </c>
      <c r="C786" t="inlineStr">
        <is>
          <t xml:space="preserve">I lost my mum almost 6 months ago to cancer, this evening I recalled back to her last 48 hours wherein we knew that we were nearing the end.
The hardest part for me was admitting to myself that I first felt relief rather than sadness when she passed. 
I was told that hearing was one of the last senses to go, I whispered to her to let go and be at peace that we would be okay. She passed a few hours later.
Tonight, just thinking about that moment broke me. 
The fact that I won’t be able to hug and kiss her again, hurts so much. 
Cancer is fucking horrible, it took my mum before she got to see me graduate, hold my future kids, see me get married and most of all - it took her away before I had a chance to repay her for all she’s done for me. 
I miss you mum, love you forever.
Thoughts and well wishes to those who are on this journey, this subreddit is an absolute godsend.
Spend as much time as you can with your loved ones, and don’t ever go to sleep without telling them you love them. 
</t>
        </is>
      </c>
      <c r="D786" t="n">
        <v>84</v>
      </c>
      <c r="E786" t="n">
        <v>8</v>
      </c>
      <c r="F786">
        <f>HYPERLINK("https://www.reddit.com/r/cancer/comments/arvo6w/the_sadness_comes_in_cycles/")</f>
        <v/>
      </c>
      <c r="G786" t="inlineStr">
        <is>
          <t>2019-02-18 01:53:41</t>
        </is>
      </c>
      <c r="H786" t="inlineStr"/>
    </row>
    <row r="787">
      <c r="A787" t="inlineStr">
        <is>
          <t>arvoeh</t>
        </is>
      </c>
      <c r="B787" t="inlineStr">
        <is>
          <t>At what point is it advisable to go and see a doctor?</t>
        </is>
      </c>
      <c r="C787" t="inlineStr">
        <is>
          <t>This **IS NOT** an "is this cancer post, just asking for some advice on what to do.
&amp;amp;#x200B;
A few weeks ago I had a really badly stubbed toe, didn't think much of it at the time so just continued on my day!
&amp;amp;#x200B;
Anyway, just today I took my sock off after work and noticed a very very small black spot (well under a mm) on the bottom of my big toe. I totally freaked out and grabbed my stone (idk the english work for it, I have very thick skin on my feet so reguarly scrub it to get nice soft skin :D ) and filed it off. Came off really easily. 
&amp;amp;#x200B;
Now, I don't have any history of anything other than bowel cancer in the family (my grandmother was diagnosed with it years ago and now has a bag she carries around and is on meds all the time) but I feel I did something very silly. Should I see a doctor anyway just to be sure or should I wait to see if it comes back, after all it could just have been a bruise... It's now completely gone, just a small red patch where I scrubbed.
&amp;amp;#x200B;
Apologies, I am French so English isn't first language and only 22! I realise I may be over reacting but you know when you see and do these things it's easy to overthink it!!
&amp;amp;#x200B;
What would people here advise?</t>
        </is>
      </c>
      <c r="D787" t="n">
        <v>0</v>
      </c>
      <c r="E787" t="n">
        <v>5</v>
      </c>
      <c r="F787">
        <f>HYPERLINK("https://www.reddit.com/r/cancer/comments/arvoeh/at_what_point_is_it_advisable_to_go_and_see_a/")</f>
        <v/>
      </c>
      <c r="G787" t="inlineStr">
        <is>
          <t>2019-02-18 01:54:34</t>
        </is>
      </c>
      <c r="H787" t="inlineStr"/>
    </row>
    <row r="788">
      <c r="A788" t="inlineStr">
        <is>
          <t>arwv5v</t>
        </is>
      </c>
      <c r="B788" t="inlineStr">
        <is>
          <t>My dad has lung cancer and my parents won't stop arguing</t>
        </is>
      </c>
      <c r="C788" t="inlineStr">
        <is>
          <t>Hi everyone, sorry if this is the wrong sub, first time making a post like this. 
My had was diagnosed with stage 3a lung cancer about 2 weeks ago. It hasn't spread, and the doctors say it's very treatable, but obviously we're all still on edge. 
If I'm being honest, my parents have always fought quite a bit. My mom is quick to blame others for her problems and my dad is too stubborn to know when to back out of a fight, great combo, right?
So I'm currently sitting in a hospital waiting room at 715 am because my dad didn't want to go to his MRI alone and my mom was apparently too busy with work to drive him, even though I'm now going to miss school because of it. Whatever, it's college, missing a few classes isn't going to fail me.
But I woke up at about 620, and walked downstairs into an argument between my parents about the best way to get to the hospital. 
My sister and I don't know what to do, obviously we both want to be there for our dad, but our mom is making it unbearable most days. I haven't been sleeping well. It's my last semester of college and i just want it all to stop. I don't want to go to class, I don't want to go to work, I don't know what I want beyond that. To be left alone I guess? To sleep for 24 hours straight? Something like that I guess, except I haven't been sleeping well.
We don't know what to do about my mom, she can't seem to find a healthy way to express her emotions, she keeps lashing out at everyone (except me for some reason), and it's driving us all crazy. She got mad at my dad yesterday because he wasn't ready to go on time for a dinner she didn't tell us about...
I'm already going to miss my first class, I might skip the other two and try to sleep until I have to go to work later. My best work friend's dad had a heart attack on Saturday so I'm covering his shift tomorrow, but that also means he won't be there for me to talk to. 
I don't know what else to do. At this point I just feel like I'm going through the motions and hoping nothing falls completely apart before I graduate in May. Also, my sister is getting married in about a month so that's also stressing everyone out.</t>
        </is>
      </c>
      <c r="D788" t="n">
        <v>2</v>
      </c>
      <c r="E788" t="n">
        <v>2</v>
      </c>
      <c r="F788">
        <f>HYPERLINK("https://www.reddit.com/r/cancer/comments/arwv5v/my_dad_has_lung_cancer_and_my_parents_wont_stop/")</f>
        <v/>
      </c>
      <c r="G788" t="inlineStr">
        <is>
          <t>2019-02-18 04:42:37</t>
        </is>
      </c>
      <c r="H788" t="inlineStr"/>
    </row>
    <row r="789">
      <c r="A789" t="inlineStr">
        <is>
          <t>arxhcz</t>
        </is>
      </c>
      <c r="B789" t="inlineStr">
        <is>
          <t>New to this</t>
        </is>
      </c>
      <c r="C789" t="inlineStr">
        <is>
          <t xml:space="preserve">Hi, my family just learned that my father (age 50) likely has prostrate cancer. His health has not been great in recent years. He has had high blood pressure since his 30s. After his mom died in 2014 from cervix cancer, he has developed anxiety and heart palpitations. He learned just a few days ago about the cancer, and has been getting no sleep at night. I know it’s important for him to relax and not be stressed. Does anyone have any advice for this? Thank you. </t>
        </is>
      </c>
      <c r="D789" t="n">
        <v>5</v>
      </c>
      <c r="E789" t="n">
        <v>3</v>
      </c>
      <c r="F789">
        <f>HYPERLINK("https://www.reddit.com/r/cancer/comments/arxhcz/new_to_this/")</f>
        <v/>
      </c>
      <c r="G789" t="inlineStr">
        <is>
          <t>2019-02-18 05:58:23</t>
        </is>
      </c>
      <c r="H789" t="inlineStr"/>
    </row>
    <row r="790">
      <c r="A790" t="inlineStr">
        <is>
          <t>arxloz</t>
        </is>
      </c>
      <c r="B790" t="inlineStr">
        <is>
          <t>I’m so scared I have bowel cancer</t>
        </is>
      </c>
      <c r="C790" t="inlineStr">
        <is>
          <t>For 4 weeks now I have been getting fresh blood in my stools. I have had on and off diarrhoea and then constipation, and my stools have changed shape.
Today I have lower left abdominal pain and nausea.
I looked up my symptoms and realised they are all signs of bowel cancer. I couldn’t see any other illness that might explain all of these signs.
I have the doctor in 2 hours. I am absolutely terrified and I feel so silly for having waited 4 whole weeks.
Is there anything else I could have? It seems so likely I have cancer. I’m only 26 😥</t>
        </is>
      </c>
      <c r="D790" t="n">
        <v>0</v>
      </c>
      <c r="E790" t="n">
        <v>18</v>
      </c>
      <c r="F790">
        <f>HYPERLINK("https://www.reddit.com/r/cancer/comments/arxloz/im_so_scared_i_have_bowel_cancer/")</f>
        <v/>
      </c>
      <c r="G790" t="inlineStr">
        <is>
          <t>2019-02-18 06:11:41</t>
        </is>
      </c>
      <c r="H790" t="inlineStr"/>
    </row>
    <row r="791">
      <c r="A791" t="inlineStr">
        <is>
          <t>arykw0</t>
        </is>
      </c>
      <c r="B791" t="inlineStr">
        <is>
          <t>Have you received cancer diagnosis or undergo treatment? We need your help in our research.</t>
        </is>
      </c>
      <c r="C791" t="inlineStr">
        <is>
          <t>We are currently looking for people to take part in our research study at the University of Chester, UK, on daily functioning and psychological wellbeing in cancer patients.
Receiving a cancer diagnosis and all that comes after this can often be a distressing, worrying and confusing time. Our aim is to investigate how cancer has affected your daily functioning and emotional wellbeing. We are particularly interested in how this then affects decisions you make about your treatment. Our goal is to help others that might find themselves in your position in the future. To do this, we need your help.
Anyone who is over 16 years of age and been diagnosed with any type of cancer can take part. If you decide to take part, you will be asked to complete an online questionnaire that will take around 30 minutes to complete. You will be also asked whether you would like to participate in a phone or Skype interview at a later date, but you don’t have to agree to this to take part in the questionnaire study. While we hope that taking part will be a positive experience for you, we also understand that answering questions about your illness may be upsetting. You can always stop the questionnaire at any time. All your answers and data will be anonymous.
If you would like to take part, please click the following link. This will take you to the survey and study information sheet.
Link: [https://chester.onlinesurveys.ac.uk/reddit](https://chester.onlinesurveys.ac.uk/reddit)
Thank you,
David Budzynski, BSc (Hons)
MRes student conducting the research</t>
        </is>
      </c>
      <c r="D791" t="n">
        <v>7</v>
      </c>
      <c r="E791" t="n">
        <v>7</v>
      </c>
      <c r="F791">
        <f>HYPERLINK("https://www.reddit.com/r/cancer/comments/arykw0/have_you_received_cancer_diagnosis_or_undergo/")</f>
        <v/>
      </c>
      <c r="G791" t="inlineStr">
        <is>
          <t>2019-02-18 07:55:13</t>
        </is>
      </c>
      <c r="H791" t="inlineStr"/>
    </row>
    <row r="792">
      <c r="A792" t="inlineStr">
        <is>
          <t>as04w0</t>
        </is>
      </c>
      <c r="B792" t="inlineStr">
        <is>
          <t>My grandfather was diagnosed with a 4th stage lung cancer. What can I do to make him feel better.</t>
        </is>
      </c>
      <c r="C792" t="inlineStr">
        <is>
          <t xml:space="preserve">He is currently at home. (He didn’t take chemotherapy cause he is too old for that). He had to use morphine to stop the pain every 1-2 day. He can’t sit he is currently lying on bed. He can barely do anything now. I really want to somehow make him feel better can anyone tell me what to do. </t>
        </is>
      </c>
      <c r="D792" t="n">
        <v>2</v>
      </c>
      <c r="E792" t="n">
        <v>2</v>
      </c>
      <c r="F792">
        <f>HYPERLINK("https://www.reddit.com/r/cancer/comments/as04w0/my_grandfather_was_diagnosed_with_a_4th_stage/")</f>
        <v/>
      </c>
      <c r="G792" t="inlineStr">
        <is>
          <t>2019-02-18 10:16:05</t>
        </is>
      </c>
      <c r="H792" t="inlineStr"/>
    </row>
    <row r="793">
      <c r="A793" t="inlineStr">
        <is>
          <t>as0g6u</t>
        </is>
      </c>
      <c r="B793" t="inlineStr">
        <is>
          <t>To what extent are online platforms used for health related behaviours?</t>
        </is>
      </c>
      <c r="C793" t="inlineStr">
        <is>
          <t>*Hello Reddit user!*
You are invited to take part in a study looking at the extent to which adults use the internet for health-related behaviours, including information seeking and social support. The survey takes about 10 minutes to complete and anyone over 18 years of age can participate. This study is the second phase of a larger research project being conducted by researchers at the University of Buckingham in the UK and the University of Stellenbosch in South Africa. 
[**https://www.surveymonkey.co.uk/r/D9B526L**](https://www.surveymonkey.co.uk/r/D9B526L) 
&amp;amp;#x200B;</t>
        </is>
      </c>
      <c r="D793" t="n">
        <v>1</v>
      </c>
      <c r="E793" t="n">
        <v>0</v>
      </c>
      <c r="F793">
        <f>HYPERLINK("https://www.reddit.com/r/cancer/comments/as0g6u/to_what_extent_are_online_platforms_used_for/")</f>
        <v/>
      </c>
      <c r="G793" t="inlineStr">
        <is>
          <t>2019-02-18 10:42:58</t>
        </is>
      </c>
      <c r="H793" t="inlineStr"/>
    </row>
    <row r="794">
      <c r="A794" t="inlineStr">
        <is>
          <t>as4ijr</t>
        </is>
      </c>
      <c r="B794" t="inlineStr">
        <is>
          <t>M 23, Diagnosed with Papillary carcinoma, Thyroid Cancer, I have a few questions..</t>
        </is>
      </c>
      <c r="C794" t="inlineStr">
        <is>
          <t>So I was recently diagnosed with Thyroid Cancer, the lymph nodes on the left side of my neck are swollen, the Doctor also checked my right side and noticed their was growth there as well, but its was very mild and not nearly as bad as my left side. I asked him how long he thought I've had thyroid cancer and he assumed somewhere around 4-5 years, this sort of freaked me out. The Doctor informed me that Thyroid Cancer is very treatable and the prognosis was good for this type. The only problem is, I don't have insurance to cover my cost to treat this, I was maybe hoping to wait until open enrollment for an ACA compliant insurance so I can knock this out as quick as possible, but that isn't until next year. My Doctor also informed me that the cancer was in stage 4 already. I was under the impression that stage 3 and 4 were reserved for older people? does anyone have any info on that? I'm just curious on what the survival rate for untreated thyroid cancer is... Thanks guys.</t>
        </is>
      </c>
      <c r="D794" t="n">
        <v>33</v>
      </c>
      <c r="E794" t="n">
        <v>42</v>
      </c>
      <c r="F794">
        <f>HYPERLINK("https://www.reddit.com/r/cancer/comments/as4ijr/m_23_diagnosed_with_papillary_carcinoma_thyroid/")</f>
        <v/>
      </c>
      <c r="G794" t="inlineStr">
        <is>
          <t>2019-02-18 17:05:10</t>
        </is>
      </c>
      <c r="H794" t="inlineStr"/>
    </row>
    <row r="795">
      <c r="A795" t="inlineStr">
        <is>
          <t>as4ks0</t>
        </is>
      </c>
      <c r="B795" t="inlineStr">
        <is>
          <t>Mum passed this morning.</t>
        </is>
      </c>
      <c r="C795" t="inlineStr">
        <is>
          <t>4:21 am, I left at 3:30 to get ready for work, didn't even make it home and the hospital rang me and told me her breathing had changed and to come immediately.
4:26 I arrive, she left this world five minutes too soon, I wasn't there to hold her hand but she probably didn't want me to endure that.
She leaves behind two sons and a granddaughter.
Rest easy Mum, Claudia, I love you so much.</t>
        </is>
      </c>
      <c r="D795" t="n">
        <v>28</v>
      </c>
      <c r="E795" t="n">
        <v>6</v>
      </c>
      <c r="F795">
        <f>HYPERLINK("https://www.reddit.com/r/cancer/comments/as4ks0/mum_passed_this_morning/")</f>
        <v/>
      </c>
      <c r="G795" t="inlineStr">
        <is>
          <t>2019-02-18 17:11:26</t>
        </is>
      </c>
      <c r="H795" t="inlineStr"/>
    </row>
    <row r="796">
      <c r="A796" t="inlineStr">
        <is>
          <t>as4q12</t>
        </is>
      </c>
      <c r="B796" t="inlineStr">
        <is>
          <t>WORLDS GREATEST SHAVE</t>
        </is>
      </c>
      <c r="C796" t="inlineStr">
        <is>
          <t>I'm taking part in the World's Greatest Shave for the Leukaemia Foundation! I'm on a mission to shave the world from blood cancer.
Please sponsor me to give families facing blood cancer the emotional and practical support they need. You'll also fund vital research to help more people survive blood cancers, while improving their quality of life.
Every day another 35 Australians are diagnosed with a blood cancer. That's one Aussie every 41 minutes. Although research is improving survival, sadly an Australian loses their life to blood cancer every two hours.
Will you help by sponsoring me?
NOTE ALL FUNDS GO TO CANCER RESEARCH</t>
        </is>
      </c>
      <c r="D796" t="n">
        <v>1</v>
      </c>
      <c r="E796" t="n">
        <v>0</v>
      </c>
      <c r="F796">
        <f>HYPERLINK("https://www.reddit.com/r/cancer/comments/as4q12/worlds_greatest_shave/")</f>
        <v/>
      </c>
      <c r="G796" t="inlineStr">
        <is>
          <t>2019-02-18 17:26:03</t>
        </is>
      </c>
      <c r="H796" t="inlineStr"/>
    </row>
    <row r="797">
      <c r="A797" t="inlineStr">
        <is>
          <t>as51b3</t>
        </is>
      </c>
      <c r="B797" t="inlineStr">
        <is>
          <t>My father just passed</t>
        </is>
      </c>
      <c r="C797" t="inlineStr">
        <is>
          <t>As the title says, my father just passed from Leptomeningeal Metastases. I reached out a couple weeks ago for advice and received great suggestions and support. I just want to say thank you all so much for your love and prayers it means a lot to me abd my family.</t>
        </is>
      </c>
      <c r="D797" t="n">
        <v>15</v>
      </c>
      <c r="E797" t="n">
        <v>4</v>
      </c>
      <c r="F797">
        <f>HYPERLINK("https://www.reddit.com/r/cancer/comments/as51b3/my_father_just_passed/")</f>
        <v/>
      </c>
      <c r="G797" t="inlineStr">
        <is>
          <t>2019-02-18 18:00:26</t>
        </is>
      </c>
      <c r="H797" t="inlineStr"/>
    </row>
    <row r="798">
      <c r="A798" t="inlineStr">
        <is>
          <t>as58no</t>
        </is>
      </c>
      <c r="B798" t="inlineStr">
        <is>
          <t>My father was just diagnosed with pancreatic cancer</t>
        </is>
      </c>
      <c r="C798" t="inlineStr">
        <is>
          <t>We don't know what stage yet. He has pancreatitis from the biopsies. What are the chances of his survival? I'm desperate for answers right now.</t>
        </is>
      </c>
      <c r="D798" t="n">
        <v>3</v>
      </c>
      <c r="E798" t="n">
        <v>3</v>
      </c>
      <c r="F798">
        <f>HYPERLINK("https://www.reddit.com/r/cancer/comments/as58no/my_father_was_just_diagnosed_with_pancreatic/")</f>
        <v/>
      </c>
      <c r="G798" t="inlineStr">
        <is>
          <t>2019-02-18 18:21:49</t>
        </is>
      </c>
      <c r="H798" t="inlineStr"/>
    </row>
    <row r="799">
      <c r="A799" t="inlineStr">
        <is>
          <t>as5bbp</t>
        </is>
      </c>
      <c r="B799" t="inlineStr">
        <is>
          <t>I'm only 15</t>
        </is>
      </c>
      <c r="C799" t="inlineStr">
        <is>
          <t xml:space="preserve">So I'm mostly posting here as a vent. Feel free to take this down if it's not allowed, I understand. I'm also using my alt account because I don't want to sadden my friends on my main account with post like these. My mother advised me not to tell anyone for now.  But I'm sure they'll figure out eventually when I start treatments.
 I got diagnosed with breast cancer yesterday. I'm 15f. I really don't know what to do from this point. After I had noticed a lump in my breast, I went to the doctor, who simply brushed it off as hardened breast tissue, because that's common for girls my age. He told us if it got any bigger we needed to do an ultrasound. Within the next week the lump had grown bigger, now about 2cm. It wasn't painful, a fact that scared my mom. She brought me back to the same doctor, who advised it was probably a cystic tumor, but again, it wasn't painful so that couldnt be it. Scheduled another appointment, got the ultra sound, and find out the lump is solid. Not filled with fluid, which would make it a cyst. So we did an MRI and yeah. My mom was right. 
I'm so lost right now. Really don't know where to turn. All these large terms and dyognostics are, honestly, scaring me. I'm really just a kid and I don't want to deal with this. </t>
        </is>
      </c>
      <c r="D799" t="n">
        <v>86</v>
      </c>
      <c r="E799" t="n">
        <v>37</v>
      </c>
      <c r="F799">
        <f>HYPERLINK("https://www.reddit.com/r/cancer/comments/as5bbp/im_only_15/")</f>
        <v/>
      </c>
      <c r="G799" t="inlineStr">
        <is>
          <t>2019-02-18 18:29:39</t>
        </is>
      </c>
      <c r="H799" t="inlineStr"/>
    </row>
    <row r="800">
      <c r="A800" t="inlineStr">
        <is>
          <t>as65k7</t>
        </is>
      </c>
      <c r="B800" t="inlineStr">
        <is>
          <t>Please, think before you ask...</t>
        </is>
      </c>
      <c r="C800" t="inlineStr">
        <is>
          <t xml:space="preserve">I’m an on again off again lurker here. Some of the stories are painful and dig up some bad times and I snapped a bit today. 
This sub and the people here are to support each other in what I’d argue is one of the most difficult things a human can endure. They are not here to be your personal reassurance bots. 
I understand that in this moment you might be scare me and having intrusive thoughts, but please, please, PLEASE think of the audience that you are soliciting advice from. NOT ONLY can they NOT give you any real medical advice aside from saying go to a doctor, but you are asking people who are dealing with so much more emotional trauma than you could ever imagine. 
If you think you are sick then please go ask a medical professional.  Get the proper tests done. You don’t have anything until you have been diagnosed. 
I don’t want to speak for anyone here, but I know that there are probably some in here who wish their biggest problem right something might be wrong. 
The people in here giving and getting support are fighting for their lives, the lives of their loved ones. They are here to help and be helped in this daunting journey and the last thing anyone needs is to talk someone in a state of panic and anxiety bombarding them with subjective questions about their health. 
If you absolutely need to get the advice of strangers I strongly suggest visit r/askdocs or more appropriately r/healthanxiety 
r/healthanxiety is specifically a support community for people who uncontrollable anxiety towards their health and is a place to vent your fears of undiagnosed symptoms and what they might be. 
I’m begging you personally to please think about what you are asking and who you are asking it to. </t>
        </is>
      </c>
      <c r="D800" t="n">
        <v>123</v>
      </c>
      <c r="E800" t="n">
        <v>57</v>
      </c>
      <c r="F800">
        <f>HYPERLINK("https://www.reddit.com/r/cancer/comments/as65k7/please_think_before_you_ask/")</f>
        <v/>
      </c>
      <c r="G800" t="inlineStr">
        <is>
          <t>2019-02-18 20:00:48</t>
        </is>
      </c>
      <c r="H800" t="inlineStr"/>
    </row>
    <row r="801">
      <c r="A801" t="inlineStr">
        <is>
          <t>as6cki</t>
        </is>
      </c>
      <c r="B801" t="inlineStr">
        <is>
          <t>Why aren't their more subscribers to this sub?</t>
        </is>
      </c>
      <c r="C801" t="inlineStr">
        <is>
          <t xml:space="preserve">Seriously? Cancer affects almost every family in North America in some form or fashion. I just subscribed to this sub because my MIL was just diagnosed and I'm shocked at the commitment here.  </t>
        </is>
      </c>
      <c r="D801" t="n">
        <v>0</v>
      </c>
      <c r="E801" t="n">
        <v>7</v>
      </c>
      <c r="F801">
        <f>HYPERLINK("https://www.reddit.com/r/cancer/comments/as6cki/why_arent_their_more_subscribers_to_this_sub/")</f>
        <v/>
      </c>
      <c r="G801" t="inlineStr">
        <is>
          <t>2019-02-18 20:23:37</t>
        </is>
      </c>
      <c r="H801" t="inlineStr"/>
    </row>
    <row r="802">
      <c r="A802" t="inlineStr">
        <is>
          <t>as6iid</t>
        </is>
      </c>
      <c r="B802" t="inlineStr">
        <is>
          <t>Grade 3 Invasive Ductal Carcinoma</t>
        </is>
      </c>
      <c r="C802" t="inlineStr">
        <is>
          <t xml:space="preserve">I’m looking for guidance here since I don’t know where else to start. My mother has just been diagnosed with Invasive Ductal Carcinoma and I don’t know a thing about the process with handling something like this. I don’t know what to do and seeing my mom cry and cry again is making this more difficult for me to be strong for her. I want to have answers for her but I don’t know a thing about this. Any information regarding the process of this, or helpful advice, would be greatly appreciated.  </t>
        </is>
      </c>
      <c r="D802" t="n">
        <v>13</v>
      </c>
      <c r="E802" t="n">
        <v>7</v>
      </c>
      <c r="F802">
        <f>HYPERLINK("https://www.reddit.com/r/cancer/comments/as6iid/grade_3_invasive_ductal_carcinoma/")</f>
        <v/>
      </c>
      <c r="G802" t="inlineStr">
        <is>
          <t>2019-02-18 20:42:46</t>
        </is>
      </c>
      <c r="H802" t="inlineStr"/>
    </row>
    <row r="803">
      <c r="A803" t="inlineStr">
        <is>
          <t>as6rnc</t>
        </is>
      </c>
      <c r="B803" t="inlineStr">
        <is>
          <t>Evertor 5 mg |Everolimus |Blueberry pharmaceuticals</t>
        </is>
      </c>
      <c r="C803" t="inlineStr">
        <is>
          <t xml:space="preserve">[Evertor 5 mg](https://blueberrypharma.com/evertor-5-mg.php) involved in the treatment of some neuroendocrine tumors like pancreatic, gastrointestinal or lung cancer @ Blueberry pharmaceuticals </t>
        </is>
      </c>
      <c r="D803" t="n">
        <v>0</v>
      </c>
      <c r="E803" t="n">
        <v>0</v>
      </c>
      <c r="F803">
        <f>HYPERLINK("https://www.reddit.com/r/cancer/comments/as6rnc/evertor_5_mg_everolimus_blueberry_pharmaceuticals/")</f>
        <v/>
      </c>
      <c r="G803" t="inlineStr">
        <is>
          <t>2019-02-18 21:13:34</t>
        </is>
      </c>
      <c r="H803" t="inlineStr"/>
    </row>
    <row r="804">
      <c r="A804" t="inlineStr">
        <is>
          <t>as6z4w</t>
        </is>
      </c>
      <c r="B804" t="inlineStr">
        <is>
          <t>Round 1</t>
        </is>
      </c>
      <c r="C804" t="inlineStr">
        <is>
          <t xml:space="preserve">I finished my first cycle of chemo today! 2 more full rounds and 1 partial remain! I found out the last round I only have to do 1 out of the 3 weeks so that’s pretty awesome. I still have all my hair too so that’s a plus. </t>
        </is>
      </c>
      <c r="D804" t="n">
        <v>12</v>
      </c>
      <c r="E804" t="n">
        <v>5</v>
      </c>
      <c r="F804">
        <f>HYPERLINK("https://www.reddit.com/r/cancer/comments/as6z4w/round_1/")</f>
        <v/>
      </c>
      <c r="G804" t="inlineStr">
        <is>
          <t>2019-02-18 21:39:02</t>
        </is>
      </c>
      <c r="H804" t="inlineStr"/>
    </row>
    <row r="805">
      <c r="A805" t="inlineStr">
        <is>
          <t>as736a</t>
        </is>
      </c>
      <c r="B805" t="inlineStr">
        <is>
          <t>Fatal cancers</t>
        </is>
      </c>
      <c r="C805" t="inlineStr">
        <is>
          <t>Cancer is the second leading Cause of death worldwide.
Fatal cancers-
1. Lung Cancer- Due to some surveys the majority of people thinks breast cancer is the most fatal cancer in women and prostate in men but lung cancer is the leading fatal Cancer in men Women both. (above 2.09 million cases in 2018)
2. Breast Cancer- Breast [cancer](https://jacobspublishers.com/jacobs-journal-of-cancer-science-and-research-issn-2380-114x/) is the leading Cancer in the USA. most people think women only get breast Cancer but men can get breast cancer too.
3. Prostate Cancer
4. Colorectal Cancer
5. Pancreatic Cancer
6. Lukemia
&amp;amp;#x200B;
https://i.redd.it/2wk0zza4sgh21.png</t>
        </is>
      </c>
      <c r="D805" t="n">
        <v>0</v>
      </c>
      <c r="E805" t="n">
        <v>0</v>
      </c>
      <c r="F805">
        <f>HYPERLINK("https://www.reddit.com/r/cancer/comments/as736a/fatal_cancers/")</f>
        <v/>
      </c>
      <c r="G805" t="inlineStr">
        <is>
          <t>2019-02-18 21:53:19</t>
        </is>
      </c>
      <c r="H805" t="inlineStr"/>
    </row>
    <row r="806">
      <c r="A806" t="inlineStr">
        <is>
          <t>as7i64</t>
        </is>
      </c>
      <c r="B806" t="inlineStr">
        <is>
          <t>Evertor 10 mg |Everolimus |blueberry pharmaceuticals</t>
        </is>
      </c>
      <c r="C806" t="inlineStr">
        <is>
          <t xml:space="preserve">Find Evertor [**Everolimus 10mg**](https://blueberrypharma.com/evertor-10-mg.php) tablets price online from India manufactured by Biocon Ltd. Buy Everolimus Evertor 10mg tablet from  |Blueberry pharmaceuticals </t>
        </is>
      </c>
      <c r="D806" t="n">
        <v>1</v>
      </c>
      <c r="E806" t="n">
        <v>0</v>
      </c>
      <c r="F806">
        <f>HYPERLINK("https://www.reddit.com/r/cancer/comments/as7i64/evertor_10_mg_everolimus_blueberry_pharmaceuticals/")</f>
        <v/>
      </c>
      <c r="G806" t="inlineStr">
        <is>
          <t>2019-02-18 22:46:47</t>
        </is>
      </c>
      <c r="H806" t="inlineStr"/>
    </row>
    <row r="807">
      <c r="A807" t="inlineStr">
        <is>
          <t>as8ldz</t>
        </is>
      </c>
      <c r="B807" t="inlineStr">
        <is>
          <t>Today I found out my dad has glioblastoma multiforme (GBM)</t>
        </is>
      </c>
      <c r="C807" t="inlineStr">
        <is>
          <t xml:space="preserve">Im really struggling to find any positives or hope to hold onto and hoping someone on here has something to share that isn’t bad news. </t>
        </is>
      </c>
      <c r="D807" t="n">
        <v>2</v>
      </c>
      <c r="E807" t="n">
        <v>0</v>
      </c>
      <c r="F807">
        <f>HYPERLINK("https://www.reddit.com/r/cancer/comments/as8ldz/today_i_found_out_my_dad_has_glioblastoma/")</f>
        <v/>
      </c>
      <c r="G807" t="inlineStr">
        <is>
          <t>2019-02-19 01:30:25</t>
        </is>
      </c>
      <c r="H807" t="inlineStr"/>
    </row>
    <row r="808">
      <c r="A808" t="inlineStr">
        <is>
          <t>as9d71</t>
        </is>
      </c>
      <c r="B808" t="inlineStr">
        <is>
          <t>Mum</t>
        </is>
      </c>
      <c r="C808" t="inlineStr">
        <is>
          <t xml:space="preserve">First real post. 
We found out yesterday that my mum’s recent round of immunology hasn’t worked. She also found a lump on her neck and the doctor has confirmed it’s more of the cancer. So far it’s been small cell lung cancer so a lump is something different. She told me she is starting chemo again. But what she didn’t tell me is that she only has months left. My dad told my sisters. My sisters told me. 
I understand her not wanting to tell us yet. But I’m now pretending I don’t know. I’m heartbroken. My mum is going to die and my dad will be left alone. 
How am I supposed to support my family? </t>
        </is>
      </c>
      <c r="D808" t="n">
        <v>14</v>
      </c>
      <c r="E808" t="n">
        <v>2</v>
      </c>
      <c r="F808">
        <f>HYPERLINK("https://www.reddit.com/r/cancer/comments/as9d71/mum/")</f>
        <v/>
      </c>
      <c r="G808" t="inlineStr">
        <is>
          <t>2019-02-19 03:22:29</t>
        </is>
      </c>
      <c r="H808" t="inlineStr"/>
    </row>
    <row r="809">
      <c r="A809" t="inlineStr">
        <is>
          <t>as9pzs</t>
        </is>
      </c>
      <c r="B809" t="inlineStr">
        <is>
          <t>Did you know it was cancer before it was diagnosed?</t>
        </is>
      </c>
      <c r="C809" t="inlineStr">
        <is>
          <t xml:space="preserve">Im just curious because almost all my symptoms point to cancer and ive already accepted it. Im just waiting for it. </t>
        </is>
      </c>
      <c r="D809" t="n">
        <v>0</v>
      </c>
      <c r="E809" t="n">
        <v>15</v>
      </c>
      <c r="F809">
        <f>HYPERLINK("https://www.reddit.com/r/cancer/comments/as9pzs/did_you_know_it_was_cancer_before_it_was_diagnosed/")</f>
        <v/>
      </c>
      <c r="G809" t="inlineStr">
        <is>
          <t>2019-02-19 04:08:28</t>
        </is>
      </c>
      <c r="H809" t="inlineStr"/>
    </row>
    <row r="810">
      <c r="A810" t="inlineStr">
        <is>
          <t>asan5g</t>
        </is>
      </c>
      <c r="B810" t="inlineStr">
        <is>
          <t>What are early Symptoms of Stomach Cancer?</t>
        </is>
      </c>
      <c r="C810" t="inlineStr">
        <is>
          <t xml:space="preserve">Hi, I just want to know the early signs of Stomach cancer, I know it is very hard to locate stomach cancer in early stages.
I''m 23 yrs old and for almost 2months now I have been experiencing pain and discomfort in my stomach and base on my family record with we have no history in abdominal cancer
it started last January 8, 2019
First symptoms:
Pain in the middle abdomen but the pain is so mild and comes and goes. So me and my parents visit our local clinic and talked to the GP (has been our GP for like 5 yrs or more) and had some test done, I was negative for H.Pylori but they still gave me the medicines and i still took it.  I also requested for some ultrasound and further examination in my blood. Everything was normal even the ultrasound.
&amp;amp;#x200B;
Second symptoms (occurred around last week of January)
The pain in the middle of my stomach subsided ( though it still appears but very rarely). after the pain in at the middle of the stomach. The second symptom was a dull pain in the left of my stomach but the pain goes away when I burp and release a gas.
it has been 3 days since the pain in the left side of my stomach stopped but to make sure I went to our local clinic just to check it up again yesterday after explaining my situation and looking my ultrasound result she just said that I have IBS, Also yesterday afternoon till today I already pooped for like 8 - 10 times  already my feces is normal though 
&amp;amp;#x200B;
But I'm not fully convinced that I only have IBS because I feel some test are lacking like the stool check test to see if my stomach has internal bleeding ( my stool was normal but there are times that it has some black specks)
&amp;amp;#x200B;
Me and my parents were immigrants in the middle east, were from SouthEast Asia. I really wanted to get checked in a hospital like for endoscopy but no matter how many times I convince my parents they won't allow me ( we have insurance though). They want me to get checked in our home country when we take a vacation which is at the end of Feb so it's really hard for me to take actions. 
&amp;amp;#x200B;
I'm so sorry for asking so much </t>
        </is>
      </c>
      <c r="D810" t="n">
        <v>0</v>
      </c>
      <c r="E810" t="n">
        <v>4</v>
      </c>
      <c r="F810">
        <f>HYPERLINK("https://www.reddit.com/r/cancer/comments/asan5g/what_are_early_symptoms_of_stomach_cancer/")</f>
        <v/>
      </c>
      <c r="G810" t="inlineStr">
        <is>
          <t>2019-02-19 05:55:01</t>
        </is>
      </c>
      <c r="H810" t="inlineStr"/>
    </row>
    <row r="811">
      <c r="A811" t="inlineStr">
        <is>
          <t>asbs9f</t>
        </is>
      </c>
      <c r="B811" t="inlineStr">
        <is>
          <t>Controversial topic : I beat cancer or I've kicked cancers ass</t>
        </is>
      </c>
      <c r="C811" t="inlineStr">
        <is>
          <t xml:space="preserve"> As my tittle suggests, it's going to be a loaded one, I know. It's a long time coming too, to me. 
I just don't like it whenever I see a post where iterations of these two sentences are cited and they are multiple reasons why. 
First, surviving of cancer is not at all like recuperating from a head or leg injury. Prior to my cancer diagnosis, I worked for 16 years as a neuropsychologist and later as a psychologist in a traumatic brain injury (TBI) unit. The rehabilitation from a TBI is very dependent upon time and participation of the patient to his treatment. TBI rehabilitation demands a very active participation from the patient in physical therapy, occupational therapy, speech and language therapy, etc  Cancer treatment are not the same at all. They are much more passive (perfusions, radiation therapy sessions, surgeries, taking meds). 
So, saying you beat cancer or kicked its ass is kind of not accurate at all. The perfusions of chemotherapy or antibodies, the radiation therapy, the surgeon who removed cancerous tissue and the meds you are taking are kind of doing the deeds. Sure, we suffer (greatly) from the aftermath, but it's not like we can make chemotherapy more efficient by wanting it to be. 
As I once said to one of my physician regarding my cancer treatments : " I don't feel I'm the one fighting the battle : I feel like the battleground where the fight is happening ". 
Second, cancers are genetic diseases. They happened when cells go through series of mutations that make them very difficult to destroy. In fact, cancer, in a way, is a better version of yourself. The mutated cells have become so efficient at reproducing themselves and resisting that in the worst case, they become immortal. That's why they grow, spread and invade organs that eventually fail. So, surviving cancer is basically a question of luck. 
They are people here who went through hell and back, that where as courageous as anyone in remission but are still terminal. I'm not saying not to post positive story, but just be careful the way you phrase it. 
I'll end on a positive note : My brain MRI was stable. I'm grateful for another 3 months of calm. 
I wish everyone on this amazing community a good day! 
</t>
        </is>
      </c>
      <c r="D811" t="n">
        <v>27</v>
      </c>
      <c r="E811" t="n">
        <v>30</v>
      </c>
      <c r="F811">
        <f>HYPERLINK("https://www.reddit.com/r/cancer/comments/asbs9f/controversial_topic_i_beat_cancer_or_ive_kicked/")</f>
        <v/>
      </c>
      <c r="G811" t="inlineStr">
        <is>
          <t>2019-02-19 07:49:20</t>
        </is>
      </c>
      <c r="H811" t="inlineStr"/>
    </row>
    <row r="812">
      <c r="A812" t="inlineStr">
        <is>
          <t>asc896</t>
        </is>
      </c>
      <c r="B812" t="inlineStr">
        <is>
          <t>Colonoscopy prep</t>
        </is>
      </c>
      <c r="C812" t="inlineStr">
        <is>
          <t xml:space="preserve">Started taking the colonoscopy prep today and now I'm bleeding when I poop and there wasnt blood before I'm not constipated and I've downed 2 bottles of mag citrate and have only pooped once scared prep isnt going to work </t>
        </is>
      </c>
      <c r="D812" t="n">
        <v>1</v>
      </c>
      <c r="E812" t="n">
        <v>7</v>
      </c>
      <c r="F812">
        <f>HYPERLINK("https://www.reddit.com/r/cancer/comments/asc896/colonoscopy_prep/")</f>
        <v/>
      </c>
      <c r="G812" t="inlineStr">
        <is>
          <t>2019-02-19 08:30:10</t>
        </is>
      </c>
      <c r="H812" t="inlineStr"/>
    </row>
    <row r="813">
      <c r="A813" t="inlineStr">
        <is>
          <t>asdc6o</t>
        </is>
      </c>
      <c r="B813" t="inlineStr">
        <is>
          <t>I might have kidney cancer</t>
        </is>
      </c>
      <c r="C813" t="inlineStr">
        <is>
          <t>I'm not sure if this is the right place to post but I have to vent somewhere. 
Tomorrow I'll have my biopsy done. I have blood and protein in my urine. Earlier this day I had an ultrasound but my doctor was very 'vague' about the whole thing. He only said he is sure something is wrong with my kidneys but didn't say anything else
 My mind is racing. I'm only 17 years old and I'm so terrified. I have no one to talk to because my mom had to leave a few hours ago.</t>
        </is>
      </c>
      <c r="D813" t="n">
        <v>3</v>
      </c>
      <c r="E813" t="n">
        <v>10</v>
      </c>
      <c r="F813">
        <f>HYPERLINK("https://www.reddit.com/r/cancer/comments/asdc6o/i_might_have_kidney_cancer/")</f>
        <v/>
      </c>
      <c r="G813" t="inlineStr">
        <is>
          <t>2019-02-19 10:05:47</t>
        </is>
      </c>
      <c r="H813" t="inlineStr"/>
    </row>
    <row r="814">
      <c r="A814" t="inlineStr">
        <is>
          <t>asdqaf</t>
        </is>
      </c>
      <c r="B814" t="inlineStr">
        <is>
          <t>New here, starting treatment tomorrow</t>
        </is>
      </c>
      <c r="C814" t="inlineStr">
        <is>
          <t>Hey all. Got a diagnosis of NUT mainline carcinoma at the end of January. Exceedingly rare, pretty aggressive from what I’m told. My surgery went well, and I start chemo and radiation tomorrow, which I’m not exactly looking forward to, but it also can’t seem to come soon enough. 
I figured I’d introduce myself here because I have a good support system, but I don’t exactly have access to other people going through similar things. And hell, I could use some friends. 
I like talking about religion and fun stuff like that, so DM me if you wanna talk!</t>
        </is>
      </c>
      <c r="D814" t="n">
        <v>44</v>
      </c>
      <c r="E814" t="n">
        <v>27</v>
      </c>
      <c r="F814">
        <f>HYPERLINK("https://www.reddit.com/r/cancer/comments/asdqaf/new_here_starting_treatment_tomorrow/")</f>
        <v/>
      </c>
      <c r="G814" t="inlineStr">
        <is>
          <t>2019-02-19 10:39:24</t>
        </is>
      </c>
      <c r="H814" t="inlineStr"/>
    </row>
    <row r="815">
      <c r="A815" t="inlineStr">
        <is>
          <t>ase1vv</t>
        </is>
      </c>
      <c r="B815" t="inlineStr">
        <is>
          <t>The dark place.</t>
        </is>
      </c>
      <c r="C815" t="inlineStr">
        <is>
          <t>I hate it here. Sometimes I get stuck. Sometimes the dark place fully encompasses me. I feel like I'm drowning and my life clock is just ticking away. 
In 2012 I was 36 years old and diagnosed with stage 4 Lymphoma. My form is incurable. I went through 6 months of chemo/rituxan then 2 years of just Rituxan. 
I'm not even going to start to list my medical issues I've developed as a result of my chemo cocktail. 
Is it a lump? Why am I so tired again? What is this scan going to show?
It's crippling trying to carry on with your life while death is in the back of your mind. It's made a relationship impossible for me. Most people don't like to think about death. Having cancer means every waking moment the thought of death lurks in the back of your head. 
Anyone have any coping techniques they'd like to share? Because mine suck.</t>
        </is>
      </c>
      <c r="D815" t="n">
        <v>46</v>
      </c>
      <c r="E815" t="n">
        <v>17</v>
      </c>
      <c r="F815">
        <f>HYPERLINK("https://www.reddit.com/r/cancer/comments/ase1vv/the_dark_place/")</f>
        <v/>
      </c>
      <c r="G815" t="inlineStr">
        <is>
          <t>2019-02-19 11:06:34</t>
        </is>
      </c>
      <c r="H815" t="inlineStr"/>
    </row>
    <row r="816">
      <c r="A816" t="inlineStr">
        <is>
          <t>asednv</t>
        </is>
      </c>
      <c r="B816" t="inlineStr">
        <is>
          <t>Got a Good Feeling About This!</t>
        </is>
      </c>
      <c r="C816" t="inlineStr">
        <is>
          <t>So I have had my share of troubles going through RT treatments. I am currently battling on three fronts. One is pain, two is nausea, and three is nutrition and hydration. Even before the treatments I was not eating solid foods but at that time I had no problems getting boost and other health shakes down. Now it is nearly impossible to get past the pain (mouth and throat sores) and nausea get even water down. The pain killers and mouthwash are not cutting it anymore. So I have decided to get a feeding tube inserted this week. It is not my ideal solution but I have to get enough protein and nutrients down to keep me healthy. I have lost over 30+ pounds, and even though I still have enough energy daily I don't think I can't loose any more muscle. So I am switching tactics to win one front so I have the energy to fight the other two. I still have two weeks of treatment to go plus the healing afterwords! I am in this for the long haul!!!  
https://youtu.be/3OnnDqH6Wj8</t>
        </is>
      </c>
      <c r="D816" t="n">
        <v>12</v>
      </c>
      <c r="E816" t="n">
        <v>12</v>
      </c>
      <c r="F816">
        <f>HYPERLINK("https://www.reddit.com/r/cancer/comments/asednv/got_a_good_feeling_about_this/")</f>
        <v/>
      </c>
      <c r="G816" t="inlineStr">
        <is>
          <t>2019-02-19 11:34:54</t>
        </is>
      </c>
      <c r="H816" t="inlineStr"/>
    </row>
    <row r="817">
      <c r="A817" t="inlineStr">
        <is>
          <t>aseomz</t>
        </is>
      </c>
      <c r="B817" t="inlineStr">
        <is>
          <t>Post menopausal intimacy</t>
        </is>
      </c>
      <c r="C817" t="inlineStr">
        <is>
          <t>Post menopausal women of reddit. Do you have any suggestions for a husband who wants to help foster a physically romantic relationship?  My wife went through early menopause due to breast cancer treatment and I’ve struggled to find the right way to be supportive but still work towards resuming intimacy.  Any suggestions are appreciated.</t>
        </is>
      </c>
      <c r="D817" t="n">
        <v>14</v>
      </c>
      <c r="E817" t="n">
        <v>8</v>
      </c>
      <c r="F817">
        <f>HYPERLINK("https://www.reddit.com/r/cancer/comments/aseomz/post_menopausal_intimacy/")</f>
        <v/>
      </c>
      <c r="G817" t="inlineStr">
        <is>
          <t>2019-02-19 12:02:12</t>
        </is>
      </c>
      <c r="H817" t="inlineStr"/>
    </row>
    <row r="818">
      <c r="A818" t="inlineStr">
        <is>
          <t>asf25j</t>
        </is>
      </c>
      <c r="B818" t="inlineStr">
        <is>
          <t>I’m a victim.</t>
        </is>
      </c>
      <c r="C818" t="inlineStr">
        <is>
          <t xml:space="preserve">I have ALL and I am in the process of a bone marrow transplant. (Day 20) I feel like I am playing the victim more than I should. I don’t feel horrible, sure I have nausea and diarrhea. But other than that I really don’t feel THAT bad. 
But I keep playing the victim, even when I am alone and it’s only for me I do it. I don’t want to get out of bed. I don’t want to shower. I just want it all to be over with. 
Today I had to leave to see the doctor and do blood work. I made the poor nurse wheelchair me out to the car. I probably could have walked, sure I would have been tired, but I could have done it. 
I don’t know what’s wrong with me. It’s like it’s all just so draining and I have no fight left in me. </t>
        </is>
      </c>
      <c r="D818" t="n">
        <v>19</v>
      </c>
      <c r="E818" t="n">
        <v>9</v>
      </c>
      <c r="F818">
        <f>HYPERLINK("https://www.reddit.com/r/cancer/comments/asf25j/im_a_victim/")</f>
        <v/>
      </c>
      <c r="G818" t="inlineStr">
        <is>
          <t>2019-02-19 12:35:28</t>
        </is>
      </c>
      <c r="H818" t="inlineStr"/>
    </row>
    <row r="819">
      <c r="A819" t="inlineStr">
        <is>
          <t>asg20x</t>
        </is>
      </c>
      <c r="B819" t="inlineStr">
        <is>
          <t>Cancer came back after son was born</t>
        </is>
      </c>
      <c r="C819" t="inlineStr">
        <is>
          <t xml:space="preserve">So my wife had cancer before we met and went into remission. We started dating when she had no hair so we talked about her experience and how terrible it was on her kids(she was a single mom of two, left husband because of domestic abuse, physical and emotional) and did what she could to stay healthy so it would not come back. 
Fast forward 7 years and after clearing with oncologist that she was good(we had to wait a minimum of five years to even consider kids) we decided to have a child and she got pregnant. 9 months went well done issues during birth ( son was born unresponsive, code blue but thank God he is okay now) two weeks after noticed an issue Indy left armpit, doctors said it was because of breast feeding and dismissed, we live in a smaller city with only one hospital after much pushing they wanted a biopsy but didn't want to schedule until two months after. We got ahold of her oncologist from big city and he said to go to him asap (3 hour drive) which of course we did, they were able to run all tests with in a week and to our heartbreak the cancer has returned, non-hodgkins lymphoma more aggressive than first time.
 She cannot return to work for a long while, and needs a transplant of bone marrow so she will need to also stay hospitalized for a month from what they just told us. This is all new to me so I'm doing my best to get info, support her support out kids and take care of the baby as she has less strength. Since from her first marriage how it went she was left emotionally scared and hates accepting help from people more so financially as that was what guy used on her to keep her down as well so she feels terrible I am only one working but I tell her I will take care of everything and not worry that I know she would so the same for me. However as time goes on and now with transplant info that we need to stay up in the bigger city for a while I'm not sure if I can keep up. The travel is rough going back and forth plus gas and food but it's best for her there. Lucky my mom helps me with our 2 month and the other two kids are older but still very hard. 
My question I guess is how do I best support her and make sure she doesn't see I'm struggling to keep up financially, I've sold some stuff to try to stay ahead (gaming devices , electronics etc) but still this is going to take some time, kids also have noticed I'm a little tighter on fiance's (not taking them out  food or movies or going cheaper routes) so I don't want them to feel bad either as this is rough on them too. Is there any assistance for cancer patients or help I could look into. Any advice on how I can make sure they are all okay and not worry, feels like I'm in quicksand atm and I'm stuck.
TL;DR wifes cancer came back after pregnancy, struggling financially but I don't want her to worry how do I keep it from her and any help out there for this situation. </t>
        </is>
      </c>
      <c r="D819" t="n">
        <v>27</v>
      </c>
      <c r="E819" t="n">
        <v>9</v>
      </c>
      <c r="F819">
        <f>HYPERLINK("https://www.reddit.com/r/cancer/comments/asg20x/cancer_came_back_after_son_was_born/")</f>
        <v/>
      </c>
      <c r="G819" t="inlineStr">
        <is>
          <t>2019-02-19 14:03:51</t>
        </is>
      </c>
      <c r="H819" t="inlineStr"/>
    </row>
    <row r="820">
      <c r="A820" t="inlineStr">
        <is>
          <t>ash8g0</t>
        </is>
      </c>
      <c r="B820" t="inlineStr">
        <is>
          <t>My father has stage 4 bladder cancer with met to the lungs and adrenal glands.</t>
        </is>
      </c>
      <c r="C820" t="inlineStr">
        <is>
          <t xml:space="preserve">I’m 24 years old and my mother passed away almost three months ago from a reoccurrence of lymphoma after a long battle with chemo and was a CAR-T patient. My father is seemingly in a much more grave situation and I don’t want to watch him suffer for a long time. I just want him to begin palliative care and not prolong his life unnecessarily. He wants to go through immune therapy to fight to live longer but he probably doesn’t have more than 6 months. I have to respect his wishes, however I still struggle to accept his decision.
Grieving my mom and at the same time losing my father, and going through this situation all over again is really quite a lot, and most days, I’m not sure how I’m going to get through this. </t>
        </is>
      </c>
      <c r="D820" t="n">
        <v>23</v>
      </c>
      <c r="E820" t="n">
        <v>15</v>
      </c>
      <c r="F820">
        <f>HYPERLINK("https://www.reddit.com/r/cancer/comments/ash8g0/my_father_has_stage_4_bladder_cancer_with_met_to/")</f>
        <v/>
      </c>
      <c r="G820" t="inlineStr">
        <is>
          <t>2019-02-19 15:56:35</t>
        </is>
      </c>
      <c r="H820" t="inlineStr"/>
    </row>
    <row r="821">
      <c r="A821" t="inlineStr">
        <is>
          <t>ashahq</t>
        </is>
      </c>
      <c r="B821" t="inlineStr">
        <is>
          <t>First post, but hopefully at the end of my journey.</t>
        </is>
      </c>
      <c r="C821" t="inlineStr">
        <is>
          <t xml:space="preserve">Hey all!
I became a lurker here after I was diagnosed with Hodgkin’s Lymphoma in my neck about 6 months ago. Since then I’ve been checking up periodically and I wanted to thank you all, and wish anyone still fighting the absolute best of luck. 
I joke with people that I went to get checked because of vanity, but it’s truer then I’d like to admit. I found the lump in my neck while laying on the couch, and immediately thought “shit! I have auditions and things to do! I can’t have a big lump in my neck!” (I’m an actor) Which led me to the clinic for a lymph node infection. Turns out my lump was actually 9cm in diameter. This eventually led me down the road of tests, and x-rays, and biopsies etc. Until I was finally diagnosed.
I’m only 22, so my world immediately shifted on its axis, and I felt like it was all over. To feel like my body had turned against me at this age sent me down a massive spiral. 
I was extremely lucky, in that my vanity led me to catching it early, and after 2 months of chemo, and another couple weeks of radiation I’m out the other side. I have my first check up in April, and I’m feeling optimistic. The only serious casualties have been a pretty noticeable bald spot in my beard which i intend to keep until it grows back, as a sort of personal statement.
Anyway, I wanted to thank this sub for helping me get through some of the more difficult days, reading stories of survival helped me convince myself it wasn’t all over. It’s also given me a huge amount of perspective on this disease, and I’ll never look at it the same again. Thank you all, and keep up the good fight!
</t>
        </is>
      </c>
      <c r="D821" t="n">
        <v>58</v>
      </c>
      <c r="E821" t="n">
        <v>7</v>
      </c>
      <c r="F821">
        <f>HYPERLINK("https://www.reddit.com/r/cancer/comments/ashahq/first_post_but_hopefully_at_the_end_of_my_journey/")</f>
        <v/>
      </c>
      <c r="G821" t="inlineStr">
        <is>
          <t>2019-02-19 16:02:24</t>
        </is>
      </c>
      <c r="H821" t="inlineStr"/>
    </row>
    <row r="822">
      <c r="A822" t="inlineStr">
        <is>
          <t>ashz59</t>
        </is>
      </c>
      <c r="B822" t="inlineStr">
        <is>
          <t>Mom, age 74, just diagnosed with Lung Adenocarcinoma after 21 year remission from Stage 4 Breast Cancer</t>
        </is>
      </c>
      <c r="C822" t="inlineStr">
        <is>
          <t xml:space="preserve">Her mother and sister both succumbed to their cancers - mother was in her 70's when first diagnosed with Breast and passed a couple of years later, and then both my mom and her only sister were diagnosed in their 50's. The sister met'd everywhere a few years after the initial diagnosis and lived another few years years, just passed at age 71. This is my mom's second go-round....her initial breast cancer wasn't aggressive - her doctor said it may have been there for years before symptoms occurred. Full left breast mastectomy and lymph nodes in her arm pit. 
She had a lung nodule of 1.1cm in 2014, but the pulmonologist said it wasn't cancer. Obviously, it was too small back then to biopsy and not significant enough to worry about yet. 2 or 3 years she went back for regular PET scans with no growth, so she stopped... skip to 12/2018, ER visit long time coming for pain all over, they find the nodule is now 2.8cm. Idk if that's a fast or slow growth within 3-4 years - sounds slow to me. With all of the testing ordered, nuclear bone scan, brain MRI, full PET scan from head to pelvis.... she has all of these spinal issues, colonic inflammation, calcified gallstones, 2cm cyst on kidney... goes for a spinal MRI to be diagnosed with Degenerative disc disease, dextroscoliosis, pinched nerves, bulging discs, arthritis, and whatever else you can find - BUT... no evidence of metastasis anywhere else in the body other than the 2 lungs and mediastinum, so I'm guessing it will be a Stage 4 - we find out tomorrow. There was some lit up areas on a vertebrae, ribs, and colon, but I took her to a musculoskeletal oncologist and gastroenterologist, and they both confirmed it wasn't cancer from what they could see.
The radiologist who did the CT-guided lung biopsy in December failed to get a malignant sample from the primary nodule - there are tiny others in the opposite lung or along the fissure - and he told her oncologist he's confident another attempt to needle biopsy will not be successful, so they wasted a month trying to get her a thoracoscopy. Pre-op showed some previous radiation damage to her atrial valve, with risk of heart attack if under general anesthesia given she also has COPD from smoking for 50 years (yet her lungs oddly enough are not that black, they say, and the COPD stage is mild - minor wheezing). Her oncologist, the cardiologist, and the thoracic surgeon said to risk the surgery to find out what's happening in the chest, but I wasn't going to risk her. I requested another needle biopsy at the next month's oncologist appointment since he scheduled a month in between for the thoracoscopy and wouldn't see her earlier. Finally, the 2nd attempt was successful, and this is the diagnosis 2 months after the ER visit. 
The path report says the primary nodule is positive for CK-7 and TTF-1 with focal positivity for p40 and negative for GATA-3 - I have no idea what these mean other than trying to realize if it's metastatic or primary. The oncologist sent the tissue sample off for the mutation reports for targeted immunotherapy. We'll find that out tomorrow hopefully as well. 
She did well on chemo before 21 years ago... massive radiation of 6 weeks, chemo, and refused to take Taxol. She hates medicine in general and believes since she made the call to not take Taxol back then and lived 21 years when they only gave her 1-2 years, she is a pro at medicine. Her anxiety and OCD is so bad right now, she refuses to take Rx'd lexapro and the gabapentin 300mg or tramadol 150mg didn't work on pain for her back. She fell down a couple of weeks ago on her hip, which didn't help either. Nerve block didn't really help either....
So she has a lot going on... </t>
        </is>
      </c>
      <c r="D822" t="n">
        <v>12</v>
      </c>
      <c r="E822" t="n">
        <v>1</v>
      </c>
      <c r="F822">
        <f>HYPERLINK("https://www.reddit.com/r/cancer/comments/ashz59/mom_age_74_just_diagnosed_with_lung/")</f>
        <v/>
      </c>
      <c r="G822" t="inlineStr">
        <is>
          <t>2019-02-19 17:10:50</t>
        </is>
      </c>
      <c r="H822" t="inlineStr"/>
    </row>
    <row r="823">
      <c r="A823" t="inlineStr">
        <is>
          <t>asig2y</t>
        </is>
      </c>
      <c r="B823" t="inlineStr">
        <is>
          <t>Experiences with Carcinoid (Appendix)?</t>
        </is>
      </c>
      <c r="C823" t="inlineStr">
        <is>
          <t xml:space="preserve">Hi everyone!
So about a year ago, I had an appendectomy, where they found a 0.9cm carcinoid/neuroendocrine tumour at the apex (tip). My general surgeon subsequently sent me for an octreoside scan, CT, and colonoscopy, of which all came back all clear (the colonoscopy only took 8 minutes for a 60 minute appointment, and I'm all around apprehensive how seriously my doctor is taking this). I was never referred to an oncologist because of the clear results. I'm in Canada, so seeing one requires an referral. I just had my 1 year CT-scan, which again came back clear. I have received no contact from my doctor, so I assume I will be receiving no more follow-up care. But as a 19F, I want to make sure I shouldn't be pushing harder for more preventative measures, more scans, more precaution. I understand the privilege of them catching this thing so early, and want to ensure I'm making the most of it.
More details about the tumour:  It had only one high-risk feature, which was invasion of the serosa (from the way it was explained to me, the outside layer of the appendix). While the initial pathology report said there was evidence of invasion of the mesoappendix, my surgeon sent it to a "more experienced GI pathologist" who said there was no invasion. He said this is more consistent with how it looked during surgery, which he described as "harmless". </t>
        </is>
      </c>
      <c r="D823" t="n">
        <v>4</v>
      </c>
      <c r="E823" t="n">
        <v>2</v>
      </c>
      <c r="F823">
        <f>HYPERLINK("https://www.reddit.com/r/cancer/comments/asig2y/experiences_with_carcinoid_appendix/")</f>
        <v/>
      </c>
      <c r="G823" t="inlineStr">
        <is>
          <t>2019-02-19 17:58:44</t>
        </is>
      </c>
      <c r="H823" t="inlineStr"/>
    </row>
    <row r="824">
      <c r="A824" t="inlineStr">
        <is>
          <t>asijt9</t>
        </is>
      </c>
      <c r="B824" t="inlineStr">
        <is>
          <t>Wtf</t>
        </is>
      </c>
      <c r="C824" t="inlineStr">
        <is>
          <t xml:space="preserve">⠄⢰⣧⣼⣯⠄⣸⣠⣶⣶⣦⣾⠄⢸⡇⠄⠄⠄⠄⠄⠄⠄⠄⠄⠄⠄⠄⣠
 ⠄⣾⣿⠿⠿⠶⠿⢿⣿⣿⣿⣿⣦⣤⣄⢀⡅⢠⣾⣛⡉⠄⠄⠄⠸⢀⣿⠄
 ⢀⡋⣡⣴⣶⣶⡀⠄⠄⠙⢿⣿⣿⣿⣿⣿⣴⣿⣿⣿⢃⣤⣄⣀⣥⣿⣿⠄
 ⢸⣇⠻⣿⣿⣿⣧⣀⢀⣠⡌⢻⣿⣿⣿⣿⣿⣿⣿⣿⣿⠿⠿⠿⣿⣿⣿⠄
 ⢸⣿⣷⣤⣤⣤⣬⣙⣛⢿⣿⣿⣿⣿⣿⣿⡿⣿⣿⡍⠄⠄⢀⣤⣄⠉⠋⣰
 ⣖⣿⣿⣿⣿⣿⣿⣿⣿⣿⢿⣿⣿⣿⣿⣿⢇⣿⣿⡷⠶⠶⢿⣿⣿⠇⢀⣤ 
⣿⣿⣿⣿⣿⣿⣿⣿⣿⣿⣿⣽⣿⣿⣿⡇⣿⣿⣿⣿⣿⣿⣷⣶⣥⣴⣿⡗
 ⢿⣿⣿⣿⣿⣿⣿⣿⣿⣿⣿⣿⣿⣿⣿⣿⣿⣿⣿⣿⣿⣿⣿⣿⣿⣿⡟⠄
 ⣦⣌⣛⣻⣿⣿⣧⠙⠛⠛⡭⠅⠒⠦⠭⣭⡻⣿⣿⣿⣿⣿⣿⣿⣿⡿⠃⠄
 ⣿⣿⣿⣿⣿⣿⣿⡆⠄⠄⠄⠄⠄⠄⠄⠄⠹⠈⢋⣽⣿⣿⣿⣿⣵⣾⠃⠄
 ⣿⣿⣿⣿⣿⣿⣿⣿⠄⣴⣿⣶⣄⠄⣴⣶⠄⢀⣾⣿⣿⣿⣿⣿⣿⠃⠄⠄ 
⠈⠻⣿⣿⣿⣿⣿⣿⡄⢻⣿⣿⣿⠄⣿⣿⡀⣾⣿⣿⣿⣿⣛⠛⠁⠄⠄⠄
 ⠄⠄⠈⠛⢿⣿⣿⣿⠁⠞⢿⣿⣿⡄⢿⣿⡇⣸⣿⣿⠿⠛⠁⠄⠄⠄⠄⠄
 ⠄⠄⠄⠄⠄⠉⠻⣿⣿⣾⣦⡙⠻⣷⣾⣿⠃⠿⠋⠁⠄⠄⠄⠄⠄⢀⣠⣴
 ⣿⣶⣶⣮⣥⣒⠲⢮⣝⡿⣿⣿⡆⣿⡿⠃⠄⠄⠄⠄⠄⠄⠄⠄⠄⠄⠄⣠ </t>
        </is>
      </c>
      <c r="D824" t="n">
        <v>0</v>
      </c>
      <c r="E824" t="n">
        <v>0</v>
      </c>
      <c r="F824">
        <f>HYPERLINK("https://www.reddit.com/r/cancer/comments/asijt9/wtf/")</f>
        <v/>
      </c>
      <c r="G824" t="inlineStr">
        <is>
          <t>2019-02-19 18:08:40</t>
        </is>
      </c>
      <c r="H824" t="inlineStr"/>
    </row>
    <row r="825">
      <c r="A825" t="inlineStr">
        <is>
          <t>asipdi</t>
        </is>
      </c>
      <c r="B825" t="inlineStr">
        <is>
          <t>Mom just got diagnosed.</t>
        </is>
      </c>
      <c r="C825" t="inlineStr">
        <is>
          <t xml:space="preserve">Originally it was ovarian cancer, but they just wrapped up her hysterectomy (removing her ovaries) and found a grapefruit sized tumor in her abdomen.
What does this mean? What should I expect? Does the size of a tumor even matter? I just don’t know what to think. 
Any and all guidance/info/advice is welcome. </t>
        </is>
      </c>
      <c r="D825" t="n">
        <v>2</v>
      </c>
      <c r="E825" t="n">
        <v>6</v>
      </c>
      <c r="F825">
        <f>HYPERLINK("https://www.reddit.com/r/cancer/comments/asipdi/mom_just_got_diagnosed/")</f>
        <v/>
      </c>
      <c r="G825" t="inlineStr">
        <is>
          <t>2019-02-19 18:24:04</t>
        </is>
      </c>
      <c r="H825" t="inlineStr"/>
    </row>
    <row r="826">
      <c r="A826" t="inlineStr">
        <is>
          <t>asiybk</t>
        </is>
      </c>
      <c r="B826" t="inlineStr">
        <is>
          <t>Girlfriends Grandmother</t>
        </is>
      </c>
      <c r="C826" t="inlineStr">
        <is>
          <t>It's becoming clear to me, my gf, and our friend who is her caregiver that she is towards the end. Her blood sugar is constantly dipping and her mentality is slipping as well. My girlfriend just lost her mother 6 months ago to breast cancer, and now it seems like her grandmother doesn't have much time left. 
It reminds me alot of my grandparents when I was in high school, my grandfather's eye cancer had come back and eventually took him from us, only for my grandmother to pass away from heart disease. It just hurts to see loved ones go one after another, and this is just it happening all over again. So, just keeps us in your thoughts if you read this. Thanks</t>
        </is>
      </c>
      <c r="D826" t="n">
        <v>5</v>
      </c>
      <c r="E826" t="n">
        <v>1</v>
      </c>
      <c r="F826">
        <f>HYPERLINK("https://www.reddit.com/r/cancer/comments/asiybk/girlfriends_grandmother/")</f>
        <v/>
      </c>
      <c r="G826" t="inlineStr">
        <is>
          <t>2019-02-19 18:49:20</t>
        </is>
      </c>
      <c r="H826" t="inlineStr"/>
    </row>
    <row r="827">
      <c r="A827" t="inlineStr">
        <is>
          <t>asj31j</t>
        </is>
      </c>
      <c r="B827" t="inlineStr">
        <is>
          <t>Lovenox injections</t>
        </is>
      </c>
      <c r="C827" t="inlineStr">
        <is>
          <t>I've been on lovenox for almost a year, now. Just recently it has started stinging and burning more than ever. With each injection it gets worse and worse. It could be caused by weaning off of another pain med. Anyone care to explain their experience with it, or give tips on how to not make me almost scream out in pain with every shot?</t>
        </is>
      </c>
      <c r="D827" t="n">
        <v>2</v>
      </c>
      <c r="E827" t="n">
        <v>12</v>
      </c>
      <c r="F827">
        <f>HYPERLINK("https://www.reddit.com/r/cancer/comments/asj31j/lovenox_injections/")</f>
        <v/>
      </c>
      <c r="G827" t="inlineStr">
        <is>
          <t>2019-02-19 19:02:34</t>
        </is>
      </c>
      <c r="H827" t="inlineStr"/>
    </row>
    <row r="828">
      <c r="A828" t="inlineStr">
        <is>
          <t>asjkc7</t>
        </is>
      </c>
      <c r="B828" t="inlineStr">
        <is>
          <t>How to be supportive? My brother-in-law's mother just passed away.</t>
        </is>
      </c>
      <c r="C828" t="inlineStr">
        <is>
          <t>It happened fast. Diagnosed a three to four weeks ago. She was walking, laughing, and eating a few days ago to suddenly being bed bound.
I've asked them if I can do anything and was told no. I live across the country. My BIL has been stoic this whole time, though when I've talked to him you can hear the strain in his voice. He and his sister lost their father to cancer ten years ago.
He hasn't been taking care of himself. He would only leave his mother's side to shower, eat, and work.
I've already said my condolences and have reiterated to not hesitate to ask anything, but I know they'll say it's okay.
How can I be there for him? I live across the country from them. I still want to send something to him, but haven't decided what. I was thinking money to help pay for the funeral arrangements or for them to do something to get their minds off of everything.</t>
        </is>
      </c>
      <c r="D828" t="n">
        <v>6</v>
      </c>
      <c r="E828" t="n">
        <v>2</v>
      </c>
      <c r="F828">
        <f>HYPERLINK("https://www.reddit.com/r/cancer/comments/asjkc7/how_to_be_supportive_my_brotherinlaws_mother_just/")</f>
        <v/>
      </c>
      <c r="G828" t="inlineStr">
        <is>
          <t>2019-02-19 19:51:53</t>
        </is>
      </c>
      <c r="H828" t="inlineStr"/>
    </row>
    <row r="829">
      <c r="A829" t="inlineStr">
        <is>
          <t>ask7xo</t>
        </is>
      </c>
      <c r="B829" t="inlineStr">
        <is>
          <t>Esophageal Cancer</t>
        </is>
      </c>
      <c r="C829" t="inlineStr">
        <is>
          <t xml:space="preserve">My incredible uncle was diagnosed yesterday. Amazing man who would be a horrible loss. Would very much appreciate prayers. </t>
        </is>
      </c>
      <c r="D829" t="n">
        <v>9</v>
      </c>
      <c r="E829" t="n">
        <v>2</v>
      </c>
      <c r="F829">
        <f>HYPERLINK("https://www.reddit.com/r/cancer/comments/ask7xo/esophageal_cancer/")</f>
        <v/>
      </c>
      <c r="G829" t="inlineStr">
        <is>
          <t>2019-02-19 21:02:51</t>
        </is>
      </c>
      <c r="H829" t="inlineStr"/>
    </row>
    <row r="830">
      <c r="A830" t="inlineStr">
        <is>
          <t>asmc21</t>
        </is>
      </c>
      <c r="B830" t="inlineStr">
        <is>
          <t>Day 10 in the hospital and I'm pretty bored. How's it going?</t>
        </is>
      </c>
      <c r="C830" t="inlineStr">
        <is>
          <t xml:space="preserve">Hi all, I'm back in the hospital after I went into sepsis last Sunday, a complication from a lobectomy performed on Jan 31st. Anyway, I'm just getting a little bored, so I was wondering how you all are doing today. I'm doing pretty good, my pain is a lot better managed since they removed one of the three chest tubes installed during the second surgery to clean up the infection (Group A Strep) in my chest cavity. For those who have never had the pleasure of a chest tube, keep it that way. 😃
So yeah, how are you today? I hope you are feeling positive and not in pain. It gets so lonely after a few days here, and I just wanted to say hi. Keep fighting and stay strong. Good luck to you, my friends. </t>
        </is>
      </c>
      <c r="D830" t="n">
        <v>36</v>
      </c>
      <c r="E830" t="n">
        <v>43</v>
      </c>
      <c r="F830">
        <f>HYPERLINK("https://www.reddit.com/r/cancer/comments/asmc21/day_10_in_the_hospital_and_im_pretty_bored_hows/")</f>
        <v/>
      </c>
      <c r="G830" t="inlineStr">
        <is>
          <t>2019-02-20 01:24:23</t>
        </is>
      </c>
      <c r="H830" t="inlineStr"/>
    </row>
    <row r="831">
      <c r="A831" t="inlineStr">
        <is>
          <t>asn65t</t>
        </is>
      </c>
      <c r="B831" t="inlineStr">
        <is>
          <t>How to handle the grief and keep going after mom's terminal diagnosis?</t>
        </is>
      </c>
      <c r="C831" t="inlineStr">
        <is>
          <t xml:space="preserve">TW - please note that this post is not positive, and please consider that when deciding to read it. I'm not handling my grief very well and I'm sorry in advance. 
I was holding up just fine when the doctors were "optimistic" about my mom's condition. But ever since they drew the line in the sand and said it's incurable and all we can do is try to give her some extra months, I've lost the will to be strong. 
I'm in my very last semester at university and I find myself missing class, crying all day, unable to make it through simple tasks without falling apart. I want to be strong for her with all my heart, but actively losing my mom - my best friend, my emotional rock, my support boat in life - I wasn't ready for this. She's still here, but I already feel like I've lost her in a way. Every time she sleeps too long - I run in there scared that she's gone already. I fear going to class just in case she passes while I'm not home. I can't sleep, can't focus, can't do anything know that she's not going to make it to my graduation, to my wedding, won't get to meet her grand-kids, won't be there for anything.... 
I keep wondering things like - when is it going to happen? how long do I have with her? Will I fall to pieces even worse than this when she goes? How am I supposed to keep going knowing that the person I love the most is being taken from me far too soon? I know a lot of you guys are going through this from her side of things and I'm sorry for sounding so selfish. I'm just not holding up at all. </t>
        </is>
      </c>
      <c r="D831" t="n">
        <v>52</v>
      </c>
      <c r="E831" t="n">
        <v>34</v>
      </c>
      <c r="F831">
        <f>HYPERLINK("https://www.reddit.com/r/cancer/comments/asn65t/how_to_handle_the_grief_and_keep_going_after_moms/")</f>
        <v/>
      </c>
      <c r="G831" t="inlineStr">
        <is>
          <t>2019-02-20 03:17:10</t>
        </is>
      </c>
      <c r="H831" t="inlineStr"/>
    </row>
    <row r="832">
      <c r="A832" t="inlineStr">
        <is>
          <t>aso9he</t>
        </is>
      </c>
      <c r="B832" t="inlineStr">
        <is>
          <t>Going to the Dermatologist, Possibly getting a skin graph to see if its cancer.</t>
        </is>
      </c>
      <c r="C832" t="inlineStr">
        <is>
          <t>Extra notes before i start up: I am currently 17, almost 18. The reason i have to go to the dermatologist is i have a spot on my skalp that could turn into cancer as i got older, almost out of insurance so we are checking it now to make sure it isnt cancerous, (Note: Previously gone to dermatologist who was fairly rude, but at the end basicly said to make sure to check on it to make sure.) 
Normally i wouldnt be too worried, given my age, but given the appointment could very well change my life if it does turn out bad, i feel nervous, but also feel as though i should be more nervous? Its an odd feeling to say the least, given that i know that sooner or later i very likely could have cancer sooner or later, and that it could be growing on my head.
I feel as though i should say more, but honestly i dont really know much, i have forgotten the name of what it is called, the condition that is, but in any case, any tips? Currently i have no friends to reach out to, given they are all asleep, or away currently, and im not even sure if this is the right place to post it, given its not a definite 'Yes it happening right here, right now.' sort of thing. Sorry if so, and i can delete it if it is in the wrong reddit.</t>
        </is>
      </c>
      <c r="D832" t="n">
        <v>1</v>
      </c>
      <c r="E832" t="n">
        <v>2</v>
      </c>
      <c r="F832">
        <f>HYPERLINK("https://www.reddit.com/r/cancer/comments/aso9he/going_to_the_dermatologist_possibly_getting_a/")</f>
        <v/>
      </c>
      <c r="G832" t="inlineStr">
        <is>
          <t>2019-02-20 05:22:36</t>
        </is>
      </c>
      <c r="H832" t="inlineStr"/>
    </row>
    <row r="833">
      <c r="A833" t="inlineStr">
        <is>
          <t>asqmxu</t>
        </is>
      </c>
      <c r="B833" t="inlineStr">
        <is>
          <t>I made peace with it.</t>
        </is>
      </c>
      <c r="C833" t="inlineStr">
        <is>
          <t xml:space="preserve">Basically i got stage 4 Colorectal Cancer. I got 9 months to live. So I decided i don’t wanna die in a hospital bed shitting myself. I sold everything i have and now am on my way to vegas.  I never drank before or had sex or drugs. Am 26 so my plan is to fuck and drink and use every drug on the street. Cancer won’t kill, Balling well. </t>
        </is>
      </c>
      <c r="D833" t="n">
        <v>109</v>
      </c>
      <c r="E833" t="n">
        <v>44</v>
      </c>
      <c r="F833">
        <f>HYPERLINK("https://www.reddit.com/r/cancer/comments/asqmxu/i_made_peace_with_it/")</f>
        <v/>
      </c>
      <c r="G833" t="inlineStr">
        <is>
          <t>2019-02-20 08:55:42</t>
        </is>
      </c>
      <c r="H833" t="inlineStr"/>
    </row>
    <row r="834">
      <c r="A834" t="inlineStr">
        <is>
          <t>asqvnx</t>
        </is>
      </c>
      <c r="B834" t="inlineStr">
        <is>
          <t>Osteosarcoma</t>
        </is>
      </c>
      <c r="C834" t="inlineStr">
        <is>
          <t xml:space="preserve">I’ve been diagnosed with osteosarcoma last year when I started to experience a great amount of pain of my right hip. Turns out I have a massive and aggressive tumor in there. It’s been almost 8months with my treatments, I’ve been getting chemo (10 rounds) and so far it’s shrunken but now it has spread to my sacrum bone so the pain is back again. The more I think about it the more it scares me that i won’t make it. Does anyone out there have any advice for bone cancer? What to do or what not to do? I really want to beat this. </t>
        </is>
      </c>
      <c r="D834" t="n">
        <v>5</v>
      </c>
      <c r="E834" t="n">
        <v>6</v>
      </c>
      <c r="F834">
        <f>HYPERLINK("https://www.reddit.com/r/cancer/comments/asqvnx/osteosarcoma/")</f>
        <v/>
      </c>
      <c r="G834" t="inlineStr">
        <is>
          <t>2019-02-20 09:15:41</t>
        </is>
      </c>
      <c r="H834" t="inlineStr"/>
    </row>
    <row r="835">
      <c r="A835" t="inlineStr">
        <is>
          <t>asrbkr</t>
        </is>
      </c>
      <c r="B835" t="inlineStr">
        <is>
          <t>Nausea after chemo</t>
        </is>
      </c>
      <c r="C835" t="inlineStr">
        <is>
          <t xml:space="preserve">My step father was diagnosed with stage 4 pancreatic cancer just before Christmas. They went in and removed 1/3 of his pancreas along with most of the mass. He is now doing chemo and will later do radiation as well. He had his second dose of chemo yesterday and the sickness is hitting him hard. He tried doing ginger tea and he is prescribed 4 different types of anti nausea medication. Does anyone have tips to help with the puking? </t>
        </is>
      </c>
      <c r="D835" t="n">
        <v>6</v>
      </c>
      <c r="E835" t="n">
        <v>28</v>
      </c>
      <c r="F835">
        <f>HYPERLINK("https://www.reddit.com/r/cancer/comments/asrbkr/nausea_after_chemo/")</f>
        <v/>
      </c>
      <c r="G835" t="inlineStr">
        <is>
          <t>2019-02-20 09:51:54</t>
        </is>
      </c>
      <c r="H835" t="inlineStr"/>
    </row>
    <row r="836">
      <c r="A836" t="inlineStr">
        <is>
          <t>ass4cy</t>
        </is>
      </c>
      <c r="B836" t="inlineStr">
        <is>
          <t>Question about polyp biopsy...</t>
        </is>
      </c>
      <c r="C836" t="inlineStr">
        <is>
          <t>My dad, 65, just got a bunch of polyps removed during a colonoscopy.
One was big, the mushroom like ones, and the Dr. said the head didn’t look good but the base looked healthy.
Removed all the polyps.
Sent it out for biopsy.
If it was cancer, does that mean he had colon cancer &amp;amp; it was removed?
They said if it was cancer, he would have to come right back &amp;amp; what? look further?
What’s the next step?
If it was pre-cancerous, then everythings ok. Come back in 3 years.</t>
        </is>
      </c>
      <c r="D836" t="n">
        <v>2</v>
      </c>
      <c r="E836" t="n">
        <v>4</v>
      </c>
      <c r="F836">
        <f>HYPERLINK("https://www.reddit.com/r/cancer/comments/ass4cy/question_about_polyp_biopsy/")</f>
        <v/>
      </c>
      <c r="G836" t="inlineStr">
        <is>
          <t>2019-02-20 10:55:57</t>
        </is>
      </c>
      <c r="H836" t="inlineStr"/>
    </row>
    <row r="837">
      <c r="A837" t="inlineStr">
        <is>
          <t>asszux</t>
        </is>
      </c>
      <c r="B837" t="inlineStr">
        <is>
          <t>18-20-somethings with cancer, how do you deal with it?</t>
        </is>
      </c>
      <c r="C837" t="inlineStr">
        <is>
          <t>A few weeks ago, all I had to think about was my exams, making up cute plans with my girlfriend and preparing myself for the big adult world. Now I have Hodgkin's (doctors are still researching, but it's starting to point towards stage 4).
Sure, it still has a great prognosis and I'm pretty positive about the treatment, but it puts everything on hold and still shifts my whole world. Has anyone managed to continue/restart their studies? Did your condition change some of your future plans? What about friends, hobbies, etc.?
These are just some weird questions I have. I've never had any serious medical thing in my life, so this is all new for me. Anyone in the same situation?</t>
        </is>
      </c>
      <c r="D837" t="n">
        <v>11</v>
      </c>
      <c r="E837" t="n">
        <v>24</v>
      </c>
      <c r="F837">
        <f>HYPERLINK("https://www.reddit.com/r/cancer/comments/asszux/1820somethings_with_cancer_how_do_you_deal_with_it/")</f>
        <v/>
      </c>
      <c r="G837" t="inlineStr">
        <is>
          <t>2019-02-20 12:05:30</t>
        </is>
      </c>
      <c r="H837" t="inlineStr"/>
    </row>
    <row r="838">
      <c r="A838" t="inlineStr">
        <is>
          <t>ast6if</t>
        </is>
      </c>
      <c r="B838" t="inlineStr">
        <is>
          <t>16 year old cancer survivor, now 21</t>
        </is>
      </c>
      <c r="C838" t="inlineStr">
        <is>
          <t xml:space="preserve">Hello everyone, 
I just discovered this reddit page and wanted to tell my story. When I was 14 I was diagnosed with acute lymphocytic leukemia. I missed over a year of school and did intense chemo for what seemed like forever. 
When I returned to school I was a junior in high school, I had gone through “puberty” In the hospital, I was awkward, the cancer kid, everyone knew me but I didn’t know anyone. 
I busted my ass to recover what I had lost academically and socially during my time off of school. This was especially difficult because I was still on chemo, taking pills everyday and getting monthly Iv chemo and blood tests for almost 3 years after finishing my intense treatment. 
Fast forward almost 6 years in the future, I’ve been off all medication for almost 3 years now and I am 21 on my 4th year at UCLA, about to start my masters program next fall in teaching where I hope to graduate as a k-8 teacher with an emphasis on special education. The biggest reason for going into teaching is because the only reason I was able to transition back into school so well and get admitted to the school of my dreams was because of my amazing teachers and now I hope to do the same for someone else. 
I am still healthy, I’ve got other health stuff that are unrelated to cancer but i count my blessings everyday  that I am alive and going strong. 
I welcome any questions or conversations in the comments. I would also like to know if there are any other cancer survivors on this subreddit who have advice or tips on post cancer because I’m still trying to figure half of it out. </t>
        </is>
      </c>
      <c r="D838" t="n">
        <v>32</v>
      </c>
      <c r="E838" t="n">
        <v>7</v>
      </c>
      <c r="F838">
        <f>HYPERLINK("https://www.reddit.com/r/cancer/comments/ast6if/16_year_old_cancer_survivor_now_21/")</f>
        <v/>
      </c>
      <c r="G838" t="inlineStr">
        <is>
          <t>2019-02-20 12:20:04</t>
        </is>
      </c>
      <c r="H838" t="inlineStr"/>
    </row>
    <row r="839">
      <c r="A839" t="inlineStr">
        <is>
          <t>asu1lg</t>
        </is>
      </c>
      <c r="B839" t="inlineStr">
        <is>
          <t>I am getting a Bone Marrow Transplant tonight!!!</t>
        </is>
      </c>
      <c r="C839" t="inlineStr">
        <is>
          <t>Please give me those good reddit vibes. Quick engraftment, no GVHD, minimal issues!!!</t>
        </is>
      </c>
      <c r="D839" t="n">
        <v>200</v>
      </c>
      <c r="E839" t="n">
        <v>67</v>
      </c>
      <c r="F839">
        <f>HYPERLINK("https://www.reddit.com/r/cancer/comments/asu1lg/i_am_getting_a_bone_marrow_transplant_tonight/")</f>
        <v/>
      </c>
      <c r="G839" t="inlineStr">
        <is>
          <t>2019-02-20 13:29:55</t>
        </is>
      </c>
      <c r="H839" t="inlineStr"/>
    </row>
    <row r="840">
      <c r="A840" t="inlineStr">
        <is>
          <t>asu69j</t>
        </is>
      </c>
      <c r="B840" t="inlineStr">
        <is>
          <t>Alternative bowel cancer treatment.</t>
        </is>
      </c>
      <c r="C840" t="inlineStr">
        <is>
          <t xml:space="preserve">Basically a loved one has just found out they have bowel cancer and has asked me to research alternative treatments and I was wondering if anyone here would know of anything that could work or has worked for someone you know? I've started looking at cannabis oil but I'm not entirely sure exactly what I'm looking for. Any help would be greatly appreciated, thank you. </t>
        </is>
      </c>
      <c r="D840" t="n">
        <v>0</v>
      </c>
      <c r="E840" t="n">
        <v>5</v>
      </c>
      <c r="F840">
        <f>HYPERLINK("https://www.reddit.com/r/cancer/comments/asu69j/alternative_bowel_cancer_treatment/")</f>
        <v/>
      </c>
      <c r="G840" t="inlineStr">
        <is>
          <t>2019-02-20 13:40:24</t>
        </is>
      </c>
      <c r="H840" t="inlineStr"/>
    </row>
    <row r="841">
      <c r="A841" t="inlineStr">
        <is>
          <t>asuv2m</t>
        </is>
      </c>
      <c r="B841" t="inlineStr">
        <is>
          <t>Question</t>
        </is>
      </c>
      <c r="C841" t="inlineStr">
        <is>
          <t xml:space="preserve">Hello... everyone is calling me a hypochondriac... I don’t know if I am or not.
About 5 days ago I had shortness of breath.  Me being worried how I am, I thought it could be something like lung cancer... it felt like my left lung was getting less air than my right lung...
I went to Urgent Care, proceeded to get a chest x Ray from my front and my side, some blood work, and an EKG.
Everything turned out normal.   Doctor said it could possibly be anxiety and he couldn’t find a cause.
I took my results to my primary care doctor to get a second assessment of the results and he asked if the shortness of breath got better or worse with exercise.  I said that it stayed the same, if not got better during or after excessive.
He said not to worry as well...
My question to you is, do you think i should go back to the doctor and request a CT scan?  
The urgent care doctor said that he wouldn’t mind doing one, but he is wary because it has a lot of radiation he says.  He says he thinks it’s anxiety along with my primary care doctor, who believes that it’s anxiety as well.
What should I do?  Am I worrying too much?
</t>
        </is>
      </c>
      <c r="D841" t="n">
        <v>3</v>
      </c>
      <c r="E841" t="n">
        <v>9</v>
      </c>
      <c r="F841">
        <f>HYPERLINK("https://www.reddit.com/r/cancer/comments/asuv2m/question/")</f>
        <v/>
      </c>
      <c r="G841" t="inlineStr">
        <is>
          <t>2019-02-20 14:36:05</t>
        </is>
      </c>
      <c r="H841" t="inlineStr"/>
    </row>
    <row r="842">
      <c r="A842" t="inlineStr">
        <is>
          <t>asuwth</t>
        </is>
      </c>
      <c r="B842" t="inlineStr">
        <is>
          <t>Chemo is cancelled! (And I'm so damn happy).</t>
        </is>
      </c>
      <c r="C842" t="inlineStr">
        <is>
          <t>I (F34) was admitted to hospital (im in the UK) as an emergency on 7/11/18. I was found to have a large tumour in my torso, covering my spleen and part of the stomach and bowels. I had a full splenectomy (full removal of the spleen), part of my stomach removed, part of my bowels removed and some lymph nodes. It was diagnosed as genetic bowel cancer on the 22nd November 2018. I had a scan on the 6th of December 2018, all the cancer had (supposedly) gone with this operation. On 1st January 2019 I had a routine Ultrasound as part of my pre chemo check, and was 'lucky' enough to discover, the cancer had metasized into my liver. I've been having chemo (folfox) once a fortnight since the new year and it has suuuuuuuuucked. 
I've had 5 lots of folfox, and the side effects have knocked me sideways. Mainly spontaneous nosebleeds, migraines (never had one of them before....jesus wept theyre shitty!!), fatigue, restless leg, bad nausea and sickness, hair loss, tingley fingers/toes, numb mouth/face, everything tasting of wax, severe diarrhoea, muscle cramps, abdomen pains, general post surgery discomfort. I've tried to take it all on the head with a good sense of humour. 
Today they've said my chemo isn't helping the lesions in my liver shrink, so they want to operate to remove the damaged tissue instead, and they've taken me off chemo effective immediately!! (Tell you what, having those picc lines out are a bugger!). 
But I feel so relieved that I won't have to feel shitty for much longer and I feel like I have been listened to when it comes to my care. Its a massive weight off my mind, and even if I need chemo in the future (say after my operation) at least I will be better prepared for it next time. 
Sorry I just needed to sound off a positive about all this. I also want to thank others for posting here with their stories. This subreddit has helped me so much with my diagnosis, even though I haven't really interacted much other than read other peoples beautiful inspirational posts. So thank you. xx</t>
        </is>
      </c>
      <c r="D842" t="n">
        <v>4</v>
      </c>
      <c r="E842" t="n">
        <v>10</v>
      </c>
      <c r="F842">
        <f>HYPERLINK("https://www.reddit.com/r/cancer/comments/asuwth/chemo_is_cancelled_and_im_so_damn_happy/")</f>
        <v/>
      </c>
      <c r="G842" t="inlineStr">
        <is>
          <t>2019-02-20 14:40:08</t>
        </is>
      </c>
      <c r="H842" t="inlineStr"/>
    </row>
    <row r="843">
      <c r="A843" t="inlineStr">
        <is>
          <t>asv24r</t>
        </is>
      </c>
      <c r="B843" t="inlineStr">
        <is>
          <t>Armpits pain and cancer</t>
        </is>
      </c>
      <c r="C843" t="inlineStr">
        <is>
          <t xml:space="preserve">What causes a random pain under both of the armpits? Is it possible to be an early sign of breast cancer or lymphoma? I'm so worried because cancer runs in my family </t>
        </is>
      </c>
      <c r="D843" t="n">
        <v>0</v>
      </c>
      <c r="E843" t="n">
        <v>3</v>
      </c>
      <c r="F843">
        <f>HYPERLINK("https://www.reddit.com/r/cancer/comments/asv24r/armpits_pain_and_cancer/")</f>
        <v/>
      </c>
      <c r="G843" t="inlineStr">
        <is>
          <t>2019-02-20 14:52:38</t>
        </is>
      </c>
      <c r="H843" t="inlineStr"/>
    </row>
    <row r="844">
      <c r="A844" t="inlineStr">
        <is>
          <t>aswppq</t>
        </is>
      </c>
      <c r="B844" t="inlineStr">
        <is>
          <t>I think I have may have pagets breast cancer, but I can’t afford to get it diagnosed?</t>
        </is>
      </c>
      <c r="C844" t="inlineStr">
        <is>
          <t xml:space="preserve">***Skip to bottom if you don’t want to read this***
I went to a free clinic in May 2018 for my problem. Severe Itchy right boob. No rash. Some dried up yellow discharge on both breast but mostly right.  They were concerned and paid for my ultrasound. It came back clear. After several weeks itching went away. Flash forward to now. I have extremely itchy, crusty/scaling rash on right breast just under areola. Same dried up discharge. Rash is getting worse each week. And I have a spot on my left breast now. 
Nothing in my life has changed. No new products/bras etc. Im usually right when something is going on with my body. 
I make too much for the free clinic now, but do not make enough for Medicaid or health insurance.
Does anyone know of a place that will discount an mri/mammogram/biopsy for me. Planned parenthood?  </t>
        </is>
      </c>
      <c r="D844" t="n">
        <v>0</v>
      </c>
      <c r="E844" t="n">
        <v>1</v>
      </c>
      <c r="F844">
        <f>HYPERLINK("https://www.reddit.com/r/cancer/comments/aswppq/i_think_i_have_may_have_pagets_breast_cancer_but/")</f>
        <v/>
      </c>
      <c r="G844" t="inlineStr">
        <is>
          <t>2019-02-20 17:16:33</t>
        </is>
      </c>
      <c r="H844" t="inlineStr"/>
    </row>
    <row r="845">
      <c r="A845" t="inlineStr">
        <is>
          <t>aswtwf</t>
        </is>
      </c>
      <c r="B845" t="inlineStr">
        <is>
          <t>Port puns!</t>
        </is>
      </c>
      <c r="C845" t="inlineStr">
        <is>
          <t>Me: this is my chemo port! I call it Natalie Portman for what I feel are obvious reasons!
My sibling: Cool! When this is over and you have a badass scar you can call it Scarlett Johansson!
😂</t>
        </is>
      </c>
      <c r="D845" t="n">
        <v>33</v>
      </c>
      <c r="E845" t="n">
        <v>4</v>
      </c>
      <c r="F845">
        <f>HYPERLINK("https://www.reddit.com/r/cancer/comments/aswtwf/port_puns/")</f>
        <v/>
      </c>
      <c r="G845" t="inlineStr">
        <is>
          <t>2019-02-20 17:27:16</t>
        </is>
      </c>
      <c r="H845" t="inlineStr"/>
    </row>
    <row r="846">
      <c r="A846" t="inlineStr">
        <is>
          <t>asxs1c</t>
        </is>
      </c>
      <c r="B846" t="inlineStr">
        <is>
          <t>Granix</t>
        </is>
      </c>
      <c r="C846" t="inlineStr">
        <is>
          <t xml:space="preserve">After my first round of chemo my WBC came back low, specifically the neutrophils, so my doctor was obviously concerned. She wanted me to start granix injections to basically make my bone marrow work hard and make more neutrophils. 
Today was my first injection, about 3 hours ago and I regret the heck out of it. I would almost rather keep the low neutrophils than go through this bone pain. It started in my hips and is radiating down my legs. I’m not allowed to take ibuprofen or aspirin. I just don’t know if the pain is worth this! I keep telling myself just 3 injections and it should be good for the next round (starts Monday I don’t get a rest week) but this is the first thing that has actually been hard. </t>
        </is>
      </c>
      <c r="D846" t="n">
        <v>1</v>
      </c>
      <c r="E846" t="n">
        <v>5</v>
      </c>
      <c r="F846">
        <f>HYPERLINK("https://www.reddit.com/r/cancer/comments/asxs1c/granix/")</f>
        <v/>
      </c>
      <c r="G846" t="inlineStr">
        <is>
          <t>2019-02-20 18:55:50</t>
        </is>
      </c>
      <c r="H846" t="inlineStr"/>
    </row>
    <row r="847">
      <c r="A847" t="inlineStr">
        <is>
          <t>asz285</t>
        </is>
      </c>
      <c r="B847" t="inlineStr">
        <is>
          <t>Evertor 5mg tablet - Everolimus</t>
        </is>
      </c>
      <c r="C847" t="inlineStr">
        <is>
          <t xml:space="preserve">[**Evertor 5mg**](http://anti-cancer-drugs.com/evertor-5mg.php) consist of an active ingredient known as Everolimus which is intrude with growth of cancer cell and process is slows down, this tablets is not a curable medication, which is helps to slow their spreading in to the body </t>
        </is>
      </c>
      <c r="D847" t="n">
        <v>0</v>
      </c>
      <c r="E847" t="n">
        <v>0</v>
      </c>
      <c r="F847">
        <f>HYPERLINK("https://www.reddit.com/r/cancer/comments/asz285/evertor_5mg_tablet_everolimus/")</f>
        <v/>
      </c>
      <c r="G847" t="inlineStr">
        <is>
          <t>2019-02-20 21:03:44</t>
        </is>
      </c>
      <c r="H847" t="inlineStr"/>
    </row>
    <row r="848">
      <c r="A848" t="inlineStr">
        <is>
          <t>aszl7n</t>
        </is>
      </c>
      <c r="B848" t="inlineStr">
        <is>
          <t>Feeling sad</t>
        </is>
      </c>
      <c r="C848" t="inlineStr">
        <is>
          <t>My husband has been on keytruda since November for advanced melanoma. In some ways it has seemed like he's improved (better mobility and strength), in other ways things have stayed the same (sleeping most of the day). Today we finally got scan results to say whether this treatment is working.
And ... the scans are mixed. Lots of stuff is smaller or gone, but there's a new spot and another existing spot looks brighter on this PET scan. So we are back to "wait and see" for another three months to see if things look better on the next scan.
I was dreading today's meeting so much. I just wanted to get it over with. I just want to KNOW what is going to happen -- good or bad!!! But instead we just got a bunch more uncertainty and I can't look at my husband without thinking things are just going down the tubes again for him. Sleeping 15-18 hours a day doesn't seem like recovery to me.
Cancer is hard.</t>
        </is>
      </c>
      <c r="D848" t="n">
        <v>13</v>
      </c>
      <c r="E848" t="n">
        <v>4</v>
      </c>
      <c r="F848">
        <f>HYPERLINK("https://www.reddit.com/r/cancer/comments/aszl7n/feeling_sad/")</f>
        <v/>
      </c>
      <c r="G848" t="inlineStr">
        <is>
          <t>2019-02-20 21:59:50</t>
        </is>
      </c>
      <c r="H848" t="inlineStr"/>
    </row>
    <row r="849">
      <c r="A849" t="inlineStr">
        <is>
          <t>aszync</t>
        </is>
      </c>
      <c r="B849" t="inlineStr">
        <is>
          <t>Evertor 10mg online|Apple Pharmaceuticals</t>
        </is>
      </c>
      <c r="C849" t="inlineStr">
        <is>
          <t xml:space="preserve">Buy [**Evertor 10mg**](http://anti-cancer-drugs.com/evertor-10mg.php) online from india, it is primarily indicated for the treatment of kidney, Breast &amp;amp; Brain carcinoma, also indicated in various advanced stage cancer in stomach, intestines or pancreas </t>
        </is>
      </c>
      <c r="D849" t="n">
        <v>0</v>
      </c>
      <c r="E849" t="n">
        <v>0</v>
      </c>
      <c r="F849">
        <f>HYPERLINK("https://www.reddit.com/r/cancer/comments/aszync/evertor_10mg_onlineapple_pharmaceuticals/")</f>
        <v/>
      </c>
      <c r="G849" t="inlineStr">
        <is>
          <t>2019-02-20 22:42:43</t>
        </is>
      </c>
      <c r="H849" t="inlineStr"/>
    </row>
    <row r="850">
      <c r="A850" t="inlineStr">
        <is>
          <t>at0cu1</t>
        </is>
      </c>
      <c r="B850" t="inlineStr">
        <is>
          <t>Hospice instead of palliative care?</t>
        </is>
      </c>
      <c r="C850" t="inlineStr">
        <is>
          <t xml:space="preserve">My brother(49) was diagnosed 5 weeks ago with stage IV colon cancer that was already spread to his stomach and bladder by time it was found. In the last 3 weeks it has also spread to his spleen. His stomach and intestines have stopped working. His pain so far is not under control. The pain is from the cancer cells, and they seem to be spreading fast, but his chemo that was scheduled to start next week has now been postponed. 
The oncologist yesterday convinced him and his wife to start hospice care. The “plan”, as I’m being told, is for hospice to get his pain under control then they can start chemo. We know he can’t be under hospice care and receive cancer treatment, so wouldn’t the hospice pain plan be stopped if he started chemo? If the pain is from the cells, and they continue to grow, how would they expect hospice to get him to the point of starting chemo? </t>
        </is>
      </c>
      <c r="D850" t="n">
        <v>6</v>
      </c>
      <c r="E850" t="n">
        <v>10</v>
      </c>
      <c r="F850">
        <f>HYPERLINK("https://www.reddit.com/r/cancer/comments/at0cu1/hospice_instead_of_palliative_care/")</f>
        <v/>
      </c>
      <c r="G850" t="inlineStr">
        <is>
          <t>2019-02-20 23:31:13</t>
        </is>
      </c>
      <c r="H850" t="inlineStr"/>
    </row>
    <row r="851">
      <c r="A851" t="inlineStr">
        <is>
          <t>at107m</t>
        </is>
      </c>
      <c r="B851" t="inlineStr">
        <is>
          <t>u/Some_French_Canadian seems to have died now.</t>
        </is>
      </c>
      <c r="C851" t="inlineStr">
        <is>
          <t>First, he replied my first PM that he was in active process of dying.
But, then, he didn't answer to my second PM.
RIP.</t>
        </is>
      </c>
      <c r="D851" t="n">
        <v>19</v>
      </c>
      <c r="E851" t="n">
        <v>4</v>
      </c>
      <c r="F851">
        <f>HYPERLINK("https://www.reddit.com/r/cancer/comments/at107m/usome_french_canadian_seems_to_have_died_now/")</f>
        <v/>
      </c>
      <c r="G851" t="inlineStr">
        <is>
          <t>2019-02-21 01:01:03</t>
        </is>
      </c>
      <c r="H851" t="inlineStr"/>
    </row>
    <row r="852">
      <c r="A852" t="inlineStr">
        <is>
          <t>at2eah</t>
        </is>
      </c>
      <c r="B852" t="inlineStr">
        <is>
          <t>What is the survival expectancy % in stage IV breast cancer these days?</t>
        </is>
      </c>
      <c r="C852" t="inlineStr">
        <is>
          <t>Hello. First time poster in this sub.
I'm asking the question because of my mother...she's had a recurred breast cancer, and already for almost 5 years since tumors were found in her lungs.
She's incredibly strong person (too strong for her own good) and in the past years she's kept doing most of the household chores back in my parents place...my dad can be a bit jerk...and lazy.
I help whenever I can, I visit them monthly but I feel like I should be there more often. 
Anyway...I have this feeling that she probably doesn't have much more time left. She spend a week in a hospital not too long ago and had morphine pain pump implanted. She's had too much inflammation in her stomach due to all the years of cytostatics and all.
Anyway...I've read such mixed things about this. 22% survival rate after 5 years for example. I understand that it's really hard to say any exact numbers but I'm curious where to find some more current information.
The sadness comes and goes, as does the anxiety. My family has lived in a house of pain for most my life, it's been a highly dysfunctional family. Yet I love them plenty, although it's often hard to show it. In a way, I think her passing, in a certain way, is a relief. I'm sorry if that's a taboo thing to say. But she has suffered all her life, due things I wont go into detail here, but...I just hope she wouldn't have to be in pain anymore.</t>
        </is>
      </c>
      <c r="D852" t="n">
        <v>4</v>
      </c>
      <c r="E852" t="n">
        <v>6</v>
      </c>
      <c r="F852">
        <f>HYPERLINK("https://www.reddit.com/r/cancer/comments/at2eah/what_is_the_survival_expectancy_in_stage_iv/")</f>
        <v/>
      </c>
      <c r="G852" t="inlineStr">
        <is>
          <t>2019-02-21 04:05:57</t>
        </is>
      </c>
      <c r="H852" t="inlineStr"/>
    </row>
    <row r="853">
      <c r="A853" t="inlineStr">
        <is>
          <t>at5f1p</t>
        </is>
      </c>
      <c r="B853" t="inlineStr">
        <is>
          <t>My friends mother doesnt want to go through chemo.</t>
        </is>
      </c>
      <c r="C853" t="inlineStr">
        <is>
          <t>He wants me to ask fellow redditors of there is any other remedies that anyone might no of. He knows it's a long shot but she doesn't want to do chemo and she has leukemia.</t>
        </is>
      </c>
      <c r="D853" t="n">
        <v>1</v>
      </c>
      <c r="E853" t="n">
        <v>0</v>
      </c>
      <c r="F853">
        <f>HYPERLINK("https://www.reddit.com/r/cancer/comments/at5f1p/my_friends_mother_doesnt_want_to_go_through_chemo/")</f>
        <v/>
      </c>
      <c r="G853" t="inlineStr">
        <is>
          <t>2019-02-21 08:55:20</t>
        </is>
      </c>
      <c r="H853" t="inlineStr"/>
    </row>
    <row r="854">
      <c r="A854" t="inlineStr">
        <is>
          <t>at5ftn</t>
        </is>
      </c>
      <c r="B854" t="inlineStr">
        <is>
          <t>Swollen Lymph Node</t>
        </is>
      </c>
      <c r="C854" t="inlineStr">
        <is>
          <t>So I have had a swollen lymph node in my neck for about 8 months. Went to my GP about 3 months after I noticed it (I know, should have gone sooner). He wasn’t worried; said wait and see. Fast forward another 2 months and nothing had changed, good or bad. He referred me to an ENT who also wasn’t too concerned but for safe measure ordered a CT scan. Got a call today that it is infectious/inflammatory and they need to see me again. To be honest I don’t recall everything she said as I heard the word biopsy and my mind went to shit. It was like I was in a dream state. I wrote down the appointment time thank God but it was like slow motion and I was light headed. So Tuesday I go in again. I guess I just feel like this went from nothing to panic mode in a matter of seconds. Yeah it’s been 8 months but it was like pulling teeth getting them to be concerned over it and get appointments (almost a month and half for the ENT) and then all of the sudden they got me in for follow up in 3 days time. Seems like it went from not worried on their part to urgent which scares the shit out of me.
I’m not really sure why I am posting this as I know it is impossible for you to really give me answers at this point. I guess I just needed to physically type this as a type of therapy. Like how worried should I be? I guess it doesn’t matter; it is what it is and it won’t change between now and Tuesday, but I feel out of it. Almost high. I haven’t gotten shit done since the call this morning at work.</t>
        </is>
      </c>
      <c r="D854" t="n">
        <v>4</v>
      </c>
      <c r="E854" t="n">
        <v>17</v>
      </c>
      <c r="F854">
        <f>HYPERLINK("https://www.reddit.com/r/cancer/comments/at5ftn/swollen_lymph_node/")</f>
        <v/>
      </c>
      <c r="G854" t="inlineStr">
        <is>
          <t>2019-02-21 08:57:09</t>
        </is>
      </c>
      <c r="H854" t="inlineStr"/>
    </row>
    <row r="855">
      <c r="A855" t="inlineStr">
        <is>
          <t>at6g61</t>
        </is>
      </c>
      <c r="B855" t="inlineStr">
        <is>
          <t>A waiting game</t>
        </is>
      </c>
      <c r="C855" t="inlineStr">
        <is>
          <t xml:space="preserve">So I just finished my last round of chemo yesterday!! I was diagnosed with stage 3c testicular choriocarcinoma in December. Went through four rounds of VIP. My latest scan has shown quite a difference since the beginning. Was wondering if anyone could decipher some of this for me though (see attached pic). I should be having a meeting with thoracic surgeons within the next couple weeks to talk about what to do with the residual tissue/tumors that are left over... perhaps a thoracotomy and RPLND. Anyone undergo these procedures?
Now that I know chemo is done, I’m even more restless than ever. How do I stay sane during this weird waiting period? </t>
        </is>
      </c>
      <c r="D855" t="n">
        <v>6</v>
      </c>
      <c r="E855" t="n">
        <v>8</v>
      </c>
      <c r="F855">
        <f>HYPERLINK("https://www.reddit.com/r/cancer/comments/at6g61/a_waiting_game/")</f>
        <v/>
      </c>
      <c r="G855" t="inlineStr">
        <is>
          <t>2019-02-21 10:18:58</t>
        </is>
      </c>
      <c r="H855" t="inlineStr"/>
    </row>
    <row r="856">
      <c r="A856" t="inlineStr">
        <is>
          <t>at6kdr</t>
        </is>
      </c>
      <c r="B856" t="inlineStr">
        <is>
          <t>Any helpful meds for coughing due to lung mets?</t>
        </is>
      </c>
      <c r="C856" t="inlineStr">
        <is>
          <t>My husband has squamous cell carcinoma of the head and neck that has now spread to his lungs and abdomen. The last week or so he’s had terrible fits of coughing. He had taken gabapentin, but claims they don’t work. Benzonatate didn’t work and made him delusional. Anything other than those work for anyone else?</t>
        </is>
      </c>
      <c r="D856" t="n">
        <v>3</v>
      </c>
      <c r="E856" t="n">
        <v>2</v>
      </c>
      <c r="F856">
        <f>HYPERLINK("https://www.reddit.com/r/cancer/comments/at6kdr/any_helpful_meds_for_coughing_due_to_lung_mets/")</f>
        <v/>
      </c>
      <c r="G856" t="inlineStr">
        <is>
          <t>2019-02-21 10:28:35</t>
        </is>
      </c>
      <c r="H856" t="inlineStr"/>
    </row>
    <row r="857">
      <c r="A857" t="inlineStr">
        <is>
          <t>at6l3l</t>
        </is>
      </c>
      <c r="B857" t="inlineStr">
        <is>
          <t>Struggling with stress of it all</t>
        </is>
      </c>
      <c r="C857" t="inlineStr">
        <is>
          <t xml:space="preserve">My father has had leukemia off and on for about 10 years or so. He was in remission for past couple years. We found out last month his chemo drugs stopped being effective and it has returned. He has tried multiple clinical trials and is set to see if he qualifies for a different one at the end of this month. If not, they have suggested bone marrow transplant. If not that, then they don't have any other options right now. Due to other health issues, most of the chemo drugs that are effective for most people with his type of leukemia, he isn't able to take those ones. He's just returned to the hospital due to his cancer with a fever, etc. 
I am getting married next March as of now with a date and venue booked. They are aware of the situation, and said we can definitely look at other dates, should we have to move it up.  
It is so stressful to try to plan the wedding confidently, because on top of worrying about him just in general with this cancer, its always in the back of my mind of whether (1) he will make it til then, (2) he will be well enough to attend, (3) we have to move it up a considerable amount of time due to the possibility of the bone marrow transplant. 
Does anyone have any recommend coping skills or destressing techniques, or anything else really. I just feel so stressed out about it all and I hate that he has to go through this all over again, because we thought this last drug would be the end all be all based on it's research and results. 
Just looking for any support, really. </t>
        </is>
      </c>
      <c r="D857" t="n">
        <v>2</v>
      </c>
      <c r="E857" t="n">
        <v>3</v>
      </c>
      <c r="F857">
        <f>HYPERLINK("https://www.reddit.com/r/cancer/comments/at6l3l/struggling_with_stress_of_it_all/")</f>
        <v/>
      </c>
      <c r="G857" t="inlineStr">
        <is>
          <t>2019-02-21 10:30:16</t>
        </is>
      </c>
      <c r="H857" t="inlineStr"/>
    </row>
    <row r="858">
      <c r="A858" t="inlineStr">
        <is>
          <t>at7e8v</t>
        </is>
      </c>
      <c r="B858" t="inlineStr">
        <is>
          <t>First day of chemo</t>
        </is>
      </c>
      <c r="C858" t="inlineStr">
        <is>
          <t>Hi everyone in the cancer club I’m Scott 58 years old and went to the er 1 month ago with bad stomach acke found out I had a grape fruit size tumor smacking my orgins, so they but in a stent to drain my bile ducts 2 weeks later back at the er with strep in my gall bladder so then they put a tube through my liver into my gallblater with a hose draining to the side of my leg. All these things caused extreme pain and weeks in the hospital . Well now I’m in the chemo chair 10 minutes away from them juicing me up.holly shit what a long strange trip it’s been . aloha your new club member Scott  much love to all on this page.</t>
        </is>
      </c>
      <c r="D858" t="n">
        <v>18</v>
      </c>
      <c r="E858" t="n">
        <v>27</v>
      </c>
      <c r="F858">
        <f>HYPERLINK("https://www.reddit.com/r/cancer/comments/at7e8v/first_day_of_chemo/")</f>
        <v/>
      </c>
      <c r="G858" t="inlineStr">
        <is>
          <t>2019-02-21 11:37:44</t>
        </is>
      </c>
      <c r="H858" t="inlineStr"/>
    </row>
    <row r="859">
      <c r="A859" t="inlineStr">
        <is>
          <t>at7r12</t>
        </is>
      </c>
      <c r="B859" t="inlineStr">
        <is>
          <t>I’m officially cancer free!!!</t>
        </is>
      </c>
      <c r="C859" t="inlineStr">
        <is>
          <t xml:space="preserve">Just saw my doctor and he gave me results from the last round of test and I’m officially cancer free. At 31, never married, no kids, going through cervical cancer was tough. They did a hysterectomy and now I won’t ever be able to have kids. I was really sad about that but right now I’m just happy to be cancer free. Life goes on and I must adapt to my new circumstances. Thank you everyone for your support. I hope the best for everyone here still going through cancer. You can do it! :) </t>
        </is>
      </c>
      <c r="D859" t="n">
        <v>367</v>
      </c>
      <c r="E859" t="n">
        <v>93</v>
      </c>
      <c r="F859">
        <f>HYPERLINK("https://www.reddit.com/r/cancer/comments/at7r12/im_officially_cancer_free/")</f>
        <v/>
      </c>
      <c r="G859" t="inlineStr">
        <is>
          <t>2019-02-21 12:07:07</t>
        </is>
      </c>
      <c r="H859" t="inlineStr"/>
    </row>
    <row r="860">
      <c r="A860" t="inlineStr">
        <is>
          <t>at7yrf</t>
        </is>
      </c>
      <c r="B860" t="inlineStr">
        <is>
          <t>Wireless Mode Enabled! (No more chest tubes!!!)</t>
        </is>
      </c>
      <c r="C860" t="inlineStr">
        <is>
          <t xml:space="preserve">Got the last two of three chest tubes that were installed during surgery last Thursday (to remove loculated pleural effusions - got sepsis after my lobectomy for Neuroendcrine Carcinoid on Jan 31) removed about an hour ago! Apart from the huge decrease in pain, I'm also so happy not to have the mental burden of being tied down to the chest boxes, worrying about knocking the boxes over, worrying about pulling the tube connectors off (happened to me and introduced a new pneumothorax), worrying whether a tube will get caught in the wheelchair wheel while being transported, worrying about suction lines, and just the feeling of imprisonment that came with the tubes. 
Today is a good day! Hope you are having a good day too, friends! </t>
        </is>
      </c>
      <c r="D860" t="n">
        <v>14</v>
      </c>
      <c r="E860" t="n">
        <v>4</v>
      </c>
      <c r="F860">
        <f>HYPERLINK("https://www.reddit.com/r/cancer/comments/at7yrf/wireless_mode_enabled_no_more_chest_tubes/")</f>
        <v/>
      </c>
      <c r="G860" t="inlineStr">
        <is>
          <t>2019-02-21 12:25:10</t>
        </is>
      </c>
      <c r="H860" t="inlineStr"/>
    </row>
    <row r="861">
      <c r="A861" t="inlineStr">
        <is>
          <t>at83wq</t>
        </is>
      </c>
      <c r="B861" t="inlineStr">
        <is>
          <t>How to react?</t>
        </is>
      </c>
      <c r="C861" t="inlineStr">
        <is>
          <t>I lost my grandpa to pancreatic cancer that spread wildly 6 years ago, I'm kind of still not over it, I just got a tattoo done as a tribute to him.
Now they found a hard lump on my grandmas breast and I'm stressing out because I don't want her to go through the agony that her husband did. I'm not sure how to react? I know breast cancer has a high rate of cure and ~80-90% of the survivors are still alive after 5 years of the diagnose. I'm just kind of in a "off-mode" at the moment. Please share any stories that would give me and my family hope for the future</t>
        </is>
      </c>
      <c r="D861" t="n">
        <v>4</v>
      </c>
      <c r="E861" t="n">
        <v>1</v>
      </c>
      <c r="F861">
        <f>HYPERLINK("https://www.reddit.com/r/cancer/comments/at83wq/how_to_react/")</f>
        <v/>
      </c>
      <c r="G861" t="inlineStr">
        <is>
          <t>2019-02-21 12:37:22</t>
        </is>
      </c>
      <c r="H861" t="inlineStr"/>
    </row>
    <row r="862">
      <c r="A862" t="inlineStr">
        <is>
          <t>at8bq6</t>
        </is>
      </c>
      <c r="B862" t="inlineStr">
        <is>
          <t>Sister in law diagnosed with double hit follicular B cell lymphoma.</t>
        </is>
      </c>
      <c r="C862" t="inlineStr">
        <is>
          <t>She originally was diagnosed at the end of January but didn't like her doctor who was in private practice and really good so she switched to another who is an academic.  The first doctor did FISH test and got this diagnosis but s-i-l thought that was too negative.  she switched and the new doctor removed a lymph node and got same diagnosis.  She has double hit follicular B cell lymphoma stage 4 grade 3b.  
I hunt online but I really can't find anything.  This s-i-l won't share information.  She wants nobody to come help.  She thinks everything will be perfectly fine.  Her husband won't go over her head and insist on people coming.  I understand she is in denial.  
Does anybody have any good information about life expectancy, treatment expectations, whether her siblings should just come and support her whether she wants it or not?  She is somebody who isn't easy to get along with and treats others badly so her 6 siblings are hesitant to go there.  They don't want to add to her stress by being there.  They don't want to not go there because she is their sister and despite her nature they love her.</t>
        </is>
      </c>
      <c r="D862" t="n">
        <v>3</v>
      </c>
      <c r="E862" t="n">
        <v>0</v>
      </c>
      <c r="F862">
        <f>HYPERLINK("https://www.reddit.com/r/cancer/comments/at8bq6/sister_in_law_diagnosed_with_double_hit/")</f>
        <v/>
      </c>
      <c r="G862" t="inlineStr">
        <is>
          <t>2019-02-21 12:55:22</t>
        </is>
      </c>
      <c r="H862" t="inlineStr"/>
    </row>
    <row r="863">
      <c r="A863" t="inlineStr">
        <is>
          <t>at8k39</t>
        </is>
      </c>
      <c r="B863" t="inlineStr">
        <is>
          <t>Cured of cancer, stuck with the outcome</t>
        </is>
      </c>
      <c r="C863" t="inlineStr">
        <is>
          <t xml:space="preserve">I was diagnosed with clear cell renal carcinoma in 2016. I had an open partial nephrectomy a week after diagnosis. It was an incidental finding and I am very lucky. As the carcinoma was already a grade 2 at finding, I would most likely be dying right now if it hadn't been found. None of this miracle is lost on me. With surgery, though, came a denervation of my left flank. This denervation has thinned out my abdominal wall and my core muscles are confused. I literally look 5-6 months pregnant but only on my left side. I already had a negative self-image and this has made it 100% worse. My mid-section looks monstrous and it causes me physical pain every day. I beat cancer. I beat it. I'm alive. I'm well. I'm thankful. But I have a difficult time embracing it because of what this has done to my body. I can't explain it to anyone because everyone just says "but you're so blessed to be here", or says "you look amazing", or other well meaning things. I KNOW I'm being ungrateful but I feel so bad. </t>
        </is>
      </c>
      <c r="D863" t="n">
        <v>16</v>
      </c>
      <c r="E863" t="n">
        <v>7</v>
      </c>
      <c r="F863">
        <f>HYPERLINK("https://www.reddit.com/r/cancer/comments/at8k39/cured_of_cancer_stuck_with_the_outcome/")</f>
        <v/>
      </c>
      <c r="G863" t="inlineStr">
        <is>
          <t>2019-02-21 13:14:46</t>
        </is>
      </c>
      <c r="H863" t="inlineStr"/>
    </row>
    <row r="864">
      <c r="A864" t="inlineStr">
        <is>
          <t>at8ud8</t>
        </is>
      </c>
      <c r="B864" t="inlineStr">
        <is>
          <t>I’m starting to wonder if I’m in denial about my dad getting better</t>
        </is>
      </c>
      <c r="C864" t="inlineStr">
        <is>
          <t>Long story short: my dad got a bone marrow transplant in September and I’ve been waiting on him to get better this whole time. He didn’t look sick before this incredibly rough procedure but he sure looks sick now. He’s been hospitalized twice for severe dehydration, the last time by way of an ambulance after he started slurring words and speaking gibberish, which was the scariest thing in the world. It wasn’t a stroke though thankfully.
He’s very weak and has a harder and harder time moving around, and he recently got a walker and I just hate seeing him like this. Even though nutrition is so important, he still barely eats. He doesn’t get up and walk, he doesn’t seem to really try at all. My mom and I are taking care of him but it’s not easy. He gets irritated when we try to make him do what he needs to do, such as eat drink and walk. 
Is he dying? It’s a question I’ve never allowed myself to ask. I found out his last two blood tests showed low white counts and they somehow missed his 100 day biopsy to see how the new marrow is working. He finally gets it done tomorrow, and I feel that we’re all just walking around under a big cloud of sorrow. 
I never thought cancer would strike my family. Then when chemo put him in remission for several years, I never thought we’d have to worry about it again. When he had to get a transplant, I never thought it wouldn’t cure him. I hope more than anything that the biopsy results are good, but I’m terrified because I can’t protect myself anymore from thinking about the possibility he might die. 
When I was a little kid, maybe 5, I remember having a bad panic episode because I learned about death and it scared me so bad thinking of my mom or dad dying (and still does). My dad assured me that I didn’t have to worry about that for a long long time. I asked him about heaven and asked him if he’d wait for me when he gets there in case I couldn’t find him when I finally got there too, and he said of course he would and I just hugged him and cried. That memory has been haunting me, lately. I’m so sad.</t>
        </is>
      </c>
      <c r="D864" t="n">
        <v>10</v>
      </c>
      <c r="E864" t="n">
        <v>8</v>
      </c>
      <c r="F864">
        <f>HYPERLINK("https://www.reddit.com/r/cancer/comments/at8ud8/im_starting_to_wonder_if_im_in_denial_about_my/")</f>
        <v/>
      </c>
      <c r="G864" t="inlineStr">
        <is>
          <t>2019-02-21 13:39:10</t>
        </is>
      </c>
      <c r="H864" t="inlineStr"/>
    </row>
    <row r="865">
      <c r="A865" t="inlineStr">
        <is>
          <t>at8y9a</t>
        </is>
      </c>
      <c r="B865" t="inlineStr">
        <is>
          <t>I thogh this was a cancer group?</t>
        </is>
      </c>
      <c r="C865" t="inlineStr">
        <is>
          <t>I have cancer. No joke. **lung cancer**!</t>
        </is>
      </c>
      <c r="D865" t="n">
        <v>1</v>
      </c>
      <c r="E865" t="n">
        <v>0</v>
      </c>
      <c r="F865">
        <f>HYPERLINK("https://www.reddit.com/r/cancer/comments/at8y9a/i_thogh_this_was_a_cancer_group/")</f>
        <v/>
      </c>
      <c r="G865" t="inlineStr">
        <is>
          <t>2019-02-21 13:48:13</t>
        </is>
      </c>
      <c r="H865" t="inlineStr"/>
    </row>
    <row r="866">
      <c r="A866" t="inlineStr">
        <is>
          <t>atae1q</t>
        </is>
      </c>
      <c r="B866" t="inlineStr">
        <is>
          <t>Returning to work after surgery</t>
        </is>
      </c>
      <c r="C866" t="inlineStr">
        <is>
          <t xml:space="preserve">Hey cancer peeps. 39/female. I have stage 3b colon cancer. I had surgery two weeks ago to remove my tumor. The surgery went well but the doctor did have to open me up because he thought he cut my ureter (he didn’t). So I have 7 small incisions and one larger one. I’ve been feeling well, haven’t been taking pain meds and energy seems good. I’m not supposed to return to work for 2 more weeks but I’ve been thinking of returning a week early. I’ll start chemo in a few weeks. Do you think I’ll be okay returning to work early since I’ve been feeling?  Or should I take the extra week to make sure I’m ready for chemo?  I’ll have to take 3 days unpaid due to lack of leave time. </t>
        </is>
      </c>
      <c r="D866" t="n">
        <v>4</v>
      </c>
      <c r="E866" t="n">
        <v>6</v>
      </c>
      <c r="F866">
        <f>HYPERLINK("https://www.reddit.com/r/cancer/comments/atae1q/returning_to_work_after_surgery/")</f>
        <v/>
      </c>
      <c r="G866" t="inlineStr">
        <is>
          <t>2019-02-21 15:58:23</t>
        </is>
      </c>
      <c r="H866" t="inlineStr"/>
    </row>
    <row r="867">
      <c r="A867" t="inlineStr">
        <is>
          <t>ataih0</t>
        </is>
      </c>
      <c r="B867" t="inlineStr">
        <is>
          <t>Having my spleen taken out tomorrow morning.</t>
        </is>
      </c>
      <c r="C867" t="inlineStr">
        <is>
          <t>It's riddled with tumours. I'd be lying if I said I wasn't scared.</t>
        </is>
      </c>
      <c r="D867" t="n">
        <v>9</v>
      </c>
      <c r="E867" t="n">
        <v>5</v>
      </c>
      <c r="F867">
        <f>HYPERLINK("https://www.reddit.com/r/cancer/comments/ataih0/having_my_spleen_taken_out_tomorrow_morning/")</f>
        <v/>
      </c>
      <c r="G867" t="inlineStr">
        <is>
          <t>2019-02-21 16:10:26</t>
        </is>
      </c>
      <c r="H867" t="inlineStr"/>
    </row>
    <row r="868">
      <c r="A868" t="inlineStr">
        <is>
          <t>atbgcp</t>
        </is>
      </c>
      <c r="B868" t="inlineStr">
        <is>
          <t>All biopsies show cancer, pathology after surgery shows no cancer??</t>
        </is>
      </c>
      <c r="C868" t="inlineStr">
        <is>
          <t xml:space="preserve">I was diagnosed with Endometrial Carcinoma, grade 1, in December 2017.  I asked for a second opinion and was referred to a Cancer Care centre.  I had biopsies every 3 months (I wanted to try hormone therapy before surgery) for almost a year and each biopsy showed the same (although there was some improvement with the Megace).  In November 2018, I finally agreed to the surgery as the medication was not working as hoped.  I had a total abdominal hysterectomy (uterus, cervix, Fallopian tubes, ovaries and lymph nodes removed) in January.  Today I went to my post-op appt to get my results.  The doctor informed me that the pathology showed that there was no cancer.  How is this possible???  </t>
        </is>
      </c>
      <c r="D868" t="n">
        <v>6</v>
      </c>
      <c r="E868" t="n">
        <v>8</v>
      </c>
      <c r="F868">
        <f>HYPERLINK("https://www.reddit.com/r/cancer/comments/atbgcp/all_biopsies_show_cancer_pathology_after_surgery/")</f>
        <v/>
      </c>
      <c r="G868" t="inlineStr">
        <is>
          <t>2019-02-21 17:43:56</t>
        </is>
      </c>
      <c r="H868" t="inlineStr"/>
    </row>
    <row r="869">
      <c r="A869" t="inlineStr">
        <is>
          <t>atbrpa</t>
        </is>
      </c>
      <c r="B869" t="inlineStr">
        <is>
          <t>A service for this community: free access to academic articles, even if they are behind a pay wall.</t>
        </is>
      </c>
      <c r="C869" t="inlineStr">
        <is>
          <t xml:space="preserve">I used to be a professor at a public university. It completely infuriated me that many of the papers I published in journals were protected behind pay walls. My salary was paid for by public taxes. Most of the research was funded by public granting agencies, but most people could not gain access to them unless they were a student or educator at a university (and the universities pay dearly for this access), or pay an exorbitant fee to access just one article. 
This, to me, is criminal. Publishing and distributing houses are making money hand-over-fist doing nothing but “granting” access to something that should be publicly available. This is starting to change, but not nearly quickly enough. 
I still have access to a few different university library systems, and have many friends with access to others. I know a lot of us in this community like to research as much as we can about our own cancers or the cancers of our loved ones. 
So, if you come across an academic article behind a pay wall, please feel to PM me and I will do everything I can to find it and get it to you for free. 
Best of luck to us all. 
</t>
        </is>
      </c>
      <c r="D869" t="n">
        <v>27</v>
      </c>
      <c r="E869" t="n">
        <v>10</v>
      </c>
      <c r="F869">
        <f>HYPERLINK("https://www.reddit.com/r/cancer/comments/atbrpa/a_service_for_this_community_free_access_to/")</f>
        <v/>
      </c>
      <c r="G869" t="inlineStr">
        <is>
          <t>2019-02-21 18:16:11</t>
        </is>
      </c>
      <c r="H869" t="inlineStr"/>
    </row>
    <row r="870">
      <c r="A870" t="inlineStr">
        <is>
          <t>atc8ku</t>
        </is>
      </c>
      <c r="B870" t="inlineStr">
        <is>
          <t>What have your experiences been with a cancer patient smoking Cannabis?</t>
        </is>
      </c>
      <c r="C870" t="inlineStr">
        <is>
          <t>I am a caregiver for my dad who is battling stage 4 pancreatic cancer. Just recently he chose to smoke a small amount to combat feelings of depression and appetite problems. 
I’m for anything that helps him feel better, but I’m curious about other experiences.</t>
        </is>
      </c>
      <c r="D870" t="n">
        <v>4</v>
      </c>
      <c r="E870" t="n">
        <v>9</v>
      </c>
      <c r="F870">
        <f>HYPERLINK("https://www.reddit.com/r/cancer/comments/atc8ku/what_have_your_experiences_been_with_a_cancer/")</f>
        <v/>
      </c>
      <c r="G870" t="inlineStr">
        <is>
          <t>2019-02-21 19:03:12</t>
        </is>
      </c>
      <c r="H870" t="inlineStr"/>
    </row>
    <row r="871">
      <c r="A871" t="inlineStr">
        <is>
          <t>atceex</t>
        </is>
      </c>
      <c r="B871" t="inlineStr">
        <is>
          <t>Help me through understanding the process.</t>
        </is>
      </c>
      <c r="C871" t="inlineStr">
        <is>
          <t xml:space="preserve">Yesterday my mom (46) was told she has 3 tumors in her uterus and ovaries (one in her uterus is pretty large). She will be seeing an oncologist in about a week. The gynecologist said they were going to ensure that it hasn’t spread anywhere else in her body. In her words, he said it doesn’t seem so bad. I’m obviously concerned about the sizes of the tumors. My mom isn’t in any pain, just has a very mild discomfort around her pelvis (one side, where tumors are). What should she expect at her appointment? We see a hysterectomy in her future, but for those who have experience with this, what have you experienced (or have seen) and what would you recommend we do? Thank you so much! </t>
        </is>
      </c>
      <c r="D871" t="n">
        <v>6</v>
      </c>
      <c r="E871" t="n">
        <v>4</v>
      </c>
      <c r="F871">
        <f>HYPERLINK("https://www.reddit.com/r/cancer/comments/atceex/help_me_through_understanding_the_process/")</f>
        <v/>
      </c>
      <c r="G871" t="inlineStr">
        <is>
          <t>2019-02-21 19:19:23</t>
        </is>
      </c>
      <c r="H871" t="inlineStr"/>
    </row>
    <row r="872">
      <c r="A872" t="inlineStr">
        <is>
          <t>atcqbb</t>
        </is>
      </c>
      <c r="B872" t="inlineStr">
        <is>
          <t>Chemo questions.</t>
        </is>
      </c>
      <c r="C872" t="inlineStr">
        <is>
          <t xml:space="preserve">How many of you have had folfox? What was it like? How long did you have treatments for? Were the side effects really that bad? 
I found out today that I will be starting chemo in a few weeks and that’s what my doc had told me I’m going to be on. I’m curious to know what it could possibly be like. I’m a single, stay at home mom of 3 and I worry that I won’t be able to care for mg kids or myself very well. 
I recently had surgery to remove a large tumor, a portion of my colon, bladder, uterus, and cervix. I was hospitalized for 7 days and been home for 7 days now. Recovery has been hell and I feel like I’m barely surviving it. No complications, but I feel like I’ve been drained of life. My surgeons say they got clean margins and the chemo is a preventative measure. </t>
        </is>
      </c>
      <c r="D872" t="n">
        <v>1</v>
      </c>
      <c r="E872" t="n">
        <v>2</v>
      </c>
      <c r="F872">
        <f>HYPERLINK("https://www.reddit.com/r/cancer/comments/atcqbb/chemo_questions/")</f>
        <v/>
      </c>
      <c r="G872" t="inlineStr">
        <is>
          <t>2019-02-21 19:53:53</t>
        </is>
      </c>
      <c r="H872" t="inlineStr"/>
    </row>
    <row r="873">
      <c r="A873" t="inlineStr">
        <is>
          <t>atddpm</t>
        </is>
      </c>
      <c r="B873" t="inlineStr">
        <is>
          <t>Off my chest I guess.</t>
        </is>
      </c>
      <c r="C873" t="inlineStr">
        <is>
          <t>Don't even know where to start.
My mother and I have had a tumultuous relationship at best. Her an alcoholic problem gambler. Me, trying to be the exact opposite. 
This year my brother and I decided to take her to Las Vegas for Christmas, if ya can't beat em', join em' kind of idea. We paid for everything. 
The trip wasn't so bad but she complained about everything, the food, how much we checked up on her, you name it, she complained. Unless of course she was in front of her favorite slot machine. 
Once the trip was over I swore to myself and my fiance that I was done. I had helped with renos on her house, paid bills for her, etc and there was never any gratitude. It was time to cut her off to help myself. 
Early in the New Year my brother called me around 1am and the second I answered he said "Dude, Mom called me and said shes bleeding out of her ass bad" I immediately hung up and called my Mom. She was crying, in hysterics. She kept yelling that her veins were collapsing. I put her on hold and called the ambulance and waited on the phone until they got there. 
Once I knew she was with the paramedics I hopped in my car to race to the hospital. She lives about a 25 minute drive from her local hospital and I m about 45 minutes away from there. I made in there in 30. 
Once I entered the room i was met with jovial paramedics and my Mom who now seemed fine. Dr's ran there tests and admitted her for precautionary reasons. 
Skip ahead 2 days, I've stayed at the hospital 24/7. A nurse pulls me aside and says that her Dr wants to speak with me. The Dr calls me to a different area of the hospital as he is in and out of whatever it is he does. He walks to me directly and I tell him to not mince words and tell me his thoughts exactly. He found a mass in her colon and something on her lung. 
Fast forward another week. Biopsies preformed, multiple tests run. Dr calls us in. Colon Cancer, shes too weak for an operation and radiation may shrink the mass but then the colon would release feces into her stomach. Not an option. Too weak for surgery on Lung (colon cancer had metastasized to lung and possibly liver) Untreated Dr thinks it will be 6 months max. We are doing Chemo to see if they can slow the growth and buy her more time. 
So here I sit, in my Moms house after a month and a half of caring for her full time, appointments galore, no income. 
Chemo is hitting her hard, the Dr's said this would either help or do her in, I think it's doing her in. 
I have nightmares every night, some that I get a cancer diagnosis. 
My fiance who I see just once every two weeks has dealt with it as best as she can but while I lose my mother she loses her fiance. She has been very supportive but you can tell its weighing on us both. 
It's strange how something so sinister as is cancer can destroy so much but actually build my relationship with my mother.
In an odd way it's even more sinister. Cancer has given me a relationship with mom, only to viciously tear it away. 
&amp;amp;#x200B;
Rant over 
&amp;amp;#x200B;</t>
        </is>
      </c>
      <c r="D873" t="n">
        <v>10</v>
      </c>
      <c r="E873" t="n">
        <v>2</v>
      </c>
      <c r="F873">
        <f>HYPERLINK("https://www.reddit.com/r/cancer/comments/atddpm/off_my_chest_i_guess/")</f>
        <v/>
      </c>
      <c r="G873" t="inlineStr">
        <is>
          <t>2019-02-21 21:04:46</t>
        </is>
      </c>
      <c r="H873" t="inlineStr"/>
    </row>
    <row r="874">
      <c r="A874" t="inlineStr">
        <is>
          <t>atdg8j</t>
        </is>
      </c>
      <c r="B874" t="inlineStr">
        <is>
          <t>MMR vaccinations post-stem cell transplant?</t>
        </is>
      </c>
      <c r="C874" t="inlineStr">
        <is>
          <t>My wife is almost 3 years out from HSCT for multiple myeloma. She has not been re-vaccinated yet for MMR, and she is getting a little nervous about these measles outbreaks. Anybody have any problems with getting these shots again? It looks like Fred Hutch and MD Anderson let you get them again if you're 2 years out. My wife is a Mayo patient, and she was under the impression that they don't do it at all, like smallpox, since it's a live vaccine. She's going to send a message to her Oncologist tomorrow, but I was just curious if anyone has had any issues with getting re-vaccinated.</t>
        </is>
      </c>
      <c r="D874" t="n">
        <v>4</v>
      </c>
      <c r="E874" t="n">
        <v>1</v>
      </c>
      <c r="F874">
        <f>HYPERLINK("https://www.reddit.com/r/cancer/comments/atdg8j/mmr_vaccinations_poststem_cell_transplant/")</f>
        <v/>
      </c>
      <c r="G874" t="inlineStr">
        <is>
          <t>2019-02-21 21:11:59</t>
        </is>
      </c>
      <c r="H874" t="inlineStr"/>
    </row>
    <row r="875">
      <c r="A875" t="inlineStr">
        <is>
          <t>ateqbo</t>
        </is>
      </c>
      <c r="B875" t="inlineStr">
        <is>
          <t>A very close friend of mine, after 2+ years of battle and struggle, is now cancer free!</t>
        </is>
      </c>
      <c r="C875" t="inlineStr">
        <is>
          <t>I would like to apologize in advance that I can't provide precise information about specific things.
Long story short: When she was 18, doctors said that she would only live for 2 years. Those 2 years was tough as hell, chemos, surgeries, depression etc. When she was 20 she was told she had only 1 year left but about month or two a very good doctor from Turkey did a surgery that cleaned her from all tumors (She had endocrine and hepatobiliary cancer, if I'm saying it right). 
My main purpose for this post is that to tell everyone not to give up. I have learnt that this battle is not only against cancer but also in your mind. She had had unbelievebly hard times and I was there most of the times. Many times she lost hope, will to live, will to fight, even thought of suicide because of unbearable pains. But now, looking at those times, she is now proud not to completely give up.
 I want everyone to have hope and faith, that that day will eventually come when they feel proud of themselves, victorious. Thank you.</t>
        </is>
      </c>
      <c r="D875" t="n">
        <v>19</v>
      </c>
      <c r="E875" t="n">
        <v>5</v>
      </c>
      <c r="F875">
        <f>HYPERLINK("https://www.reddit.com/r/cancer/comments/ateqbo/a_very_close_friend_of_mine_after_2_years_of/")</f>
        <v/>
      </c>
      <c r="G875" t="inlineStr">
        <is>
          <t>2019-02-21 23:41:59</t>
        </is>
      </c>
      <c r="H875" t="inlineStr"/>
    </row>
    <row r="876">
      <c r="A876" t="inlineStr">
        <is>
          <t>atf9h6</t>
        </is>
      </c>
      <c r="B876" t="inlineStr">
        <is>
          <t>Bloody sore nipple, unsure what to do next</t>
        </is>
      </c>
      <c r="C876" t="inlineStr">
        <is>
          <t xml:space="preserve">I'm sorry about the length. I'm not sure where to post or what to do. I'm a 27 year old woman with autoimmune diseases. I take methotrexate, humira, and plaquenil for treatment. 
Back in October, I noticed a sharp pain in my left nipple and realized that breast was also very tender. I started noticing little crusts all over the nipple and areola, I also began noticing, on a couple occasions, little dried blood plugs in the center of my nipple. I'm prone to weird health stuff, assumed it was something like that and went on with life. My grandpa was going through his own cancer battle and I was helping take care of him, I didn't have time to worry about something I thought was inconsequential. But as the next couple months went on, I started having more bloody discharge coming out sporadically. I'd find traces of blood in my bra, on my nightgown, and on my bedsheet. I'm a stomach sleeper and sleep with my arms tucked under me, sometimes my left arm would be bloody upon awaking from the discharge.
Fast forward to December 26th. I went in for a female exam with an NP at my primary doctor's office. When she got to my breasts she asked if I had any concerns. I told her about the discharge and the tenderness. She was concerned and said that she wanted to get an ultrasound on me to check. So I had the ultrasound and it came back without showing any abnormalities but I was still symptomatic and so my NP wanted me to be checked by a specialist for possible malignancy. She wanted me to go to a local univeristy's breast clinic that they usually refer patients to. I don't particularly like the health clinics of this university, but I trust my PCP and her staff.
After much kerfuffle and over a month of me trying to get in touch with this clinic, I finally got an appointment for 2/21. So I went to the appointment, meeting with an NP at this clinic. I explained my history. She then asked if I was on antidepressants, I told her that it's been almost a year since I was on any mental health meds. She asked if anything had changed in the time right before the discharge developed. I explained that I was off my Humira and methotrexate because I had recurrent sinus infections. She asked when I started them back up and if my discharge has changed. I told her I started them back up in the beginning of January and that nothing changed. Then she started asking me all these questions about if anyone else has seen the discharge. I said I thought I had some on 12/26 during my breast exam. I felt uncomfortable at that point because I felt like she was implying that I was making it up. She asked me when I had discharge and I told her it was sporadic. I usually notice it at night when I'm getting ready for bed or in the morning when I get up to shower. It's almost always dried into my nipple when I see it, but occasionally there will be bloodstains on the bedsheets or my bra. 
She then did an exam on both of my breasts, and she tried squeezing my nipple to try to make discharge come out, and it wouldn't. So she said since what I am seeing is dark then it's totally normal and not at all uncommon. She said if I see actual bright red blood coming out of the nipple, then I should go back in and see her. But it has to be actually coming out of the nipple, not just on my bra or anything. If it remains the dark dried blood, we will follow up in three months. She then said "it was likely triggered by you being off your Humira and methotrexate for a couple months" even though, over the past three years, I frequently have to go off my medications due to infections and this has never happened before, which I told her when she questioned when I started my meds back up.
Tonight, 14 hours after my exam, as I was getting ready for bed. I looked at my breast and I saw the largest amount of dried blood yet. My whole nipple was covered in little black flecks and in the center of the nipple was a large scab type crust. I assume it's from the breast exam earlier. I took pictures of it as proof.
The more I think about it, the more I feel like she didn't listen to me. She kept implying that it was sludgy brown discharge I was seeing, but it's not it's dark, almost black dried blood. She also kept implying that it wasn't spontaneous discharge, but it is. I have no idea when it's going to happen, I just find evidence of it later. It's worse if I wear a bra for more than 6 hours, but that's about the only thing I know that makes it worse. I'm also concerned that she said brown bloody nipple discharge is totally normal because when the NP at my PCP's office discussed it with me, she said it's not normal at all. So it's totally conflicting information. At this point, I'm not sure what to do. Based on my age and normal ultrasound, I'm not at all convinced it's cancer however I don't know what it is. She could offer me no alternatives other than "it's totally normal and not at all uncommon." 
I don't even know where to begin to get a second opinion. I don't even know if it warrants a second opinion if it really is common. </t>
        </is>
      </c>
      <c r="D876" t="n">
        <v>0</v>
      </c>
      <c r="E876" t="n">
        <v>3</v>
      </c>
      <c r="F876">
        <f>HYPERLINK("https://www.reddit.com/r/cancer/comments/atf9h6/bloody_sore_nipple_unsure_what_to_do_next/")</f>
        <v/>
      </c>
      <c r="G876" t="inlineStr">
        <is>
          <t>2019-02-22 00:54:23</t>
        </is>
      </c>
      <c r="H876" t="inlineStr"/>
    </row>
    <row r="877">
      <c r="A877" t="inlineStr">
        <is>
          <t>atfe5i</t>
        </is>
      </c>
      <c r="B877" t="inlineStr">
        <is>
          <t>Meditation/Headspace</t>
        </is>
      </c>
      <c r="C877" t="inlineStr">
        <is>
          <t xml:space="preserve">I used to regularly practice meditation before cancer.  During treatment I have found it harder and harder to practice and not be distracted. 
I was just turned in to the guided meditation app called Headspace.  To say I’m enjoying it would be an understatement. It has helped me regain focus and calm myself. I’m getting ready for a big surgery next week and sleep has been tough. Last night I tried one of their guided sleep meditations and it was lights out.  My husband even commented today that I was not up all night as usual. 
The app is a bit pricy about $10 mo. But I think it’s worth it. I’m sure it would make a great gift. 
Just thought I would share this tool with others that might be struggling. 
</t>
        </is>
      </c>
      <c r="D877" t="n">
        <v>8</v>
      </c>
      <c r="E877" t="n">
        <v>2</v>
      </c>
      <c r="F877">
        <f>HYPERLINK("https://www.reddit.com/r/cancer/comments/atfe5i/meditationheadspace/")</f>
        <v/>
      </c>
      <c r="G877" t="inlineStr">
        <is>
          <t>2019-02-22 01:11:46</t>
        </is>
      </c>
      <c r="H877" t="inlineStr"/>
    </row>
    <row r="878">
      <c r="A878" t="inlineStr">
        <is>
          <t>atg58u</t>
        </is>
      </c>
      <c r="B878" t="inlineStr">
        <is>
          <t>My dad was diagnosed with Liver cancer via CT scan. How accurate are they &amp;amp; should I have hope?</t>
        </is>
      </c>
      <c r="C878" t="inlineStr">
        <is>
          <t>My dad has just told me his doctor informed him that he has liver cancer, based on recent CT scans.
I don't want to believe it. I'm kind of grasping for a glimmer of hope as I don't want to lose such an amazing person.
He's going in for blood work tomorrow, but he's basically told me he didn't want to give me hope for me to just be crushed.
Be harsh &amp;amp; to the point with your answers. I want to know what to expect. I've already done as much crying as I can.</t>
        </is>
      </c>
      <c r="D878" t="n">
        <v>12</v>
      </c>
      <c r="E878" t="n">
        <v>5</v>
      </c>
      <c r="F878">
        <f>HYPERLINK("https://www.reddit.com/r/cancer/comments/atg58u/my_dad_was_diagnosed_with_liver_cancer_via_ct/")</f>
        <v/>
      </c>
      <c r="G878" t="inlineStr">
        <is>
          <t>2019-02-22 02:50:48</t>
        </is>
      </c>
      <c r="H878" t="inlineStr"/>
    </row>
    <row r="879">
      <c r="A879" t="inlineStr">
        <is>
          <t>atg624</t>
        </is>
      </c>
      <c r="B879" t="inlineStr">
        <is>
          <t>Scientists Enlist Incredibly Tiny Allies in Cancer Fight I VOA</t>
        </is>
      </c>
      <c r="C879" t="inlineStr">
        <is>
          <t xml:space="preserve"> Published on Feb 2, 2019
Researchers and doctors are using incredibly tiny particles — fluorescent nanoparticles — in a quest for new ways to fight cancer. Some nanoparticles, just billionths of a meter across, are engineered to carry special dye that glows when it hits cancer cells. Oregon State University scientists say this makes it easier for surgeons to find and remove tumors. Iryna Matviichuk visited Portland and learned the new procedure is closer to testing in human patients.  Anna Rice narrates her report. 
[https://www.youtube.com/watch?v=tWjdxWnXZfc](https://www.youtube.com/watch?v=tWjdxWnXZfc)</t>
        </is>
      </c>
      <c r="D879" t="n">
        <v>1</v>
      </c>
      <c r="E879" t="n">
        <v>0</v>
      </c>
      <c r="F879">
        <f>HYPERLINK("https://www.reddit.com/r/cancer/comments/atg624/scientists_enlist_incredibly_tiny_allies_in/")</f>
        <v/>
      </c>
      <c r="G879" t="inlineStr">
        <is>
          <t>2019-02-22 02:53:26</t>
        </is>
      </c>
      <c r="H879" t="inlineStr"/>
    </row>
    <row r="880">
      <c r="A880" t="inlineStr">
        <is>
          <t>ath16f</t>
        </is>
      </c>
      <c r="B880" t="inlineStr">
        <is>
          <t>Tattoo timing</t>
        </is>
      </c>
      <c r="C880" t="inlineStr">
        <is>
          <t xml:space="preserve">How long should I wait to get a tattoo after undergoing chemo? 
I just went through four rounds of VIP for testicular cancer. Could use a good tattoo session to relieve some stress haha </t>
        </is>
      </c>
      <c r="D880" t="n">
        <v>5</v>
      </c>
      <c r="E880" t="n">
        <v>10</v>
      </c>
      <c r="F880">
        <f>HYPERLINK("https://www.reddit.com/r/cancer/comments/ath16f/tattoo_timing/")</f>
        <v/>
      </c>
      <c r="G880" t="inlineStr">
        <is>
          <t>2019-02-22 04:30:45</t>
        </is>
      </c>
      <c r="H880" t="inlineStr"/>
    </row>
    <row r="881">
      <c r="A881" t="inlineStr">
        <is>
          <t>atiedv</t>
        </is>
      </c>
      <c r="B881" t="inlineStr">
        <is>
          <t>Six Ways to Lower Your Risk for Colorectal Cancer</t>
        </is>
      </c>
      <c r="C881" t="inlineStr">
        <is>
          <t xml:space="preserve">&amp;amp;#x200B;
[mahitee.com | cancer.org](https://i.redd.it/vkz8c25yt4i21.jpg)
Colorectal cancer is one of the more common cancers in the world About 1 in 23 men and 1 in 25 women will develop colon or rectal cancer at some point during their lifetime. But there are things you can do to help lower your risk.  
\* How does colorectal cancer start?  
Polyps in the colon or rectum: Most colorectal cancers start as a growth on the inner lining of the colon or rectum. These growths are called polyps.  
Some types of polyps can change into cancer over time (usually many years), but not all polyps become cancer. The chance of a polyp changing into cancer depends on the type of polyp it is. The 2 main types of polyps are:  
• Adenomatous polyps (adenomas): These polyps sometimes change into cancer. Because of this, adenomas are called a precancerous condition.  
• Hyperplastic polyps and inflammatory polyps: These polyps are more common, but in general they are not precancerous.  
Other factors that can make a polyp more likely to contain cancer or increase someone’s risk of developing colorectal cancer include:  
• If a polyp larger than 1 cm is found  
• If more than 2 polyps are found  
• If dysplasia is seen in the polyp after it's removed. Dysplasia is another precancerous condition. It means there's an area in a polyp or in the lining of the colon or rectum where the cells look abnormal, but they don't look like true cancer cells.   
\* How colorectal cancer spreads  
If cancer forms in a polyp, it can grow into the wall of the colon or rectum over time. The wall of the colon and rectum is made up of many layers. Colorectal cancer starts in the innermost layer (the mucosa) and can grow outward through some or all of the other layers.  
When cancer cells are in the wall, they can then grow into blood vessels or lymph vessels (tiny channels that carry away waste and fluid). From there, they can travel to nearby lymph nodes or to distant parts of the body.  
The stage (extent of spread) of a colorectal cancer depends on how deeply it grows into the wall and if it has spread outside the colon or rectum.   
\* Where does colorectal cancer grow?  
To understand colorectal cancer, it helps to understand the parts that make up the colon and rectum. The colon and rectum make up the large intestine (or large bowel), which is part of the digestive system, also called the gastrointestinal (GI) system (see illustration below).  
Most of the large intestine is made up of the colon, a muscular tube about 5 feet long. The parts of the colon are named by which way the food is traveling through them.   
• The first section is called the ascending colon. It starts with a pouch called the cecum, where undigested food is comes in from the small intestine. It extends upward on the right side of the abdomen (belly).  
• The second section is called the transverse colon. It goes across the body from the right to the left side.  
• The third section is called the descending colon because it descends (travels down) on the left side.  
• The fourth section is called the sigmoid colon because of its “S” shape. The sigmoid colon joins the rectum, which connects to the anus.  
The ascending and transverse sections together are called the proximal colon. The descending and sigmoid colon are called the distal colon.  
\* What do the colon and rectum do?  
The colon absorbs water and salt from the remaining food matter after it goes through the small intestine (small bowel). The waste matter that's left after going through the colon goes into the rectum, the final 6 inches of the digestive system. It's stored there until it passes out of the body through the anus. Ring-shaped sphincter (SFINK-ter) muscles around the anus keeps stool from coming out until they relax during a bowel movement.  
\* Types of cancer in the colon and rectum  
Adenocarcinomas make up about 96% of colorectal cancers. These cancers start in cells that make mucus to lubricate the inside of the colon and rectum. When doctors talk about colorectal cancer, they're almost always talking about this type. Some subtypes of adenocarcinoma, such as signet ring and mucinous, may have a worse prognosis (outlook).  
Other, much less common types of tumors can start in the colon and rectum, too. These include:  
• Carcinoid tumors. These start from special hormone-making cells in the intestine.   
• Gastrointestinal stromal tumors (GISTs) start from special cells in the wall of the colon called the interstitial cells of Cajal. Some are not cancer (benign). These tumors can be found anywhere in the digestive tract, but are not common in the colon.   
• Lymphomas are cancers of immune system cells. They mostly start in lymph nodes, but they can also start in the colon, rectum, or other organs.  
• Sarcomas can start in blood vessels, muscle layers, or other connective tissues in the wall of the colon and rectum. Sarcomas of the colon or rectum are rare.  
\* Six ways to lower risk  
Get screened for colorectal cancer. Screenings are tests that look for cancer before signs and symptoms develop. Colorectal screenings can often find growths on... [read more on mahitee.com](http://mahitee.com/read/health/six-ways-to-lower-your-risk-for-colorectal-cancer) </t>
        </is>
      </c>
      <c r="D881" t="n">
        <v>0</v>
      </c>
      <c r="E881" t="n">
        <v>0</v>
      </c>
      <c r="F881">
        <f>HYPERLINK("https://www.reddit.com/r/cancer/comments/atiedv/six_ways_to_lower_your_risk_for_colorectal_cancer/")</f>
        <v/>
      </c>
      <c r="G881" t="inlineStr">
        <is>
          <t>2019-02-22 06:46:15</t>
        </is>
      </c>
      <c r="H881" t="inlineStr"/>
    </row>
    <row r="882">
      <c r="A882" t="inlineStr">
        <is>
          <t>atixop</t>
        </is>
      </c>
      <c r="B882" t="inlineStr">
        <is>
          <t>What to do when you have a relative with terminal cancer?</t>
        </is>
      </c>
      <c r="C882" t="inlineStr">
        <is>
          <t>The doctors told my sister in law there's nothing more to do with her cancer, only wait until the last day. They told us thiS time is as short as one month. I really don't know what to do, what to say to her, my brother or my nephew. I'm clueless about this situation, and I cannot imagine all that's going on within her. 
I want to help, I want to be there, but I don't know what to do. Anybody got any idea?</t>
        </is>
      </c>
      <c r="D882" t="n">
        <v>15</v>
      </c>
      <c r="E882" t="n">
        <v>11</v>
      </c>
      <c r="F882">
        <f>HYPERLINK("https://www.reddit.com/r/cancer/comments/atixop/what_to_do_when_you_have_a_relative_with_terminal/")</f>
        <v/>
      </c>
      <c r="G882" t="inlineStr">
        <is>
          <t>2019-02-22 07:34:14</t>
        </is>
      </c>
      <c r="H882" t="inlineStr"/>
    </row>
    <row r="883">
      <c r="A883" t="inlineStr">
        <is>
          <t>atjcd0</t>
        </is>
      </c>
      <c r="B883" t="inlineStr">
        <is>
          <t>So I just had been diagnosed with papillary thyroid cancer</t>
        </is>
      </c>
      <c r="C883" t="inlineStr">
        <is>
          <t>Last October I went in for a physical, my PCP found a lump on my left neck where the lymph node is, along with blood work showing I have severe vitamin D deficiency, she booked an ultrasound for me to look at the lymph node. Cue January when the ultrasound actually took place, she found some growth on the lymph node and immediately sent me to my ENT doctor, who did another ultrasound on my thyroid and found a nodule, followed by 4 fine-needle biopsy on my thyroid nodule, swollen lymph node, and 2 other surrounding lymph nodes, and a CT scan.
1 week after the ordeal, my ENT doctor called me back to his office and gave me the news: papillary thyroid cancer that spread to the surrounding lymph nodes, and I will have a total thyroidectomy and  neck dissection to remove the affected lymph nodes, follow by RAI and lifelong hormone replacement.
This completely caught us by surprise, even thou the doctor said my outlook for full recovery is very good since I am only 34, but my wife and I are still pretty shaken by the diagnose. After reading up a lot of literature on papillary thyroid cancer, we feel a bit more at ease knowing this won't completely wreck our lives.
The surgery had been scheduled, but until the end of RAI I won't know if they got rid of all the cancerous cells, so I will keep an optimistic view with some reservation, and march toward the road of recovery.</t>
        </is>
      </c>
      <c r="D883" t="n">
        <v>48</v>
      </c>
      <c r="E883" t="n">
        <v>18</v>
      </c>
      <c r="F883">
        <f>HYPERLINK("https://www.reddit.com/r/cancer/comments/atjcd0/so_i_just_had_been_diagnosed_with_papillary/")</f>
        <v/>
      </c>
      <c r="G883" t="inlineStr">
        <is>
          <t>2019-02-22 08:09:27</t>
        </is>
      </c>
      <c r="H883" t="inlineStr"/>
    </row>
    <row r="884">
      <c r="A884" t="inlineStr">
        <is>
          <t>atk8j9</t>
        </is>
      </c>
      <c r="B884" t="inlineStr">
        <is>
          <t>Tandem Stem Cell transplants</t>
        </is>
      </c>
      <c r="C884" t="inlineStr">
        <is>
          <t xml:space="preserve">Has anyone here gone through stem cell transplants? Single or tandems?
My son is being harvested in the coming week, to make sure he can be ahead of an 8th round of chemo, because he most likely will be getting the tandem transplants if they can get enough harvested. He’s almost 1 and a half. 
I’m just wondering about experiences or expectations. </t>
        </is>
      </c>
      <c r="D884" t="n">
        <v>6</v>
      </c>
      <c r="E884" t="n">
        <v>2</v>
      </c>
      <c r="F884">
        <f>HYPERLINK("https://www.reddit.com/r/cancer/comments/atk8j9/tandem_stem_cell_transplants/")</f>
        <v/>
      </c>
      <c r="G884" t="inlineStr">
        <is>
          <t>2019-02-22 09:23:11</t>
        </is>
      </c>
      <c r="H884" t="inlineStr"/>
    </row>
    <row r="885">
      <c r="A885" t="inlineStr">
        <is>
          <t>atlzdc</t>
        </is>
      </c>
      <c r="B885" t="inlineStr">
        <is>
          <t>Update on Dad (stage i lung cancer w/ cyberknife treatment)</t>
        </is>
      </c>
      <c r="C885" t="inlineStr">
        <is>
          <t>Hi everyone! Just wanted to give an update on my dad's treatment so far. It's actually good news! He had 5 cyberknife treatments over the span of the last 2 weeks and now is supposed to wait 3 months to go back and see what happened to his cancer. We're all hoping for the best!
If anyone has any questions about cyberknife, please ask me! I wasn't there for his treatment but I can ask him and my mom any questions you might have.</t>
        </is>
      </c>
      <c r="D885" t="n">
        <v>13</v>
      </c>
      <c r="E885" t="n">
        <v>3</v>
      </c>
      <c r="F885">
        <f>HYPERLINK("https://www.reddit.com/r/cancer/comments/atlzdc/update_on_dad_stage_i_lung_cancer_w_cyberknife/")</f>
        <v/>
      </c>
      <c r="G885" t="inlineStr">
        <is>
          <t>2019-02-22 11:52:16</t>
        </is>
      </c>
      <c r="H885" t="inlineStr"/>
    </row>
    <row r="886">
      <c r="A886" t="inlineStr">
        <is>
          <t>atm8yv</t>
        </is>
      </c>
      <c r="B886" t="inlineStr">
        <is>
          <t>I'm worried I might have cervical cancer (16 f)</t>
        </is>
      </c>
      <c r="C886" t="inlineStr">
        <is>
          <t>Hello everyone!
I deeply apologize if I'm interrupting your day in any manner but I just need to get this off my chest and maybe get some foresight from you all
 To start off I've been experiencing unusual symptoms over the past 3-4 months:  im having irregular periods (2 weeks or so ahead of their usual time) and a week before my period actually starts i get this brown-reddish spotting for a few days. My periods have always lasted for 6 days but now i had them lasting for 14 days (flow was average to heavy).Also before and after my period i get this weird brown-blood tinged discharge (looks like endometrial tissue) cottonish and long thread like texture. Sometimes its pink. 
To add up on that ive been losing a lot of weight : lost 10 pounds in a month. I'm normally a HUGE foodie but for about a month or two i dont feel as hungry at all.or i get full fairly quickly.and i feel droopy or a bit lethargic as im now always sitting around or on my bed.(i had polycystic ovary syndrome 3 years ago but i lost some weight and periods started coming under normal conditions)
I have this leg pain too (on calf area) sometimes its either throbbing or just sore-like ache that happens occasionally but i dismiss it as i think it might be because of sitting around too much. Occasional back and sudden minute pelvic pains also occur sometimes.
I was molested when i was about 6 years old by two males (penetration was involved without a condom) . This was about ten years ago(almost the amount of time HPV takes to cause cancer.
Ive also been having this occasional white mucous-like discharge in my urine for over a year now.
I  have my appointment with my gyno next week and I'm terrified. My mother will be there with me. Should i ask for a pap smear test? Should I tell the gyno about my sexual history? Talking about it makes me very uncomfortable because my mother doesnt know that i was raped and i dont want to burden her with that knowledge either —in front of the dr too.
Once again Im reallyyy sorry for making you all read this lengthy text but I'm really anxious about this whole deal. But thank you so much for reading and any words from you of advice will be highly appreciated from the whole of my heart.
Thank you!</t>
        </is>
      </c>
      <c r="D886" t="n">
        <v>0</v>
      </c>
      <c r="E886" t="n">
        <v>2</v>
      </c>
      <c r="F886">
        <f>HYPERLINK("https://www.reddit.com/r/cancer/comments/atm8yv/im_worried_i_might_have_cervical_cancer_16_f/")</f>
        <v/>
      </c>
      <c r="G886" t="inlineStr">
        <is>
          <t>2019-02-22 12:16:00</t>
        </is>
      </c>
      <c r="H886" t="inlineStr"/>
    </row>
    <row r="887">
      <c r="A887" t="inlineStr">
        <is>
          <t>atmdn4</t>
        </is>
      </c>
      <c r="B887" t="inlineStr">
        <is>
          <t>Looking for some encouragement: father with 2YO diagnosed with B-cell ALL with MLL-R</t>
        </is>
      </c>
      <c r="C887" t="inlineStr">
        <is>
          <t xml:space="preserve">Hi all, 
I guess I’m just here to vent and maybe to seek some encouragement. 
My two year old son was diagnosed with B-cell Acute Lymphoblastic Leukemia (ALL) in November of 2018 and it has been a whirlwind ever since. We believe we caught it very early as all of his blood counts were within normal range at the time of diagnosis. His disease presented in an odd way. His lymph nodes were not swollen and he was not symptomatic at all. Instead he had a cyst on his arm that grew very fast. We had it checked out by a dermatologist who biopsied the cyst and determined it was a form of lymphoma. Fast forward a week and we are at St. Jude’s hospital having bone marrow biopsies done and still wondering if it’s a blood cancer or contained to the one spot. His oncologist was fairly certain it was Leukemia, but the first bone marrow biopsy came back at only 16%. Above 27% indicates Leukemia and below indicates Lymphoma. The second biopsy taken a week later showed 80% so we had a confirmed Leukemia diagnosis.   
At the time we were told that our son was considered “Low Risk” and our Oncologist was “100% sure that if we gave him all of his medicine and brought him in for every fever that he would be cured”. But then after further genetic testing revealed a mutation called MLL-relocation, we were bumped to “Standard Risk” and he dropped that number to 94%-95%. Still a very good prognosis, but a blow to hear after being told 100%.   
My son went into remission after just 15 days, which is wonderful! Only 30% of patients go into remission that quickly. He is currently 1/4 of the way through Consolidation and doing great! That being said, his MLL mutation means he is at a higher risk for relapse. This is what concerns me. I am SO afraid that we will get to the end of all of this after 2.5 years of treatment, and it will all be for not. I have this pit in my stomach that tells me this does not have a happy ending no matter what. I made the mistake of Googling “ALL with MLL-relocation” and found the outlook to be very grim. I bounce between being optimistic because my son’s Oncologist is, but then looking at the statistics and being discouraged.  
On top of that, I’ve just read so many horror stories of kids beating this disease and then going on to relapse several times. I just don’t understand why, with a cure rate of over 94%, there aren’t more happy stories out there in the world.   
At any rate, I’m rambling at this point. A lot of posts on here are either cancer patients or people taking care of a parent or spouse, and my heart goes out to them. I’d like to hear some success stories from (well anyone), but especially from parents who have helped their child come out of the other side cancer-free. I feel like it would put me at ease knowing cancer is beatable. My head knows it is, but my heart is having a hard time getting there. Thanks everyone!  
</t>
        </is>
      </c>
      <c r="D887" t="n">
        <v>15</v>
      </c>
      <c r="E887" t="n">
        <v>12</v>
      </c>
      <c r="F887">
        <f>HYPERLINK("https://www.reddit.com/r/cancer/comments/atmdn4/looking_for_some_encouragement_father_with_2yo/")</f>
        <v/>
      </c>
      <c r="G887" t="inlineStr">
        <is>
          <t>2019-02-22 12:27:20</t>
        </is>
      </c>
      <c r="H887" t="inlineStr"/>
    </row>
    <row r="888">
      <c r="A888" t="inlineStr">
        <is>
          <t>atna5p</t>
        </is>
      </c>
      <c r="B888" t="inlineStr">
        <is>
          <t>Trying to hold it together</t>
        </is>
      </c>
      <c r="C888" t="inlineStr">
        <is>
          <t xml:space="preserve">I never post anything personal online but I just wanted to talk about this to some people who would understand. My dad was diagnosed when I was 11. I don't know the technical name for it, but it started as colon cancer, and now its everywhere. I'm 20, have been at community college for 3 years, and I'm currently waiting on news of whether or not I get into design schools upwards of 7 hours away by car. My parents were never really together, but had split custody since I was a baby. My mom married my stepdad, and had my half brother, all of whom I love. The other house was just my dad and I. He loves me more than anything, but he could always be childish and stubborn. He was okay, or at least hid it from me well for the first few years, my mom has always said that cancer has actually softened him. Maaaybe 2 years ago (?) It got worse, it started pretty rapidly spreading. He developed brain lesions, and he got so angry and frustrated because he couldn't find words or control his emotions or use fine motor skills and I remember driving him to his CyberKnife appointment and us just yelling at each other for something and I nearly crashed. 
I moved in with my boyfriend of 4 years about a year ago, I was mostly sleeping over there anyways. I feel like I was a coward, it got really hard to see my dad because most of the time he was high on opiates or pot and he wasn't the dad I was raised by. I think I also thought that, if I saw him frequently like he wasn't going to be here much longer, then he wouldn't be? He was on an Immunotherapy trial that at first looked very effective, but the last tests show it's not really working any more. My mom has been very involved with his care and health in the last year as she wanted me to be able to focus on my future. My mom sat me down a few days ago and told me hospice care will start coming daily. I tried to argue to her and myself that he was still fine despite weighing less than me. She told me its not like that anymore, the hope is fleeting, and doctors have started to get squirmy when asked about details. His whole philosophy was positivity and a general certainty that things will turn out fine after these tough patches. He has an oxygen tank, and yet some stupid part of my brain was still trying to justify being too scared to see him as just being too busy - and that he will be around for awhile anyways. I don't think he will anymore. My mom sitting me down slapped this into me. I talked to him a few days ago on one of his clear headed days, and he said "Bridge, I'm dying." 
And that's where we are. He's still pursuing treatment. I had to ask him if he was just staying around for me, and that its okay to stop painful treatment if he wanted to. He said he still wanted to try, and not just for me. And I want to tell him that I will be okay, and that all I want for him is to be comfortable, when in reality this will really fucking suck and I still want my dad. I will need to stop being such a coward and see him every day no matter how much it fucking sucks and hurts to see his thoughts come out as intoxicated nonsense and his bones sticking through his skin.
I'm really scared I will come home to him having slipped in the shower or just permanently asleep with the cat pawing at him for food. I have never really liked kids or had a concrete want for them in the future, but recently I cant stop thinking about how my dad probably wont meet them. I keep having dreams about what I'm going to say at his funeral and I feel so guilty about it because he's not gone yet. I don't want him to be gone but I want his pain to stop. I have a great support network but no one really knows what to do or say. I wouldn't either.
I still live at my boyfriends house but after that talk with my mom I spend at least 3 hours here a day watching sci-fi with my dad, and then it still feels like normal apart from the drone of the oxygen machine. 
I feel so selfish because in addition to love and sorrow and fear I feel trapped. Like I wont be able to leave for school even if I get in out of fear, that if I do then I might not be here for his last days. But he also would die of guilt if I didn't go because he is so proud of me and wants to see me pursue my dreams. I don't know. I'm sorry this all came out scattered; I'm usually a better writer but I feel kind of very scattered right now. </t>
        </is>
      </c>
      <c r="D888" t="n">
        <v>9</v>
      </c>
      <c r="E888" t="n">
        <v>4</v>
      </c>
      <c r="F888">
        <f>HYPERLINK("https://www.reddit.com/r/cancer/comments/atna5p/trying_to_hold_it_together/")</f>
        <v/>
      </c>
      <c r="G888" t="inlineStr">
        <is>
          <t>2019-02-22 13:43:39</t>
        </is>
      </c>
      <c r="H888" t="inlineStr"/>
    </row>
    <row r="889">
      <c r="A889" t="inlineStr">
        <is>
          <t>atnx5x</t>
        </is>
      </c>
      <c r="B889" t="inlineStr">
        <is>
          <t>My 54 year old dad has been diagnosed with skin cancer. Maybe a few months left. I don't know what to do.</t>
        </is>
      </c>
      <c r="C889" t="inlineStr">
        <is>
          <t xml:space="preserve">I'm 22, F in college and my mom tells me we won't manage financially after my dad is gone. I've got to take a job. I will, in IT since that's my major, but I still have learn stuff to learn and exams to pass. 
I don't know what to do and what to feel. I think I can do a pretty good job of pretending this situation isn't happening and just do my thing. It gets kind of numb. I'm afraid I'll regret it. 
I can't talk with anybody IRL. I don't trust anyone. I don't want to be weak because most people tend to take advantage of that or simply don't understand and only pretend to care. I have to be strong for my mum and my younger brother.
I wish I could hug somebody. I really wish I wasn't so alone. I'm afraid.
It's my first time posting on Reddit. Sorry if I've done anything wrong. 
</t>
        </is>
      </c>
      <c r="D889" t="n">
        <v>10</v>
      </c>
      <c r="E889" t="n">
        <v>11</v>
      </c>
      <c r="F889">
        <f>HYPERLINK("https://www.reddit.com/r/cancer/comments/atnx5x/my_54_year_old_dad_has_been_diagnosed_with_skin/")</f>
        <v/>
      </c>
      <c r="G889" t="inlineStr">
        <is>
          <t>2019-02-22 14:41:37</t>
        </is>
      </c>
      <c r="H889" t="inlineStr"/>
    </row>
    <row r="890">
      <c r="A890" t="inlineStr">
        <is>
          <t>atomjy</t>
        </is>
      </c>
      <c r="B890" t="inlineStr">
        <is>
          <t>Back on the heme onc unit.</t>
        </is>
      </c>
      <c r="C890" t="inlineStr">
        <is>
          <t xml:space="preserve">Nearly three years after being declared in remission, I'm back on the all too familiar hematology/oncology unit at my hospital. But this time, it's different. This time, I'm on the other side of the bed. I've come back here to work as a nurse. 
After finishing treatment, I found a new purpose in my life. I went to nursing school with the hopes of someday accepting a job on a heme/onc unit. I never dreamed that I would accept a position right out of nursing school, or that it would be on the same floor where I had been a patient. I couldn't be happier, and I'm going to do the best that I can to be an exceptional nurse. </t>
        </is>
      </c>
      <c r="D890" t="n">
        <v>176</v>
      </c>
      <c r="E890" t="n">
        <v>33</v>
      </c>
      <c r="F890">
        <f>HYPERLINK("https://www.reddit.com/r/cancer/comments/atomjy/back_on_the_heme_onc_unit/")</f>
        <v/>
      </c>
      <c r="G890" t="inlineStr">
        <is>
          <t>2019-02-22 15:49:02</t>
        </is>
      </c>
      <c r="H890" t="inlineStr"/>
    </row>
    <row r="891">
      <c r="A891" t="inlineStr">
        <is>
          <t>atovaw</t>
        </is>
      </c>
      <c r="B891" t="inlineStr">
        <is>
          <t>Treatment ended 2 years ago today!</t>
        </is>
      </c>
      <c r="C891" t="inlineStr">
        <is>
          <t xml:space="preserve">2 year end of chemo anniversary! https://imgur.com/gallery/bFtQsi4
When we were in the thick of my sons battle with stage 3 burkitts like lymphoma i could not picture us this far in the future. The first year seemed to crawl by, but as we get father away from it time seems to be flying by instead. 
Just wanted to share this to give some hope to those still in the middle of it all. There were times i didnt think he'd make it, but hes here, not just surviving but thriving in life after cancer. </t>
        </is>
      </c>
      <c r="D891" t="n">
        <v>1</v>
      </c>
      <c r="E891" t="n">
        <v>0</v>
      </c>
      <c r="F891">
        <f>HYPERLINK("https://www.reddit.com/r/cancer/comments/atovaw/treatment_ended_2_years_ago_today/")</f>
        <v/>
      </c>
      <c r="G891" t="inlineStr">
        <is>
          <t>2019-02-22 16:12:51</t>
        </is>
      </c>
      <c r="H891" t="inlineStr"/>
    </row>
    <row r="892">
      <c r="A892" t="inlineStr">
        <is>
          <t>atovd8</t>
        </is>
      </c>
      <c r="B892" t="inlineStr">
        <is>
          <t>Treatment ended 2 years ago today!</t>
        </is>
      </c>
      <c r="C892" t="inlineStr">
        <is>
          <t xml:space="preserve">2 year end of chemo anniversary! https://imgur.com/gallery/bFtQsi4
When we were in the thick of my sons battle with stage 3 burkitts like lymphoma i could not picture us this far in the future. The first year seemed to crawl by, but as we get father away from it time seems to be flying by instead. 
Just wanted to share this to give some hope to those still in the middle of it all. There were times i didnt think he'd make it, but hes here, not just surviving but thriving in life after cancer. </t>
        </is>
      </c>
      <c r="D892" t="n">
        <v>29</v>
      </c>
      <c r="E892" t="n">
        <v>8</v>
      </c>
      <c r="F892">
        <f>HYPERLINK("https://www.reddit.com/r/cancer/comments/atovd8/treatment_ended_2_years_ago_today/")</f>
        <v/>
      </c>
      <c r="G892" t="inlineStr">
        <is>
          <t>2019-02-22 16:13:00</t>
        </is>
      </c>
      <c r="H892" t="inlineStr"/>
    </row>
    <row r="893">
      <c r="A893" t="inlineStr">
        <is>
          <t>atovlp</t>
        </is>
      </c>
      <c r="B893" t="inlineStr">
        <is>
          <t>Bone Marrow Donation</t>
        </is>
      </c>
      <c r="C893" t="inlineStr">
        <is>
          <t>Hello,
I have been confirmed as a match for a man with leukemia via Be the Match.  His doctors would like for me to do a peripheral blood stem cell donation.
I wanted to see if anyone has done it, what their experience was like, and if there are any major risks associated with the medicine donors have to take leading up to the donation (Filgrastim).  
My mother died from pancreatic cancer last year but specifically due to Heparin Induced Thrombosis.  Is there any similarity in these medications?  I am most concerned with having a reaction to the filgrastim.
&amp;amp;#x200B;
Thanks!</t>
        </is>
      </c>
      <c r="D893" t="n">
        <v>13</v>
      </c>
      <c r="E893" t="n">
        <v>14</v>
      </c>
      <c r="F893">
        <f>HYPERLINK("https://www.reddit.com/r/cancer/comments/atovlp/bone_marrow_donation/")</f>
        <v/>
      </c>
      <c r="G893" t="inlineStr">
        <is>
          <t>2019-02-22 16:13:32</t>
        </is>
      </c>
      <c r="H893" t="inlineStr"/>
    </row>
    <row r="894">
      <c r="A894" t="inlineStr">
        <is>
          <t>atoz3u</t>
        </is>
      </c>
      <c r="B894" t="inlineStr">
        <is>
          <t>Today it’s 14 years ago..</t>
        </is>
      </c>
      <c r="C894" t="inlineStr">
        <is>
          <t>That I got diagnosed with cancer and 7 years ago that I was official cancer free.
I love you all!</t>
        </is>
      </c>
      <c r="D894" t="n">
        <v>45</v>
      </c>
      <c r="E894" t="n">
        <v>5</v>
      </c>
      <c r="F894">
        <f>HYPERLINK("https://www.reddit.com/r/cancer/comments/atoz3u/today_its_14_years_ago/")</f>
        <v/>
      </c>
      <c r="G894" t="inlineStr">
        <is>
          <t>2019-02-22 16:23:15</t>
        </is>
      </c>
      <c r="H894" t="inlineStr"/>
    </row>
    <row r="895">
      <c r="A895" t="inlineStr">
        <is>
          <t>atpi6s</t>
        </is>
      </c>
      <c r="B895" t="inlineStr">
        <is>
          <t>Side Effects of Chemo - Dental Issues</t>
        </is>
      </c>
      <c r="C895" t="inlineStr">
        <is>
          <t xml:space="preserve">As we all know, cancer treatments can have major effects on our body. It’s really impacted me but that is the trade off we make to be cured of this awful disease. 
Has anybody suffered severe dental effects directly as a result of chemo treatment, immunosuppression, etc.? If so, how did you go about addressing the issue with insurance? Below will help explain my situation. 
Growing up I had near perfect teeth, no braces, good bite, only 1 cavity. Then life through me a curveball. I was diagnosed with cancer at 18 and would go on to relapse 9 months following chemo and then develop a secondary cancer 2 years after my relapse- 3 diagnoses in 4.5 years. The chemo obviously takes a large toll on the body but that's the tradeoff for being here today.  
Those near perfect teeth, well not so perfect anymore. Chemo treatments (40+)  and the immunosuppression (BMT + heavy dose immunosupressing medications) destroyed my mouth. I couldn't properly care for my teeth and gums for 3 months due to risk of infection following the BMT. I was forced to brush with that tiny green oral sponge- not the best way to properly care for one's mouth. I've had 6 teeth extracted, 4 that have just cracked and broke off due to the deterioration and several more chipping away. The deterioration started back by my molars and it's moving closer and closer to the front of my mouth and eventually all of teeth will be infected most likely. Obviously I can't go through life with just gums and some broken off teeth.
I'll need dental implants (at least half, but guessing Dr would opt for total replacement) and they do not come cheap. I've read $3K-$6K per tooth. I also saw another approach rather than individual implants, All on Four implants (?) that run $25K-$45K. I'm only 30 with a lot of years ahead of me and I would like a solution other than my insurance's suggestion of dentures. 
I haven't hit the lotto yet so I cannot afford either of those options or likely any other replacement options. My dental only covers up to $2K for the year which doesn't help me much. One of my best friends is in oral surgery school but will not graduate until next Fall. I have been trying to hold off for the past few years until then to help with the cost of the procedures but I am afraid if I wait until then, I'll have nothing left and will damage my jawbone and gums even more. So I want to try and have my medical insurance cover the extensive work since it’s related to my cancer treatments but I'm not sure how I would do that or if it is possible. 
Has anyone been in a similar situation? If so, what did you do? Did medical cover it?
Thanks again for reading and for any advice you may have!
</t>
        </is>
      </c>
      <c r="D895" t="n">
        <v>11</v>
      </c>
      <c r="E895" t="n">
        <v>7</v>
      </c>
      <c r="F895">
        <f>HYPERLINK("https://www.reddit.com/r/cancer/comments/atpi6s/side_effects_of_chemo_dental_issues/")</f>
        <v/>
      </c>
      <c r="G895" t="inlineStr">
        <is>
          <t>2019-02-22 17:17:32</t>
        </is>
      </c>
      <c r="H895" t="inlineStr"/>
    </row>
    <row r="896">
      <c r="A896" t="inlineStr">
        <is>
          <t>atqhsy</t>
        </is>
      </c>
      <c r="B896" t="inlineStr">
        <is>
          <t>Surgery Monday (2/25) -- Malignant Melanoma</t>
        </is>
      </c>
      <c r="C896" t="inlineStr">
        <is>
          <t>Me, 54 year old male. Mid-December last year, a large mole on the back of my upper-left arm started bleeding. My daughter, who was home visiting for Christmas convinced me to finally get it checked. After the holidays had passed (Christmas, my birthday, wife's birthday, our anniversary) I decided to go ahead and make the appointment with a dermatologist. That happened on February 6th. After examining and numbing the area, and removing the scabbing, the doctor took out a 2 cm (yes, 3/4-inch) mole and sent it for analysis by a dermatopathologist. A week later, results came back. It's a malignant melanoma of 4.3mm Breslow thickness, with ulceration and lymphovascular invasion, 5 mitoses/mm2, primary classification pT4b. 
She referred me to a melanoma surgeon for consult and further treatment. Met with him on February 15th. Plan is this coming Monday to do a sentinal lymph node biopsy, and remove about a 2-1/2 inch circle on my arm, then do a skin graft from my thigh to my arm. Depending on the outcome of the SLNB, chances are looking high that I'll be meeting an oncologist next to talk about the next steps. 
Suddenly, I'm totally preoccupied with learning more than I ever wanted to know about melanoma, and at the same time growing more and more nervous about the future. All of the sudden, everything else in life has shifted to the back burner.</t>
        </is>
      </c>
      <c r="D896" t="n">
        <v>15</v>
      </c>
      <c r="E896" t="n">
        <v>2</v>
      </c>
      <c r="F896">
        <f>HYPERLINK("https://www.reddit.com/r/cancer/comments/atqhsy/surgery_monday_225_malignant_melanoma/")</f>
        <v/>
      </c>
      <c r="G896" t="inlineStr">
        <is>
          <t>2019-02-22 18:59:57</t>
        </is>
      </c>
      <c r="H896" t="inlineStr"/>
    </row>
    <row r="897">
      <c r="A897" t="inlineStr">
        <is>
          <t>ats523</t>
        </is>
      </c>
      <c r="B897" t="inlineStr">
        <is>
          <t>Question about testicular cancer.</t>
        </is>
      </c>
      <c r="C897" t="inlineStr">
        <is>
          <t>I have a small lump. Very small not even the size of a marble. But it’s been there for almost a year, I got a ultrasound back in September and nothing was found but, I’m starting to get worried again since it’s not going away. Is there something else this could be?</t>
        </is>
      </c>
      <c r="D897" t="n">
        <v>2</v>
      </c>
      <c r="E897" t="n">
        <v>4</v>
      </c>
      <c r="F897">
        <f>HYPERLINK("https://www.reddit.com/r/cancer/comments/ats523/question_about_testicular_cancer/")</f>
        <v/>
      </c>
      <c r="G897" t="inlineStr">
        <is>
          <t>2019-02-22 21:59:34</t>
        </is>
      </c>
      <c r="H897" t="inlineStr"/>
    </row>
    <row r="898">
      <c r="A898" t="inlineStr">
        <is>
          <t>atscmh</t>
        </is>
      </c>
      <c r="B898" t="inlineStr">
        <is>
          <t>Dad passed Thursday</t>
        </is>
      </c>
      <c r="C898" t="inlineStr">
        <is>
          <t>I've only mentioned to one friend and two coworkers that my father passed away Thursday morning. He was diagnosed with stage 4 esophageal cancer in October 2017 and fought through treatments as long as he could until he couldn't. I stayed with him overnight to monitor and help him many times in the last month and he stopped eating/drinking/talking just this past Sunday. It all seemed to happen so quickly from there. I'm trying to process it still and I know that will take some time. I miss him and I miss his voice and presence. I miss the conversations we will no longer have and the walks we took together. I miss him not being able to be a grandfather yet or dance with my mother or read a letter I write him. I've been hesitant to tell any of my friends or acquaintances because quite honestly I don't know how to say it without pouring my feelings out about it at them. This is compounded by the fact that I lost my uncle, my father's older brother, just 3 weeks ago to complications from liver cancer. I know I have to keep moving forward and it feels like he gave me all the tools to do so, but I'm just hurting. I just want someone to acknowledge my pain.</t>
        </is>
      </c>
      <c r="D898" t="n">
        <v>18</v>
      </c>
      <c r="E898" t="n">
        <v>7</v>
      </c>
      <c r="F898">
        <f>HYPERLINK("https://www.reddit.com/r/cancer/comments/atscmh/dad_passed_thursday/")</f>
        <v/>
      </c>
      <c r="G898" t="inlineStr">
        <is>
          <t>2019-02-22 22:25:06</t>
        </is>
      </c>
      <c r="H898" t="inlineStr"/>
    </row>
    <row r="899">
      <c r="A899" t="inlineStr">
        <is>
          <t>attgh1</t>
        </is>
      </c>
      <c r="B899" t="inlineStr">
        <is>
          <t>My mum has stage 3 ovarian cancer</t>
        </is>
      </c>
      <c r="C899" t="inlineStr">
        <is>
          <t xml:space="preserve">My mum was diagnosed with stage 3 ovarian cancer late last year. She’s 71 and looks so tiny and skinny now.
She has surgery in a few weeks. I’m so so scared of losing her. Seeing her with no hair and unable to stay out for long breaks my heart.
My dad died last year from old age and I’m getting married this year. I can’t handle losing her too. 
She’s one of the most kindest and purest people I know. She’s like a saint and did so much for my dad and has given up so much for her kids and now this ?
</t>
        </is>
      </c>
      <c r="D899" t="n">
        <v>2</v>
      </c>
      <c r="E899" t="n">
        <v>4</v>
      </c>
      <c r="F899">
        <f>HYPERLINK("https://www.reddit.com/r/cancer/comments/attgh1/my_mum_has_stage_3_ovarian_cancer/")</f>
        <v/>
      </c>
      <c r="G899" t="inlineStr">
        <is>
          <t>2019-02-23 00:54:25</t>
        </is>
      </c>
      <c r="H899" t="inlineStr"/>
    </row>
    <row r="900">
      <c r="A900" t="inlineStr">
        <is>
          <t>atv515</t>
        </is>
      </c>
      <c r="B900" t="inlineStr">
        <is>
          <t>very low WBC and sick spouse: wat do?</t>
        </is>
      </c>
      <c r="C900" t="inlineStr">
        <is>
          <t xml:space="preserve">Hey y'all. I'm like a month out from my last pulse of Temozolomide and my white blood count is low enough that if I don't bounce up to completely healthy by next week (spoiler alert: not gonna happen) he **strongly** advises that we stop treatment entirely for this round (and, if it goes much lower, it's transfusion/infusion time). So, my immune system is pretty fucked. 
And now my wife has a fever, sore throat, and a cough. Any suggestions from the Mutant Cr&amp;amp;uuml;e for things to do to keep me safe and not be an ass to my spouse? Like, she's been through fucking hell, I don't want to accidentally treat her poorly, and I have a little bit of pre-existing, pre-cancer hypochondria, so I may be prone to overreact. We're already sleeping separately, and I won't be eating any food prepared by her til we're a couple days clear of this one way or another. 
Any suggestions? I dunno, I just feel like I'm treating her really poorly like she's gross (she hasn't complained or anything, but maybe I just need some little token stuff so that *I* don't feel bad about the situation).
Also, any suggestions on the staying safe side of things? </t>
        </is>
      </c>
      <c r="D900" t="n">
        <v>3</v>
      </c>
      <c r="E900" t="n">
        <v>3</v>
      </c>
      <c r="F900">
        <f>HYPERLINK("https://www.reddit.com/r/cancer/comments/atv515/very_low_wbc_and_sick_spouse_wat_do/")</f>
        <v/>
      </c>
      <c r="G900" t="inlineStr">
        <is>
          <t>2019-02-23 04:44:09</t>
        </is>
      </c>
      <c r="H900" t="inlineStr"/>
    </row>
    <row r="901">
      <c r="A901" t="inlineStr">
        <is>
          <t>atvpx3</t>
        </is>
      </c>
      <c r="B901" t="inlineStr">
        <is>
          <t>GET BUSY LIVING OR GET BUSY DYING... 1 YEAR LATER</t>
        </is>
      </c>
      <c r="C901" t="inlineStr">
        <is>
          <t xml:space="preserve">diagnosed (2/18) with metastatic urothelial carcinoma pd-1 negative... aka stage 4 bladder w/mets bones,liver and lymph nodes. +/- 2 years.
thank you ALL for your support! 1 year later im blessed to have her by my side. yesterday's labs and CT looked great... BEST DAY EVER!
thanks to all WARRIORS that have fought/fighting this war for your sacrifices. YOU and my WARRIOR are HEROES and INSPIRATIONS!
pic of my WARRIOR in new orleans (post chemo celebration) back in november.
i love you, i'm the luckiest man alive!
GET BUSY LIVING  
</t>
        </is>
      </c>
      <c r="D901" t="n">
        <v>1</v>
      </c>
      <c r="E901" t="n">
        <v>0</v>
      </c>
      <c r="F901">
        <f>HYPERLINK("https://www.reddit.com/r/cancer/comments/atvpx3/get_busy_living_or_get_busy_dying_1_year_later/")</f>
        <v/>
      </c>
      <c r="G901" t="inlineStr">
        <is>
          <t>2019-02-23 05:53:27</t>
        </is>
      </c>
      <c r="H901" t="inlineStr"/>
    </row>
    <row r="902">
      <c r="A902" t="inlineStr">
        <is>
          <t>atvrej</t>
        </is>
      </c>
      <c r="B902" t="inlineStr">
        <is>
          <t>GET BUSY LIVING OR GET BUSY DYING... 1 YEAR LATER</t>
        </is>
      </c>
      <c r="C902" t="inlineStr">
        <is>
          <t>diagnosed (2/18) with metastatic urothelial carcinoma pd-1 negative... aka stage 4 bladder w/mets bones,liver and lymph nodes. +/- 2 years.
&amp;amp;#x200B;
thank you ALL for your support! 1 year later im blessed to have her by my side. yesterday's labs and CT looked great... BEST DAY EVER!
&amp;amp;#x200B;
thanks to all WARRIORS that have fought/fighting this war for your sacrifices. YOU and my WARRIOR are HEROES and INSPIRATIONS!
&amp;amp;#x200B;
pic of my WARRIOR in new orleans (post chemo celebration) back in november.
&amp;amp;#x200B;
i love you, i'm the luckiest man alive!
&amp;amp;#x200B;
GET BUSY LIVING  
&amp;amp;#x200B;</t>
        </is>
      </c>
      <c r="D902" t="n">
        <v>105</v>
      </c>
      <c r="E902" t="n">
        <v>17</v>
      </c>
      <c r="F902">
        <f>HYPERLINK("https://www.reddit.com/r/cancer/comments/atvrej/get_busy_living_or_get_busy_dying_1_year_later/")</f>
        <v/>
      </c>
      <c r="G902" t="inlineStr">
        <is>
          <t>2019-02-23 05:58:33</t>
        </is>
      </c>
      <c r="H902" t="inlineStr"/>
    </row>
    <row r="903">
      <c r="A903" t="inlineStr">
        <is>
          <t>atxmhr</t>
        </is>
      </c>
      <c r="B903" t="inlineStr">
        <is>
          <t>Cancer Early Diagnosis: What were your symptoms? Testimonials requested.</t>
        </is>
      </c>
      <c r="C903" t="inlineStr">
        <is>
          <t>Dear All,
I have a website and related social media pages dedicated to support lives touched by Cancer, and provide info. 
I plan to communicate on Cancer early diagnosis in March and need testimonials. Can you help?
- your name (can be anonymous)
- age at time of diagnosis 
- symptoms that brought you to doctor
- type of cancer 
- social media tags if you wish to be tagged.
It will be posted as of March 9th on FB and Insta on @TheCancerMajlis.
Please share as bullet points or brief text by return or Cristina@thecancermajlis.com
By sharing symptoms, we can help early detection and show that cancer doesn’t discriminate based on age, gender or family history or life style.
Thanks 🙏 
Cristina</t>
        </is>
      </c>
      <c r="D903" t="n">
        <v>1</v>
      </c>
      <c r="E903" t="n">
        <v>0</v>
      </c>
      <c r="F903">
        <f>HYPERLINK("https://www.reddit.com/r/cancer/comments/atxmhr/cancer_early_diagnosis_what_were_your_symptoms/")</f>
        <v/>
      </c>
      <c r="G903" t="inlineStr">
        <is>
          <t>2019-02-23 09:14:33</t>
        </is>
      </c>
      <c r="H903" t="inlineStr"/>
    </row>
    <row r="904">
      <c r="A904" t="inlineStr">
        <is>
          <t>atyqmo</t>
        </is>
      </c>
      <c r="B904" t="inlineStr">
        <is>
          <t>What to do when docs stall on releasing test results</t>
        </is>
      </c>
      <c r="C904" t="inlineStr">
        <is>
          <t>Hey all.  Wife just had some labs and imaging done after being cleared of any obvious disease for eight months.  CA 125 is slightly elevated and radiology mentioned a new questionable spot in abdominal CT.  
Onc doc talked to my wife after being prompted for results and relayed this info.  However they haven’t released any of the lab work or radiology reports to us for viewing.  When asked for same, office NP says that the doc already talked to my wife and nothing about releasing results.  This isn’t the first time something like this has happened.
I understand it can be tricky releasing the raw details to laypeople, but I feel like we’re being managed and it drives me crazy.  My wife really likes the doc and her staff and I don’t want to make things harder by being an asshole, but I’m having a hard time just getting filtered info.
What am I not considering?   Thanks in advance!</t>
        </is>
      </c>
      <c r="D904" t="n">
        <v>10</v>
      </c>
      <c r="E904" t="n">
        <v>7</v>
      </c>
      <c r="F904">
        <f>HYPERLINK("https://www.reddit.com/r/cancer/comments/atyqmo/what_to_do_when_docs_stall_on_releasing_test/")</f>
        <v/>
      </c>
      <c r="G904" t="inlineStr">
        <is>
          <t>2019-02-23 10:59:07</t>
        </is>
      </c>
      <c r="H904" t="inlineStr"/>
    </row>
    <row r="905">
      <c r="A905" t="inlineStr">
        <is>
          <t>au21wv</t>
        </is>
      </c>
      <c r="B905" t="inlineStr">
        <is>
          <t>I am convinced my colon cancer has recurred. Need words of wisdom!</t>
        </is>
      </c>
      <c r="C905" t="inlineStr">
        <is>
          <t>Dx with stage 3b colon cancer in Dec. 2017. I’m 24 and have genetic mutations that caused polypisis of the colon which turned into cancer. Jan. 2018 I had a full proctocolectomy with a J pouch formation. Then followed 12 rounds of FOLFOX. After surgery and throughout chemo I was NED with CEA levels ranging from 0.8-2.0. 
My last chemo treatment was in Sept. 2018, and my ileostomy was reversed in December. In the fall my latest PET scan showed some SUV uptake on a few lymph nodes that just needed to be continuously monitored. I’ve had leak issues before so this may have just been a immune reaction. Just had another PET a few weeks ago and the same nodes are still being pesky and also a portion of the anastomosis also was lighting up now. 
I feel amazing, my blood work is great, and I’m finally at a point where my life is back together.
But now I’m sitting and waiting to read the biopsy results of all the areas they are concerned about. I’m really just ranting! But man I haven’t been this nervous since my original diagnosis and surgery.
How do y’all keep it together?</t>
        </is>
      </c>
      <c r="D905" t="n">
        <v>7</v>
      </c>
      <c r="E905" t="n">
        <v>4</v>
      </c>
      <c r="F905">
        <f>HYPERLINK("https://www.reddit.com/r/cancer/comments/au21wv/i_am_convinced_my_colon_cancer_has_recurred_need/")</f>
        <v/>
      </c>
      <c r="G905" t="inlineStr">
        <is>
          <t>2019-02-23 16:18:01</t>
        </is>
      </c>
      <c r="H905" t="inlineStr"/>
    </row>
    <row r="906">
      <c r="A906" t="inlineStr">
        <is>
          <t>au288v</t>
        </is>
      </c>
      <c r="B906" t="inlineStr">
        <is>
          <t>My Aunt died today</t>
        </is>
      </c>
      <c r="C906" t="inlineStr">
        <is>
          <t xml:space="preserve">Pancreatic. God bless everyone living with this. She was an amazing person, amazing mom, amazing grandmom. Amazing aunt.  </t>
        </is>
      </c>
      <c r="D906" t="n">
        <v>16</v>
      </c>
      <c r="E906" t="n">
        <v>7</v>
      </c>
      <c r="F906">
        <f>HYPERLINK("https://www.reddit.com/r/cancer/comments/au288v/my_aunt_died_today/")</f>
        <v/>
      </c>
      <c r="G906" t="inlineStr">
        <is>
          <t>2019-02-23 16:35:45</t>
        </is>
      </c>
      <c r="H906" t="inlineStr"/>
    </row>
    <row r="907">
      <c r="A907" t="inlineStr">
        <is>
          <t>au305f</t>
        </is>
      </c>
      <c r="B907" t="inlineStr">
        <is>
          <t>I rarely swear, honestly. But right now I am crying and I will say FUCK CANCER</t>
        </is>
      </c>
      <c r="C907" t="inlineStr">
        <is>
          <t xml:space="preserve">A friend has died from cancer and she was considered "good to go" by her doctors last year but it came back and killed her. 
All I have to say is fuck cancer. Fuck it fuck it fuck it fuck it. 
This is not the first friend I have lost to cancer and it completely terrifies me. Why in the world?
I will be honest and say that I feel very powerless. 
But cancer can just fuck the right off. </t>
        </is>
      </c>
      <c r="D907" t="n">
        <v>136</v>
      </c>
      <c r="E907" t="n">
        <v>26</v>
      </c>
      <c r="F907">
        <f>HYPERLINK("https://www.reddit.com/r/cancer/comments/au305f/i_rarely_swear_honestly_but_right_now_i_am_crying/")</f>
        <v/>
      </c>
      <c r="G907" t="inlineStr">
        <is>
          <t>2019-02-23 17:58:32</t>
        </is>
      </c>
      <c r="H907" t="inlineStr"/>
    </row>
    <row r="908">
      <c r="A908" t="inlineStr">
        <is>
          <t>au3z1h</t>
        </is>
      </c>
      <c r="B908" t="inlineStr">
        <is>
          <t>Looking For Advice</t>
        </is>
      </c>
      <c r="C908" t="inlineStr">
        <is>
          <t>My moms currently dealing with two types of cancer simultaneously. She has an open wound left from one of her surgical procedures which has left her in constant pain. Does any one have any advice for how to talk to the doctors about dealing with this pain? She sees wound care and pain management doctors, but neither seem to be helping her. She was admitted to the ER tonight after a bout of vomiting and being unable to physically walk to the car. I don’t know what I can do to help her, but she’s breaking down and feels like none of her doctors are listening to her. Has anyone been through this? She’s at her wits end. 
Thanks.</t>
        </is>
      </c>
      <c r="D908" t="n">
        <v>12</v>
      </c>
      <c r="E908" t="n">
        <v>13</v>
      </c>
      <c r="F908">
        <f>HYPERLINK("https://www.reddit.com/r/cancer/comments/au3z1h/looking_for_advice/")</f>
        <v/>
      </c>
      <c r="G908" t="inlineStr">
        <is>
          <t>2019-02-23 19:47:35</t>
        </is>
      </c>
      <c r="H908" t="inlineStr"/>
    </row>
    <row r="909">
      <c r="A909" t="inlineStr">
        <is>
          <t>au54u0</t>
        </is>
      </c>
      <c r="B909" t="inlineStr">
        <is>
          <t>Dad with oral and kidney cancer [NYC]</t>
        </is>
      </c>
      <c r="C909" t="inlineStr">
        <is>
          <t>Hi everyone, I don't live in NYC anymore and my dad who does live there is in the preliminary stages of being diagnosed with oral and kidney cancer. His CTs at this time show malignancy to his jaw (with a sizable mass, and to this neck/lymph nodes), and his right kidney has a large mass as well. I don't live there at this time, but would like to go back and help out and take him to the right doctors. He seems all over the place, being sent to specialists for additional cts/mris. Next month he has a "ctscan/mrcp/mri abdomen".  
&amp;amp;#x200B;
Of course there is a waiting period between, getting the scans orders, getting it read, being seen again by his PCP/specialist. I'd like to maybe consolidate his care to one place, or at least try to him to the chemo/radiation stage faster. Is there any recommendations for doctors or facilities that are not far from the Queens area by car or transit? 
&amp;amp;#x200B;
Thank you very much</t>
        </is>
      </c>
      <c r="D909" t="n">
        <v>6</v>
      </c>
      <c r="E909" t="n">
        <v>16</v>
      </c>
      <c r="F909">
        <f>HYPERLINK("https://www.reddit.com/r/cancer/comments/au54u0/dad_with_oral_and_kidney_cancer_nyc/")</f>
        <v/>
      </c>
      <c r="G909" t="inlineStr">
        <is>
          <t>2019-02-23 22:08:54</t>
        </is>
      </c>
      <c r="H909" t="inlineStr"/>
    </row>
    <row r="910">
      <c r="A910" t="inlineStr">
        <is>
          <t>au78q4</t>
        </is>
      </c>
      <c r="B910" t="inlineStr">
        <is>
          <t>Just got diagnosed</t>
        </is>
      </c>
      <c r="C910" t="inlineStr">
        <is>
          <t>I just got diagnosed with adenocarcinoma of the esophagus this Friday. I'm going in for staging on Monday. I'm 29 years old. Never had a girlfriend. Never did drugs. Didn't drink, smoke or chew. I played videogames for fun after work.
I'm incredibly depressed, stage 2 and up have less than 40% 5 year survival rates. My doc said it probably isn't stage 1. 
I guess this is my life now. :[ 
I'm looking at euthanasia laws, and I'm mad I don't have the option to go in, and ask they put me under general anaesthesia, and then put me to sleep humanely. I'm going to fight this but without that option, the chance I die a horrible bloated wasting death are high. I just want a humane death. Is that to much to ask for you republican pro life religious wing nuts? Can't you let me die in peace? :(</t>
        </is>
      </c>
      <c r="D910" t="n">
        <v>19</v>
      </c>
      <c r="E910" t="n">
        <v>19</v>
      </c>
      <c r="F910">
        <f>HYPERLINK("https://www.reddit.com/r/cancer/comments/au78q4/just_got_diagnosed/")</f>
        <v/>
      </c>
      <c r="G910" t="inlineStr">
        <is>
          <t>2019-02-24 03:45:07</t>
        </is>
      </c>
      <c r="H910" t="inlineStr"/>
    </row>
    <row r="911">
      <c r="A911" t="inlineStr">
        <is>
          <t>au7fch</t>
        </is>
      </c>
      <c r="B911" t="inlineStr">
        <is>
          <t>Post bowel resection woes</t>
        </is>
      </c>
      <c r="C911" t="inlineStr">
        <is>
          <t>I have stage 3c ovarian cancer and my surgery was extensive. They had to remove part of my colon, then I had an illius where the bowel is essentially paralyzed for a period of time. 
I constantly have the urge to go. We have one toilet and my mom (I’m an adult but had to move back in with them) keeps yelling at me to get off the toilet. 
Will the constant feeling of needing to poop end?</t>
        </is>
      </c>
      <c r="D911" t="n">
        <v>9</v>
      </c>
      <c r="E911" t="n">
        <v>4</v>
      </c>
      <c r="F911">
        <f>HYPERLINK("https://www.reddit.com/r/cancer/comments/au7fch/post_bowel_resection_woes/")</f>
        <v/>
      </c>
      <c r="G911" t="inlineStr">
        <is>
          <t>2019-02-24 04:13:08</t>
        </is>
      </c>
      <c r="H911" t="inlineStr"/>
    </row>
    <row r="912">
      <c r="A912" t="inlineStr">
        <is>
          <t>au7qyt</t>
        </is>
      </c>
      <c r="B912" t="inlineStr">
        <is>
          <t>Male 21 found a lump just below my collar bone roughly pea sized, should I be worried?</t>
        </is>
      </c>
      <c r="C912" t="inlineStr">
        <is>
          <t>As the title suggests I found a small pea sized lump under my collar bone lastnight. I kinda played this off as maybe a spot brewing under my skin but it’s quite hard to the touch. Should I get this checked out?</t>
        </is>
      </c>
      <c r="D912" t="n">
        <v>0</v>
      </c>
      <c r="E912" t="n">
        <v>3</v>
      </c>
      <c r="F912">
        <f>HYPERLINK("https://www.reddit.com/r/cancer/comments/au7qyt/male_21_found_a_lump_just_below_my_collar_bone/")</f>
        <v/>
      </c>
      <c r="G912" t="inlineStr">
        <is>
          <t>2019-02-24 05:02:10</t>
        </is>
      </c>
      <c r="H912" t="inlineStr"/>
    </row>
    <row r="913">
      <c r="A913" t="inlineStr">
        <is>
          <t>au9ft1</t>
        </is>
      </c>
      <c r="B913" t="inlineStr">
        <is>
          <t>I am selfish.</t>
        </is>
      </c>
      <c r="C913" t="inlineStr">
        <is>
          <t>I want my mom to stay alive. Even if she’s in pain, I need her. I hate myself for it, but I don’t know if I could continue on if she...</t>
        </is>
      </c>
      <c r="D913" t="n">
        <v>38</v>
      </c>
      <c r="E913" t="n">
        <v>8</v>
      </c>
      <c r="F913">
        <f>HYPERLINK("https://www.reddit.com/r/cancer/comments/au9ft1/i_am_selfish/")</f>
        <v/>
      </c>
      <c r="G913" t="inlineStr">
        <is>
          <t>2019-02-24 08:20:04</t>
        </is>
      </c>
      <c r="H913" t="inlineStr"/>
    </row>
    <row r="914">
      <c r="A914" t="inlineStr">
        <is>
          <t>aubvo7</t>
        </is>
      </c>
      <c r="B914" t="inlineStr">
        <is>
          <t>Advice for my dad’s lost sense of taste after radiation</t>
        </is>
      </c>
      <c r="C914" t="inlineStr">
        <is>
          <t>My dad’s sense of taste has been gone for the last 8 months since finishing radiation treatment around his face. There’s been very slow progress and he’s understandably lost hope on it returning. Any advice? I’ve heard of people using miracle fruit with luck, for example.
Thanks</t>
        </is>
      </c>
      <c r="D914" t="n">
        <v>6</v>
      </c>
      <c r="E914" t="n">
        <v>5</v>
      </c>
      <c r="F914">
        <f>HYPERLINK("https://www.reddit.com/r/cancer/comments/aubvo7/advice_for_my_dads_lost_sense_of_taste_after/")</f>
        <v/>
      </c>
      <c r="G914" t="inlineStr">
        <is>
          <t>2019-02-24 12:02:46</t>
        </is>
      </c>
      <c r="H914" t="inlineStr"/>
    </row>
    <row r="915">
      <c r="A915" t="inlineStr">
        <is>
          <t>aubwmi</t>
        </is>
      </c>
      <c r="B915" t="inlineStr">
        <is>
          <t>My 4 year old was just diagnosed with a brain tumour.</t>
        </is>
      </c>
      <c r="C915" t="inlineStr">
        <is>
          <t xml:space="preserve">My little girl has been getting 3-monthly MRIs since she was born, due to a chromosome deletion (SMARCB1 deletion as part of 22q) that predisposes her to brain cancer. 
Last week the MRI picked up a small tumour in her left frontal lobe, and they are operating this thursday. I guess they will decide treatment from there. 
Her 4th birthday was two weeks ago. She spent months and months in hospital as a baby and had only just started to live a normal life. She had already had 7 surgeries on her airways before her 2nd birthday. 
This is so fucking unfair. She doesn’t deserve to suffer, no child does. I don’t understand why this keeps happening to us...
I’m 6 months pregnant too, and this just feels like too much. 
I’m scared. The tumour she is genetically predisposed to is a pediatric cancer called ATRT. it is known to be very aggressive and hard to treat. We don’t know if this is what she has yet, it could still be something else, but the possibilities are making me sick. 
I don’t know why I’m posting this. I needed to get it out somewhere. I keep waiting to wake up, this is worse than any nightmare i’ve ever had. </t>
        </is>
      </c>
      <c r="D915" t="n">
        <v>138</v>
      </c>
      <c r="E915" t="n">
        <v>36</v>
      </c>
      <c r="F915">
        <f>HYPERLINK("https://www.reddit.com/r/cancer/comments/aubwmi/my_4_year_old_was_just_diagnosed_with_a_brain/")</f>
        <v/>
      </c>
      <c r="G915" t="inlineStr">
        <is>
          <t>2019-02-24 12:05:06</t>
        </is>
      </c>
      <c r="H915" t="inlineStr"/>
    </row>
    <row r="916">
      <c r="A916" t="inlineStr">
        <is>
          <t>aucgku</t>
        </is>
      </c>
      <c r="B916" t="inlineStr">
        <is>
          <t>Any advice to help me (27 F) be a helpful and not shitty caregiver/partner?</t>
        </is>
      </c>
      <c r="C916" t="inlineStr">
        <is>
          <t xml:space="preserve">My partner of almost 9 years (28 M) has a biopsy Wednesday that will almost definitely confirm he has lymphoma; his CT scan all but confirmed it, but they want to be completely sure. Given the amount of pain he is in on a daily basis, I don't think it will be a "watch and wait" situation, but I am hopeful because I know that  lymphoma typically has good survival rates. 
I would love some advice on things that were very helpful from your caregiver/ partner when you were diagnosed/going through treatment. I would also be very grateful to know what things were incredibly unhelpful (don't worry, I already know homeopathy is bullshit) so I can avoid those as best as possible. Thank you </t>
        </is>
      </c>
      <c r="D916" t="n">
        <v>3</v>
      </c>
      <c r="E916" t="n">
        <v>11</v>
      </c>
      <c r="F916">
        <f>HYPERLINK("https://www.reddit.com/r/cancer/comments/aucgku/any_advice_to_help_me_27_f_be_a_helpful_and_not/")</f>
        <v/>
      </c>
      <c r="G916" t="inlineStr">
        <is>
          <t>2019-02-24 12:55:41</t>
        </is>
      </c>
      <c r="H916" t="inlineStr"/>
    </row>
    <row r="917">
      <c r="A917" t="inlineStr">
        <is>
          <t>auczk1</t>
        </is>
      </c>
      <c r="B917" t="inlineStr">
        <is>
          <t>Nausea- anyone ever just let it go instead of fighting it?</t>
        </is>
      </c>
      <c r="C917" t="inlineStr">
        <is>
          <t xml:space="preserve">My nausea has been pretty bad for about 3 weeks now. I dry heave, hold it down and take medicine. This repeats 4-5 times a day. 
Anyone ever just let go and let yourself throw up all over? 
Did it help?
I feel like if I just get it out I’ll feel better. </t>
        </is>
      </c>
      <c r="D917" t="n">
        <v>9</v>
      </c>
      <c r="E917" t="n">
        <v>6</v>
      </c>
      <c r="F917">
        <f>HYPERLINK("https://www.reddit.com/r/cancer/comments/auczk1/nausea_anyone_ever_just_let_it_go_instead_of/")</f>
        <v/>
      </c>
      <c r="G917" t="inlineStr">
        <is>
          <t>2019-02-24 13:44:16</t>
        </is>
      </c>
      <c r="H917" t="inlineStr"/>
    </row>
    <row r="918">
      <c r="A918" t="inlineStr">
        <is>
          <t>audv9e</t>
        </is>
      </c>
      <c r="B918" t="inlineStr">
        <is>
          <t>Sex after cancer 24F</t>
        </is>
      </c>
      <c r="C918" t="inlineStr">
        <is>
          <t xml:space="preserve">I’m currently 28 months in remission from Ewing Sarcoma in my pelvis. I received chemo and radiation treatment. Blood tests reveal I am post menopausal. I don’t form my own natural lubrication. I feel like my vagina anatomy has changed as well. I’ve never had sex so I’m not sure if any of my partners would be able to tell that my anatomy is not the same. For example, I don’t feel like I’m “tight” anymore like I was prior. I feel particularly loose. Can anyone share their experiences after cancer. It’s so uncomfortable being this age and having to deal with the long term side effects </t>
        </is>
      </c>
      <c r="D918" t="n">
        <v>17</v>
      </c>
      <c r="E918" t="n">
        <v>4</v>
      </c>
      <c r="F918">
        <f>HYPERLINK("https://www.reddit.com/r/cancer/comments/audv9e/sex_after_cancer_24f/")</f>
        <v/>
      </c>
      <c r="G918" t="inlineStr">
        <is>
          <t>2019-02-24 15:07:34</t>
        </is>
      </c>
      <c r="H918" t="inlineStr"/>
    </row>
    <row r="919">
      <c r="A919" t="inlineStr">
        <is>
          <t>aufjhb</t>
        </is>
      </c>
      <c r="B919" t="inlineStr">
        <is>
          <t>Watching the Academy Awards With My Dad, Feeling Like It May Be the Last.</t>
        </is>
      </c>
      <c r="C919" t="inlineStr">
        <is>
          <t xml:space="preserve">My dad has Stage IV Pancreatic Cancer. Every Goddamn thing we do, I feel like it’s the last time we’re going to do it. Christmas, his birthday, my birthday. It’s so hard to be present when I know how gruesome the road ahead may be.
Thanks warriors for reading. I’m not negative around the family, and so it’s you guys that get most of my pent up sludge. I love you for bearing that, and I’m sorry. </t>
        </is>
      </c>
      <c r="D919" t="n">
        <v>25</v>
      </c>
      <c r="E919" t="n">
        <v>10</v>
      </c>
      <c r="F919">
        <f>HYPERLINK("https://www.reddit.com/r/cancer/comments/aufjhb/watching_the_academy_awards_with_my_dad_feeling/")</f>
        <v/>
      </c>
      <c r="G919" t="inlineStr">
        <is>
          <t>2019-02-24 18:01:13</t>
        </is>
      </c>
      <c r="H919" t="inlineStr"/>
    </row>
    <row r="920">
      <c r="A920" t="inlineStr">
        <is>
          <t>aufkm5</t>
        </is>
      </c>
      <c r="B920" t="inlineStr">
        <is>
          <t>How to deal with hair loss?</t>
        </is>
      </c>
      <c r="C920" t="inlineStr">
        <is>
          <t>I started chemo at the beginning of February for Hodgkin’s Lymphoma and recently, my hair had started falling out. This hair loss became so significant that today, I decided to shave my head. I am now bald. This is really going to be a huge transition because I am used to have a lot of hair and other people know I usually have a lot of hair. I just wants some suggestions on how to cope with this hair loss and how to cope with others opinions.</t>
        </is>
      </c>
      <c r="D920" t="n">
        <v>12</v>
      </c>
      <c r="E920" t="n">
        <v>17</v>
      </c>
      <c r="F920">
        <f>HYPERLINK("https://www.reddit.com/r/cancer/comments/aufkm5/how_to_deal_with_hair_loss/")</f>
        <v/>
      </c>
      <c r="G920" t="inlineStr">
        <is>
          <t>2019-02-24 18:04:32</t>
        </is>
      </c>
      <c r="H920" t="inlineStr"/>
    </row>
    <row r="921">
      <c r="A921" t="inlineStr">
        <is>
          <t>auga5p</t>
        </is>
      </c>
      <c r="B921" t="inlineStr">
        <is>
          <t>Day 1,514 of being a survivor.</t>
        </is>
      </c>
      <c r="C921" t="inlineStr">
        <is>
          <t>I dislike being pressured to do something that makes me feel so insecure about myself.
My family just keeps pushing and pushing. 
Y’all don’t get it!!! I am not as confident anymore! 
They don’t know what it’s like to be stared at for looking so different because their faces are freaking flawless. It’s not easy for me anymore and I desperately wish they understood that. It’s easier said than done and it’s so frustrating.
Wish I knew more people that had the same type of cancer I had:/</t>
        </is>
      </c>
      <c r="D921" t="n">
        <v>1</v>
      </c>
      <c r="E921" t="n">
        <v>0</v>
      </c>
      <c r="F921">
        <f>HYPERLINK("https://www.reddit.com/r/cancer/comments/auga5p/day_1514_of_being_a_survivor/")</f>
        <v/>
      </c>
      <c r="G921" t="inlineStr">
        <is>
          <t>2019-02-24 19:19:47</t>
        </is>
      </c>
      <c r="H921" t="inlineStr"/>
    </row>
    <row r="922">
      <c r="A922" t="inlineStr">
        <is>
          <t>augnke</t>
        </is>
      </c>
      <c r="B922" t="inlineStr">
        <is>
          <t>found a tumour in my vagina</t>
        </is>
      </c>
      <c r="C922" t="inlineStr">
        <is>
          <t>hello. 18F and just recently acquired a first boyfriend uwu. since then ive been looking to be sexually active and i was feeling inside my vagina and i felt a mass inside as well as genital warts that feel sore. the mass is pretty hard and sorta big and since ive discovered it i can feel it very present in my vagina all the time just walking around and stuff. ive been getting pain from it, feels very sore specifically on the side that its on. im very scared and i dont know how to open up to people about it besides doctors and my mom. i went to my primary care doctor and did a bunch of tests: blood test, urinalysis, pap smear, ct scan, etc. all negative, said everythings normal. this was before i discovered the mass when i felt burning from urination and itchiness. i got diagnosed with bacterial vaginosis and got a medication cream from it which helped with the pain but its more the soreness now, no itchiness. i told my doctor about the warts but she just said that she acknowledges it and brushed it off even though theres a lot (not cauliflower-like like how it says online, just individual ones thats too many to count). i also feel fatigue all the time which i always ignored to keep high charisma around my peers but i read that thats one of the cancer symptoms. i also feel very nauseous, specifically in the morning. i start gagging really bad but not to the point of throwing up, though i still feel nauseous at almost a constant state. and i do feel pelvic pain, focused mostly on my left side, not so much on the right but it goes away. most of the pain is at my hymen where all the hard bumps are clustered in, on the left side again. im schedule a gyno this friday, but the wait for it is really nerve racking. i just want a professional to know NOW. does this sound like vaginal cancer to anyone? does anyone have any hope for it to be benign at all??</t>
        </is>
      </c>
      <c r="D922" t="n">
        <v>0</v>
      </c>
      <c r="E922" t="n">
        <v>0</v>
      </c>
      <c r="F922">
        <f>HYPERLINK("https://www.reddit.com/r/cancer/comments/augnke/found_a_tumour_in_my_vagina/")</f>
        <v/>
      </c>
      <c r="G922" t="inlineStr">
        <is>
          <t>2019-02-24 19:59:36</t>
        </is>
      </c>
      <c r="H922" t="inlineStr"/>
    </row>
    <row r="923">
      <c r="A923" t="inlineStr">
        <is>
          <t>auhczs</t>
        </is>
      </c>
      <c r="B923" t="inlineStr">
        <is>
          <t>what a sad year for me</t>
        </is>
      </c>
      <c r="C923" t="inlineStr">
        <is>
          <t>English is not my mother tongue; please excuse any errors on my part.
my grandma was diagnosed with stage IV liver cancer last week, its been a week since she stayed in the hospital. i just found out today she'll be coming home and the doctors said she'll have 3-6 months to live. so we need to spend more time together with her as a family. i cant stop crying. i have been living with her for 2 years while i was in college. now that i have a family on my own, i always visited her with my daughter and my husband. whenever me and my husband fought, i always go to her house and stay there for awhile until we resolved our issues.  she's been very closed to me.
i cant imagine my life without her. i just wish the time or days will go slow.  
our 9 years old dog, just died last month and i had enough heartbreaks for this year. i just keep thinking to myself that it'll be okay. 
thank you for reading and i just want to share it here. 💔 
&amp;amp;#x200B;
&amp;amp;#x200B;</t>
        </is>
      </c>
      <c r="D923" t="n">
        <v>6</v>
      </c>
      <c r="E923" t="n">
        <v>4</v>
      </c>
      <c r="F923">
        <f>HYPERLINK("https://www.reddit.com/r/cancer/comments/auhczs/what_a_sad_year_for_me/")</f>
        <v/>
      </c>
      <c r="G923" t="inlineStr">
        <is>
          <t>2019-02-24 21:15:09</t>
        </is>
      </c>
      <c r="H923" t="inlineStr"/>
    </row>
    <row r="924">
      <c r="A924" t="inlineStr">
        <is>
          <t>auhumz</t>
        </is>
      </c>
      <c r="B924" t="inlineStr">
        <is>
          <t>How long does it take for fevers to subside after your last session of chemotherapy?</t>
        </is>
      </c>
      <c r="C924" t="inlineStr">
        <is>
          <t xml:space="preserve">I have cystic fibrosis and was recently undergoing chemo for testicular cancer. It has been two weeks and I cannot seem to shake fevers and coughing off. I would assume that they would subside within the next few weeks, but for the extreme treatment I'm receiving for the cystic fibrosis exacerbation, they should have diminished by now. This is starting to feel really stressful and I would like some insight. </t>
        </is>
      </c>
      <c r="D924" t="n">
        <v>4</v>
      </c>
      <c r="E924" t="n">
        <v>4</v>
      </c>
      <c r="F924">
        <f>HYPERLINK("https://www.reddit.com/r/cancer/comments/auhumz/how_long_does_it_take_for_fevers_to_subside_after/")</f>
        <v/>
      </c>
      <c r="G924" t="inlineStr">
        <is>
          <t>2019-02-24 22:09:54</t>
        </is>
      </c>
      <c r="H924" t="inlineStr"/>
    </row>
    <row r="925">
      <c r="A925" t="inlineStr">
        <is>
          <t>auipa8</t>
        </is>
      </c>
      <c r="B925" t="inlineStr">
        <is>
          <t>I felt guilty of my mom cancer because we didn't diagnosis it before :( help</t>
        </is>
      </c>
      <c r="C925" t="inlineStr">
        <is>
          <t xml:space="preserve">Hello i feel guilty of my mom cancer . I' m in med school and i keep thinking about how can i didn't see it before :( 
How do you feel with this guilty ? </t>
        </is>
      </c>
      <c r="D925" t="n">
        <v>6</v>
      </c>
      <c r="E925" t="n">
        <v>11</v>
      </c>
      <c r="F925">
        <f>HYPERLINK("https://www.reddit.com/r/cancer/comments/auipa8/i_felt_guilty_of_my_mom_cancer_because_we_didnt/")</f>
        <v/>
      </c>
      <c r="G925" t="inlineStr">
        <is>
          <t>2019-02-24 23:55:43</t>
        </is>
      </c>
      <c r="H925" t="inlineStr"/>
    </row>
    <row r="926">
      <c r="A926" t="inlineStr">
        <is>
          <t>auisqs</t>
        </is>
      </c>
      <c r="B926" t="inlineStr">
        <is>
          <t>My dad is dying from cancer</t>
        </is>
      </c>
      <c r="C926" t="inlineStr">
        <is>
          <t xml:space="preserve">I am feeling emotions I am not familiar with. </t>
        </is>
      </c>
      <c r="D926" t="n">
        <v>39</v>
      </c>
      <c r="E926" t="n">
        <v>14</v>
      </c>
      <c r="F926">
        <f>HYPERLINK("https://www.reddit.com/r/cancer/comments/auisqs/my_dad_is_dying_from_cancer/")</f>
        <v/>
      </c>
      <c r="G926" t="inlineStr">
        <is>
          <t>2019-02-25 00:07:57</t>
        </is>
      </c>
      <c r="H926" t="inlineStr"/>
    </row>
    <row r="927">
      <c r="A927" t="inlineStr">
        <is>
          <t>aul0m6</t>
        </is>
      </c>
      <c r="B927" t="inlineStr">
        <is>
          <t>Have You Recently Been Diagnosed with Cancer or Undergo Treatment? We need your help in our research.</t>
        </is>
      </c>
      <c r="C927" t="inlineStr">
        <is>
          <t>We are currently looking for people to take part in our research study at the University of Chester, UK, on daily functioning and psychological wellbeing in cancer patients.
Receiving a cancer diagnosis and all that comes after this can often be a distressing, worrying and confusing time. Our aim is to investigate how cancer has affected your daily functioning and emotional wellbeing. We are particularly interested in how this then affects decisions you make about your treatment. Our goal is to help others that might find themselves in your position in the future. To do this, we need your help.
Anyone who is over 16 years of age and been diagnosed with any type of cancer can take part. If you decide to take part, you will be asked to complete an online questionnaire that will take around 30 minutes to complete. You will be also asked whether you would like to participate in a phone or Skype interview at a later date, but you don’t have to agree to this to take part in the questionnaire study. While we hope that taking part will be a positive experience for you, we also understand that answering questions about your illness may be upsetting. You can always stop the questionnaire at any time. All your answers and data will be anonymous.
If you would like to take part, please click the following link. This will take you to the survey and study information sheet.
Link: [https://chester.onlinesurveys.ac.uk/reddit](https://chester.onlinesurveys.ac.uk/reddit)
Thank you,
David Budzynski, BSc (Hons)
MRes student conducting the research</t>
        </is>
      </c>
      <c r="D927" t="n">
        <v>10</v>
      </c>
      <c r="E927" t="n">
        <v>4</v>
      </c>
      <c r="F927">
        <f>HYPERLINK("https://www.reddit.com/r/cancer/comments/aul0m6/have_you_recently_been_diagnosed_with_cancer_or/")</f>
        <v/>
      </c>
      <c r="G927" t="inlineStr">
        <is>
          <t>2019-02-25 05:02:28</t>
        </is>
      </c>
      <c r="H927" t="inlineStr"/>
    </row>
    <row r="928">
      <c r="A928" t="inlineStr">
        <is>
          <t>aul1da</t>
        </is>
      </c>
      <c r="B928" t="inlineStr">
        <is>
          <t>This can't be possible.</t>
        </is>
      </c>
      <c r="C928" t="inlineStr">
        <is>
          <t>My husband was diagnosed with stage 4 kidney cancer 12-22-17. Now I'm being sent for a breast biopsy due to a "suspected malignancy."
Surely two people in the same house can both have cancer...right?!
PS - any advice or experiences from those who've had biopsies is welcomed.</t>
        </is>
      </c>
      <c r="D928" t="n">
        <v>43</v>
      </c>
      <c r="E928" t="n">
        <v>33</v>
      </c>
      <c r="F928">
        <f>HYPERLINK("https://www.reddit.com/r/cancer/comments/aul1da/this_cant_be_possible/")</f>
        <v/>
      </c>
      <c r="G928" t="inlineStr">
        <is>
          <t>2019-02-25 05:04:35</t>
        </is>
      </c>
      <c r="H928" t="inlineStr"/>
    </row>
    <row r="929">
      <c r="A929" t="inlineStr">
        <is>
          <t>aungpj</t>
        </is>
      </c>
      <c r="B929" t="inlineStr">
        <is>
          <t>14 days out of the Mental Hospital. M/25/3 year survivor</t>
        </is>
      </c>
      <c r="C929" t="inlineStr">
        <is>
          <t xml:space="preserve">So I've never posted on here much less Reddit. But I was on the r/cannabis and got fired up about how weed helps with all sorts of things that we as survivors deal with. 
But! Not what I was going to talk about here obviously by the name of the title. I am 3 years cancer free, I had Nasopharyngeal cancer with it being friendly with the lymph nodes in my neck. I just turned 21 when I was diagnosed. 
Prior to that I had 20 years of physical and mental abuse from both my mother and 4 older brothers. Sexual abuse as a child from the oldest brother.
Unrestrained beatings from the others.  
Complicated abuse from my mother. 
When I was 5 I found a pistol in a Manilla folder by my feet and it was locked and loaded with the safety off and one in the chamber. It was my grandmothers. She was driving the car, and my mother was sitting in front of me. 
My little brother who is the only family I still talk to. Everyone else had to be blocked due to all kinda of situations. 
The pistol went off and then I saw smoke and blood. I remember I was put in the back of a police car and a firefighter came and tried to talk to me. 
He told me his favorite movie was Armageddon and I told him mine was any Godzilla film. 
Eventually I get taken back to my grandmother's house and she beats me unable to process what just happened or some other weak ass excuse I still make up for her. 
A family friend came to get us and pulled her off of me and took me home. 
From there I was sent away for a few months so things could cool down. 
What happens next for about 10 years is my mother deflecting the guilt she feels for not allowing me to get the help I needed after that. 
I went to maybe one or two therapists and after cps started to get envolved they pulled me out and taught me that doctors were evil and that cops were evil and essentially if they got ahold of me I'd be locked up forever. 
Flash forward 20 years, your best friend committing suicide, then you get cancer and almost die... Then you try and kill yourself or your partner. . . 
I have PTSD that takes all kinds of forms. 
It could be a simple task that I don't even notice, or it's me running down the street in my underwear at 4 in the morning because I think someone's gonna get me. 
Or it's me going what I call "No pupil" and slamming my 5'³ fiance on the ground three times and then stacking the enitire bed on top of her and slamming my fists on top of that as to prove that I defeated my for......
This is obviously the cliff notes version mainly because my current goal is to get on the public speaking circut or even do some stand up so I can't just tell you all of the nitty gritty. 
But I knew I had to say something. I've been staring at this Reddit for years and never posted anything because I don't just have Cancer. 
I appreciate you for reading this and hope some of that made some sense. 
I was put on a 6404 and sent to the hospital. From there I was sent to a detox unit in a mental hospital because I had a Xanax and pot in my system. 
With that being said usually where I'm at if you get a 6404 you usually end up getting committed involuntarily and then they get to keep you for 5-7 days and a judge has to ok it. 
I got out in under 48 hours. 
Because,
Even though I have all kinds of demons, I'm still just a person. All I want is to give love and receive it. 
So there you go!!
Hi my name is WesBeans and I'm a Cancer survivor with PTSD and I choose every single day to be kind. To love as hard as possible. To be something beautiful. 
Or something that imatates it so well that it's almost funny. 
Tldr;I shot my mom as a kid, my friend killed himself, I got cancer, I tried to kill myself and all around me. I'm eating Ice cream at 11am. 
</t>
        </is>
      </c>
      <c r="D929" t="n">
        <v>1</v>
      </c>
      <c r="E929" t="n">
        <v>2</v>
      </c>
      <c r="F929">
        <f>HYPERLINK("https://www.reddit.com/r/cancer/comments/aungpj/14_days_out_of_the_mental_hospital_m253_year/")</f>
        <v/>
      </c>
      <c r="G929" t="inlineStr">
        <is>
          <t>2019-02-25 09:02:22</t>
        </is>
      </c>
      <c r="H929" t="inlineStr"/>
    </row>
    <row r="930">
      <c r="A930" t="inlineStr">
        <is>
          <t>aunkhs</t>
        </is>
      </c>
      <c r="B930" t="inlineStr">
        <is>
          <t>My mom lost her battle Thursday last week</t>
        </is>
      </c>
      <c r="C930" t="inlineStr">
        <is>
          <t>It’s been a sudden journey. My mom was diagnosed in 2016, but this last month she went from being able to begin chemo, to losing her life. I am still so shaken. She didn’t have any paperwork completed so I am just having to figure out how to wing it. It’s crazy. I am taking one more week off and going to California with my boyfriend, which I’m thankful he understands the actual severity, obviously she died, and has been nothing but helpful. 
With no paperwork, I am lost as to what to do. I am also feeling stressed with the costs for her celebration of life. A few family members have said they’d help, but when I try to bring it up I feel like Im being too much. 
I really miss her</t>
        </is>
      </c>
      <c r="D930" t="n">
        <v>71</v>
      </c>
      <c r="E930" t="n">
        <v>13</v>
      </c>
      <c r="F930">
        <f>HYPERLINK("https://www.reddit.com/r/cancer/comments/aunkhs/my_mom_lost_her_battle_thursday_last_week/")</f>
        <v/>
      </c>
      <c r="G930" t="inlineStr">
        <is>
          <t>2019-02-25 09:11:21</t>
        </is>
      </c>
      <c r="H930" t="inlineStr"/>
    </row>
    <row r="931">
      <c r="A931" t="inlineStr">
        <is>
          <t>auop3b</t>
        </is>
      </c>
      <c r="B931" t="inlineStr">
        <is>
          <t>Advice Wanted: Support for my mother-in-law</t>
        </is>
      </c>
      <c r="C931" t="inlineStr">
        <is>
          <t xml:space="preserve">A bit lengthy, sorry.
&amp;amp;#x200B;
My father-in-law was diagnosed with small cell lung cancer last September and has since gone through one cycle of chemo to slow the progression. He's gained weight, hasn't gotten physically ill, which is great but mentally it's obvious that it's taking a toll on him. 
&amp;amp;#x200B;
My request for advice is for my mother-in-law though. We see them about once a month and lately she sounds like a broken record, and I don't think I can offer her the kind of support she needs anymore. LET ME BE CLEAR I fully understand that she's slowly losing her life partner and her best friend. I would be heartbroken too. However, she's also an alcoholic who refuses treatment of any kind be it psychological or medical (she suffers from her own health issues). Every time we're there all she talks about is the cancer. As mean as it sounds, she's an emotional black hole sucking any positive energy out of their house, and it's really bringing FIL's spirits down. She's starting to act more like a parent than a spouse and he hates it.
&amp;amp;#x200B;
I try to listen and to be there for her in ways that I'm capable of but she is fully in denial that his smoking is the cause of the cancer (even with his doctor confirming) and she still smokes in the house, primarily the laundry room and the only bathroom that they have. My FIL has even gone so far as to say he feels she doesn't love him enough to quit (he quit cold turkey the day of the diagnosis). 
&amp;amp;#x200B;
My question is, what resources should I point them to if she's struggling herself? I may ask if they have a case worker/social worker that she can talk to but she's very private about her life and is estranged from most of her family, so she doesn't even have them to lean on. My husband and I want to be supportive but it's hard for us to be there because of the black cloud constantly hanging around. </t>
        </is>
      </c>
      <c r="D931" t="n">
        <v>5</v>
      </c>
      <c r="E931" t="n">
        <v>0</v>
      </c>
      <c r="F931">
        <f>HYPERLINK("https://www.reddit.com/r/cancer/comments/auop3b/advice_wanted_support_for_my_motherinlaw/")</f>
        <v/>
      </c>
      <c r="G931" t="inlineStr">
        <is>
          <t>2019-02-25 10:47:17</t>
        </is>
      </c>
      <c r="H931" t="inlineStr"/>
    </row>
    <row r="932">
      <c r="A932" t="inlineStr">
        <is>
          <t>auptau</t>
        </is>
      </c>
      <c r="B932" t="inlineStr">
        <is>
          <t>Surgery Thursday &amp;amp; I’m not excited</t>
        </is>
      </c>
      <c r="C932" t="inlineStr">
        <is>
          <t xml:space="preserve">My tumor didn’t shrink enough so I’m getting a permanent ostomy on Thursday. Trying not to be too sad about it but I’m not looking forward to the aftermath. Trying to focus on the not having cancer part. 
Help, please. This sucks. </t>
        </is>
      </c>
      <c r="D932" t="n">
        <v>16</v>
      </c>
      <c r="E932" t="n">
        <v>9</v>
      </c>
      <c r="F932">
        <f>HYPERLINK("https://www.reddit.com/r/cancer/comments/auptau/surgery_thursday_im_not_excited/")</f>
        <v/>
      </c>
      <c r="G932" t="inlineStr">
        <is>
          <t>2019-02-25 12:20:40</t>
        </is>
      </c>
      <c r="H932" t="inlineStr"/>
    </row>
    <row r="933">
      <c r="A933" t="inlineStr">
        <is>
          <t>auq3q6</t>
        </is>
      </c>
      <c r="B933" t="inlineStr">
        <is>
          <t>Testicular cancer - advice please (nsfw?)</t>
        </is>
      </c>
      <c r="C933" t="inlineStr">
        <is>
          <t>So my SO (22) was diagnosed with cancer last year, he had the testicle, that had the tumour, removed a few months ago. Weekly blood tests seem to show the cell count is going down, which is good news.
However, we had sex for the first time today since his operation and he wasn't able to reach an orgasm/ejaculate. This really bothered him, and makes him sorry that he's disappointing me but not being able to climax, and has him worried this will be a permanent thing. ( I reassured him that I am not disappointed at all, and tried to be as supportive as I can be.)
I don't want him feeling alone in this, so I thought I'd reach out on here to find out if anyone who has had testicular cancer had this happen to them as well? Does it pass? Is it worth us going to the doctor about it? Like I said I'm not really fussed that he can't ejaculate, for me intercourse is about the intimacy and closeness of it - but it does him and I don't want him feeling any less of a man because of it.
Thank you in advance.</t>
        </is>
      </c>
      <c r="D933" t="n">
        <v>7</v>
      </c>
      <c r="E933" t="n">
        <v>11</v>
      </c>
      <c r="F933">
        <f>HYPERLINK("https://www.reddit.com/r/cancer/comments/auq3q6/testicular_cancer_advice_please_nsfw/")</f>
        <v/>
      </c>
      <c r="G933" t="inlineStr">
        <is>
          <t>2019-02-25 12:44:59</t>
        </is>
      </c>
      <c r="H933" t="inlineStr"/>
    </row>
    <row r="934">
      <c r="A934" t="inlineStr">
        <is>
          <t>auqfdf</t>
        </is>
      </c>
      <c r="B934" t="inlineStr">
        <is>
          <t>What can I do to help cheer up my mom?</t>
        </is>
      </c>
      <c r="C934" t="inlineStr">
        <is>
          <t xml:space="preserve">My mom was diagnosed with cancer a few weeks ago, and if that wasn't bad enough she's had an arterial blood clot in her right leg (linked to the cancer) which the docs say has to be amputated soon.
Even though she's battled cancer before, I've never seen my mom this helpless before and I'm worried that she may become heavily depressed on top of her worsening condition.
Do you guys have any advice on what I can do to help cheer her up or at least give her comfort her through her struggle?
</t>
        </is>
      </c>
      <c r="D934" t="n">
        <v>8</v>
      </c>
      <c r="E934" t="n">
        <v>1</v>
      </c>
      <c r="F934">
        <f>HYPERLINK("https://www.reddit.com/r/cancer/comments/auqfdf/what_can_i_do_to_help_cheer_up_my_mom/")</f>
        <v/>
      </c>
      <c r="G934" t="inlineStr">
        <is>
          <t>2019-02-25 13:11:31</t>
        </is>
      </c>
      <c r="H934" t="inlineStr"/>
    </row>
    <row r="935">
      <c r="A935" t="inlineStr">
        <is>
          <t>aurgia</t>
        </is>
      </c>
      <c r="B935" t="inlineStr">
        <is>
          <t>So I need advice</t>
        </is>
      </c>
      <c r="C935" t="inlineStr">
        <is>
          <t>My scans are set for 12 days from now. My follow up appointment is 15 days from now. Over the weekend, I noticed that it looms like the other side of my right arm (from where the tumor was) looks like there us something there.
I shot a message to my oncologist, and his PA got back to me. They are letting me move up my scans if I want, but here is the catch. My follow up appointment won't move (doc is on vacation).  Do I move up the scans (likely by a week from the original date), or just suck it up for a week?
I'm torn, and just can't objectively think about it, so thought I would ask you. For reference, I was diagnosed with stage 1b liposarcoma in my right arm 3/28/17, surgery to remove was 3/15/17.</t>
        </is>
      </c>
      <c r="D935" t="n">
        <v>3</v>
      </c>
      <c r="E935" t="n">
        <v>2</v>
      </c>
      <c r="F935">
        <f>HYPERLINK("https://www.reddit.com/r/cancer/comments/aurgia/so_i_need_advice/")</f>
        <v/>
      </c>
      <c r="G935" t="inlineStr">
        <is>
          <t>2019-02-25 14:40:49</t>
        </is>
      </c>
      <c r="H935" t="inlineStr"/>
    </row>
    <row r="936">
      <c r="A936" t="inlineStr">
        <is>
          <t>auta90</t>
        </is>
      </c>
      <c r="B936" t="inlineStr">
        <is>
          <t>change in general life ambition post cancer</t>
        </is>
      </c>
      <c r="C936" t="inlineStr">
        <is>
          <t>so about 4 months ago I was diagnosed with stage 1 melanoma via biopsy ( 24M ) , the next week I needed to get the cancerous cells removed. all went relatively well I had to take some time off of training due to the stitches ( on my neck , behind my ear ) . after about 2 weeks all was good, the stitches healed well though there was some "tightness" when turning my head away from the stitches but that was to be expected, started training again and was happy to learn that I had not lost much in terms of strength { olympic style weightlifting , competitive lifter of 5+ years as well as provincial coach }.
&amp;amp;#x200B;
after about a week of life being back to "normal" I get a call saying that the pathologist had found the cancerous cell's to be deeper and spread wider than initially thought, I was scheduled for surgery a few days after where they took much larger margins and went much deeper than previously effectively tripling the size of the scar I had which is now leading from the mid neck around under my ear to well in my hairline. its been about 4 weeks since the second surgery and again things have healed well though they have yet to get the results back from the pathologist seeing if it has indeed infiltrated the lymph nodes or if it is deep enough to be classified as stage 2.
&amp;amp;#x200B;
&amp;amp;#x200B;
all while this was happening the following things have happened 
\- finished my paramedics school and hirings prior to DX , got hired on and a month later got a call while on shift saying I had cancer 
\- was in the process of buying our dream house the week I  was diagnosed.
\- had to pull out of a firefighter hiring where I was in the final 6 people for a position due to surgery being the day prior to physical test's ( talked to them and nothing could be done to accommodate  even though the test they were giving was valid for 6 months and I had one dating 6 months  + 3 days ago but I understand)
\- had to take almost a week off while the stitches healed up ( open wounds while being a medic = no no )
\- got the news the cancer was deeper than previously thought during the closing week of our newly purchased house
\- my old firefighter senior man that was DX with cancer who was the one helping me through all of the emotions and thoughts about this damn disease was experiencing shortness of breath one morning shortly after talking to me regarding me ( 2 days prior ) being given the news that my cancer was worst than originally thought ended up coding on the way to the hospital due to complications of his cancer. he had had cancer, came back with a chemo bottle still on due to financial problems and no coverage ,got better, went into remission came back to work contracted a new form of cancer, was doing well came back a third time and was DX with more cancer which he finally passed with ( contracted from the fire station not following regulations, not insuring us and not having life insurance coverage on us or workers comp but that's another story )
\- closing date for the house buying was on the day of the funeral in a different province which I had to miss and still kick myself to this day for missing
\- built a home weightlifting gym in our massive garage that we opened up as a commercial ( weightlifting) gym 
\- we got hit some unexpected fee's in the home buying process that really hurt seeing that over the past 1.5 months I had been off for 3+ weeks and not wanting to have the financial burden placed on my GF
\- full time hours for a medic here is four (12) hour shifts{day day night night} followed by four day's off  but i've been working up to 7 days on with 1 day off driving up to 1:30 to get to the shifts ( 15 hours days)
&amp;amp;#x200B;
all of this has left me in a weird position.... I want to train like I use to for a few hours 5 days per week but even on my day's off I just cant get myself to do it . Ive been getting by with my stretches and yoga but the fire in me is no longer there
&amp;amp;#x200B;
Im not sure if I want to be a firefighter anymore, they are almost 2x more likely than the average person to contract melanoma as well as a multitude of other cancer's and I just don't know if I can let myself or put my family / GF through that again or worst.
&amp;amp;#x200B;
the issue is that since 9th grade ive geared my life towards becoming a firefighter, went from sub par student to someone who loved learning everything about firefighting. started training crossfit because fitness was a staple of firefighting which helped me find my love for weightlifting and getting stronger, got a job as an oilfield firefighter until oil prices dropped , got a job as a municipal firefighter at a small department ( 2 full time guys ) but after a multitude of problems and safety concerns as well as a sub par pay and some heart to heart talks with my senior man ( RIP Chris ) I decided to enrol in medic academy and move back to my home province with my GF who was so supportive in all of it. 
&amp;amp;#x200B;
 I don't want to do any of that anymore, the studying for a career that can cause me to get more cancer , the hard hours of training  for maybe a few kilo's heavier on a lift. being  a Medic was only a short term thing to help me get back onto a fire department  and the shelf life of medics in my province is about 5 years due to a shortage of medics causing tremendous overtime , unhealthy shifts of 12+ hours without eating and lots of sitting (driving) , back injuries , very low pay and even lower moral. so I have no idea what to do with my life if I cant or don't want to be a firefighter seeing as my whole life has been geared towards it.
&amp;amp;#x200B;
Im not even really sure what Im expecting from posting this but it feels good getting a lot of this off my chest   
TLDR: post cancer having second thoughts about how I've lived my life setting myself up for a career where I have a high chance of contracting other cancers as well as second guessing why I use to love going to the gym so much since I have a lot less free time since starting a job as a paramedic working long hours.</t>
        </is>
      </c>
      <c r="D936" t="n">
        <v>7</v>
      </c>
      <c r="E936" t="n">
        <v>10</v>
      </c>
      <c r="F936">
        <f>HYPERLINK("https://www.reddit.com/r/cancer/comments/auta90/change_in_general_life_ambition_post_cancer/")</f>
        <v/>
      </c>
      <c r="G936" t="inlineStr">
        <is>
          <t>2019-02-25 17:35:26</t>
        </is>
      </c>
      <c r="H936" t="inlineStr"/>
    </row>
    <row r="937">
      <c r="A937" t="inlineStr">
        <is>
          <t>autlxf</t>
        </is>
      </c>
      <c r="B937" t="inlineStr">
        <is>
          <t>How big is 0.5 cm tumor on the left side of the lung?</t>
        </is>
      </c>
      <c r="C937" t="inlineStr">
        <is>
          <t>My mom broke the news to me just now, im very concerned now. The doctor said that there is a 99% chance that its cancerous. Just how serious is it?</t>
        </is>
      </c>
      <c r="D937" t="n">
        <v>4</v>
      </c>
      <c r="E937" t="n">
        <v>10</v>
      </c>
      <c r="F937">
        <f>HYPERLINK("https://www.reddit.com/r/cancer/comments/autlxf/how_big_is_05_cm_tumor_on_the_left_side_of_the/")</f>
        <v/>
      </c>
      <c r="G937" t="inlineStr">
        <is>
          <t>2019-02-25 18:08:09</t>
        </is>
      </c>
      <c r="H937" t="inlineStr"/>
    </row>
    <row r="938">
      <c r="A938" t="inlineStr">
        <is>
          <t>auu0nx</t>
        </is>
      </c>
      <c r="B938" t="inlineStr">
        <is>
          <t>Looking for sounding board, I guess</t>
        </is>
      </c>
      <c r="C938" t="inlineStr">
        <is>
          <t>To start, I’m a caregiver. My husband has stage 4 leiomyosarcoma in his spine. Just one module of mets to his lung. 
Anyway.  He’s heading into chemo round 4/6 this week. 
Scans last month after round 2 showed some favorable tumor response in both sites after chemo (dox/cisplatin). 
The past 7-10 days his pain has worsened a bit. He’s also experiencing maybe a bit more weakness in his hip and leg, and maybe some reduced sensation in one foot.
He refuses to alert his onc team, preferring to wait until his normal clinic visit later this week. 
Of course the concern is that there has been some active growth of his tumor(s). 
He’s starting to discuss just treating locally and no longer visiting the better sarcoma center, as during his appt there last month the surgeon said he didn’t think he’ll be recommending surgery. The surgeon is the main reason he was being primarily treated there. DH really likes the local oncologist, and it is an academic sarcoma center, albeit a smaller one. That onc frequently works with/consults with the docs at the larger center. 
Anyway. Looking for insight, I guess. In a few days we’ll have more info. Just curious what y’all think.</t>
        </is>
      </c>
      <c r="D938" t="n">
        <v>4</v>
      </c>
      <c r="E938" t="n">
        <v>0</v>
      </c>
      <c r="F938">
        <f>HYPERLINK("https://www.reddit.com/r/cancer/comments/auu0nx/looking_for_sounding_board_i_guess/")</f>
        <v/>
      </c>
      <c r="G938" t="inlineStr">
        <is>
          <t>2019-02-25 18:48:15</t>
        </is>
      </c>
      <c r="H938" t="inlineStr"/>
    </row>
    <row r="939">
      <c r="A939" t="inlineStr">
        <is>
          <t>auujml</t>
        </is>
      </c>
      <c r="B939" t="inlineStr">
        <is>
          <t>My dad has CLL and is currently complaining about extreme hip pain. How concerned should we be?</t>
        </is>
      </c>
      <c r="C939" t="inlineStr">
        <is>
          <t>My dad [60] was diagnosed with CLL (Chronic Lymphocytic Leukemia) about 10 years ago, and they caught it extremely early. It’s been the “watch and wait” approach all this time, although I found out today he hasn’t been to his oncologist since 2017 for a measure of his white blood cells.
He has been complaining about extreme pain in his hip for about 15 days now. He also described some tingling in his leg. I live over 8 hours away, and I’m just finding out now. He’s very avoidant of being proactive with his health, and he does not eat or drink healthily overall. The pain was so bad today that he had a difficult time walking, but apparently there is no pain when he’s lying down.
I’m wondering if anyone has any experience with CLL or is familiar with this symptom. Is this likely the result of his CLL, or is this not a typical symptom? He’s resistant to going to the doctor, and I’m feeling powerless to help with how far away I live. Any help/ suggestions/ thoughts would be extremely appreciated. Thank you ❤️</t>
        </is>
      </c>
      <c r="D939" t="n">
        <v>4</v>
      </c>
      <c r="E939" t="n">
        <v>1</v>
      </c>
      <c r="F939">
        <f>HYPERLINK("https://www.reddit.com/r/cancer/comments/auujml/my_dad_has_cll_and_is_currently_complaining_about/")</f>
        <v/>
      </c>
      <c r="G939" t="inlineStr">
        <is>
          <t>2019-02-25 19:40:55</t>
        </is>
      </c>
      <c r="H939" t="inlineStr"/>
    </row>
    <row r="940">
      <c r="A940" t="inlineStr">
        <is>
          <t>auv4lt</t>
        </is>
      </c>
      <c r="B940" t="inlineStr">
        <is>
          <t>Cancer sucks.</t>
        </is>
      </c>
      <c r="C940" t="inlineStr">
        <is>
          <t>I refuse to accept the real fact that my dad might die, and its killing me inside. Most days, I get through by keeping myself busy and am left with the guilt. I don't know how I will survive in the case he dies. My mom is a mess because of this whole situation and I just pretend to be okay. Sometimes life just feels so shitty and unfair. I can't imagine him not being there to see my wedding, or even my graduation. I just wish I didn't feel so useless. Cancer sucks.</t>
        </is>
      </c>
      <c r="D940" t="n">
        <v>28</v>
      </c>
      <c r="E940" t="n">
        <v>6</v>
      </c>
      <c r="F940">
        <f>HYPERLINK("https://www.reddit.com/r/cancer/comments/auv4lt/cancer_sucks/")</f>
        <v/>
      </c>
      <c r="G940" t="inlineStr">
        <is>
          <t>2019-02-25 20:41:00</t>
        </is>
      </c>
      <c r="H940" t="inlineStr"/>
    </row>
    <row r="941">
      <c r="A941" t="inlineStr">
        <is>
          <t>auvh66</t>
        </is>
      </c>
      <c r="B941" t="inlineStr">
        <is>
          <t>My mom is going into hospice tomorrow and I need help putting thoughts down on paper</t>
        </is>
      </c>
      <c r="C941" t="inlineStr">
        <is>
          <t xml:space="preserve">My mom (58) was diagnosed in January 2018 with stage 4 ovarian cancer.   After a year long battle with chemo and surgeries (she has platinum resistant), she had a lot of pressure building in her abdomen.  She had a drain put in for the fluid, and this last week just had a gastric tube placed due to ongoing issues with fluid and nausea.  
Tonight, her oncologist told us that there is nothing more that they can do for her as she is too weak to continue chemo and cannot survive another surgery. We were told that she has only a few days left and hospice will be coming in starting tomorrow.  
My sister (37) and I (35) are having a hard time with this, as anyone would expect.  The hardest part is that my mom is sad for us.  It’s hard to tell her our feelings as we don’t want her to worry and we don’t want to upset her anymore.   I asked her to do one thing for me, to write me something. And I want to do the same for her.  I want to write it down because I can easily get overwhelmed with emotions and forget what I actually want to say.  I want to tell her that we will be ok, how she has been the most amazing mother I could ever have asked for, her selflessness and sacrifices she has made to make our lives better, and the impact she has had on everyone around her (she was an RN for 25 years). 
I know I need to speak from my heart, and I know these things will likely make her cry, but I need her to hear them...I need to say them. So I want to read her my letter when I am finished.  What are some things that some of y’all have found comforting to tell your parent who is dying that conveys how much she is/has been loved?   This is so hard for me that I’m having a hard time starting.   Any help or advise is so greatly appreciated.  Thank you.  </t>
        </is>
      </c>
      <c r="D941" t="n">
        <v>55</v>
      </c>
      <c r="E941" t="n">
        <v>28</v>
      </c>
      <c r="F941">
        <f>HYPERLINK("https://www.reddit.com/r/cancer/comments/auvh66/my_mom_is_going_into_hospice_tomorrow_and_i_need/")</f>
        <v/>
      </c>
      <c r="G941" t="inlineStr">
        <is>
          <t>2019-02-25 21:16:34</t>
        </is>
      </c>
      <c r="H941" t="inlineStr"/>
    </row>
    <row r="942">
      <c r="A942" t="inlineStr">
        <is>
          <t>auvj3z</t>
        </is>
      </c>
      <c r="B942" t="inlineStr">
        <is>
          <t>Evergraf 0.5 mg |Everolimus |Blueberry pharmaceuticals</t>
        </is>
      </c>
      <c r="C942" t="inlineStr">
        <is>
          <t xml:space="preserve">[**Evergraf 0.5 mg**](https://blueberrypharma.com/evergraf-0.5-mg.php) belongs to anti-neoplastic agent; it comes under mTOR kinase inhibitor (single transduction inhibitor).Evergraf 0.5mg is an immunosuppressive macrolide @ Blueberry pharmaceuticals </t>
        </is>
      </c>
      <c r="D942" t="n">
        <v>1</v>
      </c>
      <c r="E942" t="n">
        <v>0</v>
      </c>
      <c r="F942">
        <f>HYPERLINK("https://www.reddit.com/r/cancer/comments/auvj3z/evergraf_05_mg_everolimus_blueberry/")</f>
        <v/>
      </c>
      <c r="G942" t="inlineStr">
        <is>
          <t>2019-02-25 21:22:21</t>
        </is>
      </c>
      <c r="H942" t="inlineStr"/>
    </row>
    <row r="943">
      <c r="A943" t="inlineStr">
        <is>
          <t>auvxzj</t>
        </is>
      </c>
      <c r="B943" t="inlineStr">
        <is>
          <t>I’m scared for my mom</t>
        </is>
      </c>
      <c r="C943" t="inlineStr">
        <is>
          <t>First of all, this is just some backstory. I am an 8th grade student who is getting close to finishing my grade 8 year. I most likely have depression (not official but I think I have it) and going through puberty isn’t helping with that either. I am not that worried about school since I have amazing grades in all my classes which leads to this. (End of backstory)I am more worried about snapping and just start crying in the middle of school because I am scared of what my mom is going through. She has just started chemo and is doing great minus feeling tired and exhausted a lot. I am too scared that people are going to ask me about why I look so down because I have been getting these mini panic attacks. I think of a extremely unlikely situation and scare myself and sometimes almost make myself cry. I really don’t want people to think that I am weak because I am crying because the people in my school are very judgmental of things. Please help I am so scared!!</t>
        </is>
      </c>
      <c r="D943" t="n">
        <v>4</v>
      </c>
      <c r="E943" t="n">
        <v>8</v>
      </c>
      <c r="F943">
        <f>HYPERLINK("https://www.reddit.com/r/cancer/comments/auvxzj/im_scared_for_my_mom/")</f>
        <v/>
      </c>
      <c r="G943" t="inlineStr">
        <is>
          <t>2019-02-25 22:06:18</t>
        </is>
      </c>
      <c r="H943" t="inlineStr"/>
    </row>
    <row r="944">
      <c r="A944" t="inlineStr">
        <is>
          <t>auw7ci</t>
        </is>
      </c>
      <c r="B944" t="inlineStr">
        <is>
          <t>Synovial cell sarcoma</t>
        </is>
      </c>
      <c r="C944" t="inlineStr">
        <is>
          <t>So, little background first, I'm a 29 yo man and about the end of December/beginning of January I went in to finally get (what I thought was) an abscess removed due to pain in my foot. Turns out it was cancer, so they routed me to somewhere else to get the surgery done, an oncologist sent me to an orthopedic surgeon who specialised in cancer surgeries and he is great. We get the tumor removed with clear margins (7.3*3.2*2cm), wait for pathology. Comes back as malignant synovial cell sarcoma. I had a wound vac put on to heal the wound and that's off tomorrow, but at the last changing the doc told me they are unsure now of diagnosis due to a ~10% difference in test results (still malignant regardless). Said I should know by Thursday, which is my first actual oncologist appointment. I had my cat scan today (and in vein dye is horrible blegh) so I should know everything on Thursday as far as results. 
What my main ...... Questions? Worries? Concerns? Are, are these, is this something I can make it out the other side of or is this something that I need to start preparing myself for? I have seen that this is a rare cancer 1-3 in a million, that it likes to metastasize, and all I've seen myself from people's stories about it is being given an end date. I don't know a lot about medical things, or cancer in depth. But from the little I do know and what I've read I know that, while maybe not the worst, it's not great either. I (think I) know malignant and rare is not a great combo for cancer. I am trying not to burden my wife or my family with my worries and concerns, and I'm not sure how I should be preparing for this. And I might be jumping the gun before Thursday's appointment, but I will admit I'm freaking out a bit. I do admit I'm glad a family friend in the insurance buisness convinced me to get life insurance before knowing I had cancer, because I'm not sure if that falls under the "pre-egsisting, so we will either charge much more or not cover you" category, but glad I don't have to worry there. What things should I be looking into, even if it's not as bad as my anxiety is telling me it is? I just, I'm a little lost and could use some markers to find the path through this no matter where it leads. 
I'm sorry if this is long, and if you read this thank you even if you don't have any advice.</t>
        </is>
      </c>
      <c r="D944" t="n">
        <v>10</v>
      </c>
      <c r="E944" t="n">
        <v>6</v>
      </c>
      <c r="F944">
        <f>HYPERLINK("https://www.reddit.com/r/cancer/comments/auw7ci/synovial_cell_sarcoma/")</f>
        <v/>
      </c>
      <c r="G944" t="inlineStr">
        <is>
          <t>2019-02-25 22:35:52</t>
        </is>
      </c>
      <c r="H944" t="inlineStr"/>
    </row>
    <row r="945">
      <c r="A945" t="inlineStr">
        <is>
          <t>auwauh</t>
        </is>
      </c>
      <c r="B945" t="inlineStr">
        <is>
          <t>How are online platforms used for health-related behaviours?</t>
        </is>
      </c>
      <c r="C945" t="inlineStr">
        <is>
          <t xml:space="preserve"> *Hello Reddit user!*
You are invited to take part in a study looking at the extent to which adults use the internet for health-related behaviours, including information seeking and social support. The survey takes about 10 minutes to complete and anyone over 18 years of age can participate. This study is the second phase of a larger research project being conducted by researchers at the University of Buckingham in the UK and the University of Stellenbosch in South Africa. 
[**https://www.surveymonkey.co.uk/r/D9B526L**](https://www.surveymonkey.co.uk/r/D9B526L)</t>
        </is>
      </c>
      <c r="D945" t="n">
        <v>1</v>
      </c>
      <c r="E945" t="n">
        <v>0</v>
      </c>
      <c r="F945">
        <f>HYPERLINK("https://www.reddit.com/r/cancer/comments/auwauh/how_are_online_platforms_used_for_healthrelated/")</f>
        <v/>
      </c>
      <c r="G945" t="inlineStr">
        <is>
          <t>2019-02-25 22:47:29</t>
        </is>
      </c>
      <c r="H945" t="inlineStr"/>
    </row>
    <row r="946">
      <c r="A946" t="inlineStr">
        <is>
          <t>auwbct</t>
        </is>
      </c>
      <c r="B946" t="inlineStr">
        <is>
          <t>Evergraf 0.25 mg |Everolimus | Blueberry pharmaceuticals</t>
        </is>
      </c>
      <c r="C946" t="inlineStr">
        <is>
          <t xml:space="preserve">[**Evergraf 0.25mg**](https://blueberrypharma.com/evergraf-0.25-mg.php) belongs to anti-neoplastic agent; it comes under mTOR kinase inhibitor (single transduction inhibitor).Evergraf 0.25mg is an immunosuppressive macrolide @ Blueberry pharmaceuticals </t>
        </is>
      </c>
      <c r="D946" t="n">
        <v>1</v>
      </c>
      <c r="E946" t="n">
        <v>0</v>
      </c>
      <c r="F946">
        <f>HYPERLINK("https://www.reddit.com/r/cancer/comments/auwbct/evergraf_025_mg_everolimus_blueberry/")</f>
        <v/>
      </c>
      <c r="G946" t="inlineStr">
        <is>
          <t>2019-02-25 22:49:16</t>
        </is>
      </c>
      <c r="H946" t="inlineStr"/>
    </row>
    <row r="947">
      <c r="A947" t="inlineStr">
        <is>
          <t>auwfor</t>
        </is>
      </c>
      <c r="B947" t="inlineStr">
        <is>
          <t>Surgery in the morning</t>
        </is>
      </c>
      <c r="C947" t="inlineStr">
        <is>
          <t>I don’t think I’ll be able to sleep. Part worry, part relief and part pain. I’ve been through various therapies over the last 18 mo trying to get to surgery and the potential to be cancer free.  
I have a form of endometrial cancer and tomorrow is a radical hysterectomy plus. They surgery plan is rather open as I have had complications. I want to thank everyone here for their support and guidance getting to surgery day.  
I hope you all have a terrific day and get to kick some cancer @ss too!</t>
        </is>
      </c>
      <c r="D947" t="n">
        <v>20</v>
      </c>
      <c r="E947" t="n">
        <v>7</v>
      </c>
      <c r="F947">
        <f>HYPERLINK("https://www.reddit.com/r/cancer/comments/auwfor/surgery_in_the_morning/")</f>
        <v/>
      </c>
      <c r="G947" t="inlineStr">
        <is>
          <t>2019-02-25 23:03:27</t>
        </is>
      </c>
      <c r="H947" t="inlineStr"/>
    </row>
    <row r="948">
      <c r="A948" t="inlineStr">
        <is>
          <t>auwls3</t>
        </is>
      </c>
      <c r="B948" t="inlineStr">
        <is>
          <t>My friend suspected to have cancer and I don't know what I am supposed to do. Please, help me.</t>
        </is>
      </c>
      <c r="C948" t="inlineStr">
        <is>
          <t>Hello everyone. My name is Luke and last night, my friend, Aila called me while crying and stated that she might have cancer. The story is like this. She made a blood test a few days ago due to a couple reasons and last night she went to the clinic to retrieve the blood test result. Once she got it, the doctor consult her and told her that she has anaemia and blood poisoning or there is bacterial infection in her blood. The doctor stated that the tumor growing behind her body is most likely due to the blood poisoning. It is swelling but only hurt when you pressed on it. The doctor suggested to go for further tests to see whether it is cancer or not and gave her some sort of letter. The only person that knows about this is me and Aila herself. She did not want to tell others because she is the type of person that did not want others to be worrying of her or treat her like a patient. She only told her mom about the anaemia and not the cancer part. I am trying to talk to her but she did not want to. How do i do? I am afraid of losing her. What must I do to convince her to do other few tests to check whether it is real cancer or not? Please help me. I am out of option.</t>
        </is>
      </c>
      <c r="D948" t="n">
        <v>5</v>
      </c>
      <c r="E948" t="n">
        <v>2</v>
      </c>
      <c r="F948">
        <f>HYPERLINK("https://www.reddit.com/r/cancer/comments/auwls3/my_friend_suspected_to_have_cancer_and_i_dont/")</f>
        <v/>
      </c>
      <c r="G948" t="inlineStr">
        <is>
          <t>2019-02-25 23:24:17</t>
        </is>
      </c>
      <c r="H948" t="inlineStr"/>
    </row>
    <row r="949">
      <c r="A949" t="inlineStr">
        <is>
          <t>auxd6d</t>
        </is>
      </c>
      <c r="B949" t="inlineStr">
        <is>
          <t>Fuming</t>
        </is>
      </c>
      <c r="C949" t="inlineStr">
        <is>
          <t>So my family has a big history of cancer. I’ve seen multiple kids including leukemia. So one of my guilty pleasures is watching WWE. There is a wrestler who had Leukemia in his college years and announced in October that his leukemia was back. 
Fast forward to today, he came back on the show and let everyone know that he was in remission. In the wwe thread, I got into an argument with someone who is convinced that this guy made up his 2nd bout with leukemia because he went into remission 4 months later to boost his popularity . Now I didn’t think that this recover time was that unheard of based of of personal experience, but I could be wrong. The guy is mid 30s, best shape you can possibly dream of and has access to the best doctors. Am I being naive?</t>
        </is>
      </c>
      <c r="D949" t="n">
        <v>1</v>
      </c>
      <c r="E949" t="n">
        <v>0</v>
      </c>
      <c r="F949">
        <f>HYPERLINK("https://www.reddit.com/r/cancer/comments/auxd6d/fuming/")</f>
        <v/>
      </c>
      <c r="G949" t="inlineStr">
        <is>
          <t>2019-02-26 01:04:45</t>
        </is>
      </c>
      <c r="H949" t="inlineStr"/>
    </row>
    <row r="950">
      <c r="A950" t="inlineStr">
        <is>
          <t>auxkje</t>
        </is>
      </c>
      <c r="B950" t="inlineStr">
        <is>
          <t>I don’t know to deal with not getting to say goodbye to my aunt</t>
        </is>
      </c>
      <c r="C950" t="inlineStr">
        <is>
          <t xml:space="preserve">Imagine her as a sister instead of an aunt figure. years and years this went on, and it became normal, a part of life. kept thinking she would hang on and on. this past weekend she finally left and i couldnt make it in on time to get to say goodbye. family told her for me, but i dont know if i can forgive myself, not sure what to do with these feelings of grief either, i just wanted to hold her one more time and give her comfort on her final journey. i know everyone else did, but i didn’t. i know she loved me so much and she knows i loved her, but im waking up every morning feeling ill, tired, run down. i have lost people before in other ways, not cancer. i thought i had time and now i know there is never tomorrow in this situation. i am so happy shes at peace and not suffering anymore, and i know she wouldnt want me to beat myself up like this, but i guess i need some support and other than my family who are grieving themselves, i dont have anyone who understands who can give me any support or comfort, and i dont do councelling. i dont feel suicidal or anything extreme, i just feel so ill and not sure if this is the normal part of grieving, the emotions are coming in waves of course but i dont remember experiencing this physical kind of pain and inability to breath, except for when i was actually wailing in grief before, this is like numb, constant, dull pain in me. and not sure how to get over this. idk what im really even saying or asking, although i knew for so long she was terminal i never thought it would happen, and though im happy she is in peace, she didnt want to go, and i wish i saw her, and im all over the place in thoughts. anyone have a handy guide of what to do? or ways to let that out on my own? i havent cried much since the funeral yesterday day, when it comes its deep. i have a strange urge to move on and get out of this space of depression, not to move on from her, i believe shes a part of me and with me, and i know i want to remember and grief her, but for myself not to be sick, to be in full health, to get up and move, because i know she wants that for me and not to end up in the same place. </t>
        </is>
      </c>
      <c r="D950" t="n">
        <v>7</v>
      </c>
      <c r="E950" t="n">
        <v>0</v>
      </c>
      <c r="F950">
        <f>HYPERLINK("https://www.reddit.com/r/cancer/comments/auxkje/i_dont_know_to_deal_with_not_getting_to_say/")</f>
        <v/>
      </c>
      <c r="G950" t="inlineStr">
        <is>
          <t>2019-02-26 01:33:51</t>
        </is>
      </c>
      <c r="H950" t="inlineStr"/>
    </row>
    <row r="951">
      <c r="A951" t="inlineStr">
        <is>
          <t>auxogh</t>
        </is>
      </c>
      <c r="B951" t="inlineStr">
        <is>
          <t>What's worse, being the one with cancer or being a close one watching the process unfold?</t>
        </is>
      </c>
      <c r="C951" t="inlineStr">
        <is>
          <t xml:space="preserve">For a seemingly common sensical question, many would beg to differ. </t>
        </is>
      </c>
      <c r="D951" t="n">
        <v>6</v>
      </c>
      <c r="E951" t="n">
        <v>9</v>
      </c>
      <c r="F951">
        <f>HYPERLINK("https://www.reddit.com/r/cancer/comments/auxogh/whats_worse_being_the_one_with_cancer_or_being_a/")</f>
        <v/>
      </c>
      <c r="G951" t="inlineStr">
        <is>
          <t>2019-02-26 01:49:13</t>
        </is>
      </c>
      <c r="H951" t="inlineStr"/>
    </row>
    <row r="952">
      <c r="A952" t="inlineStr">
        <is>
          <t>auyvzu</t>
        </is>
      </c>
      <c r="B952" t="inlineStr">
        <is>
          <t>She Is No More Because Of Pleural Mesotheioma...</t>
        </is>
      </c>
      <c r="C952" t="inlineStr">
        <is>
          <t>Yes.
You read it right. My 20 year old girlfriend is no more and the only reason is Pleural Mesothelioma.
I have written everything about what happened to her in a blog post, whose link you can find at the end of this post. If you are only here to study about my girlfriend, you can skip to the end and go to the given link.
&amp;amp;#x200B;
**Pleural Mesothelioma?**
Sounds strange and new. Maybe you know about it but most of us don’t literally know what exactly Pleural type of mesothelioma is. Talking about the [types of mesothelioma earlier](http://mesotheliomadoctorcanada.com/mesothelioma-cancer-types/), we have discussed a bit about Pleural and other types of mesothelioma.
So, in order to have a clear picture of pleural mesothelioma, we are here with a mind-blowing article puffing all the information about it in just 700 words. Yes, you read it right. Everything about pleural mesothelioma in just 700 words.
So, without any further talks, let’s dive right it. Hope you’ll like the article.
### What is Pleural Mesothelioma?
Pleural mesothelioma is a malignancy that creates in the cells that structure the external coating of the lungs and inward covering of the chest pits. It is the most widely recognized sort of asbestos-related malignant growth. Clinical preliminaries offer access to new medications, for example, immunotherapy. A wide range of mesothelioma is named after the area where they structure.
It typically takes from 20 to 50 years for [mesothelioma](http://mesotheliomadoctorcanada.com/) to create after an individual’s first introduction to asbestos. Due to this idleness period, the sickness, for the most part, influences individuals more established than 75.
Most patients are men since they were most of the workforce in callings, including substantial industry and development, where asbestos introduction truly happened.
Starting side effects of threatening pleural mesothelioma incorporate chest agony and shortness of breath. You may encounter no side effects at all in the beginning periods of the malignant growth’s movement.
The future of somebody with pleural mesothelioma is regularly under the year and a half, however, it relies upon numerous elements.
A few patients live any longer with treatment. Consolidating a few medicines, for example, medical procedure, chemotherapy, and radiation treatment has helped individuals live for a considerable length of time subsequent to being determined to have pleural mesothelioma. Clinical preliminaries offer access to new medicines, for example, immunotherapy.
### How Does Asbestos Cause Pleural Mesothelioma?
Asbestos causes harmful pleural mesothelioma decades after an individual breathes in asbestos dust. The mineral’s needle-like filaments stop in the lungs and slowly move into the pleural covering.
Over an extensive stretch of time, asbestos filaments cause aggravation, perpetual irritation and hereditary changes that turn cells destructive.
These destructive cells develop quick and wildly, undermining the organs around them.
Two layers make up the pleura lining. The external layer lines the whole within the chest hole, and the inward layer covers the lungs.
A threatening tumor can create on either layer and rapidly spread to the next layer. As tumors create on the pleural surface, they develop to frame a mass around the influenced lung.
Also read — [When Is Asbestos Dangerous: 5 Hidden Secrets Revealed By Specialists](http://mesotheliomadoctorcanada.com/when-is-asbestos-dangerous/)
# [Click here to continue reading what happened to my girlfriend.](https://mesotheliomadoctorcanada.com/pleural-mesothelioma/)</t>
        </is>
      </c>
      <c r="D952" t="n">
        <v>4</v>
      </c>
      <c r="E952" t="n">
        <v>1</v>
      </c>
      <c r="F952">
        <f>HYPERLINK("https://www.reddit.com/r/cancer/comments/auyvzu/she_is_no_more_because_of_pleural_mesotheioma/")</f>
        <v/>
      </c>
      <c r="G952" t="inlineStr">
        <is>
          <t>2019-02-26 04:25:59</t>
        </is>
      </c>
      <c r="H952" t="inlineStr"/>
    </row>
    <row r="953">
      <c r="A953" t="inlineStr">
        <is>
          <t>auz1in</t>
        </is>
      </c>
      <c r="B953" t="inlineStr">
        <is>
          <t>Please someone tell me life will be okay again</t>
        </is>
      </c>
      <c r="C953" t="inlineStr">
        <is>
          <t xml:space="preserve">My mom is going to die from cancer soon. She probably has months left. I am having a complete breakdown. I know my life will never be the same. But the idea that I'm never going to be happy again is scaring the shit out of me. I'm having thoughts of wanting to end it all, and I calling some hotline where nobody will understand me is not going to help. I need to hear it from someone who has been through this. Please tell me that life will still be worth living after this. But don't lie if that's not the truth. </t>
        </is>
      </c>
      <c r="D953" t="n">
        <v>45</v>
      </c>
      <c r="E953" t="n">
        <v>23</v>
      </c>
      <c r="F953">
        <f>HYPERLINK("https://www.reddit.com/r/cancer/comments/auz1in/please_someone_tell_me_life_will_be_okay_again/")</f>
        <v/>
      </c>
      <c r="G953" t="inlineStr">
        <is>
          <t>2019-02-26 04:43:15</t>
        </is>
      </c>
      <c r="H953" t="inlineStr"/>
    </row>
    <row r="954">
      <c r="A954" t="inlineStr">
        <is>
          <t>auz1nq</t>
        </is>
      </c>
      <c r="B954" t="inlineStr">
        <is>
          <t>So it’s been an interesting day</t>
        </is>
      </c>
      <c r="C954" t="inlineStr">
        <is>
          <t xml:space="preserve">Today I got the contract for my internship I’ll be working closely with a NGO that deals with women who are refugees and victims of domestic violence after being unemployed for 10 months ever since I went into hospital and got diagnosed with bipolar. Domestic violence is a sensitive topic for me as both of my mums ex partners were abusive, but I really feel that I can help people through their hardships, I’m so happy to have found work experience that I can fully immerse myself in I start in a week. I’ve also had my first day volunteering for the Rural Fire Service, I got to sit in the front seat of a fire truck which has been a lifelong dream of mine. I also celebrated my best friends birthday with him. 
But on the same day my  Step father now whom I love dearly who has Squamous Cell Carcinoma tumour in his oesophageal and stomach has grown 20% larger and the doctors have told him that he has 3 to 6 months to live, because the immunotherapy has stopped working and so they are not going to continue with his treatment and to let his daughters and my brothers know. I went to visit him today but he wasn’t in the mood to talk to anyone. I have been through so much in the last year and loosing him although we’ve known it was coming for a while now as the doctors have told my mum who told me ages ago is going to be extremely hard. </t>
        </is>
      </c>
      <c r="D954" t="n">
        <v>14</v>
      </c>
      <c r="E954" t="n">
        <v>4</v>
      </c>
      <c r="F954">
        <f>HYPERLINK("https://www.reddit.com/r/cancer/comments/auz1nq/so_its_been_an_interesting_day/")</f>
        <v/>
      </c>
      <c r="G954" t="inlineStr">
        <is>
          <t>2019-02-26 04:43:39</t>
        </is>
      </c>
      <c r="H954" t="inlineStr"/>
    </row>
    <row r="955">
      <c r="A955" t="inlineStr">
        <is>
          <t>auzlcx</t>
        </is>
      </c>
      <c r="B955" t="inlineStr">
        <is>
          <t>Just learned that my 79-year-old, near-estranged stepfather has bladder cancer and is having surgery soon.</t>
        </is>
      </c>
      <c r="C955" t="inlineStr">
        <is>
          <t>I've read in passing that the prognosis for such a thing is favorable
but for someone who will be 80 soon?  Can anyone share any insight?</t>
        </is>
      </c>
      <c r="D955" t="n">
        <v>11</v>
      </c>
      <c r="E955" t="n">
        <v>7</v>
      </c>
      <c r="F955">
        <f>HYPERLINK("https://www.reddit.com/r/cancer/comments/auzlcx/just_learned_that_my_79yearold_nearestranged/")</f>
        <v/>
      </c>
      <c r="G955" t="inlineStr">
        <is>
          <t>2019-02-26 05:43:11</t>
        </is>
      </c>
      <c r="H955" t="inlineStr"/>
    </row>
    <row r="956">
      <c r="A956" t="inlineStr">
        <is>
          <t>av0ijm</t>
        </is>
      </c>
      <c r="B956" t="inlineStr">
        <is>
          <t>my own dreams tormenting me</t>
        </is>
      </c>
      <c r="C956" t="inlineStr">
        <is>
          <t xml:space="preserve">I lost my mom to RCC a couple years ago and lately I’ve been having dreams of the night it happened. Over and Over and Over, for the last month or so. I don’t know what to do. It’s ruining my day to day life. </t>
        </is>
      </c>
      <c r="D956" t="n">
        <v>9</v>
      </c>
      <c r="E956" t="n">
        <v>4</v>
      </c>
      <c r="F956">
        <f>HYPERLINK("https://www.reddit.com/r/cancer/comments/av0ijm/my_own_dreams_tormenting_me/")</f>
        <v/>
      </c>
      <c r="G956" t="inlineStr">
        <is>
          <t>2019-02-26 07:15:22</t>
        </is>
      </c>
      <c r="H956" t="inlineStr"/>
    </row>
    <row r="957">
      <c r="A957" t="inlineStr">
        <is>
          <t>av20aw</t>
        </is>
      </c>
      <c r="B957" t="inlineStr">
        <is>
          <t>Thyroid Cancer Diagnosis -- My biggest fear is weight gain, activity &amp;amp; fitness.</t>
        </is>
      </c>
      <c r="C957" t="inlineStr">
        <is>
          <t>Last Friday I (25/F) was diagnosed with thyroid cancer. Quick backstory: I noticed a lump on the side of my neck late fall, did a bunch of tests, found out it was thyroid cancer on Friday. I was preparing myself for something "worse," so I took it well... But at the same time I'm terrified for what's to come after. Not just the surgery (total thyroidectomy), which I understand is a procedure with low-risk of complications -- but for life after. My specialist said that I will most likely be receiving RAI therapy after as well. 
Currently I am just waiting for the call with my operation date. They said sometime April to May (hopefully sooner/early April, rather then later). I'm based in Toronto, Canada. I also have a 10-day Europe trip planned with my bestfriends and boyfriend from June 26-July 8. So the timing is tight and could be better :(. 
Anyway, that all being said, I'm scared of what's to come -- to live without a thyroid. I'm scared of how it will effect my energy levels and overall health &amp;amp; fitness. I've always been very body conscious. I am by no-means overweight but I have had very orthorexic eating behaviour in the past, and just this year began to truly overcome it -- through weight-training/body-building/fitness. In general, I workout, I do high-intensity treadmill running in the morning before my 9-5, and then in the evening I lift with my bodybuilding boyfriend. I eat healthy (but am not-restrictive with myself anymore!!). Now... the idea of living thyroid-less &amp;amp; on meds -- I'm scared that my energy levels and fitness will change after all of this and really.. how this will affect my relationship with my body and self. I don't want to gain weight, I don't want my fitness to change -- it all affects my mental health of self-perception and confidence as well. Especially with a boyfriend (who is so supportive and loving) who bodybuilds and has a nice physique... honestly put, I don't want to look like a potato next to him too. And I know if I do feel depressed or have weight gain after this... I might just push him away because of shame.  I'm trying to stop thinking about all of this and be appreciative that my treatment has such a high success rate -- but I don't want my life to be "ruined" after my thyroidectomy. 
**TLDR;** scared of weight gain. battling self-confidence with body. wanted to do a bikini/figure competition one day. afraid medication will change everything and metabolism would be a bust. 
Tips and words of advice on dealing with all of this? Your own experiences with medication and your dosages and working with your doctor to find the right medication for you? Your experiences with health and fitness after thyroid removal? 
Any tips or advice or your own stories would really help.. 
*Thank you* to anyone who reads this block of ramble and rant. I just needed a place where I can honestly write all this down because I am pretty ashamed to admit to anyone irl that the aspect of weight gain &amp;amp; fitness is the biggest worry for me in this overall cancer battle.</t>
        </is>
      </c>
      <c r="D957" t="n">
        <v>12</v>
      </c>
      <c r="E957" t="n">
        <v>18</v>
      </c>
      <c r="F957">
        <f>HYPERLINK("https://www.reddit.com/r/cancer/comments/av20aw/thyroid_cancer_diagnosis_my_biggest_fear_is/")</f>
        <v/>
      </c>
      <c r="G957" t="inlineStr">
        <is>
          <t>2019-02-26 09:26:21</t>
        </is>
      </c>
      <c r="H957" t="inlineStr"/>
    </row>
    <row r="958">
      <c r="A958" t="inlineStr">
        <is>
          <t>av3v44</t>
        </is>
      </c>
      <c r="B958" t="inlineStr">
        <is>
          <t>PTSD...?</t>
        </is>
      </c>
      <c r="C958" t="inlineStr">
        <is>
          <t xml:space="preserve">Last November I was diagnosed with stage 1 testicular cancer.  After my surgery and some scans I was declared cancer free.  The initial shock and then relief of beating cancer helped me hide my feelings.  However the high has warn off and now I am so afraid of any and all changes with my body.  I see my scar as a constant reminder of what can happen.  Any time I don't feel right I think I'm going to have a new cancer or some other type of scary life altering illness. 
I went to the doctor yesterday as I feel like I've been having a constant anxiety attack for the past 2 weeks. She prescribed me anti-anxiety meds, however, my resting heart rate was rather elevated (94bpm) and she ordered more scans, blood work, and a 24hr urine sample.  I feel like I'm not going to get good news from these and have been a nervous wreck.  
Has anyone else experienced feelings of anxiety related to their health after beating cancer the first time? Does it get better?  How do I get my family and friends to understand what I'm going through?  I've felt really isolated since I was declared cancer free and think I've been taking it out on my fiance and myself.  </t>
        </is>
      </c>
      <c r="D958" t="n">
        <v>8</v>
      </c>
      <c r="E958" t="n">
        <v>5</v>
      </c>
      <c r="F958">
        <f>HYPERLINK("https://www.reddit.com/r/cancer/comments/av3v44/ptsd/")</f>
        <v/>
      </c>
      <c r="G958" t="inlineStr">
        <is>
          <t>2019-02-26 12:04:57</t>
        </is>
      </c>
      <c r="H958" t="inlineStr"/>
    </row>
    <row r="959">
      <c r="A959" t="inlineStr">
        <is>
          <t>av4rq3</t>
        </is>
      </c>
      <c r="B959" t="inlineStr">
        <is>
          <t>Am I stupid for feeling this?</t>
        </is>
      </c>
      <c r="C959" t="inlineStr">
        <is>
          <t>My mom has Stage 4 Ovarian cancer. She was diagnosed in December of 2017. Still going strong, but her numbers have gone up. I wish it was me instead. Is that normal?</t>
        </is>
      </c>
      <c r="D959" t="n">
        <v>9</v>
      </c>
      <c r="E959" t="n">
        <v>3</v>
      </c>
      <c r="F959">
        <f>HYPERLINK("https://www.reddit.com/r/cancer/comments/av4rq3/am_i_stupid_for_feeling_this/")</f>
        <v/>
      </c>
      <c r="G959" t="inlineStr">
        <is>
          <t>2019-02-26 13:23:24</t>
        </is>
      </c>
      <c r="H959" t="inlineStr"/>
    </row>
    <row r="960">
      <c r="A960" t="inlineStr">
        <is>
          <t>av4uez</t>
        </is>
      </c>
      <c r="B960" t="inlineStr">
        <is>
          <t>Good news feels so good</t>
        </is>
      </c>
      <c r="C960" t="inlineStr">
        <is>
          <t xml:space="preserve">Today my husband's scans showed decreasing size of multiple liver mets, and increased sclerosis of "innumerable" bone mets. We've still got a lot of fucking tumors, but they're behaving- and sooner than we expected to see good results. 
&amp;amp;#x200B;
I had a whole post sitting here earlier today, ready to vent about how hard this has been. In 4 months, every aspect of our entire life has been upended and I no longer even remember what it feels like to feel safe and secure. 
&amp;amp;#x200B;
But I'll skip it today, and just take this moment, and hold it very close. Right now, this is good. This means we have more time. </t>
        </is>
      </c>
      <c r="D960" t="n">
        <v>96</v>
      </c>
      <c r="E960" t="n">
        <v>20</v>
      </c>
      <c r="F960">
        <f>HYPERLINK("https://www.reddit.com/r/cancer/comments/av4uez/good_news_feels_so_good/")</f>
        <v/>
      </c>
      <c r="G960" t="inlineStr">
        <is>
          <t>2019-02-26 13:30:17</t>
        </is>
      </c>
      <c r="H960" t="inlineStr"/>
    </row>
    <row r="961">
      <c r="A961" t="inlineStr">
        <is>
          <t>av54rb</t>
        </is>
      </c>
      <c r="B961" t="inlineStr">
        <is>
          <t>HOW I WAS CURED FROM CANCER</t>
        </is>
      </c>
      <c r="C961" t="inlineStr">
        <is>
          <t>I'm from Fresno California. i don't really have much to say but to tell the world about Dr. Sam no how he cured me from cancer. A friend told me about the good work that Dr. Sam has done and she gave me his contact +1 (213) 349-2159 and i give a try that is now a testimony today. World can't even explain my feelings. God bless the good work of Dr.Sam. You can reach Dr Sam on his Whats app number: +1 (213) 349-2159.
&amp;amp;#x200B;</t>
        </is>
      </c>
      <c r="D961" t="n">
        <v>0</v>
      </c>
      <c r="E961" t="n">
        <v>3</v>
      </c>
      <c r="F961">
        <f>HYPERLINK("https://www.reddit.com/r/cancer/comments/av54rb/how_i_was_cured_from_cancer/")</f>
        <v/>
      </c>
      <c r="G961" t="inlineStr">
        <is>
          <t>2019-02-26 13:55:16</t>
        </is>
      </c>
      <c r="H961" t="inlineStr"/>
    </row>
    <row r="962">
      <c r="A962" t="inlineStr">
        <is>
          <t>av5gdb</t>
        </is>
      </c>
      <c r="B962" t="inlineStr">
        <is>
          <t>Continuing chemo</t>
        </is>
      </c>
      <c r="C962" t="inlineStr">
        <is>
          <t xml:space="preserve">I completed my first round last week and am starting my second round this week. I’m on day 2/5 week 1/3. I have this round plus 1 1/3 (my last cycle I only have to do week 1). 
All my labs before I started round one we’re almost 100% normal after removing my ovary and some lymph nodes. None of the biopsies from the surrounding tissue or lymph nodes showed evidence of cancer. 
I’m tired of feeling sick from chemo. I’m tired of my hair falling out. I’m tired of going to infusion every day for a week then even once a week for 2 weeks. I just want to go back to work and go back to teaching my dog obedience classes. </t>
        </is>
      </c>
      <c r="D962" t="n">
        <v>4</v>
      </c>
      <c r="E962" t="n">
        <v>20</v>
      </c>
      <c r="F962">
        <f>HYPERLINK("https://www.reddit.com/r/cancer/comments/av5gdb/continuing_chemo/")</f>
        <v/>
      </c>
      <c r="G962" t="inlineStr">
        <is>
          <t>2019-02-26 14:23:37</t>
        </is>
      </c>
      <c r="H962" t="inlineStr"/>
    </row>
    <row r="963">
      <c r="A963" t="inlineStr">
        <is>
          <t>av6xyo</t>
        </is>
      </c>
      <c r="B963" t="inlineStr">
        <is>
          <t>Podcast recommendations</t>
        </is>
      </c>
      <c r="C963" t="inlineStr">
        <is>
          <t xml:space="preserve">Hi all,
I’m new here. My sis took a turn for the worst and is on a ventilator and pretty sedated but aware and responsive. 
I have some music that she likes, but I was wondering if anyone could recommend some interesting and upbeat/hopeful podcasts for variety. She has to have restraints so she can’t write to make requests, but she can give thumbs up and down to let us know if she like it or wants it on or off. </t>
        </is>
      </c>
      <c r="D963" t="n">
        <v>4</v>
      </c>
      <c r="E963" t="n">
        <v>5</v>
      </c>
      <c r="F963">
        <f>HYPERLINK("https://www.reddit.com/r/cancer/comments/av6xyo/podcast_recommendations/")</f>
        <v/>
      </c>
      <c r="G963" t="inlineStr">
        <is>
          <t>2019-02-26 16:44:30</t>
        </is>
      </c>
      <c r="H963" t="inlineStr"/>
    </row>
    <row r="964">
      <c r="A964" t="inlineStr">
        <is>
          <t>av7bcd</t>
        </is>
      </c>
      <c r="B964" t="inlineStr">
        <is>
          <t>How to deal with not knowing?</t>
        </is>
      </c>
      <c r="C964" t="inlineStr">
        <is>
          <t xml:space="preserve">~Sorry this is a crazy long post.~
Today I received a referral to a Hematologist/Oncologist by my GP after a few wonky blood tests. The first test, which was two weeks ago, was a full panel to check on my Vitamin D levels and to check my AC1 as I was diagnosed as prediabetic last year.  That test turned up a high white cell count and high lymphocytes. That prompted my GP to order more blood tests and for me to return in two weeks(today). My blood tests were still abnormal, though my overall WBC went down from 16.2 to 14.9 my lymphocytes went up slightly. She also ordered a blood smear which turned up 10% atypical lymphocytes. (Not sure if I’m using the right jargon) ) 
I went into this appointment with the understanding that I might be referred to a hematologist/oncologist and while that doesn’t mean I definitely have cancer, it is obviously something that isn’t great. The hematologist’s office called me within a couple hours of my appointment earlier today and set an appointment for next Wednesday. 
The real reason I wrote all that out was just to get it out of my head but I posted it here to ask for any advice on how to deal with the rollercoaster of emotions and anxiety I’ve been feeling all day. How do I deal with not knowing for a week? I keep flip flopping between “you probably don’t have cancer don’t worry just chill” and “you might/probably/definitely have cancer”  I feel so silly because i don’t know anything and I don’t have any real reason to but all I want to do is sit and stare and worry until next Wednesday. How do I keep going and functioning and not spiraling until I actually know what’s wrong with me? 
TLDR; Advice on how to deal with the waiting to find out period between appointments </t>
        </is>
      </c>
      <c r="D964" t="n">
        <v>2</v>
      </c>
      <c r="E964" t="n">
        <v>12</v>
      </c>
      <c r="F964">
        <f>HYPERLINK("https://www.reddit.com/r/cancer/comments/av7bcd/how_to_deal_with_not_knowing/")</f>
        <v/>
      </c>
      <c r="G964" t="inlineStr">
        <is>
          <t>2019-02-26 17:21:55</t>
        </is>
      </c>
      <c r="H964" t="inlineStr"/>
    </row>
    <row r="965">
      <c r="A965" t="inlineStr">
        <is>
          <t>av7jre</t>
        </is>
      </c>
      <c r="B965" t="inlineStr">
        <is>
          <t>What can I do</t>
        </is>
      </c>
      <c r="C965" t="inlineStr">
        <is>
          <t>Hello,
A very good friend was diagnosed with NHL, stage IV, she’s 22 years old.
She’s starting the chemo in a couple of weeks.
I’m very lost and sad, when I hear stage IV, I’m very afraid, Can anyone give me some explanations, some information, because honestly I don't know anything and I'm very worried.
Also what can I do to help her, we already choose her headwear and it was a nice moment.
Thank you very much for you help</t>
        </is>
      </c>
      <c r="D965" t="n">
        <v>4</v>
      </c>
      <c r="E965" t="n">
        <v>7</v>
      </c>
      <c r="F965">
        <f>HYPERLINK("https://www.reddit.com/r/cancer/comments/av7jre/what_can_i_do/")</f>
        <v/>
      </c>
      <c r="G965" t="inlineStr">
        <is>
          <t>2019-02-26 17:45:47</t>
        </is>
      </c>
      <c r="H965" t="inlineStr"/>
    </row>
    <row r="966">
      <c r="A966" t="inlineStr">
        <is>
          <t>av7xog</t>
        </is>
      </c>
      <c r="B966" t="inlineStr">
        <is>
          <t>Please help</t>
        </is>
      </c>
      <c r="C966" t="inlineStr">
        <is>
          <t>I just needed some support from 1 person JUST 1. Then i started getting harassed by my cancer group (discord r/cancer) the lovely people here started telling me I did spring i didn't and when i professed i needed help they said I attacked them,  when i asked what, if anything, I said could be taken badly.  I said nothing bad and they know it, even i asked what i did so i could apologize THEY KICKED ME. 
This was my last resort,  I have no support and no reason to keep on</t>
        </is>
      </c>
      <c r="D966" t="n">
        <v>1</v>
      </c>
      <c r="E966" t="n">
        <v>0</v>
      </c>
      <c r="F966">
        <f>HYPERLINK("https://www.reddit.com/r/cancer/comments/av7xog/please_help/")</f>
        <v/>
      </c>
      <c r="G966" t="inlineStr">
        <is>
          <t>2019-02-26 18:24:53</t>
        </is>
      </c>
      <c r="H966" t="inlineStr"/>
    </row>
    <row r="967">
      <c r="A967" t="inlineStr">
        <is>
          <t>av8k19</t>
        </is>
      </c>
      <c r="B967" t="inlineStr">
        <is>
          <t>No support</t>
        </is>
      </c>
      <c r="C967" t="inlineStr">
        <is>
          <t>After being harassed by the r/cancer discord when I asked for support, I now have no support. I'm sure my agony brings the mods there joy but I still need support. I have no family and My friends stopped talking to me after diagnoses.
Anyone know of anything with real support? I'm not in a with anything local.</t>
        </is>
      </c>
      <c r="D967" t="n">
        <v>0</v>
      </c>
      <c r="E967" t="n">
        <v>13</v>
      </c>
      <c r="F967">
        <f>HYPERLINK("https://www.reddit.com/r/cancer/comments/av8k19/no_support/")</f>
        <v/>
      </c>
      <c r="G967" t="inlineStr">
        <is>
          <t>2019-02-26 19:27:02</t>
        </is>
      </c>
      <c r="H967" t="inlineStr"/>
    </row>
    <row r="968">
      <c r="A968" t="inlineStr">
        <is>
          <t>av96k4</t>
        </is>
      </c>
      <c r="B968" t="inlineStr">
        <is>
          <t>I dont know if I should tell my boyfriend I recently got diagnosed with ocular melanoma.</t>
        </is>
      </c>
      <c r="C968" t="inlineStr">
        <is>
          <t xml:space="preserve">It's still very shocking to me that I've been diagnosed with ocular melanoma. I'm 90% sure it's spreading to my liver but I don't do the testing till next week. Ocular melanoma is extremely rare and if it spreads to other parts the chance of surviving is small. 
I don't know how to break the news to my boyfriend. I'd be devastated if it happened vise versa. I don't want him to baby me if I become on the brink of death. I also don't want to bring the pain on him of dating someone who will now be going in and out of doctors office. I love him with all my heart, but I don't know if I can tell him this. </t>
        </is>
      </c>
      <c r="D968" t="n">
        <v>5</v>
      </c>
      <c r="E968" t="n">
        <v>8</v>
      </c>
      <c r="F968">
        <f>HYPERLINK("https://www.reddit.com/r/cancer/comments/av96k4/i_dont_know_if_i_should_tell_my_boyfriend_i/")</f>
        <v/>
      </c>
      <c r="G968" t="inlineStr">
        <is>
          <t>2019-02-26 20:32:09</t>
        </is>
      </c>
      <c r="H968" t="inlineStr"/>
    </row>
    <row r="969">
      <c r="A969" t="inlineStr">
        <is>
          <t>av9gar</t>
        </is>
      </c>
      <c r="B969" t="inlineStr">
        <is>
          <t>Evergraf 0.5mg tablet - Everolimus</t>
        </is>
      </c>
      <c r="C969" t="inlineStr">
        <is>
          <t xml:space="preserve">[**Evergraf 0.5mg**](http://anti-cancer-drugs.com/evergraf-0.5mg.php) consist of an active ingredient known as Everolimus which is intrude with growth of cancer cell and process is slows down, this tablets is not a curable medication, which is helps to slow their spreading in to the body </t>
        </is>
      </c>
      <c r="D969" t="n">
        <v>1</v>
      </c>
      <c r="E969" t="n">
        <v>0</v>
      </c>
      <c r="F969">
        <f>HYPERLINK("https://www.reddit.com/r/cancer/comments/av9gar/evergraf_05mg_tablet_everolimus/")</f>
        <v/>
      </c>
      <c r="G969" t="inlineStr">
        <is>
          <t>2019-02-26 21:00:57</t>
        </is>
      </c>
      <c r="H969" t="inlineStr"/>
    </row>
    <row r="970">
      <c r="A970" t="inlineStr">
        <is>
          <t>av9h7w</t>
        </is>
      </c>
      <c r="B970" t="inlineStr">
        <is>
          <t>I just started my job, and I’m about to start chemo</t>
        </is>
      </c>
      <c r="C970" t="inlineStr">
        <is>
          <t>I just started at my job a week and a half ago, and I’m about to start chemo next week. I got to admit I’m more worried about losing my job than going through chemo. I already told my new boss my condition, he seems nice and willing to work with me. But again, I’m a week in, and still under probation. Can anyone please give me advise on how to go about. I think it’s against the law for them to fire me for my medical conditions, I guess it’s just the probation that has me worried, along with any points I may accumulate along the way. 
I work as environmental labor. 
I know my health comes 1st and I should worry about that. But I doubt my bills and insurance will have the same mentality.</t>
        </is>
      </c>
      <c r="D970" t="n">
        <v>2</v>
      </c>
      <c r="E970" t="n">
        <v>7</v>
      </c>
      <c r="F970">
        <f>HYPERLINK("https://www.reddit.com/r/cancer/comments/av9h7w/i_just_started_my_job_and_im_about_to_start_chemo/")</f>
        <v/>
      </c>
      <c r="G970" t="inlineStr">
        <is>
          <t>2019-02-26 21:03:40</t>
        </is>
      </c>
      <c r="H970" t="inlineStr"/>
    </row>
    <row r="971">
      <c r="A971" t="inlineStr">
        <is>
          <t>av9qv8</t>
        </is>
      </c>
      <c r="B971" t="inlineStr">
        <is>
          <t>My grandmother just lost her battle today</t>
        </is>
      </c>
      <c r="C971" t="inlineStr">
        <is>
          <t>She had been diagnosed with stage IV liver cancer and the doctor said she'd been keeping it for 18 months. She had 3 tumors, one large and 2 small tumors in her liver and stones in her gallbladder. The doctors suggest that they cant operate my granny becasue she might wont survive with the major operation. But the doctors gives her meds for the support. She was hospitalized for 1 week and a day. Until today, she lost her battle. I keep cying when i heard the news but now, i felt that there's no more tears. I have troubled sleeping last night and keep crying but now, i just cant.. maybe i was just too tired and broken. F**k cancer 💔🥀</t>
        </is>
      </c>
      <c r="D971" t="n">
        <v>11</v>
      </c>
      <c r="E971" t="n">
        <v>2</v>
      </c>
      <c r="F971">
        <f>HYPERLINK("https://www.reddit.com/r/cancer/comments/av9qv8/my_grandmother_just_lost_her_battle_today/")</f>
        <v/>
      </c>
      <c r="G971" t="inlineStr">
        <is>
          <t>2019-02-26 21:34:06</t>
        </is>
      </c>
      <c r="H971" t="inlineStr"/>
    </row>
    <row r="972">
      <c r="A972" t="inlineStr">
        <is>
          <t>av9x9k</t>
        </is>
      </c>
      <c r="B972" t="inlineStr">
        <is>
          <t>What are good questions to ask before a parent passes?</t>
        </is>
      </c>
      <c r="C972" t="inlineStr">
        <is>
          <t>My dad was just put into hospice at 51, and my brain just seems to go blank when I see him. 
&amp;amp;#x200B;
For anyone who's been in a spot like this, what are questions you asked, or wish you would've asked before they passed?</t>
        </is>
      </c>
      <c r="D972" t="n">
        <v>5</v>
      </c>
      <c r="E972" t="n">
        <v>3</v>
      </c>
      <c r="F972">
        <f>HYPERLINK("https://www.reddit.com/r/cancer/comments/av9x9k/what_are_good_questions_to_ask_before_a_parent/")</f>
        <v/>
      </c>
      <c r="G972" t="inlineStr">
        <is>
          <t>2019-02-26 21:54:45</t>
        </is>
      </c>
      <c r="H972" t="inlineStr"/>
    </row>
    <row r="973">
      <c r="A973" t="inlineStr">
        <is>
          <t>ava9qh</t>
        </is>
      </c>
      <c r="B973" t="inlineStr">
        <is>
          <t>Evergraf 0.25mg tablet:Everolimus Price, Uses &amp;amp; Side effects|Apple pharmaceuticals</t>
        </is>
      </c>
      <c r="C973" t="inlineStr">
        <is>
          <t xml:space="preserve">[**Evergraf 0.25mg**](http://anti-cancer-drugs.com/evergraf-0.25mg.php) consist of an active ingredient known as Everolimus which is intrude with growth of cancer cell and process is slows down, it is not a curable medication, which is helps to slow their spreading in to the body </t>
        </is>
      </c>
      <c r="D973" t="n">
        <v>0</v>
      </c>
      <c r="E973" t="n">
        <v>0</v>
      </c>
      <c r="F973">
        <f>HYPERLINK("https://www.reddit.com/r/cancer/comments/ava9qh/evergraf_025mg_tableteverolimus_price_uses_side/")</f>
        <v/>
      </c>
      <c r="G973" t="inlineStr">
        <is>
          <t>2019-02-26 22:35:43</t>
        </is>
      </c>
      <c r="H973" t="inlineStr"/>
    </row>
    <row r="974">
      <c r="A974" t="inlineStr">
        <is>
          <t>avafrl</t>
        </is>
      </c>
      <c r="B974" t="inlineStr">
        <is>
          <t>Preventive tips for cancer.</t>
        </is>
      </c>
      <c r="C974" t="inlineStr">
        <is>
          <t xml:space="preserve">  
* **Don’t use tobacco**: 
Are you using tobacco then try to reduce it. If we use any type of tobacco it can lead us to different types of [cancer](https://jacobspublishers.com/jacobs-journal-of-cancer-science-and-research-issn-2380-114x/). Smoking has been linked to various types of cancer like cancer of mouth, lung, pancreas, throat, cervix, kidney and bladder. Chewing tobacco is also linked to increase the cancer of the oral cavity and pancreas.
* **Maintain a healthy diet:**
Although taking healthy diet cannot help us to prevent cancer. But it can help us to reduce the risk from the cancer.
I. Eat plenty of fruits and vegetables
II. Drink alcohol in moderation 
III. Avoid obesity
IV. Limit processed meats
* **Protecting ourselves from sun:**
I. Try to stay in the shade
II. Avoid midday sun
III. Avoid tanning beds and sunlamps
IV. Don’t skimp on sunscreen
V. Cover exposed areas
&amp;amp;#x200B;
&amp;amp;#x200B;
https://i.redd.it/gdl3tbpq62j21.jpg</t>
        </is>
      </c>
      <c r="D974" t="n">
        <v>0</v>
      </c>
      <c r="E974" t="n">
        <v>0</v>
      </c>
      <c r="F974">
        <f>HYPERLINK("https://www.reddit.com/r/cancer/comments/avafrl/preventive_tips_for_cancer/")</f>
        <v/>
      </c>
      <c r="G974" t="inlineStr">
        <is>
          <t>2019-02-26 22:56:00</t>
        </is>
      </c>
      <c r="H974" t="inlineStr"/>
    </row>
    <row r="975">
      <c r="A975" t="inlineStr">
        <is>
          <t>avbz15</t>
        </is>
      </c>
      <c r="B975" t="inlineStr">
        <is>
          <t>Mother (70) has metastatic gastric cancer with peritoneal carcinoma. How long to live?</t>
        </is>
      </c>
      <c r="C975" t="inlineStr">
        <is>
          <t xml:space="preserve">My mother (72 YO) was diagnosed with T3NxM1 gastric cancer. The doctors call it incurable and the FOLFOX chemotherapy is considered palliative. It spread locally to the peritoneum where signet ring cell carcinoma was found. The laparotomy to confirm the diagnosis was performed last November (11/18.)
I see that with HIPEC, there is a 15 to 35 month average survival time, but the doctors are not suggesting HIPEC or cytoreductive surgery. 
Is she likely to live out the remainder year?  </t>
        </is>
      </c>
      <c r="D975" t="n">
        <v>0</v>
      </c>
      <c r="E975" t="n">
        <v>2</v>
      </c>
      <c r="F975">
        <f>HYPERLINK("https://www.reddit.com/r/cancer/comments/avbz15/mother_70_has_metastatic_gastric_cancer_with/")</f>
        <v/>
      </c>
      <c r="G975" t="inlineStr">
        <is>
          <t>2019-02-27 02:20:22</t>
        </is>
      </c>
      <c r="H975" t="inlineStr"/>
    </row>
    <row r="976">
      <c r="A976" t="inlineStr">
        <is>
          <t>avcsgp</t>
        </is>
      </c>
      <c r="B976" t="inlineStr">
        <is>
          <t>How She Conquered The Battle for Life</t>
        </is>
      </c>
      <c r="C976" t="inlineStr">
        <is>
          <t xml:space="preserve"> 
My Girlfriend was suffering from Pericardial Mesothelioma Cancer from last few months. It was our good luck that the symptoms are spotted in the very initial stage. From the last 4–5 months, she was much worried and so I am.
Watching your suffer from a deadly disease which at the end leads to death is kind of scary. I have had consulted almost a dozen of mesothelioma cancer firms as well as Mesothelioma specialists but no one helped me a lot. Everyone referred her to another doctor and so on.
In the end, I found a firm on the Internet named [Mesothelioma Doctor Canada](http://mesotheliomadoctorcanada.com/). The only reason the love of my life is with me today is MDC. I personally suggest you check them out if you or your loved one is also suffering from deadly mesothelioma cancer.
In this story, I have basically explained Pericardial Mesothelioma, treatment, symptoms, diagnosis as well as the prognosis. All the below-written stuff are self-examined by me and is 100% true.
I have also written a blog on [How My GF conquered her battle for life](https://mesotheliomadoctorcanada.com/pericardial-mesothelioma/). You can also check that blog [here ](https://mesotheliomadoctorcanada.com/pericardial-mesothelioma/)or you’ll find the link at the end of this story.
So, let’s get into it.
### What Is Pericardial Mesothelioma?
Pericardial mesothelioma begins in the pericardium, the defensive layer coating the heart. This sickness represents around 1 percent of all [mesothelioma](http://mesotheliomadoctorcanada.com/mesothelioma-cancer/) analyze and has a for the most part poor visualization. In any case, there are careful and chemotherapeutic alternatives that can expand survival time.
Since it is one of the rarest [types of mesothelioma](http://mesotheliomadoctorcanada.com/mesothelioma-cancer-types/), scientists have contemplated pericardial mesothelioma not exactly pleural or peritoneal sorts. As more instances of pericardial mesothelioma surface, be that as it may, analysts will grow greater treatment choices. These treatment choices begin in clinical preliminaries, which might select at this point.
#### What medicines work?
Medications like pericardiectomy and chemotherapy can improve a patient’s personal satisfaction. There are some eminent instances of medicines dealing with the spread of this malignancy for noteworthy time spans.
#### What’s the forecast for this malady?
Most pericardial mesothelioma patients have an anticipation of a half year. However, there are dependably exemptions to the standard. Converse with somebody who can enable you to investigate potential treatment alternatives.
### Medications
[Treatment](http://mesotheliomadoctorcanada.com/mesothelioma-treatment/) for pericardial mesothelioma has not been completely created because of the uncommonness of the infection.
Since the pericardial coating is so near the heart, authorities limit treatment for pericardial mesothelioma to confined patches of tumor development. This limits harm to the heart amid medical procedure or focused on radiation treatment.
&amp;amp;#x200B;
You can check the survival story by clicking [here](https://mesotheliomadoctorcanada.com/pericardial-mesothelioma/). OR by checking the blog ....
#  [How My GF conquered her battle for life](https://mesotheliomadoctorcanada.com/pericardial-mesothelioma/).</t>
        </is>
      </c>
      <c r="D976" t="n">
        <v>0</v>
      </c>
      <c r="E976" t="n">
        <v>0</v>
      </c>
      <c r="F976">
        <f>HYPERLINK("https://www.reddit.com/r/cancer/comments/avcsgp/how_she_conquered_the_battle_for_life/")</f>
        <v/>
      </c>
      <c r="G976" t="inlineStr">
        <is>
          <t>2019-02-27 04:08:27</t>
        </is>
      </c>
      <c r="H976" t="inlineStr"/>
    </row>
    <row r="977">
      <c r="A977" t="inlineStr">
        <is>
          <t>avdzqb</t>
        </is>
      </c>
      <c r="B977" t="inlineStr">
        <is>
          <t>*Rant* I'm Living a Writer's Tragedy.</t>
        </is>
      </c>
      <c r="C977" t="inlineStr">
        <is>
          <t xml:space="preserve">My dad was diagnosed with Stage IV Pancreatic Cancer 2 months ago, and I took medical leave to be at home with him, my mom, and my sister (who is a brand new mom) and everything is falling apart. 
&amp;amp;#x200B;
I've been reading a lot of books on how to write fiction, and I see how these laws of writing are mirrored in my life right now. The Hero, my dad is sick. His world is reflecting his struggle - Everything in the house is broken or falling apart, the washer, the dryer, floors, it's all fucking broken. Those things are driving my mom into despair, but she has to continue teaching because we are too broke to fix anything. Meanwhile, my dad's workability is in constant decline, which he is barely aware of, and the chemo is taking a huge toll on his body, he is failing to thrive. I want to enjoy my time with them and help, but I have responsibilities of my own, and I'm becoming resentful of my dad, who I love so much, because of the meltdowns of my mom I am forced to witness everyday - when in reality, I'm just angry at the cancer, which I feel like is driving my dad's body like some cruel fucking hostage situation. 
&amp;amp;#x200B;
I just feel like I'm living in some writer's tragedy and everywhere I look I see suffering, and what's even more sick is I know it's only going to get worse, and beyond that, these are the people that I love the most, and yet I feel like cancer has us all reading it's own scripts and telling us how to behave and act toward each other. Cancer is like some twisted child playing strange games with toys, and we're the toys, and our feelings our oblivious to the child. 
&amp;amp;#x200B;
I want to love my dad. I want my mom happy. I want the house fixed. The cancer fucking gone. My sister is living in this world as a new mother. I want money to be able to fix the washer and dryer. I want. I want. I want. To. Live. In. My. Old. Life. 
&amp;amp;#x200B;
\- Love 
Max </t>
        </is>
      </c>
      <c r="D977" t="n">
        <v>3</v>
      </c>
      <c r="E977" t="n">
        <v>6</v>
      </c>
      <c r="F977">
        <f>HYPERLINK("https://www.reddit.com/r/cancer/comments/avdzqb/rant_im_living_a_writers_tragedy/")</f>
        <v/>
      </c>
      <c r="G977" t="inlineStr">
        <is>
          <t>2019-02-27 06:21:52</t>
        </is>
      </c>
      <c r="H977" t="inlineStr"/>
    </row>
    <row r="978">
      <c r="A978" t="inlineStr">
        <is>
          <t>ave848</t>
        </is>
      </c>
      <c r="B978" t="inlineStr">
        <is>
          <t>How is this fair?</t>
        </is>
      </c>
      <c r="C978" t="inlineStr">
        <is>
          <t>How is it fair, mom?
All I had was you.
You were the only thing constant in my life.
I tried to love you and make you happy as much as I could but I fucking hate that it was all limited by the cancer that broke and eviscerated your body.
I wish I could have made you happy.
How is it fair?
I’m only 23.
I was only 20 when you were diagnosed with stage 4 inflammatory breast cancer.
I’m only a kid.
I’m still trying to figure out if a man is worth marrying or not.
I’m still trying to figure out how to work and make money like a real adult.
I still need my mom.
I never was able to give my first pay check to you.
I wanted to buy you your favourite meal. Or that piece of jewelry you’ve been eyeing that whole time.
I wanted to make money to buy you the dream house you always wanted.
I wanted to succeed for you and for you to tell me how proud you are.
How is this fair?
Why did you have to have cancer?
Why did you have to go?
Why am I all alone without my mom?
I need you.
I miss you.
I want to be held by you.
What am I doing anything for if you’re not here?</t>
        </is>
      </c>
      <c r="D978" t="n">
        <v>94</v>
      </c>
      <c r="E978" t="n">
        <v>22</v>
      </c>
      <c r="F978">
        <f>HYPERLINK("https://www.reddit.com/r/cancer/comments/ave848/how_is_this_fair/")</f>
        <v/>
      </c>
      <c r="G978" t="inlineStr">
        <is>
          <t>2019-02-27 06:46:12</t>
        </is>
      </c>
      <c r="H978" t="inlineStr"/>
    </row>
    <row r="979">
      <c r="A979" t="inlineStr">
        <is>
          <t>avehmv</t>
        </is>
      </c>
      <c r="B979" t="inlineStr">
        <is>
          <t>Reccurence after 8 years...</t>
        </is>
      </c>
      <c r="C979" t="inlineStr">
        <is>
          <t>Long story  as short as possible:
&amp;amp;#x200B;
2010:
\- My mom (59 yrs old), found out she had uterin cervix cancer, the year my older sister had a wedding programmed in (November - a wedding  where she tried her best to be happy, although the chemotherapy negatives effects where on her) ; After doing the usual treatment in this case, and having a surgery, she managed to win the battle, and the surgery was declared succesfull. The shock she had was very big, she was emotionally destroyed, she had moments where she would "break", staring at something for hours not even saying a word or moving. Me and my family members were more scared of the emotional state of her, that the fact she had cancer (the prognosis was pretty good from the beginning, but she kept saying we are just lying to her). She kept going to yearly controls (for 5 years, and everything was ok), so we finally thought we're in the "green zone". (btw, she had the same bad emotions everytime she waited for the results to come).
&amp;amp;#x200B;
Back in 2019:
After having some minor pains the last 5-6 months (randomly - not 24/24h) located to the right leg, two days ago we found out she has methastasis (at least that's how we interpret it from the scintigraphy), humerus, femural and around waist i think. The coincidence with the story from 2010, is that i have my wedding planned in Nov 2019...
We have programmed a session at an oncologist doctor this Friday, but we haven't communicated the results to her. We are all broken (me, my dad and my sister), and we don't even know how to tell her, especially since she already stated that she doesn't want to visit any doctors soon (and she's very stubborn, in a negative way).
Personally (29yrs old male), i'm broken, i had no idea i could be so affected by this.
&amp;amp;#x200B;
I'm not writing this to find out chances, diagnosis etc., that's the oncologist job, but  i would appreciate any advice like:
1). How do you guys give the news to someone who is very emotionally fragile?
2). How can i support her for what's to come?
3). How can i manage my emotions around her? How am i going to stay focused on my private live, outside my family? Business, friends, etc.
4). I'm thinking about my wedding :
a). Will she be alive to attend to my wedding? (crying as i'm writing this hypothesis). Should i cancel it from now?
b). Will she be in a "good" condition to attend to my wedding? If not, how i am gonna "enjoy" the "most important" moment of my life?
5). Should i share this with my close friends? Since i've heard the news i keep rejecting phone calls from them, as i'm afraid i will be emotionally affected or rejecting any of their "having fun" proposal
&amp;amp;#x200B;
&amp;amp;#x200B;
&amp;amp;#x200B;</t>
        </is>
      </c>
      <c r="D979" t="n">
        <v>2</v>
      </c>
      <c r="E979" t="n">
        <v>1</v>
      </c>
      <c r="F979">
        <f>HYPERLINK("https://www.reddit.com/r/cancer/comments/avehmv/reccurence_after_8_years/")</f>
        <v/>
      </c>
      <c r="G979" t="inlineStr">
        <is>
          <t>2019-02-27 07:11:44</t>
        </is>
      </c>
      <c r="H979" t="inlineStr"/>
    </row>
    <row r="980">
      <c r="A980" t="inlineStr">
        <is>
          <t>averzy</t>
        </is>
      </c>
      <c r="B980" t="inlineStr">
        <is>
          <t>I don't talk to anyone about this..</t>
        </is>
      </c>
      <c r="C980" t="inlineStr">
        <is>
          <t xml:space="preserve">I saw a therapist very briefly, but life got too busy.
&amp;amp;#x200B;
I don't talk to anyone about this. Some of my friends know, but they don't really know. They know that my mom has cancer, but they don't know that I hear her throwing up at 1am from treatment, and run in to hold her hair back for an hour. Then I wake up at 6 am to bring her water &amp;amp; food to take her medicine with.
&amp;amp;#x200B;
Yesterday, she had a procedure done. I walked in after to see her laying on her stomach, tubes everywhere, and I always stay strong, but I almost cried in front of her. She does so much to stay alive, and she does it for my brothers and I. She doesn't deserve this. In that moment, I wished I had someone to tell. </t>
        </is>
      </c>
      <c r="D980" t="n">
        <v>2</v>
      </c>
      <c r="E980" t="n">
        <v>1</v>
      </c>
      <c r="F980">
        <f>HYPERLINK("https://www.reddit.com/r/cancer/comments/averzy/i_dont_talk_to_anyone_about_this/")</f>
        <v/>
      </c>
      <c r="G980" t="inlineStr">
        <is>
          <t>2019-02-27 07:39:01</t>
        </is>
      </c>
      <c r="H980" t="inlineStr"/>
    </row>
    <row r="981">
      <c r="A981" t="inlineStr">
        <is>
          <t>avf75p</t>
        </is>
      </c>
      <c r="B981" t="inlineStr">
        <is>
          <t>Does prednisone cause constipation?</t>
        </is>
      </c>
      <c r="C981" t="inlineStr">
        <is>
          <t>Hey not to be TMI but I figured someone on here might know the answer. I’m getting R-CHOP and yesterday was my last day on the prednisone. Today, I have done nothing but go to the bathroom! The last few days my movements haven’t been as normal as usual (going less than normal and in smaller amounts) but this morning I got up and went 4 times in 2 hours! It’s a bit much and is starting to hurt. I don’t remember this happening in previous rounds. Should this stop soon or am I going to be having issues for a few days? Anyone else deal with this and have advice? Should some OTC’s or food choices help or should I call my doctor?
Thanks!</t>
        </is>
      </c>
      <c r="D981" t="n">
        <v>0</v>
      </c>
      <c r="E981" t="n">
        <v>4</v>
      </c>
      <c r="F981">
        <f>HYPERLINK("https://www.reddit.com/r/cancer/comments/avf75p/does_prednisone_cause_constipation/")</f>
        <v/>
      </c>
      <c r="G981" t="inlineStr">
        <is>
          <t>2019-02-27 08:18:05</t>
        </is>
      </c>
      <c r="H981" t="inlineStr"/>
    </row>
    <row r="982">
      <c r="A982" t="inlineStr">
        <is>
          <t>avfkk5</t>
        </is>
      </c>
      <c r="B982" t="inlineStr">
        <is>
          <t>Throut cancer at 24(M)</t>
        </is>
      </c>
      <c r="C982" t="inlineStr">
        <is>
          <t xml:space="preserve">Well... Ive been diegnosed with cancer at 24. This is qite a shock. </t>
        </is>
      </c>
      <c r="D982" t="n">
        <v>6</v>
      </c>
      <c r="E982" t="n">
        <v>9</v>
      </c>
      <c r="F982">
        <f>HYPERLINK("https://www.reddit.com/r/cancer/comments/avfkk5/throut_cancer_at_24m/")</f>
        <v/>
      </c>
      <c r="G982" t="inlineStr">
        <is>
          <t>2019-02-27 08:52:35</t>
        </is>
      </c>
      <c r="H982" t="inlineStr"/>
    </row>
    <row r="983">
      <c r="A983" t="inlineStr">
        <is>
          <t>avg7m8</t>
        </is>
      </c>
      <c r="B983" t="inlineStr">
        <is>
          <t>Some kind of support</t>
        </is>
      </c>
      <c r="C983" t="inlineStr">
        <is>
          <t>So im miserable with no reason to go on. I have no friends,  no family.  I asked the r/cancer discord channel for support/ help smd they made up something about my online friend in their (we are still online friends) when I professed that it wasn't true they kicked me. I now have no support and they are following me around reddit.
I just want some kind of support,  if anyone could help it would be much appreciated,  life looks dark and I just don't care anymore. I talk to a therapist but it doesn't help. I beginning to think they're is only one way out of this pain ive had for 4 years. 
If your gonna reply with more harassment just don't, your a bad person.</t>
        </is>
      </c>
      <c r="D983" t="n">
        <v>0</v>
      </c>
      <c r="E983" t="n">
        <v>15</v>
      </c>
      <c r="F983">
        <f>HYPERLINK("https://www.reddit.com/r/cancer/comments/avg7m8/some_kind_of_support/")</f>
        <v/>
      </c>
      <c r="G983" t="inlineStr">
        <is>
          <t>2019-02-27 09:50:15</t>
        </is>
      </c>
      <c r="H983" t="inlineStr"/>
    </row>
    <row r="984">
      <c r="A984" t="inlineStr">
        <is>
          <t>avgxkl</t>
        </is>
      </c>
      <c r="B984" t="inlineStr">
        <is>
          <t>I really need support</t>
        </is>
      </c>
      <c r="C984" t="inlineStr">
        <is>
          <t xml:space="preserve">Why is the a joke to you guys. I am in need of support. Does me crying and wanting to die make you happy?  Why can't I just get some kind of support,  someone to talk to without mods here following me saying "well you did this" well I still need support.  This reddit has taken me down,  yesterday I was happy. What a terrible support system.  </t>
        </is>
      </c>
      <c r="D984" t="n">
        <v>0</v>
      </c>
      <c r="E984" t="n">
        <v>0</v>
      </c>
      <c r="F984">
        <f>HYPERLINK("https://www.reddit.com/r/cancer/comments/avgxkl/i_really_need_support/")</f>
        <v/>
      </c>
      <c r="G984" t="inlineStr">
        <is>
          <t>2019-02-27 10:54:13</t>
        </is>
      </c>
      <c r="H984" t="inlineStr"/>
    </row>
    <row r="985">
      <c r="A985" t="inlineStr">
        <is>
          <t>avh5e3</t>
        </is>
      </c>
      <c r="B985" t="inlineStr">
        <is>
          <t>My mother just told me she has cancer and i dont know what to say to comfort her can anyone give me any advice please?</t>
        </is>
      </c>
      <c r="C985" t="inlineStr">
        <is>
          <t>Sorry if this isn't the right sub for this but my mother just told me last night she has cancer and I kind of froze an did not know what to say. Can anyone give me any advice? 
Also I apologise if this is the right place to ask this. If this is not the right place can anyone direct me to somewhere it might be? 
Thanks y'all</t>
        </is>
      </c>
      <c r="D985" t="n">
        <v>9</v>
      </c>
      <c r="E985" t="n">
        <v>18</v>
      </c>
      <c r="F985">
        <f>HYPERLINK("https://www.reddit.com/r/cancer/comments/avh5e3/my_mother_just_told_me_she_has_cancer_and_i_dont/")</f>
        <v/>
      </c>
      <c r="G985" t="inlineStr">
        <is>
          <t>2019-02-27 11:13:46</t>
        </is>
      </c>
      <c r="H985" t="inlineStr"/>
    </row>
    <row r="986">
      <c r="A986" t="inlineStr">
        <is>
          <t>avh8am</t>
        </is>
      </c>
      <c r="B986" t="inlineStr">
        <is>
          <t>Please, HELP</t>
        </is>
      </c>
      <c r="C986" t="inlineStr">
        <is>
          <t>Why is the a joke to you guys. I am in need of support. Does me crying and wanting to die make you happy?  Why can't I just get some kind of support,  someone to talk to without mods here following me saying "well you did this" well I still need support.  This reddit has taken me down,  yesterday I was happy. Today im being for help, while the mods delete my posts. What a terrible support system.  
I've been in pain 4 years and don't want to continue.  I have no friends,  no family,  no support, and when i ask for support here im told I don't need it because someone found a joke in the past offensive. SO! I am still im need of support, please stop deleting my posts and please dont comment if your just going to be down.  I am finding it hard to continue and people are worried about their ego's</t>
        </is>
      </c>
      <c r="D986" t="n">
        <v>1</v>
      </c>
      <c r="E986" t="n">
        <v>1</v>
      </c>
      <c r="F986">
        <f>HYPERLINK("https://www.reddit.com/r/cancer/comments/avh8am/please_help/")</f>
        <v/>
      </c>
      <c r="G986" t="inlineStr">
        <is>
          <t>2019-02-27 11:20:54</t>
        </is>
      </c>
      <c r="H986" t="inlineStr"/>
    </row>
    <row r="987">
      <c r="A987" t="inlineStr">
        <is>
          <t>avh9xx</t>
        </is>
      </c>
      <c r="B987" t="inlineStr">
        <is>
          <t>Seeking advice on how to cope with the news of my grandfathers cancer.</t>
        </is>
      </c>
      <c r="C987" t="inlineStr">
        <is>
          <t xml:space="preserve">My grandfather was diagnosed with bladder cancer on Thanksgiving. He had surgery to have his tumor removed, at first all was good. They went in and believed to have gotten all that they could. No news was good news, until recently. My grandfather had just started chemotherapy last week, he is incredibly weak and having an extremely hard time handling the toll it is taking on his body, doctors let us know without the continuation of treatment he will only have 6 months, with chemo at most he will have 2 years... my father told me it is very unlikely he we have those 2 years due to his age and the toll chemo has already begun to take on him.
I’ve been having an incredibly hard time accepting all of this, and feel helpless. Today I plan on seeing him for the first time since he started chemo, to be honest I’m terrified of everything that is about to come. My grandfather has played a huge roll in my life and has pushed me to get an education, travel the world, and overcome my depression and anxiety. He’s one of the few family members I feel has ever loved me for who I am and genuinely cheered me on through it all. 
I can’t imagine my life without him, I don’t want to see him wither away from chemo and cancer. I’m not ready to see my grandfather die from this horrible ass thing called cancer.
This is the first time I’ve dealt with cancer in a close family member. As I stated I have depression and anxiety and losing people I love has had a profound impact on my life and my daily functioning. I had to call off work today because I just feel so overwhelmed and have already scheduled a therapy appointment for Friday. 
Are there any books, shows / documentaries, stories, or other things that may be helpful for someone in my situation? How do go about seeing my grandfather and interacting with him? I know that sounds odd, but I can’t help but think of how I want to break down and cry with him. I don’t know what to do or how to handle any of this. Any suggestions or advice is greatly appreciated. </t>
        </is>
      </c>
      <c r="D987" t="n">
        <v>2</v>
      </c>
      <c r="E987" t="n">
        <v>0</v>
      </c>
      <c r="F987">
        <f>HYPERLINK("https://www.reddit.com/r/cancer/comments/avh9xx/seeking_advice_on_how_to_cope_with_the_news_of_my/")</f>
        <v/>
      </c>
      <c r="G987" t="inlineStr">
        <is>
          <t>2019-02-27 11:25:05</t>
        </is>
      </c>
      <c r="H987" t="inlineStr"/>
    </row>
    <row r="988">
      <c r="A988" t="inlineStr">
        <is>
          <t>avhkl8</t>
        </is>
      </c>
      <c r="B988" t="inlineStr">
        <is>
          <t>Mindfulness Meditation Class / Support Grp</t>
        </is>
      </c>
      <c r="C988" t="inlineStr">
        <is>
          <t xml:space="preserve">I work as a psychologist and am interested in offering an online mindfulness meditation class / support group for people with terminal diagnoses. 
Is there any interest in this?  Please comment or mssg me. </t>
        </is>
      </c>
      <c r="D988" t="n">
        <v>5</v>
      </c>
      <c r="E988" t="n">
        <v>1</v>
      </c>
      <c r="F988">
        <f>HYPERLINK("https://www.reddit.com/r/cancer/comments/avhkl8/mindfulness_meditation_class_support_grp/")</f>
        <v/>
      </c>
      <c r="G988" t="inlineStr">
        <is>
          <t>2019-02-27 11:51:08</t>
        </is>
      </c>
      <c r="H988" t="inlineStr"/>
    </row>
    <row r="989">
      <c r="A989" t="inlineStr">
        <is>
          <t>avhzr5</t>
        </is>
      </c>
      <c r="B989" t="inlineStr">
        <is>
          <t>Back in December I lost my mom to a reoccurrence of diffused large b-cell and follicular lymphoma. 83 days later, this last Sunday, I lost my dad to bladder cancer that metastasized to lungs, liver, and adrenal glands. I’m only 24.</t>
        </is>
      </c>
      <c r="C989" t="inlineStr">
        <is>
          <t xml:space="preserve">My life has been basically turned on it’s head and I’m just feeling so sad and empty. </t>
        </is>
      </c>
      <c r="D989" t="n">
        <v>54</v>
      </c>
      <c r="E989" t="n">
        <v>8</v>
      </c>
      <c r="F989">
        <f>HYPERLINK("https://www.reddit.com/r/cancer/comments/avhzr5/back_in_december_i_lost_my_mom_to_a_reoccurrence/")</f>
        <v/>
      </c>
      <c r="G989" t="inlineStr">
        <is>
          <t>2019-02-27 12:27:32</t>
        </is>
      </c>
      <c r="H989" t="inlineStr"/>
    </row>
    <row r="990">
      <c r="A990" t="inlineStr">
        <is>
          <t>avi1pq</t>
        </is>
      </c>
      <c r="B990" t="inlineStr">
        <is>
          <t>Is anyone affected more so by the cold after chemo?</t>
        </is>
      </c>
      <c r="C990" t="inlineStr">
        <is>
          <t xml:space="preserve">God I feel like anything below 40 degrees F is unbearable anymore. </t>
        </is>
      </c>
      <c r="D990" t="n">
        <v>13</v>
      </c>
      <c r="E990" t="n">
        <v>14</v>
      </c>
      <c r="F990">
        <f>HYPERLINK("https://www.reddit.com/r/cancer/comments/avi1pq/is_anyone_affected_more_so_by_the_cold_after_chemo/")</f>
        <v/>
      </c>
      <c r="G990" t="inlineStr">
        <is>
          <t>2019-02-27 12:32:13</t>
        </is>
      </c>
      <c r="H990" t="inlineStr"/>
    </row>
    <row r="991">
      <c r="A991" t="inlineStr">
        <is>
          <t>avie9f</t>
        </is>
      </c>
      <c r="B991" t="inlineStr">
        <is>
          <t>Hello everyone. Just got some news from my mom. I wanted to see if any of you would have any insights. Very new information I will add what I can in the text box.</t>
        </is>
      </c>
      <c r="C991" t="inlineStr">
        <is>
          <t xml:space="preserve">Mom just had a avocado sized lump removed from her neck last week.  They got about 90% of it.  The rest was wrapped around her jugular.  She had a pet scan done on Monday and just got initial results about 30 minutes ago.  The pet scan showed a primary site in her lung.  Here is what the doc told them today.  "The cancer is poorly differentiated non-small cell, non-squamous carcinoma with spindle cell features (sarcomatoid carcinoma). Sarcoma of the lung is what makes it very unusual. Cancer in her lung is midway in her right lung and quite large."  They have been refereed to MD Anderson in Houston TX for further tests and treatment options.  
Yall can shoot straight with me.  My quick little check of the webs basically tells me the prognosis is dismal at best.  
Thank you all in advance for any info or guidance.  </t>
        </is>
      </c>
      <c r="D991" t="n">
        <v>12</v>
      </c>
      <c r="E991" t="n">
        <v>5</v>
      </c>
      <c r="F991">
        <f>HYPERLINK("https://www.reddit.com/r/cancer/comments/avie9f/hello_everyone_just_got_some_news_from_my_mom_i/")</f>
        <v/>
      </c>
      <c r="G991" t="inlineStr">
        <is>
          <t>2019-02-27 13:03:19</t>
        </is>
      </c>
      <c r="H991" t="inlineStr"/>
    </row>
    <row r="992">
      <c r="A992" t="inlineStr">
        <is>
          <t>avj1yz</t>
        </is>
      </c>
      <c r="B992" t="inlineStr">
        <is>
          <t>Leukemia &amp;amp; Female Infertility</t>
        </is>
      </c>
      <c r="C992" t="inlineStr">
        <is>
          <t xml:space="preserve">I'm a 25 yr old female diagnosed with ALL. I had an appt with my oncologist on Monday to discuss my bone marrow biopsy results post the induction phase and he revealed that I'm in remission (yay!). We then discussed the consolidation regime plan and advised me to see a Dr. who specialized in bone marrow transplant. It's important to note that my oncologist is a male Dr., while he is amazing he briefly mentioned the risks of chemo &amp;amp; infertility. Seeing as there was a lot going on during my induction phase (mentally and physically) I didn't look too much into it and, quite honestly, I was scared to scour the internet. 
I made an appt. with a Dr. who specialized in bone barrow transplant and the Dr. is a she. She commended me on my strength and the risks of bone marrow etc. but she spend a great deal of time talking about the risks of infertility and told me that realistically I might be infertile after undergoing the chemo. I've never really taken the time of day to think of children nor aspired to be a mother, but as a woman, to be told you might not be able to have kids just fucking hurts. 
I wanted to seek out to my wonderful r/cancer friends what your experience was or even  some comforting stories (or negative ones too). 
&amp;amp;#x200B;
I'd appreciate your input :) </t>
        </is>
      </c>
      <c r="D992" t="n">
        <v>7</v>
      </c>
      <c r="E992" t="n">
        <v>28</v>
      </c>
      <c r="F992">
        <f>HYPERLINK("https://www.reddit.com/r/cancer/comments/avj1yz/leukemia_female_infertility/")</f>
        <v/>
      </c>
      <c r="G992" t="inlineStr">
        <is>
          <t>2019-02-27 14:02:15</t>
        </is>
      </c>
      <c r="H992" t="inlineStr"/>
    </row>
    <row r="993">
      <c r="A993" t="inlineStr">
        <is>
          <t>avkmn2</t>
        </is>
      </c>
      <c r="B993" t="inlineStr">
        <is>
          <t>Brother was just diagnosed with ALL, want to help</t>
        </is>
      </c>
      <c r="C993" t="inlineStr">
        <is>
          <t>Just got the call from my mom. From what I've read online it's a pretty big diagnosis. Anything I can do to help my brother out right now? I'm in a different state and I was told this wouldn't be the best time to visit. He'll be starting chemo in a few days as I understand it.
I wasn't the best brother, (but who is really? Neither of us were that terrible at the end of the day) so I feel some guilt right now if that makes any sense.</t>
        </is>
      </c>
      <c r="D993" t="n">
        <v>8</v>
      </c>
      <c r="E993" t="n">
        <v>11</v>
      </c>
      <c r="F993">
        <f>HYPERLINK("https://www.reddit.com/r/cancer/comments/avkmn2/brother_was_just_diagnosed_with_all_want_to_help/")</f>
        <v/>
      </c>
      <c r="G993" t="inlineStr">
        <is>
          <t>2019-02-27 16:29:36</t>
        </is>
      </c>
      <c r="H993" t="inlineStr"/>
    </row>
    <row r="994">
      <c r="A994" t="inlineStr">
        <is>
          <t>avkocu</t>
        </is>
      </c>
      <c r="B994" t="inlineStr">
        <is>
          <t>[Help] Is this a scam? Tijuana “immunity therapy center” claims to cure.</t>
        </is>
      </c>
      <c r="C994" t="inlineStr">
        <is>
          <t>Hello, I am very desperate for answers. My grandmother has recently fallen victim to cancer which has spread from her lungs to practically the rest of her body. She’s been doing a lot of treatment but it’s only getting worse.
My mother found this “center” called Immunity Therapy Center in Tijuana, Mexico, and they have a lot of oddly mixed reviews.. Some say its a scam but others claim it has saved their loved ones.
Does anyone know if this is legitimate or if it’s a scam, I can’t find any information anywhere.</t>
        </is>
      </c>
      <c r="D994" t="n">
        <v>3</v>
      </c>
      <c r="E994" t="n">
        <v>11</v>
      </c>
      <c r="F994">
        <f>HYPERLINK("https://www.reddit.com/r/cancer/comments/avkocu/help_is_this_a_scam_tijuana_immunity_therapy/")</f>
        <v/>
      </c>
      <c r="G994" t="inlineStr">
        <is>
          <t>2019-02-27 16:34:19</t>
        </is>
      </c>
      <c r="H994" t="inlineStr"/>
    </row>
    <row r="995">
      <c r="A995" t="inlineStr">
        <is>
          <t>avl0lv</t>
        </is>
      </c>
      <c r="B995" t="inlineStr">
        <is>
          <t>Lung cancer and carboplatin treatment</t>
        </is>
      </c>
      <c r="C995" t="inlineStr">
        <is>
          <t>Hello all, my dad has been diagnosed with Lung Cancer of small cells and begun treatment with carboplatin yesterday. I want to know if any of you or your relatives have been under this treatment before and share your insights, what to expect, how have you deal with side effects. Thank you</t>
        </is>
      </c>
      <c r="D995" t="n">
        <v>11</v>
      </c>
      <c r="E995" t="n">
        <v>12</v>
      </c>
      <c r="F995">
        <f>HYPERLINK("https://www.reddit.com/r/cancer/comments/avl0lv/lung_cancer_and_carboplatin_treatment/")</f>
        <v/>
      </c>
      <c r="G995" t="inlineStr">
        <is>
          <t>2019-02-27 17:10:02</t>
        </is>
      </c>
      <c r="H995" t="inlineStr"/>
    </row>
    <row r="996">
      <c r="A996" t="inlineStr">
        <is>
          <t>avlnda</t>
        </is>
      </c>
      <c r="B996" t="inlineStr">
        <is>
          <t>Visiting my sister with stage 4 rhabdomyosarcoma in a few weeks — what should I be doing with that time?</t>
        </is>
      </c>
      <c r="C996" t="inlineStr">
        <is>
          <t>### Context
My sister is 33 years old, has two wonderful young daughters, and a husband that I love like a brother.  A little over a month ago, she was diagnosed (out of the blue) with Stage 4 Rhabdomyosarcoma, and given a grim prognosis.
My family and I moved to the Pacific Northwest a few years ago.  My sister lives in the Midwest, a few hours from the main hub of our extended family (near her husband's family, though, so that's been super helpful).
In 10 days, I'm going to be visiting my sister for the first time since she was diagnosed.  It's been the better part of a year since we've seen each other — this isn't a frequent occasion.  Our relationship is good, and we always enjoy when our families get a chance to spend time together — I've just done a terrible job of making time for visits (you can imagine how much I'm regretting that, now).  I'll be staying with them at their home for a full seven days.
Her prognosis was always grim, but I thought we'd have more time.  Without getting too far into the medical details, she's been unexpectedly hospitalized for the past three days (just got extended again, today, with some worrying symptoms).  It's not clear what her timeline is, or how active she's going to be... I'm trying to go into this without assumptions about her health/mobility for that week.
### At this point, my main goals are:
1) Let her know how loved and admired she is (she _truly is_ loved and admired)
2) Give her some peace of mind that her young family is in good hands
3) Make (and capture) some good memories for her and her family (especially her young daughters, my nieces)
4) Help out with the day-to-day practicalities (getting the girls to school, helping with meal prep, generally being "on hand" for whatever comes up)
_Folks who have been touched by this in the past — **if you were in my shoes, how would you spend your time with your ailing sister and her family?**_  What conversations do you wish you'd had (or do you want to have) with your loved ones, knowing time is short?
Generally, I'm trying to not have regrets about what I _didn't_ do.
_P.S. I appreciate this community a lot; I've been lurking the last few months, and it's been incredibly insightful to see so many perspectives.  ❤️ you all.  Also: Fuck Cancer_</t>
        </is>
      </c>
      <c r="D996" t="n">
        <v>42</v>
      </c>
      <c r="E996" t="n">
        <v>16</v>
      </c>
      <c r="F996">
        <f>HYPERLINK("https://www.reddit.com/r/cancer/comments/avlnda/visiting_my_sister_with_stage_4_rhabdomyosarcoma/")</f>
        <v/>
      </c>
      <c r="G996" t="inlineStr">
        <is>
          <t>2019-02-27 18:17:28</t>
        </is>
      </c>
      <c r="H996" t="inlineStr"/>
    </row>
    <row r="997">
      <c r="A997" t="inlineStr">
        <is>
          <t>avm1qw</t>
        </is>
      </c>
      <c r="B997" t="inlineStr">
        <is>
          <t>Should I (18f) do fertility treatments, and will there be complications with the PET scan if I do? (I am definitely going to ask my oncologist but want advice)</t>
        </is>
      </c>
      <c r="C997" t="inlineStr">
        <is>
          <t xml:space="preserve">I’m a high school senior. I was diagnosed with Hodgkins Lymphoma and need to start ABVD chemo treatment after a port placement and a PET scan to determine the stage. 
I’ve been thinking about fertility treatment for obvious reasons. I don’t want kids and haven’t for as long as I’ve remembered (I work a lot with kids so that’s where I’ve gained that). However, I don’t want to make a choice for 35-year old me who might change her mind. 
The problem is I need to start the treatment NOW. I have a PET scan smack in the middle of my fertility treatment and they said my ovaries are guaranteed to light up on the scan. My fear is that this could cause complications in diagnosing my stage (ignoring my ovaries would be bad, not ignoring them could be over-diagnosing). 
I’m going to call my oncologist 100% and see what I should do. I’m just asking for advice in general. 
I don’t know if I should do the fertility treatment in general. I already have so much on my plate with appointments and surgeries. But also this is the only chance I have. 
Help?  </t>
        </is>
      </c>
      <c r="D997" t="n">
        <v>6</v>
      </c>
      <c r="E997" t="n">
        <v>12</v>
      </c>
      <c r="F997">
        <f>HYPERLINK("https://www.reddit.com/r/cancer/comments/avm1qw/should_i_18f_do_fertility_treatments_and_will/")</f>
        <v/>
      </c>
      <c r="G997" t="inlineStr">
        <is>
          <t>2019-02-27 19:00:54</t>
        </is>
      </c>
      <c r="H997" t="inlineStr"/>
    </row>
    <row r="998">
      <c r="A998" t="inlineStr">
        <is>
          <t>avmh4a</t>
        </is>
      </c>
      <c r="B998" t="inlineStr">
        <is>
          <t>How do you know if you have nerve damage from chemo?</t>
        </is>
      </c>
      <c r="C998" t="inlineStr">
        <is>
          <t>I was on Cisplatin and Etoposide, and heard that the former causes nerve damage. How does nerve damage feel?</t>
        </is>
      </c>
      <c r="D998" t="n">
        <v>2</v>
      </c>
      <c r="E998" t="n">
        <v>2</v>
      </c>
      <c r="F998">
        <f>HYPERLINK("https://www.reddit.com/r/cancer/comments/avmh4a/how_do_you_know_if_you_have_nerve_damage_from/")</f>
        <v/>
      </c>
      <c r="G998" t="inlineStr">
        <is>
          <t>2019-02-27 19:45:59</t>
        </is>
      </c>
      <c r="H998" t="inlineStr"/>
    </row>
    <row r="999">
      <c r="A999" t="inlineStr">
        <is>
          <t>avnz8w</t>
        </is>
      </c>
      <c r="B999" t="inlineStr">
        <is>
          <t>Everotas 10mg tablet - Everolimus</t>
        </is>
      </c>
      <c r="C999" t="inlineStr">
        <is>
          <t xml:space="preserve">[**Everotas 10mg**](https://myapplepharma.com/everotas-10-mg.php) contains of an active compound known as Everolimus which is interfere with development of cancer cell and process is slows down, this tablets is not a curable medication, which is helps to slow their spreading into the body </t>
        </is>
      </c>
      <c r="D999" t="n">
        <v>1</v>
      </c>
      <c r="E999" t="n">
        <v>0</v>
      </c>
      <c r="F999">
        <f>HYPERLINK("https://www.reddit.com/r/cancer/comments/avnz8w/everotas_10mg_tablet_everolimus/")</f>
        <v/>
      </c>
      <c r="G999" t="inlineStr">
        <is>
          <t>2019-02-27 22:45:15</t>
        </is>
      </c>
      <c r="H999" t="inlineStr"/>
    </row>
    <row r="1000">
      <c r="A1000" t="inlineStr">
        <is>
          <t>avo35i</t>
        </is>
      </c>
      <c r="B1000" t="inlineStr">
        <is>
          <t>What does this mean?</t>
        </is>
      </c>
      <c r="C1000" t="inlineStr">
        <is>
          <t xml:space="preserve">My best friend’s husband just texted me that her breast cancer has spread to her armpit lymph nodes and her liver.  I didn’t want to ask him what this means, but I need to know.  What are her chances from here?  I am going to be going see her soon (she’s about 500 miles away), and I need to know if I should be saying my goodbyes.  I’m having a hard time processing this.  </t>
        </is>
      </c>
      <c r="D1000" t="n">
        <v>2</v>
      </c>
      <c r="E1000" t="n">
        <v>7</v>
      </c>
      <c r="F1000">
        <f>HYPERLINK("https://www.reddit.com/r/cancer/comments/avo35i/what_does_this_mean/")</f>
        <v/>
      </c>
      <c r="G1000" t="inlineStr">
        <is>
          <t>2019-02-27 22:58:41</t>
        </is>
      </c>
      <c r="H1000" t="inlineStr"/>
    </row>
    <row r="1001">
      <c r="A1001" t="inlineStr">
        <is>
          <t>avoe14</t>
        </is>
      </c>
      <c r="B1001" t="inlineStr">
        <is>
          <t>my great aunt was just diagnosed with stage 4 ovarian cancer.</t>
        </is>
      </c>
      <c r="C1001" t="inlineStr">
        <is>
          <t xml:space="preserve">She’s 93 and will be going through a quick round of radiation but is not pursuing more aggressive treatment. The other day, she had massive vaginal bleeding, so apparently they think vaginal cancer is on the table as well (which, truthfully, I’d never even heard of.) 
I love so many things about her. I love the way she lights up when my baby cousin jumps into her lap to give her a hug. I love the big smooch she plants on my cheek every time I see her. The “you get more beautiful every time I see you.” The best freaking cheesy potatoes she makes that are truly the best part of every holiday celebration. The gentle but strong, loving presence, the cheerful smile, the big hugs, the moments of joy, the moments of pain - I’m so thankful for it all. I love it all, and I am going to miss it for the rest of my life. 
My greatest hope is that the rest of her time this side of Heaven knows nothing but love and peace. I love you so much, Aunt Jean. </t>
        </is>
      </c>
      <c r="D1001" t="n">
        <v>7</v>
      </c>
      <c r="E1001" t="n">
        <v>0</v>
      </c>
      <c r="F1001">
        <f>HYPERLINK("https://www.reddit.com/r/cancer/comments/avoe14/my_great_aunt_was_just_diagnosed_with_stage_4/")</f>
        <v/>
      </c>
      <c r="G1001" t="inlineStr">
        <is>
          <t>2019-02-27 23:36:11</t>
        </is>
      </c>
      <c r="H1001" t="inlineStr"/>
    </row>
    <row r="1002">
      <c r="A1002" t="inlineStr">
        <is>
          <t>avow4t</t>
        </is>
      </c>
      <c r="B1002" t="inlineStr">
        <is>
          <t>What oil cures cancer</t>
        </is>
      </c>
      <c r="C1002" t="inlineStr">
        <is>
          <t>My friend has been given 1 year to live and they are stopping treatment. Can anyone tell me the correct cannabis oil is we need to try treatment at home? Also can I get this in the UK?</t>
        </is>
      </c>
      <c r="D1002" t="n">
        <v>0</v>
      </c>
      <c r="E1002" t="n">
        <v>11</v>
      </c>
      <c r="F1002">
        <f>HYPERLINK("https://www.reddit.com/r/cancer/comments/avow4t/what_oil_cures_cancer/")</f>
        <v/>
      </c>
      <c r="G1002" t="inlineStr">
        <is>
          <t>2019-02-28 00:46:49</t>
        </is>
      </c>
      <c r="H1002" t="inlineStr"/>
    </row>
    <row r="1003">
      <c r="A1003" t="inlineStr">
        <is>
          <t>avrimo</t>
        </is>
      </c>
      <c r="B1003" t="inlineStr">
        <is>
          <t>Follow-up/monitoring found lesions on liver/spleen after CRC surgery</t>
        </is>
      </c>
      <c r="C1003" t="inlineStr">
        <is>
          <t>My mom was diagnosed with Stage IV CRC in 2016 that spread to liver and lung. She did many rounds of chemo to treat the cancer that metastasized - radiotherapy (lung) and ablation (liver), as well as her CRC resection surgery  in December 2016. Long story short - the treatment plan worked, doctors were amazed with her results. She did regular/monthly monitoring and folllow-up CT scans, MRIs, etc. and found no issues. CEA levels were between 5-9 but the doctors considered that normal for her case.
Until her last check up this month where doctors found an elevated CEA level (12) and a lesion on her spleen and liver.
Her doctors say they will do a biopsy on the lesions to confirm if cancerous. We're a little paranoid, so I wonder if anybody here have had a similar experience.
Thank you.</t>
        </is>
      </c>
      <c r="D1003" t="n">
        <v>2</v>
      </c>
      <c r="E1003" t="n">
        <v>0</v>
      </c>
      <c r="F1003">
        <f>HYPERLINK("https://www.reddit.com/r/cancer/comments/avrimo/followupmonitoring_found_lesions_on_liverspleen/")</f>
        <v/>
      </c>
      <c r="G1003" t="inlineStr">
        <is>
          <t>2019-02-28 06:08:36</t>
        </is>
      </c>
      <c r="H1003" t="inlineStr"/>
    </row>
    <row r="1004">
      <c r="A1004" t="inlineStr">
        <is>
          <t>avrvjk</t>
        </is>
      </c>
      <c r="B1004" t="inlineStr">
        <is>
          <t>struggle with tongue cancer with my mom and myself</t>
        </is>
      </c>
      <c r="C1004" t="inlineStr">
        <is>
          <t>Last November my mom was diagnosed with tongue cancer. The doctor cut off 1/2 of her tongue and use skin from her arm to make up for it. That time was hard for me and I started to feel pain in my left tongue.
My school is in Shanghai, so I visit several doctors(about 3 or 4). They all say my tongue is ok and nothing to do with gene. But I just felt something. The last doctor cut off a small piece of my tongue and finally made sure I got tongue cancer, too. And that was after 2 months after I started to fell pain.
I am 22 years old and quite ambitious. I am in a top3 university in China and I was planning to go for a phd degree in the US or Japan. But cancer stroke me.
Luckily, I just took the neck dissection and free from rads and chemos. But recently I am stilled struggled. I have got admitted to a university in Japan with full scholarship. But I have cancer, should I go? My left tongue was fixed to the bottom of my mouth and my right tongue hurts when I speak and rub against with teeth. Just feeling tired.</t>
        </is>
      </c>
      <c r="D1004" t="n">
        <v>5</v>
      </c>
      <c r="E1004" t="n">
        <v>5</v>
      </c>
      <c r="F1004">
        <f>HYPERLINK("https://www.reddit.com/r/cancer/comments/avrvjk/struggle_with_tongue_cancer_with_my_mom_and_myself/")</f>
        <v/>
      </c>
      <c r="G1004" t="inlineStr">
        <is>
          <t>2019-02-28 06:45:13</t>
        </is>
      </c>
      <c r="H1004" t="inlineStr"/>
    </row>
    <row r="1005">
      <c r="A1005" t="inlineStr">
        <is>
          <t>avs6lx</t>
        </is>
      </c>
      <c r="B1005" t="inlineStr">
        <is>
          <t>How to find happiness in an all but terminal diagnosis</t>
        </is>
      </c>
      <c r="C1005" t="inlineStr">
        <is>
          <t xml:space="preserve">Hello all you lovely people,
I posted recently about a difficult choice I thought I had to make: https://www.reddit.com/r/cancer/comments/aavd1v/hard_surgical_choice_advise_needed_surgery_or/?utm_medium=android_app&amp;amp;utm_source=share
However, I have since pressed my surgeons for overall survival statistics if I get the total pelvic extenteration Vs a lesser surgery Vs no surgery. To their credit, they gave me the numbers but ... God their numbers are horrific. It seems that I, at best have a 30% five year survival but more realistically have closer to 10%. Without sharing a boring amount of detail these numbers are based on the sum total of the world's surgical outcome data on men with T4 N2b M0. Well .... They had half but then I have the other half for professional reasons.... It seems those numbers are accurate. 
So. If I survive five years it will be quite the surprise. And indeed this has proven too much for my partner and most of my family. So I have had to move out of living with my partner into my families. But then they too asked me to leave because it was too much to be around me. Too much emotionally to be confronted by me. So I now live alone. 
My question to all of you is how do you find happiness in life. I am very sure that my story is not unique. I have been reading "Happiness by design", which says that happiness is the experience of pleasure and purpose over time. So I have been working as much as I can to show myself that I have at least some agency in my life to do things of value and that are valued by others. But really .... I don't know that I truly believe that I have a reason to continue. They want more chemotherapy before a full pelvic extenteration which likely gives me 10%??? This seems like a lot of pain and discomfort for little to gain. Why not, for instance, do the things I want to complete before I died (however that may be) and then go out on my own terms without pain and prolonged dismay and dissatisfaction at what little quality of life I will be left with? 
</t>
        </is>
      </c>
      <c r="D1005" t="n">
        <v>1</v>
      </c>
      <c r="E1005" t="n">
        <v>0</v>
      </c>
      <c r="F1005">
        <f>HYPERLINK("https://www.reddit.com/r/cancer/comments/avs6lx/how_to_find_happiness_in_an_all_but_terminal/")</f>
        <v/>
      </c>
      <c r="G1005" t="inlineStr">
        <is>
          <t>2019-02-28 07:14:44</t>
        </is>
      </c>
      <c r="H1005" t="inlineStr"/>
    </row>
    <row r="1006">
      <c r="A1006" t="inlineStr">
        <is>
          <t>avswu8</t>
        </is>
      </c>
      <c r="B1006" t="inlineStr">
        <is>
          <t>I am just so very tired</t>
        </is>
      </c>
      <c r="C1006" t="inlineStr">
        <is>
          <t>I'm tired of forcing a smile when I want to cry.  I'm tired of being told that every day is a gift.  I'm tired of hearing how I don't look sick.  I'm tired of wondering if I'll get to see another Christmas.  I'm tired of imagining my sons grow up in a world without me.
I'm just want some rest.</t>
        </is>
      </c>
      <c r="D1006" t="n">
        <v>98</v>
      </c>
      <c r="E1006" t="n">
        <v>44</v>
      </c>
      <c r="F1006">
        <f>HYPERLINK("https://www.reddit.com/r/cancer/comments/avswu8/i_am_just_so_very_tired/")</f>
        <v/>
      </c>
      <c r="G1006" t="inlineStr">
        <is>
          <t>2019-02-28 08:19:48</t>
        </is>
      </c>
      <c r="H1006" t="inlineStr"/>
    </row>
    <row r="1007">
      <c r="A1007" t="inlineStr">
        <is>
          <t>avtawk</t>
        </is>
      </c>
      <c r="B1007" t="inlineStr">
        <is>
          <t>Got a text from my sister last night...</t>
        </is>
      </c>
      <c r="C1007" t="inlineStr">
        <is>
          <t xml:space="preserve">...telling me she had a regular well-woman checkup a few weeks ago. And the pap smear came back as "abnormal with cancer cells abounding." She's 28 and will have surgery in a couple of weeks. No one knows for sure yet, but they suspect it's early given that she has had no issues and she gets regular paps, with this being her first abnormal one.
I'm 29 and was diagnosed with thyroid cancer at 28. Seems to be an unlucky age for us at this point, especially since we have zero history in our immediate family of cancer. Incidentally, mine was also caught because my OB/GYN noticed my thyroid was big during a, you guessed it...well-woman exam. 
However, I've been NED for nearly a year now and have offered to help her in any way I can. I have all my fingers and toes crossed that this will be as easy as possible for her. And I told our freshly-turned-25 year old brother that come 2022, he needs to get like every screening possible for cancer. Because apparently, 28 is cursed in our sibling group. 
Anyway, any tips on the surgery or recovery for her? She says it'll be outpatient so I'm guessing it won't be too extensive. But it's still surgery and any insight would be appreciated! </t>
        </is>
      </c>
      <c r="D1007" t="n">
        <v>3</v>
      </c>
      <c r="E1007" t="n">
        <v>3</v>
      </c>
      <c r="F1007">
        <f>HYPERLINK("https://www.reddit.com/r/cancer/comments/avtawk/got_a_text_from_my_sister_last_night/")</f>
        <v/>
      </c>
      <c r="G1007" t="inlineStr">
        <is>
          <t>2019-02-28 08:54:34</t>
        </is>
      </c>
      <c r="H1007" t="inlineStr"/>
    </row>
    <row r="1008">
      <c r="A1008" t="inlineStr">
        <is>
          <t>avtmwf</t>
        </is>
      </c>
      <c r="B1008" t="inlineStr">
        <is>
          <t>My dad is driving me crazy about my cancer, does anyone have a book for caregivers that helps?</t>
        </is>
      </c>
      <c r="C1008" t="inlineStr">
        <is>
          <t xml:space="preserve">He is being selfish. He is acting like this is his journey to overcome. 
I want him to understand how much he’s hurting me, but he only sees it as trying to help me. 
As he put it, he’s trying to “challenge me” and is trying to make me better. 
This is so wrong. I’m 18 and trying to navigate my own cancer let alone his coping mechanisms. 
Does anyone have a book I can give him so he can see why a caregiver needs to be more sensitive? Anything? I need him to understand but he won’t listen to me. </t>
        </is>
      </c>
      <c r="D1008" t="n">
        <v>9</v>
      </c>
      <c r="E1008" t="n">
        <v>8</v>
      </c>
      <c r="F1008">
        <f>HYPERLINK("https://www.reddit.com/r/cancer/comments/avtmwf/my_dad_is_driving_me_crazy_about_my_cancer_does/")</f>
        <v/>
      </c>
      <c r="G1008" t="inlineStr">
        <is>
          <t>2019-02-28 09:23:15</t>
        </is>
      </c>
      <c r="H1008" t="inlineStr"/>
    </row>
    <row r="1009">
      <c r="A1009" t="inlineStr">
        <is>
          <t>avukaz</t>
        </is>
      </c>
      <c r="B1009" t="inlineStr">
        <is>
          <t>Is it true that people discoverd a cure for cancer? (2019)</t>
        </is>
      </c>
      <c r="C1009" t="inlineStr">
        <is>
          <t xml:space="preserve">There are some "TRUSTED" news web sites claiming that there is a cure for cancer and it's called 
(tisotumab vedotin)
There is a big tv channel claim that the (fda) found that cure but when i do go to their website i didn't find any thing, there is an article in there website but i didn't read it because it is too long please read it for me 
https://www.fda.gov/ForConsumers/ConsumerUpdates/ucm415995.htm
Is that true ? Why i have not hear this on all over the place?
</t>
        </is>
      </c>
      <c r="D1009" t="n">
        <v>0</v>
      </c>
      <c r="E1009" t="n">
        <v>2</v>
      </c>
      <c r="F1009">
        <f>HYPERLINK("https://www.reddit.com/r/cancer/comments/avukaz/is_it_true_that_people_discoverd_a_cure_for/")</f>
        <v/>
      </c>
      <c r="G1009" t="inlineStr">
        <is>
          <t>2019-02-28 10:42:19</t>
        </is>
      </c>
      <c r="H1009" t="inlineStr"/>
    </row>
    <row r="1010">
      <c r="A1010" t="inlineStr">
        <is>
          <t>avvnro</t>
        </is>
      </c>
      <c r="B1010" t="inlineStr">
        <is>
          <t>Just diagnosed with thyroid papillary carcinoma (PTC)</t>
        </is>
      </c>
      <c r="C1010" t="inlineStr">
        <is>
          <t xml:space="preserve">About an hour ago I found out that I had thyroid cancer. I had a total thyroidectomy 2 weeks ago due to some (see also: a lot of) large nodules, pathology came back, and it's PTC. I got really lucky in the sense that it doesn't look like there's any other areas (specifically lymph nodes) to be concerned about, but I'll find out more when I see a specialist soon. 
It's a hell of a lot to process, and honestly I have no clue what to expect next, so that's why I'm posting. I'd love to hear about your experiences with it (first hand or not), things that you might not have expected that I should keep an eye out for, whatever really. </t>
        </is>
      </c>
      <c r="D1010" t="n">
        <v>5</v>
      </c>
      <c r="E1010" t="n">
        <v>11</v>
      </c>
      <c r="F1010">
        <f>HYPERLINK("https://www.reddit.com/r/cancer/comments/avvnro/just_diagnosed_with_thyroid_papillary_carcinoma/")</f>
        <v/>
      </c>
      <c r="G1010" t="inlineStr">
        <is>
          <t>2019-02-28 12:18:39</t>
        </is>
      </c>
      <c r="H1010" t="inlineStr"/>
    </row>
    <row r="1011">
      <c r="A1011" t="inlineStr">
        <is>
          <t>avvrax</t>
        </is>
      </c>
      <c r="B1011" t="inlineStr">
        <is>
          <t>My little girl made it through brain surgery yesterday!</t>
        </is>
      </c>
      <c r="C1011" t="inlineStr">
        <is>
          <t xml:space="preserve">And it was a success, thankfully. 
Initially her surgeons were only planning to sample enough abnormal tissue to get a diagnosis. When they got in there, i guess the tumour was more easily distinguishable than they thought, so they were able to remove everything that looked abnormal in her brain. Her post-op MRI didn’t show any remaining tumour either which is fantastic. We aren’t out of the woods by any means but this is the best possible outcome we could have had so far. 
Our next big hurdle is the pathology results. If it comes back as a high grade tumour like ATRT (which is likely) we will need to begin chemo as soon as possible to kill any remaining cells. 
Aside from all that she is doing amazing. she woke up within an hour from surgery and was talking to us, and she may be able to leave PICU and go to the regular ward today! It’s only been 24 hours so I’m surprised. She hasn’t complained not once, and she’s only on a very small dose of morphine. 
She blows me away with her strength and resilience. I never expected that my 4 year old would be able to breeze through brain surgery like it was no biggie. She is such a little fighter. 
Thank you everyone for your support on my last post. It’s great to have this community to check in with. 
</t>
        </is>
      </c>
      <c r="D1011" t="n">
        <v>243</v>
      </c>
      <c r="E1011" t="n">
        <v>15</v>
      </c>
      <c r="F1011">
        <f>HYPERLINK("https://www.reddit.com/r/cancer/comments/avvrax/my_little_girl_made_it_through_brain_surgery/")</f>
        <v/>
      </c>
      <c r="G1011" t="inlineStr">
        <is>
          <t>2019-02-28 12:27:19</t>
        </is>
      </c>
      <c r="H1011" t="inlineStr"/>
    </row>
    <row r="1012">
      <c r="A1012" t="inlineStr">
        <is>
          <t>avvsiq</t>
        </is>
      </c>
      <c r="B1012" t="inlineStr">
        <is>
          <t>How To Help My Girlfriend Cope With Her Brother’s Diagnosis?</t>
        </is>
      </c>
      <c r="C1012" t="inlineStr">
        <is>
          <t>My girlfriend (33 years old) brother (39 years old) was diagnosed with brain cancer. They found a tumor and are treating him with a surgical operation and or chemo/radiation. 
We received news today that he has about 5 years left to live. 
This is a very close and tight knit, large family. 
I don’t know what to say to my girlfriend other than to just hold her and cry together. 
What can I do? I know I can’t make it go away or fix it, but it feels like I should be doing something or say something to provide more comfort. 
I steer clear of “everything’s going to be okay” or other clichés because that seems like a lie because things are definitely not okay since his prognosis was less than ideal. 
How did you all cope with receiving news of a loved one diagnosed with cancer and what did others do that helped you along the way?</t>
        </is>
      </c>
      <c r="D1012" t="n">
        <v>4</v>
      </c>
      <c r="E1012" t="n">
        <v>3</v>
      </c>
      <c r="F1012">
        <f>HYPERLINK("https://www.reddit.com/r/cancer/comments/avvsiq/how_to_help_my_girlfriend_cope_with_her_brothers/")</f>
        <v/>
      </c>
      <c r="G1012" t="inlineStr">
        <is>
          <t>2019-02-28 12:30:20</t>
        </is>
      </c>
      <c r="H1012" t="inlineStr"/>
    </row>
    <row r="1013">
      <c r="A1013" t="inlineStr">
        <is>
          <t>avw5qn</t>
        </is>
      </c>
      <c r="B1013" t="inlineStr">
        <is>
          <t>Sharing good news!</t>
        </is>
      </c>
      <c r="C1013" t="inlineStr">
        <is>
          <t>I wanted to share with the community some good news! I had a follow up consult with the radiation oncologist today to start finalizing radiation therapy after chemo and was told in his medical opinion, as of my last scan, I am showing a “complete response to treatment”! I still need to finish chemo (1 last round) and radiation, but he decided to lower the total amount of radiation sessions from 20 to 15 and said that when I am done we are still banking on a 95% chance that this cancer will not come back again! That cancer is gone! :)
I knew the tumors had shrunk but this last bit of encouragement meant the world to me! We all know the fight that is needed to face cancer and the fact that as of now, I can be a count in the right direction means a lot to me! For all those still fighting, I send as much strength as I can! Hearing the good news is worth all the fight you are putting out!</t>
        </is>
      </c>
      <c r="D1013" t="n">
        <v>26</v>
      </c>
      <c r="E1013" t="n">
        <v>6</v>
      </c>
      <c r="F1013">
        <f>HYPERLINK("https://www.reddit.com/r/cancer/comments/avw5qn/sharing_good_news/")</f>
        <v/>
      </c>
      <c r="G1013" t="inlineStr">
        <is>
          <t>2019-02-28 13:02:05</t>
        </is>
      </c>
      <c r="H1013" t="inlineStr"/>
    </row>
    <row r="1014">
      <c r="A1014" t="inlineStr">
        <is>
          <t>avwc5f</t>
        </is>
      </c>
      <c r="B1014" t="inlineStr">
        <is>
          <t>Update on mom</t>
        </is>
      </c>
      <c r="C1014" t="inlineStr">
        <is>
          <t xml:space="preserve">Hey- I posted a few weeks ago and got some good feedback so I’m coming to you again. 
Mom has stage IV lung cancer, Mets to adrenal gland only. Squamous cell. 
Mom got her mutation results back and she has PDL-1 = 80%. I’m not 100% sure on what that means but they said they’re going to do Keytruda during her next round of chemo (today was her first!). They’ve also decided NOT to remove her adrenal gland- they said the cancer is so spread out there that no surgeon will do it. 
Her chemo is premetrexed and carboplatin. 
With that information, can anyone tell me answers to the following: 
1. How is this chemo going to affect her? What should I prepare for? 
2. She’s REALLY depressed and has already given up- as in my dad and I are making sure someone is with her at all times because we’re afraid she will try to kill herself. Her doctor refused to give her depression medication stronger than minimum dose lexapro. Any tips? 
3. With the info given- is there any GOOD news? They initially gave her a few months to a year to live- but as I understand it this mutation is a good thing? Can I use that to lift her spirits any? 
4. Why is she cold all the time? 
5. They put a port into her chest and since then she’s been in a lot of pain... when can we expect that to go away? 
6. Why is she so tired? Is it the depression or is this a normal response to cancer itself? 
Thanks in advance. I consider myself well educated and generally intelligent- but I’m learning quickly that I’m not “cancer smart”. Even with advanced degrees under my belt, I don’t understand half the words on these info packets they keep giving us. I need ELI5. </t>
        </is>
      </c>
      <c r="D1014" t="n">
        <v>4</v>
      </c>
      <c r="E1014" t="n">
        <v>3</v>
      </c>
      <c r="F1014">
        <f>HYPERLINK("https://www.reddit.com/r/cancer/comments/avwc5f/update_on_mom/")</f>
        <v/>
      </c>
      <c r="G1014" t="inlineStr">
        <is>
          <t>2019-02-28 13:18:23</t>
        </is>
      </c>
      <c r="H1014" t="inlineStr"/>
    </row>
    <row r="1015">
      <c r="A1015" t="inlineStr">
        <is>
          <t>avxll1</t>
        </is>
      </c>
      <c r="B1015" t="inlineStr">
        <is>
          <t>27/m just diagnosed with ALL (UK)</t>
        </is>
      </c>
      <c r="C1015" t="inlineStr">
        <is>
          <t xml:space="preserve">I've earlier today been diagnosed with ALL following some followup blood work/bone marrow biopsy after being diagnosed with a blood clot in my leg on Wednesday.
I'm otherwise fit and healthy, if a bit tired (which makes sense as I've got a low red cell count).
I'm in the coming to terms stage. I've got a good support group of friends / family, and work are providing critical illness financial cover, so I've got no real worries aside from what's happening to me. 
That said, I'm swinging from feeling optimistic, to having borderline panic attacks. On Saturday I was enjoying beers round a friend's house with a slightly painful leg, now I'm lying on my back trying not to move as the bone marrow biopsy site is so damned painful.
I'm scared of the affects chemotherapy, I'm scared of having to have a bone marrow biopsy every two weeks. I'm scared of becoming a burden on my partner who has her own health problems. I'm scared of the rates of recurrence and 5 year survival rates. I'm not even beginning to think about going to the sperm bank Monday.
I know I can't let any of those things rule me as this is as much a game of mental attitude and wellbeing as much as it is using chemotherapy to kill off my cancer. I'm finding it quite helpful to make some extremely dark jokes about this to friends, but at the same time I'm writing this Reddit post as I can't sleep.
At the moment telling people is a task that I feel I can tick off: it's the only power I feel I currently have over my condition.
I suppose I'm posting here to help organise my thoughts, though I'm struggling to organise this post.
Tuesday or Wednesday I'm going into the oncology ward for a week to ten days to begin chemo, is there anything anyone would suggest I bring? I've never had a stay in hospital before let alone an agressive cancer treatment. Obviously clothes, pyjamas, extra long phone charger, media devices and books. Anything else anyone found helpful?
</t>
        </is>
      </c>
      <c r="D1015" t="n">
        <v>5</v>
      </c>
      <c r="E1015" t="n">
        <v>5</v>
      </c>
      <c r="F1015">
        <f>HYPERLINK("https://www.reddit.com/r/cancer/comments/avxll1/27m_just_diagnosed_with_all_uk/")</f>
        <v/>
      </c>
      <c r="G1015" t="inlineStr">
        <is>
          <t>2019-02-28 15:26:18</t>
        </is>
      </c>
      <c r="H1015" t="inlineStr"/>
    </row>
    <row r="1016">
      <c r="A1016" t="inlineStr">
        <is>
          <t>aw0r3w</t>
        </is>
      </c>
      <c r="B1016" t="inlineStr">
        <is>
          <t>Oh my god, this pain</t>
        </is>
      </c>
      <c r="C1016" t="inlineStr">
        <is>
          <t xml:space="preserve">Watching my wife suffer like this is breaking me into a million pieces.
I've experienced so many heartaches throughout my life but nothing remotely compares to this pain.
It hurts so bad, so bad, so bad. 
I'm sorry. 
</t>
        </is>
      </c>
      <c r="D1016" t="n">
        <v>22</v>
      </c>
      <c r="E1016" t="n">
        <v>11</v>
      </c>
      <c r="F1016">
        <f>HYPERLINK("https://www.reddit.com/r/cancer/comments/aw0r3w/oh_my_god_this_pain/")</f>
        <v/>
      </c>
      <c r="G1016" t="inlineStr">
        <is>
          <t>2019-02-28 20:50:48</t>
        </is>
      </c>
      <c r="H1016" t="inlineStr"/>
    </row>
    <row r="1017">
      <c r="A1017" t="inlineStr">
        <is>
          <t>aw19w6</t>
        </is>
      </c>
      <c r="B1017" t="inlineStr">
        <is>
          <t>Everotas 5 mg | Everolimus |Blueberry pharmaceuticals</t>
        </is>
      </c>
      <c r="C1017" t="inlineStr">
        <is>
          <t xml:space="preserve">[**Everotas 5mg**](https://blueberrypharma.com/everotas-5-mg.php) belongs to anti-neoplastic agent; it comes under mTOR kinase inhibitor (single transduction inhibitor).Everotas 5mg is an immunosuppressive macrolide @ Blueberry pharmaceuticals </t>
        </is>
      </c>
      <c r="D1017" t="n">
        <v>1</v>
      </c>
      <c r="E1017" t="n">
        <v>0</v>
      </c>
      <c r="F1017">
        <f>HYPERLINK("https://www.reddit.com/r/cancer/comments/aw19w6/everotas_5_mg_everolimus_blueberry_pharmaceuticals/")</f>
        <v/>
      </c>
      <c r="G1017" t="inlineStr">
        <is>
          <t>2019-02-28 21:49:03</t>
        </is>
      </c>
      <c r="H1017" t="inlineStr"/>
    </row>
    <row r="1018">
      <c r="A1018" t="inlineStr">
        <is>
          <t>aw1h56</t>
        </is>
      </c>
      <c r="B1018" t="inlineStr">
        <is>
          <t>Is there any point for someone to prolong their life?</t>
        </is>
      </c>
      <c r="C1018" t="inlineStr">
        <is>
          <t xml:space="preserve">I’m sorry if this is sensitive. My aunt (mothers sister) who I’m very close to was diagnosed with terminal and aggressive cancer. Came as a huge shock. The doctors are not very positive about the treatment, and they said ‘we can prolong the death’ (yeah, the best doctor in the country said that). 
I think they’re considering Euthanasia. I’m wondering: is there a point to live? They can only prolong for a few months, and during those months she’s going to go through hell. </t>
        </is>
      </c>
      <c r="D1018" t="n">
        <v>1</v>
      </c>
      <c r="E1018" t="n">
        <v>8</v>
      </c>
      <c r="F1018">
        <f>HYPERLINK("https://www.reddit.com/r/cancer/comments/aw1h56/is_there_any_point_for_someone_to_prolong_their/")</f>
        <v/>
      </c>
      <c r="G1018" t="inlineStr">
        <is>
          <t>2019-02-28 22:12:07</t>
        </is>
      </c>
      <c r="H1018" t="inlineStr"/>
    </row>
    <row r="1019">
      <c r="A1019" t="inlineStr">
        <is>
          <t>aw1rzk</t>
        </is>
      </c>
      <c r="B1019" t="inlineStr">
        <is>
          <t>Hi, my aunt is battling breast cancer. I'm looking for a specific shirt she mentioned that she can't find anywhere.</t>
        </is>
      </c>
      <c r="C1019" t="inlineStr">
        <is>
          <t xml:space="preserve">I looked online after talking to her and can't seem to find the shirt with the right words on it. I found some shirts for women who had breasts that were replaced due to cancer, but none where they just have no boobs anymore lol.
She had one breast removed and it's likely the other will be removed as well pretty soon. 
Anyways, she said she would like to get a shirt that says something like "Yes I am flat, and that's because my boobs tried to kill me." And I think it should say after that she beat the cancer. 
She has had 3 different cancers before this and was so strong and beat all of them. I'd really like to get her something that she mentioned to me and couldn't find. 
I was pretty young when she was dealing with her other cancer before and didn't know how to be there for her. I'm an adult now and really want to help her feel better and let her know how strong I think she is. 
She raised my difficult cousins after she was widowed almost 9 years ago and just keeps going. She is amazing. 
If someone could link me to a page that already has something very similar for sale, or a site where I could maybe request an original print for that, I would super appreciate that. </t>
        </is>
      </c>
      <c r="D1019" t="n">
        <v>3</v>
      </c>
      <c r="E1019" t="n">
        <v>2</v>
      </c>
      <c r="F1019">
        <f>HYPERLINK("https://www.reddit.com/r/cancer/comments/aw1rzk/hi_my_aunt_is_battling_breast_cancer_im_looking/")</f>
        <v/>
      </c>
      <c r="G1019" t="inlineStr">
        <is>
          <t>2019-02-28 22:49:20</t>
        </is>
      </c>
      <c r="H1019" t="inlineStr"/>
    </row>
    <row r="1020">
      <c r="A1020" t="inlineStr">
        <is>
          <t>aw1vkd</t>
        </is>
      </c>
      <c r="B1020" t="inlineStr">
        <is>
          <t>Everotas 10 mg |Everolimus |Blueberry pharmaceuticals</t>
        </is>
      </c>
      <c r="C1020" t="inlineStr">
        <is>
          <t xml:space="preserve">[**Everotas 10 mg**](https://blueberrypharma.com/everotas-10-mg.php) involved in the treatment of some neuroendocrine tumors like pancreatic, gastrointestinal or lung cancer @ Blueberry pharmaceuticals </t>
        </is>
      </c>
      <c r="D1020" t="n">
        <v>2</v>
      </c>
      <c r="E1020" t="n">
        <v>0</v>
      </c>
      <c r="F1020">
        <f>HYPERLINK("https://www.reddit.com/r/cancer/comments/aw1vkd/everotas_10_mg_everolimus_blueberry/")</f>
        <v/>
      </c>
      <c r="G1020" t="inlineStr">
        <is>
          <t>2019-02-28 23:01:52</t>
        </is>
      </c>
      <c r="H1020" t="inlineStr"/>
    </row>
    <row r="1021">
      <c r="A1021" t="inlineStr">
        <is>
          <t>aw1yen</t>
        </is>
      </c>
      <c r="B1021" t="inlineStr">
        <is>
          <t>Moms saying some strange things</t>
        </is>
      </c>
      <c r="C1021" t="inlineStr">
        <is>
          <t xml:space="preserve">Mom (58) has been on hospice for a few days now and her pain/comfort levels seem pretty good. She’s on a continual PCA and I expected to hear her say some odd things, considering the narcotics.  She gets confused and says things like she needs to go to the store so she can get stuff to make dinner, talks as if my daughter were still a baby (she’s 7 now), etc...But tonight she’s been extra vocal and asked if I could see the ghosts by the couch.  I said no, but just asked if they were gone cuz I was gunna sit down and didn’t want to sit on them and she said they left.   Is she really seeing this or is it her confusion?  Would it be better for me to “play along” with the things she’s talking about, or should I gently correct her/guide her to a more coherent thought process...does it really matter?  
Also, She talks a lot in her sleep or when she drifts off.  Should I respond or just be quiet so she can try to fall into a better/deeper sleep?  </t>
        </is>
      </c>
      <c r="D1021" t="n">
        <v>2</v>
      </c>
      <c r="E1021" t="n">
        <v>7</v>
      </c>
      <c r="F1021">
        <f>HYPERLINK("https://www.reddit.com/r/cancer/comments/aw1yen/moms_saying_some_strange_things/")</f>
        <v/>
      </c>
      <c r="G1021" t="inlineStr">
        <is>
          <t>2019-02-28 23:11:41</t>
        </is>
      </c>
      <c r="H1021" t="inlineStr"/>
    </row>
    <row r="1022">
      <c r="A1022" t="inlineStr">
        <is>
          <t>aw2adf</t>
        </is>
      </c>
      <c r="B1022" t="inlineStr">
        <is>
          <t>Mom</t>
        </is>
      </c>
      <c r="C1022" t="inlineStr">
        <is>
          <t xml:space="preserve">Three simple letters and it all just seems to have begun yesterday. Four months of nausea, I kept on living my life. We went to the emergency room yesterday after some bloodwork came in that contained a high WBC and a fibrin count of 2500. Abdominal CT showed nodules on her liver, lymph nodes, cervix, possibly lungs. Blood clot in upper abdominal. She's a strong, healthy woman. She swims. We all swim. She went for a swim last week. 
&amp;amp;#x200B;
She's been in hospital for two days and my feeling of helplessness is unbearable. I'm rotting with uselessness. My eyes are a dewey puffy blanket that has been draped across them from all the crying. I sit with her, try to chat. Gynecologist came in today and did an exam, told her she most likely has cervical cancer. Five years? Mom asked. One, doctor's reply. Maybe. What the fuck is maybe.   
There's so many emotions. She's 62; I'm 32. I hate the thought of her being in that dark hospital room alone. Mom dedicated her life to raising myself and my two brothers. She inspires me, she's always been my champion. I came home from the hospital, exhausted, and needed to clean the kitchen. I hate cleaning the kitchen. My hands are dry from all of the hand sanitizer and hand washing of the hospital. I want to make sure she knows that she isn't alone, that we're all in this with her. Tomorrow she's having a chest CT and getting both a cervical and uterine biopsy. The most beautiful thing she's ever done was allow me to be her son, to love me truly unconditionally. There are so many questions and so many factors. Does anyone else ever just feel bogged down from the questions? I refuse to let this be your last hurrah. </t>
        </is>
      </c>
      <c r="D1022" t="n">
        <v>3</v>
      </c>
      <c r="E1022" t="n">
        <v>1</v>
      </c>
      <c r="F1022">
        <f>HYPERLINK("https://www.reddit.com/r/cancer/comments/aw2adf/mom/")</f>
        <v/>
      </c>
      <c r="G1022" t="inlineStr">
        <is>
          <t>2019-02-28 23:56:30</t>
        </is>
      </c>
      <c r="H1022" t="inlineStr"/>
    </row>
    <row r="1023">
      <c r="A1023" t="inlineStr">
        <is>
          <t>aw2xtg</t>
        </is>
      </c>
      <c r="B1023" t="inlineStr">
        <is>
          <t>Aggressive Bladder Cancer and Sexual Activity?</t>
        </is>
      </c>
      <c r="C1023" t="inlineStr">
        <is>
          <t>Hi, one of my dear friends has aggressive bladder cancer (I'm not sure which stage, I'm not sure if it's growing on or in the bladder). I'm learning that erectile dysfunction and loss of sensation are common. If anyone has experienced this, or knows anything about it, I'm having a hell of a time finding answers to the following:
&amp;amp;#x200B;
1. Can orgasms still be achieved despite dry or lack of ejaculation?
&amp;amp;#x200B;
2. What are your other options beyond the typical orgasm (I know options, but I'm not in this situation, I don't know what would be appropriate to suggest)?
&amp;amp;#x200B;
3. What do you wish your loved ones would do for you, ideally? In terms of supporting you as a friend, as family, and/or a sexual partner?
&amp;amp;#x200B;
4. Knowing anything else that helped you, relative to bladder/prostate cancer, in general, please please let me know.
&amp;amp;#x200B;
Thank you ahead of time to whoever answers. Personal stories? Science articles? Documentaries? Whatever you got, I want to hear it all. I want to be prepared to help my friend in any way possible.</t>
        </is>
      </c>
      <c r="D1023" t="n">
        <v>2</v>
      </c>
      <c r="E1023" t="n">
        <v>2</v>
      </c>
      <c r="F1023">
        <f>HYPERLINK("https://www.reddit.com/r/cancer/comments/aw2xtg/aggressive_bladder_cancer_and_sexual_activity/")</f>
        <v/>
      </c>
      <c r="G1023" t="inlineStr">
        <is>
          <t>2019-03-01 01:31:16</t>
        </is>
      </c>
      <c r="H1023" t="inlineStr"/>
    </row>
    <row r="1024">
      <c r="A1024" t="inlineStr">
        <is>
          <t>aw445n</t>
        </is>
      </c>
      <c r="B1024" t="inlineStr">
        <is>
          <t>my mom was just diagnosed with ovarian cancer and i feel like i’m imploding</t>
        </is>
      </c>
      <c r="C1024" t="inlineStr">
        <is>
          <t>She’s 51, tested positive for the BRCA1 gene last month, got a complete hysterectomy two weeks ago, and on Monday got diagnosed with ovarian cancer. it’s all happening very fast. it’s stage 2A because it was in both fallopian tubes and both ovaries. she has a surgery on March 20th to either remove the lymph nodes in her groin or biopsy them, i’m not entirely sure because i’ve been so upset with the entire situation that it’s been hard to wrap my head around what’s going on. she’s meeting with her team on tuesday so we can get more information then. 
her mother passed away about 10 years ago after a really long and hard battle with breast cancer. 
i’m trying to not let the data and statistics drag me into a pit of despair, but it’s really really hard feeling helpless and not knowing what’s going to happen. all the research and stories are so so grim. and it seems so unpredictable as well.  
she was diagnosed early, but she’s still looking at a couple surgeries and at least 5 months of chemo. (port in her stomach and through her hand, not sure of the cocktail yet as that conversation happens after the lymph node surgery) she’s a very active and healthy person. she looks after her body and has eaten “healthy” for as long as i can remember. not that your exercise and diet has anything to do with your chance of getting cancer but it seems like it has some substance with how your body reacts to the cancer, if that makes sense. 
does anyone have any advice or stories that can help me put this more into perspective? i’m incredibly scared. i love my mom so much, i really don’t want to lose her. she’s the light of my life.</t>
        </is>
      </c>
      <c r="D1024" t="n">
        <v>6</v>
      </c>
      <c r="E1024" t="n">
        <v>11</v>
      </c>
      <c r="F1024">
        <f>HYPERLINK("https://www.reddit.com/r/cancer/comments/aw445n/my_mom_was_just_diagnosed_with_ovarian_cancer_and/")</f>
        <v/>
      </c>
      <c r="G1024" t="inlineStr">
        <is>
          <t>2019-03-01 04:04:06</t>
        </is>
      </c>
      <c r="H1024" t="inlineStr"/>
    </row>
    <row r="1025">
      <c r="A1025" t="inlineStr">
        <is>
          <t>aw5u8s</t>
        </is>
      </c>
      <c r="B1025" t="inlineStr">
        <is>
          <t>Maintenance infusion, I don't want to go</t>
        </is>
      </c>
      <c r="C1025" t="inlineStr">
        <is>
          <t>Ovarian cancer. It's "only" a few hours every few weeks. I'm so tired of pretending it's not a big deal. I'm tired of these weird effects that are creeping up. I have to do this for 9 more months for a decent chance of survival. Ugh ugh ugh</t>
        </is>
      </c>
      <c r="D1025" t="n">
        <v>56</v>
      </c>
      <c r="E1025" t="n">
        <v>22</v>
      </c>
      <c r="F1025">
        <f>HYPERLINK("https://www.reddit.com/r/cancer/comments/aw5u8s/maintenance_infusion_i_dont_want_to_go/")</f>
        <v/>
      </c>
      <c r="G1025" t="inlineStr">
        <is>
          <t>2019-03-01 07:00:13</t>
        </is>
      </c>
      <c r="H1025" t="inlineStr"/>
    </row>
    <row r="1026">
      <c r="A1026" t="inlineStr">
        <is>
          <t>aw7093</t>
        </is>
      </c>
      <c r="B1026" t="inlineStr">
        <is>
          <t>I guess this is me now...</t>
        </is>
      </c>
      <c r="C1026" t="inlineStr">
        <is>
          <t xml:space="preserve">Round one completed, week 1/3 almost completed for round two
My head is shaved now. I hate it, feel like a Barbie with the hair cut off. 
I’m tired of doing chemo, my LDH level was normal when we started chemo after surgery now it’s elevated again.
I’m starting to get metallic taste. 
My mouth as a whole is starting to feel weird. 
I feel like poop.
I just want to go home and go back to bed. </t>
        </is>
      </c>
      <c r="D1026" t="n">
        <v>23</v>
      </c>
      <c r="E1026" t="n">
        <v>7</v>
      </c>
      <c r="F1026">
        <f>HYPERLINK("https://www.reddit.com/r/cancer/comments/aw7093/i_guess_this_is_me_now/")</f>
        <v/>
      </c>
      <c r="G1026" t="inlineStr">
        <is>
          <t>2019-03-01 08:47:09</t>
        </is>
      </c>
      <c r="H1026" t="inlineStr"/>
    </row>
    <row r="1027">
      <c r="A1027" t="inlineStr">
        <is>
          <t>aw8kzq</t>
        </is>
      </c>
      <c r="B1027" t="inlineStr">
        <is>
          <t>Last day for F* Cancer shirts to raise money for Oligo Nation!</t>
        </is>
      </c>
      <c r="C1027" t="inlineStr">
        <is>
          <t>[https://www.fuckcancer.store/](https://www.fuckcancer.store/)
While I was going through treatment, I really wanted a "fuck cancer" shirt, but couldn't find one that quite suited my tastes. My friend designed this for me and we're selling them to raise money for [Oligo Nation](https://www.oligonation.org/).
**100%** of the proceeds from shirt sales will go to Oligo Nation, benefitting Oligodendroglioma medical research. A really amazing thing about this org is that 95% of their funding goes directly to research. 
We're ready to wrap up and get these shirts printed and shipped and are shutting the website down tomorrow. We have a women's muscle shirt  (apparently it runs small, so size up) and a men's/unisex t-shirt. **Use the coupon code REDDIT for 40% off**. If shirts aren't your thing but you still want to donate, please check out [Oligo Nation](https://www.oligonation.org/).
&amp;amp;#x200B;</t>
        </is>
      </c>
      <c r="D1027" t="n">
        <v>3</v>
      </c>
      <c r="E1027" t="n">
        <v>0</v>
      </c>
      <c r="F1027">
        <f>HYPERLINK("https://www.reddit.com/r/cancer/comments/aw8kzq/last_day_for_f_cancer_shirts_to_raise_money_for/")</f>
        <v/>
      </c>
      <c r="G1027" t="inlineStr">
        <is>
          <t>2019-03-01 11:19:08</t>
        </is>
      </c>
      <c r="H1027" t="inlineStr"/>
    </row>
    <row r="1028">
      <c r="A1028" t="inlineStr">
        <is>
          <t>aw8of1</t>
        </is>
      </c>
      <c r="B1028" t="inlineStr">
        <is>
          <t>Transferring Deceased Parent's Medical Records for Genetic Risk Assessment</t>
        </is>
      </c>
      <c r="C1028" t="inlineStr">
        <is>
          <t>Wife's mother had colon cancer at an early age and passed away from it (diagnosed early 40's, passed away 4-5 years later). We want my wife to get preventative treatment (genetic testing for mutations, more early/frequent screenings, etc. whatever might be recommended by a medical professional) and have found a local practice that specializes in cancer treatment as well as genetic risk assessment/preventative treatment but haven't contacted them yet. 
We don't have her mother's records and are confused about how to get them or if we need to prior to us making an appointment with the cancer specialists. Should we have my wife's father call the old Oncologist's office and ask for the medical records so we will have them to take to our new appointment? Or have him ask to have an authorized transfer directly to the new place? 
Has anyone dealt with something like this? Trying to make sure we have the information we need for our new appointment and don't waste it because they needed the mother's medical records.
&amp;amp;#x200B;
Thanks.</t>
        </is>
      </c>
      <c r="D1028" t="n">
        <v>6</v>
      </c>
      <c r="E1028" t="n">
        <v>2</v>
      </c>
      <c r="F1028">
        <f>HYPERLINK("https://www.reddit.com/r/cancer/comments/aw8of1/transferring_deceased_parents_medical_records_for/")</f>
        <v/>
      </c>
      <c r="G1028" t="inlineStr">
        <is>
          <t>2019-03-01 11:27:44</t>
        </is>
      </c>
      <c r="H1028" t="inlineStr"/>
    </row>
    <row r="1029">
      <c r="A1029" t="inlineStr">
        <is>
          <t>awa7w6</t>
        </is>
      </c>
      <c r="B1029" t="inlineStr">
        <is>
          <t>Cancer is back. I’m so frustrated. Kind words please.</t>
        </is>
      </c>
      <c r="C1029" t="inlineStr">
        <is>
          <t xml:space="preserve">If you’ve seen any of my posts before then you know the whole story, but just in case: I was diagnosed with cervical cancer in June 2015, went through 8 months of chemo, internal/external radiation and was in remission come February 2016. The cancer came back May 2017 in my abdominal lymph nodes. I had surgery then more chemo and radiation but it was unsuccessful. I found that out in February 2018. My doctor actually told me that I had 6 months or less to live, that I should go home and get ready. As a last Hail Mary they tested my tumor for a specific protein that immunotherapy could help. I was a GREAT candidate, so I decided to go on that route. I started on Keytruda (an immunotherapy) in April 2018 and have been on it ever since. My initial CT showed that 3 of 4 tumors were gone and that there was a mass but it hadn’t grown at all. My doctor told me he suspected that it wasn’t even live cancer tissue and that, although we’d need a PET scan to be sure, I may very well be in remission again. I found that out in December 2018 and it was truly a Christmas miracle.  
Well, I just had my PET scan last week and got the results today. There’s a new tumor in yet another abdominal lymph node that, while still small, seems to be growing despite the regular doses of Keytruda. My doctor said that there’s nothing to do at the moment. We’ll just have another scan in a couple of months and see. He also told me that we knew the treatment was working but it was never guaranteed for how long. He actually called the report “a mixed bag” because my prior tumors have all disappeared. But this new one is small, 1.8 cm x 1.1 cm. I don’t know how to feel really. I’m disappointed but I don’t want to let on that I’m scared. My fiancé and my family have all been really supportive through everything, and we all had finally gotten used to the good news that I wasn’t going to die any time soon. But now this.  
I guess I just wanted to say it (er.... write it) aloud and keep you guys updated. Send me some love. I’m scared. </t>
        </is>
      </c>
      <c r="D1029" t="n">
        <v>96</v>
      </c>
      <c r="E1029" t="n">
        <v>34</v>
      </c>
      <c r="F1029">
        <f>HYPERLINK("https://www.reddit.com/r/cancer/comments/awa7w6/cancer_is_back_im_so_frustrated_kind_words_please/")</f>
        <v/>
      </c>
      <c r="G1029" t="inlineStr">
        <is>
          <t>2019-03-01 13:52:52</t>
        </is>
      </c>
      <c r="H1029" t="inlineStr"/>
    </row>
    <row r="1030">
      <c r="A1030" t="inlineStr">
        <is>
          <t>awb5bs</t>
        </is>
      </c>
      <c r="B1030" t="inlineStr">
        <is>
          <t>Have You Recently Been Diagnosed with Cancer or Undergo Treatment? We need your help in our research.</t>
        </is>
      </c>
      <c r="C1030" t="inlineStr">
        <is>
          <t>We are currently looking for people to take part in our research study at the University of Chester, UK, on daily functioning and psychological wellbeing in cancer patients.
Receiving a cancer diagnosis and all that comes after this can often be a distressing, worrying and confusing time. Our aim is to investigate how cancer has affected your daily functioning and emotional wellbeing. We are particularly interested in how this then affects decisions you make about your treatment. Our goal is to help others that might find themselves in your position in the future. To do this, we need your help.
Anyone who is over 16 years of age and been diagnosed with any type of cancer can take part.Unfortunately, this study isn't suitable for cancer survivors who completed their treatments. If you decide to take part, you will be asked to complete an online questionnaire that will take around 30 minutes to complete. You will be also asked whether you would like to participate in a phone or Skype interview at a later date, but you don’t have to agree to this to take part in the questionnaire study. While we hope that taking part will be a positive experience for you, we also understand that answering questions about your illness may be upsetting. You can always stop the questionnaire at any time. All your answers and data will be anonymous.
If you would like to take part, please click the following link. This will take you to the survey and study information sheet.
Link: [https://chester.onlinesurveys.ac.uk/reddit](https://chester.onlinesurveys.ac.uk/reddit)
Thank you,
David Budzynski, BSc (Hons)
MRes student conducting the research</t>
        </is>
      </c>
      <c r="D1030" t="n">
        <v>0</v>
      </c>
      <c r="E1030" t="n">
        <v>1</v>
      </c>
      <c r="F1030">
        <f>HYPERLINK("https://www.reddit.com/r/cancer/comments/awb5bs/have_you_recently_been_diagnosed_with_cancer_or/")</f>
        <v/>
      </c>
      <c r="G1030" t="inlineStr">
        <is>
          <t>2019-03-01 15:25:07</t>
        </is>
      </c>
      <c r="H1030" t="inlineStr"/>
    </row>
    <row r="1031">
      <c r="A1031" t="inlineStr">
        <is>
          <t>awbh5i</t>
        </is>
      </c>
      <c r="B1031" t="inlineStr">
        <is>
          <t>My wife diagnosed with Breast Cancer in BC, Canada - We need options , any advice appreciated</t>
        </is>
      </c>
      <c r="C1031" t="inlineStr">
        <is>
          <t xml:space="preserve">Hi all. 
&amp;amp;#x200B;
My wife was just diagnosed today with ductal carconoma. I dont know much about this other than what the doctor has told us (not much) and what ive read on line.   
The main issue we are facing now is even though her diagnosis was fast (just 8 days for biopsy results) we are now in a waiting period before a surgeon will even SEE us.  Were near vancouver and were told by our doctor that the specialist surgeon she would normally refer us to has just started 18 days of holidays TODAY.  The other one has retired recently we found out.  so she has refferred us to mount saint joseph hospital (there is a specialty clinic there) but they said it may be as long as 2 weeks before we even HEAR from them!?!/ 
&amp;amp;#x200B;
My wife is 37 and we had just returned from our honeymoon and were going to start our family. we want to get her the best treatment that is available, as quickly as its available.  Any thoughts, help suggestions or support would be greatly appreciated.   
I know we can beat this, we just need a little help. </t>
        </is>
      </c>
      <c r="D1031" t="n">
        <v>5</v>
      </c>
      <c r="E1031" t="n">
        <v>11</v>
      </c>
      <c r="F1031">
        <f>HYPERLINK("https://www.reddit.com/r/cancer/comments/awbh5i/my_wife_diagnosed_with_breast_cancer_in_bc_canada/")</f>
        <v/>
      </c>
      <c r="G1031" t="inlineStr">
        <is>
          <t>2019-03-01 15:58:42</t>
        </is>
      </c>
      <c r="H1031" t="inlineStr"/>
    </row>
    <row r="1032">
      <c r="A1032" t="inlineStr">
        <is>
          <t>awbj74</t>
        </is>
      </c>
      <c r="B1032" t="inlineStr">
        <is>
          <t>Kidney Cancer “Awareness” month</t>
        </is>
      </c>
      <c r="C1032" t="inlineStr">
        <is>
          <t>March is recognized in the US as Kidney Cancer Awareness month. 
I was 34 when I was diagnosed. We waited for 6 months and rescanned and the 1.5 cm tumor had doubled to 3 cm.  I was lucky to find it incidentally (chronic kidney stone maker) and lucky that it had not spread. 
I had a [radio frequency ablation ](https://www.radiologyinfo.org/en/info.cfm?pg=rfaKidney) dome, in the hopes of saving my kidney.  it was successful in getting clean margins and sparing my kidney. However, the heat from the procedure caused scar tissue to stricture the ureter. So, I ended up with severe hydronephrosis and a very poorly functioning kidney, so 3 years later I had a complete nephrectomy.  
April 2nd will be 5 years from the date of my ablation (also my 14th wedding anniversary - hey, when you have cancer and that’s the soonest you can have the procedure- you get double Anniversaries!)
My urologist has assured me that there is an incredibly small chance to recurrence due to the size and type of tumor. But I have been on enough Kidney Cancer Survivor groups to know that recurrence happens to low risk people sometimes, more than 5 years out. 
I work at a pediatric hospital as an Early Intervention Specialist and I cover the Hem/Onc service. It’s an honor for me to serve these kids and families going through the fight of their lives, and makes me appreciative of the relative ease of my treatment. 
I’d love to hear your experiences.
Clear Cell Renal Cell Carcinoma 
Stage 1 Grade 2</t>
        </is>
      </c>
      <c r="D1032" t="n">
        <v>13</v>
      </c>
      <c r="E1032" t="n">
        <v>9</v>
      </c>
      <c r="F1032">
        <f>HYPERLINK("https://www.reddit.com/r/cancer/comments/awbj74/kidney_cancer_awareness_month/")</f>
        <v/>
      </c>
      <c r="G1032" t="inlineStr">
        <is>
          <t>2019-03-01 16:04:48</t>
        </is>
      </c>
      <c r="H1032" t="inlineStr"/>
    </row>
    <row r="1033">
      <c r="A1033" t="inlineStr">
        <is>
          <t>awbpcw</t>
        </is>
      </c>
      <c r="B1033" t="inlineStr">
        <is>
          <t>Drinks for when your mouth tastes off.</t>
        </is>
      </c>
      <c r="C1033" t="inlineStr">
        <is>
          <t xml:space="preserve">I finally have a “metallic” or medical taste/odor in my mouth. I’d been drinking unsweetened green tea with blueberry and pomegranate from Trader Joe’s but now that tastes weird. What do you drink that doesn’t taste weird on this metallic or medical taste? </t>
        </is>
      </c>
      <c r="D1033" t="n">
        <v>6</v>
      </c>
      <c r="E1033" t="n">
        <v>7</v>
      </c>
      <c r="F1033">
        <f>HYPERLINK("https://www.reddit.com/r/cancer/comments/awbpcw/drinks_for_when_your_mouth_tastes_off/")</f>
        <v/>
      </c>
      <c r="G1033" t="inlineStr">
        <is>
          <t>2019-03-01 16:22:50</t>
        </is>
      </c>
      <c r="H1033" t="inlineStr"/>
    </row>
    <row r="1034">
      <c r="A1034" t="inlineStr">
        <is>
          <t>awcs5y</t>
        </is>
      </c>
      <c r="B1034" t="inlineStr">
        <is>
          <t>Do you recognize your anniversary of your diagnosis?</t>
        </is>
      </c>
      <c r="C1034" t="inlineStr">
        <is>
          <t xml:space="preserve">I was diagnosed on March 6th last year with myelofibrosis.  I hopefully have many years to live. As the anniversary approaches, I feel like I should do something to recognize this major shift in my life.  Overall, I’m in a good place mentally. I’m not sure if “memorializing” this date is a good thing or bad thing.
What are some things others have done? </t>
        </is>
      </c>
      <c r="D1034" t="n">
        <v>7</v>
      </c>
      <c r="E1034" t="n">
        <v>9</v>
      </c>
      <c r="F1034">
        <f>HYPERLINK("https://www.reddit.com/r/cancer/comments/awcs5y/do_you_recognize_your_anniversary_of_your/")</f>
        <v/>
      </c>
      <c r="G1034" t="inlineStr">
        <is>
          <t>2019-03-01 18:25:28</t>
        </is>
      </c>
      <c r="H1034" t="inlineStr"/>
    </row>
    <row r="1035">
      <c r="A1035" t="inlineStr">
        <is>
          <t>awd11h</t>
        </is>
      </c>
      <c r="B1035" t="inlineStr">
        <is>
          <t>Laryngitis during cancer treatment</t>
        </is>
      </c>
      <c r="C1035" t="inlineStr">
        <is>
          <t>My mother in law was recently diagnosed with  tracea cancer as a cell escaped from her last battle with bronchial cancer. She is having one weekly chemo treatment as well as 5 days a week of radiation. During this process she has developed laryngitis to such a degree that she is having terrible difficulty speaking and communicating in general, which during this process is very frustrating for her. It has been lingering on for almost 3 weeks. I was looking for any sort of help on this topic, does anyone have any suggestions for her?</t>
        </is>
      </c>
      <c r="D1035" t="n">
        <v>2</v>
      </c>
      <c r="E1035" t="n">
        <v>2</v>
      </c>
      <c r="F1035">
        <f>HYPERLINK("https://www.reddit.com/r/cancer/comments/awd11h/laryngitis_during_cancer_treatment/")</f>
        <v/>
      </c>
      <c r="G1035" t="inlineStr">
        <is>
          <t>2019-03-01 18:55:12</t>
        </is>
      </c>
      <c r="H1035" t="inlineStr"/>
    </row>
    <row r="1036">
      <c r="A1036" t="inlineStr">
        <is>
          <t>awdcpe</t>
        </is>
      </c>
      <c r="B1036" t="inlineStr">
        <is>
          <t>Hand contractions/cramps? And other side effects</t>
        </is>
      </c>
      <c r="C1036" t="inlineStr">
        <is>
          <t>Hello all! My dad was diagnosed with Stage 3 B colon cancer the day after Thanksgiving. It was a shock as he had no symptoms, and he had his third round of chemo today.
His hands have really taken a beating. Like they get red/black and puffy the day of/after infusion. His neuropathy is excruciating, and today both hands balled up and we couldn’t get them open. He hides it well, but I know he’s really hurting. I’m an ER nurse and I know low potassium and cause this sometimes, but I’m not sure if potassium will help in this case? Does that make sense? Has anyone ever experienced this and alleviated it? He’s going to see his doc in two weeks and ask them about it. 
Also, his tongue and thyroid area feels like steel wool is caught up in there. I introduced him to hot tea/lemon water, which helps some, but not much. Any recommendations?
Thank you to all who take the time to read this!</t>
        </is>
      </c>
      <c r="D1036" t="n">
        <v>2</v>
      </c>
      <c r="E1036" t="n">
        <v>5</v>
      </c>
      <c r="F1036">
        <f>HYPERLINK("https://www.reddit.com/r/cancer/comments/awdcpe/hand_contractionscramps_and_other_side_effects/")</f>
        <v/>
      </c>
      <c r="G1036" t="inlineStr">
        <is>
          <t>2019-03-01 19:31:53</t>
        </is>
      </c>
      <c r="H1036" t="inlineStr"/>
    </row>
    <row r="1037">
      <c r="A1037" t="inlineStr">
        <is>
          <t>awdlpm</t>
        </is>
      </c>
      <c r="B1037" t="inlineStr">
        <is>
          <t>Everotas 5mg tablet - Everolimus</t>
        </is>
      </c>
      <c r="C1037" t="inlineStr">
        <is>
          <t xml:space="preserve">[**Everotas 5mg**](http://anti-cancer-drugs.com/everotas-5mg.php) consist of an active ingredient known as Everolimus which is intrude with growth of cancer cell and process is slows down, this tablets is not a curable medication, which is helps to slow their spreading in to the body </t>
        </is>
      </c>
      <c r="D1037" t="n">
        <v>0</v>
      </c>
      <c r="E1037" t="n">
        <v>0</v>
      </c>
      <c r="F1037">
        <f>HYPERLINK("https://www.reddit.com/r/cancer/comments/awdlpm/everotas_5mg_tablet_everolimus/")</f>
        <v/>
      </c>
      <c r="G1037" t="inlineStr">
        <is>
          <t>2019-03-01 19:59:33</t>
        </is>
      </c>
      <c r="H1037" t="inlineStr"/>
    </row>
    <row r="1038">
      <c r="A1038" t="inlineStr">
        <is>
          <t>awe3x8</t>
        </is>
      </c>
      <c r="B1038" t="inlineStr">
        <is>
          <t>Friends...?</t>
        </is>
      </c>
      <c r="C1038" t="inlineStr">
        <is>
          <t>Ones I regarded as my best friends now have little or no time for me... assume I am doing much better than I am, invite me to do things we might have done 10 years ago but absolutely do not have the energy for now. Expect me to do the traveling to them, not offering to travel to visit me... asking me to expend physical and psychic energy to maintain the friendship... makes me realize that may have been the pattern all along... 
On the other hand, long-standing acquaintances I did not think of as close friends, and even people I hardly knew have stepped up with logistical help, time to talk, moral support, visits, etc... building up my strength rather than depleting it. 
It’s easy to welcome in my new friends ( though sometimes hard to figure out how to thank them!) but how to protect myself from those who would drain me?
Has anyone else experienced this? What to do?</t>
        </is>
      </c>
      <c r="D1038" t="n">
        <v>9</v>
      </c>
      <c r="E1038" t="n">
        <v>17</v>
      </c>
      <c r="F1038">
        <f>HYPERLINK("https://www.reddit.com/r/cancer/comments/awe3x8/friends/")</f>
        <v/>
      </c>
      <c r="G1038" t="inlineStr">
        <is>
          <t>2019-03-01 20:57:08</t>
        </is>
      </c>
      <c r="H1038" t="inlineStr"/>
    </row>
    <row r="1039">
      <c r="A1039" t="inlineStr">
        <is>
          <t>awe5jr</t>
        </is>
      </c>
      <c r="B1039" t="inlineStr">
        <is>
          <t>Everotas 10mg tablet - Everolimus</t>
        </is>
      </c>
      <c r="C1039" t="inlineStr">
        <is>
          <t xml:space="preserve">[**Everotas 10mg**](http://anti-cancer-drugs.com/everotas-10mg.php) consist of an active ingredient known as Everolimus which is intrude with growth of cancer cell and process is slows down, this tablets is not a curable medication, which is helps to slow their spreading in to the body </t>
        </is>
      </c>
      <c r="D1039" t="n">
        <v>1</v>
      </c>
      <c r="E1039" t="n">
        <v>0</v>
      </c>
      <c r="F1039">
        <f>HYPERLINK("https://www.reddit.com/r/cancer/comments/awe5jr/everotas_10mg_tablet_everolimus/")</f>
        <v/>
      </c>
      <c r="G1039" t="inlineStr">
        <is>
          <t>2019-03-01 21:02:44</t>
        </is>
      </c>
      <c r="H1039" t="inlineStr"/>
    </row>
    <row r="1040">
      <c r="A1040" t="inlineStr">
        <is>
          <t>aweffn</t>
        </is>
      </c>
      <c r="B1040" t="inlineStr">
        <is>
          <t>Well, I thought it was funny</t>
        </is>
      </c>
      <c r="C1040" t="inlineStr">
        <is>
          <t xml:space="preserve">My sister has stage 4 gastric cancer and is in her final stretch. Just a few weeks ago we went to the oncologist for a check-up and the doctor was being very frank. He said the fact that she hadn't had a bowel movement in a month was big cause for concern, and that if imaging showed an obstruction there would be nothing we could really do except increase the pain medication. She looked at him for a minute and said, "well, that's a truly *shitty* way to die," and then laughed.
&amp;amp;#x200B;
None of the rest of our family members and friends really thought it was that funny, but I thought some of you might appreciate her humor and spirit. I am missing her jokes a lot today and thought I would share. </t>
        </is>
      </c>
      <c r="D1040" t="n">
        <v>200</v>
      </c>
      <c r="E1040" t="n">
        <v>28</v>
      </c>
      <c r="F1040">
        <f>HYPERLINK("https://www.reddit.com/r/cancer/comments/aweffn/well_i_thought_it_was_funny/")</f>
        <v/>
      </c>
      <c r="G1040" t="inlineStr">
        <is>
          <t>2019-03-01 21:36:45</t>
        </is>
      </c>
      <c r="H1040" t="inlineStr"/>
    </row>
    <row r="1041">
      <c r="A1041" t="inlineStr">
        <is>
          <t>aweler</t>
        </is>
      </c>
      <c r="B1041" t="inlineStr">
        <is>
          <t>Happy Cancerversary!</t>
        </is>
      </c>
      <c r="C1041" t="inlineStr">
        <is>
          <t>I feel the need to just mark this day. Today is my first cancerversary for thyroid cancer. Last year I read the words malignant, for the first time, over the shoulder of the person who had ordered my FNA. It was both a shock and a relief. 
I had noticed a lump in early January, played it off as lymphadenopathy related to a cold, but it didn't go away. I pushed for answers and eventually found them, four providers later. 
On March 1st, 2018 I was told that if I had to ask God for a cancer this was the one to choose. I know why she said it and initially it did what she intended, I felt relief. But then, as you all know, it sank in. The word reverberated in my head, it felt surreal saying it, applying it to my own life. 
I am lucky, my total thyroidectomy has so far been successful without RAI. Can I just say though, I hate lab time? I do great up until I'm sitting in the chair. Then it hits me. That nervousness. I absoltely hate it. 
I'm slowly taking back my physical health, I've lost 38lbs since my surgery and I feel like my energy is returning. The aches are better. Things are just better. But, BIG but, I am a different person. And that has been the hardest change to adjust to. I'm working on it though and I know, eventually, that will be better too. 
Anywho, I just wanted to say it/write it/mark it somehow and I figured if anyone understood that desire it would be you all! 🙂 Sorry for the extra long post.</t>
        </is>
      </c>
      <c r="D1041" t="n">
        <v>9</v>
      </c>
      <c r="E1041" t="n">
        <v>3</v>
      </c>
      <c r="F1041">
        <f>HYPERLINK("https://www.reddit.com/r/cancer/comments/aweler/happy_cancerversary/")</f>
        <v/>
      </c>
      <c r="G1041" t="inlineStr">
        <is>
          <t>2019-03-01 21:57:36</t>
        </is>
      </c>
      <c r="H1041" t="inlineStr"/>
    </row>
    <row r="1042">
      <c r="A1042" t="inlineStr">
        <is>
          <t>awfcg4</t>
        </is>
      </c>
      <c r="B1042" t="inlineStr">
        <is>
          <t>My mom just got diagnosed with breast cancer</t>
        </is>
      </c>
      <c r="C1042" t="inlineStr">
        <is>
          <t>she been telling us about the lump since september 2018 but didnt get it was small like a hard and small sharp lump she wants to get it check but no insurace but after 5 months she finaly got mamogram and ultrasound they took a sample we waited 4 days and got a bad news. I can't stop crying i have mix emotion like anger wishing it was me instead... i can't even eat or sleep</t>
        </is>
      </c>
      <c r="D1042" t="n">
        <v>1</v>
      </c>
      <c r="E1042" t="n">
        <v>0</v>
      </c>
      <c r="F1042">
        <f>HYPERLINK("https://www.reddit.com/r/cancer/comments/awfcg4/my_mom_just_got_diagnosed_with_breast_cancer/")</f>
        <v/>
      </c>
      <c r="G1042" t="inlineStr">
        <is>
          <t>2019-03-01 23:38:22</t>
        </is>
      </c>
      <c r="H1042" t="inlineStr"/>
    </row>
    <row r="1043">
      <c r="A1043" t="inlineStr">
        <is>
          <t>awfjpm</t>
        </is>
      </c>
      <c r="B1043" t="inlineStr">
        <is>
          <t>Anybody with Leukemia have cats?</t>
        </is>
      </c>
      <c r="C1043" t="inlineStr">
        <is>
          <t>Hi all, daughter of a mom with Acute Myeloid Leukemia here. My mom says with her leukemia we can't get a cat because of her immune system, which I can completely respect as to make her the most comfortable but I am wondering if anyone with leukemia has a cat or is around cat and if you do have, what are the precautions you take? Or is it completely out of the question. Thanks in advance</t>
        </is>
      </c>
      <c r="D1043" t="n">
        <v>5</v>
      </c>
      <c r="E1043" t="n">
        <v>6</v>
      </c>
      <c r="F1043">
        <f>HYPERLINK("https://www.reddit.com/r/cancer/comments/awfjpm/anybody_with_leukemia_have_cats/")</f>
        <v/>
      </c>
      <c r="G1043" t="inlineStr">
        <is>
          <t>2019-03-02 00:07:46</t>
        </is>
      </c>
      <c r="H1043" t="inlineStr"/>
    </row>
    <row r="1044">
      <c r="A1044" t="inlineStr">
        <is>
          <t>awfnae</t>
        </is>
      </c>
      <c r="B1044" t="inlineStr">
        <is>
          <t>2nd Cancer diagnosis in a year.</t>
        </is>
      </c>
      <c r="C1044" t="inlineStr">
        <is>
          <t>Hello,
I want to tell you all of my journey, I was diagnosed with stage 3 esophageal cancer in June of 2017 at 48 years old, I had 5 and a half weeks of Radiation (Monday thru Friday) and chemo infusions every Tuesday for 5 weeks. I had a 14 cm mass in my esophagus. we got the mass down to 2.1 cm and surgery was the final step. My surgery was over 10 hours from start to finish and it was all robotic. I was declared cancer free in December 2017. Flash forward to December 2018 almost to the day, I had a routine followup CT scan which came back positive for cancer, this time it was stage 4 in my liver, I am undergoing more chemo at an aggressive rate. However the chemo this time is really wiping me out, I don't think I've worked a full week in over a month, I'm constantly tired and weak. I'm really nervous because my oncologist said at the time of my second diagnosis that "the cancer will eventually win but I'll help you through it". That statement still resonates in my brain everyday and I fear for the future (if there is one). I'm married to a wonderful woman and I have 4 children. I am also afraid that if I do go into remission this time, that the cancer will manifest itself somewhere else and I'll have the same issues all over again. I'm not sure I can handle a third round of chemo, mentally or physically. Does anyone have any thoughts or advice on this???  Thank you for taking the time to read this.</t>
        </is>
      </c>
      <c r="D1044" t="n">
        <v>12</v>
      </c>
      <c r="E1044" t="n">
        <v>10</v>
      </c>
      <c r="F1044">
        <f>HYPERLINK("https://www.reddit.com/r/cancer/comments/awfnae/2nd_cancer_diagnosis_in_a_year/")</f>
        <v/>
      </c>
      <c r="G1044" t="inlineStr">
        <is>
          <t>2019-03-02 00:21:58</t>
        </is>
      </c>
      <c r="H1044" t="inlineStr"/>
    </row>
    <row r="1045">
      <c r="A1045" t="inlineStr">
        <is>
          <t>awgr7o</t>
        </is>
      </c>
      <c r="B1045" t="inlineStr">
        <is>
          <t>Brain cancer, help</t>
        </is>
      </c>
      <c r="C1045" t="inlineStr">
        <is>
          <t xml:space="preserve">To make the story short, a close family friend's 7y/o daughter was just diagnosed with stage 4 brain cancer (Medulloblastoma stage 4). We're from Romania and we're urgently searching for contacts to hospitals where she can be treated with proton therapy or Cyberknife(she's already had surgery).
If anyone can help with some phone numbers or email addresses or ANYTHING that would help us get to these hospitals, could you please private message me, it would help greatly! They have phone numbers from 2 good doctors in America and they have already contacted them. 
The situation is desperate. 
Thank you a lot! </t>
        </is>
      </c>
      <c r="D1045" t="n">
        <v>3</v>
      </c>
      <c r="E1045" t="n">
        <v>2</v>
      </c>
      <c r="F1045">
        <f>HYPERLINK("https://www.reddit.com/r/cancer/comments/awgr7o/brain_cancer_help/")</f>
        <v/>
      </c>
      <c r="G1045" t="inlineStr">
        <is>
          <t>2019-03-02 03:09:18</t>
        </is>
      </c>
      <c r="H1045" t="inlineStr"/>
    </row>
    <row r="1046">
      <c r="A1046" t="inlineStr">
        <is>
          <t>awhedo</t>
        </is>
      </c>
      <c r="B1046" t="inlineStr">
        <is>
          <t>Can cancer run in family?</t>
        </is>
      </c>
      <c r="C1046" t="inlineStr">
        <is>
          <t>I found out last night my Dad has brain cancer. He has 2 tumors on his brain. His sister died less than a year ago from the same thing because it was inoperable. When I was in college, my Mom got diagnosed with stage 4 breast cancer that had spread to her liver. She thankfully is doing great, and has surpassed statistics and is in remission. I am 30, and have a one year old son. I am scared for myself and him. I don’t want to pass these genes down to him.</t>
        </is>
      </c>
      <c r="D1046" t="n">
        <v>1</v>
      </c>
      <c r="E1046" t="n">
        <v>2</v>
      </c>
      <c r="F1046">
        <f>HYPERLINK("https://www.reddit.com/r/cancer/comments/awhedo/can_cancer_run_in_family/")</f>
        <v/>
      </c>
      <c r="G1046" t="inlineStr">
        <is>
          <t>2019-03-02 04:41:05</t>
        </is>
      </c>
      <c r="H1046" t="inlineStr"/>
    </row>
    <row r="1047">
      <c r="A1047" t="inlineStr">
        <is>
          <t>awhhl7</t>
        </is>
      </c>
      <c r="B1047" t="inlineStr">
        <is>
          <t>Adenocarcinoma</t>
        </is>
      </c>
      <c r="C1047" t="inlineStr">
        <is>
          <t>Hey, 
I got diagnosed with adenocarcinoma but nothing was found in my stomach or lungs..I had germ cell tumors and the dr thinks it transformed into this. Has anyone ever seen this before?</t>
        </is>
      </c>
      <c r="D1047" t="n">
        <v>2</v>
      </c>
      <c r="E1047" t="n">
        <v>9</v>
      </c>
      <c r="F1047">
        <f>HYPERLINK("https://www.reddit.com/r/cancer/comments/awhhl7/adenocarcinoma/")</f>
        <v/>
      </c>
      <c r="G1047" t="inlineStr">
        <is>
          <t>2019-03-02 04:53:21</t>
        </is>
      </c>
      <c r="H1047" t="inlineStr"/>
    </row>
    <row r="1048">
      <c r="A1048" t="inlineStr">
        <is>
          <t>awjjrq</t>
        </is>
      </c>
      <c r="B1048" t="inlineStr">
        <is>
          <t>Confused by dad's PET results, please help!</t>
        </is>
      </c>
      <c r="C1048" t="inlineStr">
        <is>
          <t>Dear all, 
&amp;amp;#x200B;
My father recently got a PET scan, he is a non-diabetic double-hit diffuse large B-cell lymphoma patient treated with Revlimid, Metformin and Rituximab. We received the report of his results and they have me very confused.
&amp;amp;#x200B;
The report is as follows:
&amp;amp;#x200B;
	Final Report:
&amp;amp;#x200B;
PT PET CT WHOLE BODY FDG:
&amp;amp;#x200B;
HISTORY - Relapsed diffuse large B-cell lymphoma. Rituximab on the 30th of January 2019. RADIOPHARMACEUTICAL- F18-FDG INJECTED ACTIVITY - 342 MBq. UPTAKE TIME - 65 min. BLOOD GLUCOSE - 5.4 mmol/l. TECHNIQUE PET scan from thebaseof the skull through thepelvis. Low-dose non-contrast CT over the same volume. COMPARISON PET/CT July 2018. FINDINGS: NECK/CHEST There is no airspace disease or suspicious lung nodule. ABDOMEN/PELVIS There is physiologic distribution of tracer in the gastrointestinal and genitourinary systems. The uptake in distal descending colon is a particular intense. No fat stranding of free fluid is seen to suggest acute inflammation. Left-sided PICC inguinal hernia is again noted. MUSCULOSKELETAL/SKIN There is no FDG-avid bone or cutaneous lesion. Post-treatment diffuse osteosclerotic changes involving the right iliac bone remain stable. No abnormal focal muscular uptake is seen. IMPRESSION There is no evidence of disease recurrence. 
&amp;amp;#x200B;
Obviously that last line "There is no evidence of disease recurrence." is fantastic. But I am a bit worried by "The uptake in distal descending colon is a particular intense." is this something that we should be worried about? Could it be a malignancy or hiding a malignancy? Or once they have said there is no evidence of disease recurrence is that enough? 
&amp;amp;#x200B;
Dad did have mural thickening of short segments of the jejunum and ileum most pronounced in the lower left quadrant with intense FDG uptake consistent with lymphomatous involvement when first diagnosed but the large bowel was of normal caliber and my understanding is that this is what's bright now.  
&amp;amp;#x200B;
I guess it could be uptake due to the use of Metformin or physiological distribution of tracer, so to provide some background information the Metformin was held for 48 hours before this scan and dad had fasted for 12 hours beforehand.   
&amp;amp;#x200B;
So, should we worry that this could be a malignancy, hiding a malignancy or is this unlikely? In your understanding, once the report says "There is no evidence of disease recurrence" are we generally safe?  
&amp;amp;#x200B;
Any thoughts would be appreciated,
&amp;amp;#x200B;
Very best wishes,
&amp;amp;#x200B;
Tranadex</t>
        </is>
      </c>
      <c r="D1048" t="n">
        <v>6</v>
      </c>
      <c r="E1048" t="n">
        <v>1</v>
      </c>
      <c r="F1048">
        <f>HYPERLINK("https://www.reddit.com/r/cancer/comments/awjjrq/confused_by_dads_pet_results_please_help/")</f>
        <v/>
      </c>
      <c r="G1048" t="inlineStr">
        <is>
          <t>2019-03-02 08:43:56</t>
        </is>
      </c>
      <c r="H1048" t="inlineStr"/>
    </row>
    <row r="1049">
      <c r="A1049" t="inlineStr">
        <is>
          <t>awk756</t>
        </is>
      </c>
      <c r="B1049" t="inlineStr">
        <is>
          <t>Coping with terrible “support system”</t>
        </is>
      </c>
      <c r="C1049" t="inlineStr">
        <is>
          <t xml:space="preserve">This is mostly a vent, but also hoping to find people who understand. As you can see, stage 3 vulvar cancer and I’m only 29.
I started treatment about 2 weeks ago, having my surgery to remove the cancer and evaluate my lymph nodes. Apparently, the primary tumor had grown so rapidly in between my exam and the surgery that what was supposed to be a partial radical vulvectomy turned into a total radical vulvectomy (and bilateral lymph nodes dissection). Because of the more extensive surgery, I was in the hospital for a week instead of 3 days.
My partner was able to take 2 weeks off from work, so he was home the entirety of my hospital stay and the majority of this week (he just went back to work today). When I was in the hospital, he managed to keep up with the house and take care of our son without issue. Since I’ve been home, he’s immediately gone back to his cleaning regimen of “don’t pick anything up until AITAthrowaway90 is so sick of it that she stops asking for help around the house and just cleans it by herself”. But I can’t just do all the housework myself, I just had major surgery and I’m still mostly in a wheelchair. I’ve been able to pick up a few things around the house by rolling around and using my grabber, but essentially it just went to shit. We’ve also gotten into stupid disagreements this week that culminated in him screaming at me for 5-10 minutes and him saying I’m “always negative and make him miserable”. That really hurt, a lot. I always try to encourage him in things he does, tell him qualities I like about him, give him praise, etc, and that’s never reciprocated. The only thing he tells me about how he views me is that I’m negative/terrible/etc and make him miserable (along with typical “love you’s). I ended up having a breakdown and just sobbed.
Well, he went back to work today, so his parents are helping me take care of our child. Things generally were ok, until my physical therapist showed up for our session today. I guess they thought they were quite enough, but they decided it was a good time to talk shit about how “I’m keeping the house” and “milking” my cancer right now. The thing is, they weren’t quite, both me *and my physical therapist* heard them. He got a look of horror that they would really sit there and say that, thinking we can’t hear them, then pretend to be all smiles when we ended up walking near them during my session. I feel embarrassed, pissed, and betrayed TBH (they never gave me any indication they thought so poorly of me before).
I’m just tired of all of this. I’ve literally been home for a week and we’re only two weeks into treatment. I still have chemo and radiation I’m going to have to go through, and this apparently is the life I’m fighting to save?
I just want to disappear right now, but I can’t because I can’t even walk down the stairs on my own. Clearly, I’m going to have to re-evaluate the hell out of my relationships if this is what I get to deal with on top of cancer. </t>
        </is>
      </c>
      <c r="D1049" t="n">
        <v>67</v>
      </c>
      <c r="E1049" t="n">
        <v>33</v>
      </c>
      <c r="F1049">
        <f>HYPERLINK("https://www.reddit.com/r/cancer/comments/awk756/coping_with_terrible_support_system/")</f>
        <v/>
      </c>
      <c r="G1049" t="inlineStr">
        <is>
          <t>2019-03-02 09:45:29</t>
        </is>
      </c>
      <c r="H1049" t="inlineStr"/>
    </row>
    <row r="1050">
      <c r="A1050" t="inlineStr">
        <is>
          <t>awku6q</t>
        </is>
      </c>
      <c r="B1050" t="inlineStr">
        <is>
          <t>Gift ideas to thank nurses?</t>
        </is>
      </c>
      <c r="C1050" t="inlineStr">
        <is>
          <t>Hello y'all!
&amp;amp;#x200B;
My wife and I are going home tomorrow after a 20-day hospital stay (YAAAAAAAAAAAAAAAAAAAAAAS!).
It was a hard, hard, hard experience dudes and dudettes, but we made it!
The best and easiest part of it all? THE NURSES! The were wonderful, professional, caring, supportive. We love them.
Now that we'll be home working on my wife's (and mine too, to be honest) recovery, we want to make gifts for them.
We want to show our gratitude and we also want to have activities that will help us cope emotionally during this time.
&amp;amp;#x200B;
Any ideas?</t>
        </is>
      </c>
      <c r="D1050" t="n">
        <v>15</v>
      </c>
      <c r="E1050" t="n">
        <v>18</v>
      </c>
      <c r="F1050">
        <f>HYPERLINK("https://www.reddit.com/r/cancer/comments/awku6q/gift_ideas_to_thank_nurses/")</f>
        <v/>
      </c>
      <c r="G1050" t="inlineStr">
        <is>
          <t>2019-03-02 10:44:13</t>
        </is>
      </c>
      <c r="H1050" t="inlineStr"/>
    </row>
    <row r="1051">
      <c r="A1051" t="inlineStr">
        <is>
          <t>awnnjf</t>
        </is>
      </c>
      <c r="B1051" t="inlineStr">
        <is>
          <t>T3 colorectal cancer, 2 days out from surgery</t>
        </is>
      </c>
      <c r="C1051" t="inlineStr">
        <is>
          <t xml:space="preserve">The pain is horrible. Spent last night crying myself to (briefly) sleep. My bp got too low and I was tachycardic so no opioids for me. I’m finally up &amp;amp; walking. Belly pain is manageable but my hips and glutes are fucking screaming all day long. 
Hoping for better tonight. 
</t>
        </is>
      </c>
      <c r="D1051" t="n">
        <v>6</v>
      </c>
      <c r="E1051" t="n">
        <v>5</v>
      </c>
      <c r="F1051">
        <f>HYPERLINK("https://www.reddit.com/r/cancer/comments/awnnjf/t3_colorectal_cancer_2_days_out_from_surgery/")</f>
        <v/>
      </c>
      <c r="G1051" t="inlineStr">
        <is>
          <t>2019-03-02 15:11:46</t>
        </is>
      </c>
      <c r="H1051" t="inlineStr"/>
    </row>
    <row r="1052">
      <c r="A1052" t="inlineStr">
        <is>
          <t>awno2s</t>
        </is>
      </c>
      <c r="B1052" t="inlineStr">
        <is>
          <t>Growth question.</t>
        </is>
      </c>
      <c r="C1052" t="inlineStr">
        <is>
          <t>Hey All,
So when i was 13 i had to go through radiation and Chemotherapy before i had my bone marrow transplant, at the time i was the exact same height that i am now and haven't grown since (i am now 19 and 5ft5 ), Is it possible for Chemotherapy  or Radiotherapy to stunt my growth? Is it even possible for me to grow anymore since its been so long since i have grown?
&amp;amp;#x200B;
This may seem like a bit of a stupid question to some but i'm curious what other people think, if you think i can grow is it possible to get a Bone X-Ray to see if my growth plates have fused? i feel like i should be taller than i am now and so do my doctors.</t>
        </is>
      </c>
      <c r="D1052" t="n">
        <v>3</v>
      </c>
      <c r="E1052" t="n">
        <v>3</v>
      </c>
      <c r="F1052">
        <f>HYPERLINK("https://www.reddit.com/r/cancer/comments/awno2s/growth_question/")</f>
        <v/>
      </c>
      <c r="G1052" t="inlineStr">
        <is>
          <t>2019-03-02 15:13:17</t>
        </is>
      </c>
      <c r="H1052" t="inlineStr"/>
    </row>
    <row r="1053">
      <c r="A1053" t="inlineStr">
        <is>
          <t>awodxl</t>
        </is>
      </c>
      <c r="B1053" t="inlineStr">
        <is>
          <t>Is this normal? I can't stop crying every day after the most i care diagnosed with cancer</t>
        </is>
      </c>
      <c r="C1053" t="inlineStr">
        <is>
          <t>I'm so lost i'm i don't want to see her in pain i'd rather take her place</t>
        </is>
      </c>
      <c r="D1053" t="n">
        <v>11</v>
      </c>
      <c r="E1053" t="n">
        <v>4</v>
      </c>
      <c r="F1053">
        <f>HYPERLINK("https://www.reddit.com/r/cancer/comments/awodxl/is_this_normal_i_cant_stop_crying_every_day_after/")</f>
        <v/>
      </c>
      <c r="G1053" t="inlineStr">
        <is>
          <t>2019-03-02 16:25:24</t>
        </is>
      </c>
      <c r="H1053" t="inlineStr"/>
    </row>
    <row r="1054">
      <c r="A1054" t="inlineStr">
        <is>
          <t>awoz01</t>
        </is>
      </c>
      <c r="B1054" t="inlineStr">
        <is>
          <t>Any ideas?</t>
        </is>
      </c>
      <c r="C1054" t="inlineStr">
        <is>
          <t>I have stomach cancer, and I'm flying to a big city to see a new oncology team that specialises in esophageal adenocarcinoma. However the tissue sample shows necrosis and ulceration of the Tumour. Today I vomited blood, black flecks, and the foulest smelling stench ever. It seriously smells like rotting flesh. Is there anything that can be done short term between now and Tuesday to alleviate symptoms?</t>
        </is>
      </c>
      <c r="D1054" t="n">
        <v>3</v>
      </c>
      <c r="E1054" t="n">
        <v>3</v>
      </c>
      <c r="F1054">
        <f>HYPERLINK("https://www.reddit.com/r/cancer/comments/awoz01/any_ideas/")</f>
        <v/>
      </c>
      <c r="G1054" t="inlineStr">
        <is>
          <t>2019-03-02 17:29:31</t>
        </is>
      </c>
      <c r="H1054" t="inlineStr"/>
    </row>
    <row r="1055">
      <c r="A1055" t="inlineStr">
        <is>
          <t>awq2pf</t>
        </is>
      </c>
      <c r="B1055" t="inlineStr">
        <is>
          <t>Soy Milk Prostate Cancer Risk</t>
        </is>
      </c>
      <c r="C1055" t="inlineStr">
        <is>
          <t>I have been limiting my consumption of dairy and have cut off all consumption of milk for a couple of years now. My maternal grandfather had prostate cancer.. Does soy milk contain the same risk factor as milk from the cow?</t>
        </is>
      </c>
      <c r="D1055" t="n">
        <v>0</v>
      </c>
      <c r="E1055" t="n">
        <v>8</v>
      </c>
      <c r="F1055">
        <f>HYPERLINK("https://www.reddit.com/r/cancer/comments/awq2pf/soy_milk_prostate_cancer_risk/")</f>
        <v/>
      </c>
      <c r="G1055" t="inlineStr">
        <is>
          <t>2019-03-02 19:37:30</t>
        </is>
      </c>
      <c r="H1055" t="inlineStr"/>
    </row>
    <row r="1056">
      <c r="A1056" t="inlineStr">
        <is>
          <t>awr2f8</t>
        </is>
      </c>
      <c r="B1056" t="inlineStr">
        <is>
          <t>What's better Radion therapy or Chemo therapy?</t>
        </is>
      </c>
      <c r="C1056" t="inlineStr">
        <is>
          <t>Share experience of what works for you Or prefer?</t>
        </is>
      </c>
      <c r="D1056" t="n">
        <v>0</v>
      </c>
      <c r="E1056" t="n">
        <v>7</v>
      </c>
      <c r="F1056">
        <f>HYPERLINK("https://www.reddit.com/r/cancer/comments/awr2f8/whats_better_radion_therapy_or_chemo_therapy/")</f>
        <v/>
      </c>
      <c r="G1056" t="inlineStr">
        <is>
          <t>2019-03-02 21:41:38</t>
        </is>
      </c>
      <c r="H1056" t="inlineStr"/>
    </row>
    <row r="1057">
      <c r="A1057" t="inlineStr">
        <is>
          <t>awryyt</t>
        </is>
      </c>
      <c r="B1057" t="inlineStr">
        <is>
          <t>Freaking out I might be sick again</t>
        </is>
      </c>
      <c r="C1057" t="inlineStr">
        <is>
          <t>Little background. I have endometriosis, have had multiple cysts, ovarian twice, ulcers and other things. Cancer is common on both sides on my family but for the past two days I’ve been having very familiar symptoms and I’m freaking the fuck out thinking I might have breast cancer this time around. Not sure why I’m even posting this I just needed to say it “out loud”</t>
        </is>
      </c>
      <c r="D1057" t="n">
        <v>0</v>
      </c>
      <c r="E1057" t="n">
        <v>9</v>
      </c>
      <c r="F1057">
        <f>HYPERLINK("https://www.reddit.com/r/cancer/comments/awryyt/freaking_out_i_might_be_sick_again/")</f>
        <v/>
      </c>
      <c r="G1057" t="inlineStr">
        <is>
          <t>2019-03-02 23:57:00</t>
        </is>
      </c>
      <c r="H1057" t="inlineStr"/>
    </row>
    <row r="1058">
      <c r="A1058" t="inlineStr">
        <is>
          <t>aws9l7</t>
        </is>
      </c>
      <c r="B1058" t="inlineStr">
        <is>
          <t>Interesting talks</t>
        </is>
      </c>
      <c r="C1058" t="inlineStr">
        <is>
          <t xml:space="preserve">Just making a note of some of the things my mom has said/done over the past few days while on hospice.  
Armadillos need more armpits. 
Me: “Are you looking out the window?”  Mom: “no I’m reading the newspaper”.   She had her sassy pants on. 
There’s a cat with noodles in his nose. 
It’s not an itch...it’s and atch.  (Grandma then tells me that mom couldn’t say itch when she was a baby, and called it an atch....I never knew this till now...all itches will now be referred to as atches ☺️) 
It’s hard to swallow with needles in my mouth...  :::picks out “needles” and hands them to me::: ...I hope i don’t step on one later
We gotta go to the store so I can make dinner. 
:::sobs::: I just want to play with the cute little puppy over there.  
Your hair always smells so good (every time I give her a hug) 
Your my beautiful baby. 
Move my chair up further so I can see grandma (her chair is next to hers, but she couldn’t see her as well when leaning back) 
I can’t do it anymore. 
You smell like smoke (to my sister ☺️) 
:::boop::: pokes my belly.  
Kicks my aunt in the bum and calls her a whackadoo 
Labeled her phone “Shellaphone” (her name is Michele).  
</t>
        </is>
      </c>
      <c r="D1058" t="n">
        <v>49</v>
      </c>
      <c r="E1058" t="n">
        <v>21</v>
      </c>
      <c r="F1058">
        <f>HYPERLINK("https://www.reddit.com/r/cancer/comments/aws9l7/interesting_talks/")</f>
        <v/>
      </c>
      <c r="G1058" t="inlineStr">
        <is>
          <t>2019-03-03 00:47:22</t>
        </is>
      </c>
      <c r="H1058" t="inlineStr"/>
    </row>
    <row r="1059">
      <c r="A1059" t="inlineStr">
        <is>
          <t>awv3al</t>
        </is>
      </c>
      <c r="B1059" t="inlineStr">
        <is>
          <t>Any adult here with past-retinoblastoma and/or eye loss?</t>
        </is>
      </c>
      <c r="C1059" t="inlineStr">
        <is>
          <t xml:space="preserve">I only wrote adult because this cancer is mostly common in young children. I am 29F btw. 
I had RB when was 4 months, and lost my left eye.
Fellow RB survivors, how you cope with insecurities (if you have so) ? My main self consciousness comes from my glass-eye as it doesn't follow my normal one. This leading to insecurities mainly in relationships and in the bedroom, as in sex the eye contact is very crucial. Fortunately none of my partners ever mentioned that I look weird (although I know I do) but still sometimes I can't help but think about how freakish I look from the outside. Especially when I try to seduce my man with a glance or I just look at him try to give him THAT look, you know. 
It would be nice to know I'm not alone with this kinda issue. My prosthetic glass eye is very basic, it's not the fancy one which moves and looks less fake because they're not available in my country and would cost too much either way. </t>
        </is>
      </c>
      <c r="D1059" t="n">
        <v>6</v>
      </c>
      <c r="E1059" t="n">
        <v>4</v>
      </c>
      <c r="F1059">
        <f>HYPERLINK("https://www.reddit.com/r/cancer/comments/awv3al/any_adult_here_with_pastretinoblastoma_andor_eye/")</f>
        <v/>
      </c>
      <c r="G1059" t="inlineStr">
        <is>
          <t>2019-03-03 07:41:43</t>
        </is>
      </c>
      <c r="H1059" t="inlineStr"/>
    </row>
    <row r="1060">
      <c r="A1060" t="inlineStr">
        <is>
          <t>aww3at</t>
        </is>
      </c>
      <c r="B1060" t="inlineStr">
        <is>
          <t>Those of you coping without a partner how do you manage?</t>
        </is>
      </c>
      <c r="C1060" t="inlineStr">
        <is>
          <t xml:space="preserve">Stage 3 ovarian cancer here. Wonderful kids (still in school) I am active in my support group and go to therapy too. Have good friends. But sometimes I hear of other survivors talking about how their partner is a rock or see couples together at appointments. And it makes me lonely. I don't see myself dating anytime soon as I am having some side effects still. 
How do you cope? </t>
        </is>
      </c>
      <c r="D1060" t="n">
        <v>7</v>
      </c>
      <c r="E1060" t="n">
        <v>6</v>
      </c>
      <c r="F1060">
        <f>HYPERLINK("https://www.reddit.com/r/cancer/comments/aww3at/those_of_you_coping_without_a_partner_how_do_you/")</f>
        <v/>
      </c>
      <c r="G1060" t="inlineStr">
        <is>
          <t>2019-03-03 09:21:05</t>
        </is>
      </c>
      <c r="H1060" t="inlineStr"/>
    </row>
    <row r="1061">
      <c r="A1061" t="inlineStr">
        <is>
          <t>awwhma</t>
        </is>
      </c>
      <c r="B1061" t="inlineStr">
        <is>
          <t>Your opinions on Avastin as a maintenance infusion to prevent cancer recurrence?</t>
        </is>
      </c>
      <c r="C1061" t="inlineStr">
        <is>
          <t xml:space="preserve">Background: Long-time lurker here. I'm about to finish up chemo (7 sessions total of Taxol/Taxotere and Carboplatin), plus hysterectomy/salpingo-oophorectomy surgery after chemo #4) for Stage IIIC ovarian cancer.   
My oncologist was hoping to get me into a clinical trial for Avastin/PARP inhibitors, but it closed. I have no genetic markers for ovarian cancer so my eligibility for other clinical trials is limited. My other option is Avastin infusions every three weeks for a year, beginning with my next chemo.  
My oncologist, who is great, says the results from studies on maintenance Avastin to prevent ovarian cancer recurrence show no statistically significant difference in recurrence rates (although there is some evidence that Avastin helps in advanced cases, like mine). He also called several colleagues to check their opinions, and they were split 50-50 on whether maintenance Avastin for a year helps prevent recurrence. Plus Avastin has some potentially serious side effects. So he's leaving the decision up to me. 
My question is - has anyone tried Avastin to prevent ovarian or other cancers, and what is your opinion on effectiveness vs. side effects?  Many thanks! </t>
        </is>
      </c>
      <c r="D1061" t="n">
        <v>2</v>
      </c>
      <c r="E1061" t="n">
        <v>6</v>
      </c>
      <c r="F1061">
        <f>HYPERLINK("https://www.reddit.com/r/cancer/comments/awwhma/your_opinions_on_avastin_as_a_maintenance/")</f>
        <v/>
      </c>
      <c r="G1061" t="inlineStr">
        <is>
          <t>2019-03-03 09:58:54</t>
        </is>
      </c>
      <c r="H1061" t="inlineStr"/>
    </row>
    <row r="1062">
      <c r="A1062" t="inlineStr">
        <is>
          <t>awx53f</t>
        </is>
      </c>
      <c r="B1062" t="inlineStr">
        <is>
          <t>Career Options for 3x Cancer Survivor Dealing With the chronic effects of chemotherapy, BMT and immunosuppression</t>
        </is>
      </c>
      <c r="C1062" t="inlineStr">
        <is>
          <t>I’ve reached a point in my life where it’s time for me to start thinking about what is best for my career but most importantly, my health.
12+ years ago I was diagnosed with a rare bone cancer. I went through chemotherapy as well as several surgeries but was eventually cured and in remission. Nine months following my last chemo, I relapsed. I endured more chemo and surgeries but again, I’d been cured and was cancer free. Two years following my final treatment, I developed a secondary blood cancer, pre-leukemia, as a result of prior treatments. This required more chemo and most importantly, a bone marrow transplant that would have a bigger effect on me than I ever realized. 
Due to all of my health issues, it took me 6.5 years to graduate but I finally received my BS in Accounting. I’d earned a job on my own through the company that I co-oped for. 
I’m nearly 3 years into my career but I’ve experienced several setbacks. All of the chemo and BMT did severe damage to my body. I developed avascular necrosis and needed both hips replaced. Fortunately one of them has been done but the other is 2+ years overdue with the pain I experience. I’ve had the surgery scheduled twice but cancelled each time because I put work first. My mouth is a wreck, I’ve lost 10+ teeth and more are on the way due to the chemo and immunosuppression. Procedures to correct this are also very long overdue. 
Due to the BMT, I also have a compromised immune system because it has had to rebuild and restrengthen itself. Therefore, in the winter, I’m sick fairly often from having to reintroduce myself to all the viruses, colds, etc. that children experience. It’s because of this, having to be absent often, that I’ve put off and put off my surgeries even though they need to be done. 
Roughly 5 years ago, I started with chronic nausea that would come and go. I put it off for two years but then it finally reached a tipping point. Doctors have diagnosed it as gastroparesis caused by the chemo and seem to have a better handle on it. Unfortunately, I’ve had three severe flare ups. The first lasted 3-4 months and I lost 30 lbs before doctors were able to diagnose and treat the issue. Last year it lasted 1-2 months while I lost 15 lbs. and earlier this year, it flared up again. I’m back down another 15 lbs. 
I have finally gotten to a point where I feel like I need to find a job or career that would be best suited for my chronic heath issues (chronic kidney disease, hypokalemia, cardiomyopathy in addition to the issues that I previously mentioned) that unfortunately I will have to deal with for the remainder of my life. And more likely than not, more issues will pop up as I get older as the treatments will have a lifelong effect. 
My current employer (global manufacturer w/ 25K+ employees- I work as a staff accountant in the finance dept) has been very understanding but it seems to be a never ending cycle for me. I will be healthy a few weeks, months, and then something flares up- I get the flu, pneumonia, etc. and I fall severely behind in my work. Then I get back to work and I overwork myself trying to play catch up. I run my body down and make myself sick from the stress of being absent and having to play catch up on top of dealing with the health issues that I have. 
Does anyone have any experience with similar situations? I feel that I need to find something that would be a good career or job that would be best to deal with my health issues and absences. If I’m sick or have surgeries of whatever, it’s not an issue if I’m out a week or month, etc. Something that wouldn’t be as demanding of me because my health should be my #1 priority over my career. Unfortunately, it took me nearly 3 years to finally realize that even with everything I had been through. 
Thanks for any and all advice and feedback!</t>
        </is>
      </c>
      <c r="D1062" t="n">
        <v>11</v>
      </c>
      <c r="E1062" t="n">
        <v>26</v>
      </c>
      <c r="F1062">
        <f>HYPERLINK("https://www.reddit.com/r/cancer/comments/awx53f/career_options_for_3x_cancer_survivor_dealing/")</f>
        <v/>
      </c>
      <c r="G1062" t="inlineStr">
        <is>
          <t>2019-03-03 10:56:42</t>
        </is>
      </c>
      <c r="H1062" t="inlineStr"/>
    </row>
    <row r="1063">
      <c r="A1063" t="inlineStr">
        <is>
          <t>awxnve</t>
        </is>
      </c>
      <c r="B1063" t="inlineStr">
        <is>
          <t>Thanks to all who post on this site</t>
        </is>
      </c>
      <c r="C1063" t="inlineStr">
        <is>
          <t xml:space="preserve">Just want to put out a big thank you to all of you who share your stories on this site, it’s been a big help for me, every time I’m feeling hopeless, or down, or like giving up, from the pain or long suffering this cancer is putting me through, I read about one of you that are going through even more surgeries, chemo, and pain, than me and still won’t give up, and the ones of you that have made it through all this and resumed a good life, what a inspiration you all are, so once again thank you thank you thank </t>
        </is>
      </c>
      <c r="D1063" t="n">
        <v>116</v>
      </c>
      <c r="E1063" t="n">
        <v>10</v>
      </c>
      <c r="F1063">
        <f>HYPERLINK("https://www.reddit.com/r/cancer/comments/awxnve/thanks_to_all_who_post_on_this_site/")</f>
        <v/>
      </c>
      <c r="G1063" t="inlineStr">
        <is>
          <t>2019-03-03 11:43:14</t>
        </is>
      </c>
      <c r="H1063" t="inlineStr"/>
    </row>
    <row r="1064">
      <c r="A1064" t="inlineStr">
        <is>
          <t>awyuvi</t>
        </is>
      </c>
      <c r="B1064" t="inlineStr">
        <is>
          <t>How fast can lung cancer grow.</t>
        </is>
      </c>
      <c r="C1064" t="inlineStr">
        <is>
          <t xml:space="preserve">About a year ago i had my first seizure and then another one a few months later. I had a cbc test, mri, ultrasound, and a bunch of other tests to see if it was related to cancer. All tests came back negative. There was not a single sign of cancer anywhere in my body. They also couldnt find a reason for my seizures.  I havent had a seizure since my second one and am finally allowed to return to my normal life.
I guess my question is how fast can cancer grow if there wasn't a single sign of it six months ago. 
This is not a (is this cancer question.) Its more of a how often should i get checked up for it after all negative results.
Ive been a smoker for over ten years. I smoke a pack every 3-4 days. Also i have not been very active since my first seizure, so im not in the best shape.
</t>
        </is>
      </c>
      <c r="D1064" t="n">
        <v>0</v>
      </c>
      <c r="E1064" t="n">
        <v>2</v>
      </c>
      <c r="F1064">
        <f>HYPERLINK("https://www.reddit.com/r/cancer/comments/awyuvi/how_fast_can_lung_cancer_grow/")</f>
        <v/>
      </c>
      <c r="G1064" t="inlineStr">
        <is>
          <t>2019-03-03 13:32:07</t>
        </is>
      </c>
      <c r="H1064" t="inlineStr"/>
    </row>
    <row r="1065">
      <c r="A1065" t="inlineStr">
        <is>
          <t>awywoa</t>
        </is>
      </c>
      <c r="B1065" t="inlineStr">
        <is>
          <t>I start chemo tomorrow but both my parents have colds</t>
        </is>
      </c>
      <c r="C1065" t="inlineStr">
        <is>
          <t>I start chemo tomorrow for grade 3c ovarian cancer. Both my parents have colds. In hindsight my dads been sick for a few days but we thought it was allergies. My dad who is the most sick is wearing a mask but this is such a small apartment I couldn’t get away from them. 
My dads been preparing food the last few days
What do I do?</t>
        </is>
      </c>
      <c r="D1065" t="n">
        <v>3</v>
      </c>
      <c r="E1065" t="n">
        <v>6</v>
      </c>
      <c r="F1065">
        <f>HYPERLINK("https://www.reddit.com/r/cancer/comments/awywoa/i_start_chemo_tomorrow_but_both_my_parents_have/")</f>
        <v/>
      </c>
      <c r="G1065" t="inlineStr">
        <is>
          <t>2019-03-03 13:36:38</t>
        </is>
      </c>
      <c r="H1065" t="inlineStr"/>
    </row>
    <row r="1066">
      <c r="A1066" t="inlineStr">
        <is>
          <t>awzbrx</t>
        </is>
      </c>
      <c r="B1066" t="inlineStr">
        <is>
          <t>a message to everyone</t>
        </is>
      </c>
      <c r="C1066" t="inlineStr">
        <is>
          <t>this is for people who are either dealing with cancer, or have lost someone to cancer:
when i was around 3/4/5, i had an amazing friend. she loved the little mermaid, animation, and everything cute. the last time i ever saw her happy and alive, was when she was having her disney birthday, and got an ariel doll, and ran to the pool so we could splash around and play together. one day when i was 5, i was walking down the road with my mum. she looked slightly sad, and i asked why. she asked me if i knew what happened, and i asked again. she then looked down, held my hand, and said, "she passed away because she was sick.", i was confused, but cried. we attended her funeral the same day. i vividly remember seeing her laying in her coffin. my mom asked me to say bye, and i asked, "can she hear us?", she said, "maybe..", and after a while we left. this really changed me, it's something you cant unsee. later on, i discovered what had killed her, and i was shocked.. since then, i've always wanted to donate to charity, and help people get through these things. if you are dealing with cancer, live your life to the fullest. and make everything worth it. every second matters, and i wish you luck. if you have lost someone to cancer, they will always be alive in your heart, i wish the best for all of you. sadly, im not a medical professional, but if i was, i'd always try my best to help everyone who needed it. i hope you all live amazing lives.
\-g3n</t>
        </is>
      </c>
      <c r="D1066" t="n">
        <v>14</v>
      </c>
      <c r="E1066" t="n">
        <v>0</v>
      </c>
      <c r="F1066">
        <f>HYPERLINK("https://www.reddit.com/r/cancer/comments/awzbrx/a_message_to_everyone/")</f>
        <v/>
      </c>
      <c r="G1066" t="inlineStr">
        <is>
          <t>2019-03-03 14:16:12</t>
        </is>
      </c>
      <c r="H1066" t="inlineStr"/>
    </row>
    <row r="1067">
      <c r="A1067" t="inlineStr">
        <is>
          <t>awzx7u</t>
        </is>
      </c>
      <c r="B1067" t="inlineStr">
        <is>
          <t>Survivors, and those of you who are still surviving. Loved ones of those strong individuals, please read this story and possibly help me.</t>
        </is>
      </c>
      <c r="C1067" t="inlineStr">
        <is>
          <t>Hello everyone. I’m fairly new to reddit, but I thought I might ask the community here; are there any scholarships available for childhood cancer survivors?
Let me elaborate somewhat as well:
One of my best friends, who I’ve known for what’s going on 10 years, is a survivor. We are long distance friends. I live in the US (Florida), and he lives in Canada, but please don’t let that put you off because we are very close despite it and call/ video chat/ send pictures, regularly. He’s a very private person when it comes to things that ail him, so some of the details of his journey I’m not completely clear on (because he’s chosen to keep them private and I respect that). But I will be as detailed as possible so I can get some recommendations and help. 
My friend comes from a troubled family life. His mother is mentally ill and neglected him and his siblings from a very young age. He was abused; to the extent he chooses bury it down. I’ve had very few instances of insight from him, but the few things he has told me are very troubling.  It’s been bad enough so that he’s had to change his name to keep his mother out of his life, and he even found out that he was not the age he thought he was for YEARS.  On top of all of this, he was diagnosed at age 15 with leukemia. I was with him as much as I could be, being so far away. We were young, but we had lots of late night talks, phone calls, and we are both artists, so we often traded drawings and drew characters together for fun. All the while he dealt with depression and suicidal thoughts (we both did), but I managed to talk him down a few times (although I’m sure my talking to him wasn’t a defining factor, this dude is strong as hell). 
He went into remission around age 17-18. I’m a little sketchy on some details of his recovery because after a while of struggling, he shut everyone out, which I can completely understand because what he went through was awful. But it has definitely left him with things that still effect him to this day. He has consistent back problems to the point that he’s shrunken down a few inches, and body aches. He’s still got a non-cancerous tumor in his brain that causes memory and emotional issues as well. 
My friend has been on his own since he reached legal age and was able to move out of his parent’s house. Although as far as I know, his dad is very supportive and loving of him, he and his step-mother are dependent on him financially (and have never had much money to go around in the first place). He works countless hours at his retail job, and has struggled with a series of awful and unreliable/ toxic roommates. Sometimes he spirals down and it’s very hard because, as a broke college student myself, especially one who lives 1,000+ miles away, there’s not much I can do. 
All I want for him is something he can look forward to and strive for. He doesn’t have anyone to fall back on, and he desperately wants to go to school, but he doesn’t have the money for it. I know him to be profoundly intelligent in writing (although he denies it constantly) and the arts (drawing). He wants to be a character designer, or do something pertaining to cartoons or art. 
I know this was a long read, but I just want you guys to have an idea of where I’m (or should I say, he is) coming from. I want the best for him, and I want good things to happen for him. 
I’ve looked up scholarships and such, but it’s hard (on my end living in the US) to find much on scholarships in Canada that I’m comfortable saying are legit. Do any of you have an idea of any options? Or experiences?? 
For more elaboration, my friend is in his early 20’s and lives in the BC area. And because I know it helps out with some scholarships; he is part of the LGBT+ community as well, so if you have any recommendations along those lines, that would be great. 
Also let me just say, my friend would totally kill me if he saw this post. He’s very humble and he doesn’t want to cause anyone trouble ever. He’s an amazing person who I love very much though, so I want to try.
Thank you all, and please respond if you have any suggestions.</t>
        </is>
      </c>
      <c r="D1067" t="n">
        <v>3</v>
      </c>
      <c r="E1067" t="n">
        <v>2</v>
      </c>
      <c r="F1067">
        <f>HYPERLINK("https://www.reddit.com/r/cancer/comments/awzx7u/survivors_and_those_of_you_who_are_still/")</f>
        <v/>
      </c>
      <c r="G1067" t="inlineStr">
        <is>
          <t>2019-03-03 15:13:51</t>
        </is>
      </c>
      <c r="H1067" t="inlineStr"/>
    </row>
    <row r="1068">
      <c r="A1068" t="inlineStr">
        <is>
          <t>ax0ctt</t>
        </is>
      </c>
      <c r="B1068" t="inlineStr">
        <is>
          <t>A time for reflection</t>
        </is>
      </c>
      <c r="C1068" t="inlineStr">
        <is>
          <t>Today was the day we all dread. The fight is over and my father is finally at peace and pain free. The end is always a struggle and chemo is a bitch! I just wanted to take time to thank everyone for sharing their stories and support.</t>
        </is>
      </c>
      <c r="D1068" t="n">
        <v>28</v>
      </c>
      <c r="E1068" t="n">
        <v>6</v>
      </c>
      <c r="F1068">
        <f>HYPERLINK("https://www.reddit.com/r/cancer/comments/ax0ctt/a_time_for_reflection/")</f>
        <v/>
      </c>
      <c r="G1068" t="inlineStr">
        <is>
          <t>2019-03-03 15:58:02</t>
        </is>
      </c>
      <c r="H1068" t="inlineStr"/>
    </row>
    <row r="1069">
      <c r="A1069" t="inlineStr">
        <is>
          <t>ax1iml</t>
        </is>
      </c>
      <c r="B1069" t="inlineStr">
        <is>
          <t>What were your comfort items during chemo and radiation?</t>
        </is>
      </c>
      <c r="C1069" t="inlineStr">
        <is>
          <t xml:space="preserve">My dad is starting chemo and radiation in the next two weeks and I’ve been reading up on all the possible side effects and discomfort people can have. The radiation will take place on his neck/head for six weeks and he’ll have 4 rounds of chemo. 
My dad isn’t the best at expressing what he needs so I’m hoping to get some tips from those of you who have had loved ones or who have experienced it yourself. My initial thought was getting some soft socks/slippers and a warm soft sweatshirt but am open to ideas! </t>
        </is>
      </c>
      <c r="D1069" t="n">
        <v>5</v>
      </c>
      <c r="E1069" t="n">
        <v>10</v>
      </c>
      <c r="F1069">
        <f>HYPERLINK("https://www.reddit.com/r/cancer/comments/ax1iml/what_were_your_comfort_items_during_chemo_and/")</f>
        <v/>
      </c>
      <c r="G1069" t="inlineStr">
        <is>
          <t>2019-03-03 17:59:15</t>
        </is>
      </c>
      <c r="H1069" t="inlineStr"/>
    </row>
    <row r="1070">
      <c r="A1070" t="inlineStr">
        <is>
          <t>ax3c1b</t>
        </is>
      </c>
      <c r="B1070" t="inlineStr">
        <is>
          <t>When to decide husband can’t go to appointments on his own?</t>
        </is>
      </c>
      <c r="C1070" t="inlineStr">
        <is>
          <t>I try to go to most of my husband’s appointments since his memory isn’t very good and he can get a little confused (combination of brain mets, immunotherapy, narcotic painkillers and cannabis). But for some easy appointments - like blood work or counselling appointments - he has gone on his own by just calling a cab. 
Today we went to a pub and called a cab to get home. He couldn’t remember his PIN at all when trying to pay with his credit card. I had to take over and pay it myself. This has never happened before and when we got home, his PIN started coming back to him.
I feel nervous now about his taking a cab alone. What if he’s forgets how to pay? But it’s impossible to go with him for every appointment and still hold down a job or be a student. 
What do I do? When do I know if he’s no longer able to be out unsupervised? It’s hard because the cognitive decline is definitely there, but it’s slow and he still has good days and bad days.</t>
        </is>
      </c>
      <c r="D1070" t="n">
        <v>4</v>
      </c>
      <c r="E1070" t="n">
        <v>12</v>
      </c>
      <c r="F1070">
        <f>HYPERLINK("https://www.reddit.com/r/cancer/comments/ax3c1b/when_to_decide_husband_cant_go_to_appointments_on/")</f>
        <v/>
      </c>
      <c r="G1070" t="inlineStr">
        <is>
          <t>2019-03-03 21:14:54</t>
        </is>
      </c>
      <c r="H1070" t="inlineStr"/>
    </row>
    <row r="1071">
      <c r="A1071" t="inlineStr">
        <is>
          <t>ax3qg2</t>
        </is>
      </c>
      <c r="B1071" t="inlineStr">
        <is>
          <t>Vent. Plus, I just need some comfort. I’m sorry.</t>
        </is>
      </c>
      <c r="C1071" t="inlineStr">
        <is>
          <t xml:space="preserve">I’m scared to sleep because I’m terrified I’m gonna wake up and my mom will have died. I can’t stop crying and I have to be up in 5 hrs. She said she felt the pain of the tumor a little more today and I have a bad feeling, but that could also be anxiety. The pain is getting better from some essential oil though, so it couldn’t have been unbearable because she seemed fine. Just tired, but she’s a mom so I’d be worried if she wasn’t tired. I’m sorry for the vent. I just need to calm down. </t>
        </is>
      </c>
      <c r="D1071" t="n">
        <v>9</v>
      </c>
      <c r="E1071" t="n">
        <v>4</v>
      </c>
      <c r="F1071">
        <f>HYPERLINK("https://www.reddit.com/r/cancer/comments/ax3qg2/vent_plus_i_just_need_some_comfort_im_sorry/")</f>
        <v/>
      </c>
      <c r="G1071" t="inlineStr">
        <is>
          <t>2019-03-03 22:02:00</t>
        </is>
      </c>
      <c r="H1071" t="inlineStr"/>
    </row>
    <row r="1072">
      <c r="A1072" t="inlineStr">
        <is>
          <t>ax51gg</t>
        </is>
      </c>
      <c r="B1072" t="inlineStr">
        <is>
          <t>UPDATE: Dad is still alive and battling multiple complications. Continuing his story. Asking for advice on how to manage him, hospital stays, college, but most of all I wanna make him smile.</t>
        </is>
      </c>
      <c r="C1072" t="inlineStr">
        <is>
          <t xml:space="preserve">Disclaimer : can't put location but we are in South America, Uruguay. British Hospital. For some of you Uruguayan lurkers.
My dad has high grade NEC on (suspectedly primary) lung and mets on his liver. Yesterday he got a scan and bladder and prostate are tumor free.
Since his second chemo, he went downhill very fast. He has been hospitalized three times since his second chemo (late january) for bacteria in his blood, urinary infection and an almost fatal anemia. He got two new liters of blood.
I had a mental breakdown last night. I'm not gonna lie. I am not a sane person; I mean, I am sane but take pills for depression and my only daughter died less than a year ago. That can fuck you up more than a mental illness. I convinced myself that he was going to die very soon, which I cannot know but as I said, I'm fucked up. I was staying every night in the hospital with him but today I didn't.  My little brother (20, highly functional autistic) took the wheel tonight.
Enough about me. I wanted to ask, from a patient's POV, what can I do to confort him. He is very afraid of dying, he is very depressed. They got him off the Tramadol that he was in 24/7 for postural pain and a little muscular atrophy that poor soul he suffered so much. 
Heroes, Knights,  Queens that battle this horrible disease, would you guide me as to how to treat my dad lovingly even when he insults me, even when he doesn't want to eat and drives me mad? He has cannabis oil. Maybe some of you take it and can teach me how to properly use it. I just want to be for him. Unconditionally. Even if this is my last year of College. I am just seeking for advice. I feel like a bitch for leaving him tonight. 
Love you all and keep fighting the fight. </t>
        </is>
      </c>
      <c r="D1072" t="n">
        <v>45</v>
      </c>
      <c r="E1072" t="n">
        <v>4</v>
      </c>
      <c r="F1072">
        <f>HYPERLINK("https://www.reddit.com/r/cancer/comments/ax51gg/update_dad_is_still_alive_and_battling_multiple/")</f>
        <v/>
      </c>
      <c r="G1072" t="inlineStr">
        <is>
          <t>2019-03-04 00:58:59</t>
        </is>
      </c>
      <c r="H1072" t="inlineStr"/>
    </row>
    <row r="1073">
      <c r="A1073" t="inlineStr">
        <is>
          <t>ax5or6</t>
        </is>
      </c>
      <c r="B1073" t="inlineStr">
        <is>
          <t>Pete's Singing To Help His Recovery From Cancer | All Together Now</t>
        </is>
      </c>
      <c r="C1073" t="inlineStr">
        <is>
          <t xml:space="preserve"> 
Published on Mar 2, 2019
When Pete lost his lower leg to cancer, his passion for music helped him through his recovery - and gave him an outlet to express his feelings. Now he’s saying ‘yes’ to any opportunity that comes his way - including an audition in front of 'The 100'.
[https://www.youtube.com/watch?v=fzQ85NbgMFc](https://www.youtube.com/watch?v=fzQ85NbgMFc)</t>
        </is>
      </c>
      <c r="D1073" t="n">
        <v>2</v>
      </c>
      <c r="E1073" t="n">
        <v>0</v>
      </c>
      <c r="F1073">
        <f>HYPERLINK("https://www.reddit.com/r/cancer/comments/ax5or6/petes_singing_to_help_his_recovery_from_cancer/")</f>
        <v/>
      </c>
      <c r="G1073" t="inlineStr">
        <is>
          <t>2019-03-04 02:30:20</t>
        </is>
      </c>
      <c r="H1073" t="inlineStr"/>
    </row>
    <row r="1074">
      <c r="A1074" t="inlineStr">
        <is>
          <t>ax6tm6</t>
        </is>
      </c>
      <c r="B1074" t="inlineStr">
        <is>
          <t>How to Support my Mother?</t>
        </is>
      </c>
      <c r="C1074" t="inlineStr">
        <is>
          <t>Hi All,
I'm writing seeking advice on how to support my mother in her battle with breast cancer. She is uninsured and low paid, but more than enough to qualify for programs or medicaid. 
She has Stage 1 Breast Cancer, 1.5cm tumor, ER neg, HER2 positive. 
She does not want to 'be cut', have a lumpectomy (due to dis-configuration and cost), and has sought out neuropaths. Neuropathic doctor told her she had to get the lump removed, which was jarring for her as she trusted this person implicitly to tell her to do ozone masks only. 
She contacted a surgeon who recommended, based on her financial situation, she go on the HER2 blocking medication to buy time, and then get targeted radiotherapy. No word on requiring lumpectomy.
What is the outcome if she doesn't get the lump removed? Has anyone dealt with this before? I can't find anything where someone gets radiotherapy without surgery.
Obviously, my concern is it continues to grow or in a years time we are looking at a different diagnosis. I have found cheaper options (in other countries) for her to take up, but she flat out refuses. Obviously it is her choice and her life, but I am struggling here. 
&amp;amp;#x200B;
&amp;amp;#x200B;</t>
        </is>
      </c>
      <c r="D1074" t="n">
        <v>2</v>
      </c>
      <c r="E1074" t="n">
        <v>7</v>
      </c>
      <c r="F1074">
        <f>HYPERLINK("https://www.reddit.com/r/cancer/comments/ax6tm6/how_to_support_my_mother/")</f>
        <v/>
      </c>
      <c r="G1074" t="inlineStr">
        <is>
          <t>2019-03-04 04:54:22</t>
        </is>
      </c>
      <c r="H1074" t="inlineStr"/>
    </row>
    <row r="1075">
      <c r="A1075" t="inlineStr">
        <is>
          <t>ax8ynp</t>
        </is>
      </c>
      <c r="B1075" t="inlineStr">
        <is>
          <t>First Birthday</t>
        </is>
      </c>
      <c r="C1075" t="inlineStr">
        <is>
          <t xml:space="preserve">Today is my first birthday  I am spending since my father passed away from his cancer. I was his caregiver to the end and for the last few months I’ve just been staying busy and trying not to dwell in it too much but today I am reminded that I’ll never get another silly card or get a phone call to chat or all those little beautiful things that make life life. 
I just wanted to share that with you guys. He was a beautiful man. 
RIP Dad.
I love you </t>
        </is>
      </c>
      <c r="D1075" t="n">
        <v>13</v>
      </c>
      <c r="E1075" t="n">
        <v>8</v>
      </c>
      <c r="F1075">
        <f>HYPERLINK("https://www.reddit.com/r/cancer/comments/ax8ynp/first_birthday/")</f>
        <v/>
      </c>
      <c r="G1075" t="inlineStr">
        <is>
          <t>2019-03-04 08:25:01</t>
        </is>
      </c>
      <c r="H1075" t="inlineStr"/>
    </row>
    <row r="1076">
      <c r="A1076" t="inlineStr">
        <is>
          <t>ax8yuc</t>
        </is>
      </c>
      <c r="B1076" t="inlineStr">
        <is>
          <t>It keeps coming back. What would you do?</t>
        </is>
      </c>
      <c r="C1076" t="inlineStr">
        <is>
          <t>I've been through so many surgeries I've almost lost track. Many of them were major ones in the abdomen. And it keeps coming back. Docs say it's going to grow and cause issues if I don't get rid of it but it keeps coming back and I've lost faith in it ever going away. These surgeries are brutal, both physically and mentally. I don't know what to do.</t>
        </is>
      </c>
      <c r="D1076" t="n">
        <v>11</v>
      </c>
      <c r="E1076" t="n">
        <v>8</v>
      </c>
      <c r="F1076">
        <f>HYPERLINK("https://www.reddit.com/r/cancer/comments/ax8yuc/it_keeps_coming_back_what_would_you_do/")</f>
        <v/>
      </c>
      <c r="G1076" t="inlineStr">
        <is>
          <t>2019-03-04 08:25:25</t>
        </is>
      </c>
      <c r="H1076" t="inlineStr"/>
    </row>
    <row r="1077">
      <c r="A1077" t="inlineStr">
        <is>
          <t>ax9jqa</t>
        </is>
      </c>
      <c r="B1077" t="inlineStr">
        <is>
          <t>First appointment with oncologist.</t>
        </is>
      </c>
      <c r="C1077" t="inlineStr">
        <is>
          <t>Stage 3b colon cancer and I have my first appointment with the oncologist in 2 days. It will be four weeks post op. What kind of questions should I ask?  I kinda know the basic ones, but what is something you wished you had known? For instance, I was reading that cleaning a litter box may not be good due to your compromised immune system, and I have a cat!</t>
        </is>
      </c>
      <c r="D1077" t="n">
        <v>42</v>
      </c>
      <c r="E1077" t="n">
        <v>32</v>
      </c>
      <c r="F1077">
        <f>HYPERLINK("https://www.reddit.com/r/cancer/comments/ax9jqa/first_appointment_with_oncologist/")</f>
        <v/>
      </c>
      <c r="G1077" t="inlineStr">
        <is>
          <t>2019-03-04 09:13:40</t>
        </is>
      </c>
      <c r="H1077" t="inlineStr"/>
    </row>
    <row r="1078">
      <c r="A1078" t="inlineStr">
        <is>
          <t>ax9k93</t>
        </is>
      </c>
      <c r="B1078" t="inlineStr">
        <is>
          <t>ideas for how to support at a distance?</t>
        </is>
      </c>
      <c r="C1078" t="inlineStr">
        <is>
          <t xml:space="preserve">my dad is starting chemo next week - and i am feeling awful that i like 5,000 km away. he has my mom and my sister to take him to appointments and do the day-to-day care but i'd appreciate any ideas for what i could do from a distance to support him. thanks. </t>
        </is>
      </c>
      <c r="D1078" t="n">
        <v>3</v>
      </c>
      <c r="E1078" t="n">
        <v>11</v>
      </c>
      <c r="F1078">
        <f>HYPERLINK("https://www.reddit.com/r/cancer/comments/ax9k93/ideas_for_how_to_support_at_a_distance/")</f>
        <v/>
      </c>
      <c r="G1078" t="inlineStr">
        <is>
          <t>2019-03-04 09:14:45</t>
        </is>
      </c>
      <c r="H1078" t="inlineStr"/>
    </row>
    <row r="1079">
      <c r="A1079" t="inlineStr">
        <is>
          <t>ax9ns5</t>
        </is>
      </c>
      <c r="B1079" t="inlineStr">
        <is>
          <t>My dad has cancer and it's tearing my family apart.</t>
        </is>
      </c>
      <c r="C1079" t="inlineStr">
        <is>
          <t xml:space="preserve">My 58 year old dad was diagnosed with 3rd stage Mesothelioma in the fall (2018). They gave him a year to live. Instead of doing chemo, he is doing Keytruda (immunotherapy). While his cancer isn't spreading, it is getting bigger and he is getting sicker. He is in pain all the time and can't sleep well because of it. We live on a farm. While we (me, my little brother, and my mom) have always helped out, he has done the majority of heavy lifting. He runs the tractor, fixes what's broken, chops most of the firewood, etc. He loves to do those things... He is strong and fit and too young to have cancer. 
But now my mom is scared and angry. She's scared of losing him and being left with machinery and chores that she doesn't know anything about. She wants to sell the cows and most of the horses. My dad won't let her. She wants my dad to accept that his illness is terminal and to think about the future while living for now. He wants to blow all of his money on untested treatments to save himself.  
I'm 20 and moving out this summer. My brother is 18 and also moving out. But honestly, I'm scared to leave. I want my independence and my privacy so badly, but I can't leave my mom and sick dad. I have dealt with so much tragedy in the past two years: two beloved childhood dogs have passed of cancer and heart failure. I was in a bad rollover car accident. I have no hopes or motivations in life... I just don't want to leave my family. And I don't want to lose my dad. </t>
        </is>
      </c>
      <c r="D1079" t="n">
        <v>22</v>
      </c>
      <c r="E1079" t="n">
        <v>8</v>
      </c>
      <c r="F1079">
        <f>HYPERLINK("https://www.reddit.com/r/cancer/comments/ax9ns5/my_dad_has_cancer_and_its_tearing_my_family_apart/")</f>
        <v/>
      </c>
      <c r="G1079" t="inlineStr">
        <is>
          <t>2019-03-04 09:22:38</t>
        </is>
      </c>
      <c r="H1079" t="inlineStr"/>
    </row>
    <row r="1080">
      <c r="A1080" t="inlineStr">
        <is>
          <t>ax9qwu</t>
        </is>
      </c>
      <c r="B1080" t="inlineStr">
        <is>
          <t>Chemo care package</t>
        </is>
      </c>
      <c r="C1080" t="inlineStr">
        <is>
          <t>Hi everyone!  My dad is getting ready to start his first round of AIM chemo.  He will need to be in patient at the hospital to receive it for 5-6 days each round.  I'd like to make him a care package and was wondering if you all had any suggestions?  He doesn't have many hobbies, he's primarily into football and RV camping.  I'd love any suggestions to keep him busy, feeling loved, and/or as comfortable as possible!</t>
        </is>
      </c>
      <c r="D1080" t="n">
        <v>7</v>
      </c>
      <c r="E1080" t="n">
        <v>8</v>
      </c>
      <c r="F1080">
        <f>HYPERLINK("https://www.reddit.com/r/cancer/comments/ax9qwu/chemo_care_package/")</f>
        <v/>
      </c>
      <c r="G1080" t="inlineStr">
        <is>
          <t>2019-03-04 09:29:51</t>
        </is>
      </c>
      <c r="H1080" t="inlineStr"/>
    </row>
    <row r="1081">
      <c r="A1081" t="inlineStr">
        <is>
          <t>axacrc</t>
        </is>
      </c>
      <c r="B1081" t="inlineStr">
        <is>
          <t>Constipation help please!</t>
        </is>
      </c>
      <c r="C1081" t="inlineStr">
        <is>
          <t xml:space="preserve">My brother is having a terrible time getting his pain managed. The doctor is very serious about getting the pain down and it seems to be one of his main priorities during meetings. 
Anyway, currently his pain is at a tolerable spot but now he is having terrible constipation issues. He told me yesterday that the pain from the constipation is worse than what he went through with his first hardcore doxi- chemo treatment. He refused to do that treatment again, stating that it would literally kill him. So I'm shocked to hear him say that the constipation is worse. 
He has done all that standard stuff. Miralax, senokot, etc. Aside from trying to manually remove the problem himself, he is now giving himself enemas which worries me.  He found some newer medicines that supposedly help but insurance denied them. I believe the doctors are working with insurance to try to get that figured out. He also believes the constipation issues really started when he switched treatment to radiation. (It only goes to his calf).
He is a type 1 diabetic since childhood and has sarcoma in his calf, if that is needed information. 
This may be TMI but my grandfather passed away two years ago. He also had cancer but he died on the toilet while trying to pass a bowel movement. He struggled so much with constipation those last few years. He even went to the hospital that night before he passed. I don't want something like this to happen to my brother. 
Anyone have any holy grail solutions for his constipation? 
Thanks in advance and take care of yourselves. </t>
        </is>
      </c>
      <c r="D1081" t="n">
        <v>3</v>
      </c>
      <c r="E1081" t="n">
        <v>23</v>
      </c>
      <c r="F1081">
        <f>HYPERLINK("https://www.reddit.com/r/cancer/comments/axacrc/constipation_help_please/")</f>
        <v/>
      </c>
      <c r="G1081" t="inlineStr">
        <is>
          <t>2019-03-04 10:18:53</t>
        </is>
      </c>
      <c r="H1081" t="inlineStr"/>
    </row>
    <row r="1082">
      <c r="A1082" t="inlineStr">
        <is>
          <t>axb1bf</t>
        </is>
      </c>
      <c r="B1082" t="inlineStr">
        <is>
          <t>I talked out loud to my mom last night</t>
        </is>
      </c>
      <c r="C1082" t="inlineStr">
        <is>
          <t xml:space="preserve">Does anyone else do that? Do you talk out loud to them, and tell them about your day? I was afraid of doing it but it just bellowed out last night and it helped me a lot. </t>
        </is>
      </c>
      <c r="D1082" t="n">
        <v>8</v>
      </c>
      <c r="E1082" t="n">
        <v>4</v>
      </c>
      <c r="F1082">
        <f>HYPERLINK("https://www.reddit.com/r/cancer/comments/axb1bf/i_talked_out_loud_to_my_mom_last_night/")</f>
        <v/>
      </c>
      <c r="G1082" t="inlineStr">
        <is>
          <t>2019-03-04 11:15:16</t>
        </is>
      </c>
      <c r="H1082" t="inlineStr"/>
    </row>
    <row r="1083">
      <c r="A1083" t="inlineStr">
        <is>
          <t>axbcly</t>
        </is>
      </c>
      <c r="B1083" t="inlineStr">
        <is>
          <t>Dad diagnosed with MDS and I feel like I’m drowning.</t>
        </is>
      </c>
      <c r="C1083" t="inlineStr">
        <is>
          <t xml:space="preserve">Apologies for any formatting issues I’m on mobile.
My 68 year old dad was diagnosed with MDS back in October. He goes to the VA for medical treatment and it’s been such a battle. He needs a bone marrow transplant and they said he would need to fly to Seattle from New Jersey for one. The doctors also said that he can’t fly because his immune system is too weak. His secondary insurance won’t pay for any of it because they only cover hard organ transplants. 
My mom is a full time caregiver to my dad, her elderly mother and my disabled brother. It’s been so hard seeing her so depressed. The situation feels so hopeless and it’s been hard to face the fact that my dad is dying and I can’t do anything about it.
UGH.
</t>
        </is>
      </c>
      <c r="D1083" t="n">
        <v>5</v>
      </c>
      <c r="E1083" t="n">
        <v>1</v>
      </c>
      <c r="F1083">
        <f>HYPERLINK("https://www.reddit.com/r/cancer/comments/axbcly/dad_diagnosed_with_mds_and_i_feel_like_im_drowning/")</f>
        <v/>
      </c>
      <c r="G1083" t="inlineStr">
        <is>
          <t>2019-03-04 11:41:20</t>
        </is>
      </c>
      <c r="H1083" t="inlineStr"/>
    </row>
    <row r="1084">
      <c r="A1084" t="inlineStr">
        <is>
          <t>axbrh9</t>
        </is>
      </c>
      <c r="B1084" t="inlineStr">
        <is>
          <t>dying soon, trying to be as antagonistic as possible, fuck this world and everything in it</t>
        </is>
      </c>
      <c r="C1084" t="inlineStr">
        <is>
          <t>read the title faggot</t>
        </is>
      </c>
      <c r="D1084" t="n">
        <v>0</v>
      </c>
      <c r="E1084" t="n">
        <v>1</v>
      </c>
      <c r="F1084">
        <f>HYPERLINK("https://www.reddit.com/r/cancer/comments/axbrh9/dying_soon_trying_to_be_as_antagonistic_as/")</f>
        <v/>
      </c>
      <c r="G1084" t="inlineStr">
        <is>
          <t>2019-03-04 12:15:26</t>
        </is>
      </c>
      <c r="H1084" t="inlineStr"/>
    </row>
    <row r="1085">
      <c r="A1085" t="inlineStr">
        <is>
          <t>axdms2</t>
        </is>
      </c>
      <c r="B1085" t="inlineStr">
        <is>
          <t>This is minor but... I'm falling apart here!</t>
        </is>
      </c>
      <c r="C1085" t="inlineStr">
        <is>
          <t>I'm a university student right now (supposed to graduate in a couple months). I also take care of my husband who has stage 4 cancer and is physically relatively okay (uses a cane, gets fatigued easily, but otherwise can bathe/feed/get around on his own), but cognitively often a little confused. He is not allowed to drive any more and forgets a lot of things so I help him with stuff.
But still ... I'm taking a light courseload. This should be okay. I am normally a very organized, on-top-of-it, probably slightly-too-intense student.
Just got some grades back over the past week:
\- totally missed the last page of a midterm I just wrote and lost 13% because of it
\- acidentally handed in another assignment late and lost 15% because of that
\- forgot one part of another assignment and lost 8%
\- handed in something else 2 hours late so I got 0 on it (that prof is just kind of a jerk, to be honest)
\- I skipped a midterm completely (it's okay, the final exam will just replace whatever I would have gotten on the midterm, but still - big risk to take - what if I do really badly on the final?)
These are all things that a year ago would have been unthinkable for me. Like, completely out of character. I'm organized! I care a lot about school! I keep my shit together! I have never missed a midterm or the last page of a midterm or even handed something in late before IN MY LIFE. Much less all of that in the span of 2 weeks...
I feel like I don't even recognize who I am right now?! What is happening to me?! It's not even like my husband is on hospice. He's okay right now. He's not doing great, but he's okay. I'm not even the one with cancer!!! Why am I so shitty at school now?! 
I'm worried about what will happen when I start my high-performance job in July after I graduate.
Honestly I just feel like I'm falling apart right now. Sometimes I don't even recognize myself or my personality any more.</t>
        </is>
      </c>
      <c r="D1085" t="n">
        <v>4</v>
      </c>
      <c r="E1085" t="n">
        <v>8</v>
      </c>
      <c r="F1085">
        <f>HYPERLINK("https://www.reddit.com/r/cancer/comments/axdms2/this_is_minor_but_im_falling_apart_here/")</f>
        <v/>
      </c>
      <c r="G1085" t="inlineStr">
        <is>
          <t>2019-03-04 14:55:14</t>
        </is>
      </c>
      <c r="H1085" t="inlineStr"/>
    </row>
    <row r="1086">
      <c r="A1086" t="inlineStr">
        <is>
          <t>axdzjk</t>
        </is>
      </c>
      <c r="B1086" t="inlineStr">
        <is>
          <t>Breast cancer/lymph nodes</t>
        </is>
      </c>
      <c r="C1086" t="inlineStr">
        <is>
          <t xml:space="preserve">Hi, today a de told me he thinks a lump I found last week is cancerous, he said he’s 95% sure it’s not benign. Getting biopsied next week. He also said my
Lymph nodes in the same side armpit are abnormal and wants to biopsy that too. 
 It hurts,the lump in my breast, my armpit, parts of my back and down my arm. 
I’m scared, does that mean it’s metastasizing? I have no idea about it and I’m really scared. It’s throbbing. Please help! </t>
        </is>
      </c>
      <c r="D1086" t="n">
        <v>2</v>
      </c>
      <c r="E1086" t="n">
        <v>1</v>
      </c>
      <c r="F1086">
        <f>HYPERLINK("https://www.reddit.com/r/cancer/comments/axdzjk/breast_cancerlymph_nodes/")</f>
        <v/>
      </c>
      <c r="G1086" t="inlineStr">
        <is>
          <t>2019-03-04 15:26:38</t>
        </is>
      </c>
      <c r="H1086" t="inlineStr"/>
    </row>
    <row r="1087">
      <c r="A1087" t="inlineStr">
        <is>
          <t>axfhz6</t>
        </is>
      </c>
      <c r="B1087" t="inlineStr">
        <is>
          <t>This can't be possible...follow up</t>
        </is>
      </c>
      <c r="C1087" t="inlineStr">
        <is>
          <t>Thanks to those who offered info, encouragement, and support to my previous post about how my husband has stage 4 kidney cancer and I was being sent for a breast biopsy.
Turns out it IS possible. I have breast cancer. I won't know course of treatment until I see the oncologist, but here's what the report says: ductal carcinoma in-situ, grade 3.
This is the craziest day of my life.</t>
        </is>
      </c>
      <c r="D1087" t="n">
        <v>66</v>
      </c>
      <c r="E1087" t="n">
        <v>27</v>
      </c>
      <c r="F1087">
        <f>HYPERLINK("https://www.reddit.com/r/cancer/comments/axfhz6/this_cant_be_possiblefollow_up/")</f>
        <v/>
      </c>
      <c r="G1087" t="inlineStr">
        <is>
          <t>2019-03-04 17:53:11</t>
        </is>
      </c>
      <c r="H1087" t="inlineStr"/>
    </row>
    <row r="1088">
      <c r="A1088" t="inlineStr">
        <is>
          <t>axfie0</t>
        </is>
      </c>
      <c r="B1088" t="inlineStr">
        <is>
          <t>Life hacks for AutoSCT</t>
        </is>
      </c>
      <c r="C1088" t="inlineStr">
        <is>
          <t>I’m newish to reddit so let me know if there is a better place to post this. I hadn’t seen a recent post about this on this sub and figured it was worth a shot.
My SO has been battling CNS Lymphoma with Diffuse B-Cell brain tumor since July 2017. He is currently considered to be in partial remission will be having a Autologous Stem Cell Transplant some time in the next few weeks. 
Our journey has been a long, complicated one and I feel like we have a pretty good idea of what to expect, so I have 2 questions for people who have been through this process (yourself or a loved one).
A) What things most surprised you about it?
B) What pro tips/life hacks do you have to pass on to someone just starting that process?
Thanks in advance for any replies, I truly appreciate the input.</t>
        </is>
      </c>
      <c r="D1088" t="n">
        <v>2</v>
      </c>
      <c r="E1088" t="n">
        <v>2</v>
      </c>
      <c r="F1088">
        <f>HYPERLINK("https://www.reddit.com/r/cancer/comments/axfie0/life_hacks_for_autosct/")</f>
        <v/>
      </c>
      <c r="G1088" t="inlineStr">
        <is>
          <t>2019-03-04 17:54:15</t>
        </is>
      </c>
      <c r="H1088" t="inlineStr"/>
    </row>
    <row r="1089">
      <c r="A1089" t="inlineStr">
        <is>
          <t>axfqtd</t>
        </is>
      </c>
      <c r="B1089" t="inlineStr">
        <is>
          <t>Story of loss</t>
        </is>
      </c>
      <c r="C1089" t="inlineStr">
        <is>
          <t>Lost my dad a couple weeks ago. Still kinda processing, maybe this is a vent post. Sorry in advance for rambling.
He and my boyfriend schemed together last year for him to propose to me while on a vacation in the Philippines. He was also in the process of building a nice little house on a plot of land they had out there, remotely overseeing things with some contractor,  where he has hoping to retire to in a couple years, and live the rest of his days peacefully after nearly 40 years of working hard in the US. 
Somewhere along the way we found out about his cancer. Stage IV colon with mets to the liver. Despite all this, after his 16th round of chemo, he booked a ticket to the Philippines and and so did we (we live in separate states, planned to sync up there). Our family was sort of concerned about it but he was determined to go, his doc had given him the OK. And he was the kind of guy that was like "what I say goes" and so...ya know. Not to mention we had no idea he and my bf had their secret plan to pop the question on me. They actually said they were going to have the house blessed by a priest, as being the reason for the trip. I knew this house was a really big deal for him, so I had no reason to question it.
From where he is, this is a 16 hour flight and he is a 60 year old man. I believe it had taken some kind of toll on him. When we arrived and saw him, he seemed to have some kind of cold. We treated him only with over the counter cold medicine. A few days pass and the cold doesnt seem to subside. He did not want to go the hospital, the house blessing was just around the corner. The show goes on, the house blessing happens it's a big party for the small provincial town we were in...lots of people around. And that's when my dude gives me the ring. It's a joyous occasion, supposed to be a highlight of my life. My dad is extremely happy and beaming with pride as well...but still looking a little unwell. The next day my new fiancee and I fly back to the US. My parents dont fly out for a few more days. 
Something feels wrong though. I send them lots of updates "we are at the airport" "we are at the gate" "we are at our layover" "we are home!" 
But they dont respond to any of them. 
I learn the next day that they have finally taken him to a hospital. A shitty local provincial hospital, but the only one available to them. I am cursing everything because he has very good doctors back where they live in Chicago. But he is stuck there...in the middle of nowhere. Well...they say he has pneumonia, then the say he is in septic shock, and then...that's it. I get the call  He's gone. Not even week had passed. We were with him, at a party...now he...it can't be. 
I am feeling...all sorts of things right now. I dunno. I cant think of a good conclusion to this post, I still feel...kind of in shock? I dunno. Cancer you guys....dont fuck with infections. If you feel bad see a doctor FAST. Plans be damned...take care of your fucking selves.</t>
        </is>
      </c>
      <c r="D1089" t="n">
        <v>9</v>
      </c>
      <c r="E1089" t="n">
        <v>2</v>
      </c>
      <c r="F1089">
        <f>HYPERLINK("https://www.reddit.com/r/cancer/comments/axfqtd/story_of_loss/")</f>
        <v/>
      </c>
      <c r="G1089" t="inlineStr">
        <is>
          <t>2019-03-04 18:16:57</t>
        </is>
      </c>
      <c r="H1089" t="inlineStr"/>
    </row>
    <row r="1090">
      <c r="A1090" t="inlineStr">
        <is>
          <t>axgyxv</t>
        </is>
      </c>
      <c r="B1090" t="inlineStr">
        <is>
          <t>Clarification on "Is this Cancer" posts</t>
        </is>
      </c>
      <c r="C1090" t="inlineStr">
        <is>
          <t>Howdy hey all, recently had some questions about which posts we allow from people asking about potential cancer here. The way I have been handling it has been to leave posts up where the submitter is actively going through testing for cancer. This is an incredibly stressful time for people, and I've been leaving these particular posts up because these people are actively attempting to resolve their situation and are simply looking for support. In fact a post like that is how I fist came to this subreddit. I have been and will continue to remove any post where the OP has not yet consulted a doctor, or is seeking to use homeopathy to cure their cancer. This has been a judgment call so far on my part, one I think is fair, but one I am willing to change if the majority of the sub wants the rule more strictly enforced. Please let me know in the comments, thanks!</t>
        </is>
      </c>
      <c r="D1090" t="n">
        <v>64</v>
      </c>
      <c r="E1090" t="n">
        <v>66</v>
      </c>
      <c r="F1090">
        <f>HYPERLINK("https://www.reddit.com/r/cancer/comments/axgyxv/clarification_on_is_this_cancer_posts/")</f>
        <v/>
      </c>
      <c r="G1090" t="inlineStr">
        <is>
          <t>2019-03-04 20:33:18</t>
        </is>
      </c>
      <c r="H1090" t="inlineStr"/>
    </row>
    <row r="1091">
      <c r="A1091" t="inlineStr">
        <is>
          <t>axi9r3</t>
        </is>
      </c>
      <c r="B1091" t="inlineStr">
        <is>
          <t>[Help] Massive bio? Scam or legit</t>
        </is>
      </c>
      <c r="C1091" t="inlineStr">
        <is>
          <t>Hey, so does anyone have any experience with “massive bio” they have a shady website but were recommended to my by a physician. Does anyone have any experience, they are legit called massive bio and claim that they have top of the line clinicial trials, and hundreds of testimonials to go about.
Anything will help</t>
        </is>
      </c>
      <c r="D1091" t="n">
        <v>3</v>
      </c>
      <c r="E1091" t="n">
        <v>3</v>
      </c>
      <c r="F1091">
        <f>HYPERLINK("https://www.reddit.com/r/cancer/comments/axi9r3/help_massive_bio_scam_or_legit/")</f>
        <v/>
      </c>
      <c r="G1091" t="inlineStr">
        <is>
          <t>2019-03-04 23:08:13</t>
        </is>
      </c>
      <c r="H1091" t="inlineStr"/>
    </row>
    <row r="1092">
      <c r="A1092" t="inlineStr">
        <is>
          <t>axijj2</t>
        </is>
      </c>
      <c r="B1092" t="inlineStr">
        <is>
          <t>When diagnosed cancer first thing that comes in the head is death</t>
        </is>
      </c>
      <c r="C1092" t="inlineStr">
        <is>
          <t>It's scary because we don't want to see our love ones feeling sick or suffer in pain and we don't want them to leave us...man i hate this disease so much :( keep praying for our love ones who has this disease we have to believe god will heal them if not there is a purpose and god needs them in his kingdom heaven. I'm really so lost right now</t>
        </is>
      </c>
      <c r="D1092" t="n">
        <v>8</v>
      </c>
      <c r="E1092" t="n">
        <v>2</v>
      </c>
      <c r="F1092">
        <f>HYPERLINK("https://www.reddit.com/r/cancer/comments/axijj2/when_diagnosed_cancer_first_thing_that_comes_in/")</f>
        <v/>
      </c>
      <c r="G1092" t="inlineStr">
        <is>
          <t>2019-03-04 23:42:51</t>
        </is>
      </c>
      <c r="H1092" t="inlineStr"/>
    </row>
    <row r="1093">
      <c r="A1093" t="inlineStr">
        <is>
          <t>axizs4</t>
        </is>
      </c>
      <c r="B1093" t="inlineStr">
        <is>
          <t>Making digital memory's for those left behind</t>
        </is>
      </c>
      <c r="C1093" t="inlineStr">
        <is>
          <t>[https://www.bbc.co.uk/news/stories-47334604](https://www.bbc.co.uk/news/stories-47334604)
Not sure if this is appropriate but this BBC news story is a wonderful read. My father died when I was four and I have so little memory of him, and most of it is coloured by others memories. 
I also had cancer in 2011 when my children were 9 and 11,  it was never terminal but there are lots of ideas in here for what people would like to know about a loved one.
I have reel to reel of my mother and sister reading bedtime stories which I have played to my children as my mother died before they were born and they never met my sister.</t>
        </is>
      </c>
      <c r="D1093" t="n">
        <v>8</v>
      </c>
      <c r="E1093" t="n">
        <v>3</v>
      </c>
      <c r="F1093">
        <f>HYPERLINK("https://www.reddit.com/r/cancer/comments/axizs4/making_digital_memorys_for_those_left_behind/")</f>
        <v/>
      </c>
      <c r="G1093" t="inlineStr">
        <is>
          <t>2019-03-05 00:47:53</t>
        </is>
      </c>
      <c r="H1093" t="inlineStr"/>
    </row>
    <row r="1094">
      <c r="A1094" t="inlineStr">
        <is>
          <t>axj3w1</t>
        </is>
      </c>
      <c r="B1094" t="inlineStr">
        <is>
          <t>I'm a radiation oncologist and I have developed a free mobile app called 'Cancer Risk Calculator', which some of you might find usefull.</t>
        </is>
      </c>
      <c r="C1094" t="inlineStr">
        <is>
          <t>Hello everyone,
&amp;amp;#x200B;
The aim of the application I have developed is estimating the risk of cancer for an individual based on all the risk factors that can be found in the scientific literature. It includes 250 different risk factors and can calculate the risk for 26 different cancers.
&amp;amp;#x200B;
Obviously I would never mention it here if it wasn't completely free, but since it is, since family members of cancer patients are at an increased risk of cancer and since I do believe this knowledge is important since so many cancers are avoidable (which is, of course, only possible when one knows what increases and decreases one's risks) I thought I would present it to you. 
&amp;amp;#x200B;
The app is called 'Cancer Risk Calculator' and is available for both Android and Apple devices. 
&amp;amp;#x200B;
If any of you have any questions, please feel free to ask!</t>
        </is>
      </c>
      <c r="D1094" t="n">
        <v>6</v>
      </c>
      <c r="E1094" t="n">
        <v>35</v>
      </c>
      <c r="F1094">
        <f>HYPERLINK("https://www.reddit.com/r/cancer/comments/axj3w1/im_a_radiation_oncologist_and_i_have_developed_a/")</f>
        <v/>
      </c>
      <c r="G1094" t="inlineStr">
        <is>
          <t>2019-03-05 01:05:08</t>
        </is>
      </c>
      <c r="H1094" t="inlineStr"/>
    </row>
    <row r="1095">
      <c r="A1095" t="inlineStr">
        <is>
          <t>axj4up</t>
        </is>
      </c>
      <c r="B1095" t="inlineStr">
        <is>
          <t>How does chemo affect the brain</t>
        </is>
      </c>
      <c r="C1095" t="inlineStr">
        <is>
          <t xml:space="preserve">I'm no scientist, but I am a survivor.
In 2014, at the age of 13, I developed stage 4 BCell Lymphoma. Given very little time to live the doctors gave me the strongest chemo they had, knowing that it might kill me in the process.
 I was given many drugs, but the one that stood out to me the most was the infamous "red devil". Fast forward 7 months later of treatment I developed adhd like symptoms, (my dad suffers with it and has been passed down from generations, have had no prior symptoms until this time). 
I was a complete different person, I became exceptional at math (an area that I immensely struggled with before) and my attention span went south. I developed a speech impediment and it became really hard to talk. Thinking was a breeze, but in some areas I really suffered. I became empathetic, I would frequently misplace my things... I would forget where I was. Ever since then my life has been a living hell.
They said the side effects would go away, that I would get better...
Keep in mind this is still going on to this present day.
I did some research on this drug for my psychology class, finding very little information and vague studies on the matter.
What do you guys think? Please give me some insight. I'm planning to go see a neurologist to get this sorted out but my life has suffered so much because of this drug. 
I JUST want to know why.
And how...
</t>
        </is>
      </c>
      <c r="D1095" t="n">
        <v>10</v>
      </c>
      <c r="E1095" t="n">
        <v>6</v>
      </c>
      <c r="F1095">
        <f>HYPERLINK("https://www.reddit.com/r/cancer/comments/axj4up/how_does_chemo_affect_the_brain/")</f>
        <v/>
      </c>
      <c r="G1095" t="inlineStr">
        <is>
          <t>2019-03-05 01:08:55</t>
        </is>
      </c>
      <c r="H1095" t="inlineStr"/>
    </row>
    <row r="1096">
      <c r="A1096" t="inlineStr">
        <is>
          <t>axjfds</t>
        </is>
      </c>
      <c r="B1096" t="inlineStr">
        <is>
          <t>Does anyone knows what's good to juice for breast cancer?</t>
        </is>
      </c>
      <c r="C1096" t="inlineStr">
        <is>
          <t>I want to juice organic vegetables and fruits but i don't know what's best</t>
        </is>
      </c>
      <c r="D1096" t="n">
        <v>2</v>
      </c>
      <c r="E1096" t="n">
        <v>17</v>
      </c>
      <c r="F1096">
        <f>HYPERLINK("https://www.reddit.com/r/cancer/comments/axjfds/does_anyone_knows_whats_good_to_juice_for_breast/")</f>
        <v/>
      </c>
      <c r="G1096" t="inlineStr">
        <is>
          <t>2019-03-05 01:50:32</t>
        </is>
      </c>
      <c r="H1096" t="inlineStr"/>
    </row>
    <row r="1097">
      <c r="A1097" t="inlineStr">
        <is>
          <t>axjhnw</t>
        </is>
      </c>
      <c r="B1097" t="inlineStr">
        <is>
          <t>My dad has stage 4 metastatic melanoma that has spread to his brain</t>
        </is>
      </c>
      <c r="C1097" t="inlineStr">
        <is>
          <t>He is 55 and very fit, healthy and strong. He had the first tumour removed from his neck in March 2017 and the surgeon said it had a 60% chance of returning within the next 3 years. It came back twice as big in 18 months on his lung, so he had surgery late last year as he was ineligible for a clinical trial of immunotherapy because of his history with ulcerative colitis. Now it has returned on his lung, his adrenal gland and his brain. He’s having stereotactic radiotherapy this week for the larger tumour (1 of 3) and then commencing immunotherapy with two drugs (Obdivo and Yervoy). I know the prognosis for melanoma brain metastases is very poor, though the statistics are quite outdated because of recent breakthroughs in treating melanoma. There is limited evidence that immunotherapy can shrink brain metastases because patients were excluded from clinical trials, but recent studies have proved to be quite promising. 
Anyway, regardless, I am feeling emotions that I am not familiar with. It’s a weird feeling. Every other problem seems so insignificant and all I want to do is be alone and cry. I feel angry and irritated. I’m tired of crying. I live with my mother and we don’t have a good relationship. My sister lives in London and we don’t have a good relationship either, so I feel completely alone trying to cope with this. My dad is a very optimistic guy, but advanced cancer is so precarious and unpredictable and I don’t know what’s going to happen or how he’s going to respond to the treatment. I’m also supposed to be going to Europe in July until September and he says I should definitely go, but I can’t help but worry about what could happen in these next few months. I don’t know what to expect and I’m scared and confused. I’ve gone through a LOT of sh*t, but this is the hardest thing I’ve ever had to go through and I am completely alone.</t>
        </is>
      </c>
      <c r="D1097" t="n">
        <v>1</v>
      </c>
      <c r="E1097" t="n">
        <v>0</v>
      </c>
      <c r="F1097">
        <f>HYPERLINK("https://www.reddit.com/r/cancer/comments/axjhnw/my_dad_has_stage_4_metastatic_melanoma_that_has/")</f>
        <v/>
      </c>
      <c r="G1097" t="inlineStr">
        <is>
          <t>2019-03-05 01:59:27</t>
        </is>
      </c>
      <c r="H1097" t="inlineStr"/>
    </row>
    <row r="1098">
      <c r="A1098" t="inlineStr">
        <is>
          <t>axjl9a</t>
        </is>
      </c>
      <c r="B1098" t="inlineStr">
        <is>
          <t>My dad has stage 4 metastatic melanoma, now spread to his brain</t>
        </is>
      </c>
      <c r="C1098" t="inlineStr">
        <is>
          <t>He is 55 and very fit, healthy and strong. He had the first tumour removed from his neck in March 2017 and the surgeon said it had a 60% chance of returning within the next 3 years. It came back twice as big in 18 months on his lung, so he had surgery late last year as he was ineligible for a clinical trial of immunotherapy because of his history with ulcerative colitis. Now it has returned on his lung, his adrenal gland and his brain. He’s having stereotactic radiotherapy this week for the larger tumour (1 of 3) and then commencing immunotherapy with two drugs (Obdivo and Yervoy). I know the prognosis for melanoma brain metastases is very poor, though the statistics are quite outdated because of recent breakthroughs in treating melanoma. There is limited evidence that immunotherapy can shrink brain metastases because patients were excluded from clinical trials, but recent studies have proved to be quite promising.  
Anyway, I am feeling emotions that I am not familiar with. At first I felt very neutral and dissociated, it's a weird feeling, you can't really explain it... but for the past few days all I've wanted to do is cry. Every other problem seems so insignificant. I feel angry and I just want to be alone but I’m tired of crying. I live with my mother and we don’t have a good relationship. My sister lives in London and we don’t have a good relationship either, so I feel completely alone trying to cope with this. My dad is a very optimistic guy, but advanced cancer is so precarious and unpredictable and I don’t know what’s going to happen or how he’s going to respond to the treatment. I’m also supposed to be going to Europe in July until September so I have to prepare for the worst on that front. He says I should definitely go, he's excited for me to go, but I can’t help but worry and feel guilty. I don’t know what's going to happen in these next few months and I’m scared and confused. I’ve gone through a LOT of sh\*t but this is the hardest thing I’ve ever had to go through, and I am completely alone.</t>
        </is>
      </c>
      <c r="D1098" t="n">
        <v>12</v>
      </c>
      <c r="E1098" t="n">
        <v>11</v>
      </c>
      <c r="F1098">
        <f>HYPERLINK("https://www.reddit.com/r/cancer/comments/axjl9a/my_dad_has_stage_4_metastatic_melanoma_now_spread/")</f>
        <v/>
      </c>
      <c r="G1098" t="inlineStr">
        <is>
          <t>2019-03-05 02:12:59</t>
        </is>
      </c>
      <c r="H1098" t="inlineStr"/>
    </row>
    <row r="1099">
      <c r="A1099" t="inlineStr">
        <is>
          <t>axk14e</t>
        </is>
      </c>
      <c r="B1099" t="inlineStr">
        <is>
          <t>Stage 4 colon cancer</t>
        </is>
      </c>
      <c r="C1099" t="inlineStr">
        <is>
          <t xml:space="preserve">My surgery to remove my tumor, 2 feet of colon, and my omentum was November 12. I had a pet scan December 26 showed colon cancer was already coming back at the site where my colon was sewed back together. After 4 rounds of chemo we did a ct scan and the cancer in my colon is gone, and the nodules I have in my abdominal cavity are shrinking. Was really good news but scared to let my guard down too much. </t>
        </is>
      </c>
      <c r="D1099" t="n">
        <v>35</v>
      </c>
      <c r="E1099" t="n">
        <v>29</v>
      </c>
      <c r="F1099">
        <f>HYPERLINK("https://www.reddit.com/r/cancer/comments/axk14e/stage_4_colon_cancer/")</f>
        <v/>
      </c>
      <c r="G1099" t="inlineStr">
        <is>
          <t>2019-03-05 03:15:15</t>
        </is>
      </c>
      <c r="H1099" t="inlineStr"/>
    </row>
    <row r="1100">
      <c r="A1100" t="inlineStr">
        <is>
          <t>axk27s</t>
        </is>
      </c>
      <c r="B1100" t="inlineStr">
        <is>
          <t>Unsung Heroes</t>
        </is>
      </c>
      <c r="C1100" t="inlineStr">
        <is>
          <t xml:space="preserve">￼
What is a hero? Is it someone who is faster than a speeding bullet? Is a hero required to wear a cape, and have the ability to jump buildings in a single bound? Or, can a hero be a regular person, living their lives, quietly helping others, without any expectations of recognition or accolades?
For us, the Medway Lotus, in Medway, Massachusetts is a hero. You see, Chinese food was Anna's favorite. When Anna was getting treated for Leukemia, she was hospitalized for six straight months. The hospital offered an abundance of special dinners while she was there like Taco Tuesday twice a month, Pizza Friday every week, Pasta Wednesday once a month. We were all very grateful for the meals brought in. It was an enormous distraction from the horrors we were experiencing. We did notice, however, that Chinese food was missing from the list of entrees, so we brought it in one night so the families in Anna's unit could enjoy her favorite foods along with her.
After we lost Anna, Anna's Pals was established. We thought it would be great to honor Anna by delivering Chinese food once a month to the blood cancer and disorder unit on the sixth floor at Boston Children's Hospital where Anna spent so many months. When the Medway Lotus learned of this, they very generously volunteered to help us by donating enough food to feed 100 people. They have made this donation once EVERY month since June 2015. The food comes in plain aluminum foil trays. They send it without advertising the business. The restaurant name is not listed on any packaging. There is no logo. The Medway Lotus does this to be kind. They do this to honor Anna. They do this for all of the other children and families who are struggling with both their health and the emotional drain of fighting and caring for your child who is receiving treatment for a terrible disease. They are not seeking praise, nor payment.
What is a hero? Selfless giving, silent aid, and empathy. The owners of the Medway Lotus do not wear capes. They probably do not jump buildings, nor are they faster than a speeding bullet. They are regular people doing something relatively small that makes a big impact on others. When the food is delivered, the patients are happy and parents look relieved. One little girl started cheering and jumping up and down, her joy palpable. Thank you, Medway Lotus, for being a hero.
</t>
        </is>
      </c>
      <c r="D1100" t="n">
        <v>9</v>
      </c>
      <c r="E1100" t="n">
        <v>1</v>
      </c>
      <c r="F1100">
        <f>HYPERLINK("https://www.reddit.com/r/cancer/comments/axk27s/unsung_heroes/")</f>
        <v/>
      </c>
      <c r="G1100" t="inlineStr">
        <is>
          <t>2019-03-05 03:19:12</t>
        </is>
      </c>
      <c r="H1100" t="inlineStr"/>
    </row>
    <row r="1101">
      <c r="A1101" t="inlineStr">
        <is>
          <t>axk623</t>
        </is>
      </c>
      <c r="B1101" t="inlineStr">
        <is>
          <t>Why is it taking so long to find a cure??</t>
        </is>
      </c>
      <c r="C1101" t="inlineStr">
        <is>
          <t>I thinks it's all bullshit</t>
        </is>
      </c>
      <c r="D1101" t="n">
        <v>0</v>
      </c>
      <c r="E1101" t="n">
        <v>12</v>
      </c>
      <c r="F1101">
        <f>HYPERLINK("https://www.reddit.com/r/cancer/comments/axk623/why_is_it_taking_so_long_to_find_a_cure/")</f>
        <v/>
      </c>
      <c r="G1101" t="inlineStr">
        <is>
          <t>2019-03-05 03:33:07</t>
        </is>
      </c>
      <c r="H1101" t="inlineStr"/>
    </row>
    <row r="1102">
      <c r="A1102" t="inlineStr">
        <is>
          <t>axkofq</t>
        </is>
      </c>
      <c r="B1102" t="inlineStr">
        <is>
          <t>How long can one have lymphoma and survive without treatment</t>
        </is>
      </c>
      <c r="C1102" t="inlineStr">
        <is>
          <t xml:space="preserve">So basically I’ve had swollen lymph nodes in my neck armpits and groin for 3 and a half years since I was 15 they haven’t increased in size since or anything but I do have some symptoms that I’ve been worrying about so basically I suffer from bad gerd/lpr and have shortness of breath and lpr but I’m worried that those symptoms are not connected to Lpr and Gerd and to Lymphoma I’ve been trying for 3 years to try to convince my primary doctor to get me a biopsy on my lymph nodes or perhaps a chest x ray he keeps neglecting it saying all my blood work is fine and he recently said that I wouldn’t be alive if I had lymphoma and had it untreated for almost 4 years which I think is completely false </t>
        </is>
      </c>
      <c r="D1102" t="n">
        <v>0</v>
      </c>
      <c r="E1102" t="n">
        <v>1</v>
      </c>
      <c r="F1102">
        <f>HYPERLINK("https://www.reddit.com/r/cancer/comments/axkofq/how_long_can_one_have_lymphoma_and_survive/")</f>
        <v/>
      </c>
      <c r="G1102" t="inlineStr">
        <is>
          <t>2019-03-05 04:35:31</t>
        </is>
      </c>
      <c r="H1102" t="inlineStr"/>
    </row>
    <row r="1103">
      <c r="A1103" t="inlineStr">
        <is>
          <t>axlaxr</t>
        </is>
      </c>
      <c r="B1103" t="inlineStr">
        <is>
          <t>Please help me. Mother diagnosed for second time, prognosis is bleak, need advice for being her caretaker &amp;amp; holding it together for my kids. Feel like I’m drowning but want to make the most of our time left and not feel so hopeless.</t>
        </is>
      </c>
      <c r="C1103" t="inlineStr">
        <is>
          <t>I will try to keep this brief, might be impossible, because that could take up pages of this post. My mom had inflammatory breast cancer 4 years ago, which PSA: is one of the rarest and most aggressive types of breast cancer because it’s undetected by mammograms and there are no lumps. Her symptoms were soreness, eventual engorgement, and a reddish rash. Ladies, and the people who love the women in your life, act fast if you feel these are any breast changes whatsoever. Symptoms are similar to mastitis. Luckily she wasn’t dismissed but it was fast moving. Radical measures were taken - mastectomies, removal or lymph nodes, chemo, surgery, radiation, and 3 years of her port staying in in along with infusions and many scans in case it came back, because it tends to come back. She got the all clear to remove her port just 3 months ago. She was 3 years with no signs. 
Around Christmas, she was having back pain but she had just cooked Christmas brunch for our huge family (her cooking is legendary), so she attributed it to that. But it didn’t go away after a week and oddly enough, the pain would move from her ribs to her upper spine to her lower back. So I took her to urgent care. We expected a muscle pull or something. We were beyond shocked to hear there were lyric legions in her spine and it was most likely caused by cancer being back. 
After a PET scan, MRI, and CT our worst fears were confirmed: the fucker has reared it’s ugly hear again. 
However this time, it’s in her bones. Breast to bone cancer. It’s all over her skeletal structure - spine, ribs, pelvis, hips... it’s stage 4 and it’s treatable but unable to be cured. Her doctor said the prognosis is 12-18 months. 
Mom got her port back in, and started chemo to buy us time with her. This will ideally stop the spreading and lessen her pain and give us more time to be with her. No matter what, it cannot be eradicated. 
Throughout this, she has been so strong, so brave, so at peace that this is out of our hands and bigger than all of us that it’s nothing short of inspiring. I look up to her so much and am so beyond proud to call her my Mommy. She will fight, and she will do so with the grace, determination, and sheer will that she has applied to everything in her life. I am honored to be her daughter and will return to her what she has selflessly given to me since I was born - all the love, care, and strength that I have. We remain hopeful and will treasure all the time we have with her. 
I’m thankful she lives right up the street from me. My role has shifted considerably, every minute I am not taking care of my family, I am with her. She can’t drive, or lift things, and has many appointments. She is leaning heavily on me and I mean this with all my heart - I cherish the time with her. Yet, it is so emotionally draining. For instance, her hair is falling out in clumps (again..but last time we had hope it would grow back), so yesterday she shaved her head. I wanted to cry because it was a visual representation that no matter how hard I try to stomp down my feelings and be brave for her, I can’t help it. But I didn’t cry I just told her how proud I am to be her daughter when we got back in the car. She says seeing me upset just upsets her and she’s trying to stay positive. 
I have 4 sons and a husband who I have to hold it together for. My husband is beyond supportive but the kids have been struggling. She lives so close and it’s so hard for them, they barely see her anymore (flu season and they’ve been sick a lot), and she’s so tired all the time having them over is exhausting for her. 
I’m looking for any words of encouragement, advice, just anything. I lost my father at 23, and that broke me. Knowing this will eventually take my mother is hell. I know what that deep grief feels like and she has been a daily fixture in my life so I could easily break down even fathoming it. I am 33 and feel like I’m too young for this. I hoped she would see my kids grow up, graduate, have their own families. She’s just in her early 60’s (I started my family very young). 
Please pray, send positive vibes, light candles, whatever it is you do ❤️ Friends &amp;amp; Family have been supportive but I need someone who says “I know how you’re feeling.”
Oh! I almost forgot, FUCK CANCER</t>
        </is>
      </c>
      <c r="D1103" t="n">
        <v>62</v>
      </c>
      <c r="E1103" t="n">
        <v>28</v>
      </c>
      <c r="F1103">
        <f>HYPERLINK("https://www.reddit.com/r/cancer/comments/axlaxr/please_help_me_mother_diagnosed_for_second_time/")</f>
        <v/>
      </c>
      <c r="G1103" t="inlineStr">
        <is>
          <t>2019-03-05 05:44:41</t>
        </is>
      </c>
      <c r="H1103" t="inlineStr"/>
    </row>
    <row r="1104">
      <c r="A1104" t="inlineStr">
        <is>
          <t>axlbva</t>
        </is>
      </c>
      <c r="B1104" t="inlineStr">
        <is>
          <t>Lymphoma is a loser</t>
        </is>
      </c>
      <c r="C1104" t="inlineStr">
        <is>
          <t>Hey this is my first post. I recently found out my dad has lymphoma. We don’t know the type or stage but I’m devastated. My dad is my rock, my go to for answers as he’s smarter than I am, more compassionate and all around a better person. I strive to be like him. I just need some support. My heart is breaking and even though I’m a nurse I feel so helpless and lost. Please help.</t>
        </is>
      </c>
      <c r="D1104" t="n">
        <v>15</v>
      </c>
      <c r="E1104" t="n">
        <v>5</v>
      </c>
      <c r="F1104">
        <f>HYPERLINK("https://www.reddit.com/r/cancer/comments/axlbva/lymphoma_is_a_loser/")</f>
        <v/>
      </c>
      <c r="G1104" t="inlineStr">
        <is>
          <t>2019-03-05 05:47:33</t>
        </is>
      </c>
      <c r="H1104" t="inlineStr"/>
    </row>
    <row r="1105">
      <c r="A1105" t="inlineStr">
        <is>
          <t>axmx96</t>
        </is>
      </c>
      <c r="B1105" t="inlineStr">
        <is>
          <t>Thyroid Cancer with Lymphnodes affected</t>
        </is>
      </c>
      <c r="C1105" t="inlineStr">
        <is>
          <t xml:space="preserve">My spouse has been diagnosed with Thyroid Cancer in December and we had the CT scan last week and around 5-6 lymph nodes were affected . We spoke to the surgeon who said since CT scan showed 5-6 there may be more.  It’s Pappillary Carcenoma.
In 2 weeks we are scheduled for total Thyroid gland removal and neck dissection to remove affected Lymph nodes .. we were asked to be ready for weak shoulder, temporary or permanent hoarseness and other effects.. 
I’m very anxious.. is there anything I can do now to make it easier for my spouse. We have a 20 month old kid and I’m not even thinking about that at the moment..  obviously post surgery I will be making sure the kid doesn’t go near the spouse to ensure good recovery. Just have to get through this phase.
Just praying everything goes well. 
Any advise is appreciated. Thanks! </t>
        </is>
      </c>
      <c r="D1105" t="n">
        <v>3</v>
      </c>
      <c r="E1105" t="n">
        <v>1</v>
      </c>
      <c r="F1105">
        <f>HYPERLINK("https://www.reddit.com/r/cancer/comments/axmx96/thyroid_cancer_with_lymphnodes_affected/")</f>
        <v/>
      </c>
      <c r="G1105" t="inlineStr">
        <is>
          <t>2019-03-05 08:19:33</t>
        </is>
      </c>
      <c r="H1105" t="inlineStr"/>
    </row>
    <row r="1106">
      <c r="A1106" t="inlineStr">
        <is>
          <t>axneoo</t>
        </is>
      </c>
      <c r="B1106" t="inlineStr">
        <is>
          <t>Oncologist wants to push on with chemo even though I feel incredibly unwell. Advice?</t>
        </is>
      </c>
      <c r="C1106" t="inlineStr">
        <is>
          <t xml:space="preserve">I’m on cycle 12 of 14 of chemo for Ewing’s Sarcoma. I’ve just been discharged from hospital after 8 days in for pneumonia and neutropenic sepsis. I’m feeling very unwell, very shaky, get out of breath very easily and still have a crackle when I breathe deeply. 
My oncologist wants to push on with my next round of chemo tomorrow and I’m really surprised considering I explained how poorly I feel, I get they don’t want to ‘lose ground’ against the tumour but surely hitting me with chemo when I’m already so weak is asking for another infection.
Anyone been in this situation? </t>
        </is>
      </c>
      <c r="D1106" t="n">
        <v>5</v>
      </c>
      <c r="E1106" t="n">
        <v>24</v>
      </c>
      <c r="F1106">
        <f>HYPERLINK("https://www.reddit.com/r/cancer/comments/axneoo/oncologist_wants_to_push_on_with_chemo_even/")</f>
        <v/>
      </c>
      <c r="G1106" t="inlineStr">
        <is>
          <t>2019-03-05 09:02:00</t>
        </is>
      </c>
      <c r="H1106" t="inlineStr"/>
    </row>
    <row r="1107">
      <c r="A1107" t="inlineStr">
        <is>
          <t>axnrke</t>
        </is>
      </c>
      <c r="B1107" t="inlineStr">
        <is>
          <t>Scared its leukemia</t>
        </is>
      </c>
      <c r="C1107" t="inlineStr">
        <is>
          <t>I went and had a cbc done and my white blood cell count came back as 20.9 now I'm scared I have leukemia and dont know how to cope</t>
        </is>
      </c>
      <c r="D1107" t="n">
        <v>0</v>
      </c>
      <c r="E1107" t="n">
        <v>4</v>
      </c>
      <c r="F1107">
        <f>HYPERLINK("https://www.reddit.com/r/cancer/comments/axnrke/scared_its_leukemia/")</f>
        <v/>
      </c>
      <c r="G1107" t="inlineStr">
        <is>
          <t>2019-03-05 09:32:49</t>
        </is>
      </c>
      <c r="H1107" t="inlineStr"/>
    </row>
    <row r="1108">
      <c r="A1108" t="inlineStr">
        <is>
          <t>axois9</t>
        </is>
      </c>
      <c r="B1108" t="inlineStr">
        <is>
          <t>Difficulty concentrating at work</t>
        </is>
      </c>
      <c r="C1108" t="inlineStr">
        <is>
          <t>Husband (37) was just diagnosed a few weeks ago with stage 4 Hodgkin’s lymphoma, next week is second chemo session.  I have a therapy appt next week for myself, but I’m having a really difficult time concentrating at work.  Does anyone have any pointers on how to overcome concentration issues?  I do have fmla as caregiver but I don’t think me needing a mental health day qualifies and I am out of time off otherwise.  Thanks-</t>
        </is>
      </c>
      <c r="D1108" t="n">
        <v>4</v>
      </c>
      <c r="E1108" t="n">
        <v>4</v>
      </c>
      <c r="F1108">
        <f>HYPERLINK("https://www.reddit.com/r/cancer/comments/axois9/difficulty_concentrating_at_work/")</f>
        <v/>
      </c>
      <c r="G1108" t="inlineStr">
        <is>
          <t>2019-03-05 10:37:23</t>
        </is>
      </c>
      <c r="H1108" t="inlineStr"/>
    </row>
    <row r="1109">
      <c r="A1109" t="inlineStr">
        <is>
          <t>axqruy</t>
        </is>
      </c>
      <c r="B1109" t="inlineStr">
        <is>
          <t>How to tell toddler</t>
        </is>
      </c>
      <c r="C1109" t="inlineStr">
        <is>
          <t xml:space="preserve">It looks like my 9 year old niece is nearing the end of her battle, and we're not sure what to tell our 3 year old daughter who worships her [cousin.](https://cousin.It)   The entire process is going to be painful no matter what, just looking for some tips, if you have any.  </t>
        </is>
      </c>
      <c r="D1109" t="n">
        <v>52</v>
      </c>
      <c r="E1109" t="n">
        <v>21</v>
      </c>
      <c r="F1109">
        <f>HYPERLINK("https://www.reddit.com/r/cancer/comments/axqruy/how_to_tell_toddler/")</f>
        <v/>
      </c>
      <c r="G1109" t="inlineStr">
        <is>
          <t>2019-03-05 13:54:35</t>
        </is>
      </c>
      <c r="H1109" t="inlineStr"/>
    </row>
    <row r="1110">
      <c r="A1110" t="inlineStr">
        <is>
          <t>axre1d</t>
        </is>
      </c>
      <c r="B1110" t="inlineStr">
        <is>
          <t>Appendix Cancer</t>
        </is>
      </c>
      <c r="C1110" t="inlineStr">
        <is>
          <t>Before I was diagnosed with it I didn't even know it existed. It's called a Neuroendocrine Tumor and if I'm honest I don't even know why they told me because it was on my appendix which they removed when it burst (I was so ill they thought I was going to die bc it perforated and ruptures and was gangrenous, the worst my surgeon had seen where someone lived) and they basically said that there was a tiny tumor on it when they removed it and gave me a hemicolectomy as a precaution as well (a few months later). I didn't need chemo or anything like that and I've been put in a support group alongside other young adults who have really advanced cancer and who aren't likely to make it to 30 and I kind of feel bad being there at all. I know I sound like I'm being a brat when really I should just shut up and be grateful. Does anyone have any similar stories?</t>
        </is>
      </c>
      <c r="D1110" t="n">
        <v>1</v>
      </c>
      <c r="E1110" t="n">
        <v>0</v>
      </c>
      <c r="F1110">
        <f>HYPERLINK("https://www.reddit.com/r/cancer/comments/axre1d/appendix_cancer/")</f>
        <v/>
      </c>
      <c r="G1110" t="inlineStr">
        <is>
          <t>2019-03-05 14:50:01</t>
        </is>
      </c>
      <c r="H1110" t="inlineStr"/>
    </row>
    <row r="1111">
      <c r="A1111" t="inlineStr">
        <is>
          <t>axrv2n</t>
        </is>
      </c>
      <c r="B1111" t="inlineStr">
        <is>
          <t>What is the survival rate for cancer in both the liver and lungs?</t>
        </is>
      </c>
      <c r="C1111" t="inlineStr">
        <is>
          <t>I just found out my friend has been diagnosed. Please answer.</t>
        </is>
      </c>
      <c r="D1111" t="n">
        <v>5</v>
      </c>
      <c r="E1111" t="n">
        <v>7</v>
      </c>
      <c r="F1111">
        <f>HYPERLINK("https://www.reddit.com/r/cancer/comments/axrv2n/what_is_the_survival_rate_for_cancer_in_both_the/")</f>
        <v/>
      </c>
      <c r="G1111" t="inlineStr">
        <is>
          <t>2019-03-05 15:34:13</t>
        </is>
      </c>
      <c r="H1111" t="inlineStr"/>
    </row>
    <row r="1112">
      <c r="A1112" t="inlineStr">
        <is>
          <t>axsxso</t>
        </is>
      </c>
      <c r="B1112" t="inlineStr">
        <is>
          <t>Interview for film</t>
        </is>
      </c>
      <c r="C1112" t="inlineStr">
        <is>
          <t xml:space="preserve">Hey everyone,
&amp;amp;#x200B;
I'm a filmmaker that's in the process of writing a script where cancer plays a big part in it. I'm looking to talk to/interview people that have more aggressive forms of cancer. I hope this doesn't come off as insensitive, I'm just looking to make the movie accurate in it's depiction. 
&amp;amp;#x200B;
Anyone interested can comment or DM me if they'd like. Thanks in advance! </t>
        </is>
      </c>
      <c r="D1112" t="n">
        <v>1</v>
      </c>
      <c r="E1112" t="n">
        <v>0</v>
      </c>
      <c r="F1112">
        <f>HYPERLINK("https://www.reddit.com/r/cancer/comments/axsxso/interview_for_film/")</f>
        <v/>
      </c>
      <c r="G1112" t="inlineStr">
        <is>
          <t>2019-03-05 17:23:29</t>
        </is>
      </c>
      <c r="H1112" t="inlineStr"/>
    </row>
    <row r="1113">
      <c r="A1113" t="inlineStr">
        <is>
          <t>axt1ag</t>
        </is>
      </c>
      <c r="B1113" t="inlineStr">
        <is>
          <t>Dendritic cell therapy for mucosal melanoma? (xpost from /r/Melanoma)</t>
        </is>
      </c>
      <c r="C1113" t="inlineStr">
        <is>
          <t>Hi guys My dad has been diagnosed with stage 4 mucosal melanoma. He's been through immunotherapy (opdivo, then yervoy + keytruda) but has not had any responses to it. We saw a NY based doctor and he recommended dendritic cell therapy all the way in GERMANY. Just wondering if anyone has heard of this/does this work? We're worried of being scammed. It is insanely expensive as well - around 40k euro. Doing some research on dendtric cell therapy does return some medical journal results but they are a bit older in nature, compared to the new immunotherapy.
thanks Oneiricer</t>
        </is>
      </c>
      <c r="D1113" t="n">
        <v>4</v>
      </c>
      <c r="E1113" t="n">
        <v>6</v>
      </c>
      <c r="F1113">
        <f>HYPERLINK("https://www.reddit.com/r/cancer/comments/axt1ag/dendritic_cell_therapy_for_mucosal_melanoma_xpost/")</f>
        <v/>
      </c>
      <c r="G1113" t="inlineStr">
        <is>
          <t>2019-03-05 17:33:18</t>
        </is>
      </c>
      <c r="H1113" t="inlineStr"/>
    </row>
    <row r="1114">
      <c r="A1114" t="inlineStr">
        <is>
          <t>axteo1</t>
        </is>
      </c>
      <c r="B1114" t="inlineStr">
        <is>
          <t>Remission what now?</t>
        </is>
      </c>
      <c r="C1114" t="inlineStr">
        <is>
          <t>I’ve been in remission for three months and I can’t seem to find myself. I tell myself to wait for the next scan before enjoying life but I know I’ll keep on saying that forever. How do you guys cope with returning to a “normal” life? 
How did you learned to appreciate the present and not being consumed by the fear of a relapse? The only thing I can think of is remission what now?
Wish you all the best and fuck cancer</t>
        </is>
      </c>
      <c r="D1114" t="n">
        <v>37</v>
      </c>
      <c r="E1114" t="n">
        <v>42</v>
      </c>
      <c r="F1114">
        <f>HYPERLINK("https://www.reddit.com/r/cancer/comments/axteo1/remission_what_now/")</f>
        <v/>
      </c>
      <c r="G1114" t="inlineStr">
        <is>
          <t>2019-03-05 18:11:18</t>
        </is>
      </c>
      <c r="H1114" t="inlineStr"/>
    </row>
    <row r="1115">
      <c r="A1115" t="inlineStr">
        <is>
          <t>axuaj4</t>
        </is>
      </c>
      <c r="B1115" t="inlineStr">
        <is>
          <t>Anyone have a cancer that's a ticking time bomb?</t>
        </is>
      </c>
      <c r="C1115" t="inlineStr">
        <is>
          <t>I have a pretty rare lymphoma/blood cancer. I had a pet scan after three months of treatment and it was wonderful. I had another scan after 3 more treatments and it wasn't so positive. I was supposed to have an asct which has now been put on hold. My bone marrow was undetectable but my lymph nodes showed some concern. I'm looking for similar experiences or advice :)</t>
        </is>
      </c>
      <c r="D1115" t="n">
        <v>9</v>
      </c>
      <c r="E1115" t="n">
        <v>8</v>
      </c>
      <c r="F1115">
        <f>HYPERLINK("https://www.reddit.com/r/cancer/comments/axuaj4/anyone_have_a_cancer_thats_a_ticking_time_bomb/")</f>
        <v/>
      </c>
      <c r="G1115" t="inlineStr">
        <is>
          <t>2019-03-05 19:44:19</t>
        </is>
      </c>
      <c r="H1115" t="inlineStr"/>
    </row>
    <row r="1116">
      <c r="A1116" t="inlineStr">
        <is>
          <t>axuc82</t>
        </is>
      </c>
      <c r="B1116" t="inlineStr">
        <is>
          <t>CAR T Clinical Trial for PAN CAN</t>
        </is>
      </c>
      <c r="C1116" t="inlineStr">
        <is>
          <t>Hi there,
&amp;amp;#x200B;
I'm looking into this clinical trial for my father, but I am too dumb to determine whether it's safe or not. Can anyone smarter than me please tell me the implications?
[https://clinicaltrials.gov/ct2/show/NCT02830724?term=NCT02830724&amp;amp;rank=1](https://clinicaltrials.gov/ct2/show/NCT02830724?term=NCT02830724&amp;amp;rank=1)
&amp;amp;#x200B;
Thank you so much. ANY insight at all is appreciated.</t>
        </is>
      </c>
      <c r="D1116" t="n">
        <v>3</v>
      </c>
      <c r="E1116" t="n">
        <v>1</v>
      </c>
      <c r="F1116">
        <f>HYPERLINK("https://www.reddit.com/r/cancer/comments/axuc82/car_t_clinical_trial_for_pan_can/")</f>
        <v/>
      </c>
      <c r="G1116" t="inlineStr">
        <is>
          <t>2019-03-05 19:49:18</t>
        </is>
      </c>
      <c r="H1116" t="inlineStr"/>
    </row>
    <row r="1117">
      <c r="A1117" t="inlineStr">
        <is>
          <t>axvaxz</t>
        </is>
      </c>
      <c r="B1117" t="inlineStr">
        <is>
          <t>Why chemo is nessesary to shrink a tumor instead of having it remove instead? I feel like its all about money cancer business thing...</t>
        </is>
      </c>
      <c r="C1117" t="inlineStr">
        <is>
          <t xml:space="preserve">Radiation kills the cancer cell it's better option than chemo
</t>
        </is>
      </c>
      <c r="D1117" t="n">
        <v>0</v>
      </c>
      <c r="E1117" t="n">
        <v>1</v>
      </c>
      <c r="F1117">
        <f>HYPERLINK("https://www.reddit.com/r/cancer/comments/axvaxz/why_chemo_is_nessesary_to_shrink_a_tumor_instead/")</f>
        <v/>
      </c>
      <c r="G1117" t="inlineStr">
        <is>
          <t>2019-03-05 21:38:06</t>
        </is>
      </c>
      <c r="H1117" t="inlineStr"/>
    </row>
    <row r="1118">
      <c r="A1118" t="inlineStr">
        <is>
          <t>axvfqf</t>
        </is>
      </c>
      <c r="B1118" t="inlineStr">
        <is>
          <t>Marijuana to Prevent Cancer Reoccurance?</t>
        </is>
      </c>
      <c r="C1118" t="inlineStr">
        <is>
          <t xml:space="preserve">Hello frens!
About 5 months ago I was diagnosed with stage 4 Hodgkins Lymphoma, and I have been going through chemo ever since. Good news is my last scan showed a positive response to treatment and I'm optimistic my next scan in a couple weeks will show I'm in remission.
However, as you can imagine I'm scared about a reocurrance and will do whatever it takes to prevent it. My doctor said the chance of this happening is about 50%
This got me thinking...I'm 31 years old and would smoke marijuana somewhat frequently from 17 to my mid 20s, and then basically stopped since. In the years after I quit I started noticing some issues with my immune system (which eventually led to my HL)
Now I hate to jump to conclusions and put on my tin foil hat, but part of me thinks starting smoking again could help prevent a reoccurrance especially since more and more research nowadays shows benefits of marijuana towards cancer.
Has anyone else been in the same boat as me or does anyone have any knowledge on the subject? I figure it's worth a shot and I plan to start again after chemo in the hopes it keeps me in remission. </t>
        </is>
      </c>
      <c r="D1118" t="n">
        <v>0</v>
      </c>
      <c r="E1118" t="n">
        <v>10</v>
      </c>
      <c r="F1118">
        <f>HYPERLINK("https://www.reddit.com/r/cancer/comments/axvfqf/marijuana_to_prevent_cancer_reoccurance/")</f>
        <v/>
      </c>
      <c r="G1118" t="inlineStr">
        <is>
          <t>2019-03-05 21:54:42</t>
        </is>
      </c>
      <c r="H1118" t="inlineStr"/>
    </row>
    <row r="1119">
      <c r="A1119" t="inlineStr">
        <is>
          <t>axycmj</t>
        </is>
      </c>
      <c r="B1119" t="inlineStr">
        <is>
          <t>Anyone have carcinoid that's been treated with PRRT? (lutathera)</t>
        </is>
      </c>
      <c r="C1119" t="inlineStr">
        <is>
          <t xml:space="preserve">This is likely the next step for my husband. He's been taking Everolimus for the last 4 years, but the cancer is starting to grow again. We've done a lot of research already about what to expect, but I'd love to talk to anyone who's gone through it. Feel free to respond here or PM me. </t>
        </is>
      </c>
      <c r="D1119" t="n">
        <v>4</v>
      </c>
      <c r="E1119" t="n">
        <v>2</v>
      </c>
      <c r="F1119">
        <f>HYPERLINK("https://www.reddit.com/r/cancer/comments/axycmj/anyone_have_carcinoid_thats_been_treated_with/")</f>
        <v/>
      </c>
      <c r="G1119" t="inlineStr">
        <is>
          <t>2019-03-06 04:35:27</t>
        </is>
      </c>
      <c r="H1119" t="inlineStr"/>
    </row>
    <row r="1120">
      <c r="A1120" t="inlineStr">
        <is>
          <t>axzanq</t>
        </is>
      </c>
      <c r="B1120" t="inlineStr">
        <is>
          <t>(Just venting..? pls ignore if you don’t want pessimism) I’m a weak daughter for mom going through chemo</t>
        </is>
      </c>
      <c r="C1120" t="inlineStr">
        <is>
          <t xml:space="preserve">Mom’s having cancer proved I’m the weakest person I know. I think I just shut down completely whenever there’s a hardship or sadness in my life. (If you can call my mom’s having cancer MY hardship, I know she has it 1000x worse than me right now) I can’t be strong, can’t put on a brave face, nothing. I’m a naturally silent person but when life is hard, I can’t say anything. I just go numb. On top of that, I turn to alcohol. These days if I don’t take vodka every few hours I’ll start getting anxious. 
My mom has triple positive breast cancer. Thankfully she’s stage 1 but she isn’t coping well with any treatment. So far she’s had chemo and herceptin, and she’s gotten almost all the side effects associated with them. I’m so scared of the possibility that she’s gonna have to stop herceptin because of the side effects. Anyway I’m supposed to be brave and strong for her and support her, because that’s what a caretaker should do, but I just go kind of numb and go cry in my room or whatever. </t>
        </is>
      </c>
      <c r="D1120" t="n">
        <v>40</v>
      </c>
      <c r="E1120" t="n">
        <v>21</v>
      </c>
      <c r="F1120">
        <f>HYPERLINK("https://www.reddit.com/r/cancer/comments/axzanq/just_venting_pls_ignore_if_you_dont_want/")</f>
        <v/>
      </c>
      <c r="G1120" t="inlineStr">
        <is>
          <t>2019-03-06 06:17:18</t>
        </is>
      </c>
      <c r="H1120" t="inlineStr"/>
    </row>
    <row r="1121">
      <c r="A1121" t="inlineStr">
        <is>
          <t>axzgd9</t>
        </is>
      </c>
      <c r="B1121" t="inlineStr">
        <is>
          <t>Losing My Mother At 23</t>
        </is>
      </c>
      <c r="C1121" t="inlineStr">
        <is>
          <t>Hey everybody, this is my first post on this SubReddit (and hopefully my last) but I'm going through such a horrible time (as I'm sure anyone who has experience of cancer is) and need to write down my thoughts, so I thought this would be the best place to post.
I've just turned 23. My mum is a prior breast cancer survivor (about 14.5 years ago, when I was 8/9) and she had lived cancer-free for so long. Unfortunately, she's been suffering from medical problems which my parents had believed was nothing too serious, but last November she started to show symptoms of cancer. Doctors originally told her she had gall stones; she went back for a second appointment and was told cancer could not be ruled out. She went for tests, was diagnosed with early stages bowel cancer at the end of January.
I live in the south of England (my parents live in the middle of England - the East Midlands) and so I've thought if it gets any worse I'll come back up. Being halfway across the country has been so hard.
Last week my mum had a fall. Long story short, she went to the hospital, and they ran a load of tests on her. She's since been told she fell due to a mini-stroke; she has damaged kidneys, and a huge blockage in her bowel due to the cancer. Her liver is also damaged, and because of her mini-stroke she's now somewhat brain damaged. She's also been told her cancer is terminal, but we don't know how long she's got left. So I'm now back in the middle of England to help care for my mother.
It's absolutely breaking mine and my whole family's hearts. I'm 23; my dad is 69. My mother is only 61. She's leaving behind 3 siblings and a whole load of nephews and nieces, and friends. The painkillers she's been administered have absolutely destroyed her, and although she's not feeling as much pain, she doesn't know what on earth is going on, and she doesn't even recognise her own family.
I honestly think she's only got weeks to live. She's my best friend, I'm an emotional mess over this. Please, if there's any advice on how to cope, please feel free to share it, as it will help me and my family so so much.</t>
        </is>
      </c>
      <c r="D1121" t="n">
        <v>6</v>
      </c>
      <c r="E1121" t="n">
        <v>12</v>
      </c>
      <c r="F1121">
        <f>HYPERLINK("https://www.reddit.com/r/cancer/comments/axzgd9/losing_my_mother_at_23/")</f>
        <v/>
      </c>
      <c r="G1121" t="inlineStr">
        <is>
          <t>2019-03-06 06:33:15</t>
        </is>
      </c>
      <c r="H1121" t="inlineStr"/>
    </row>
    <row r="1122">
      <c r="A1122" t="inlineStr">
        <is>
          <t>ay0mk0</t>
        </is>
      </c>
      <c r="B1122" t="inlineStr">
        <is>
          <t>How to learn patience with caregivers?</t>
        </is>
      </c>
      <c r="C1122" t="inlineStr">
        <is>
          <t xml:space="preserve">I’m newly diagnosed with H. Lymphoma. I’m 18 and am still in High school living with my parents. 
My parents have been with me all the way, and my dad is strongly fighting to make sure I choose “the correct things” like doctors and treatment. It’s all my choice since I’m an adult, but he really is pushing me to do what he wants and not what I want. 
I even had a list of questions to ask my oncologist. I like these, because it helps me get to know my doctor and feel safe around them. He keeps telling me I need to ask “better questions” and stop focusing on the small stuff. 
I know he’s trying to help. But every time he gives instructions for how I should act it’s driving me crazy. I know he’s trying his best to help but I also wish he wouldn’t attend these appointments and take over (even tho I know I’m lucky he’s attending). 
I want to learn patience with him. I know I’ll most likely be grateful for how hard he’s pushing later, but I find myself feeling ignored and losing control with his actions. How do I see this differently? I know in my heart he’s being kind but I can’t help but resent it. </t>
        </is>
      </c>
      <c r="D1122" t="n">
        <v>2</v>
      </c>
      <c r="E1122" t="n">
        <v>10</v>
      </c>
      <c r="F1122">
        <f>HYPERLINK("https://www.reddit.com/r/cancer/comments/ay0mk0/how_to_learn_patience_with_caregivers/")</f>
        <v/>
      </c>
      <c r="G1122" t="inlineStr">
        <is>
          <t>2019-03-06 08:21:29</t>
        </is>
      </c>
      <c r="H1122" t="inlineStr"/>
    </row>
    <row r="1123">
      <c r="A1123" t="inlineStr">
        <is>
          <t>ay0ryd</t>
        </is>
      </c>
      <c r="B1123" t="inlineStr">
        <is>
          <t>Finding Family Support Groups</t>
        </is>
      </c>
      <c r="C1123" t="inlineStr">
        <is>
          <t>Hi, I was just wondering if anyone had any advice on how to find local support groups for family members who had a relative survive cancer. I’m not sure if it makes a difference, but I’m looking for a group targeted towards family members with transplants.  While one of my parents has survived breast cancer, they also had beginning stages of leukemia treated with a bone marrow transplant. Thanks!</t>
        </is>
      </c>
      <c r="D1123" t="n">
        <v>3</v>
      </c>
      <c r="E1123" t="n">
        <v>1</v>
      </c>
      <c r="F1123">
        <f>HYPERLINK("https://www.reddit.com/r/cancer/comments/ay0ryd/finding_family_support_groups/")</f>
        <v/>
      </c>
      <c r="G1123" t="inlineStr">
        <is>
          <t>2019-03-06 08:34:39</t>
        </is>
      </c>
      <c r="H1123" t="inlineStr"/>
    </row>
    <row r="1124">
      <c r="A1124" t="inlineStr">
        <is>
          <t>ay1mj7</t>
        </is>
      </c>
      <c r="B1124" t="inlineStr">
        <is>
          <t>Lump on lower leg/ankle for about a month. Getting worried.</t>
        </is>
      </c>
      <c r="C1124" t="inlineStr">
        <is>
          <t>I’ve had a bump on my lower leg/ankle for about a month now. It originally felt like a bruise and was dark and raised. A month later the lump is still there but there is no more pain. I’m getting worried bc my bruises don’t usually form a lump and it’s still hanging around after a month despot the pain being gone. What could this be?</t>
        </is>
      </c>
      <c r="D1124" t="n">
        <v>0</v>
      </c>
      <c r="E1124" t="n">
        <v>2</v>
      </c>
      <c r="F1124">
        <f>HYPERLINK("https://www.reddit.com/r/cancer/comments/ay1mj7/lump_on_lower_legankle_for_about_a_month_getting/")</f>
        <v/>
      </c>
      <c r="G1124" t="inlineStr">
        <is>
          <t>2019-03-06 09:48:12</t>
        </is>
      </c>
      <c r="H1124" t="inlineStr"/>
    </row>
    <row r="1125">
      <c r="A1125" t="inlineStr">
        <is>
          <t>ay253h</t>
        </is>
      </c>
      <c r="B1125" t="inlineStr">
        <is>
          <t>My stepfather’s stage lV throat cancer.</t>
        </is>
      </c>
      <c r="C1125" t="inlineStr">
        <is>
          <t xml:space="preserve">I really need some people to talk to, &amp;amp; no judgment please. It’s a hard time for all of us. I’m not sure what I’m looking for. Support, advice, similar stories, people who have experienced throat cancer...
Summer of 2017 my mother confided in me and told me something about my stepdad (age 56) that he was keeping secret, and that was that he has two lumps in his throat. He is a stubborn man, and he wouldn’t go get it checked out. Stubborness aside, he also did not have the health insurance for if anything extreme popped up. Probably some fear of knowing what it is kept him from going as well. Over the next year my mother would mention on and off that he wasn’t in good health, and she’d blame it on his job (honestly, it has aged him quite a lot). He was starting to have issues opening his mouth and swallowing food, and was having night sweats. Everything that happened they’d just have some excuse for. “Benign lumps can cause these issues, too.” “He developed lockjaw somehow.” “Work is really taking a toll on him.” They just started giving him healthy food instead, juicing and all that. Cutting out alcohol. Leaning on faith healing. One lump disappeared and they thought he was getting better. At the end of 2018 he finally agreed to get some health insurance in December to get checked out, but he never did it and then in the beginning of January this year, my mother called me in hysterics, saying that my stepdad had a seizure and kept falling over. She called 911, an ambulance took him, and it was there they did tests (CT and PET scan) and found that he has throat cancer. 
Since then, the doctors have been moving really slowly with getting him into appointments. It’s now March and he’s only been twice since his diagnosis. He was scheduled for a biopsy, but when he went in they said they couldn’t do it, not without removing his teeth. They also want to remove his jaw bone (because the mass moved into the bone), part of his tongue, and give him a feeding tube and a throat tube. This was also the appointment where he was diagnosed with stage lV. Obviously it’s terrifying to think of a loved one with their face all cut up, and see them in that condition, so both he and my mother don’t seem to want to take that route and have been talking about a holistic approach (which I have nothing against, as long as it’s done along with the medical stuff that the doctors want to do), diet, and prayer. I think their fear of seeing what cancer treatments can do to a person has become greater than their fear of the cancer itself. My mother keeps going on about not trusting doctors and that they just want money. 
Today he was supposed to have a second PET scan, I’m not sure why, but because health insurance hasn’t kicked in yet the doctor called him yesterday asking how he was going to pay for it, so my stepdad cancelled and my mother seems relieved. I’m honestly so upset. I feel like their fear is holding him back and going to kill him. I’m angry, I’m anxious, I’m heartbroken. They’re being so frustrating. Obviously if he chooses not to do treatment it’s his choice, but I feel like there’s a chance. He wants to live but they’re not taking any action. 
My mother lost a daughter 10 years ago this year, my sister, only 26 years old. She hardly coped and I took much of the weight of her grief and never got to grieve much myself. She’s struggled with anxiety and panic ever since and can’t get a job. She’s a stay at home mother and they have a 13 year old together. I feel like if anything happened to him she’d lose it and no longer be able to raise her. She messages me every day saying she’s terrified and scared and that he’s scared and I honestly don’t know if I can handle my mother’s grief again. I say stepdad but he has been there since I was 11, 16 years now, and has been more of a father to me than my own biological father. I will be crushed if we lose him, but I know I’ll have to be strong for her again and I just don’t have it in me. I hate talking like this, because I would rather remain optimistic that he can beat this, but their inaction is making me lose any hope that I had. My mother’s been staying with her sister since Saturday (her sister told her she should give my stepdad space so he can make decisions without her butting in) and my stepdad is home alone. Conveniently now that the appointment is cancelled she plans on going back home sooner. I swear she’s just terrified of medical reports and doesn’t want to be around the bad news or the cancer. She’s even talked about sending him out of state to see different doctors and I asked where she and my little sister would stay and she said “at home.” They’re also keeping this a secret from pretty much everyone. 
I probably sound really whiny. I know this is a sensitive subreddit and this is new to me so I don’t know if anything I’ve said could be seen as insensitive. I apologize for that. 
Thanks in advance. 
</t>
        </is>
      </c>
      <c r="D1125" t="n">
        <v>4</v>
      </c>
      <c r="E1125" t="n">
        <v>10</v>
      </c>
      <c r="F1125">
        <f>HYPERLINK("https://www.reddit.com/r/cancer/comments/ay253h/my_stepfathers_stage_lv_throat_cancer/")</f>
        <v/>
      </c>
      <c r="G1125" t="inlineStr">
        <is>
          <t>2019-03-06 10:32:24</t>
        </is>
      </c>
      <c r="H1125" t="inlineStr"/>
    </row>
    <row r="1126">
      <c r="A1126" t="inlineStr">
        <is>
          <t>ay2fy5</t>
        </is>
      </c>
      <c r="B1126" t="inlineStr">
        <is>
          <t>Great Book For Anyone Who Want the Perspective From a Survivor</t>
        </is>
      </c>
      <c r="C1126" t="inlineStr">
        <is>
          <t>Kara Adams is a breast cancer survivor, author and speaker.  Her book, [Hidden Treasure](https://karaadams.com/product/hidden-treasure-book/),  outlines her story on infidelity, family trauma, infertility and more all while fighting to beat breast cancer.  Her story is for anyone who doesn't know where to go when life punches you square in the face.</t>
        </is>
      </c>
      <c r="D1126" t="n">
        <v>0</v>
      </c>
      <c r="E1126" t="n">
        <v>0</v>
      </c>
      <c r="F1126">
        <f>HYPERLINK("https://www.reddit.com/r/cancer/comments/ay2fy5/great_book_for_anyone_who_want_the_perspective/")</f>
        <v/>
      </c>
      <c r="G1126" t="inlineStr">
        <is>
          <t>2019-03-06 10:57:48</t>
        </is>
      </c>
      <c r="H1126" t="inlineStr"/>
    </row>
    <row r="1127">
      <c r="A1127" t="inlineStr">
        <is>
          <t>ay2m7u</t>
        </is>
      </c>
      <c r="B1127" t="inlineStr">
        <is>
          <t>My granny's fight with cancer (Part1) (part 2 in comments)</t>
        </is>
      </c>
      <c r="C1127" t="inlineStr">
        <is>
          <t xml:space="preserve">  
I remembered getting a call several months early from my Mom. "We took your Mamaw to the doctor today… They told her she has cancer." I ask "what are they going to do?" She replied with "chemo or hospice, they said it was her choice." I heard my mom whimper on the other end of the phone and we both immediately began to sob. That day forward I decided that I would go have dinner with her every occasion possible. 
Every Sunday I drove back home and had dinner with her. She cooked for me every Sunday up until the point that she physically couldn't. Although she kept trying to cook anyway. 
The last meal she fixed under her own strength was cabbage rolls. They were especially good. She had put a layer of sauerkraut on the top and bottom of them. I just so happened to snap a quick photo of the plate because my girlfriend liked mashed potatoes. Sometimes I look back at the photo and I'll think about her.
Thanksgiving was the last Time I personally remember seeing her eat any amount of solid food. She would take a bite chew it up and spit most of it back out. She ate just enough to taste. 
I was told she ate three slices of peaches and some cottage cheese before I went for a visit in mid-December.
I saw her almost every day after thanksgiving. I drove back and forth to spend some time with my family.
Back in mid-November my granny had taken a trip to the cancer center. She had someone new see her that day. Her mood had changed dramatically. I ask her what they had told her. She looked up at me from the passenger seat of the car and said, "They told me I'm going to starve to death..." Her attitude never seemed quite the same after that visit to the cancer center. Of course I would be off if someone told me I was going to starve to death too… 
Early December was her last visit to the cancer center. They told her not to bother coming back. She was too weak to be put through those trips back and forth. There was nothing more they could do to ease her pain. Her last visit was my papaws first visit to the cancer center.
Papaw passed away a week later. A few hours after his first chemo treatment. They thought the treatment was just too much for him.
I was still driving back and forth to see my family after my papaw passed away. We stayed though the visitation and the funeral. (T) and I had dressed up for papaw’s visitation. She was wearing a nice charcoal, black, and red pencil skirt. I had a tie and blazer that matched. She said we looked nice.
While (T) and I were visiting, Dad kept trying to get her to eat peaches. I could tell she was getting annoyed by him. She looked over at him as week as she was and told him "I wish you would stick your peaches up your ass." It was nice to see that the mountain woman I knew was still in her.
I had decided since we were off a couple weeks for Christmas break I would spend some of that time with my granny. She always thought it was nice when I would stay around. I could tell it made her feel better when I was close.
I went to stay on Saturday the 22nd after I had spent the night hanging out with (T) and her family.
My granny had went downhill significantly, she wasn't able to walk on her own any more. Mom and dad we're taking her back and forth to the bedroom at night, and to the bathroom during the day. After I started staying with her, she spent her nights laying on the couch.
The first night I laid on the couch opposite of her. I sit there writing about my papaws funeral. I watched her struggling to be comfortable. Sometimes she would moan, other times she would call to the lord for help. It was a heart breaking time. I kept thinking about 16 years prior my best friend in high school had gotten killed in a car wreck and here I was 16 years later to the day watching my granny become weaker and weaker. I was scared that night. I was thinking about how I didn't know exactly what to do if she passed away. I didn't sleep much. And I kept wishing (T) was there with me… 
I woke up some hours later to mom helping her move around the couch and her screaming in pain. It's a really terrible thing to awake to. I got up and I helped mom slide her feet around so she could rest them on her pillowed kitty litter bucket. Dad sit there reading a history of Kentucky.
Mom and I were going to be responsible for Christmas dinner this year. A few days before I started staying there mom told me they had taken her to Kroger because my granny was sick of sitting in the house. She picked out everything she thought we would want for dinner from a wheel chair.
On Christmas Eve dad and I made a run to town to pick up a few extras for Christmas dinner. We stopped by goodwill for a few minutes to see what kind of good deal we could find. I found a really old glass mirrored picture frame from maybe the 40's. Not sure why I bought it just knew I wanted it for some reason. Dad and I ran to Walmart after that. We picked up a couple things of turkey gravy, and several boxes of ensure thinking that if she could at least get something in her maybe she would feel better.
After we returned home Mom put all the stuff to make dumplings in a big pot. My granny made her bring it to the couch so she could stir it up. She would say "a little more of this." and "a little more of that" until it had the perfect consistency. She could barely lift her arm but she still wanted it to be done her way. She said "take it to the table, flour the brown paper sack, and help your mother cut these out." Mom and I made our "dumplings". They looked terrible, but they tasted alright. Nothing like what my granny fixed though.
She hadn’t been eating or drinking much of anything other than a little milk or a sip of beet juice that I had bought her. I had brought in a case of ale 8's that (T)'s mom had given us. She decided that she wanted one. She drink nearly the entire bottle and we were ecstatic. It's the little victories when you're in these situations. She could barely move her head but we would hold the bottle and bend the bendy straw for her.
Christmas morning I awoke to my granny talking to my family about her funeral. She was worried about how much it was going to cost and where she was going to be buried. It was tough to listen to. We were all tearing up. Dad burst in with a "if you would eat you might not have a funeral." Everyone kind of sit in silence for a few seconds after that.
Dad and I had decided that we would go look at the cemetery where she wanted to be buried. We were about to leave when mom came to us and said why don't you see if (O) would talk to her. We told her we would stop and see. Dad and I pulled up to (O)'s house. He was walking some strange guy around the yard and sent him on his way when we pulled up. We talked to him for a moment and he said that he would love to come and talk with my granny and he would be down later that evening.
We stopped at (C)’s (slick) house. My granny had ask for him by name to be a pallbearer. He had always helped out my family with anything they needed. Once my granny had let a fire get away from her. The whole field was a blaze and (C) was the first one there to help. They had used dead tree limbs to beat the fire out. The fire depart had showed up but it was a bunch of rookies that had brought an empty water truck. He told us he would be honored to be a pallbearer.
We drove on over to the cemetery. The cemetery is down a long gravel road through a cow pasture full of nice green grass. On the back part of the lot near the cemetery the road goes up a very steep hill wooded with all manner of oak, cedar, and holly trees. When you reach the highest point you will find the cemetery. When my granny's people came to the area in the early 1800's this is where they settled. If you walk around you'll find her great great grandfather, aunts, uncles, cousins. Everyone but her mother. She originally wanted to be buried next to her mother, but there wasn't much room and she had married a man that my granny didn't care much for as a child. She had told us in recent days that she would like to be placed close to her aunt (De) and her Mamaw. She always spoke fondly of her Mamaw. Her Mamaw actually passed away in the same fashion she was passing. She told us she had cancer and the day the ambulance came to take her away she was out in the field putting up fencing. When she passed away she told us they had to take a team of horses and put her casket on a sled to get her up the hill to the cemetery, it had been a particularly harsh winter day.
Looking around the cemetery you see all kinds of names that you've heard of. One of the stones said (R) he was roughly the same age as my granny but he only lived nine years. I had heard the story many times. He was my granny's cousin. His dad had sent him out to water the mule. He had the reins in his hands when something spooked the mule and it took off running. The mule drug him though the barn, then a barb wire fence where he died. His father had always blamed himself because he was chopping wood at the time and thought that he had maybe spooked the mule on the back swing of the ax.
Toward the front of the cemetery were to other graves. (Ru) and (Ce). They were my granny's infant brother and sister. They didn't make it along very far in life. There was also too more siblings whom were stillborn. It's those things that make me feel lucky to even be a part of the world. Sometimes I think about how many things had to happen for me to even exist.
As dad finished writing the names in the cemetery down, I took a few photos. I looked around and thought how truly beautiful this location was. You could see for miles down in the valley, with an old barn to the left with cattle around it, to the right a stand of trees following the untraveled road. I watched the sun break through the clouds and race across the landscape. The kind of place where I think I might like to spend the rest of eternity one day.
We got back home and dad was trying to tell my granny about the cemetery but she wasn't in any kind of shape to listen. We sit there for a little bit and then (O) and (M) stopped in. (M) is my granny's cousin, and (O) is her husband, he's a local preacher. I could tell granny was happy to see both of them. Her eyes lit up as much as they could. (O) got next to her on the couch and ask her "have you been saved?" my granny didn't say much she looked at him with longing eyes. 
(O): "Would you like to be saved?"
Granny "yes, but I don't know how."
(O): "you don't have to know anything than how you feel in your heart."
(O): "the Lord knows how you feel."
(O): "can you repeat after me?"
Granny: "yea."
(O): "I give my heart to our lord and savior and I believe that he can do all."
Granny: "I give my heart to our lord and savior and I believe he can do all."
(O): "that’s all you had to do, the lord knows what's in here. (Pointing to her heart)"
(O): Prayed over her.
(M): "would you like me to sing?"
Granny: "yea."
(M): Sings Amazing grace.
(O): doesn't it feel good to be in the light of the lord!
Shortly after my granny got saved her brother (w) stopped by to see her. (O) and (M) were still there. (w) is an odd mix of things. He’s a kind older man but he's also dirty and crude. Two things I don't see very often in the same package.
He sit down in the recliner next to my granny's head and she said in a weak voice "I got saved." He said "that's good. I'm happy for you, sis." (O) said something to (w) about being saved. (w) said "I've talked to the lord many times but he's never saved me…" (O) said "well he knows what's in here (pointing to his heart once again)" (w) replied with a "does he?" the conversation just kind of fizzed out at that point. I was thinking to myself that this wasn't the time or the place for a religious debate. I honestly didn't care what anyone believed in at the moment other than my granny and my mom. If it made them feel better it didn't matter and there was no reason to talk about religion.
(O) and (M) left soon after, they told granny and my family how happy they were that she had given her life to the lord. (w) sit there for a little bit talking to granny when someone else came knocking on the door. (D), my granny's niece had heard thought the grape vine that she wasn't doing very well. My granny had taken care of all of her nieces and nephews while they were growing up and their mother had turned them against my granny when they got old because she was a half-sister and not full blood. My granny's brothers had always treated her like a sister. My granny's sister never treated her like an actual sister. So there was always some bad blood there my entire life.
At nearly 11 that night my granny's cousins came to visit. It was (M) and two of her sisters. She had passed the word along that my granny had gotten saved and she wasn't doing very well so they had come to see her. One of her cousins was wearing an old pair of shoes that had fallen apart as she walked through the yard. Her sisters got the biggest kick out of that and it kind of turned into a running joke for the rest of the night. I could tell my granny wanted to laugh but it just wasn't in her. She was more concerned about her getting her feet wet in the yard. She ask my mom to look for her a pair of shoes. They sit there until 3 AM telling story after story. My granny would chime in every little bit. This was the last time I heard her utter more than two or three words.
I awoke the next morning to find her doing much worse. She couldn't move herself any more, and we couldn't move her without hurting her. Granny's cousins had told us about hospice the night before and how they actually help people to take care of their loved one. Mom and I had made the decision to call them. We thought if maybe they could bring a hospital bed for her that it would make life a little easier on everyone. 
A couple hours go by and I decide to go pick (T) up from her Mom's house. I needed her. I was somewhere close to the end of the rope. I couldn’t begin to imagine how mom was feeling. We drove back down as quickly as possible. At some point we ventured out to go to the dollar so and I noticed I had a voice mail from a few minutes earlier that evening. I listened to it. It was hospice. They had told us to call them back at 8am. 
The next morning we call Hospice back and we arrange an appointment for someone to come speak with us. I was out somewhere for the first half but the second half Belinda the nurse from hospice took us into the other room where she talked to use about how people pass and what that was going to be like, then she talked to us about administering medication. She had said something about using a syringe to put medicine in my granny's gums. Mom leached back and shook her head and said "I just don't think I could put it in her gums like that." and the nurse said you're going to have to for her pain. Mom and I were both under the impression that we would going to have to put a needle into her gums. I told her to get the Medicine any way and we would look at it when we got it. Before the nurse left she told us she would order a bed and that I needed to run to town and pick up her medicine.
(T) and I got to town to pick up the medicine. We picked up a little something for dinner, and went back out the interstate toward home. Before I got home I was getting a call from the nurse. She said she had called her in some more medicine and that I needed to run back out there and pick it up. So I did. We returned to find her new hospital bed in the living room. We administered the medicine we had returned with. We found the syringe the nurse was talking about was nothing more than a child’s cough syrup syringe which put me at some kind of ease. Mom went to give her the medicine and she let out a loud "un un" and I came over and talked to her "It's supposed to make you feel better, the nurse called it in for you and she said it might ease the pain. Would you give it a try?" She looked at mom. Mom put the syringe in her mouth and she took the medicine. After a while she stopped yelling from the pain. 
She was still laying on the couch. We had to move her. I had her from underneath, Mom had her under her arms, and dad was basically in the way. As we moved her to her bed she screamed in heart wrenching pain.
(w) and his wife (Do) stopped by a little later that night to see her. He told us he would stop by again in the morning before he left for Ohio.
I invited (Ti) over to come visit my granny. I felt like a jerk but I ask him not to bring his grandchild because I knew she couldn't take that right now. I felt he was too young to understand what was going on so he wouldn't realize that he needed to be careful with her. (Ti) got there and dad put on some terrible movie about Ernest Borgnine and an illegal immigrant. We sit and chatted a little bit and then dad put in some kind of Alfred Hitchcock movie that was almost a silent movie. During the second movie I guess my granny's pain meds wore off. She started to struggle again. Her breathing was labored and she was yelling in pain. We all stood around her. For a moment I thought this was it, things we're looking grim. But she ended up falling back to sleep after mom gave her second dose of medicine. We were all tearing up as she lie there. 
(Ti) left shortly. (T) and I walked him and (Ab) out on the porch. He talked to us for a second and told me he was sorry. (Ti) and (Ab) gave us both hugs. I stood there on the porch for a moment just in tears hugging (T).</t>
        </is>
      </c>
      <c r="D1127" t="n">
        <v>2</v>
      </c>
      <c r="E1127" t="n">
        <v>1</v>
      </c>
      <c r="F1127">
        <f>HYPERLINK("https://www.reddit.com/r/cancer/comments/ay2m7u/my_grannys_fight_with_cancer_part1_part_2_in/")</f>
        <v/>
      </c>
      <c r="G1127" t="inlineStr">
        <is>
          <t>2019-03-06 11:12:56</t>
        </is>
      </c>
      <c r="H1127" t="inlineStr"/>
    </row>
    <row r="1128">
      <c r="A1128" t="inlineStr">
        <is>
          <t>ay2r51</t>
        </is>
      </c>
      <c r="B1128" t="inlineStr">
        <is>
          <t>My granny's loss to cancer (Part2) (part 1 in comments)</t>
        </is>
      </c>
      <c r="C1128" t="inlineStr">
        <is>
          <t xml:space="preserve">  
It was the morning of the 28th. (w) had come to visit before his trip to Ohio. He told me to call him if something happened. Dad, (T) and I were preparing to go to town and get a few things, but we had decided to go to (w)'s first to barrow some posthole diggers. As we were walking out the door she screamed for me. Mom looked at me and said "go on… Quickly." Then she looked at my granny and told her we would be back soon. We drove over (w)'s and talked for a few minutes. They wanted us to stay for a little while but we couldn't we had things we had to do.
We got back to the house and she was lying there. You could tell she was glad I was back at home. She still looked worried though. I stepped out on the porch to make a phone call to my friend (S). About three minutes into the phone call dad stepped out on the porch and said "I think she needs you." I walked in the house with (T) and we all gathered around. Her breathing had become labored. She looked at me and then laid her head to the side. She might have blinked once or twice more as life became a struggle. I told her I loved her as I held her hand. A few seconds later mom told her that we all loved her. She was looking out the window at the huge tulip tree in the back yard. My granny took about three more labored gasp and her bright blue scotch Irish eyes lost all their life. As I was holding her hand I could feel her leaving. It was almost an immediate change. One moment she was there, the next moment there was a shell that she had left behind. Her shell was lying there hugging her sunflower pillow, lifeless, gazing at the big tulip tree in the back yard. That’s the last thing she would ever see. (T), Mom, and I stood around her about the next 10-15 minutes morning her. The last several months she had worn her sweat shirt that had a drawing of a crane trying to eat a frog. In the top left corner it said "don't ever give up." I thought it was such a fitting line for what she was going though. 
Dad was trying to escape. I yelled at him to come over and we all hugged each other. Mom was crying hard, (T) and her had their faces buried into my chest. I looked over at dad and he was feeling my granny's hands and her neck. He just couldn't process that she was actually gone. He doesn't do well with loss. But who does? He didn't stop, so I nudged him to quit, and he stopped.
I walked to the porch and I started making phone calls. I called the hospice lady and she told me she would contact the funeral home. Each phone call was a little more difficult than the last. (w) might have been the hardest for me. I told him that my granny had passed away and he responded with "oh no." It was so pitiful and heart breaking. I was so thankful that he had gotten to spend some time with her earlier that morning.
A short time later the hospice nurse arrived. She told us how sorry she was for our loss. I think she might have even shed a few tears. She told mom that they needed to clean her. (T) and I left the room and sit on the porch with Dad as Mom and the hospice nurse started to clean my granny's body. The hospice nurse told us the men from the funeral home would be there soon.
Shortly a black Cadillac pulled up and two men got out of it. One was the funeral home director. I had saw his face many times as my granny's family had passed away over the years. He had taken care of her mother some 17 years prior. Dad, (T), and I walked back in the house. They had finished cleansing my granny. She was lying there flat with the same expression on her face as when I had left her. I kept looking at her. Sometimes I would think I would see her take a shallow breath. I knew she wasn't though. I guess it's just something you unknowing do. I caught myself doing the same two weeks earlier with my papaw as he was lying in his casket.
The nurse wanted us to go back to the bedroom as they moved her from her bed to the gurney. I took Mom and (T) back toward the bedroom. They were facing me. I wanted to watch what they were doing. They were so easy with her putting her on the gurney. They took a nice quilt and covered her from her shoulders down. Then they took her out the front door. I was thinking the whole time how I didn't want them to cover up her face in front of us, and they didn't. Then I thought how she sort of got one more look at the sky. My mind quickly went to how she would be all alone for the next couple of days. I didn't like the thought of her taking the ride to the funeral home with two strangers. I didn't like the thought of her being all alone in the funeral home at night. I didn't like the thought of her going through the next part of life alone. I guess we'll all have to face that part at sometime though.
It was so odd that evening. (T) and I had come back to town to scan photos like we had for my papaw two weeks earlier. (Ti) came and hung out with us just like two weeks earlier. I kept going though album after album. From baby pictures to the mid 90's when I was a kid. You could tell in the photos that she was a happy child bright eyed and full of life. Then sometime in the mid 80's that girl was gone. She had been replaced by a young house wife with nothing to look forward to. Then I came along. There were pictures of my granny and me the day I was born and you could see those same bright eyes from when she was a kid. I brought something back to her. Shortly after my birth her and my papaw got a divorce and she came to live with Mom and Dad. She had gotten ahold of some of the photos around that time and had decided to take herself out of them. I really hated that. I kind of have some kind of hope that the negatives will turn up some day, so maybe they’re not completely gone. About 90% of the family photos she doesn't show up, and I was wondering why? Then it dawned on me she was the one with the cameras. That's where I had gotten the photography bug. At that moment I felt closer than ever to her. And possibly the most heartbroken I had ever been. 
I had to give (N) a call that night. We needed pallbearers and I was going to ask him since she always bought him stuff. As soon as he answered the phone I teared up and told him my granny had passed away. I was a wreck, but I kept talking. He told me how I had to be strong for Mom and Dad because we both knew Dad was useless in this ordeal. I only talked long enough to get to the point and a couple pleasantries.
I finished scanning the photos we wanted to use for the funeral. We all packed up our stuff and went home.
When I got to my house I found a meth’ed out druggie lurking around the back of my place. I walked in the house like I didn't see him and started putting what few valuables in "hiding places." We picked up a couple essentials and saw that he was still walking around the driveway. I thought maybe we would go park at the dollar store for like 10-15 minutes and see what he was up to. To be honest it was nice to think about something besides death for a minute even if it was theft… I went back to the house and checked around for a minute and apparently he had had his fill of the cold and had returned to his hell hole. I decided that I would find (Ti) and have him spend the night since no one had stayed there for several days. (T) and I went back to see Mom and Dad.
We got back to the other place late and Mom and Dad we're getting ready for bed when we got there. The pull out was pulled out of the couch. (Da) my dog came in the room and she came and saw everyone and then she started looking for my Granny. It was obvious to me what she was doing. She smelled where she had laid on the couch. She looked for the bed the hospice nurse had brought in. She smelled from the where the bed was to the doorway where they took her out. She was confused. After a few minutes she hopped up on the pull out and found the pillow she had been lying on when she passed. Daisy smelled the pillow and threw her head back several times. She got as close to the pillow as she could and held it tightly against herself. She spent the rest of the evening morning over Granny. It was heart breaking to watch her because we all knew what she was feeling. Truth be told she loved granny about as much as she loves me.
The next morning we leave to go to the funeral home. I drive up to see if Wesley wants to go. He does. He told us that he would meet us over there. We make our way down the curvy little back roads my Granny grew up on. I was telling (T) all about her side of the family, or at least the parts I knew. Occasionally a tear would roll down my cheek but I would keep on talking.
We made it to the funeral home about an hour early so (T) and I made our way to the local flea market. I figured why not try and find something neat. I thought it couldn't hurt to help me get my mind off things a little. We walked around for a little while and I found nothing. I wasn't sure if it was because they didn't have anything interesting to me or if I was just in a state of mind where I couldn't see anything. We went back to the funeral home. Dad and (w) eventually pulled into the parking lot. Mom ask me where (H) was. I told her I thought they picked her up on the way over. So we called and she made her way there. It was pretty important to Mom that (H) was there because my granny had told us before she passed that she wanted (H) to help make the arrangements.
We all walked in and the director pointed us toward his office. We told him we had one more coming and he told us its fine to wait a little bit. He started talking to us about the information he needed for the obituary and we did the best we could. It was kind of interesting. I learned that my great grandfathers’ name was Sylvester. (H) finely made it as Mom and I were picking out verses for her cards. We gave him the clothing Mom had picked out for my Granny. Mom ask him if he could find a blouse that would fit her. He smiled and said I'm sure my wife has something. We had to figure out the day for the service and we went with New Year’s Eve for the visitation, and New Year’s Day for the funeral. Not ideal but that was the best we could do. The director was so much kinder than the guy that took care of my Papaw. That guy seemed like a vulture. This guy seemed like he knew what we were all going though. I guess he did have some kind of grasp since he had recently lost his father.
The director had finished taking the information that he needed. He walked us through a door leading to large room with lots of caskets. It was strange to think that we would be picking out something for my granny that she would be using from now to the end of time, but she would never see it. Mom looked at me and said "no pink." Apparently my granny didn't care for the color pink. Which I was 100% ok with. We took a lap around the room, and found a silver/gray one. It looked nice. A very utilitarian, midrange, simple box. She would have been good with that. The director then ask us about the vault. He said "Personally I prefer a better vault than a casket, it's what's between you and the elements." Again we picked her out a gray midrange vault, and again she would have been happy.
The director walked us into another office where we were to work on photos the lady sitting here wasn't a "photo person" eventually she gave up her seat and let me work on the photos since I already kind of knew what we wanted. We picked out a photo from the mid 70's for her card. She was wearing a light tan shirt, brown pants, and her hair was halfway down her back. It was one of the better photos of her. She wasn't one for getting her photo taken. I had roughly 120 photos and they told us we needed to slim it down to 68 so that took another 30 or so minutes. We looked over the ones we had picked and again I think she would have been happy. There were old ones of her and my papaw, pictures of her dogs, and a few snapshots I had taken from time to time. I think the woman was happy that I took over the photos. It really helped my emotional state to know that was contributing to the service in some small way.
Early the next morning we went to pick out her grave. Dad hopped out at the bottom of the hill because he's had one to many dune buggy wrecks on hills in his day. Mom, (T), and I drove as far as we could go and we got out and walked the rest of the way. The three grave diggers were already there. They were kind of pale and unkempt, basically what I would think a gave digger would look like. We ask them if they could wait a little bit for (w) to get there. Once he arrived we walked around the cemetery for a bit. We knew she wanted to be close to her Granny and her aunt (De). We got her as close as we could. Her plot was just in front of her Granny and (De)'s plots. (T) got to see how incredibly peaceful it was at the top of the mountain. There were no sounds other than that of nature.
The grave diggers immediately began to dig. They took their marked two by four and marked off her grave. Then they took a shovel and started working their way deeper into the earth. It was an odd thought to me that she would be spending the rest of entirety in this hole that was being dug. I could feel the hot tears streaming down my face. I looked at everyone and I could see the sun shimmering off of their tears.
A strange car was starting up the hill. It ended up being the woman who married my Granny's cousin, (Bu). Her husband had passed away many years ago and she had gotten remarried. I hadn’t saw her since I was a little boy. She use to be the pharmacist at the doctor’s office my Mom took me too. It might have been 15 years since I had laid eyes on her. I could tell it was her but she looked much different now. Time had crept up on her I suppose. She walked around the cemetery and saw where my granny was going to be. She told us that the grave next to her was empty, even though there was a stone. (B) had picked the plot next to her but he had been buried somewhere in Ohio after moving away from the country.
We made our way back down the hill. Dad got in the car once we reached the bottom. I was making my way through the cow field and the car slid a little in a mud puddle and dad yelled "see there! We could have all been dead!" Everyone started giggling at him. As we went around the winding country roads Mom talked about how she thought my Granny would be happy with what we picked out for her.
Once we got to Mom and Dad’s place we started looking at the property next door to them. A few weeks prior someone had put up a for sale sign. It had been nearly 20 years prior when our neighbor had passes away. After he had passed his wife moved out. She packed only a few things and left the rest of it for nature to reclaim. We walked around the property for a bit and then we made our way into the house. The wife left a lot of things laying around. I saw this little capsule laying in dust. It was a small sewing kit that advertised whisky. I decided why leave it to rust, so I stuck it in my pocket. For a 20 year old abandoned house things look ok. The floor was out in parts of the house, but nothing terrible. We left the property thinking we would put a bid on it.
Mom and Dad spent the night with me that night. (Ti) came over and we just sort of sit around watching movies. I think it was something all of us needed. Time not doing anything.
The next day was the visitation. The family were to go in first and spend our time with my Granny. Mom, (T), and I made our way to the front of the room. Shortly the director came around and ask us if she looked ok. We told him that she usually wore her hair behind her ears and that she never really wore her glasses, she just had them close or was always looking for them. He made the minor adjustments and she looked like herself. It was almost like she was sleeping, which I suppose is the idea. I kept looking at her expecting her chest to move, but of course it would never move again. I took the small album I had made her for Christmas and laid it beside her in her casket. I had decided to add a couple more photos to it. I put a photo of (Mo) her Jack Russel, and I added an old photo of her, her siblings, and her mother. I thought she might like that. Not that she would ever see it but at least a part of us will be close to her. Again I could feel the warm tears streaming down my face. It didn’t quite feel real. The memory of her passing was seared into my mind. Every time I closed my eyes it replayed. Her laying there on her pillow staring at the tulip tree as she faded away.
A short time later people started coming in. Some were family, some were acquaintances, some were my friends. (N) and (H) came. It was nice to have people there that knew who I was and what I was going though unlike papaw's funeral. People had told stories all evening. Mom, (T), and I spend the whole night up front with my granny. Dad and (w) spent as much time as they could get away with at the back of the room talking to my friends that had showed up. From what I heard it was story time about me in the back of the room. (Z) came up to me and ask me if I'd come out side with him. He had me a Christmas gift in the car, keto approved of course. A bottle of Buffalo Trace, and a variety pack of summer sausage. It was really nice. As (Sh) and (S) from work left, (S) ask me to step outside with her. (Sh) and (S) both gave me a hug as they were getting in their car. (S) passed me some cash and told me to take care of my Mom with it. I later looked at it and it was a hundred dollar bill. (C) my Granny's cousin pulled me close and told me that he had somethings for us in the car. I walked out there with him and he gave me a huge tray of sandwiches, cookies, and chips.
Shortly the evening was coming to a close there was about thirty more minutes left on the visitation and Mom looked at me and ask "are you guys ready to go?" and I told her "we'll go in a few." The thought of leaving her there all alone for another thirty minutes was awful to me. I had to spend every moment till time was up. That's what we did. It still bothered me that she was going to be in that strange place another night all alone.
We started eating the sandwiches on the way home. For every one of (C)’s sandwiches we ate the next one was that much better. I couldn't for the life of you tell you what kind of sandwiches they were but they were off the reservation good!
(N) made it to my house shortly after we all did. He had went out and got things for New Year’s Eve. I made a big pot of cabbage soup, because you can't have a good new year without the luck of cabbage soup. (N) ended up getting in one of those story telling moods and all I wanted to do was leave the planet until the funeral the next day. After we watched the traditional ball dropping, (T) and I went on to bed. A couple hours later I heard (N) snoring in the living room like a wildebeest.
I'm assuming at some point during the night (N) discovered how good the sandwiches were because I woke up to a solitary sandwich laying in the fridge.
As we walked into the funeral home the director lead us to a different room than we were in the night before. He took us to the chapel. The casket was in the front of the room surrounded by the flowers people had bought her. We walked slowly up the center past the pews. Once again I could feel the tears streaming down my face. I thought it was strange, the tears didn't seem to well up, they just fell. She looked even more like she was sleeping than the night before. Mom, (T), (Ti), and I spent some time up front standing next to the casket thinking about her. Mom pulled me close and said "She loved you." and started crying. I responded with "I know she did." I stood there holding my mom for a little bit as people started to gather in. We took our seats, and the service began soon after. 
Some of my granny's cousins started the service by singing the family circle. Dad couldn't take it so he got up and walked out of the service. I was listening but my mind was lost somewhere in my memories. After a few songs one of dads friends, (T) read her obituary. Then they played her favorite song, Rank Strangers by the Stanly Brothers. (O) then got up front and started his part of the service. He spoke about Romans 1 and how our God was a God of power. He preached to everyone that they need to get right with the lord, because we don't know when it's coming. I was sitting there wishing that he would have told about coming to her side to get saved the prior week. He could have talked about that while I was remembering fonder times but I don't recall. At the end of the service everyone made their way up front and gazed upon her one last time. Mom ask me where Dad was as he was trying to slip out the door. I told him to come back and we all hugged each other as we looked at my granny laying there in her casket. I felt her hand. It was the first time I had ever felt someone's hand in their casket. It was strange, again it felt as if her body was only a shell for what had been there. She was stiff and cold to the touch and I knew she was somewhere else now, hopefully a place where she could look down and smile at us. Mom, (T), and I were the last to leave other than the pallbearers. Mom was crying so hard and I felt so bad for her. We all stood around the back of the hearse as they wheeled her casket out the door. The pallbearers loaded her in the hearse.
We weren’t more than 40 feet behind her as they hauled her to the cemetery. I kept thinking the whole time how much life was going to be different without her. And how many times we had taken the same road with her relatives in the hearse. When we saw the long road leading to the cemetery we could tell that it had been freshly graveled within the couple days it had been since we were there. I was so thankful that that had been done. We got to the hill leading up to the cemetery and dad didn't jump out this time. I let the hearse and the preacher get a head start on me. As I started up the hill I was already spinning gravel. We made it to the almost the gate and my poor car wouldn't go any farther. Everyone that came to the cemetery had to park behind me and walk the rest of the way.
One of the men from the funeral home ask us to go sit under the tent. After we were all seated the pallbearers made their way between the other graves carrying her casket. They sit her on the pedestal and the director ask them to remain standing as he spoke. "(J) has touched each and every one of us in the course of her life. As we leave I want each and every one of you to touch her casket as you leave the cemetery today, so you leave your mark with her." It was the first time I've ever heard of anyone doing that during a service but I thought it was the most wonderful idea. All the pallbearers had tears in their eyes as they walked away. (Ti) kissed his hand and ran it across her casket. 
I walked (w) over the hill to his truck and I thanked everyone for coming. (C) was showing off for everyone according to his wife, by backing is four wheel drive up the hill. Most everyone had to go back to their homes. We went back to a small church that my granny's uncle had paid for and built for the community. Her cousins were all there preparing dinner for us. We sat and ate with them for a while, told stories, and enjoyed each other’s company.
Sometimes I think that it was better that my Papaw left before my Granny. As weird as it is to say I think it was kind of God's way of preparing us for what was going to happen. It was the first major loss anyone in the family had ever had so we kind of got a crash course in what to do. Also something I heard a few days after the funeral that really put me at ease was someone making the statement, "people are here as long as they need to be." In an odd sort of way that made a lot of sense to me, and brought me a lot of comfort.
Something that still eats away at me is the fact that a lifetime of thoughts and memories disappeared in her final breaths. No one will ever know how she felt in particular situations, no one will know her version of stories, no one will know how she felt about different things, and no one will be her. I get that it's an eventuality that we're all going to have to face, and people have been facing it since the beginning of time and they'll face it till the end of time. </t>
        </is>
      </c>
      <c r="D1128" t="n">
        <v>4</v>
      </c>
      <c r="E1128" t="n">
        <v>2</v>
      </c>
      <c r="F1128">
        <f>HYPERLINK("https://www.reddit.com/r/cancer/comments/ay2r51/my_grannys_loss_to_cancer_part2_part_1_in_comments/")</f>
        <v/>
      </c>
      <c r="G1128" t="inlineStr">
        <is>
          <t>2019-03-06 11:24:31</t>
        </is>
      </c>
      <c r="H1128" t="inlineStr"/>
    </row>
    <row r="1129">
      <c r="A1129" t="inlineStr">
        <is>
          <t>ay31r9</t>
        </is>
      </c>
      <c r="B1129" t="inlineStr">
        <is>
          <t>Regaining my father's will to live</t>
        </is>
      </c>
      <c r="C1129" t="inlineStr">
        <is>
          <t>Hello everybody,
My father's cancer brought him into such an awful state of mind that he lost his will to live. I am looking for advice on how to at least make him accept further treatment, since his concrete situation is still unknown to us. I will describe the details in the following, but I'm not a native speaker, therefore not used to the proper terms. Feel free to ask in the comments for clarification.
He, 55 years old right now, was diagnosed with prostate cancer about 3 years ago. When discovered the cancer had already metastasized, so it was only a question of time when it would kill him. He went through multiple chemo- and radiotherapies and was able to live a decent life, but on more and more painkillers as the cancer grew. Three weeks ago, he was moved to the hospital since the cancer infested his spine in such a way that he couldn't use his legs anymore. There, multiple tests were done and his spine was healed to some degree, he can now walk a bit, though only with the help of a special rollator.
One of the tests revealed metastases in his liver, no doctor told us about this. Five or six days ago he got stomach pain and three days ago got told by accident "\[...\] the stomach pain is because of your liver metastases, but you know that." (keep in mind I wasn't there and just translated that).
To give you some insight into his mind, he was obliviously shattered and seems to expect to have only one month left, maybe less. An acquaintance of his had liver metastases and was given 2-3 month, which is probably why, but a quick google search of mine came up with 4-8 month on average, the father of his best friend lived 3 years with liver metastases. 
On top of that are the hospital and his room quite shitty. He is supposed to be further treated on the oncology, but they have an influenza virus, so he was basically just kept warm, fed and watched on another station, without anything really being done for a few days. Today he was moved to the oncology, but they are still contaminated, so we can't visit him until the contamination is resolved. While being there, we asked his doctor in charge how exactly his wellbeing is, as we still don't know anything specific. She told us she could tell us in two to three days, once she's through with his patient file. Additionally none of the bathrooms are handicapped accessible, so he can't shower nor sit on a normal toilet. We are considering to take him into another hospital, but until know we all agreed to keep him in his current one; it’s a university medical centre so we expected the doctors and the capital medical equipment to make up for the building. But because he only got transferred there today, we don't have any concrete plans.
The treatments that are supposed to be done and once agreed by him, is a lumbar puncture, to check whether he got cancer cells in his vertebral canal and while doing so, inject some medicine to supress any possibly existing ones and a chemo therapy. I suspect that these will increase his quality of life and that he got more than a few weeks to live, as the doctors treated his legs instead of liver, relatively useless if you're killed by your liver in two months. He's lost faith in the doctors and doesn't agree. He just wants home.
My father has always been very stoic and rational. I've never seen him anything like this. I suppose his rational nature further worsens his state of mind, since it's obliviously not looking great.
Thank you very much for your help.</t>
        </is>
      </c>
      <c r="D1129" t="n">
        <v>1</v>
      </c>
      <c r="E1129" t="n">
        <v>0</v>
      </c>
      <c r="F1129">
        <f>HYPERLINK("https://www.reddit.com/r/cancer/comments/ay31r9/regaining_my_fathers_will_to_live/")</f>
        <v/>
      </c>
      <c r="G1129" t="inlineStr">
        <is>
          <t>2019-03-06 11:49:25</t>
        </is>
      </c>
      <c r="H1129" t="inlineStr"/>
    </row>
    <row r="1130">
      <c r="A1130" t="inlineStr">
        <is>
          <t>ay3k87</t>
        </is>
      </c>
      <c r="B1130" t="inlineStr">
        <is>
          <t>Does dysphagia always lead to Esophageal Cancer?</t>
        </is>
      </c>
      <c r="C1130" t="inlineStr">
        <is>
          <t>Even only occasional difficulty swallowing only dry foods.</t>
        </is>
      </c>
      <c r="D1130" t="n">
        <v>0</v>
      </c>
      <c r="E1130" t="n">
        <v>1</v>
      </c>
      <c r="F1130">
        <f>HYPERLINK("https://www.reddit.com/r/cancer/comments/ay3k87/does_dysphagia_always_lead_to_esophageal_cancer/")</f>
        <v/>
      </c>
      <c r="G1130" t="inlineStr">
        <is>
          <t>2019-03-06 12:33:32</t>
        </is>
      </c>
      <c r="H1130" t="inlineStr"/>
    </row>
    <row r="1131">
      <c r="A1131" t="inlineStr">
        <is>
          <t>ay4sbw</t>
        </is>
      </c>
      <c r="B1131" t="inlineStr">
        <is>
          <t>Sleep caps for hairloss?</t>
        </is>
      </c>
      <c r="C1131" t="inlineStr">
        <is>
          <t>I'm getting chemo with Taxol and Carboplantin and I've been told the Taxol will make me lose hair. Right now I have thick, long hair. I'm looking for suggestions of a sleep cap I can wear that will contain the hairloss.</t>
        </is>
      </c>
      <c r="D1131" t="n">
        <v>4</v>
      </c>
      <c r="E1131" t="n">
        <v>13</v>
      </c>
      <c r="F1131">
        <f>HYPERLINK("https://www.reddit.com/r/cancer/comments/ay4sbw/sleep_caps_for_hairloss/")</f>
        <v/>
      </c>
      <c r="G1131" t="inlineStr">
        <is>
          <t>2019-03-06 14:16:44</t>
        </is>
      </c>
      <c r="H1131" t="inlineStr"/>
    </row>
    <row r="1132">
      <c r="A1132" t="inlineStr">
        <is>
          <t>ay54ag</t>
        </is>
      </c>
      <c r="B1132" t="inlineStr">
        <is>
          <t>Dad diagnosed with prostate cancer</t>
        </is>
      </c>
      <c r="C1132" t="inlineStr">
        <is>
          <t xml:space="preserve">My dad was diagnosed today with prostate cancer. He had 14 biopsies taken and five were in the 9s and the rest were in the 8s. He is having a bone test next week to see if it has spread. He has pain in his hips so I'm readying myself to accept that news. From my understanding, this is the worst-case scenario for prostate cancer. Can anyone help me understand this news? Thanks. </t>
        </is>
      </c>
      <c r="D1132" t="n">
        <v>3</v>
      </c>
      <c r="E1132" t="n">
        <v>5</v>
      </c>
      <c r="F1132">
        <f>HYPERLINK("https://www.reddit.com/r/cancer/comments/ay54ag/dad_diagnosed_with_prostate_cancer/")</f>
        <v/>
      </c>
      <c r="G1132" t="inlineStr">
        <is>
          <t>2019-03-06 14:45:53</t>
        </is>
      </c>
      <c r="H1132" t="inlineStr"/>
    </row>
    <row r="1133">
      <c r="A1133" t="inlineStr">
        <is>
          <t>ay5b60</t>
        </is>
      </c>
      <c r="B1133" t="inlineStr">
        <is>
          <t>Fever related to prostate cancer?</t>
        </is>
      </c>
      <c r="C1133" t="inlineStr">
        <is>
          <t>Hi I was just wondering if fever is a sign that the prostate cancer has already grown meaning it's too late to be cured?
Thanks very much in advance :)</t>
        </is>
      </c>
      <c r="D1133" t="n">
        <v>0</v>
      </c>
      <c r="E1133" t="n">
        <v>2</v>
      </c>
      <c r="F1133">
        <f>HYPERLINK("https://www.reddit.com/r/cancer/comments/ay5b60/fever_related_to_prostate_cancer/")</f>
        <v/>
      </c>
      <c r="G1133" t="inlineStr">
        <is>
          <t>2019-03-06 15:02:34</t>
        </is>
      </c>
      <c r="H1133" t="inlineStr"/>
    </row>
    <row r="1134">
      <c r="A1134" t="inlineStr">
        <is>
          <t>ay5xap</t>
        </is>
      </c>
      <c r="B1134" t="inlineStr">
        <is>
          <t>Today we found out that my dad’s bladder cancer has returned.</t>
        </is>
      </c>
      <c r="C1134" t="inlineStr">
        <is>
          <t xml:space="preserve">Title. My dad first got diagnosed with aggressive bladder cancer last year but luckily it hadn’t reached the muscle so he was able to have it removed. He’s been following it up with immunotherapy but sadly it doesn’t seem to have helped as today he went for a cystoscopy and it’s back. They also told him that his prostate was enlarged and pressing into his bladder - which is a whole other issue in itself.
It’s all a whole lot to process at the moment. We were kinda expecting it, with it being so aggressive initially and that bladder cancer is known for reoccurring, but it’s still a shock. My dad is 85 and I just want the best for him, I want him to just have the best quality of life he can with everything going on. I (25F) am getting married in June and he keeps saying how much he is looking forward to it. It’s amazing that it helps give him something positive to look forward to, but I feel guilty mentioning it to him sometimes because I don’t know how well he will be by then and I don’t want him to feel like there is a pressure to be well enough for it. 
Sorry for this being a bit of a random stream of consciousness, I just had to get it off my mind somewhere. Thanks for listening. :) </t>
        </is>
      </c>
      <c r="D1134" t="n">
        <v>5</v>
      </c>
      <c r="E1134" t="n">
        <v>3</v>
      </c>
      <c r="F1134">
        <f>HYPERLINK("https://www.reddit.com/r/cancer/comments/ay5xap/today_we_found_out_that_my_dads_bladder_cancer/")</f>
        <v/>
      </c>
      <c r="G1134" t="inlineStr">
        <is>
          <t>2019-03-06 15:59:18</t>
        </is>
      </c>
      <c r="H1134" t="inlineStr"/>
    </row>
    <row r="1135">
      <c r="A1135" t="inlineStr">
        <is>
          <t>ay6kpj</t>
        </is>
      </c>
      <c r="B1135" t="inlineStr">
        <is>
          <t>I'm scared</t>
        </is>
      </c>
      <c r="C1135" t="inlineStr">
        <is>
          <t xml:space="preserve">My dad is in his 70s, and lives in Spain with my Mum. 
He was admitted to hospital a couple of weeks ago because he was having trouble swallowing.. The doctors told him he had a hiatus hernia but after a few days they told him the meds weren't helping it and so my mum took him to a private hospital, where they had thousands of euros worth of tests and the doctors found tumors on the inside and outside of his esophagus. It was thought at first he'd have to go on feeding tubes for the rest of his life but he's now had a stent fitted to brace his throat so he can eat. Only soup and porridge at the moment but food nonetheless.
He was lying, withered and depressed, in a Spanish hospital for another week, with no internet or entertainment, waiting for results on whether they was benign or not.. Today we found out it's terminal and untreatable. The stent has held for long enough that he was allowed to return home with my mum.
I flew to Spain this evening to see him and take care of my mother, who's now a complete wreck.
About an hour ago I saw my dad for the first time since Christmas, when he was fully healthy and living his retirement dream on the Costa del Sol, and it has completely fucked me up. 
My whole life he was always big, strong, knew what to do in every situation. He was a giant and, especially as a kid, always seemed invincible! Now he can barely speak, barely stand and looks completely hollow. It's like he's shut down and lost all hope.
He's lost 15kg in the last week and a half.
I got to hang out with him for 5 minutes before he got tired and had to go to bed. I've been crying ever since.
I'm so scared. Despite the fact it won't keep him alive he still wants to go through chemotherapy in the hopes it'll extend his life enough to go to my sister's wedding in May.
HOW THE FUCK DO I DEAL WITH IT? 
What kind of timescales are we looking at?
Is there any chance he can make it to May? And if not, is it even worth him going through the agony of chemotherapy?
What the fuck do I do? I love my Dad so much!
</t>
        </is>
      </c>
      <c r="D1135" t="n">
        <v>48</v>
      </c>
      <c r="E1135" t="n">
        <v>10</v>
      </c>
      <c r="F1135">
        <f>HYPERLINK("https://www.reddit.com/r/cancer/comments/ay6kpj/im_scared/")</f>
        <v/>
      </c>
      <c r="G1135" t="inlineStr">
        <is>
          <t>2019-03-06 17:03:32</t>
        </is>
      </c>
      <c r="H1135" t="inlineStr"/>
    </row>
    <row r="1136">
      <c r="A1136" t="inlineStr">
        <is>
          <t>ay6v1t</t>
        </is>
      </c>
      <c r="B1136" t="inlineStr">
        <is>
          <t>Please Advice; Am Panicking</t>
        </is>
      </c>
      <c r="C1136" t="inlineStr">
        <is>
          <t xml:space="preserve">I am 26 years old; overall good health, but do have colitis issues from time to time ; and bloating .
My entire side of my dads family died before 80 mostly due to colon cancer.. granted some drank some smoke some at a little meat but they were not unhealthy or lazy by any means...
My moms side 5 people or 6 lost to cancer and heart disease ...
Thing is me I am in mid 20 s with colitis and EXTREME anxiety and worried that I’m next!! 
This is a serious post... after reading the news on Alex Trebek today got scared worse
My dad also has lymphoma </t>
        </is>
      </c>
      <c r="D1136" t="n">
        <v>2</v>
      </c>
      <c r="E1136" t="n">
        <v>3</v>
      </c>
      <c r="F1136">
        <f>HYPERLINK("https://www.reddit.com/r/cancer/comments/ay6v1t/please_advice_am_panicking/")</f>
        <v/>
      </c>
      <c r="G1136" t="inlineStr">
        <is>
          <t>2019-03-06 17:33:09</t>
        </is>
      </c>
      <c r="H1136" t="inlineStr"/>
    </row>
    <row r="1137">
      <c r="A1137" t="inlineStr">
        <is>
          <t>ay6wf9</t>
        </is>
      </c>
      <c r="B1137" t="inlineStr">
        <is>
          <t>Radiation Therapy and Alcohol</t>
        </is>
      </c>
      <c r="C1137" t="inlineStr">
        <is>
          <t>So, this Friday I start a 20 session radiation therapy cycle. It's radiation over the abdomen for a recurrence of testicular seminoma, and from what I understand it is a relatively small dose compared to the radiation used in other types of more advanced cancers. Wondering if anyone here who has experienced abdominal radiation, or just radiation in general, has observed the effects that alcohol has on how you feel. I'm in my last semester of College and hope to still do a bit of partying rather than let radiation take away my last month before exams. I don't intend on going on wild binge drinks during my treatment or anything, just wondering if I will be able to go out and enjoy a buzz at the bar without feeling especially trash afterward.
&amp;amp;#x200B;</t>
        </is>
      </c>
      <c r="D1137" t="n">
        <v>4</v>
      </c>
      <c r="E1137" t="n">
        <v>4</v>
      </c>
      <c r="F1137">
        <f>HYPERLINK("https://www.reddit.com/r/cancer/comments/ay6wf9/radiation_therapy_and_alcohol/")</f>
        <v/>
      </c>
      <c r="G1137" t="inlineStr">
        <is>
          <t>2019-03-06 17:37:05</t>
        </is>
      </c>
      <c r="H1137" t="inlineStr"/>
    </row>
    <row r="1138">
      <c r="A1138" t="inlineStr">
        <is>
          <t>ay76y4</t>
        </is>
      </c>
      <c r="B1138" t="inlineStr">
        <is>
          <t>Are doctors obligated to tell the truth even its really bad news? Stage 4 Liver Cancer, immunetherapy is shrinking the tumors but ascites/bloating started.</t>
        </is>
      </c>
      <c r="C1138" t="inlineStr">
        <is>
          <t xml:space="preserve">Uncle has stage 4 liver cancer, its been a year. Keytruda seems to be working its thing and managed to shrink most of the tumors. 
We went to the hospital due to stomach bloating for a week, did ultrasound and xray and its confirm there are fluid in the abdomen, but our oncologist doesnt seems to be too worried about it, and explained that the bloating is mostly due the poops that is stuck, mainly the side effects of Oxynorm. Prescribed some laxatives an enema and send us home. 
How bad is it? How long do we have? Would oncologists give us a headstart if things really get bad or would they downplay it?
I'm not prepared at all. 
</t>
        </is>
      </c>
      <c r="D1138" t="n">
        <v>6</v>
      </c>
      <c r="E1138" t="n">
        <v>3</v>
      </c>
      <c r="F1138">
        <f>HYPERLINK("https://www.reddit.com/r/cancer/comments/ay76y4/are_doctors_obligated_to_tell_the_truth_even_its/")</f>
        <v/>
      </c>
      <c r="G1138" t="inlineStr">
        <is>
          <t>2019-03-06 18:06:39</t>
        </is>
      </c>
      <c r="H1138" t="inlineStr"/>
    </row>
    <row r="1139">
      <c r="A1139" t="inlineStr">
        <is>
          <t>ay7iw5</t>
        </is>
      </c>
      <c r="B1139" t="inlineStr">
        <is>
          <t>Bad diagnosis, how do I field questions from friends</t>
        </is>
      </c>
      <c r="C1139" t="inlineStr">
        <is>
          <t xml:space="preserve">My cancer is terminal and will eventually kill me. Until it does I want to live life as best I can and as well as I can - all the video games I want, lots of time with friends and family. While my family knows the nature of my diagnosis my friends are still in the dark. Selfishly I want to enjoy my time with them while I can and there is no way to put the "I'm dying" cat back in the bag once its out. I am planning on telling people when I become unable to move around and live independently like I once did. My problem is that when they see me, they naturally ask me how things are, and I don't know what to say to them which will not give them false hope but which will also not clue them off to the ultra bad news. Right now I avoid talking about it which doesn't look great. Any ideas of how best to gently table those kind of questions? </t>
        </is>
      </c>
      <c r="D1139" t="n">
        <v>13</v>
      </c>
      <c r="E1139" t="n">
        <v>5</v>
      </c>
      <c r="F1139">
        <f>HYPERLINK("https://www.reddit.com/r/cancer/comments/ay7iw5/bad_diagnosis_how_do_i_field_questions_from/")</f>
        <v/>
      </c>
      <c r="G1139" t="inlineStr">
        <is>
          <t>2019-03-06 18:39:39</t>
        </is>
      </c>
      <c r="H1139" t="inlineStr"/>
    </row>
    <row r="1140">
      <c r="A1140" t="inlineStr">
        <is>
          <t>ay7pma</t>
        </is>
      </c>
      <c r="B1140" t="inlineStr">
        <is>
          <t>Making good memories is really hard.</t>
        </is>
      </c>
      <c r="C1140" t="inlineStr">
        <is>
          <t>I just got home from a "vacation" with my family, and holy hell I hope their memories of it are better than my experience of it. I love my husband, I love my children, but right now all I want is to get away from them.
I am dying.  It's only a matter of time and I'm doing everything I can to spend time with them and make good memories but they just aren't interested.  I refuse to guilt or shame them into it because I'm sick, but my kids cared about nothing but the wifi.  
All boys, 17, 10, and 5. They complained about everything we did. Everything.  They just wanted to stay in and stare at screens. Way worse than they've ever been at home. 
I had to fight with them about sunscreen at least once every day. Every. Single. Day. Even once they had sunburns (which they also would not put aloe on) they still fought me on it.  One of them got blisters on his face because he decided not to put sunscreen on the burnt areas because it would sting. 
They teased me about taking selfies all the time, which I only do because none of them take photos of me and I don't want them to regret that when it is too late. 
The pool was too cold, the beach was too hot, snorkeling is too hard, hiking is too tiring. My big strapping 17 year old son complained *too me* that it was all so hard, I have no muscle mass, piss poor lung capacity, and one of my tumors is in my hip putting pressure on the soft tissue and makes my right leg not work very well.  But he can't keep up with me hiking?  The emotional strain of motivating everyone and planning everything and staying positive is so much worse than the physical exhaustion. 
I would be content in the basement if I had a hammock, heat lamp, ocean sounds and a mai tai, dragging them around paradise is the *last* thing I want to do between rounds of chemo for the last months of my life. I am beyond burned out, and our families have been talking about a Disneyland trip. They just want to stick me in a wheelchair and honestly I think assisted suicide sounds more appealing. 
I just hope like hell that their memories are not as miserable as their behavior was.</t>
        </is>
      </c>
      <c r="D1140" t="n">
        <v>24</v>
      </c>
      <c r="E1140" t="n">
        <v>11</v>
      </c>
      <c r="F1140">
        <f>HYPERLINK("https://www.reddit.com/r/cancer/comments/ay7pma/making_good_memories_is_really_hard/")</f>
        <v/>
      </c>
      <c r="G1140" t="inlineStr">
        <is>
          <t>2019-03-06 18:59:03</t>
        </is>
      </c>
      <c r="H1140" t="inlineStr"/>
    </row>
    <row r="1141">
      <c r="A1141" t="inlineStr">
        <is>
          <t>ay8mnf</t>
        </is>
      </c>
      <c r="B1141" t="inlineStr">
        <is>
          <t>My grandma has cancer</t>
        </is>
      </c>
      <c r="C1141" t="inlineStr">
        <is>
          <t xml:space="preserve">My grandma is like a mom to me.. she raised me so this is so hard for me. I’m away at college most of the year and she’s very clear she does NOT want me to take a leave of absence. 
Anyway, my grandma was diagnosed with stage 2E (possibly stage 4 if bone marrow biopsy returns positive) Non-Hodgkins Lymphoma at the beginning of February and starts her first round of chemo on Monday.  I guess my question is how do I support her? How do I support my family? She beat breast cancer before I was born, but she’s giving up... she’s using this as her death sentence and it doesn’t have to be. </t>
        </is>
      </c>
      <c r="D1141" t="n">
        <v>3</v>
      </c>
      <c r="E1141" t="n">
        <v>3</v>
      </c>
      <c r="F1141">
        <f>HYPERLINK("https://www.reddit.com/r/cancer/comments/ay8mnf/my_grandma_has_cancer/")</f>
        <v/>
      </c>
      <c r="G1141" t="inlineStr">
        <is>
          <t>2019-03-06 20:39:31</t>
        </is>
      </c>
      <c r="H1141" t="inlineStr"/>
    </row>
    <row r="1142">
      <c r="A1142" t="inlineStr">
        <is>
          <t>ay8y55</t>
        </is>
      </c>
      <c r="B1142" t="inlineStr">
        <is>
          <t>How do I choose what path to take after graduation?</t>
        </is>
      </c>
      <c r="C1142" t="inlineStr">
        <is>
          <t xml:space="preserve">Mom has secondary bone cancer, it has spread basically everywhere besides the major organs excluding her brain.  She has limited mobility and trouble with pain. Last I heard the latest chemo she was on hadn’t been working and we are waiting on radiation treatment to finish before going back in to discuss or move onto a different plan. At the moment I live 300 miles away and am in my last semester of college. I’m torn between moving home after graduation and staying there for the time being, starting my career 1000 miles away from my mom with my boyfriend, and or any other advice would be lovely. My bf is in no way pressuring me to do anything I don’t want to do and neither is my mom...just would love some advice on what you all think my best course of action is for the future. 
That being said if something went wrong I would leave my position and come home immediately no matter where I was. </t>
        </is>
      </c>
      <c r="D1142" t="n">
        <v>1</v>
      </c>
      <c r="E1142" t="n">
        <v>1</v>
      </c>
      <c r="F1142">
        <f>HYPERLINK("https://www.reddit.com/r/cancer/comments/ay8y55/how_do_i_choose_what_path_to_take_after_graduation/")</f>
        <v/>
      </c>
      <c r="G1142" t="inlineStr">
        <is>
          <t>2019-03-06 21:16:18</t>
        </is>
      </c>
      <c r="H1142" t="inlineStr"/>
    </row>
    <row r="1143">
      <c r="A1143" t="inlineStr">
        <is>
          <t>ay9861</t>
        </is>
      </c>
      <c r="B1143" t="inlineStr">
        <is>
          <t>Has anyone tried pot to help their cancer?</t>
        </is>
      </c>
      <c r="C1143" t="inlineStr">
        <is>
          <t>I'm a breast cancer survivor, still dealing with the aftermath.  I started using pot on a regular basis.  Just a tiny nibble of pot chocolate, not enough to get high, but a little to relieve anxiety.  Anyway, I have friends who swear by pot for helping cancer and they work with cancer patients.  (I'm in CA, so using pot doesn't have the same stigma as other states)
I do know that alternative therapies are such that they cannot be prescribed as they don't work for everyone.  Just some people.  However, in many cases, it was shown to work.  I'm just wondering if anyone has gone this route and can talk about it??
I was reading this article -[https://medium.com/@ericgeisterfer/23-people-who-beat-cancer-using-cannabis-oil-only-c1b285e31d62](https://medium.com/@ericgeisterfer/23-people-who-beat-cancer-using-cannabis-oil-only-c1b285e31d62)</t>
        </is>
      </c>
      <c r="D1143" t="n">
        <v>6</v>
      </c>
      <c r="E1143" t="n">
        <v>16</v>
      </c>
      <c r="F1143">
        <f>HYPERLINK("https://www.reddit.com/r/cancer/comments/ay9861/has_anyone_tried_pot_to_help_their_cancer/")</f>
        <v/>
      </c>
      <c r="G1143" t="inlineStr">
        <is>
          <t>2019-03-06 21:50:48</t>
        </is>
      </c>
      <c r="H1143" t="inlineStr"/>
    </row>
    <row r="1144">
      <c r="A1144" t="inlineStr">
        <is>
          <t>ay9p72</t>
        </is>
      </c>
      <c r="B1144" t="inlineStr">
        <is>
          <t>Prosthetic testical?</t>
        </is>
      </c>
      <c r="C1144" t="inlineStr">
        <is>
          <t>Hi, so I just want a bit of advice, thoughts or your experiences with prosthetic testical implants. 
Did you get them?
 Did you opt not to? 
Do you regret not getting or getting them?
Just things like that.
I've been to have 1 ultrasound, seen 2 consultants
One of them says it is cancer one of them says it's not, so I'm booked to have another ultrasound by a specialist radiographer in the next few days who should be able to tell then and there hopefully, but in the meantime any advice on implants would be great. Prepare for the worst and everything else will be a breeze I say.</t>
        </is>
      </c>
      <c r="D1144" t="n">
        <v>3</v>
      </c>
      <c r="E1144" t="n">
        <v>7</v>
      </c>
      <c r="F1144">
        <f>HYPERLINK("https://www.reddit.com/r/cancer/comments/ay9p72/prosthetic_testical/")</f>
        <v/>
      </c>
      <c r="G1144" t="inlineStr">
        <is>
          <t>2019-03-06 22:50:22</t>
        </is>
      </c>
      <c r="H1144" t="inlineStr"/>
    </row>
    <row r="1145">
      <c r="A1145" t="inlineStr">
        <is>
          <t>ay9r3q</t>
        </is>
      </c>
      <c r="B1145" t="inlineStr">
        <is>
          <t>[Reality check] Can you come back from stage 4 prostate cancer?</t>
        </is>
      </c>
      <c r="C1145" t="inlineStr">
        <is>
          <t xml:space="preserve">Follow up from my previous post: I found out my best friend’s dad had stage 4 prostate cancer when he started chemo (Jan 2019). 
What are the chances of him surviving? He says he feels better but my great uncle said the same last year September and died this morning from “cancer in the spinal cord” (I don’t know the medical term)
Please be direct. I need to know the reality. I need to prepare myself for when my friend goes down and I need to be there for him. </t>
        </is>
      </c>
      <c r="D1145" t="n">
        <v>3</v>
      </c>
      <c r="E1145" t="n">
        <v>8</v>
      </c>
      <c r="F1145">
        <f>HYPERLINK("https://www.reddit.com/r/cancer/comments/ay9r3q/reality_check_can_you_come_back_from_stage_4/")</f>
        <v/>
      </c>
      <c r="G1145" t="inlineStr">
        <is>
          <t>2019-03-06 22:57:36</t>
        </is>
      </c>
      <c r="H1145" t="inlineStr"/>
    </row>
    <row r="1146">
      <c r="A1146" t="inlineStr">
        <is>
          <t>ayagv1</t>
        </is>
      </c>
      <c r="B1146" t="inlineStr">
        <is>
          <t>I have a red, shiny patch on my chest.</t>
        </is>
      </c>
      <c r="C1146" t="inlineStr">
        <is>
          <t>Hey guys. I wanted to preface this post by saying that I have a GP and a skin doctor appointment this upcoming Monday, and I'm not sure if that follows the rules here. 
I'm really skeptical about posting on this sub reddit, however now is a time I'm truly in need of an opinion. I'm 25 years old, Caucasian, athletic, 185, and have almost no medical history whatsoever. However, 3 months ago I have noticed a pinkish-reddish rash on my chest that simply won't go away. It is itchy during physical activity, and seems to be aggravated by sweat. It stays the same size and the same color, bar sometimes scarring if I accidentally itch it. It does not hurt, and it's texture is shiny. I did make an appointment with a GP next week, however I wanted to ask people on this reddit what it can be. Having lived in Australia before I'm wary of skin cancer, so I'm actually worried at the moment.
Pic taken about 10 Mins ago, pardon my chest hair.
https://www.photobox.co.uk/my/photo/full?photo_id=501708076200
Thanks, much appreciated!</t>
        </is>
      </c>
      <c r="D1146" t="n">
        <v>1</v>
      </c>
      <c r="E1146" t="n">
        <v>7</v>
      </c>
      <c r="F1146">
        <f>HYPERLINK("https://www.reddit.com/r/cancer/comments/ayagv1/i_have_a_red_shiny_patch_on_my_chest/")</f>
        <v/>
      </c>
      <c r="G1146" t="inlineStr">
        <is>
          <t>2019-03-07 00:42:33</t>
        </is>
      </c>
      <c r="H1146" t="inlineStr"/>
    </row>
    <row r="1147">
      <c r="A1147" t="inlineStr">
        <is>
          <t>ayalql</t>
        </is>
      </c>
      <c r="B1147" t="inlineStr">
        <is>
          <t>I Hate Cancer</t>
        </is>
      </c>
      <c r="C1147" t="inlineStr">
        <is>
          <t xml:space="preserve">My grandma died of complications after having surgery for lung cancer in 2014. She was my rock. I wasn’t biologically related to her, but she always stood up for me when my stepmother (her biological child) was in the wrong. I went and saw A Fault In Our Stars after she died not knowing what the movie was about. I started screaming and crying in the theater. 
My uncle died of stage 4 stomach cancer in 2015. It caused my Mom (they were twins) so much stress that she ended up in the hospital because she had a stroke. 
My former boss and my fiancés father figure died of stage 4 stomach cancer on Thanksgiving in 2017. We knew and had lots of time, but we still weren’t prepared. 
My grandpa died this past December because of lung cancer. He was diagnosed two months prior to his passing. 
My friend/martial art buddy died a few days ago from liver cancer. He was diagnosed two weeks ago. No one knew and no one had a chance to do anything. He left two young kids behind and my heart is breaking for his family. 
I am so angry at cancer. 
</t>
        </is>
      </c>
      <c r="D1147" t="n">
        <v>19</v>
      </c>
      <c r="E1147" t="n">
        <v>2</v>
      </c>
      <c r="F1147">
        <f>HYPERLINK("https://www.reddit.com/r/cancer/comments/ayalql/i_hate_cancer/")</f>
        <v/>
      </c>
      <c r="G1147" t="inlineStr">
        <is>
          <t>2019-03-07 01:04:25</t>
        </is>
      </c>
      <c r="H1147" t="inlineStr"/>
    </row>
    <row r="1148">
      <c r="A1148" t="inlineStr">
        <is>
          <t>ayb314</t>
        </is>
      </c>
      <c r="B1148" t="inlineStr">
        <is>
          <t>FUCK CANCER</t>
        </is>
      </c>
      <c r="C1148" t="inlineStr">
        <is>
          <t>You took my paternal grandma before I was born. You took my maternal great grandma when I was 5. You took my maternal grandpa when I was 18. You're killing my maternal uncle. And now you're killing Alex Trebek.
Fuck you, fuck you, fuck you. Fuck you cancer. If my doctor's suspicions are right and my abnormal cells progress into precancer, I'm gonna kick your fucking ass so hard. You're a bully and I won't tolerate it.
I'm so fucking mad! My university is finding a (close) cure for the same kind of cancer my uncle has, but I bet they won't start the FDA patient trials in time...</t>
        </is>
      </c>
      <c r="D1148" t="n">
        <v>69</v>
      </c>
      <c r="E1148" t="n">
        <v>8</v>
      </c>
      <c r="F1148">
        <f>HYPERLINK("https://www.reddit.com/r/cancer/comments/ayb314/fuck_cancer/")</f>
        <v/>
      </c>
      <c r="G1148" t="inlineStr">
        <is>
          <t>2019-03-07 02:13:51</t>
        </is>
      </c>
      <c r="H1148" t="inlineStr"/>
    </row>
    <row r="1149">
      <c r="A1149" t="inlineStr">
        <is>
          <t>aycokh</t>
        </is>
      </c>
      <c r="B1149" t="inlineStr">
        <is>
          <t>Alternative therapies that wont make things worse</t>
        </is>
      </c>
      <c r="C1149" t="inlineStr">
        <is>
          <t>Disclaimer:  I alrwady know alternative medicine isn't very effective.
My mom, who has stage 4 lung cancer, wants me to look into alternative therapies she can try during chemo.
I want to help as much as I can, even if it just means something that might keep her morale up a bit.  Ive tried researching alternative medicine in my area and havent come up with much, tbh.  I know theyre not really going to help much but maybe a placebo effect that doesnt make things worse, would be nice.  Thanks everyone.</t>
        </is>
      </c>
      <c r="D1149" t="n">
        <v>12</v>
      </c>
      <c r="E1149" t="n">
        <v>14</v>
      </c>
      <c r="F1149">
        <f>HYPERLINK("https://www.reddit.com/r/cancer/comments/aycokh/alternative_therapies_that_wont_make_things_worse/")</f>
        <v/>
      </c>
      <c r="G1149" t="inlineStr">
        <is>
          <t>2019-03-07 05:36:05</t>
        </is>
      </c>
      <c r="H1149" t="inlineStr"/>
    </row>
    <row r="1150">
      <c r="A1150" t="inlineStr">
        <is>
          <t>aydzef</t>
        </is>
      </c>
      <c r="B1150" t="inlineStr">
        <is>
          <t>Advice on caring for cancer patient</t>
        </is>
      </c>
      <c r="C1150" t="inlineStr">
        <is>
          <t xml:space="preserve">Hello, I have some questions on how to navigate post-chemo. This is my first time taking care of a cancer patient so I’m pretty lost here.
My mom just recently diagnosed with stage IV NSCLC adenocarcinoma. They found a 8cm mass in her left lung and small nodes in the right. It has spread to her liver and kidney. The doc said the only option was chemotherapy as immunotherapy is still not available in my country and targeted therapy is not possible for her. 
She initially refused chemo as she’s scared of the side effects (mainly hair loss and pain), but we have convinced her to try and see how it goes. I have some questions I plan to ask the doc on her next appointment, but I’d like to know about your experience here and possibly come up with more questions later. We don’t have much money and have exhausted my mom’s insurance for initial tests so I plan to make the most out of her consultation time with the doc. 
- What should we prepare for in terms of tools to help her post-chemo? Doctor advised to get an air purifier. Anything else? 
- I read online that post-chemo bodily fluid is dangerous and we should disinfect every surface she touches on and wash her clothes separately. Does it still hold true? Would she need a separate eating utensils?
- I live in a shared house and share a bathroom, kitchen, and common area. Would this pose a problem? My housemates understandably have concerns of contamination. 
- My mom lives in a different country where the air pollution is worse. We also have a lot of people coming and going as we run a business on the ground floor. Would having contact with people be a risk for her and others? 
I would appreciate any input at all, honestly. We are trying to prepare as best as we can for what’s to come. Thank you all. </t>
        </is>
      </c>
      <c r="D1150" t="n">
        <v>11</v>
      </c>
      <c r="E1150" t="n">
        <v>12</v>
      </c>
      <c r="F1150">
        <f>HYPERLINK("https://www.reddit.com/r/cancer/comments/aydzef/advice_on_caring_for_cancer_patient/")</f>
        <v/>
      </c>
      <c r="G1150" t="inlineStr">
        <is>
          <t>2019-03-07 07:45:55</t>
        </is>
      </c>
      <c r="H1150" t="inlineStr"/>
    </row>
    <row r="1151">
      <c r="A1151" t="inlineStr">
        <is>
          <t>ayepml</t>
        </is>
      </c>
      <c r="B1151" t="inlineStr">
        <is>
          <t>Get well soon, Alex Trebek</t>
        </is>
      </c>
      <c r="C1151" t="inlineStr">
        <is>
          <t>Stage 4 pancreatic cancer alarms me lots!</t>
        </is>
      </c>
      <c r="D1151" t="n">
        <v>66</v>
      </c>
      <c r="E1151" t="n">
        <v>18</v>
      </c>
      <c r="F1151">
        <f>HYPERLINK("https://www.reddit.com/r/cancer/comments/ayepml/get_well_soon_alex_trebek/")</f>
        <v/>
      </c>
      <c r="G1151" t="inlineStr">
        <is>
          <t>2019-03-07 08:49:48</t>
        </is>
      </c>
      <c r="H1151" t="inlineStr"/>
    </row>
    <row r="1152">
      <c r="A1152" t="inlineStr">
        <is>
          <t>ayfjm9</t>
        </is>
      </c>
      <c r="B1152" t="inlineStr">
        <is>
          <t>Passing away in the digital world</t>
        </is>
      </c>
      <c r="C1152" t="inlineStr">
        <is>
          <t>My wife is nearing the end of her battle with breast cancer that spread and took up residence in her brain. We're 29 year olds with a 2 year old kid.  
I had a thought the other day that I should start collecting logins and passwords for the countless online accounts that we make in today's digital world. I also thought about starting to archive photos from all the different platforms we're on.  
Does anyone have experience with this? Or a reference or possibly a checklist of things to collect?</t>
        </is>
      </c>
      <c r="D1152" t="n">
        <v>25</v>
      </c>
      <c r="E1152" t="n">
        <v>14</v>
      </c>
      <c r="F1152">
        <f>HYPERLINK("https://www.reddit.com/r/cancer/comments/ayfjm9/passing_away_in_the_digital_world/")</f>
        <v/>
      </c>
      <c r="G1152" t="inlineStr">
        <is>
          <t>2019-03-07 09:59:29</t>
        </is>
      </c>
      <c r="H1152" t="inlineStr"/>
    </row>
    <row r="1153">
      <c r="A1153" t="inlineStr">
        <is>
          <t>ayfplv</t>
        </is>
      </c>
      <c r="B1153" t="inlineStr">
        <is>
          <t>Any home remedies for facial swelling?</t>
        </is>
      </c>
      <c r="C1153" t="inlineStr">
        <is>
          <t xml:space="preserve">My mother stopped having radiation therapy at the end of December for neck cancer, and throughout she had pretty bad facial swelling. Nearly 2 months after the treatment she is still having the same problem but it's gotten more severe. She went to the ER for it but they didn't provide any medications to help with the swelling and her Primary Care doctor, radiologist, and oncologists haven't prescribed any medications yet to help with the swelling. We're not sure if she has Lymphedema which could be the cause, or if it's from the past couple of scans she's had that would spark the swelling back up. I was wondering if anyone you know has experienced the same symptoms and if there is any home remedies that would help (she's currently using aloe and cold packs), or a medication that we could suggest to her doctors to prescribe that would help with the swelling. </t>
        </is>
      </c>
      <c r="D1153" t="n">
        <v>1</v>
      </c>
      <c r="E1153" t="n">
        <v>3</v>
      </c>
      <c r="F1153">
        <f>HYPERLINK("https://www.reddit.com/r/cancer/comments/ayfplv/any_home_remedies_for_facial_swelling/")</f>
        <v/>
      </c>
      <c r="G1153" t="inlineStr">
        <is>
          <t>2019-03-07 10:13:26</t>
        </is>
      </c>
      <c r="H1153" t="inlineStr"/>
    </row>
    <row r="1154">
      <c r="A1154" t="inlineStr">
        <is>
          <t>aygvi2</t>
        </is>
      </c>
      <c r="B1154" t="inlineStr">
        <is>
          <t>At what percentage is chemotherapy used to treat cancer relative to radiotherapy and surgery in the US?</t>
        </is>
      </c>
      <c r="C1154" t="inlineStr">
        <is>
          <t>Title says it all.</t>
        </is>
      </c>
      <c r="D1154" t="n">
        <v>0</v>
      </c>
      <c r="E1154" t="n">
        <v>2</v>
      </c>
      <c r="F1154">
        <f>HYPERLINK("https://www.reddit.com/r/cancer/comments/aygvi2/at_what_percentage_is_chemotherapy_used_to_treat/")</f>
        <v/>
      </c>
      <c r="G1154" t="inlineStr">
        <is>
          <t>2019-03-07 11:53:28</t>
        </is>
      </c>
      <c r="H1154" t="inlineStr"/>
    </row>
    <row r="1155">
      <c r="A1155" t="inlineStr">
        <is>
          <t>ayh6dz</t>
        </is>
      </c>
      <c r="B1155" t="inlineStr">
        <is>
          <t>What to get a cancer patient?</t>
        </is>
      </c>
      <c r="C1155" t="inlineStr">
        <is>
          <t xml:space="preserve">Hi guys,so recently my boyfriend has been undergoing radiotherapy and I was wondering if there’s any little stuff I can get him to help I’ve thought about hand cream from the dryness but I’m not too sure what else would be useful.Any suggestions would be great :) </t>
        </is>
      </c>
      <c r="D1155" t="n">
        <v>4</v>
      </c>
      <c r="E1155" t="n">
        <v>9</v>
      </c>
      <c r="F1155">
        <f>HYPERLINK("https://www.reddit.com/r/cancer/comments/ayh6dz/what_to_get_a_cancer_patient/")</f>
        <v/>
      </c>
      <c r="G1155" t="inlineStr">
        <is>
          <t>2019-03-07 12:19:39</t>
        </is>
      </c>
      <c r="H1155" t="inlineStr"/>
    </row>
    <row r="1156">
      <c r="A1156" t="inlineStr">
        <is>
          <t>ayhdx4</t>
        </is>
      </c>
      <c r="B1156" t="inlineStr">
        <is>
          <t>Very anxious lately</t>
        </is>
      </c>
      <c r="C1156" t="inlineStr">
        <is>
          <t>I’ve been very anxious lately. I’m not sure if I’m falling into a depression or what. I’m 24 years old. I have a whole life ahead of me still, and yet, cancer has decided to choose me. I was diagnosed with stage 4 (3c) testicular cancer in December. So far, I’ve been through four rounds of intense chemo and have had an orchiectomy. I have RPLND surgery in a month. Idk if it’s just anxiety or what. Idk if the chemo fucked with my head or if I’m really losing it. Sometimes the Ativan doesn’t even help. I just want my life back. It’s like everything was finally falling into place and now it’s been on hold. I can’t work, I can’t finish my masters. I feel so trapped.</t>
        </is>
      </c>
      <c r="D1156" t="n">
        <v>6</v>
      </c>
      <c r="E1156" t="n">
        <v>5</v>
      </c>
      <c r="F1156">
        <f>HYPERLINK("https://www.reddit.com/r/cancer/comments/ayhdx4/very_anxious_lately/")</f>
        <v/>
      </c>
      <c r="G1156" t="inlineStr">
        <is>
          <t>2019-03-07 12:37:57</t>
        </is>
      </c>
      <c r="H1156" t="inlineStr"/>
    </row>
    <row r="1157">
      <c r="A1157" t="inlineStr">
        <is>
          <t>ayhhxs</t>
        </is>
      </c>
      <c r="B1157" t="inlineStr">
        <is>
          <t>Preparing for end of life</t>
        </is>
      </c>
      <c r="C1157" t="inlineStr">
        <is>
          <t>A very close family member was diagnosed with stage 4 kidney cancer about 1.5 years ago. It came out of the blue. No symptoms, just a routine blood examination made his doctor worried.
Fast forward a year and a half later, things aren't looking good. The cancer has spread to other parts of the body. He can't keep anything down. Water included. 
We were prepared to send him to a cancer treatment center but that appears to now be off the table. He wants to spend whatever time he has left around family and friends.
Our world has been rocked and I think it's just now hitting me that this is the end. I've dealt with cancer before. My mother fought off stage 2 breast cancer. I lost a friend to cancer a few years ago yet it all seems so new and raw.
Just venting I guess. Cancer really fucking sucks. Never take any moment in life for granted. I guess my question is, how do you prepare for end of life? What can we do to make this process any easier (if that is at all possible)</t>
        </is>
      </c>
      <c r="D1157" t="n">
        <v>1</v>
      </c>
      <c r="E1157" t="n">
        <v>0</v>
      </c>
      <c r="F1157">
        <f>HYPERLINK("https://www.reddit.com/r/cancer/comments/ayhhxs/preparing_for_end_of_life/")</f>
        <v/>
      </c>
      <c r="G1157" t="inlineStr">
        <is>
          <t>2019-03-07 12:47:50</t>
        </is>
      </c>
      <c r="H1157" t="inlineStr"/>
    </row>
    <row r="1158">
      <c r="A1158" t="inlineStr">
        <is>
          <t>ayihp8</t>
        </is>
      </c>
      <c r="B1158" t="inlineStr">
        <is>
          <t>Man... it's so annoying it takes almost a month to check you if your cancer has spread...</t>
        </is>
      </c>
      <c r="C1158" t="inlineStr">
        <is>
          <t>Is that really long just to get PET scan? Already worry because of weak feeling,constant thirst and body ache</t>
        </is>
      </c>
      <c r="D1158" t="n">
        <v>2</v>
      </c>
      <c r="E1158" t="n">
        <v>11</v>
      </c>
      <c r="F1158">
        <f>HYPERLINK("https://www.reddit.com/r/cancer/comments/ayihp8/man_its_so_annoying_it_takes_almost_a_month_to/")</f>
        <v/>
      </c>
      <c r="G1158" t="inlineStr">
        <is>
          <t>2019-03-07 14:16:22</t>
        </is>
      </c>
      <c r="H1158" t="inlineStr"/>
    </row>
    <row r="1159">
      <c r="A1159" t="inlineStr">
        <is>
          <t>ayiovw</t>
        </is>
      </c>
      <c r="B1159" t="inlineStr">
        <is>
          <t>Survivor having a mild freak out</t>
        </is>
      </c>
      <c r="C1159" t="inlineStr">
        <is>
          <t xml:space="preserve">I was diagnosed with stage 2 colon cancer end of 2012. Had surgery, did the chemo, put myself back together. Got an all clear at three years. 
Now I’ve been having bathroom issues for a while. Honestly the plumbing has always been pretty sensitive, but it feels like it is worse. I have been doing my best to ignore it. Finally decided today that denial isn’t going to help, go get a colonoscopy. Just engaging that fear has my anxiety going through the roof. You know how after you find a bug on your leg suddenly you feel itching everywhere? I can feel little aches and pains throughout my abdomen. 
I just need somebody to tell me they’ve been there. 
My normal tools to deal with anxiety involve imagining the worst case scenario. Not so useful in this case. 
You people know that while I have said with bravado that I’ll fight it if it ever comes back, the actual thought of it is terrifying. </t>
        </is>
      </c>
      <c r="D1159" t="n">
        <v>2</v>
      </c>
      <c r="E1159" t="n">
        <v>0</v>
      </c>
      <c r="F1159">
        <f>HYPERLINK("https://www.reddit.com/r/cancer/comments/ayiovw/survivor_having_a_mild_freak_out/")</f>
        <v/>
      </c>
      <c r="G1159" t="inlineStr">
        <is>
          <t>2019-03-07 14:34:39</t>
        </is>
      </c>
      <c r="H1159" t="inlineStr"/>
    </row>
    <row r="1160">
      <c r="A1160" t="inlineStr">
        <is>
          <t>ayjfln</t>
        </is>
      </c>
      <c r="B1160" t="inlineStr">
        <is>
          <t>I have 3 cm tumor right above my collarbone, probably cancer. Looking to talk to or hear from someone with a similar experience that can calm me down.</t>
        </is>
      </c>
      <c r="C1160" t="inlineStr">
        <is>
          <t xml:space="preserve">Alright, so this past week there has been a small bump at the very bottom of my throat/above collarbone. I waited about 7 days before getting it looked at and had an ultrasound/CT scan done yesterday. Results came back and it seems this tumor has some "legs" under it. 
The CT scan also showed 2 more swollen lymph nodes, one in my chest and one kinda near the middle of my neck. Besides the pain I was experiencing near the tumor, I have felt great. No signs of anything else and only this bump has shown up so far. 
My doctor is pretty sure it is cancer but isn't 100% percent and wants to send me to a better hospital(Vanderbilt) to have another CT scan on the rest of my chest and biopsy done on the tumor. 
I guess my question is: Just how worried should I be? I have only been feeling these effects from the tumor for around 6-8 days now and not much else. I am confident in the doctors/surgeons in getting the one tumor I have removed. I guess I am just worried about how fast cancer spreads and how likely is it to comeback. I haven't been officially diagnosed with anything besides that this tumor is most likely cancerous. 
Sorry if this is the wrong place to post but I just found out a few hours ago and I am pretty scared. I'm only 21 years old and really hoping to hear some encouraging things and advice on what to expect. I'm sorry for the amount of text and thank you for reading. </t>
        </is>
      </c>
      <c r="D1160" t="n">
        <v>2</v>
      </c>
      <c r="E1160" t="n">
        <v>6</v>
      </c>
      <c r="F1160">
        <f>HYPERLINK("https://www.reddit.com/r/cancer/comments/ayjfln/i_have_3_cm_tumor_right_above_my_collarbone/")</f>
        <v/>
      </c>
      <c r="G1160" t="inlineStr">
        <is>
          <t>2019-03-07 15:44:05</t>
        </is>
      </c>
      <c r="H1160" t="inlineStr"/>
    </row>
    <row r="1161">
      <c r="A1161" t="inlineStr">
        <is>
          <t>ayjftl</t>
        </is>
      </c>
      <c r="B1161" t="inlineStr">
        <is>
          <t>Struggling with loss of identity during treatment</t>
        </is>
      </c>
      <c r="C1161" t="inlineStr">
        <is>
          <t>Hi all, long time lurker here.
&amp;amp;#x200B;
I'm 26F with stage IIIB triple negative breast cancer. I have eight weeks of chemo left before I have a double mastectomy, followed by radiation. 
&amp;amp;#x200B;
I was depressed off and on before this, and have been on anti-depressants and anti-anxiety meds for a few years now. But nothing seems to help lately. I've tried meditation, listening to podcasts, reading, and light activity around the house. All things I used to enjoy.
&amp;amp;#x200B;
It feels as if my entire identity is cancer. I have no hair, I'm losing my eyebrows and eyelashes finally. I don't feel like myself or look like myself. I get dressed, look in the mirror and never recognize the face looking back. The only conversations I have are people asking me about how I'm feeling. Normally, I say I'm feeling fine but I don't mean it. 
&amp;amp;#x200B;
I put my life on hold to push through this. I have nothing to do to fill my time and seem like I'm struggling more and more with each passing day. I have a great support system but I just can't seem to feel joy anymore. I feel useless and upset pretty consistently. Waking up every morning to the same feelings is such a struggle.
&amp;amp;#x200B;
&amp;amp;#x200B;</t>
        </is>
      </c>
      <c r="D1161" t="n">
        <v>11</v>
      </c>
      <c r="E1161" t="n">
        <v>15</v>
      </c>
      <c r="F1161">
        <f>HYPERLINK("https://www.reddit.com/r/cancer/comments/ayjftl/struggling_with_loss_of_identity_during_treatment/")</f>
        <v/>
      </c>
      <c r="G1161" t="inlineStr">
        <is>
          <t>2019-03-07 15:44:37</t>
        </is>
      </c>
      <c r="H1161" t="inlineStr"/>
    </row>
    <row r="1162">
      <c r="A1162" t="inlineStr">
        <is>
          <t>ayk0i4</t>
        </is>
      </c>
      <c r="B1162" t="inlineStr">
        <is>
          <t>Hey cancer, leave Alex Trebek alone.</t>
        </is>
      </c>
      <c r="C1162" t="inlineStr">
        <is>
          <t>He still has 3 more seasons of Jeopardy left on his contract. Let him be.</t>
        </is>
      </c>
      <c r="D1162" t="n">
        <v>5</v>
      </c>
      <c r="E1162" t="n">
        <v>4</v>
      </c>
      <c r="F1162">
        <f>HYPERLINK("https://www.reddit.com/r/cancer/comments/ayk0i4/hey_cancer_leave_alex_trebek_alone/")</f>
        <v/>
      </c>
      <c r="G1162" t="inlineStr">
        <is>
          <t>2019-03-07 16:40:46</t>
        </is>
      </c>
      <c r="H1162" t="inlineStr"/>
    </row>
    <row r="1163">
      <c r="A1163" t="inlineStr">
        <is>
          <t>ayk0nr</t>
        </is>
      </c>
      <c r="B1163" t="inlineStr">
        <is>
          <t>The Official Complaint Department is open</t>
        </is>
      </c>
      <c r="C1163" t="inlineStr">
        <is>
          <t xml:space="preserve">Is Cancer really f’ing up your day? Is your insurance company impossible to deal with? Is your body falling apart due in no reasonable part to your life choices? As someone diagnosed with a degenerative disease, that’s certainly how I feel sometimes. 
Whatever your complaint of the day, The Official (Cancer) Complaint Department is here to hear you out. Because sometimes we just need someone to know how wrong things are.
Just write down your complaint and mail it to:
The Official Cancer Complaint Department
PO Box 2951
Monument, CO 80132
*Disclaimer: This department is available to anyone diagnosed with Cancer, and the friends and family of people diagnosed with Cancer. Should you choose to share personal information, the TOCD will not disclose your full name or address to any 3rd party. Furthermore, we make no guarantee that any action at all will be taken on your behalf but you can complain about that in your letter.  </t>
        </is>
      </c>
      <c r="D1163" t="n">
        <v>82</v>
      </c>
      <c r="E1163" t="n">
        <v>22</v>
      </c>
      <c r="F1163">
        <f>HYPERLINK("https://www.reddit.com/r/cancer/comments/ayk0nr/the_official_complaint_department_is_open/")</f>
        <v/>
      </c>
      <c r="G1163" t="inlineStr">
        <is>
          <t>2019-03-07 16:41:13</t>
        </is>
      </c>
      <c r="H1163" t="inlineStr"/>
    </row>
    <row r="1164">
      <c r="A1164" t="inlineStr">
        <is>
          <t>ayl8pc</t>
        </is>
      </c>
      <c r="B1164" t="inlineStr">
        <is>
          <t>How could they have missed it?</t>
        </is>
      </c>
      <c r="C1164" t="inlineStr">
        <is>
          <t>Long story short, my grandma had a cancerous tumor removed that was causing an intestinal blockage. I was told that the size of the tumor meant it had been growing for years. We live in Canada and she has been taking full advantage of seeing every doctor she's been told to see, yet I'm told this tumor took several years to grow. She had a close call a couple years ago with an infection gone haywire and was hospitalized for several weeks. And they all missed it. 
I just don't get how she could have had a cancer for years and it going undetected despite receiving world class care.</t>
        </is>
      </c>
      <c r="D1164" t="n">
        <v>5</v>
      </c>
      <c r="E1164" t="n">
        <v>3</v>
      </c>
      <c r="F1164">
        <f>HYPERLINK("https://www.reddit.com/r/cancer/comments/ayl8pc/how_could_they_have_missed_it/")</f>
        <v/>
      </c>
      <c r="G1164" t="inlineStr">
        <is>
          <t>2019-03-07 18:51:18</t>
        </is>
      </c>
      <c r="H1164" t="inlineStr"/>
    </row>
    <row r="1165">
      <c r="A1165" t="inlineStr">
        <is>
          <t>aymd34</t>
        </is>
      </c>
      <c r="B1165" t="inlineStr">
        <is>
          <t>Tender and slight pain around groin area 6 months after testicle removal</t>
        </is>
      </c>
      <c r="C1165" t="inlineStr">
        <is>
          <t xml:space="preserve">Hi all,
I had my right testicle removed 6 months ago after I got diagnosed with testicular cancer. I had no chemo or radiotherapy after it as they confirmed it was contained within the testicle.
I’m however starting to have this “pain” in my groin area around the right side (basically where the scar is). I don’t see any lumps in my lymph node and last week I saw the oncologist and he found no lump in my other testicle or my lymph node. Wondering if it could come on suddenly OR I could just be worrying and perceiving there is more than usual pain. It’s always been slightly tender in that area (scar area) since I had surgery.
Any advice?
Thanks </t>
        </is>
      </c>
      <c r="D1165" t="n">
        <v>4</v>
      </c>
      <c r="E1165" t="n">
        <v>4</v>
      </c>
      <c r="F1165">
        <f>HYPERLINK("https://www.reddit.com/r/cancer/comments/aymd34/tender_and_slight_pain_around_groin_area_6_months/")</f>
        <v/>
      </c>
      <c r="G1165" t="inlineStr">
        <is>
          <t>2019-03-07 20:59:24</t>
        </is>
      </c>
      <c r="H1165" t="inlineStr"/>
    </row>
    <row r="1166">
      <c r="A1166" t="inlineStr">
        <is>
          <t>aymnt6</t>
        </is>
      </c>
      <c r="B1166" t="inlineStr">
        <is>
          <t>Rapact 5 mg |Everolimus |Blueberry pharmaceuticals</t>
        </is>
      </c>
      <c r="C1166" t="inlineStr">
        <is>
          <t xml:space="preserve">[**Rapact 5 mg**](https://blueberrypharma.com/rapact-5-mg.php) involved in the treatment of some neuroendocrine tumors like pancreatic, gastrointestinal or lung cancer @ Blueberry pharmaceuticals </t>
        </is>
      </c>
      <c r="D1166" t="n">
        <v>0</v>
      </c>
      <c r="E1166" t="n">
        <v>0</v>
      </c>
      <c r="F1166">
        <f>HYPERLINK("https://www.reddit.com/r/cancer/comments/aymnt6/rapact_5_mg_everolimus_blueberry_pharmaceuticals/")</f>
        <v/>
      </c>
      <c r="G1166" t="inlineStr">
        <is>
          <t>2019-03-07 21:34:21</t>
        </is>
      </c>
      <c r="H1166" t="inlineStr"/>
    </row>
    <row r="1167">
      <c r="A1167" t="inlineStr">
        <is>
          <t>aymo0b</t>
        </is>
      </c>
      <c r="B1167" t="inlineStr">
        <is>
          <t>Should I get a second opinion?</t>
        </is>
      </c>
      <c r="C1167" t="inlineStr">
        <is>
          <t>I ( 26 F) recently went to the ER for appendicitis and they found a mass that was 2.3 in diameter at the base of the appendix. My appendix ruptured but they refused to drain the "cyst" because they are unsure if it's a cyst or mucosal carcinoma. They want me to wait 4-8 weeks to even get it looked at. I'm on antibiotics for the infection from the rupture but I'm super nervous about waiting. I have a little one that I have to make sure I'm here for and I dont know how aggressive this type of cancer can be if that's what it is. My doctor wants me to wait a month for a colonoscopy but I'm worried it will get worse by then. My pain has been getting worse for a while now. 
They didn't want want to operate because they were worried it'd cause more damage than good. 
Sorry for the errors on the phone and short on time. Thank you. :)</t>
        </is>
      </c>
      <c r="D1167" t="n">
        <v>1</v>
      </c>
      <c r="E1167" t="n">
        <v>3</v>
      </c>
      <c r="F1167">
        <f>HYPERLINK("https://www.reddit.com/r/cancer/comments/aymo0b/should_i_get_a_second_opinion/")</f>
        <v/>
      </c>
      <c r="G1167" t="inlineStr">
        <is>
          <t>2019-03-07 21:35:03</t>
        </is>
      </c>
      <c r="H1167" t="inlineStr"/>
    </row>
    <row r="1168">
      <c r="A1168" t="inlineStr">
        <is>
          <t>aymsm1</t>
        </is>
      </c>
      <c r="B1168" t="inlineStr">
        <is>
          <t>The Most Important Diversity &amp;amp; Inclusion Issue No One Talks About</t>
        </is>
      </c>
      <c r="C1168" t="inlineStr">
        <is>
          <t>Healthcare Discrimination &amp;amp; Inequity is deadly. Communities of color are severely under represented in clinical trial and studies.  cancer studies and trials are notoriously non diverse. This kills. Time to change this narrative.</t>
        </is>
      </c>
      <c r="D1168" t="n">
        <v>0</v>
      </c>
      <c r="E1168" t="n">
        <v>0</v>
      </c>
      <c r="F1168">
        <f>HYPERLINK("https://www.reddit.com/r/cancer/comments/aymsm1/the_most_important_diversity_inclusion_issue_no/")</f>
        <v/>
      </c>
      <c r="G1168" t="inlineStr">
        <is>
          <t>2019-03-07 21:51:05</t>
        </is>
      </c>
      <c r="H1168" t="inlineStr"/>
    </row>
    <row r="1169">
      <c r="A1169" t="inlineStr">
        <is>
          <t>aymxe1</t>
        </is>
      </c>
      <c r="B1169" t="inlineStr">
        <is>
          <t>DAE Re-watch 50/50 &amp;amp; go through an emotional rollercoaster?</t>
        </is>
      </c>
      <c r="C1169" t="inlineStr">
        <is>
          <t xml:space="preserve">After being diagnosed this is in my top 10 fav movies now. One second I’m crying and the other second I’m laughing at something Seth Roger said. 
Had a rough day today &amp;amp; this picked me up thought I share. Keep fighting &amp;amp; fuck cancer! </t>
        </is>
      </c>
      <c r="D1169" t="n">
        <v>3</v>
      </c>
      <c r="E1169" t="n">
        <v>4</v>
      </c>
      <c r="F1169">
        <f>HYPERLINK("https://www.reddit.com/r/cancer/comments/aymxe1/dae_rewatch_5050_go_through_an_emotional/")</f>
        <v/>
      </c>
      <c r="G1169" t="inlineStr">
        <is>
          <t>2019-03-07 22:08:03</t>
        </is>
      </c>
      <c r="H1169" t="inlineStr"/>
    </row>
    <row r="1170">
      <c r="A1170" t="inlineStr">
        <is>
          <t>ayn62x</t>
        </is>
      </c>
      <c r="B1170" t="inlineStr">
        <is>
          <t>Rapact 10 mg |Everolimus |Blueberry pharmaceuticals</t>
        </is>
      </c>
      <c r="C1170" t="inlineStr">
        <is>
          <t xml:space="preserve">[**Rapact 10 mg**](https://blueberrypharma.com/rapact-10-mg.php) involved in the treatment of some neuroendocrine tumors like pancreatic, gastrointestinal or lung cancer @ Blueberry pharmaceuticals </t>
        </is>
      </c>
      <c r="D1170" t="n">
        <v>1</v>
      </c>
      <c r="E1170" t="n">
        <v>0</v>
      </c>
      <c r="F1170">
        <f>HYPERLINK("https://www.reddit.com/r/cancer/comments/ayn62x/rapact_10_mg_everolimus_blueberry_pharmaceuticals/")</f>
        <v/>
      </c>
      <c r="G1170" t="inlineStr">
        <is>
          <t>2019-03-07 22:38:41</t>
        </is>
      </c>
      <c r="H1170" t="inlineStr"/>
    </row>
    <row r="1171">
      <c r="A1171" t="inlineStr">
        <is>
          <t>ayo43u</t>
        </is>
      </c>
      <c r="B1171" t="inlineStr">
        <is>
          <t>10-week-old daughter with Retinoblastoma</t>
        </is>
      </c>
      <c r="C1171" t="inlineStr">
        <is>
          <t xml:space="preserve">We confirmed our worst fears this week - our baby girl has retinoblastoma, a rare cancer in at least one of her eyes.
Aside from the fucking cancer, I’m nervous about how her body will handle the chemotherapy.  How will I know when her cries are cries from pain that I can’t make go away or cries from discomfort caused by the poison I’m injecting into her whole body to try to keep her alive?  I’m barely learning to identify which cries are caused by hunger, exhaustion, gas, or dirty diapers.
Please share words of wisdom or any other relevant support groups.  
FUCK CANCER.
</t>
        </is>
      </c>
      <c r="D1171" t="n">
        <v>22</v>
      </c>
      <c r="E1171" t="n">
        <v>8</v>
      </c>
      <c r="F1171">
        <f>HYPERLINK("https://www.reddit.com/r/cancer/comments/ayo43u/10weekold_daughter_with_retinoblastoma/")</f>
        <v/>
      </c>
      <c r="G1171" t="inlineStr">
        <is>
          <t>2019-03-08 00:53:37</t>
        </is>
      </c>
      <c r="H1171" t="inlineStr"/>
    </row>
    <row r="1172">
      <c r="A1172" t="inlineStr">
        <is>
          <t>ayohxu</t>
        </is>
      </c>
      <c r="B1172" t="inlineStr">
        <is>
          <t>Am i being selfish?</t>
        </is>
      </c>
      <c r="C1172" t="inlineStr">
        <is>
          <t xml:space="preserve">My oldest friend got diagnosed. After he had awful and confusing symotoms for a while his doctor had him take a ct scan that lead to them having some surgery to remove something to test for cancer. Clearly im not sure about what happens exactly. He and his girlfriend cant drive so iv been taking him to the hospital and to his doctor and whatnot. But now its an official diagnosis.
Im just floored
I dont know how to respond. I feel like im making it about me though. Im not his girlfriend, or his family. Shes taking it really tough and i have to imagine his family too. But i feel like im being selfish and making it my problem. But i dont know what to do.
He got transfered out to the major city 2 hours away and its just sinking on that this is serious.
Guys i might lose my long time friend.
When i had to run away from my abuser he let me stay on his couch for a week and made me fun food. We played d&amp;amp;d and board games and online games for years.
He might actually die. He might not. But he could.
I know this effects me less than his family or GF but im completely floored by it.
I dont know what to do.
Am i being selfish here for thinking like this? </t>
        </is>
      </c>
      <c r="D1172" t="n">
        <v>6</v>
      </c>
      <c r="E1172" t="n">
        <v>4</v>
      </c>
      <c r="F1172">
        <f>HYPERLINK("https://www.reddit.com/r/cancer/comments/ayohxu/am_i_being_selfish/")</f>
        <v/>
      </c>
      <c r="G1172" t="inlineStr">
        <is>
          <t>2019-03-08 01:49:29</t>
        </is>
      </c>
      <c r="H1172" t="inlineStr"/>
    </row>
    <row r="1173">
      <c r="A1173" t="inlineStr">
        <is>
          <t>aypkjy</t>
        </is>
      </c>
      <c r="B1173" t="inlineStr">
        <is>
          <t>Dying from a 95% curable disease (testicular cancer). What the hell can I do??</t>
        </is>
      </c>
      <c r="C1173" t="inlineStr">
        <is>
          <t>One year and six months counting since I got diagnosed with pure choriocarcinoma with a Bhcg of 1.4M. Since then I had 6 rounds BIP, 4 rounds of gemcitabine, 2 rounds of TI, 3 round of high dose chemo followed by a RBLND and my left nut chopped out. That got my hcg down to normalised at &amp;lt;2.
It lasted one month. I had a brain tumour cut out within two days of working out where it was at the back of my head then 3 rounds of GemOx to try to make it stick.
It got back down to 2 at the end of last November so had two lung resecctions to try to make it sick. It didn't.
At the start of January with it back up to 20 I had cyberknife of 3 old spots in my brain just in case and one New spot in my lung zapped by radiation therapy. That dropped to 3.
This week it's come back as 8. I'm running very low of options and the oncologist is telling me it's time to make the serious decision about what to do going forward. Cure is very unlikely. What the fuck do I do? I'm 28. I don't know how to go ahead with this and how to not destroy my girlfriend and family by dying now.
I've been in touch with old mate einhorn in the US and he had nothing new and no one here in Australia has many other options.. It seems I'm fucked. If anyone has any valid options I'm looking for help.</t>
        </is>
      </c>
      <c r="D1173" t="n">
        <v>86</v>
      </c>
      <c r="E1173" t="n">
        <v>26</v>
      </c>
      <c r="F1173">
        <f>HYPERLINK("https://www.reddit.com/r/cancer/comments/aypkjy/dying_from_a_95_curable_disease_testicular_cancer/")</f>
        <v/>
      </c>
      <c r="G1173" t="inlineStr">
        <is>
          <t>2019-03-08 04:10:36</t>
        </is>
      </c>
      <c r="H1173" t="inlineStr"/>
    </row>
    <row r="1174">
      <c r="A1174" t="inlineStr">
        <is>
          <t>ayrnwf</t>
        </is>
      </c>
      <c r="B1174" t="inlineStr">
        <is>
          <t>Cousin 40f has cervical cancer and been advised not much time left.</t>
        </is>
      </c>
      <c r="C1174" t="inlineStr">
        <is>
          <t xml:space="preserve">Relatively new throw away account for matters such as these. 
So my cousin had cervical cancer around 2012, got the all clear around 2014. Had checks every 6 months until 2017. Has crept back in late 2018 and has just been told it’s spread . She has been advised she doesn’t have much time, likely 6 months. F’d up!!! Life is not fuckin fair!
All I’m thinking is try to spend as much time with her as possible and try do things that are ‘normal’. She’s got a few hours energy daily and has a stomach tube for food as she can’t take solids.  We met other day at hers and I said we should go to a nice country pub(UK) and just chill, watch life, overhear conversations about peoples weeks and Brexit. She was so down. 
Came to ask what other things can we do (or not do) that she may enjoy and have the energy for? What did you do in a similar situation? Any advice/input is welcome. 
Cheers.
</t>
        </is>
      </c>
      <c r="D1174" t="n">
        <v>9</v>
      </c>
      <c r="E1174" t="n">
        <v>2</v>
      </c>
      <c r="F1174">
        <f>HYPERLINK("https://www.reddit.com/r/cancer/comments/ayrnwf/cousin_40f_has_cervical_cancer_and_been_advised/")</f>
        <v/>
      </c>
      <c r="G1174" t="inlineStr">
        <is>
          <t>2019-03-08 07:43:41</t>
        </is>
      </c>
      <c r="H1174" t="inlineStr"/>
    </row>
    <row r="1175">
      <c r="A1175" t="inlineStr">
        <is>
          <t>ayrt9t</t>
        </is>
      </c>
      <c r="B1175" t="inlineStr">
        <is>
          <t>Elevated Imunnoglobulins and Eosinophils... I may have cancer</t>
        </is>
      </c>
      <c r="C1175" t="inlineStr">
        <is>
          <t xml:space="preserve">I just wanted to ask anyone in the community if they had/have elevated immunoglobulins and eosinophils? 
My elevation is around 19% of my body for eosinophils and my immunoglobulins is just as high. 
I don't think i have HES, i dont have any organ damage or failure (they've checked). 
Im not sure what i have but my bone marrow biopsy is coming up. I'm scared. Im a 22 year old college student and I dont have any to a lot of support here. Is there anything you guys recommend to calm down and take it slow? 
I enrolled myself into therapy and a personal anxiety workshop. Im not sure what else to do. </t>
        </is>
      </c>
      <c r="D1175" t="n">
        <v>0</v>
      </c>
      <c r="E1175" t="n">
        <v>1</v>
      </c>
      <c r="F1175">
        <f>HYPERLINK("https://www.reddit.com/r/cancer/comments/ayrt9t/elevated_imunnoglobulins_and_eosinophils_i_may/")</f>
        <v/>
      </c>
      <c r="G1175" t="inlineStr">
        <is>
          <t>2019-03-08 07:56:54</t>
        </is>
      </c>
      <c r="H1175" t="inlineStr"/>
    </row>
    <row r="1176">
      <c r="A1176" t="inlineStr">
        <is>
          <t>ays7wn</t>
        </is>
      </c>
      <c r="B1176" t="inlineStr">
        <is>
          <t>Well Pancreatic cancer I hope your kinder to Alex than you have been to my mom!</t>
        </is>
      </c>
      <c r="C1176" t="inlineStr">
        <is>
          <t>March 2018 my mom was diagnosed with stage 4 pancreatic cancer and like Alex Trebek, she had goals of beating this, she wanted to see her grandchildren graduate from high school, she wanted to make sure my father is going to be ok, but Pancreatic cancer, you had your own mission.  
Now almost a year to the date we are faced with the fact that the cancer has taken over every organ in her body, including her bones and aortic valve; however, we are fortunate that the cancer has not gotten to her brain yet.  
Hospice is on board and now we are in the waiting game...a year ago we were praying for strength and a magical cure  and now we are praying for a swift transition from this painful cruel disease into her next journey.
I wish you nothing but the best Alex, but please take this next year and be with family and friends...</t>
        </is>
      </c>
      <c r="D1176" t="n">
        <v>17</v>
      </c>
      <c r="E1176" t="n">
        <v>4</v>
      </c>
      <c r="F1176">
        <f>HYPERLINK("https://www.reddit.com/r/cancer/comments/ays7wn/well_pancreatic_cancer_i_hope_your_kinder_to_alex/")</f>
        <v/>
      </c>
      <c r="G1176" t="inlineStr">
        <is>
          <t>2019-03-08 08:33:09</t>
        </is>
      </c>
      <c r="H1176" t="inlineStr"/>
    </row>
    <row r="1177">
      <c r="A1177" t="inlineStr">
        <is>
          <t>aysxjo</t>
        </is>
      </c>
      <c r="B1177" t="inlineStr">
        <is>
          <t>Journalist looking to talk to patients affected by drug shortage</t>
        </is>
      </c>
      <c r="C1177" t="inlineStr">
        <is>
          <t>Hello,
My name is W. Harry Fortuna. I'm a freelance science and health journalist currently researching stories about the ongoing drug shortages. I would love to talk to anyone affected by or you has had loved ones affected by the drug shortages.
Feel free to PM me here for more information and to share y our story, on or off the record.
&amp;amp;#x200B;
Thanks</t>
        </is>
      </c>
      <c r="D1177" t="n">
        <v>6</v>
      </c>
      <c r="E1177" t="n">
        <v>0</v>
      </c>
      <c r="F1177">
        <f>HYPERLINK("https://www.reddit.com/r/cancer/comments/aysxjo/journalist_looking_to_talk_to_patients_affected/")</f>
        <v/>
      </c>
      <c r="G1177" t="inlineStr">
        <is>
          <t>2019-03-08 09:35:04</t>
        </is>
      </c>
      <c r="H1177" t="inlineStr"/>
    </row>
    <row r="1178">
      <c r="A1178" t="inlineStr">
        <is>
          <t>ayu6vb</t>
        </is>
      </c>
      <c r="B1178" t="inlineStr">
        <is>
          <t>Police Department Searches Stage 4 Pancreatic Cancer Patient's Hospital Room for Marijuana</t>
        </is>
      </c>
      <c r="C1178" t="inlineStr">
        <is>
          <t>I just saw this video and had to share... 
This guy is literally at death's door and these people have the audacity to try and take away the one thing that can give him peace in his final moments? 
My aunt just recently passed in her sleep at the hospice 2 weeks ago... Still trying to come to terms with it, but it puts me in a better place knowing she was able to go without pain, especially so because of all the pain she was experiencing and meds she was hopped-up on prior...
I am so disgusted by this, my blood is literally boiling.</t>
        </is>
      </c>
      <c r="D1178" t="n">
        <v>31</v>
      </c>
      <c r="E1178" t="n">
        <v>12</v>
      </c>
      <c r="F1178">
        <f>HYPERLINK("https://www.reddit.com/r/cancer/comments/ayu6vb/police_department_searches_stage_4_pancreatic/")</f>
        <v/>
      </c>
      <c r="G1178" t="inlineStr">
        <is>
          <t>2019-03-08 11:24:48</t>
        </is>
      </c>
      <c r="H1178" t="inlineStr"/>
    </row>
    <row r="1179">
      <c r="A1179" t="inlineStr">
        <is>
          <t>ayu7sr</t>
        </is>
      </c>
      <c r="B1179" t="inlineStr">
        <is>
          <t>Brain Cancer: Olaparib. (Lynparza) Trails</t>
        </is>
      </c>
      <c r="C1179" t="inlineStr">
        <is>
          <t>My brothers cancer has grown a great deal since October. He was given three options. One was a chemo pill he had already taken. He pick a trial medical called olaparib. (Lynparza) This is an fda treatment for ovarian cancer but still in trail runs for Brian. Has anyone been on this or has any info?</t>
        </is>
      </c>
      <c r="D1179" t="n">
        <v>2</v>
      </c>
      <c r="E1179" t="n">
        <v>0</v>
      </c>
      <c r="F1179">
        <f>HYPERLINK("https://www.reddit.com/r/cancer/comments/ayu7sr/brain_cancer_olaparib_lynparza_trails/")</f>
        <v/>
      </c>
      <c r="G1179" t="inlineStr">
        <is>
          <t>2019-03-08 11:27:03</t>
        </is>
      </c>
      <c r="H1179" t="inlineStr"/>
    </row>
    <row r="1180">
      <c r="A1180" t="inlineStr">
        <is>
          <t>ayu87g</t>
        </is>
      </c>
      <c r="B1180" t="inlineStr">
        <is>
          <t>My mom just got diagnosed</t>
        </is>
      </c>
      <c r="C1180" t="inlineStr">
        <is>
          <t xml:space="preserve">My mom got diagnosed yesterday and told me today. We have to wait 1 week to know more, we only know it‘s malignant abdomen cancer.
How can i help her get her mind of it as good as possible?
I‘m a Student but its between Semester at the moment  so i got plenty of time.
</t>
        </is>
      </c>
      <c r="D1180" t="n">
        <v>3</v>
      </c>
      <c r="E1180" t="n">
        <v>1</v>
      </c>
      <c r="F1180">
        <f>HYPERLINK("https://www.reddit.com/r/cancer/comments/ayu87g/my_mom_just_got_diagnosed/")</f>
        <v/>
      </c>
      <c r="G1180" t="inlineStr">
        <is>
          <t>2019-03-08 11:28:04</t>
        </is>
      </c>
      <c r="H1180" t="inlineStr"/>
    </row>
    <row r="1181">
      <c r="A1181" t="inlineStr">
        <is>
          <t>ayug4g</t>
        </is>
      </c>
      <c r="B1181" t="inlineStr">
        <is>
          <t>Check my credit? FUCK NO! THANK YOU CANCER.</t>
        </is>
      </c>
      <c r="C1181" t="inlineStr">
        <is>
          <t xml:space="preserve">What the hell have any of you done about this?!
 I'm never going to own a home or a new car or JACK SHIT because I have more medical bills than I know what to do with. I stopped opening them a couple years ago. There are things on my damn bucket list that require good credit. You think they would look past it being all medical but everything else good. Nope. Fuck it. Fuck it all. 
CANCER CAN FUCK ALL THE WAY OFF. </t>
        </is>
      </c>
      <c r="D1181" t="n">
        <v>86</v>
      </c>
      <c r="E1181" t="n">
        <v>106</v>
      </c>
      <c r="F1181">
        <f>HYPERLINK("https://www.reddit.com/r/cancer/comments/ayug4g/check_my_credit_fuck_no_thank_you_cancer/")</f>
        <v/>
      </c>
      <c r="G1181" t="inlineStr">
        <is>
          <t>2019-03-08 11:47:15</t>
        </is>
      </c>
      <c r="H1181" t="inlineStr"/>
    </row>
    <row r="1182">
      <c r="A1182" t="inlineStr">
        <is>
          <t>ayupgm</t>
        </is>
      </c>
      <c r="B1182" t="inlineStr">
        <is>
          <t>access to uptodate.com?</t>
        </is>
      </c>
      <c r="C1182" t="inlineStr">
        <is>
          <t>I am a former cancer patient and I help current cancer patients and caregivers find academic articles that they are interested in but are behind pay walls (I have access to several university library systems).
A friend would like access to an article from uptodate.com, but I have not been able to find a university library with access to it. I have tried contacting the author but they have been unresponsive.
If anyone here has access to uptodate.com and is willing to share a copy please PM me and I will send you a link to the article.
I would be very grateful.</t>
        </is>
      </c>
      <c r="D1182" t="n">
        <v>1</v>
      </c>
      <c r="E1182" t="n">
        <v>0</v>
      </c>
      <c r="F1182">
        <f>HYPERLINK("https://www.reddit.com/r/cancer/comments/ayupgm/access_to_uptodatecom/")</f>
        <v/>
      </c>
      <c r="G1182" t="inlineStr">
        <is>
          <t>2019-03-08 12:09:55</t>
        </is>
      </c>
      <c r="H1182" t="inlineStr"/>
    </row>
    <row r="1183">
      <c r="A1183" t="inlineStr">
        <is>
          <t>ayvrqk</t>
        </is>
      </c>
      <c r="B1183" t="inlineStr">
        <is>
          <t>Do you have recently diagnosed cancer, and do you smoke? This is a resource for quitting smoking, check it out if you like.</t>
        </is>
      </c>
      <c r="C1183" t="inlineStr">
        <is>
          <t>Have you recently been diagnosed with cancer, and smoke cigarettes? There is a quit-smoking resource I want to share with you from my research team at Fred Hutchinson Cancer Research Center. It's a pilot research trial testing a quit smoking app designed with the concerns of cancer patients and smoking. We know quitting smoking is so difficult already!
Quitting smoking can improve cancer outcomes, helping you heal faster and helping the treatment to work better. Anyway, check it out if you are interested. Let me know if you are interested and please feel free to forward to people who may benefit from this.
[www.quit2heal.org](http://www.quit2heal.org/)</t>
        </is>
      </c>
      <c r="D1183" t="n">
        <v>1</v>
      </c>
      <c r="E1183" t="n">
        <v>0</v>
      </c>
      <c r="F1183">
        <f>HYPERLINK("https://www.reddit.com/r/cancer/comments/ayvrqk/do_you_have_recently_diagnosed_cancer_and_do_you/")</f>
        <v/>
      </c>
      <c r="G1183" t="inlineStr">
        <is>
          <t>2019-03-08 13:46:07</t>
        </is>
      </c>
      <c r="H1183" t="inlineStr"/>
    </row>
    <row r="1184">
      <c r="A1184" t="inlineStr">
        <is>
          <t>aywn9k</t>
        </is>
      </c>
      <c r="B1184" t="inlineStr">
        <is>
          <t>Are you a breast cancer survivor? We need your help in our research.</t>
        </is>
      </c>
      <c r="C1184" t="inlineStr">
        <is>
          <t>Hello all! My name is Elina, and I’m a research intern in Dr. Dougan’s lab at San Jose State University (San Jose, CA). We are looking for people to take part in our breast cancer focus group, to be conducted on-site at San Jose State University over a span of 2 weeks. 
We recognize that battling cancer and the physical and emotional pain that comes with it can often be a distressing and confusing time. We are interested in interviewing you in order to learn more about your personal breast cancer experiences, and hear your thoughts and opinions. 
If you are:
\- A woman, aged 35 - 65
\- A breast cancer survivor
\- Past active treatment stage
We invite you to participate. 
Please feel free to email me at elina.xie@sjsu.edu for more details if you are interested in participating!
Thank you,
Elina Xie
Dougan Lab</t>
        </is>
      </c>
      <c r="D1184" t="n">
        <v>1</v>
      </c>
      <c r="E1184" t="n">
        <v>0</v>
      </c>
      <c r="F1184">
        <f>HYPERLINK("https://www.reddit.com/r/cancer/comments/aywn9k/are_you_a_breast_cancer_survivor_we_need_your/")</f>
        <v/>
      </c>
      <c r="G1184" t="inlineStr">
        <is>
          <t>2019-03-08 15:03:36</t>
        </is>
      </c>
      <c r="H1184" t="inlineStr"/>
    </row>
    <row r="1185">
      <c r="A1185" t="inlineStr">
        <is>
          <t>ayxgwc</t>
        </is>
      </c>
      <c r="B1185" t="inlineStr">
        <is>
          <t>Anemia</t>
        </is>
      </c>
      <c r="C1185" t="inlineStr">
        <is>
          <t>Hello,
My dad has bone mets in his back and recently his chemo stopped due to his low hemoglobin and RBC. He had a bone biopsy done today and we await the results. What type of tx options are there to treat his anemia? So far, the only thing I see is diet and blood transfusions.</t>
        </is>
      </c>
      <c r="D1185" t="n">
        <v>3</v>
      </c>
      <c r="E1185" t="n">
        <v>3</v>
      </c>
      <c r="F1185">
        <f>HYPERLINK("https://www.reddit.com/r/cancer/comments/ayxgwc/anemia/")</f>
        <v/>
      </c>
      <c r="G1185" t="inlineStr">
        <is>
          <t>2019-03-08 16:24:13</t>
        </is>
      </c>
      <c r="H1185" t="inlineStr"/>
    </row>
    <row r="1186">
      <c r="A1186" t="inlineStr">
        <is>
          <t>ayxuz5</t>
        </is>
      </c>
      <c r="B1186" t="inlineStr">
        <is>
          <t>Physical contact will the ill</t>
        </is>
      </c>
      <c r="C1186" t="inlineStr">
        <is>
          <t xml:space="preserve">What’s the recommended time I should wait for me to see my girlfriend after she’s had cold/flu symptoms, last NT count was 1.3NT not on chemo at the moment so they are due to rise. I can’t find anything on the internet about it, she’s not been ill for 4/5 days.  </t>
        </is>
      </c>
      <c r="D1186" t="n">
        <v>4</v>
      </c>
      <c r="E1186" t="n">
        <v>1</v>
      </c>
      <c r="F1186">
        <f>HYPERLINK("https://www.reddit.com/r/cancer/comments/ayxuz5/physical_contact_will_the_ill/")</f>
        <v/>
      </c>
      <c r="G1186" t="inlineStr">
        <is>
          <t>2019-03-08 17:05:21</t>
        </is>
      </c>
      <c r="H1186" t="inlineStr"/>
    </row>
    <row r="1187">
      <c r="A1187" t="inlineStr">
        <is>
          <t>ayycjs</t>
        </is>
      </c>
      <c r="B1187" t="inlineStr">
        <is>
          <t>Cancer and hair loss</t>
        </is>
      </c>
      <c r="C1187" t="inlineStr">
        <is>
          <t>My mom has stage 2 breast cancer and starts chemo at the end of the month. She’s expecting to lose her hair quite quickly and I mentioned that I want to shave my head to support her. Family and friends that have been around have strongly discouraged me in doing this but for me it feels like a small thing I can do in support of her. I’m also in college so it doesn’t matter what I do to my hair (current it’s pink). Anyone who has experienced something similar or can weigh in?</t>
        </is>
      </c>
      <c r="D1187" t="n">
        <v>7</v>
      </c>
      <c r="E1187" t="n">
        <v>8</v>
      </c>
      <c r="F1187">
        <f>HYPERLINK("https://www.reddit.com/r/cancer/comments/ayycjs/cancer_and_hair_loss/")</f>
        <v/>
      </c>
      <c r="G1187" t="inlineStr">
        <is>
          <t>2019-03-08 17:59:22</t>
        </is>
      </c>
      <c r="H1187" t="inlineStr"/>
    </row>
    <row r="1188">
      <c r="A1188" t="inlineStr">
        <is>
          <t>ayzf3v</t>
        </is>
      </c>
      <c r="B1188" t="inlineStr">
        <is>
          <t>Rapact 5mg tablet - Everolimus</t>
        </is>
      </c>
      <c r="C1188" t="inlineStr">
        <is>
          <t>[**Rapact 5mg**](http://anti-cancer-drugs.com/rapact-5mg.php) consist of an active ingredient known as Everolimus which is intrude with growth of cancer cell and process is slows down, this tablets is not a curable medication, which is helps to slow their spreading in to the body.</t>
        </is>
      </c>
      <c r="D1188" t="n">
        <v>0</v>
      </c>
      <c r="E1188" t="n">
        <v>1</v>
      </c>
      <c r="F1188">
        <f>HYPERLINK("https://www.reddit.com/r/cancer/comments/ayzf3v/rapact_5mg_tablet_everolimus/")</f>
        <v/>
      </c>
      <c r="G1188" t="inlineStr">
        <is>
          <t>2019-03-08 20:03:28</t>
        </is>
      </c>
      <c r="H1188" t="inlineStr"/>
    </row>
    <row r="1189">
      <c r="A1189" t="inlineStr">
        <is>
          <t>ayzkh5</t>
        </is>
      </c>
      <c r="B1189" t="inlineStr">
        <is>
          <t>Just aftermath of cancer treatment questions.. ¯\_(ツ)_/¯</t>
        </is>
      </c>
      <c r="C1189" t="inlineStr">
        <is>
          <t xml:space="preserve">Ok I had stage 4 Hodgkins Lymphoma and had 5 rounds of 21 day cycles of chemo and 14 days of radiation. I was dubbed cancer free in 2017. I still have peripheral neuropathy pretty bad, but I don’t take any more meds for it, I take 2 different nausea pills everyday because nausea sucks. I also can’t taste very well.. I describe to people that it’s like when you try and reach for a remote and it is just out of reach and the more you try to get it, the farther away it gets. It’s crazy, I know, but can anyone relate to that? And the peripheral neuropathy, I have some parts of my body that are TOTALLY numb, but other parts that seem to be hyper sensitive. Am I just crazy, or can some of you guys relate?
Honestly, I have been wanting to post something like this for a little while now, but cancer seriously sucks and I hate that anyone has to even go through it and even though I had it 2 years ago it hurts to read posts on this page. Cancer sucks guys. It just sucks. </t>
        </is>
      </c>
      <c r="D1189" t="n">
        <v>13</v>
      </c>
      <c r="E1189" t="n">
        <v>7</v>
      </c>
      <c r="F1189">
        <f>HYPERLINK("https://www.reddit.com/r/cancer/comments/ayzkh5/just_aftermath_of_cancer_treatment_questions_ツ/")</f>
        <v/>
      </c>
      <c r="G1189" t="inlineStr">
        <is>
          <t>2019-03-08 20:21:42</t>
        </is>
      </c>
      <c r="H1189" t="inlineStr"/>
    </row>
    <row r="1190">
      <c r="A1190" t="inlineStr">
        <is>
          <t>ayzwsc</t>
        </is>
      </c>
      <c r="B1190" t="inlineStr">
        <is>
          <t>Cancer Jokes</t>
        </is>
      </c>
      <c r="C1190" t="inlineStr">
        <is>
          <t>Hubby is stage IV kidney and I was just diagnosed with DCIS (I know, not serious cancer) and we've been making cancer jokes for a long time. 
My most polite best friend just made a cancer joke on her own and is now horrified. 
Back me up.. She's an awesome friend, right?!</t>
        </is>
      </c>
      <c r="D1190" t="n">
        <v>21</v>
      </c>
      <c r="E1190" t="n">
        <v>24</v>
      </c>
      <c r="F1190">
        <f>HYPERLINK("https://www.reddit.com/r/cancer/comments/ayzwsc/cancer_jokes/")</f>
        <v/>
      </c>
      <c r="G1190" t="inlineStr">
        <is>
          <t>2019-03-08 21:02:27</t>
        </is>
      </c>
      <c r="H1190" t="inlineStr"/>
    </row>
    <row r="1191">
      <c r="A1191" t="inlineStr">
        <is>
          <t>az051n</t>
        </is>
      </c>
      <c r="B1191" t="inlineStr">
        <is>
          <t>Rapact 5mg tablet - Everolimus</t>
        </is>
      </c>
      <c r="C1191" t="inlineStr">
        <is>
          <t xml:space="preserve">[**Rapact 5mg**](http://anti-cancer-drugs.com/rapact-5mg.php) consist of an active ingredient known as Everolimus which is intrude with growth of cancer cell and process is slows down, this tablets is not a curable medication, which is helps to slow their spreading in to the body </t>
        </is>
      </c>
      <c r="D1191" t="n">
        <v>1</v>
      </c>
      <c r="E1191" t="n">
        <v>0</v>
      </c>
      <c r="F1191">
        <f>HYPERLINK("https://www.reddit.com/r/cancer/comments/az051n/rapact_5mg_tablet_everolimus/")</f>
        <v/>
      </c>
      <c r="G1191" t="inlineStr">
        <is>
          <t>2019-03-08 21:30:37</t>
        </is>
      </c>
      <c r="H1191" t="inlineStr"/>
    </row>
    <row r="1192">
      <c r="A1192" t="inlineStr">
        <is>
          <t>az09kv</t>
        </is>
      </c>
      <c r="B1192" t="inlineStr">
        <is>
          <t>Rapact 10mg |Everolimus |Apple pharmaceuticals</t>
        </is>
      </c>
      <c r="C1192" t="inlineStr">
        <is>
          <t xml:space="preserve">[**Rapact 10mg**](http://anti-cancer-drugs.com/rapact-10mg.php) consist of an active ingredient known as Everolimus which is intrude with growth of cancer cell and process is slows down.Rapact 10mg tablets is not a curable medication, which is helps to slow their spreading in to the body </t>
        </is>
      </c>
      <c r="D1192" t="n">
        <v>0</v>
      </c>
      <c r="E1192" t="n">
        <v>0</v>
      </c>
      <c r="F1192">
        <f>HYPERLINK("https://www.reddit.com/r/cancer/comments/az09kv/rapact_10mg_everolimus_apple_pharmaceuticals/")</f>
        <v/>
      </c>
      <c r="G1192" t="inlineStr">
        <is>
          <t>2019-03-08 21:46:44</t>
        </is>
      </c>
      <c r="H1192" t="inlineStr"/>
    </row>
    <row r="1193">
      <c r="A1193" t="inlineStr">
        <is>
          <t>az245e</t>
        </is>
      </c>
      <c r="B1193" t="inlineStr">
        <is>
          <t>About 5 months since i lost mom. Her birthday is around the corner and i wrote this tonight.</t>
        </is>
      </c>
      <c r="C1193" t="inlineStr">
        <is>
          <t xml:space="preserve">Every safe I made locked too loosely
I held tight
You fought right
Still we failed, despite our combined might
The con was slow
The heist was violent
Your captor remained so silent
We are decades short of all we planned
Our little places
Our combined land 
I've been robbed
You've been stolen
This grand theft has left me heartbroken </t>
        </is>
      </c>
      <c r="D1193" t="n">
        <v>42</v>
      </c>
      <c r="E1193" t="n">
        <v>8</v>
      </c>
      <c r="F1193">
        <f>HYPERLINK("https://www.reddit.com/r/cancer/comments/az245e/about_5_months_since_i_lost_mom_her_birthday_is/")</f>
        <v/>
      </c>
      <c r="G1193" t="inlineStr">
        <is>
          <t>2019-03-09 02:20:52</t>
        </is>
      </c>
      <c r="H1193" t="inlineStr"/>
    </row>
    <row r="1194">
      <c r="A1194" t="inlineStr">
        <is>
          <t>az3lv3</t>
        </is>
      </c>
      <c r="B1194" t="inlineStr">
        <is>
          <t>Spring Break Trip</t>
        </is>
      </c>
      <c r="C1194" t="inlineStr">
        <is>
          <t>So my mom has stage 4 Ovarian cancer. She’s had it for over a year now. She’s doing an all natural treatment, due to the fact that chemo would most likely kill her. She says she can feel the tumor(s)in her stomach area. Like it’s painful.
Anyway, I’m 18 and in my senior year of highschool. I’m going on a trip today for spring break. I’m going with my friend’s family about 2 hrs away to their lake house. I’m terrified. It’s only 5 days, but so much can happen in that short amount of time. I’m not driving, so it’s not like I can leave whenever I want. What if something happens? Should I not go? I’m trying to be a “normal” high schooler and still enjoy fun things, but I’m scared. Any advice or calming words?
I’m sorry if this sounds immature or stupid.</t>
        </is>
      </c>
      <c r="D1194" t="n">
        <v>7</v>
      </c>
      <c r="E1194" t="n">
        <v>5</v>
      </c>
      <c r="F1194">
        <f>HYPERLINK("https://www.reddit.com/r/cancer/comments/az3lv3/spring_break_trip/")</f>
        <v/>
      </c>
      <c r="G1194" t="inlineStr">
        <is>
          <t>2019-03-09 05:42:29</t>
        </is>
      </c>
      <c r="H1194" t="inlineStr"/>
    </row>
    <row r="1195">
      <c r="A1195" t="inlineStr">
        <is>
          <t>az564i</t>
        </is>
      </c>
      <c r="B1195" t="inlineStr">
        <is>
          <t>I lost my mom yesterday</t>
        </is>
      </c>
      <c r="C1195" t="inlineStr">
        <is>
          <t xml:space="preserve">Yesterday I lost my mom.  She was only 58. She was battling stage 4 ovarian cancer for a little over a year.  I flew home February 14th to be with her when a few days later she was told there was nothing more that could be done and was put on hospice in her home.  She went through about 6 months of chemo in which she was platinum resistant, a hysterectomy, another few months of a secondary chemo, a pigtail drain, and finally a gastric drain.  
My sister, aunt, and I cared for her for the past two weeks throughout her hospice.  Yesterday at 8:31 am, she took her last breath and went to be with our Lord and her late father.  Watching my mom actively die was the most soul crushing thing I’ve ever experienced.  She’s no longer in pain now.  Her viewing and service is being held today and then she will be cremated.   I wrote a letter to my mom that I will be sharing at her service and I pray for the strength to be able to get the words out without breaking down.  Knowing I will not have her by my side for the rest of my life or my daughters life feels so selfish, but it is a real feeling I cannot dismiss.  I feel cheated, while at the same time I know she is no longer in pain.  
I will miss her with every inch of my heart, body, and soul.  I know time will heal my heart, but it’s so hard right now.   She was an amazingly patient woman who taught me to be strong willed, creative, and adventurous.  I love you my beautiful mom, forever.   </t>
        </is>
      </c>
      <c r="D1195" t="n">
        <v>114</v>
      </c>
      <c r="E1195" t="n">
        <v>29</v>
      </c>
      <c r="F1195">
        <f>HYPERLINK("https://www.reddit.com/r/cancer/comments/az564i/i_lost_my_mom_yesterday/")</f>
        <v/>
      </c>
      <c r="G1195" t="inlineStr">
        <is>
          <t>2019-03-09 08:28:22</t>
        </is>
      </c>
      <c r="H1195" t="inlineStr"/>
    </row>
    <row r="1196">
      <c r="A1196" t="inlineStr">
        <is>
          <t>az5cg2</t>
        </is>
      </c>
      <c r="B1196" t="inlineStr">
        <is>
          <t>returned polyps at colonoscopy check up</t>
        </is>
      </c>
      <c r="C1196" t="inlineStr">
        <is>
          <t xml:space="preserve">i am bout 1.5 years post treatment for colon cancer. i was diagnosed when i was unable to pass stools and a large cancerous tumor was removed during a lower anterior resection. before surgery, i did oral chemo and radiation in the hopes to shrink the tumor. radiation/oral chemo didnt shrink so the tumor and most of sigmiod and descending colon were removed. after surgery, i didnt 12 rounds of infusion chemo treatments. besides some neurapathy in my hands and feet, ive been doing very good. my blood work/ct scans have all been coming back fine. so i went for a check-up colonoscopy this morning and the GI found a 5 polyps, one of which is "suspicious". samples were taking for biospy but no polyps were removed. i was referred to a colon cancer surgeon for a consult in a few weeks before i even left the endoscopy center. is it normal for polyps to develop in other areas of the colon like this?
</t>
        </is>
      </c>
      <c r="D1196" t="n">
        <v>3</v>
      </c>
      <c r="E1196" t="n">
        <v>2</v>
      </c>
      <c r="F1196">
        <f>HYPERLINK("https://www.reddit.com/r/cancer/comments/az5cg2/returned_polyps_at_colonoscopy_check_up/")</f>
        <v/>
      </c>
      <c r="G1196" t="inlineStr">
        <is>
          <t>2019-03-09 08:45:05</t>
        </is>
      </c>
      <c r="H1196" t="inlineStr"/>
    </row>
    <row r="1197">
      <c r="A1197" t="inlineStr">
        <is>
          <t>az68qj</t>
        </is>
      </c>
      <c r="B1197" t="inlineStr">
        <is>
          <t>10 years of treatment</t>
        </is>
      </c>
      <c r="C1197" t="inlineStr">
        <is>
          <t>I finally cut my new channel trailer. FINALLY. 
working around cancer treatment has obviously had it's challenges, but like everything else, i like to tackle things head on and charge in like i'm leading the cavalry. i'm not giving up any time soon. 
https://youtu.be/o9dW8wh0KPI</t>
        </is>
      </c>
      <c r="D1197" t="n">
        <v>5</v>
      </c>
      <c r="E1197" t="n">
        <v>1</v>
      </c>
      <c r="F1197">
        <f>HYPERLINK("https://www.reddit.com/r/cancer/comments/az68qj/10_years_of_treatment/")</f>
        <v/>
      </c>
      <c r="G1197" t="inlineStr">
        <is>
          <t>2019-03-09 10:09:57</t>
        </is>
      </c>
      <c r="H1197" t="inlineStr"/>
    </row>
    <row r="1198">
      <c r="A1198" t="inlineStr">
        <is>
          <t>az6bn6</t>
        </is>
      </c>
      <c r="B1198" t="inlineStr">
        <is>
          <t>Experience with Gleevec?</t>
        </is>
      </c>
      <c r="C1198" t="inlineStr">
        <is>
          <t>Hello all,
So a while ago I posted on here about my wife.  She was diagnosed with a GIST (tumor).  They suggested she start chemo and prescribed her Gleevec.  From what we were told, the side effects are much less mild then traditional chemo and that it has a very high success rate. 
My wife will start taking the pills tomorrow and I'm wondering if anyone here has taken or knows someone who has taken this medication.  Side effects,  etc?  I'm quite nervous for my wife to start this and just wondering what to expect.
Thank you in advance!</t>
        </is>
      </c>
      <c r="D1198" t="n">
        <v>1</v>
      </c>
      <c r="E1198" t="n">
        <v>3</v>
      </c>
      <c r="F1198">
        <f>HYPERLINK("https://www.reddit.com/r/cancer/comments/az6bn6/experience_with_gleevec/")</f>
        <v/>
      </c>
      <c r="G1198" t="inlineStr">
        <is>
          <t>2019-03-09 10:17:18</t>
        </is>
      </c>
      <c r="H1198" t="inlineStr"/>
    </row>
    <row r="1199">
      <c r="A1199" t="inlineStr">
        <is>
          <t>az8bwu</t>
        </is>
      </c>
      <c r="B1199" t="inlineStr">
        <is>
          <t>What to expect from stage 4 glioblastoma diagnosis?</t>
        </is>
      </c>
      <c r="C1199" t="inlineStr">
        <is>
          <t xml:space="preserve">We recently found out my 77 year old grandfather has stage 4 glioblastoma. We are devastated and we don't really know what the next few weeks/months will be like. Surgery is not an option, as he is too weak to handle it. 
He has already lost control of the right side of his body (his arm is shaking a lot and he can barely stand on his own) and he's been really depressed for the past few months. He has lost so much weight that he doesn't look like a normal person anymore. 
I guess I'm just looking for similar stories from people who have had the same experience. We don't know how much time he has, how the disease will progress and what should we be getting prepared to deal with. Will it be painful for him? What can we do to make this process easier for him? What can I do to help my mom handle this? The worst part is that my dad was also diagnosed with stage IV colorectal cancer so we have a lot on our plate. 
I just need to help my family somehow. 
Thank you in advance! </t>
        </is>
      </c>
      <c r="D1199" t="n">
        <v>8</v>
      </c>
      <c r="E1199" t="n">
        <v>7</v>
      </c>
      <c r="F1199">
        <f>HYPERLINK("https://www.reddit.com/r/cancer/comments/az8bwu/what_to_expect_from_stage_4_glioblastoma_diagnosis/")</f>
        <v/>
      </c>
      <c r="G1199" t="inlineStr">
        <is>
          <t>2019-03-09 13:28:02</t>
        </is>
      </c>
      <c r="H1199" t="inlineStr"/>
    </row>
    <row r="1200">
      <c r="A1200" t="inlineStr">
        <is>
          <t>az95od</t>
        </is>
      </c>
      <c r="B1200" t="inlineStr">
        <is>
          <t>Anything for appetite?</t>
        </is>
      </c>
      <c r="C1200" t="inlineStr">
        <is>
          <t>My mom wants to get her weight up so she won't get rejected for clinicals. Cannot stand the taste of CBD oil and doesn't care for pot brownies or THC. Grew up being told it's the devil's lettuce. Grasping at straws here.</t>
        </is>
      </c>
      <c r="D1200" t="n">
        <v>5</v>
      </c>
      <c r="E1200" t="n">
        <v>18</v>
      </c>
      <c r="F1200">
        <f>HYPERLINK("https://www.reddit.com/r/cancer/comments/az95od/anything_for_appetite/")</f>
        <v/>
      </c>
      <c r="G1200" t="inlineStr">
        <is>
          <t>2019-03-09 14:48:24</t>
        </is>
      </c>
      <c r="H1200" t="inlineStr"/>
    </row>
    <row r="1201">
      <c r="A1201" t="inlineStr">
        <is>
          <t>az98v5</t>
        </is>
      </c>
      <c r="B1201" t="inlineStr">
        <is>
          <t>My letter to my mother who passed yesterday</t>
        </is>
      </c>
      <c r="C1201" t="inlineStr">
        <is>
          <t xml:space="preserve">I posted earlier about my mother passing away yesterday from stage 4 ovarian cancer.  I was able to get through the reading of my letter during her service today.   Was worried I would breakdown, but even through shaky voice, I made it.   And my grandmother said I made her proud.  I wanted to share my letter here since so many of you have been a support and many of your comforting words helped me write this. 
Mom,
I wish that I had been able to ask you more things, to gain in your wisdom, lay my head in your lap longer, and watch more of your adventures.  If only I could have wrapped my arms around you to remove your pain, I would have...the way you comforted me my whole life when I needed strength.  Thank you for loving me, even in times when I have been so unlovable and for knowing my worth even when I struggled to see it myself.  You gave me space to grow and space to rest.  You taught me to be strong-willed, creative, kind, and to laugh at myself.  I am comforted to know that the absolute best in me is a direct result of you being my mother.  
Even on my happiest of days going forward, there will still be sadness in knowing that you are not physically with me. I know that you will be with me in my heart and spirit; and you are always with me through memories.   I want you to know that we will be OK, that you were the most amazing mother any child could have asked for. I want you to know that your selflessness and sacrifices have made not only my life better, but so many others as well.  I prayed to be blessed with a little girl so I could have a relationship with her as special as the one that you and I shared, and my prayers were answered.   I learned how to be a mom from you, and my daughter is truly blessed to have had you as her Nina.  I hope that she grows to have the heart of adventure and curiosity that you had. 
Going through your hope chest last night was more like going through the best treasure chest.  Seeing the photos and keepsakes you saved, the baby books and photo albums, and the loving things you wrote to my sister and I, was like hitting a jackpot after losing what felt like everything.  The memories that were shared and the new stories that I had never heard before, set my soul at ease.  
Just as with birth, we must embrace what is to be. You know that you have been a good parent when your children are there to hold your hand at your bedside during the end of your journey.  I am so grateful to have had you as my mother and to have snuggled you one last time. I miss you now and I will miss you forever.  I cannot wait to see you again.  My beautiful mother, I love you with everything that is within me. 
I will Love you for always. </t>
        </is>
      </c>
      <c r="D1201" t="n">
        <v>26</v>
      </c>
      <c r="E1201" t="n">
        <v>6</v>
      </c>
      <c r="F1201">
        <f>HYPERLINK("https://www.reddit.com/r/cancer/comments/az98v5/my_letter_to_my_mother_who_passed_yesterday/")</f>
        <v/>
      </c>
      <c r="G1201" t="inlineStr">
        <is>
          <t>2019-03-09 14:57:27</t>
        </is>
      </c>
      <c r="H1201" t="inlineStr"/>
    </row>
    <row r="1202">
      <c r="A1202" t="inlineStr">
        <is>
          <t>aza6xe</t>
        </is>
      </c>
      <c r="B1202" t="inlineStr">
        <is>
          <t>Chemo poll</t>
        </is>
      </c>
      <c r="C1202" t="inlineStr">
        <is>
          <t>Hello - new to this sub. I was dx'd 13+ years ago with breast cancer and did NOT do chemo. I know a few others who did not, and have been having conversations with a newly diagnosed bc patient/friend who does not want to do chemo.
She is wondering if there is anyone besides me and one other person she knows who DID NOT do chemo, and how long ago their diagnosis was.
Would you be willing to answer these questions so I can share with her?  
1. Did/do you have breast cancer?
2. Did you do/are you doing chemo?
3. How long ago were you diagnosed?
&amp;amp;#x200B;
Thank you in advance. Much love to everyone here. &amp;lt;3</t>
        </is>
      </c>
      <c r="D1202" t="n">
        <v>0</v>
      </c>
      <c r="E1202" t="n">
        <v>13</v>
      </c>
      <c r="F1202">
        <f>HYPERLINK("https://www.reddit.com/r/cancer/comments/aza6xe/chemo_poll/")</f>
        <v/>
      </c>
      <c r="G1202" t="inlineStr">
        <is>
          <t>2019-03-09 16:38:10</t>
        </is>
      </c>
      <c r="H1202" t="inlineStr"/>
    </row>
    <row r="1203">
      <c r="A1203" t="inlineStr">
        <is>
          <t>azanza</t>
        </is>
      </c>
      <c r="B1203" t="inlineStr">
        <is>
          <t>My wife lost her brother. My other parents lost their son. I feel like I lost a brother too.</t>
        </is>
      </c>
      <c r="C1203" t="inlineStr">
        <is>
          <t>About fourteen months ago, my wife's brother died of cancer. Stage 4 terminal sarcoma, and the worst part was, it was misdiagnosed. You see, in May 2017, he had bought a new mustang, modified the clutch, so it was much harder to press, and within a couple months after that, began complaining about leg pain. It was just the clutch! His leg just couldn't handle it! Muscle soreness....he even went to a doctor in October and they gave him some pain meds and didn't think anything more of it.
&amp;amp;#x200B;
Turns out, it was muscle sarcoma, starting at the knee, and then worked its way up to his heart and lungs. Evil fucking disease. The day we found out he was Stage 4, Dec 13th 2017, was the worst day of my life. My wife was having a screaming fit, and I was literally pounding the ground in agony and despair. I can't even imagine what was going through her mind, but in mine, the world was falling apart. We weren't even married by this point, so in my selfish, stupid brain, the first thought was "Does this mean we can't get married now?"
&amp;amp;#x200B;
She immediately flew home, I went on a three week bender while she was gone, because in my mind, everything was falling apart and I just wanted to die. I had taken care of the dude on New Years 2016-2017, when he had gotten shitfaced at a party as a newly minted 21 year old, and the only thing I thought to myself while doing so was "I want to take care of this dude. He's my brother." I always wanted a brother. And now he's gone. God teased me with the prospect, then brutally took him away from me. From diagnosis to death, it was six weeks.  
So why am I posting this on reddit now? Because our marriage is falling apart and I attribute it to this. Well, other things as well. I've abused alcohol quite a bit in the last few months since we aren't really all that intimate anymore. We got married in June 2018, barely half a year after he died. It destroyed her, and to a lesser extent, me, and I'm expected by both sides of my family to be strong and courageous, because he was only my brother-in-law, after all. The man was great, and I enjoyed every moment hanging out with him. It hurts me too. It hurts her a lot more, of course, but no one ever seems to ask me how I feel.</t>
        </is>
      </c>
      <c r="D1203" t="n">
        <v>23</v>
      </c>
      <c r="E1203" t="n">
        <v>5</v>
      </c>
      <c r="F1203">
        <f>HYPERLINK("https://www.reddit.com/r/cancer/comments/azanza/my_wife_lost_her_brother_my_other_parents_lost/")</f>
        <v/>
      </c>
      <c r="G1203" t="inlineStr">
        <is>
          <t>2019-03-09 17:32:12</t>
        </is>
      </c>
      <c r="H1203" t="inlineStr"/>
    </row>
    <row r="1204">
      <c r="A1204" t="inlineStr">
        <is>
          <t>azaq6t</t>
        </is>
      </c>
      <c r="B1204" t="inlineStr">
        <is>
          <t>The res devil expectations</t>
        </is>
      </c>
      <c r="C1204" t="inlineStr">
        <is>
          <t>My mom is about to start treatment with Doxorubicin aka the red devil next week. I've heard it's really tough. Anyone have any experience and/or good reads about what to expect? Especially interested in if she will be able to travel (plan, week long vacation) after roughly 18 weeks of treatment. I know its patient specific to an extend, just trying to best prepare for a very difficult time.
Thanks in advance for the help.</t>
        </is>
      </c>
      <c r="D1204" t="n">
        <v>6</v>
      </c>
      <c r="E1204" t="n">
        <v>5</v>
      </c>
      <c r="F1204">
        <f>HYPERLINK("https://www.reddit.com/r/cancer/comments/azaq6t/the_res_devil_expectations/")</f>
        <v/>
      </c>
      <c r="G1204" t="inlineStr">
        <is>
          <t>2019-03-09 17:39:28</t>
        </is>
      </c>
      <c r="H1204" t="inlineStr"/>
    </row>
    <row r="1205">
      <c r="A1205" t="inlineStr">
        <is>
          <t>azbiso</t>
        </is>
      </c>
      <c r="B1205" t="inlineStr">
        <is>
          <t>Family curse</t>
        </is>
      </c>
      <c r="C1205" t="inlineStr">
        <is>
          <t>Newish reddit user here. Ill preface this this with the fact that my great-grandma died of lymphoma in 1996. Then my grandpa of pancreatic cancer in 1999. Then my father of brain tumor in 2001. Now my brother has stage three lymphatic cancer. When does it stop...</t>
        </is>
      </c>
      <c r="D1205" t="n">
        <v>6</v>
      </c>
      <c r="E1205" t="n">
        <v>6</v>
      </c>
      <c r="F1205">
        <f>HYPERLINK("https://www.reddit.com/r/cancer/comments/azbiso/family_curse/")</f>
        <v/>
      </c>
      <c r="G1205" t="inlineStr">
        <is>
          <t>2019-03-09 19:14:09</t>
        </is>
      </c>
      <c r="H1205" t="inlineStr"/>
    </row>
    <row r="1206">
      <c r="A1206" t="inlineStr">
        <is>
          <t>azc6iq</t>
        </is>
      </c>
      <c r="B1206" t="inlineStr">
        <is>
          <t>Operative/surgical reports</t>
        </is>
      </c>
      <c r="C1206" t="inlineStr">
        <is>
          <t xml:space="preserve">I had surgery for uterine cancer last week. I’ll be seeing my surgeon next week for a checkup and to discuss moving forward. 
Have any of you requested the full  written operative report?  Why?
My surgeon is top rated and I’m sure she did a great job I just like written info.  I know it’s my right to request it but, somehow it feel like I’m in trusting. 
Your thoughts please. </t>
        </is>
      </c>
      <c r="D1206" t="n">
        <v>4</v>
      </c>
      <c r="E1206" t="n">
        <v>7</v>
      </c>
      <c r="F1206">
        <f>HYPERLINK("https://www.reddit.com/r/cancer/comments/azc6iq/operativesurgical_reports/")</f>
        <v/>
      </c>
      <c r="G1206" t="inlineStr">
        <is>
          <t>2019-03-09 20:35:19</t>
        </is>
      </c>
      <c r="H1206" t="inlineStr"/>
    </row>
    <row r="1207">
      <c r="A1207" t="inlineStr">
        <is>
          <t>azd2xg</t>
        </is>
      </c>
      <c r="B1207" t="inlineStr">
        <is>
          <t>Cyramza 500 mg | Ramucirumab tablet cost</t>
        </is>
      </c>
      <c r="C1207" t="inlineStr">
        <is>
          <t xml:space="preserve"> [Cyramza 500 mg](https://blueberrypharma.com/cyramza-500mg.php) is a type of Intravenous human monoclonal antibody which prohibits VEGFR2. [Cyramza 100mg](https://blueberrypharma.com/cyramza-500mg.php) is a prescription drugs which is used under supervision of doctor @ Blueberry Pharmaceuticals </t>
        </is>
      </c>
      <c r="D1207" t="n">
        <v>0</v>
      </c>
      <c r="E1207" t="n">
        <v>0</v>
      </c>
      <c r="F1207">
        <f>HYPERLINK("https://www.reddit.com/r/cancer/comments/azd2xg/cyramza_500_mg_ramucirumab_tablet_cost/")</f>
        <v/>
      </c>
      <c r="G1207" t="inlineStr">
        <is>
          <t>2019-03-09 22:37:26</t>
        </is>
      </c>
      <c r="H1207" t="inlineStr"/>
    </row>
    <row r="1208">
      <c r="A1208" t="inlineStr">
        <is>
          <t>aze02i</t>
        </is>
      </c>
      <c r="B1208" t="inlineStr">
        <is>
          <t>Vivid Hallucinations at late stage of Cancer</t>
        </is>
      </c>
      <c r="C1208" t="inlineStr">
        <is>
          <t>Hey there, Im taking care of my grandmother, she has been diagnosed with invasive ductal carcinoma in Breast Stage IV (mts liver, lungs, breast), when they found out she had cancer, no treatment was possible because she had many other diseases(they said she might not survive a week), so they recommended only palliative care, its been 4 months when she came home from hospital she had almost no complications till now, past 3 days shes constantly talking with someone, and cannot distinguish dreams/hallucinations from reality, shes taking Transtec 70mg patch(buprenorfin), so Im having really hard time how to cope with that situation, shes consantly talking with "someone" and she speak absolutely clear &amp;amp; loud. Are there any meds that could help her suprass those hallucinations?</t>
        </is>
      </c>
      <c r="D1208" t="n">
        <v>8</v>
      </c>
      <c r="E1208" t="n">
        <v>15</v>
      </c>
      <c r="F1208">
        <f>HYPERLINK("https://www.reddit.com/r/cancer/comments/aze02i/vivid_hallucinations_at_late_stage_of_cancer/")</f>
        <v/>
      </c>
      <c r="G1208" t="inlineStr">
        <is>
          <t>2019-03-10 01:11:22</t>
        </is>
      </c>
      <c r="H1208" t="inlineStr"/>
    </row>
    <row r="1209">
      <c r="A1209" t="inlineStr">
        <is>
          <t>azehrf</t>
        </is>
      </c>
      <c r="B1209" t="inlineStr">
        <is>
          <t>Anyone here with Ependymomas?</t>
        </is>
      </c>
      <c r="C1209" t="inlineStr">
        <is>
          <t>I have these as well and I would love to hear your stories, the treatments you've had and the results. After 3 complete resections in my spine and radiation, they are continuing to slowly spread. Chemotherapy is the next option for me.</t>
        </is>
      </c>
      <c r="D1209" t="n">
        <v>3</v>
      </c>
      <c r="E1209" t="n">
        <v>0</v>
      </c>
      <c r="F1209">
        <f>HYPERLINK("https://www.reddit.com/r/cancer/comments/azehrf/anyone_here_with_ependymomas/")</f>
        <v/>
      </c>
      <c r="G1209" t="inlineStr">
        <is>
          <t>2019-03-10 03:36:30</t>
        </is>
      </c>
      <c r="H1209" t="inlineStr"/>
    </row>
    <row r="1210">
      <c r="A1210" t="inlineStr">
        <is>
          <t>azelac</t>
        </is>
      </c>
      <c r="B1210" t="inlineStr">
        <is>
          <t>my aunt is going to die today</t>
        </is>
      </c>
      <c r="C1210" t="inlineStr">
        <is>
          <t xml:space="preserve">my aunt has been fighting GI cancer for about a year. yesterday she arrested and everybody expects her to die within the next couple of days. probably today. 
she has three children and two grandchildren (5 and 1) and we've been incredibly close all our lives. 
my cousin (her daughter) is only 23. 
i guess i just wanted to tell someone. </t>
        </is>
      </c>
      <c r="D1210" t="n">
        <v>23</v>
      </c>
      <c r="E1210" t="n">
        <v>13</v>
      </c>
      <c r="F1210">
        <f>HYPERLINK("https://www.reddit.com/r/cancer/comments/azelac/my_aunt_is_going_to_die_today/")</f>
        <v/>
      </c>
      <c r="G1210" t="inlineStr">
        <is>
          <t>2019-03-10 03:53:05</t>
        </is>
      </c>
      <c r="H1210" t="inlineStr"/>
    </row>
    <row r="1211">
      <c r="A1211" t="inlineStr">
        <is>
          <t>azguki</t>
        </is>
      </c>
      <c r="B1211" t="inlineStr">
        <is>
          <t>Grandmother has stage 4 Melanoma and doesn't want to seek treatment. Looking for advise.</t>
        </is>
      </c>
      <c r="C1211" t="inlineStr">
        <is>
          <t>Hello,
I recently found out the extent of my grandmothers cancer diagnosis. It started as a lump on her under arm which she has biopsied at the begining of the year, since the biopsy he cancer has spead like wild fire and doctors have taken many scans and it has spead to her organs, she was too sick and weak to make it through the brain MRI. Her cancer is becoming more noticable and speading more with each weekly visit. She is in her late 60's and decided she would rather not seek treatment, she can hardly leave her house and thinks she is too weak to complete any treament options available.
A brief backstory on my relationship with my grandmother and I.. she has always been an active person in my life since i was born. She would watch me every weekend as far back as i can rememeber during my childhood, doing her best to raise me well as my mother was frequently absent working 2-3 jobs as a single parent.in my teens i developed depression which i did not seek treatment for until my mid 20's, when things would get bad at home my grandma would take me in at the drop of a hat. My relationship with my mother was poor in my teens so my grandma really stepped up in helping me emotionally and providing a safe place to visit. In my early to mid twenties i was in a controlling relationship for 5 years, he guilt me into only spending time with him, and i did not see my family often. I divorced him two years ago and since have spent most weekends with my grandmother and family. I feel i must also note that my mom and i now have a great relationship.
/backstory
I am at a complete loss on how to cope or help her in her. She has kept her diagnosis a secret until this weekend, i found out earlier through suspicion and my mother notifying me. I have been visiting my grandmother weekly to help around the house but i know it makes her upset that she can't physically do these things anymore but i know the work needs to be done.
Since January her cancer has gone from unnoticeable to weekly changes is physical appearance. She has lost a lot of weight due to the nausea and i can feel there is no fat and lack of muscle when i hug her. Since my visit last week she has developed new spots on her head and neck. She has said she notices her cancer growing every other day doubling in size or spreading to new locations within.
I'm not upset she is choosing not to seek treatment, at first i was upset.. but as I have seen the physical progression of the cancer spreading in such a short amount of time i now understand that her feeling of it being a lost cause and avoiding the additional side effects of treatment. 
I work a lot and it has been effecting my performance, i can't sleep well, i often stare at my ceiling most nights or weep thinking of the limited time i have with her. When I am not able to see her i try to distract myself mentally but then feel guilt for doing  so. I have struggled with anxiety, depression, and self harm since i was a teenager now in my late 20's. I have been self harm free for nearly 5 years but the thoughts return when my depression occurs. I have an appointment Tuesday to start mood stabilizing meds again but ever day feels like an eternity in my brain.
I am feeling a lot of guilt for missing 5 years due to my previous relationship, and not spending that time with her then when she was healthy. I feel guilt because i am now in the final stages of buying my dream home but when i start to get excited immediately feeling guilt. I feel guilty i cannot take time off work as my job has daily quotas with must be reached and i am under contract to meet them. I feel guilt for trying to distract myself mentally from her diagnosis when i cannot be with her.
I am at a loss and really looking for some help or guidance. I have been thinking about seeing my counselor again but with buying a house i cannot afford to pay the copayments at this time. 
Has anyone else felt this way and if so how did you find mental stability while watching your love one slowly die to this horrible disease?</t>
        </is>
      </c>
      <c r="D1211" t="n">
        <v>26</v>
      </c>
      <c r="E1211" t="n">
        <v>15</v>
      </c>
      <c r="F1211">
        <f>HYPERLINK("https://www.reddit.com/r/cancer/comments/azguki/grandmother_has_stage_4_melanoma_and_doesnt_want/")</f>
        <v/>
      </c>
      <c r="G1211" t="inlineStr">
        <is>
          <t>2019-03-10 08:41:25</t>
        </is>
      </c>
      <c r="H1211" t="inlineStr"/>
    </row>
    <row r="1212">
      <c r="A1212" t="inlineStr">
        <is>
          <t>azhk0u</t>
        </is>
      </c>
      <c r="B1212" t="inlineStr">
        <is>
          <t>Adding melanoma to the mix</t>
        </is>
      </c>
      <c r="C1212" t="inlineStr">
        <is>
          <t>A dermatologist cut off a piece of my neck &amp;amp; it is melanoma - they're doing tests now to see if it has spread &amp;amp; i have appointments with a surgeon &amp;amp; the dermatologist at the end of the month
Ordinarily, I would't be particularly concerned because they caught it fairly early - but since my immune system has been pretty much borked, who knows.
Anyway it's a bit depressing to have to start in again on the cancer visits (not that myleloma ever really goes away)</t>
        </is>
      </c>
      <c r="D1212" t="n">
        <v>0</v>
      </c>
      <c r="E1212" t="n">
        <v>4</v>
      </c>
      <c r="F1212">
        <f>HYPERLINK("https://www.reddit.com/r/cancer/comments/azhk0u/adding_melanoma_to_the_mix/")</f>
        <v/>
      </c>
      <c r="G1212" t="inlineStr">
        <is>
          <t>2019-03-10 09:49:30</t>
        </is>
      </c>
      <c r="H1212" t="inlineStr"/>
    </row>
    <row r="1213">
      <c r="A1213" t="inlineStr">
        <is>
          <t>azjr25</t>
        </is>
      </c>
      <c r="B1213" t="inlineStr">
        <is>
          <t>I feel like it would be selfish to tell my mom I'm going through a cancer scare. How have you handled telling parents about going through testing or getting a diagnosis?</t>
        </is>
      </c>
      <c r="C1213" t="inlineStr">
        <is>
          <t xml:space="preserve">I have a lump in my neck and am getting a CT scan next week (and likely a biopsy after that). I also have elevated white blood cells. From the research I've done, it's not looking good. 
Last year, after having lived with my mom my entire life, I moved to a new city. I'm only 500 miles away, but my mom is so sad I left. She gets very depressed. On top of that, her brother/my uncle suddenly died last year. He too had a lump on his neck. It turned out to be a reoccurrence of his renal cell carcinoma. He died one month after getting diagnosed.  
My mom cares for me a lot and worries a lot. If I have a cold or an ache or pain, she gets so worried about me. If I told her I am in the middle of a cancer scare, I think it would crush her. She's far away and can't be here for me. Telling her would really only make me feel better, because I would have her support. And that feels selfish to me. I hate keeping this from her. But I don't want to add more stress or sadness to her life. 
If I am diagnosed, I would like to keep it from her as much as possible. How have you all handled telling your parents about cancer scares or cancer diagnoses? 
I'm lost about how to handle this. I think it's selfish to want support from my mom when she is already stretched too thin, but I feel guilty about lying to her. </t>
        </is>
      </c>
      <c r="D1213" t="n">
        <v>5</v>
      </c>
      <c r="E1213" t="n">
        <v>2</v>
      </c>
      <c r="F1213">
        <f>HYPERLINK("https://www.reddit.com/r/cancer/comments/azjr25/i_feel_like_it_would_be_selfish_to_tell_my_mom_im/")</f>
        <v/>
      </c>
      <c r="G1213" t="inlineStr">
        <is>
          <t>2019-03-10 13:06:01</t>
        </is>
      </c>
      <c r="H1213" t="inlineStr"/>
    </row>
    <row r="1214">
      <c r="A1214" t="inlineStr">
        <is>
          <t>azkhcc</t>
        </is>
      </c>
      <c r="B1214" t="inlineStr">
        <is>
          <t>Dad now terminal: what do I do?</t>
        </is>
      </c>
      <c r="C1214" t="inlineStr">
        <is>
          <t>I get that appealing to strangers on the Internet is weird but I am so desperate for advice I don't care. He's been fighting this for three years and he's just run out of time. No news on how long he has, but I don't know how to make the most of what we have left with him. Any advice is greatly appreciated</t>
        </is>
      </c>
      <c r="D1214" t="n">
        <v>4</v>
      </c>
      <c r="E1214" t="n">
        <v>10</v>
      </c>
      <c r="F1214">
        <f>HYPERLINK("https://www.reddit.com/r/cancer/comments/azkhcc/dad_now_terminal_what_do_i_do/")</f>
        <v/>
      </c>
      <c r="G1214" t="inlineStr">
        <is>
          <t>2019-03-10 14:09:53</t>
        </is>
      </c>
      <c r="H1214" t="inlineStr"/>
    </row>
    <row r="1215">
      <c r="A1215" t="inlineStr">
        <is>
          <t>azkqhx</t>
        </is>
      </c>
      <c r="B1215" t="inlineStr">
        <is>
          <t>Can I have a gene that makes me pre-disposed to skin cancer? Should I be worried?</t>
        </is>
      </c>
      <c r="C1215" t="inlineStr">
        <is>
          <t xml:space="preserve">I'm not really sure if this is the right sub for this question, and I'm really hoping I don't word this poorly and wind up upsetting someone but here goes.   
My family has a very strong history of cancer. All four of my grandparents have had it and three died of it or from complications that arose because of it, I took care of my grandmother until she passed away from breast cancer and I think this has given me almost a phobia of cancer? Any symptom or illness, there's always a paranoid part of my brain that's convinced this is it, that this is the time where I'm going to be diagnosed.   
Recently, my Grandfather's sister told my aunt that she has skin cancer.  Then, her daughter was diagnosed with skin cancer. Then her son. We were all talking about it and it turned out that around 6 family members on my dad's side have either had or have died from skin cancer. Grandad's sister tells my aunt there's a gene that makes us more likely to get skin cancer and we should all have a blood test to make sure we haven't inherited it, because if we do we'll need to have regular tests to ensure any cancer of our own is caught quickly.  
I know that no-one can diagnose me with anything and this definitely isn't intended as an "is this cancer" question. I suppose I'm just asking if anyone else has any experience with this and if it's worth exasperating an already pretty anxiety-ridden part of my brain. I'm also curious what the tests would be like, if I did need to be tested.  
Thank you so much. </t>
        </is>
      </c>
      <c r="D1215" t="n">
        <v>0</v>
      </c>
      <c r="E1215" t="n">
        <v>0</v>
      </c>
      <c r="F1215">
        <f>HYPERLINK("https://www.reddit.com/r/cancer/comments/azkqhx/can_i_have_a_gene_that_makes_me_predisposed_to/")</f>
        <v/>
      </c>
      <c r="G1215" t="inlineStr">
        <is>
          <t>2019-03-10 14:32:30</t>
        </is>
      </c>
      <c r="H1215" t="inlineStr"/>
    </row>
    <row r="1216">
      <c r="A1216" t="inlineStr">
        <is>
          <t>azkvql</t>
        </is>
      </c>
      <c r="B1216" t="inlineStr">
        <is>
          <t>My mother has Breast Cancer, the stage is unknown. I was calm because the doctor said they would do a radical mastectomy, but today I found out they want to do a tomography also.</t>
        </is>
      </c>
      <c r="C1216" t="inlineStr">
        <is>
          <t xml:space="preserve">Hey there. Mom was diagnosed with Breast Cancer a couple months ago and it all seemed well at the beginning. She has no synthoms other than a swollen ganglion which causes her discomfort, but she can do everything she did before the cancer. Her life quality hasn't been compromised and she isn't feeling any pain.
Thing is, the doctor who analyzed her exam results said nothing about the stage of cancer she has... We initially and naively believed it would be a Stage 1 as she feels not much and the results themselves said "Possitive Forecast: 3, 4 or 5". The doctor just told her she needed to have a mastectomy as soon as possible and that he couldn't comment on the stage until he analyzed the removed tissue.
I used to feel calm because I thought "hey, at least she can still get threatment right? Mastectomy is a threatment and from there we will see how she evolves and which threatment she gan get!". However, before the mastectomy, they asked her to also get a tomography. It made me feel nervous and I decided to consult online what tomographies are for (they already asked her for tons of studies and said she was ready for the mastectomy on March 26, yet now they also want a tomography...). 
What I found out online is that tomographies are asked to patients who could have Stage 4 cancer already, and this made me freeze and feel destroyed and sad. Everything was supposed to be fine, and now this? She looks so strong and lively, I can't believe they're asking her for a tomography... </t>
        </is>
      </c>
      <c r="D1216" t="n">
        <v>10</v>
      </c>
      <c r="E1216" t="n">
        <v>18</v>
      </c>
      <c r="F1216">
        <f>HYPERLINK("https://www.reddit.com/r/cancer/comments/azkvql/my_mother_has_breast_cancer_the_stage_is_unknown/")</f>
        <v/>
      </c>
      <c r="G1216" t="inlineStr">
        <is>
          <t>2019-03-10 14:45:23</t>
        </is>
      </c>
      <c r="H1216" t="inlineStr"/>
    </row>
    <row r="1217">
      <c r="A1217" t="inlineStr">
        <is>
          <t>azl0qg</t>
        </is>
      </c>
      <c r="B1217" t="inlineStr">
        <is>
          <t>Chemotherapy ruined my life</t>
        </is>
      </c>
      <c r="C1217" t="inlineStr">
        <is>
          <t>I have cystic fibrosis and I was on chemo for testicular cancer. Now I am constantly getting fevers of 100.5 and above and cant seem to shake constant infections and chest pain 1 month after the completion of chemo. Is this normal? How long will this garbage terrorize me? I'm so angry that I'm seeking therapy.</t>
        </is>
      </c>
      <c r="D1217" t="n">
        <v>67</v>
      </c>
      <c r="E1217" t="n">
        <v>27</v>
      </c>
      <c r="F1217">
        <f>HYPERLINK("https://www.reddit.com/r/cancer/comments/azl0qg/chemotherapy_ruined_my_life/")</f>
        <v/>
      </c>
      <c r="G1217" t="inlineStr">
        <is>
          <t>2019-03-10 14:57:48</t>
        </is>
      </c>
      <c r="H1217" t="inlineStr"/>
    </row>
    <row r="1218">
      <c r="A1218" t="inlineStr">
        <is>
          <t>azmjj5</t>
        </is>
      </c>
      <c r="B1218" t="inlineStr">
        <is>
          <t>NHL &amp;amp; RCHOP</t>
        </is>
      </c>
      <c r="C1218" t="inlineStr">
        <is>
          <t xml:space="preserve">Hi Everyone,
My grandma (mid-70s) is starting chemo for non-Hodgkins lymphoma tomorrow. Right now, we are awaiting results from the bone marrow biopsy, so she is diagnosed as stage 2E. She is doing RCHOP. I’m not familiar with chemo as she had breast cancer 30 years ago before I was born. 
What can I do to help her? What should I expect from RCHOP specifically?
Thank you. </t>
        </is>
      </c>
      <c r="D1218" t="n">
        <v>2</v>
      </c>
      <c r="E1218" t="n">
        <v>0</v>
      </c>
      <c r="F1218">
        <f>HYPERLINK("https://www.reddit.com/r/cancer/comments/azmjj5/nhl_rchop/")</f>
        <v/>
      </c>
      <c r="G1218" t="inlineStr">
        <is>
          <t>2019-03-10 17:22:37</t>
        </is>
      </c>
      <c r="H1218" t="inlineStr"/>
    </row>
    <row r="1219">
      <c r="A1219" t="inlineStr">
        <is>
          <t>azmt6y</t>
        </is>
      </c>
      <c r="B1219" t="inlineStr">
        <is>
          <t>I’ve tried to be strong but, honestly, I’m scared shitless...</t>
        </is>
      </c>
      <c r="C1219" t="inlineStr">
        <is>
          <t>Tomorrow I have my first visit with an oncologist. I don’t know what to even expect. I have no idea how long after my first oncology visit it will be until I have a confirmed diagnosis. Once I get a diagnosis, will I have to be hospitalized or will I start treatment outpatient? I feel so unprepared as far as making preparations at my house and with my animals if I have to be hospitalized. 
I am being sent to oncology after one month of repeat lab work showing I have nucleated RBC, neutropenia, leukopenia, immature cells, atypical lymphocytes, microcytosis, and anisocytosis (found after going to the doctor for being very ill for a long time). So, I honestly have no idea what type of cancer my doctor even thinks I have because she told me she’s not qualified to make the diagnosis, but she feels certain I need an oncologist and told me it was urgent. 
I’m trying to remain positive and optimistic, but my anxiety is through the roof! Oh, did I mention I have no medical insurance?! FML...</t>
        </is>
      </c>
      <c r="D1219" t="n">
        <v>8</v>
      </c>
      <c r="E1219" t="n">
        <v>13</v>
      </c>
      <c r="F1219">
        <f>HYPERLINK("https://www.reddit.com/r/cancer/comments/azmt6y/ive_tried_to_be_strong_but_honestly_im_scared/")</f>
        <v/>
      </c>
      <c r="G1219" t="inlineStr">
        <is>
          <t>2019-03-10 17:49:51</t>
        </is>
      </c>
      <c r="H1219" t="inlineStr"/>
    </row>
    <row r="1220">
      <c r="A1220" t="inlineStr">
        <is>
          <t>azmzhh</t>
        </is>
      </c>
      <c r="B1220" t="inlineStr">
        <is>
          <t>Anyone tried new immunotherapy drug Libtayo ?</t>
        </is>
      </c>
      <c r="C1220" t="inlineStr">
        <is>
          <t>Anyone tried this new drug just approved by gov. Last year ? What kind of side effects did you experience ?Thanks</t>
        </is>
      </c>
      <c r="D1220" t="n">
        <v>7</v>
      </c>
      <c r="E1220" t="n">
        <v>0</v>
      </c>
      <c r="F1220">
        <f>HYPERLINK("https://www.reddit.com/r/cancer/comments/azmzhh/anyone_tried_new_immunotherapy_drug_libtayo/")</f>
        <v/>
      </c>
      <c r="G1220" t="inlineStr">
        <is>
          <t>2019-03-10 18:07:39</t>
        </is>
      </c>
      <c r="H1220" t="inlineStr"/>
    </row>
    <row r="1221">
      <c r="A1221" t="inlineStr">
        <is>
          <t>azopnd</t>
        </is>
      </c>
      <c r="B1221" t="inlineStr">
        <is>
          <t>Anxiety. Just diagnosed.</t>
        </is>
      </c>
      <c r="C1221" t="inlineStr">
        <is>
          <t xml:space="preserve">Who do you talk to when your anti social, independent,  a total loner, and your freaking out?  I don't want the attention but I am going to explode. 
Diagnosed last Wednesday with breast cancer.   MRI Tuesday and multiple appts after that.
Can't keep food down.  Hubby is terrified.
Wtf?
</t>
        </is>
      </c>
      <c r="D1221" t="n">
        <v>15</v>
      </c>
      <c r="E1221" t="n">
        <v>16</v>
      </c>
      <c r="F1221">
        <f>HYPERLINK("https://www.reddit.com/r/cancer/comments/azopnd/anxiety_just_diagnosed/")</f>
        <v/>
      </c>
      <c r="G1221" t="inlineStr">
        <is>
          <t>2019-03-10 21:03:38</t>
        </is>
      </c>
      <c r="H1221" t="inlineStr"/>
    </row>
    <row r="1222">
      <c r="A1222" t="inlineStr">
        <is>
          <t>azpo1e</t>
        </is>
      </c>
      <c r="B1222" t="inlineStr">
        <is>
          <t>Keytruda Vs. Chemo &amp;amp; Radiation... I can't decide!</t>
        </is>
      </c>
      <c r="C1222" t="inlineStr">
        <is>
          <t>This is for my mom - age 74 with numerous health issues just diagnosed in December with Primary Lung Adenocarcinoma, though the stage is not confirmed - they're guessing stage 4. She has a general oncologist locally, and a lung oncologist's second opinion with the best credentials at MD Anderson, but frankly, we're unhappy with both oncologists to be frank, but it's a toss up between which treatment regimen is best to try at least first - these are the facts:
Her current health issues:
Mild-moderate COPD with a bit of wheezing (though she doesn't feel like it bothers her at all - it's just her throat making a weird noise when she talks) once a month or so for a few days
smokes 8 cigarettes a day still (had one right after returning home after her lung biopsy)
facet arthritis in neck and vertebrae esp. lower back, stenosis, dextroscoliosis
fell down 1/29/19 on right hip which causes her immense pain daily
vascular degeneration
small vessel disease causing confusion and early signs of dementia - brother died of alzheimer's - massive anxiety and depression but refuses medication/anti-depressants
degenerative disc disease
varicose veins in legs, right carotid artery blockage around 70% (not enough for surgery yet given all of her other issues, but she did have a mini-stroke in 2015)
Slight colonic inflammation (as viewed on PET in 12/2018 - Gastro doc says doubtful it's cancer) 
Aortic valve leak from previous radiation 21 years ago causing loud heart murmur
Prior breast cancer from 21 years ago (both mother and sister passed from same cancer) - stage 3B or so - told her 1-2 years to live, had full mastectomy of left breast &amp;amp; FAC Chemo &amp;amp; Radiation...alive 21 years later - she had a strong will to live as I was 12 years old, and father died when I was 8 - only child. 
&amp;amp;#x200B;
General local oncologist: (same one from 21 years ago)
1) 12/2018 - found 2.8 cm tumor in left lobe on ER visit for chest pain (in 2015, it was 1.1 cm and too small to worry about at that point) along with a few very small nodules on the other lobe and a mediastinal mass, oncologists scheduled numerous diagnostic work-ups, thinks it 'may' be in the rib bone and chest lymph nodes but no brain or other organ mets, ordered a lung biopsy, which was inconclusive and did not retrieve any malignant cells from a needle biopsy through the back (radiologist #1)
\*\*I took her to a musculoskeletal oncologist to rule out bone mets, and he said he thinks it's just arthritic inflammation, not cancer - so he wouldn't stage it as 4 for bone.
2) 1/2019 - referred her to a thoracic surgeon for a thoracoscopy to get a biopsy, however after the pre-op cardiologist found the aortic valve leak which could lead to a heart attack under general anesthesia...
3) 2/2019 - we decided to pursue another needle biopsy requesting it from the front, and that led to a successful diagnosis almost 2 months later (radiologist #2). So he delayed everything by a month asking for a procedure, which was unnecessary due to the fault of the previous radiologist who told him he was confident another needle biopsy would not work. 
4) 3/2019 - Mutation panel came back - 100% positive for PD-L1 on all tumor cells, and negative for all other mutations = strong contender for Keytruda, so his recommendation is to treat solely with Keytruda as he believes chemo at her age with her conditions would be more detrimental to her health. My concern is with all of her other issues, the COPD and arthritis especially, that if the immune system attacks healthy tissue, pneumonitis, colitis, or even lung collapse could happen, and we'd have to be watching her like a hawk for so many potentially fatal side effects, yet the nurse says most of her patients have no issues with keytruda other than minor flu-like symptoms. Medicare and supplemental BCBS covers all of it, and she is ready to go with it any day now once we decide.
&amp;amp;#x200B;
MD Anderson Lung Oncologist with amazing background credentials:
1) 3/2019 - He wants to order another diagnostic procedure, a bronchoscopy, to insure the lymph nodes are malignant in order to better stage the cancer. This will delay treatment further, could have issues with the anesthesia propofol causing respiratory depression with her COPD, and my question is what is the point at this stage -- there is a mass there in the mediastinum - it's probably malignant being so close to the lung and the heart - what else would it be? It seems like a waste to do this procedure, when the targeted therapy with 100% mutation could treat the entire system. 
\- Depending on if it's malignant, he says chemo and radiation - radiation only if a radiation therapist says she is eligible given her chest being scarred from 21 years prior. If not malignant, just chemo for the nodules in the lungs.... 
So... chemo is toxic, radiation would be damaging to her already damaged organs... and I don't think chemo on its own has a higher chance of survival with lung cancer vs. targeted therapy with that percentage mutation.
&amp;amp;#x200B;
But he is the best oncologist credential-wise and is at MD Anderson, which is supposed to be the best. I think maybe he steers away from immunotherapy because of the unknown risk of damaging and lasting side effects to the body vs. chemo, once you're done, you're done... but with her age and all her issues, it's just so difficult to decide on what to pick. Neither of them mentioned doing a combo of immuno/chemo, so it's either one or the other at this point in terms of what they'll order. 
&amp;amp;#x200B;</t>
        </is>
      </c>
      <c r="D1222" t="n">
        <v>2</v>
      </c>
      <c r="E1222" t="n">
        <v>6</v>
      </c>
      <c r="F1222">
        <f>HYPERLINK("https://www.reddit.com/r/cancer/comments/azpo1e/keytruda_vs_chemo_radiation_i_cant_decide/")</f>
        <v/>
      </c>
      <c r="G1222" t="inlineStr">
        <is>
          <t>2019-03-10 22:48:05</t>
        </is>
      </c>
      <c r="H1222" t="inlineStr"/>
    </row>
    <row r="1223">
      <c r="A1223" t="inlineStr">
        <is>
          <t>azqgc3</t>
        </is>
      </c>
      <c r="B1223" t="inlineStr">
        <is>
          <t>my brother got cancer</t>
        </is>
      </c>
      <c r="C1223" t="inlineStr">
        <is>
          <t>my brother just got diagnosed with cancer some weeks back i’m really sad and i don’t know how to like move past the fact that he has cancer and feel better
i cry almost everyday at home and i cry in school too it’s been multiple times where i have had to leave class because i was crying and i’m super sensitive idk what to do</t>
        </is>
      </c>
      <c r="D1223" t="n">
        <v>39</v>
      </c>
      <c r="E1223" t="n">
        <v>16</v>
      </c>
      <c r="F1223">
        <f>HYPERLINK("https://www.reddit.com/r/cancer/comments/azqgc3/my_brother_got_cancer/")</f>
        <v/>
      </c>
      <c r="G1223" t="inlineStr">
        <is>
          <t>2019-03-11 00:23:44</t>
        </is>
      </c>
      <c r="H1223" t="inlineStr"/>
    </row>
    <row r="1224">
      <c r="A1224" t="inlineStr">
        <is>
          <t>azsf1y</t>
        </is>
      </c>
      <c r="B1224" t="inlineStr">
        <is>
          <t>Experience with Nivolumab (Opdivo) Immunotherapy?</t>
        </is>
      </c>
      <c r="C1224" t="inlineStr">
        <is>
          <t xml:space="preserve">Hello, 
I'm a 24-years-old stage IV Ocular Melanoma patient with liver metastases. I've had six TACE surgeries for targeted chemotherapy of the metastases. I've been in partial remission since about a month, and since the vessels in my liver are damaged from the surgeries and I've showed positive results, that therapy ended. 
Now I'm set to start with Immunotherapy (Nivolumab/Opdivo) next week, and to be honest I'm more terrified of that then the surgeries I've gone through the past few months, because I have no idea what to expect. Does anyone have any experiences with Immunotherapy (particularly with that drug) they can share with me? I'd appreciate it! </t>
        </is>
      </c>
      <c r="D1224" t="n">
        <v>5</v>
      </c>
      <c r="E1224" t="n">
        <v>3</v>
      </c>
      <c r="F1224">
        <f>HYPERLINK("https://www.reddit.com/r/cancer/comments/azsf1y/experience_with_nivolumab_opdivo_immunotherapy/")</f>
        <v/>
      </c>
      <c r="G1224" t="inlineStr">
        <is>
          <t>2019-03-11 04:37:37</t>
        </is>
      </c>
      <c r="H1224" t="inlineStr"/>
    </row>
    <row r="1225">
      <c r="A1225" t="inlineStr">
        <is>
          <t>azt7ni</t>
        </is>
      </c>
      <c r="B1225" t="inlineStr">
        <is>
          <t>Soft Tissue Sarcoma</t>
        </is>
      </c>
      <c r="C1225" t="inlineStr">
        <is>
          <t>My boyfriend (22yo) was diagnosed with soft tissue sarcoma when he was 17. Since we've been together there have been two reccurrences (3 total). He had surgery last August and he's going to have another one in a few weeks. 
I'm struggling to not be an emotional wreck most of the time about it. His cancer is super rare, so rare that everything I find on the internet about it isn't even the right kind. (He has soft tissue sarcoma but it's in his abdomen, not the arms or legs). Its also so rare that the mortality rates aren't really known (at least not that I'm aware of or have been able to find).
I'm posting this because I really want to try to learn to handle this but I don't even know how to go about it. So if anyone has tips on handling a SO dealing with cancer or something specific to soft tissue sarcoma, it would be much appreciated. 
(Also my boyfriend is weirdly calm and chill about it all. When he found out he was going to have to have another surgery he just seemed like it was "no big deal". Which is SUPER strange to me...)</t>
        </is>
      </c>
      <c r="D1225" t="n">
        <v>5</v>
      </c>
      <c r="E1225" t="n">
        <v>5</v>
      </c>
      <c r="F1225">
        <f>HYPERLINK("https://www.reddit.com/r/cancer/comments/azt7ni/soft_tissue_sarcoma/")</f>
        <v/>
      </c>
      <c r="G1225" t="inlineStr">
        <is>
          <t>2019-03-11 06:03:52</t>
        </is>
      </c>
      <c r="H1225" t="inlineStr"/>
    </row>
    <row r="1226">
      <c r="A1226" t="inlineStr">
        <is>
          <t>azug1s</t>
        </is>
      </c>
      <c r="B1226" t="inlineStr">
        <is>
          <t>It's Official...</t>
        </is>
      </c>
      <c r="C1226" t="inlineStr">
        <is>
          <t>I have officially been given the "All Clear". For the first time in over 2 years, I am cancer free. For those of you who have sent words of encouragement, been there to listen when I needed it, or simply shared your experience with me...I thank you all. Even though I have never met you in person, you were/are a very important part of my support system. For those who are still fighting, keep going, you can and will beat this thing. I will not be going anywhere, as I feel very connected to this community, and if I can help anybody who needs it, I will. Cheers to all 😁</t>
        </is>
      </c>
      <c r="D1226" t="n">
        <v>249</v>
      </c>
      <c r="E1226" t="n">
        <v>43</v>
      </c>
      <c r="F1226">
        <f>HYPERLINK("https://www.reddit.com/r/cancer/comments/azug1s/its_official/")</f>
        <v/>
      </c>
      <c r="G1226" t="inlineStr">
        <is>
          <t>2019-03-11 08:02:02</t>
        </is>
      </c>
      <c r="H1226" t="inlineStr"/>
    </row>
    <row r="1227">
      <c r="A1227" t="inlineStr">
        <is>
          <t>azuqhu</t>
        </is>
      </c>
      <c r="B1227" t="inlineStr">
        <is>
          <t>How to talk to someone who is saying mostly gibberish or hallucinating?</t>
        </is>
      </c>
      <c r="C1227" t="inlineStr">
        <is>
          <t>My mom is toward the end of her battle with cancer.  She has been mostly clear-headed until now, and now she's increasingly less lucid and more confused.  She's saying a lot of things that are mostly gibberish, like "We got to get a bag of bagels," "It's got a hole in it," or mumbling incoherently.  She's also hallucinating sometimes, nothing particularly frightening, but she'll see dogs or things like that.  She became fixated on a particular hallucination asking if it was green or brown, and I responded with "green."  She accepted that and moved on.  
What's the best way to respond to these kind of things?</t>
        </is>
      </c>
      <c r="D1227" t="n">
        <v>8</v>
      </c>
      <c r="E1227" t="n">
        <v>11</v>
      </c>
      <c r="F1227">
        <f>HYPERLINK("https://www.reddit.com/r/cancer/comments/azuqhu/how_to_talk_to_someone_who_is_saying_mostly/")</f>
        <v/>
      </c>
      <c r="G1227" t="inlineStr">
        <is>
          <t>2019-03-11 08:28:17</t>
        </is>
      </c>
      <c r="H1227" t="inlineStr"/>
    </row>
    <row r="1228">
      <c r="A1228" t="inlineStr">
        <is>
          <t>azvdl4</t>
        </is>
      </c>
      <c r="B1228" t="inlineStr">
        <is>
          <t>My RT is finally over!</t>
        </is>
      </c>
      <c r="C1228" t="inlineStr">
        <is>
          <t>I am a ways away from saying I beat cancer but at least I can say my RT sessions are over! With all the trouble I had the past month and a half I feel a sense of relief that I am not putting my body through that every day. Now the healing can begin!</t>
        </is>
      </c>
      <c r="D1228" t="n">
        <v>11</v>
      </c>
      <c r="E1228" t="n">
        <v>1</v>
      </c>
      <c r="F1228">
        <f>HYPERLINK("https://www.reddit.com/r/cancer/comments/azvdl4/my_rt_is_finally_over/")</f>
        <v/>
      </c>
      <c r="G1228" t="inlineStr">
        <is>
          <t>2019-03-11 09:23:49</t>
        </is>
      </c>
      <c r="H1228" t="inlineStr"/>
    </row>
    <row r="1229">
      <c r="A1229" t="inlineStr">
        <is>
          <t>azvvlj</t>
        </is>
      </c>
      <c r="B1229" t="inlineStr">
        <is>
          <t>Oligometastatic Breast Cancer?</t>
        </is>
      </c>
      <c r="C1229" t="inlineStr">
        <is>
          <t xml:space="preserve">I’ve been reading a lot of conflicting info about what this is, how it’s treated, and if it might be able to be cured. Could someone please explain it to me? </t>
        </is>
      </c>
      <c r="D1229" t="n">
        <v>6</v>
      </c>
      <c r="E1229" t="n">
        <v>4</v>
      </c>
      <c r="F1229">
        <f>HYPERLINK("https://www.reddit.com/r/cancer/comments/azvvlj/oligometastatic_breast_cancer/")</f>
        <v/>
      </c>
      <c r="G1229" t="inlineStr">
        <is>
          <t>2019-03-11 10:06:37</t>
        </is>
      </c>
      <c r="H1229" t="inlineStr"/>
    </row>
    <row r="1230">
      <c r="A1230" t="inlineStr">
        <is>
          <t>azw8gu</t>
        </is>
      </c>
      <c r="B1230" t="inlineStr">
        <is>
          <t>My husband’s tumors are shrinking!</t>
        </is>
      </c>
      <c r="C1230" t="inlineStr">
        <is>
          <t>Husband (35) has stage 4 neuroendocrine cancer metastasized to liver, lung, and lymph nodes. He has been treated with a Cap/Tem chemo and radiation therapy as well as somostatin shots and medical marijuana. Went for a scan last week and they called Friday to tell us his tumors are shrinking. We will go back on the 29th to find out which ones and how much. Super happy about this. I am praying he keeps getting good scans.  🙏🏼🙏🏼</t>
        </is>
      </c>
      <c r="D1230" t="n">
        <v>75</v>
      </c>
      <c r="E1230" t="n">
        <v>10</v>
      </c>
      <c r="F1230">
        <f>HYPERLINK("https://www.reddit.com/r/cancer/comments/azw8gu/my_husbands_tumors_are_shrinking/")</f>
        <v/>
      </c>
      <c r="G1230" t="inlineStr">
        <is>
          <t>2019-03-11 10:37:24</t>
        </is>
      </c>
      <c r="H1230" t="inlineStr"/>
    </row>
    <row r="1231">
      <c r="A1231" t="inlineStr">
        <is>
          <t>azwbic</t>
        </is>
      </c>
      <c r="B1231" t="inlineStr">
        <is>
          <t>I want to go back to being a kid.</t>
        </is>
      </c>
      <c r="C1231" t="inlineStr">
        <is>
          <t xml:space="preserve">My dad has stage IV Pancreatic Cancer. And I just want to be a kid again, I want him to be happy. I want my mom to be happy. I want to be looking out through the kitchen window as the yard began to be filled with butterflies and birds as spring time lifted away winter.
Fuck this cancer fuck bullshit. </t>
        </is>
      </c>
      <c r="D1231" t="n">
        <v>31</v>
      </c>
      <c r="E1231" t="n">
        <v>6</v>
      </c>
      <c r="F1231">
        <f>HYPERLINK("https://www.reddit.com/r/cancer/comments/azwbic/i_want_to_go_back_to_being_a_kid/")</f>
        <v/>
      </c>
      <c r="G1231" t="inlineStr">
        <is>
          <t>2019-03-11 10:44:38</t>
        </is>
      </c>
      <c r="H1231" t="inlineStr"/>
    </row>
    <row r="1232">
      <c r="A1232" t="inlineStr">
        <is>
          <t>azwpkm</t>
        </is>
      </c>
      <c r="B1232" t="inlineStr">
        <is>
          <t>Did anyone else play football in the late 80s?</t>
        </is>
      </c>
      <c r="C1232" t="inlineStr">
        <is>
          <t>My friend was just diagnosed with colon cancer. He has since learned that 8 of his teammates from Alabama have also been diagnosed the same type of cancer. He tested negative for genetic markets, as have his teammates.
Just curious is any others that played football in the late 80s have been diagnosed as well or if this is just a large coincidence.</t>
        </is>
      </c>
      <c r="D1232" t="n">
        <v>5</v>
      </c>
      <c r="E1232" t="n">
        <v>6</v>
      </c>
      <c r="F1232">
        <f>HYPERLINK("https://www.reddit.com/r/cancer/comments/azwpkm/did_anyone_else_play_football_in_the_late_80s/")</f>
        <v/>
      </c>
      <c r="G1232" t="inlineStr">
        <is>
          <t>2019-03-11 11:16:29</t>
        </is>
      </c>
      <c r="H1232" t="inlineStr"/>
    </row>
    <row r="1233">
      <c r="A1233" t="inlineStr">
        <is>
          <t>azxx6n</t>
        </is>
      </c>
      <c r="B1233" t="inlineStr">
        <is>
          <t>Questions</t>
        </is>
      </c>
      <c r="C1233" t="inlineStr">
        <is>
          <t>I had a BMT for AML back in Dec 2017 in which I've slowly but steadily declined since.
I recently had Neurotoxicity and was emergency admit.  Voriconazole doesn't play nice with anything.  They took me off everything and did rapid IV fluids.  Tacro level was near 40, potassium was sky high, kidneys were iffy and q wave was out of whack.  When labs came back normal they turfed me out and put me back on everything.  That night auditory and visual hallucinations, extremely sensitive to sound and touch.  It was bad, I didn't recognize the hospital floor, or the nurses, I could barely remember my own name.  They would ask a question and I would forget what were were talking about before they finished the question.  I'm told there can be permanent effects from that.  Is there some sort of test I can take to find out?
Other question.  Been on tacro for over a year.  Stable for most of the time with some odd variances here and there.  They seem to like it around 6-8.  But now it won't hold, it drops below 2, they raise the dose and then it craters again.  I'm doing nothing other than what I'm told.  Not drinking or doing anything to potentially alter it.  They can't figure it out.  Is my body just saying to hell with it and rejecting the immunosuppresive drugs?</t>
        </is>
      </c>
      <c r="D1233" t="n">
        <v>3</v>
      </c>
      <c r="E1233" t="n">
        <v>5</v>
      </c>
      <c r="F1233">
        <f>HYPERLINK("https://www.reddit.com/r/cancer/comments/azxx6n/questions/")</f>
        <v/>
      </c>
      <c r="G1233" t="inlineStr">
        <is>
          <t>2019-03-11 12:56:09</t>
        </is>
      </c>
      <c r="H1233" t="inlineStr"/>
    </row>
    <row r="1234">
      <c r="A1234" t="inlineStr">
        <is>
          <t>azxzex</t>
        </is>
      </c>
      <c r="B1234" t="inlineStr">
        <is>
          <t>Likelihood of relapse after 1 year?</t>
        </is>
      </c>
      <c r="C1234" t="inlineStr">
        <is>
          <t>My mum has secondary bowel cancer to her liver. It’s been a year since and she recently got the all clear! I was just wondering if there’s much chance of it coming back still? It was at an advanced stage but it was 1 small one and they managed to operate on it. Be honest please. Is relapse still likely?</t>
        </is>
      </c>
      <c r="D1234" t="n">
        <v>6</v>
      </c>
      <c r="E1234" t="n">
        <v>2</v>
      </c>
      <c r="F1234">
        <f>HYPERLINK("https://www.reddit.com/r/cancer/comments/azxzex/likelihood_of_relapse_after_1_year/")</f>
        <v/>
      </c>
      <c r="G1234" t="inlineStr">
        <is>
          <t>2019-03-11 13:00:58</t>
        </is>
      </c>
      <c r="H1234" t="inlineStr"/>
    </row>
    <row r="1235">
      <c r="A1235" t="inlineStr">
        <is>
          <t>azy2u6</t>
        </is>
      </c>
      <c r="B1235" t="inlineStr">
        <is>
          <t>My aunt is dying [rant] [story] [don't read]</t>
        </is>
      </c>
      <c r="C1235" t="inlineStr">
        <is>
          <t>She had endometrial adenocarcinoma. She got chemo and she went under surgery. Everything seemed to be fine.
After some months, MDs found lung mets. Surprise. Unexpected. She had a first round of chemo. More mets but MDs said "no mets in other organs". Same for round two. Now she is in round three. 
In the meantime she is dying. My uncle (her husband) has always been a funny person and tries to remain such but I know he is crying every day. 
He cannot live without her. I know he will commit suicide the day after, you know. Or maybe he is accepting. Who knows?
Noone is doing anything today help her. My wife says never give up with hope, she is too positive. A doctor my aunt trusts says she has to fight with all her strength and he is trying to help with complementary cures.
Nothing is actually working. My uncle and my aunt are running after new doctors every day. What is the reason of this? None. Keep people occupied, whilst accepting death. 
I read about statistics. MDs know about statistics. You survive to Endometrial adenocarcinoma up to 5 years in 80%the of the cases. Wtf? What kind of statistics is this? Do they die after 5 years and one day? So, did the MDs already know she was going to die after having discovered the illness?
MDs are proposing solutions every day. You know what are the reasons of all this? Keep people occupied while accepting death. 
They know statistics. MDs know statistics. All relatives know statistics. Only me says the truth. She is dying.
What can I do? Take a picture with her while waiting she passes away. The few days I can be with her/them.
Why have not the doctor told her : " you are going to die, enjoy your last years "? No. They just invent new bullshit. Every fucking day. Will my uncle kill himself the day after?</t>
        </is>
      </c>
      <c r="D1235" t="n">
        <v>6</v>
      </c>
      <c r="E1235" t="n">
        <v>2</v>
      </c>
      <c r="F1235">
        <f>HYPERLINK("https://www.reddit.com/r/cancer/comments/azy2u6/my_aunt_is_dying_rant_story_dont_read/")</f>
        <v/>
      </c>
      <c r="G1235" t="inlineStr">
        <is>
          <t>2019-03-11 13:08:39</t>
        </is>
      </c>
      <c r="H1235" t="inlineStr"/>
    </row>
    <row r="1236">
      <c r="A1236" t="inlineStr">
        <is>
          <t>azyrx3</t>
        </is>
      </c>
      <c r="B1236" t="inlineStr">
        <is>
          <t>We Need Prayers</t>
        </is>
      </c>
      <c r="C1236" t="inlineStr">
        <is>
          <t>My uncle found out he had colon cancer not too long ago. He went back to the doctors today to find out how bad it was. Turns out he not only has colon cancer, but it has spread to his liver, bones, spine, and lymph nodes. We need a miracle at this point. He goes to the chemo doctor tomorrow, and a surgeon on Wednesday. Please send prayers. ❤️</t>
        </is>
      </c>
      <c r="D1236" t="n">
        <v>27</v>
      </c>
      <c r="E1236" t="n">
        <v>3</v>
      </c>
      <c r="F1236">
        <f>HYPERLINK("https://www.reddit.com/r/cancer/comments/azyrx3/we_need_prayers/")</f>
        <v/>
      </c>
      <c r="G1236" t="inlineStr">
        <is>
          <t>2019-03-11 14:05:28</t>
        </is>
      </c>
      <c r="H1236" t="inlineStr"/>
    </row>
    <row r="1237">
      <c r="A1237" t="inlineStr">
        <is>
          <t>azzlw2</t>
        </is>
      </c>
      <c r="B1237" t="inlineStr">
        <is>
          <t>Need some reassurance through all of this waiting</t>
        </is>
      </c>
      <c r="C1237" t="inlineStr">
        <is>
          <t>Alright, so this past week there has been a 3cm bump at the very bottom of my throat/above my right collarbone that was causing me pain. I waited about 7 days before getting it looked at and had an ultrasound/CT scan done last Thursday. Results came back and it seems this tumor has some "legs" under it and is near a blood vessel, lymph node and muscle.
The CT scan also showed 2 more swollen lymph nodes, one in my chest and one kinda near the middle of my neck. Besides the pain I was experiencing near the tumor, I have felt great. No signs of anything else and only this bump that has shown up out of nowhere.
My doctor is pretty sure it is cancer but isn't 100% and wants to send me to a better hospital(Vanderbilt) to have another CT scan on the rest of my chest and biopsy done on the tumor. 
So I waited through the weekend and was hoping to hear a call today about some appointments being set up but apparently my doctor faxed my information to the wrong fax number at Vandy and now they are having to resend it and wait for them to review it and get back to me. So now I am hoping for a call tomorrow. 
The pain near bump stopped around last Thursday so I don't know if that is good or not. Right now it is mainly my mind that is driving me wild. Every little thing I feel makes me think of cancer. I'm worrying myself sick but I'm starting to handle it a bit better. 
I'm holding out hope that it turns out not be cancer but I am preparing myself to hear that it is. I just really hope I got this checked in time and that it all should be easier to deal with. I'm only 21 years old and just hoping to get started on whatever I need to do to get past this, I just wish I could get in and get the rest of my tests done to get the ball rolling a bit. Sitting here waiting makes everything feel so pointless. 
Anyone here with a similar feeling/experience that can share some advice or optimism to help me get through this waiting stage? Sorry for so much text but I just needed to vent a bit. Thank you :)</t>
        </is>
      </c>
      <c r="D1237" t="n">
        <v>1</v>
      </c>
      <c r="E1237" t="n">
        <v>12</v>
      </c>
      <c r="F1237">
        <f>HYPERLINK("https://www.reddit.com/r/cancer/comments/azzlw2/need_some_reassurance_through_all_of_this_waiting/")</f>
        <v/>
      </c>
      <c r="G1237" t="inlineStr">
        <is>
          <t>2019-03-11 15:12:47</t>
        </is>
      </c>
      <c r="H1237" t="inlineStr"/>
    </row>
    <row r="1238">
      <c r="A1238" t="inlineStr">
        <is>
          <t>b000wx</t>
        </is>
      </c>
      <c r="B1238" t="inlineStr">
        <is>
          <t>Brain fog</t>
        </is>
      </c>
      <c r="C1238" t="inlineStr">
        <is>
          <t xml:space="preserve">Has anyone found anything useful for chemo brain fog?   I'm trying to get more exercise but it's difficult with the constant fatigue.  </t>
        </is>
      </c>
      <c r="D1238" t="n">
        <v>15</v>
      </c>
      <c r="E1238" t="n">
        <v>17</v>
      </c>
      <c r="F1238">
        <f>HYPERLINK("https://www.reddit.com/r/cancer/comments/b000wx/brain_fog/")</f>
        <v/>
      </c>
      <c r="G1238" t="inlineStr">
        <is>
          <t>2019-03-11 15:48:09</t>
        </is>
      </c>
      <c r="H1238" t="inlineStr"/>
    </row>
    <row r="1239">
      <c r="A1239" t="inlineStr">
        <is>
          <t>b0024f</t>
        </is>
      </c>
      <c r="B1239" t="inlineStr">
        <is>
          <t>How do docs see if a tumor is benign or malignant?</t>
        </is>
      </c>
      <c r="C1239" t="inlineStr">
        <is>
          <t xml:space="preserve">I’m 23(F) And recently had an ultrasound on a lump I had found in my right breast about a month ago. 
We discovered that it is a 1 inch tumor. My doctor had said (if I’m remembering correctly) that it was benign. 
But now I’m wondering how they saw that it was benign and not cancerous/active through the ultrasound without any biopsy? 
I was given the option of letting it be and keeping an eye on it, doing a biopsy, or removing the tumor. I’m pretty set on removing it completely, especially being that my mother had breast cancer at 42. And I’m choosing to remove it because I don’t want to live with a large lump in my breast for years and years. 
I have an appointment on April 10th to have a consultation about the surgery, but I’m wondering if I should just have a biopsy in the meantime to have some peace of mind? </t>
        </is>
      </c>
      <c r="D1239" t="n">
        <v>6</v>
      </c>
      <c r="E1239" t="n">
        <v>8</v>
      </c>
      <c r="F1239">
        <f>HYPERLINK("https://www.reddit.com/r/cancer/comments/b0024f/how_do_docs_see_if_a_tumor_is_benign_or_malignant/")</f>
        <v/>
      </c>
      <c r="G1239" t="inlineStr">
        <is>
          <t>2019-03-11 15:50:52</t>
        </is>
      </c>
      <c r="H1239" t="inlineStr"/>
    </row>
    <row r="1240">
      <c r="A1240" t="inlineStr">
        <is>
          <t>b00a9f</t>
        </is>
      </c>
      <c r="B1240" t="inlineStr">
        <is>
          <t>How long does this test take?</t>
        </is>
      </c>
      <c r="C1240" t="inlineStr">
        <is>
          <t>I had a peripheral blood smear sent out last Tuesday and my doctors still havent seen results and I'm scared cause they said it shouldn't take this long either does that mean there is something really wrong that it's taking so long?</t>
        </is>
      </c>
      <c r="D1240" t="n">
        <v>1</v>
      </c>
      <c r="E1240" t="n">
        <v>1</v>
      </c>
      <c r="F1240">
        <f>HYPERLINK("https://www.reddit.com/r/cancer/comments/b00a9f/how_long_does_this_test_take/")</f>
        <v/>
      </c>
      <c r="G1240" t="inlineStr">
        <is>
          <t>2019-03-11 16:10:53</t>
        </is>
      </c>
      <c r="H1240" t="inlineStr"/>
    </row>
    <row r="1241">
      <c r="A1241" t="inlineStr">
        <is>
          <t>b0147f</t>
        </is>
      </c>
      <c r="B1241" t="inlineStr">
        <is>
          <t>I am beyond terrified.</t>
        </is>
      </c>
      <c r="C1241" t="inlineStr">
        <is>
          <t>My name is Toni and I am 17 years old. So about two days ago, I noticed that sometimes with deep breathing, Ill have a pain in my upper back near my shoulder blade (as I am typing this, I can kinda feel something in that area but it is much closer to discomfort rather than pain). I also noticed chest pain as well. The following day (yesterday) I only ate 3 cuties and a cliff bar for the entire day which I assume is definitely classified as loss of appetite although my hunger has returned to normal since then. Yesterday I also was sleepy for almost the entire day and barely got out of bed. I looked up these symptoms and oh my God am I scared. From what I can gather, I probably have stage 3 or 4 lung cancer which has spread already to other organs (which would explain the back pain when I breathe). I probably only have up to a year left to live. I get so scared sometimes I start crying. Currently, my mother is away in another state until Saturday and I am staying at a friend's house which means that I won't be able to visit a doctor until this weekend at the absolute earliest. I am almost 100% sure that I have cancer. The fear or death and/or future chemotherapy (which would probably only keep me alive for maybe a few months) is very debilitating. I had just gotten accepted into my top choice school, too. Just imagining what it will be like when I have to ask my mother to take me to an oncologist is so foreign and surreal to me that I have difficulty wrapping my head around it. I'll never have my first job. I'll never have my first kiss. I'll never lose my virginity. I'll never go to college. I might not even graduate highschool. How do I even cope with something like this? I have never had to deal with the death of a close family member or anything. I'm on the verge of tears all day. I hope to God that it's not cancer but the symptoms are just way too specific.</t>
        </is>
      </c>
      <c r="D1241" t="n">
        <v>0</v>
      </c>
      <c r="E1241" t="n">
        <v>0</v>
      </c>
      <c r="F1241">
        <f>HYPERLINK("https://www.reddit.com/r/cancer/comments/b0147f/i_am_beyond_terrified/")</f>
        <v/>
      </c>
      <c r="G1241" t="inlineStr">
        <is>
          <t>2019-03-11 17:26:46</t>
        </is>
      </c>
      <c r="H1241" t="inlineStr"/>
    </row>
    <row r="1242">
      <c r="A1242" t="inlineStr">
        <is>
          <t>b02xjy</t>
        </is>
      </c>
      <c r="B1242" t="inlineStr">
        <is>
          <t>Are you a breast cancer survivor? We need your help in our research. (reposted with more details!)</t>
        </is>
      </c>
      <c r="C1242" t="inlineStr">
        <is>
          <t>Hello! My name is Elina, and I'm a research intern at the Dougan Lab at San Jose State University.
Our lab is looking for breast cancer survivors to provide their input for a mobile application we are developing. Ultimately, we hope to use your input to create this application, which will deliver targeted recommendations aimed at improving the quality of life of breast cancer survivors. Your input is highly valued, as this mobile application could potentially help thousands of survivors better live with their breast cancer.
If you are:  
\- A woman, aged 35-65  
\- A breast cancer survivor  
\- Past active treatment stage
We invite you to participate. The study will be conducted as a focus group discussion, either on site at San Jose State University, or online through Zoom, a video calling application, if you are not located in the Bay Area. Participants will be compensated with a $30 Target gift card. Please email me at elina.xie@sjsu.edu if you're interested in participating! I will reply CCing my professor, who will be able to let you know what our next steps are.
If you have any other questions, feel free to PM me or leave a comment below.
Thank you for your time and consideration!</t>
        </is>
      </c>
      <c r="D1242" t="n">
        <v>13</v>
      </c>
      <c r="E1242" t="n">
        <v>4</v>
      </c>
      <c r="F1242">
        <f>HYPERLINK("https://www.reddit.com/r/cancer/comments/b02xjy/are_you_a_breast_cancer_survivor_we_need_your/")</f>
        <v/>
      </c>
      <c r="G1242" t="inlineStr">
        <is>
          <t>2019-03-11 20:27:23</t>
        </is>
      </c>
      <c r="H1242" t="inlineStr"/>
    </row>
    <row r="1243">
      <c r="A1243" t="inlineStr">
        <is>
          <t>b02yut</t>
        </is>
      </c>
      <c r="B1243" t="inlineStr">
        <is>
          <t>Symptoms of liver cancer in a previous liver donor</t>
        </is>
      </c>
      <c r="C1243" t="inlineStr">
        <is>
          <t>I'm a 28 y.o. girl who donated part of her liver (right-lobe) over 5 years ago. I've been healthy ever find. Recently, when I went to see the doctor got my regular check-up, my Liver Function Test (LFT) indicated elevated bilirubin level. My doctor want very concerned about it but because of my history of liver donation recommended that I see the liver specialist. 
Then I recently went to see the liver specialist. First the doctor arrived an hour later at the appointment and on top of that he seemed too loud back. He asked me about my eating and workout habits and concluded that I was very healthy. He also felt my abdominal area around the incision and didn't feel anything alarming. He suggested that I come back in a few weeks and that he will order me tests for determining whether the bilirubin is direct or indirect. Apparently one of more dangerous than the other. Since I didn't feel any symptoms, I decided to just go back for the followup and remind him of the bilirubin test that he had forgot to order for me. 
It's been a couple of weeks since then. A few night ago, I felt a bulge on the right of my abdomen by my ribs. I had been skiing for a couple of days and had a about heavy workout at my CrossFit class so I immediately concluded it must be related to that. However, the next morning I decided to look up online what a lump by the ribs could mean. I'm terrified at the results-- elevated bilirubin (jaundice), right side shoulder pain and the lump all seem to point to liver cancer.
I might be a little ahead of myself but I also noticed that the treatment for liver cancer involves liver resection if the affected part. I wonder if that's doable on a previously donated liver. Has anyone had similar symptoms but ended with a less terrifying diagnosis?
I'm going for my abdominal ultrasound day after tomorrow 🤞</t>
        </is>
      </c>
      <c r="D1243" t="n">
        <v>0</v>
      </c>
      <c r="E1243" t="n">
        <v>1</v>
      </c>
      <c r="F1243">
        <f>HYPERLINK("https://www.reddit.com/r/cancer/comments/b02yut/symptoms_of_liver_cancer_in_a_previous_liver_donor/")</f>
        <v/>
      </c>
      <c r="G1243" t="inlineStr">
        <is>
          <t>2019-03-11 20:31:02</t>
        </is>
      </c>
      <c r="H1243" t="inlineStr"/>
    </row>
    <row r="1244">
      <c r="A1244" t="inlineStr">
        <is>
          <t>b03s49</t>
        </is>
      </c>
      <c r="B1244" t="inlineStr">
        <is>
          <t>Rolimus 5 mg |Everolimus |Blueberry pharmaceuticals</t>
        </is>
      </c>
      <c r="C1244" t="inlineStr">
        <is>
          <t xml:space="preserve">[**Rolimus 5mg**](https://blueberrypharma.com/rolimus-5-mg.php) involved in the treatment of some neuroendocrine tumors like pancreatic, gastrointestinal or lung cancer @ Blueberry pharmaceuticals </t>
        </is>
      </c>
      <c r="D1244" t="n">
        <v>1</v>
      </c>
      <c r="E1244" t="n">
        <v>0</v>
      </c>
      <c r="F1244">
        <f>HYPERLINK("https://www.reddit.com/r/cancer/comments/b03s49/rolimus_5_mg_everolimus_blueberry_pharmaceuticals/")</f>
        <v/>
      </c>
      <c r="G1244" t="inlineStr">
        <is>
          <t>2019-03-11 22:01:49</t>
        </is>
      </c>
      <c r="H1244" t="inlineStr"/>
    </row>
    <row r="1245">
      <c r="A1245" t="inlineStr">
        <is>
          <t>b04d9s</t>
        </is>
      </c>
      <c r="B1245" t="inlineStr">
        <is>
          <t>Rolimus 10 mg |Everolimus |Blueberry pharmaceuticals</t>
        </is>
      </c>
      <c r="C1245" t="inlineStr">
        <is>
          <t xml:space="preserve">[**Rolimus 10 mg**](https://blueberrypharma.com/rolimus-10-mg.php) belongs to anti-neoplastic agent it comes under mTOR kinase inhibitor (single transduction inhibitor).Rolimus 10mg is an immunosuppressive macrolide @ Blueberry pharmaceuticals </t>
        </is>
      </c>
      <c r="D1245" t="n">
        <v>1</v>
      </c>
      <c r="E1245" t="n">
        <v>0</v>
      </c>
      <c r="F1245">
        <f>HYPERLINK("https://www.reddit.com/r/cancer/comments/b04d9s/rolimus_10_mg_everolimus_blueberry_pharmaceuticals/")</f>
        <v/>
      </c>
      <c r="G1245" t="inlineStr">
        <is>
          <t>2019-03-11 23:14:34</t>
        </is>
      </c>
      <c r="H1245" t="inlineStr"/>
    </row>
    <row r="1246">
      <c r="A1246" t="inlineStr">
        <is>
          <t>b07hyv</t>
        </is>
      </c>
      <c r="B1246" t="inlineStr">
        <is>
          <t>hey</t>
        </is>
      </c>
      <c r="C1246" t="inlineStr">
        <is>
          <t>i haveh crh\] deseasee</t>
        </is>
      </c>
      <c r="D1246" t="n">
        <v>0</v>
      </c>
      <c r="E1246" t="n">
        <v>1</v>
      </c>
      <c r="F1246">
        <f>HYPERLINK("https://www.reddit.com/r/cancer/comments/b07hyv/hey/")</f>
        <v/>
      </c>
      <c r="G1246" t="inlineStr">
        <is>
          <t>2019-03-12 05:59:58</t>
        </is>
      </c>
      <c r="H1246" t="inlineStr"/>
    </row>
    <row r="1247">
      <c r="A1247" t="inlineStr">
        <is>
          <t>b07su5</t>
        </is>
      </c>
      <c r="B1247" t="inlineStr">
        <is>
          <t>is this cancer? i need help i'm worried</t>
        </is>
      </c>
      <c r="C1247" t="inlineStr">
        <is>
          <t>my breast hurts and i can feel like i have a cyst on my underarms but i'm not sure about it because i don't wanna touch it or check it because it hurts and im scared.
yes i am just 13, i searched on the internet, and some sources says that 13 year olds are impossible to have breast cancer. but still, i am worried. i don't wanna tell this to my parents or to anyone because they might get worried too. 
and my family has some history of breast cancer. btw my grandmother had one actually and we're happy because she survived and recovered 
help and advices please</t>
        </is>
      </c>
      <c r="D1247" t="n">
        <v>0</v>
      </c>
      <c r="E1247" t="n">
        <v>2</v>
      </c>
      <c r="F1247">
        <f>HYPERLINK("https://www.reddit.com/r/cancer/comments/b07su5/is_this_cancer_i_need_help_im_worried/")</f>
        <v/>
      </c>
      <c r="G1247" t="inlineStr">
        <is>
          <t>2019-03-12 06:29:59</t>
        </is>
      </c>
      <c r="H1247" t="inlineStr"/>
    </row>
    <row r="1248">
      <c r="A1248" t="inlineStr">
        <is>
          <t>b07xqi</t>
        </is>
      </c>
      <c r="B1248" t="inlineStr">
        <is>
          <t>Have You Recently Been Diagnosed with Cancer or Undergo Treatment? We need your help in our research.</t>
        </is>
      </c>
      <c r="C1248" t="inlineStr">
        <is>
          <t>We are currently looking for people to take part in our research study at the University of Chester, UK, on daily functioning and psychological wellbeing in cancer patients.
Receiving a cancer diagnosis and all that comes after this can often be a distressing, worrying and confusing time. Our aim is to investigate how cancer has affected your daily functioning and emotional wellbeing. We are particularly interested in how this then affects decisions you make about your treatment. Our goal is to help others that might find themselves in your position in the future. To do this, we need your help.
Anyone who is over 16 years of age and been diagnosed with any type of cancer can take part.Unfortunately, this study isn't suitable for cancer survivors who completed their treatments. If you decide to take part, you will be asked to complete an online questionnaire that will take around 30 minutes to complete. You will be also asked whether you would like to participate in a phone or Skype interview at a later date, but you don’t have to agree to this to take part in the questionnaire study. While we hope that taking part will be a positive experience for you, we also understand that answering questions about your illness may be upsetting. You can always stop the questionnaire at any time. All your answers and data will be anonymous.
If you would like to take part, please click the following link. This will take you to the survey and study information sheet.
Link: [https://chester.onlinesurveys.ac.uk/reddit](https://chester.onlinesurveys.ac.uk/reddit)
Thank you,
David Budzynski, BSc (Hons)
MRes student conducting the research</t>
        </is>
      </c>
      <c r="D1248" t="n">
        <v>11</v>
      </c>
      <c r="E1248" t="n">
        <v>0</v>
      </c>
      <c r="F1248">
        <f>HYPERLINK("https://www.reddit.com/r/cancer/comments/b07xqi/have_you_recently_been_diagnosed_with_cancer_or/")</f>
        <v/>
      </c>
      <c r="G1248" t="inlineStr">
        <is>
          <t>2019-03-12 06:43:47</t>
        </is>
      </c>
      <c r="H1248" t="inlineStr"/>
    </row>
    <row r="1249">
      <c r="A1249" t="inlineStr">
        <is>
          <t>b0ayux</t>
        </is>
      </c>
      <c r="B1249" t="inlineStr">
        <is>
          <t>A Stepping Stone in the Grieving Process</t>
        </is>
      </c>
      <c r="C1249" t="inlineStr">
        <is>
          <t>Hello everyone-
Mom passed last June from Liver and Bile Duct Cancer and many of you in this group have helped me through this experience.  I thought I'd share something that happened to me today on the way to work that brought me some peace.
I've spent a lot of time crying because mom had to leave, and witnessing how quickly her health diminished each time I traveled down to see her was excruciating.  Having good friends and an excellent partner in life has been very helpful.  I even saw a therapist for a while, but of course, the pain continued.
It wasn't until today that on my way to work I had a random memory of hitting a home run in little league decades ago, and mom whistled the way only she could-- and then yelled out "yay, Dave!!"  She made me a special dinner that night.  
Before I parked my car at work a big smile came across my face because SHE was my  mom....and that made me feel so lucky.  It was the first memory I've had since she left that brought me a smile.  I think that's a small stepping stone in the grieving process.
To those of you going through this with a loved one, things will get better.  Grief is a long process and you just have to let it happen.  One day you'll have a fond memory come to you and the happy will perhaps outweigh the sad; even for just a moment.
I hope that helps.
&amp;amp;#x200B;
Dave</t>
        </is>
      </c>
      <c r="D1249" t="n">
        <v>95</v>
      </c>
      <c r="E1249" t="n">
        <v>21</v>
      </c>
      <c r="F1249">
        <f>HYPERLINK("https://www.reddit.com/r/cancer/comments/b0ayux/a_stepping_stone_in_the_grieving_process/")</f>
        <v/>
      </c>
      <c r="G1249" t="inlineStr">
        <is>
          <t>2019-03-12 11:08:51</t>
        </is>
      </c>
      <c r="H1249" t="inlineStr"/>
    </row>
    <row r="1250">
      <c r="A1250" t="inlineStr">
        <is>
          <t>b0cttz</t>
        </is>
      </c>
      <c r="B1250" t="inlineStr">
        <is>
          <t>I finally got some good news! So why don’t I feel good about it?</t>
        </is>
      </c>
      <c r="C1250" t="inlineStr">
        <is>
          <t>After 2 years of slowly growing cancer that progresses with every scan, a scan finally came back showing that the tumors have shrunk.  By 50%.  After only one month of a new treatment.
My family and friends are overjoyed, but I’m an anxious mess.  It doesn’t help that I am recovering from pneumonia and I can’t get around like I’m used to.
Does anybody else feel this way after getting good news?  Do you have any tips on how I can just suck it up and enjoy my news?  What do you do/not do that helps you?</t>
        </is>
      </c>
      <c r="D1250" t="n">
        <v>18</v>
      </c>
      <c r="E1250" t="n">
        <v>14</v>
      </c>
      <c r="F1250">
        <f>HYPERLINK("https://www.reddit.com/r/cancer/comments/b0cttz/i_finally_got_some_good_news_so_why_dont_i_feel/")</f>
        <v/>
      </c>
      <c r="G1250" t="inlineStr">
        <is>
          <t>2019-03-12 13:43:55</t>
        </is>
      </c>
      <c r="H1250" t="inlineStr"/>
    </row>
    <row r="1251">
      <c r="A1251" t="inlineStr">
        <is>
          <t>b0djx7</t>
        </is>
      </c>
      <c r="B1251" t="inlineStr">
        <is>
          <t>Install port in the middle of chemo?</t>
        </is>
      </c>
      <c r="C1251" t="inlineStr">
        <is>
          <t>Due to logistics, my wife has to wait extra week for surgery to install port before she can start chemo.
Is it possible to start chemo without port and then install port in the process after first/second scheduled injection?
How does the state of being on chemo complicates port installation surgery? Any side effects?
We can postpone chemo untill port installed, just wanted to know different options. We have already delayed the chemo for a few weeks due to family logistics.
Sorry for ignorance, I'm new to the topic.</t>
        </is>
      </c>
      <c r="D1251" t="n">
        <v>8</v>
      </c>
      <c r="E1251" t="n">
        <v>18</v>
      </c>
      <c r="F1251">
        <f>HYPERLINK("https://www.reddit.com/r/cancer/comments/b0djx7/install_port_in_the_middle_of_chemo/")</f>
        <v/>
      </c>
      <c r="G1251" t="inlineStr">
        <is>
          <t>2019-03-12 14:45:28</t>
        </is>
      </c>
      <c r="H1251" t="inlineStr"/>
    </row>
    <row r="1252">
      <c r="A1252" t="inlineStr">
        <is>
          <t>b0dq70</t>
        </is>
      </c>
      <c r="B1252" t="inlineStr">
        <is>
          <t>What exactly does all this mean? Metastatic Adenocarcinoma of Lung, EGFR Negative, ALK Negative, ROS1 Negative, Intermediate Mutational Burden, PD-L1 20%</t>
        </is>
      </c>
      <c r="C1252" t="inlineStr">
        <is>
          <t>Besides knowing that its Non Small Cell Lung Cancer when we were in the office all the explaining was a blur.</t>
        </is>
      </c>
      <c r="D1252" t="n">
        <v>7</v>
      </c>
      <c r="E1252" t="n">
        <v>8</v>
      </c>
      <c r="F1252">
        <f>HYPERLINK("https://www.reddit.com/r/cancer/comments/b0dq70/what_exactly_does_all_this_mean_metastatic/")</f>
        <v/>
      </c>
      <c r="G1252" t="inlineStr">
        <is>
          <t>2019-03-12 15:00:21</t>
        </is>
      </c>
      <c r="H1252" t="inlineStr"/>
    </row>
    <row r="1253">
      <c r="A1253" t="inlineStr">
        <is>
          <t>b0dsu3</t>
        </is>
      </c>
      <c r="B1253" t="inlineStr">
        <is>
          <t>Has cancer changed who you are?</t>
        </is>
      </c>
      <c r="C1253" t="inlineStr">
        <is>
          <t>I'm using a throw away account right now because what I'm about to ask is really private. Long story short, in January of 2018 I was diagnosed with sleep apnea.  Treating it changed my life.  Right when I thought I was good to go, pancreatic cancer struck in July of 2018! Just my luck!  
Pancreatic cancer has a dismal prognosis. I'm 36/F and my cancer was found at stage 1 so I was able to have it completely removed. Incredible! I really, really, REALLY got lucky. What a narrow escape.  
I've been with my boyfriend for 11 years. I'm not always happy being with him. He doesn't seem to want to spend time with me. He keeps a 3rd shift schedule at his full time job working IT. Since I have a sleep disorder I have to maintain a normal sleep schedule so I can't stay up all night with him or else I start feeling really bad. The type 3 (yes, three!) diabetes scares me because sometimes I misjudge how much insulin I need and I crash pretty hard. I'm scared one night I'll crash while sleeping or something and just die. I've begged him to try to accommodate me by changing shifts but he doesn't try. He likes his shift.  
I still love him a lot. We've been through a lot together. However, some dark thoughts have crept into my mind and they make me hate myself. 
&amp;amp;#x200B;
I've been in a band for about 7 years now. All of the members live in Europe. I'm in the USA. One of the members is someone I love spending time with over video chat. We collaborate on music and art pretty much constantly. There's an entire ocean between us yet he always has time for me. I always thought he was out of my league but I'm starting to think he has caught the feels for me. I've always liked him, but lately I think I like him too much and that's really cheating, isn't it? I keep trying to stop thinking about it but I can't turn it off this time. Sometimes it feels like I'm compelled beyond my will to keep talking to him. He doesn't know I feel this way.   
I don't know what to do. It's easy to think "well duh just go be with the guy that doesn't suck!" but what if I've just lost my marbles and I've created a rose-tinted-glasses version of my bandmate and I'm just "in love" with the idea of him? How could you know without meeting in person?    
And I feel sick to my stomach to realize I've become a cheater. I haven't sent him any compromising pictures of myself or vise versa, no sexting, or anything of the sort. But I think I depend on him emotionally. I don't think it's fair to my bf that I have someone else entering my mind. I often go to my friend when I have an issue before my bf.
&amp;amp;#x200B;
So, I'm planning a trip to his country pretty soon to work on an album. We've never met in person. Will I like him the same way in person? Who knows. I'd like to think it's pretty likely. I'm going for business but I also feel like being in the same room will answer a lot of questions that keep me from stating my feelings.  
I have no clue how to do this. I guess I just go over there and see if we click then go from there? I have told my bf that I'm unhappy in our relationship and that I'd like to see other people but that didn't seem to register in his mind. Then I got diagnosed with cancer and I guess maybe he thinks I feel different now. 
&amp;amp;#x200B;
I just feel disgusted with myself. I really want to tell my bf how I feel but I'm not even back to work yet and I couldn't support myself on one income with all the medical devices I require now. I wish I was independent. Please tell me one of you has been through something similar to this and can offer some words of advice or just thoughts on the matter. I feel like all of this hinges on my inability to be independent right now. I feel trapped and I feel like a bad person for hiding these things from my bf just to keep a roof over my head.   
Cancer has changed my mentality. I would have never taken the invite to record with my band in their country out of fear of big cities, but now I can't wait to go. Seems pretty exciting. I just want to live my life, you know? For a while I thought I was dead meat. Now that I'm in the clear I'd really like to see what else is out there.  What would you do if you were me?  
&amp;amp;#x200B;</t>
        </is>
      </c>
      <c r="D1253" t="n">
        <v>7</v>
      </c>
      <c r="E1253" t="n">
        <v>9</v>
      </c>
      <c r="F1253">
        <f>HYPERLINK("https://www.reddit.com/r/cancer/comments/b0dsu3/has_cancer_changed_who_you_are/")</f>
        <v/>
      </c>
      <c r="G1253" t="inlineStr">
        <is>
          <t>2019-03-12 15:06:10</t>
        </is>
      </c>
      <c r="H1253" t="inlineStr"/>
    </row>
    <row r="1254">
      <c r="A1254" t="inlineStr">
        <is>
          <t>b0gglp</t>
        </is>
      </c>
      <c r="B1254" t="inlineStr">
        <is>
          <t>How do you motivate yourself to keep going?</t>
        </is>
      </c>
      <c r="C1254" t="inlineStr">
        <is>
          <t>A year and a bit ago I was diagnosed with cervical cancer (simple and treatable, right? Wrong), turns out I also had/have uterine cancer too. I have had 3 surgeries since my diagnosis, radiation and chemo. Awaiting if I'm in the "clear for now." Since my oncology team hates the word remission, they just tell me that things seem fine for now but we'll see what the next tests show.
Everyone around me keeps saying I'm strong, I'll be fine, I'll pull through, etc. Whenever I have a weak moment. But I dont find comfort in those words. I've also had multiple treatment complications like WBC/platelets dropping to 0 and my small intestines needing to be sliced apart due to blockages that took over a month to diagnose.
So basically, I can't shake this constant impending doom feeling like "what's next?" And "is this it for me? The final battle I will lose?" But I can't seem to bring myself to follow the philosophy of treating everyday like it's my last despite how very real that is for me right now. I'm too tired, too sick, too much pain and too afraid to feel happiness. 
TL;DR How do you find the will to live life under all these shitty conditions?</t>
        </is>
      </c>
      <c r="D1254" t="n">
        <v>25</v>
      </c>
      <c r="E1254" t="n">
        <v>9</v>
      </c>
      <c r="F1254">
        <f>HYPERLINK("https://www.reddit.com/r/cancer/comments/b0gglp/how_do_you_motivate_yourself_to_keep_going/")</f>
        <v/>
      </c>
      <c r="G1254" t="inlineStr">
        <is>
          <t>2019-03-12 19:09:39</t>
        </is>
      </c>
      <c r="H1254" t="inlineStr"/>
    </row>
    <row r="1255">
      <c r="A1255" t="inlineStr">
        <is>
          <t>b0gwu1</t>
        </is>
      </c>
      <c r="B1255" t="inlineStr">
        <is>
          <t>Life After</t>
        </is>
      </c>
      <c r="C1255" t="inlineStr">
        <is>
          <t xml:space="preserve">For those that have survived cancer, no matter how big or small, do y’all feel like anytime you see a movie with a cancer storyline that that could be you one day if it comes back?
I can’t tell if this is normal or not. I know cancer changes your life, but I guess I didn’t think about the mental repercussions. </t>
        </is>
      </c>
      <c r="D1255" t="n">
        <v>18</v>
      </c>
      <c r="E1255" t="n">
        <v>7</v>
      </c>
      <c r="F1255">
        <f>HYPERLINK("https://www.reddit.com/r/cancer/comments/b0gwu1/life_after/")</f>
        <v/>
      </c>
      <c r="G1255" t="inlineStr">
        <is>
          <t>2019-03-12 19:57:12</t>
        </is>
      </c>
      <c r="H1255" t="inlineStr"/>
    </row>
    <row r="1256">
      <c r="A1256" t="inlineStr">
        <is>
          <t>b0i1vy</t>
        </is>
      </c>
      <c r="B1256" t="inlineStr">
        <is>
          <t>Need to gain weight</t>
        </is>
      </c>
      <c r="C1256" t="inlineStr">
        <is>
          <t>Hey, so I'm trying to help a family member gain weight as she's alarmingly underweight but she can't eat much with the tumors in her stomach curbing her hunger and making her feel constantly bloated. What calorie dense food or things that you've tried either increased your hunger or made you gain weight?</t>
        </is>
      </c>
      <c r="D1256" t="n">
        <v>6</v>
      </c>
      <c r="E1256" t="n">
        <v>12</v>
      </c>
      <c r="F1256">
        <f>HYPERLINK("https://www.reddit.com/r/cancer/comments/b0i1vy/need_to_gain_weight/")</f>
        <v/>
      </c>
      <c r="G1256" t="inlineStr">
        <is>
          <t>2019-03-12 22:04:53</t>
        </is>
      </c>
      <c r="H1256" t="inlineStr"/>
    </row>
    <row r="1257">
      <c r="A1257" t="inlineStr">
        <is>
          <t>b0i608</t>
        </is>
      </c>
      <c r="B1257" t="inlineStr">
        <is>
          <t>Need advice for a stubborn patient</t>
        </is>
      </c>
      <c r="C1257" t="inlineStr">
        <is>
          <t>So I have this relative who is very stubborn and set in their ways about surgery being bad in general, especially removing part of your organs. He's mostly scared of the pain and/or removal of an organ part (colectomy for stage 1 cancer -- found cancer in polyp with distance really close to colon, so doctors recommend surgery for something like this that's curable). 
His way of thinking is completely illogical -- here are some of his ignorant views: 
-he thinks that somehow the cancer might stop on its own
-he thinks herbs/eastern medicine or eating a combo of certain food would get rid of his cancer
-he thinks everything he read on the internet is true, especially stupid Chinese articles or any websites that are not proofread before being published -- tons of fake news and articles out there.
I kept explaining to him and convincing him with facts, success stories with proven research in surgery cases, horrible stories about using unproven herb/Chinese medicine, data, listening to his pain points etc. 
But none worked, he still reads up fake news and websites. We tried cutting him off the internet but he's gonna find other ways to do it. I mean the good thing is that he will do the surgery for us but not for himself. 
Any advice on convincing someone who has been so stubborn? How did you get them to accept or finally understand?
Thanks</t>
        </is>
      </c>
      <c r="D1257" t="n">
        <v>6</v>
      </c>
      <c r="E1257" t="n">
        <v>12</v>
      </c>
      <c r="F1257">
        <f>HYPERLINK("https://www.reddit.com/r/cancer/comments/b0i608/need_advice_for_a_stubborn_patient/")</f>
        <v/>
      </c>
      <c r="G1257" t="inlineStr">
        <is>
          <t>2019-03-12 22:18:21</t>
        </is>
      </c>
      <c r="H1257" t="inlineStr"/>
    </row>
    <row r="1258">
      <c r="A1258" t="inlineStr">
        <is>
          <t>b0jpv2</t>
        </is>
      </c>
      <c r="B1258" t="inlineStr">
        <is>
          <t>Okay I’m doing this... after months of anxiety and what ifs I have to ask. So long story short...</t>
        </is>
      </c>
      <c r="C1258" t="inlineStr">
        <is>
          <t xml:space="preserve"> 9 months ago I noticed 5 pearl like swollen lymph nodes on the left side of my groin. And then about a month after that 2 swelled up on my right side. I’m 27 Y/o and am not on insurance and I commercial fish so I can’t qualify for Medicare. I got blood tests done and all comes back super normal. The next option was a biopsy. They take a lymph node out from the right side because it’s the newest one. and it’s a reactive node w/ no signs of cancer. ..... fast forward to now.  The lymph nodes are still there on the left  (same size) but on the right side where I had one removed is swollen again. And has been for months. I’ve gotten MRI’s done since and they showed no signs of swelling even though they are visibly apparent and palpable. Was wondering if anyone has had this happen to them? I’m reluctant to keep paying medical costs (because I’m 10k out of pocket atm) to keep getting told it’s all good. Because I’ve had 7 lymph nodes pop up w/in the year with no explanation and are still there and apparent. And no I’m not a hypochondriac, before this I avoided the doctor like the plague. I’m 5’10 170lbs. But not beach body lean. Thanks guys. </t>
        </is>
      </c>
      <c r="D1258" t="n">
        <v>0</v>
      </c>
      <c r="E1258" t="n">
        <v>0</v>
      </c>
      <c r="F1258">
        <f>HYPERLINK("https://www.reddit.com/r/cancer/comments/b0jpv2/okay_im_doing_this_after_months_of_anxiety_and/")</f>
        <v/>
      </c>
      <c r="G1258" t="inlineStr">
        <is>
          <t>2019-03-13 01:51:59</t>
        </is>
      </c>
      <c r="H1258" t="inlineStr"/>
    </row>
    <row r="1259">
      <c r="A1259" t="inlineStr">
        <is>
          <t>b0jzh6</t>
        </is>
      </c>
      <c r="B1259" t="inlineStr">
        <is>
          <t>Haven’t posted here in a while (although I’ve done a lot of lurking)</t>
        </is>
      </c>
      <c r="C1259" t="inlineStr">
        <is>
          <t xml:space="preserve">I have recurrent ovarian cancer. After nearly two years of pretty much non-stop treatment (one six month break between end of tx and recurrence), I needed to give my body some time to recover. For the past seven months I haven’t been on any cancer-related treatment and I’ve gotten a lot of energy back, if not regained  my cognitive losses. Long wind-up to say that today I go in for a CT scan to see where things stand. Not sure my point in sharing this uninformative update but I appreciate you reading it. </t>
        </is>
      </c>
      <c r="D1259" t="n">
        <v>71</v>
      </c>
      <c r="E1259" t="n">
        <v>38</v>
      </c>
      <c r="F1259">
        <f>HYPERLINK("https://www.reddit.com/r/cancer/comments/b0jzh6/havent_posted_here_in_a_while_although_ive_done_a/")</f>
        <v/>
      </c>
      <c r="G1259" t="inlineStr">
        <is>
          <t>2019-03-13 02:30:50</t>
        </is>
      </c>
      <c r="H1259" t="inlineStr"/>
    </row>
    <row r="1260">
      <c r="A1260" t="inlineStr">
        <is>
          <t>b0nbhe</t>
        </is>
      </c>
      <c r="B1260" t="inlineStr">
        <is>
          <t>Really need some advice. I'm 17, my grandma has lung cancer and a brain tumor, and everything seems to be going to shambles.</t>
        </is>
      </c>
      <c r="C1260" t="inlineStr">
        <is>
          <t>&amp;amp;#x200B;
The last few months haven't been pretty, with me dealing with terrible schooling issues, mental health, and so on- In January, my grandma ( along with my grandparents who have been my legal guardians since I was basically a baby ) to keep things sort and summarize, the last few months I've been at my weakest.
&amp;amp;#x200B;
My grandma ( she's 59 ) has been a hardcore smoker for years. At the beginning of January she displayed tons of ammonia related symptoms, and was in the ER for roughly a week; when she got out she was diagnosed with stage 4 lung cancer, and with a tumor on the backside of her brain that's been making her severely delusional.  She also had 2 strokes while she was in hospital. 
&amp;amp;#x200B;
Now it's march 13th- she's been on a hardcore healthy diet of fruits and cooked breakfast ( sausages, eggs, and bacon, with some variety mixed in from time to time ) and protein/vitamin shakes. We've been quick to assess the situation to and she's been on her radiotherapy treatments and is even done with them! However... she's not good and everything seems to be collapsing on it's self. She's never had alot of muscle mass and now she's weaker then ever; too weak to do chemo.
&amp;amp;#x200B;
Everything is just getting gloomy and my grandpa today- while he's always been trying to act very strong has said to me that my grandma is starting to go down ''a very long road'' and at the end she's going to see our other dead relatives; death, and be with god. My aunt called in a pastor today to give prayers for us. ( Do note I'm not christian, im more on the lines of agnostic. )
&amp;amp;#x200B;
I feel terrible and so broken; I barely got any friends to turn too and everything is seemingly so helpless. I'm really wanting to hope that radiation won't kill her; the cancer has been incredibly stable.
&amp;amp;#x200B;
Could someone who had experince with these sort of things give me some advice? does anyone know the death rates of radiotherapy on the lungs/brain?
&amp;amp;#x200B;
&amp;amp;#x200B;
&amp;amp;#x200B;</t>
        </is>
      </c>
      <c r="D1260" t="n">
        <v>11</v>
      </c>
      <c r="E1260" t="n">
        <v>5</v>
      </c>
      <c r="F1260">
        <f>HYPERLINK("https://www.reddit.com/r/cancer/comments/b0nbhe/really_need_some_advice_im_17_my_grandma_has_lung/")</f>
        <v/>
      </c>
      <c r="G1260" t="inlineStr">
        <is>
          <t>2019-03-13 08:32:00</t>
        </is>
      </c>
      <c r="H1260" t="inlineStr"/>
    </row>
    <row r="1261">
      <c r="A1261" t="inlineStr">
        <is>
          <t>b0nq2n</t>
        </is>
      </c>
      <c r="B1261" t="inlineStr">
        <is>
          <t>Father passed away a month ago</t>
        </is>
      </c>
      <c r="C1261" t="inlineStr">
        <is>
          <t>My father was diagnosed with High grade bladder cancer 14 months back. His initial chemo worked temporarily with less side effects. He went through 4 months of chemo treatment and there was no sign of cancer for 3 months . In 4th month cancer came back and this time with it has started spreading very fast , One of the Tumours on liver grew 10cms in just one month. 
&amp;amp;#x200B;
Due to aggressive nature of tumour Doctor suggested to do both Chemo and Immuno (keytruda).Not sure what caused but his health went into spiral mode of abyss. he was totally bedridden he cannot eat, cannot sleep, Muscle loss, cannot interact with people or family . And his bloodpressure kept dropping randomly. Since his liver is in bad state jaundice  kept coming back. 
&amp;amp;#x200B;
Even after fighting with chemo terrible side effects  for  2 months there was absolutely no decrease in size of tumours. Due to his weakness he fell down at home causing a very minor head injury, after getting it checked out we found several tumours in his brain. This is when we (family) felt death is at door. As per doctor's suggestion he got radio therapy treatment. However chemotherapy is stopped as father faced very bad sideeffects. Doctor told us he needs to be in hospice as there isn't much we can do  . We were asked to continue Immunotherapy (keytruda) until we find out its effect on tumour. It is said that Keytruda effects will show up in 3 months. 
&amp;amp;#x200B;
Jaundice came back again and this time it seemed pretty strong, he was on his oral medicine as per doctors suggestion. But there was no sign of effect of drugs on jaundice . Not sure whether father gave up or he his tumours colonized his liver but he stopped taking food . No matter how much we tried to convince him he said no. Not even water !! So around 7pm in the evening of feb 10th he body started going into physical shock , yelling everyone to come near to him, Yelling TAKE ME ..TAKE ME ..TAKE ME.. . He just wanted all this to end very quick. Just couple of days back he told me he wanted to die right now as he is unable to take it anymore. He even begged me to get some medicine to ease his pain quickly. I tried to motivate him but he stopped talking to me after that for a while.
&amp;amp;#x200B;
So we were forced to take him to hospital, we are in small town in India . No hospital in our town was ready to take him as patient as they do not see good outcome or perhaps they are not capable to handle a cancer patient. we used to go to near by City for treatment but it was 8hrs drive away .We felt helpless and stuck in this situation. We cannot go to city as its too far and it seemed he didn't have much time left. And no doctor is ready to take him in . So with couple of doctors help in the family (cousins) who recently graduated we tried to do treatment at home. Our cousins talked to our oncologist and started medications as he said. he didn't blink his eyes for 6 hours not even once, unable to speak, unable to move.
&amp;amp;#x200B;
Unfortunately his glucose levels kept dropping rapidly and father gave up his life at 3:06 am after 8 hrs of struggle. I was holding him when he left this world.
&amp;amp;#x200B;
There were some many things we could have done better for him. I feel very bad and no family or person deserve to get cancer. May god gives us better health and  cure for CANCER !! 
&amp;amp;#x200B;
&amp;amp;#x200B;
&amp;amp;#x200B;
&amp;amp;#x200B;</t>
        </is>
      </c>
      <c r="D1261" t="n">
        <v>19</v>
      </c>
      <c r="E1261" t="n">
        <v>3</v>
      </c>
      <c r="F1261">
        <f>HYPERLINK("https://www.reddit.com/r/cancer/comments/b0nq2n/father_passed_away_a_month_ago/")</f>
        <v/>
      </c>
      <c r="G1261" t="inlineStr">
        <is>
          <t>2019-03-13 09:07:10</t>
        </is>
      </c>
      <c r="H1261" t="inlineStr"/>
    </row>
    <row r="1262">
      <c r="A1262" t="inlineStr">
        <is>
          <t>b0nywa</t>
        </is>
      </c>
      <c r="B1262" t="inlineStr">
        <is>
          <t>An odd rant (but need to get it off my chest)</t>
        </is>
      </c>
      <c r="C1262" t="inlineStr">
        <is>
          <t>My mom was diagnosed with a rare and aggressive form of cancer in January. They caught it at Stage IV and her prognosis is 2-6 months. She's undergoing palliative chemo and nobody knows she's dying except me.
&amp;amp;#x200B;
She's only 50 and I'm in my late 20s, but no other adult in my family speaks English fluently enough to navigate this mess. She nods when the oncologist uses a translator to tell her about her health, but she still thinks that curative surgery is the end goal. Dad is also under the impression that they'll reevaluate her for curative surgery after the chemo. You can't cure this type of cancer and my family hasn't figured that out yet.
&amp;amp;#x200B;
I'm okay with taking care of my mom, but she is also the reason why I had an abusive childhood and spent the last 4 years in therapy. Mom has always made it clear that I was a mistake and regrets having me. She was a young mother and didn't know how to handle herself, much less a child. I've been taking care of myself since I was 9 years old, and at 13, I was taking care of her second child. I bailed from the household as soon as I was able to and have had minimal contact with the family since. Now I see them every week.
&amp;amp;#x200B;
Dad has never had to parent a day of his life and doesn't speak a lick of English. He's told mom that if she panics, he will panic harder. When mom passes, I'll have to manage the household bills and paperwork. There will be houses and bank accounts in my name and I don't want any of it.
&amp;amp;#x200B;
The only other family member I have is a 14 year old sister. She speaks English and suffers from teenage depression. She knows mom has cancer, but she doesn't know how dire the situation is. She had a much better childhood than I did (second time's the charm), so mom is her friend. It'd break her heart to know that mom's dying.
&amp;amp;#x200B;
It's only been 5 weeks since the start of her treatment, but all of the paperwork, phone calls, and making decisions on my mom's behalf has been exhausting. I need to keep her alive for as long as possible for my sister's sake. I need to put on a brave face so the rest of the family still has hope. When she passes, I will inherit a family that I had previously intentionally cut ties with.
&amp;amp;#x200B;
I went to a support group last week for caretakers and everyone had stories about how much they loved the person they were taking care of. I feel guilty for not feeling love. All I feel is responsibility. What is wrong with me?</t>
        </is>
      </c>
      <c r="D1262" t="n">
        <v>24</v>
      </c>
      <c r="E1262" t="n">
        <v>7</v>
      </c>
      <c r="F1262">
        <f>HYPERLINK("https://www.reddit.com/r/cancer/comments/b0nywa/an_odd_rant_but_need_to_get_it_off_my_chest/")</f>
        <v/>
      </c>
      <c r="G1262" t="inlineStr">
        <is>
          <t>2019-03-13 09:27:59</t>
        </is>
      </c>
      <c r="H1262" t="inlineStr"/>
    </row>
    <row r="1263">
      <c r="A1263" t="inlineStr">
        <is>
          <t>b0ovul</t>
        </is>
      </c>
      <c r="B1263" t="inlineStr">
        <is>
          <t>I’m tired.</t>
        </is>
      </c>
      <c r="C1263" t="inlineStr">
        <is>
          <t>Hi. I’ve posted here before several times. My tumor’s been growing since November and I’ve been an even worse nervous wreck than usual ever since. 
Life updates (in stream of consciousness [?] form):
- I just had another MRI on Monday that I don’t know the results of. 
- I’ll likely be able to do another 10-15 doses of radiation, according to Dr. Gardner.
-I’ve had nightmares about my tumor spreading to my brain stem. I start to dissociate and/or feel sick every time I walk into a hospital, see/hear anything associated with an MRI machine, or think about calling my doctors/getting a phone call from them. I very recently started using CBD oil and that helps with the anxiety some. I think I might have PTSD.
- My New York visits are now every six weeks. 
- I desperately want to have surgery at some point. I want more time. I NEED more time.
- I’ve got a new therapist. I see him again tomorrow.
- My mom’s looking for a better job. 
- I applied for and got SSI in less than 2 weeks. 
- I received a dream from my local Dream Factory chapter that just got fulfilled. I’m turning 19 later this month (March), so it had to happen before now. I got a shopping spree to redo my bedroom because I’ve never had a nice, beautiful bedroom w/new furniture. We could never afford it. My stepdad is helping me put the furniture together now. 
I’m in hell, but I’m lucky enough to still be here, so that counts for something. Thank you, r/cancer, and good afternoon.</t>
        </is>
      </c>
      <c r="D1263" t="n">
        <v>79</v>
      </c>
      <c r="E1263" t="n">
        <v>7</v>
      </c>
      <c r="F1263">
        <f>HYPERLINK("https://www.reddit.com/r/cancer/comments/b0ovul/im_tired/")</f>
        <v/>
      </c>
      <c r="G1263" t="inlineStr">
        <is>
          <t>2019-03-13 10:44:22</t>
        </is>
      </c>
      <c r="H1263" t="inlineStr"/>
    </row>
    <row r="1264">
      <c r="A1264" t="inlineStr">
        <is>
          <t>b0pe9v</t>
        </is>
      </c>
      <c r="B1264" t="inlineStr">
        <is>
          <t>About to start treatment, anything I should buy?</t>
        </is>
      </c>
      <c r="C1264" t="inlineStr">
        <is>
          <t>I got a few gift cards to spend and I was thinking of using it for things that will help me as I start my six months of ABVD chemo treatment. 
What things helped you the most at home?
What things did you like while having chemo done? 
What was your go to thing that really helped you?
Thanks everyone!</t>
        </is>
      </c>
      <c r="D1264" t="n">
        <v>9</v>
      </c>
      <c r="E1264" t="n">
        <v>20</v>
      </c>
      <c r="F1264">
        <f>HYPERLINK("https://www.reddit.com/r/cancer/comments/b0pe9v/about_to_start_treatment_anything_i_should_buy/")</f>
        <v/>
      </c>
      <c r="G1264" t="inlineStr">
        <is>
          <t>2019-03-13 11:26:50</t>
        </is>
      </c>
      <c r="H1264" t="inlineStr"/>
    </row>
    <row r="1265">
      <c r="A1265" t="inlineStr">
        <is>
          <t>b0pkre</t>
        </is>
      </c>
      <c r="B1265" t="inlineStr">
        <is>
          <t>Just a baby</t>
        </is>
      </c>
      <c r="C1265" t="inlineStr">
        <is>
          <t>I am in utter shock and in complete devastation. Our one and only Grandbaby has been diagnosed with cancer. Life is not fair at all. I feel so numb and sick. I have to be strong for my family and Grandbaby. The unknown- this will never ever end. Can anyone share some advise on this real life nightmare? I feel so helpless.</t>
        </is>
      </c>
      <c r="D1265" t="n">
        <v>1</v>
      </c>
      <c r="E1265" t="n">
        <v>0</v>
      </c>
      <c r="F1265">
        <f>HYPERLINK("https://www.reddit.com/r/cancer/comments/b0pkre/just_a_baby/")</f>
        <v/>
      </c>
      <c r="G1265" t="inlineStr">
        <is>
          <t>2019-03-13 11:41:38</t>
        </is>
      </c>
      <c r="H1265" t="inlineStr"/>
    </row>
    <row r="1266">
      <c r="A1266" t="inlineStr">
        <is>
          <t>b0prsy</t>
        </is>
      </c>
      <c r="B1266" t="inlineStr">
        <is>
          <t>Mum was diagnosed with stage 4 lung cancer today. What can I do?</t>
        </is>
      </c>
      <c r="C1266" t="inlineStr">
        <is>
          <t>I'm sure you guys get posts like this by the dozens but I don't really have anyone to reach out to.
I'm not looking for advice/support for myself, I'm pretty stoic and honestly I don't even know what to feel. That's fine and I understand I still need to process the news. 
What I want to know is what can I do to help and support her? Even if it's small insignificant acts that you think helps, I want to know. Language is a small barrier since she doesn't speak English and I'm crap at Chinese. Right now, I'm thinking of printing off a load of photos of her grand kids and putting them in her room. 
I want to be there for her and it's frustrating to think that I may not be able to help her.</t>
        </is>
      </c>
      <c r="D1266" t="n">
        <v>14</v>
      </c>
      <c r="E1266" t="n">
        <v>12</v>
      </c>
      <c r="F1266">
        <f>HYPERLINK("https://www.reddit.com/r/cancer/comments/b0prsy/mum_was_diagnosed_with_stage_4_lung_cancer_today/")</f>
        <v/>
      </c>
      <c r="G1266" t="inlineStr">
        <is>
          <t>2019-03-13 11:57:31</t>
        </is>
      </c>
      <c r="H1266" t="inlineStr"/>
    </row>
    <row r="1267">
      <c r="A1267" t="inlineStr">
        <is>
          <t>b0qkz5</t>
        </is>
      </c>
      <c r="B1267" t="inlineStr">
        <is>
          <t>Stage two papillary thyroid cancer , third surgery coming up</t>
        </is>
      </c>
      <c r="C1267" t="inlineStr">
        <is>
          <t>Ill try to make this short.
I was diagnosed with thyroid cancer in 2016. Had a total thyroidectomy to take out my thyroid and some lymph nodes in my neck and chest. Had radioactive iodine. 
My prognosis  was always, and still is, good. Nothing life threatening. Just need to cut it out.
After first suRgery i thought it was over but found out a year or two later i still had cancer cells and they had to go back in my neck to remove nodules in the lymph nodes. Once again had radioactive iodine. This time i didnt bounce back so well. Went through a rough break up ,stopped hanging out with a disrespectful
 Best friend, got into fight w my brother right before radiation and ive been kind of depressed since.
Its a year later now and i just found out ill have to go back for a third surgery in my neck to remove more cancer.
I dont know how to recover from this mentally. I have no career, friends, girlfriend. I feel like a freak with these scars on my neck. All my ‘friends’ are getting married having kids while im going backwards in life, fighting cancer. Im 27 btw.
Also, because i fear surgery ive been looking at natural methods to heal the cancer like the breusse cancer cure. Basically a 42 day vegetable and fruit only diet that starves the cancer cells. Do you guys have any experience with something like this ? Success stories ? Im going to do the surgery regardless but its not easy and if theres an alternate method id much rather do that.
Anyway i guess im just hoping to get some sort of help or encouragement. Life is passing by and people are becoming who they were meant to be while im just lagging behind and becoming more and more lost and insecure in who i am. I dont see a point in looking for a job since ill just have to take time off when its surgery time. I want to be a freelance writer and work from home.</t>
        </is>
      </c>
      <c r="D1267" t="n">
        <v>6</v>
      </c>
      <c r="E1267" t="n">
        <v>5</v>
      </c>
      <c r="F1267">
        <f>HYPERLINK("https://www.reddit.com/r/cancer/comments/b0qkz5/stage_two_papillary_thyroid_cancer_third_surgery/")</f>
        <v/>
      </c>
      <c r="G1267" t="inlineStr">
        <is>
          <t>2019-03-13 13:02:21</t>
        </is>
      </c>
      <c r="H1267" t="inlineStr"/>
    </row>
    <row r="1268">
      <c r="A1268" t="inlineStr">
        <is>
          <t>b0r13e</t>
        </is>
      </c>
      <c r="B1268" t="inlineStr">
        <is>
          <t>I hate you Nuelasta</t>
        </is>
      </c>
      <c r="C1268" t="inlineStr">
        <is>
          <t>Cycle 12 of chemo here and still the worst part is bone pain from Nuelasta. Nothing seems to help :( One more round to go, I got this....</t>
        </is>
      </c>
      <c r="D1268" t="n">
        <v>10</v>
      </c>
      <c r="E1268" t="n">
        <v>9</v>
      </c>
      <c r="F1268">
        <f>HYPERLINK("https://www.reddit.com/r/cancer/comments/b0r13e/i_hate_you_nuelasta/")</f>
        <v/>
      </c>
      <c r="G1268" t="inlineStr">
        <is>
          <t>2019-03-13 13:39:04</t>
        </is>
      </c>
      <c r="H1268" t="inlineStr"/>
    </row>
    <row r="1269">
      <c r="A1269" t="inlineStr">
        <is>
          <t>b0r6bn</t>
        </is>
      </c>
      <c r="B1269" t="inlineStr">
        <is>
          <t>Im 29(M) and was just found positive for li-fraumeni syndrome. Any advice or experience with this would be appreciated</t>
        </is>
      </c>
      <c r="C1269" t="inlineStr">
        <is>
          <t>I lost my mom to cancer when I was 2, my dad to a heart attack when I was 12.  My sister (32) got her genetic testing back in December showing a TP 53 gene mutation. It was recommended that I go and I had a 50% likelihood of having the same mutation.  I went it overly confident thinking I'll be fine and I need to be strong to help my sister, but I just found out about an hour ago that I too was a carrier.  I'm freaking out a bit bc there's a weird painful lump that just appeared in my inner thigh 2 days ago and haven't been to a doctor fir any reason in 10 years.  Idk what I'm looking for but thought this community may have some info or personal experience.  Thanks for reading my rambling</t>
        </is>
      </c>
      <c r="D1269" t="n">
        <v>5</v>
      </c>
      <c r="E1269" t="n">
        <v>0</v>
      </c>
      <c r="F1269">
        <f>HYPERLINK("https://www.reddit.com/r/cancer/comments/b0r6bn/im_29m_and_was_just_found_positive_for_lifraumeni/")</f>
        <v/>
      </c>
      <c r="G1269" t="inlineStr">
        <is>
          <t>2019-03-13 13:51:23</t>
        </is>
      </c>
      <c r="H1269" t="inlineStr"/>
    </row>
    <row r="1270">
      <c r="A1270" t="inlineStr">
        <is>
          <t>b0rgb0</t>
        </is>
      </c>
      <c r="B1270" t="inlineStr">
        <is>
          <t>I would rather die then deal with chemo</t>
        </is>
      </c>
      <c r="C1270" t="inlineStr">
        <is>
          <t>Chemo is horrible for so many reasons i would rather die</t>
        </is>
      </c>
      <c r="D1270" t="n">
        <v>1</v>
      </c>
      <c r="E1270" t="n">
        <v>0</v>
      </c>
      <c r="F1270">
        <f>HYPERLINK("https://www.reddit.com/r/cancer/comments/b0rgb0/i_would_rather_die_then_deal_with_chemo/")</f>
        <v/>
      </c>
      <c r="G1270" t="inlineStr">
        <is>
          <t>2019-03-13 14:14:06</t>
        </is>
      </c>
      <c r="H1270" t="inlineStr"/>
    </row>
    <row r="1271">
      <c r="A1271" t="inlineStr">
        <is>
          <t>b0rgjn</t>
        </is>
      </c>
      <c r="B1271" t="inlineStr">
        <is>
          <t>Methadone HCL and morphine for pain management...?</t>
        </is>
      </c>
      <c r="C1271" t="inlineStr">
        <is>
          <t>I have a question that I’ve been searching for the answer to online and can’t find anything. My dad has stage 4 pancreatic cancer and has been taking long-acting morphine for a few months now for pain management. Today, hospice gave him a new prescription for 5 mg Methadone HCL and was told to take it at the same time he takes the morphine, both morning and night. Has anyone been through this or have any insight into this combination of meds? Any info would be greatly appreciated!</t>
        </is>
      </c>
      <c r="D1271" t="n">
        <v>3</v>
      </c>
      <c r="E1271" t="n">
        <v>5</v>
      </c>
      <c r="F1271">
        <f>HYPERLINK("https://www.reddit.com/r/cancer/comments/b0rgjn/methadone_hcl_and_morphine_for_pain_management/")</f>
        <v/>
      </c>
      <c r="G1271" t="inlineStr">
        <is>
          <t>2019-03-13 14:14:37</t>
        </is>
      </c>
      <c r="H1271" t="inlineStr"/>
    </row>
    <row r="1272">
      <c r="A1272" t="inlineStr">
        <is>
          <t>b0ta7v</t>
        </is>
      </c>
      <c r="B1272" t="inlineStr">
        <is>
          <t>To much anxiety (testicular cancer scare)</t>
        </is>
      </c>
      <c r="C1272" t="inlineStr">
        <is>
          <t xml:space="preserve">I’ve recently started developing pain in my testicles, went to the dr he found no lumps or swelling and said he was 99% percent sure it’s nothing serious. I’m getting a ultra sound Saturday and I’m terrified. My dads side has a history of cancer and I just have a lot of anxiety. I didn’t where else to post but I needed to vent because just the thought of having it terrifies me. On that note hope everyone else is doing well </t>
        </is>
      </c>
      <c r="D1272" t="n">
        <v>2</v>
      </c>
      <c r="E1272" t="n">
        <v>5</v>
      </c>
      <c r="F1272">
        <f>HYPERLINK("https://www.reddit.com/r/cancer/comments/b0ta7v/to_much_anxiety_testicular_cancer_scare/")</f>
        <v/>
      </c>
      <c r="G1272" t="inlineStr">
        <is>
          <t>2019-03-13 16:52:32</t>
        </is>
      </c>
      <c r="H1272" t="inlineStr"/>
    </row>
    <row r="1273">
      <c r="A1273" t="inlineStr">
        <is>
          <t>b0uy3n</t>
        </is>
      </c>
      <c r="B1273" t="inlineStr">
        <is>
          <t>What can I do to help?</t>
        </is>
      </c>
      <c r="C1273" t="inlineStr">
        <is>
          <t xml:space="preserve">My stepmother might be battling cancer for the second time in eight years. The first time around, I became withdrawn and didn’t contact her much because I didn’t know what to say and felt awkward. It’s not because I didn’t care. I really don’t want to repeat the same mistake. How can I show I care without being awkward? What are some good things to say to someone battling cancer? How can I help? Thanks. </t>
        </is>
      </c>
      <c r="D1273" t="n">
        <v>4</v>
      </c>
      <c r="E1273" t="n">
        <v>5</v>
      </c>
      <c r="F1273">
        <f>HYPERLINK("https://www.reddit.com/r/cancer/comments/b0uy3n/what_can_i_do_to_help/")</f>
        <v/>
      </c>
      <c r="G1273" t="inlineStr">
        <is>
          <t>2019-03-13 19:36:11</t>
        </is>
      </c>
      <c r="H1273" t="inlineStr"/>
    </row>
    <row r="1274">
      <c r="A1274" t="inlineStr">
        <is>
          <t>b0v1ee</t>
        </is>
      </c>
      <c r="B1274" t="inlineStr">
        <is>
          <t>It came back</t>
        </is>
      </c>
      <c r="C1274" t="inlineStr">
        <is>
          <t>My cancer made a recurrence after 3 weeks of not getting chemo... so guess who’s back on chemo again. :/</t>
        </is>
      </c>
      <c r="D1274" t="n">
        <v>21</v>
      </c>
      <c r="E1274" t="n">
        <v>4</v>
      </c>
      <c r="F1274">
        <f>HYPERLINK("https://www.reddit.com/r/cancer/comments/b0v1ee/it_came_back/")</f>
        <v/>
      </c>
      <c r="G1274" t="inlineStr">
        <is>
          <t>2019-03-13 19:46:04</t>
        </is>
      </c>
      <c r="H1274" t="inlineStr"/>
    </row>
    <row r="1275">
      <c r="A1275" t="inlineStr">
        <is>
          <t>b0v585</t>
        </is>
      </c>
      <c r="B1275" t="inlineStr">
        <is>
          <t>Mum has brain cancer and is not unable to speak</t>
        </is>
      </c>
      <c r="C1275" t="inlineStr">
        <is>
          <t xml:space="preserve">Sorry if this is wrong place to post or even ask but I'm after advice. So I'm here sitting with mum and she has had a brain tumor/removed from her head has been on chemo therapy for the two years on and off but now she's at the stage where she's can't speak, she can still listen and she can slowly move from side to side in the hospital bed. She has blood bruising and other skin things like shingles, she's sleeping right in front of me now. I was just talking to her before and she was smiling whilst I was telling my stories and everything so I know she still knows it's me and she still lucid. But I don't know what I'm suppose to do. I was always the quiet one mum was the one who always did a lot of the talking to me she was the one who always did her venting to me and I enjoyed listening but now she can't speak back she can barley open her eyes. And I just don't know what to do here. I'm waiting for the doctor to come and so I can talk to them. But I'm just sitting with her like it feels like I'm not doing anything. I don't know. I'm sorry if this is the wrong place just anyone able to give advice. I'm 24 years old I've not dealt with anything like this before. </t>
        </is>
      </c>
      <c r="D1275" t="n">
        <v>56</v>
      </c>
      <c r="E1275" t="n">
        <v>18</v>
      </c>
      <c r="F1275">
        <f>HYPERLINK("https://www.reddit.com/r/cancer/comments/b0v585/mum_has_brain_cancer_and_is_not_unable_to_speak/")</f>
        <v/>
      </c>
      <c r="G1275" t="inlineStr">
        <is>
          <t>2019-03-13 19:57:59</t>
        </is>
      </c>
      <c r="H1275" t="inlineStr"/>
    </row>
    <row r="1276">
      <c r="A1276" t="inlineStr">
        <is>
          <t>b0vtil</t>
        </is>
      </c>
      <c r="B1276" t="inlineStr">
        <is>
          <t>Rectal cancer stage 3</t>
        </is>
      </c>
      <c r="C1276" t="inlineStr">
        <is>
          <t>My dad was diagnosed with stage three rectal cancer last December. It came as a shock to my entire family and I as he has always been healthy. I don't have friends or relatives that are cancer survivors, or at least not stage 3, so I'd like some advice. My dad has finished 1 round of chemotherapy and is currently resting for his surgery in May.
1. My dad refuses to stop working as he believes that we will not be able to make it financially. (Background:  I'm a 4th  year university student, graduating in May, my mum and brother works full-time) Has anyone also encountered such a situation? How can I convince him to stay at home and rest more?
2. He has always been a big eater, but during the past few years (probably due to the tumor), his appetite dropped drastically. Recently, nearing the end of his radiotherapy and for the past few weeks, his appetite returned and he put on a bit of weight. However, for the past week or so, he has complained of a lack of appetite and his weight has started dropping again. Is this a normal occurrence/side effect of radiotherapy? Is there any way that I can help improve his appetite?
I'm really grateful for any advice given, thanks in advance.</t>
        </is>
      </c>
      <c r="D1276" t="n">
        <v>10</v>
      </c>
      <c r="E1276" t="n">
        <v>9</v>
      </c>
      <c r="F1276">
        <f>HYPERLINK("https://www.reddit.com/r/cancer/comments/b0vtil/rectal_cancer_stage_3/")</f>
        <v/>
      </c>
      <c r="G1276" t="inlineStr">
        <is>
          <t>2019-03-13 21:10:02</t>
        </is>
      </c>
      <c r="H1276" t="inlineStr"/>
    </row>
    <row r="1277">
      <c r="A1277" t="inlineStr">
        <is>
          <t>b0w1kn</t>
        </is>
      </c>
      <c r="B1277" t="inlineStr">
        <is>
          <t>I beat cancer, and now I'm getting a gift from an organization, any ideas what to ask for?</t>
        </is>
      </c>
      <c r="C1277" t="inlineStr">
        <is>
          <t xml:space="preserve">I'm 17, and I beat cancer. I'm getting a gift from a small organization any ideas on what I should ask for ? </t>
        </is>
      </c>
      <c r="D1277" t="n">
        <v>10</v>
      </c>
      <c r="E1277" t="n">
        <v>14</v>
      </c>
      <c r="F1277">
        <f>HYPERLINK("https://www.reddit.com/r/cancer/comments/b0w1kn/i_beat_cancer_and_now_im_getting_a_gift_from_an/")</f>
        <v/>
      </c>
      <c r="G1277" t="inlineStr">
        <is>
          <t>2019-03-13 21:35:44</t>
        </is>
      </c>
      <c r="H1277" t="inlineStr"/>
    </row>
    <row r="1278">
      <c r="A1278" t="inlineStr">
        <is>
          <t>b0x4e7</t>
        </is>
      </c>
      <c r="B1278" t="inlineStr">
        <is>
          <t>Questions about future treatment place and how to help my mom gain weight.</t>
        </is>
      </c>
      <c r="C1278" t="inlineStr">
        <is>
          <t xml:space="preserve">Hey all.
My mom (then 56 yrs old, now 57) had a really long year in 2018. It started off with a leg full of blood clots, then 2 strokes, then Endocarditis and then was biopsied twice along with a PET scan and diagnosed with Cancer of Unknown Primary at the end of October 2018. She received 1 round of chemo which caused her pointer finger and some of her toes to swell and turn black,and now as of January 2019 [since switching hospitals (for the better)] they are almost certain of the original spot leading to cervical/ovarian cancer. I am so frustrated by the fact of how things were taken into proportion with the first hospital. I keep having questions run through my head like “Did she have cancer a whole 9 months before they even found it?” Etc. As a 22 yr old and as her caregiver everyday I worry how much time she has left. I am trying to push so hard to get into Cancer Centers of America but it seems like something always happens that extends it out. For example: We’ve had to take my mom to the ER in January due to heavy bleeding, she had 15 rounds of radiation to stop the bleeding. Then this month I had to contact her radiation doctor again and let him know her bleeding has started again and he suggested 13 more rounds of pin pointed radiation to hopefully stop it fully. Yesterday she was weighed and I was hoping she gained some weight but instead lost almost 10 more pounds. (Overall since January 2018 losing 70 lbs). I feel like I have no hope anymore. All I want is the best for her and I will feel a bit better once we are at the Cancer center but I feel like we will never get to that point. Has anyone else went to a cancer center of America? If so how was the environment and care? Any success stories from having treatment there? How do I help my mom gain some weight back? (She can’t drink Ensure as it gives her major diarrhea) Thanks.
</t>
        </is>
      </c>
      <c r="D1278" t="n">
        <v>7</v>
      </c>
      <c r="E1278" t="n">
        <v>1</v>
      </c>
      <c r="F1278">
        <f>HYPERLINK("https://www.reddit.com/r/cancer/comments/b0x4e7/questions_about_future_treatment_place_and_how_to/")</f>
        <v/>
      </c>
      <c r="G1278" t="inlineStr">
        <is>
          <t>2019-03-13 23:51:59</t>
        </is>
      </c>
      <c r="H1278" t="inlineStr"/>
    </row>
    <row r="1279">
      <c r="A1279" t="inlineStr">
        <is>
          <t>b0y559</t>
        </is>
      </c>
      <c r="B1279" t="inlineStr">
        <is>
          <t>Vomit changed taste after folfox?</t>
        </is>
      </c>
      <c r="C1279" t="inlineStr">
        <is>
          <t>So I just had my first folfox infusion finished, and the pump is out. I have esophageal cancer, and I regularly throw up blood. Before this it came with gas that smelled like rotting tissue, and the vomited blood/ bile had that same taste. Now, it only tastes like bile and blood and a little bit like orange cleaning solution. Is this a good sign of folfox working? :[</t>
        </is>
      </c>
      <c r="D1279" t="n">
        <v>12</v>
      </c>
      <c r="E1279" t="n">
        <v>4</v>
      </c>
      <c r="F1279">
        <f>HYPERLINK("https://www.reddit.com/r/cancer/comments/b0y559/vomit_changed_taste_after_folfox/")</f>
        <v/>
      </c>
      <c r="G1279" t="inlineStr">
        <is>
          <t>2019-03-14 02:15:50</t>
        </is>
      </c>
      <c r="H1279" t="inlineStr"/>
    </row>
    <row r="1280">
      <c r="A1280" t="inlineStr">
        <is>
          <t>b11p44</t>
        </is>
      </c>
      <c r="B1280" t="inlineStr">
        <is>
          <t>Dad passed last night</t>
        </is>
      </c>
      <c r="C1280" t="inlineStr">
        <is>
          <t>After an 8 year battle with prostate cancer my dad finally left last night. I love him so much and never really spoke about how much he meant to me when he was alive. I said it to him once on while he was in hospice about a week before he passed, but I really don’t know how much he was able to comprehend. He was in so much pain and really just a shell of his former amazing self.
Dad, 
Thank you for everything. You were the most important person in my life. You were and always will be my hero and my role model. You are the greatest man I know. I wouldn’t be half the man I am today without you.
Someday when I have kids and a wife, I’ll make sure they know about who you are, and how great of a person you were
I know you told me you’d live vicariously through me after you passed, so I’ll do everything in my power to live a life that would make you proud. All I ever wanted in life was to make you proud.
LR, YYMS</t>
        </is>
      </c>
      <c r="D1280" t="n">
        <v>90</v>
      </c>
      <c r="E1280" t="n">
        <v>14</v>
      </c>
      <c r="F1280">
        <f>HYPERLINK("https://www.reddit.com/r/cancer/comments/b11p44/dad_passed_last_night/")</f>
        <v/>
      </c>
      <c r="G1280" t="inlineStr">
        <is>
          <t>2019-03-14 08:31:05</t>
        </is>
      </c>
      <c r="H1280" t="inlineStr"/>
    </row>
    <row r="1281">
      <c r="A1281" t="inlineStr">
        <is>
          <t>b11p64</t>
        </is>
      </c>
      <c r="B1281" t="inlineStr">
        <is>
          <t>Just got diagnosed with Thyroid cancer.</t>
        </is>
      </c>
      <c r="C1281" t="inlineStr">
        <is>
          <t>Got a lot on my mind.
I'm nervous about the surgery. I'm really scared about losing my voice. I've heard good things about my general surgeon from other people so I'm hoping she does a good job. 
As far as anxiety now that what I feared has come true I'm terrified that other things are also cancer. I know it's a stupid and irrational thing to jump to right away but I don't feel like my mind could even be at ease anymore until I literally get scans or tests to rule it out. 
They even called it a muscle injury at outpatients and their advice was a neck rub and to "lose weight". If I didn't keep getting tests done they never would have found it. 
How do you stop the thoughts that every new problem might be something else like this?
I don't even know how to tell my fiance. She's at some kind of bowling session with some classmates and she knew I was going to see the doctor today. 
She keeps asking for updates and I've just been telling her the doctor hasn't seen me yet. I don't want to ruin her day or make her upset. 
What a shitty day. I know it's very unlikely I'll die from this but it does have permanent life altering changes and that really scares me. 
Sorry for it being somewhat incoherent. Just needed to vent. Apologies if this is not the right place to talk about this.</t>
        </is>
      </c>
      <c r="D1281" t="n">
        <v>25</v>
      </c>
      <c r="E1281" t="n">
        <v>16</v>
      </c>
      <c r="F1281">
        <f>HYPERLINK("https://www.reddit.com/r/cancer/comments/b11p64/just_got_diagnosed_with_thyroid_cancer/")</f>
        <v/>
      </c>
      <c r="G1281" t="inlineStr">
        <is>
          <t>2019-03-14 08:31:13</t>
        </is>
      </c>
      <c r="H1281" t="inlineStr"/>
    </row>
    <row r="1282">
      <c r="A1282" t="inlineStr">
        <is>
          <t>b11qro</t>
        </is>
      </c>
      <c r="B1282" t="inlineStr">
        <is>
          <t>euthanasia assisted suicide california</t>
        </is>
      </c>
      <c r="C1282" t="inlineStr">
        <is>
          <t>You can buy nembutal online from trusted and reliable vendors for Nembutal so much online has brought us to the question of Order Nembutal Online. Have You Wondered Where Nembutal Pentobarbi­tal Sodiu­m Solut­ion Can be Found Onlin­e? Did you get ill luck tryin­g to Order this produ­ct onlin­e? THERE IS HOPE and You can Find that Hope Only With NEMBU­TAL SOLUT­0ION SUPPL­IER GROUP LTD
&amp;amp;#x200B;
exit bag materials. We are a safe and trusted source for Nembutal Sodium Online. We only sell 99.99% Pure and highly quality Nembutal (Pentobarbital sodium) in the form of Powder, Pills and liquid (Nembutal Sodium injection solution). All Nembutal (Pentobarbital Sodium) purchases are completely confidential, professional and very discreet delivery in unmarked sealed packages. You can buy nembutal online from trusted and reliable vendors for Nembutal so much online has brought us to the question of Order Nembutal Online.
&amp;amp;#x200B;
Whatsapp at: +1 (650) 822–8110
&amp;amp;#x200B;
Emai­l : ([nembutalforsaleonline@yahoo.com](mailto:nembutalforsaleonline@yahoo.com))
&amp;amp;#x200B;
Contact……………….([peacefulpainexit@aol.com](mailto:peacefulpainexit@aol.com))
&amp;amp;#x200B;
We are the leading suppliers of Nembutal ( Pentobarbital) and other euthanasia products online. We ship discreetly and risk-free to individuals and laboratories
&amp;amp;#x200B;
Provide the following in-formations so that we can tell you the quantity of the Nembutal lethal dose you wish to order.
&amp;amp;#x200B;
WHAT IS YOUR AGE?
&amp;amp;#x200B;
WHAT IS YOUR WEIGHT?
&amp;amp;#x200B;
WHAT IS YOUR HEIGHT?
&amp;amp;#x200B;
WHAT ILLNESS ARE YOU SUFFERING OF?
&amp;amp;#x200B;
WHAT FORM OF NEMBUTAL DO YOU WANT TO ORDER? POWDER FORM?ORAL LIQUID FORM? (IV) INTRAVENOUS OR INTRAMUSCULAR INJECTION
&amp;amp;#x200B;
LATEX FREE?
&amp;amp;#x200B;
HOW SOON DO YOU WANT US TO SHIP THIS PRODUCT TO YOUR ADDRESS?
&amp;amp;#x200B;
WHAT IS YOUR SHIPPING DESTINATION?
&amp;amp;#x200B;
Contact and get free anti-emetic tablets now
&amp;amp;#x200B;
Once you provide the above answers we will tell you the exact quantity of the lethal dose Nembutal you need to order for a peaceful and painless exit.
&amp;amp;#x200B;
Peacefully sleeps to the next [world.buy](https://world.buy) nembutal online, buy nembutal pills online, buy nembutal online china can you buy nembutal online how to buy nembutal online where can I buy nembutal online buy nembutal Mexico online buy nembutal online Australia buy nembutal online Mexico
&amp;amp;#x200B;</t>
        </is>
      </c>
      <c r="D1282" t="n">
        <v>1</v>
      </c>
      <c r="E1282" t="n">
        <v>0</v>
      </c>
      <c r="F1282">
        <f>HYPERLINK("https://www.reddit.com/r/cancer/comments/b11qro/euthanasia_assisted_suicide_california/")</f>
        <v/>
      </c>
      <c r="G1282" t="inlineStr">
        <is>
          <t>2019-03-14 08:35:03</t>
        </is>
      </c>
      <c r="H1282" t="inlineStr"/>
    </row>
    <row r="1283">
      <c r="A1283" t="inlineStr">
        <is>
          <t>b13jce</t>
        </is>
      </c>
      <c r="B1283" t="inlineStr">
        <is>
          <t>T3N0 to T0N0</t>
        </is>
      </c>
      <c r="C1283" t="inlineStr">
        <is>
          <t xml:space="preserve">Post op pathology found no cancer! Still need some maintenance chemo because of my age, but good news is good news! </t>
        </is>
      </c>
      <c r="D1283" t="n">
        <v>22</v>
      </c>
      <c r="E1283" t="n">
        <v>2</v>
      </c>
      <c r="F1283">
        <f>HYPERLINK("https://www.reddit.com/r/cancer/comments/b13jce/t3n0_to_t0n0/")</f>
        <v/>
      </c>
      <c r="G1283" t="inlineStr">
        <is>
          <t>2019-03-14 11:00:45</t>
        </is>
      </c>
      <c r="H1283" t="inlineStr"/>
    </row>
    <row r="1284">
      <c r="A1284" t="inlineStr">
        <is>
          <t>b13yln</t>
        </is>
      </c>
      <c r="B1284" t="inlineStr">
        <is>
          <t>1-year transplant anniversary!</t>
        </is>
      </c>
      <c r="C1284" t="inlineStr">
        <is>
          <t>Today marks the 1-year anniversary of my stem cell transplant and (hopefully) my cure from leukemia! Honestly, there were days I thought I would never make it to this point, and although I still have challenges that I am trying to work through, I'm so grateful to be posting here on Reddit about happy news! Happy Pi Day!</t>
        </is>
      </c>
      <c r="D1284" t="n">
        <v>25</v>
      </c>
      <c r="E1284" t="n">
        <v>7</v>
      </c>
      <c r="F1284">
        <f>HYPERLINK("https://www.reddit.com/r/cancer/comments/b13yln/1year_transplant_anniversary/")</f>
        <v/>
      </c>
      <c r="G1284" t="inlineStr">
        <is>
          <t>2019-03-14 11:35:53</t>
        </is>
      </c>
      <c r="H1284" t="inlineStr"/>
    </row>
    <row r="1285">
      <c r="A1285" t="inlineStr">
        <is>
          <t>b153xy</t>
        </is>
      </c>
      <c r="B1285" t="inlineStr">
        <is>
          <t>Has anyone else experienced chest pain from your chemo port?</t>
        </is>
      </c>
      <c r="C1285" t="inlineStr">
        <is>
          <t>For about three weeks now, I've had recurring chest pain on the left side of my chest that seems to be positional and mostly to do with how I move my left shoulder. I got a scan done of my chest and they all came back clean. Due to the fact that the skin around my port is VERY tender, and the pain seems to be along the catheter line, my doctors believe this to be the problem.
They've decided the best course of action would be to remove my port. This week. I have two treatments left over the course of the next three weeks. They say that the port was for the intense chemo sessions I have for the first half and that the last two chemo treatments don't require a port and can be taken administered through a vein. 
Is this the best course of action? I'd hate to have my port removed only to have a recurrence down the line and have to have it put back in...</t>
        </is>
      </c>
      <c r="D1285" t="n">
        <v>5</v>
      </c>
      <c r="E1285" t="n">
        <v>3</v>
      </c>
      <c r="F1285">
        <f>HYPERLINK("https://www.reddit.com/r/cancer/comments/b153xy/has_anyone_else_experienced_chest_pain_from_your/")</f>
        <v/>
      </c>
      <c r="G1285" t="inlineStr">
        <is>
          <t>2019-03-14 13:09:51</t>
        </is>
      </c>
      <c r="H1285" t="inlineStr"/>
    </row>
    <row r="1286">
      <c r="A1286" t="inlineStr">
        <is>
          <t>b15xai</t>
        </is>
      </c>
      <c r="B1286" t="inlineStr">
        <is>
          <t>Anyone have a history of melanoma?</t>
        </is>
      </c>
      <c r="C1286" t="inlineStr">
        <is>
          <t xml:space="preserve">Had a biopsy last week and I was told by the phone that it’s atypical and I’ve been referred to an oncologist. The way the nurse explained it to me just gave me so much anxiety. 
She told me that the only thing she knows is the result is atypical and my results have been referred to oncology. 
I have an appointment to see an oncologist to examine my mole. And to discuss further treatment. I thought atypical mole is something benign but can develop into cancer. Now I’m freaking out. </t>
        </is>
      </c>
      <c r="D1286" t="n">
        <v>3</v>
      </c>
      <c r="E1286" t="n">
        <v>8</v>
      </c>
      <c r="F1286">
        <f>HYPERLINK("https://www.reddit.com/r/cancer/comments/b15xai/anyone_have_a_history_of_melanoma/")</f>
        <v/>
      </c>
      <c r="G1286" t="inlineStr">
        <is>
          <t>2019-03-14 14:16:15</t>
        </is>
      </c>
      <c r="H1286" t="inlineStr"/>
    </row>
    <row r="1287">
      <c r="A1287" t="inlineStr">
        <is>
          <t>b164ep</t>
        </is>
      </c>
      <c r="B1287" t="inlineStr">
        <is>
          <t>A dissapoinng scan result</t>
        </is>
      </c>
      <c r="C1287" t="inlineStr">
        <is>
          <t xml:space="preserve">I just got an MRI and I found d out I have a brain tumor on my pineal gland. My prognosis is still good though </t>
        </is>
      </c>
      <c r="D1287" t="n">
        <v>12</v>
      </c>
      <c r="E1287" t="n">
        <v>5</v>
      </c>
      <c r="F1287">
        <f>HYPERLINK("https://www.reddit.com/r/cancer/comments/b164ep/a_dissapoinng_scan_result/")</f>
        <v/>
      </c>
      <c r="G1287" t="inlineStr">
        <is>
          <t>2019-03-14 14:32:27</t>
        </is>
      </c>
      <c r="H1287" t="inlineStr"/>
    </row>
    <row r="1288">
      <c r="A1288" t="inlineStr">
        <is>
          <t>b164n3</t>
        </is>
      </c>
      <c r="B1288" t="inlineStr">
        <is>
          <t>7 year old girl with brain cancer in need of help</t>
        </is>
      </c>
      <c r="C1288" t="inlineStr">
        <is>
          <t xml:space="preserve">Hello Reddit friends! 
Yaretzy is a sweet 7 year old girl who's life has recently been put in jeopardy. This precious little girl and her family need some help. If you are able to donate anything, great. But if not, maybe just share this and raise awareness. If nothing else, please include her in your prayers. Thank you in advance, and thank you for reading this.
 https://www.gofundme.com/hope-for-yaretzy
</t>
        </is>
      </c>
      <c r="D1288" t="n">
        <v>1</v>
      </c>
      <c r="E1288" t="n">
        <v>0</v>
      </c>
      <c r="F1288">
        <f>HYPERLINK("https://www.reddit.com/r/cancer/comments/b164n3/7_year_old_girl_with_brain_cancer_in_need_of_help/")</f>
        <v/>
      </c>
      <c r="G1288" t="inlineStr">
        <is>
          <t>2019-03-14 14:32:59</t>
        </is>
      </c>
      <c r="H1288" t="inlineStr"/>
    </row>
    <row r="1289">
      <c r="A1289" t="inlineStr">
        <is>
          <t>b16pww</t>
        </is>
      </c>
      <c r="B1289" t="inlineStr">
        <is>
          <t>A formal diagnosis for my little girl.</t>
        </is>
      </c>
      <c r="C1289" t="inlineStr">
        <is>
          <t xml:space="preserve">Biopsy results came back yesterday and we had a meeting with her oncology team. 
It was as we suspected - AT/RT. 
Luckily they were able to do a complete resection and her MRI is clear. However due to the aggressive nature of the residual cells she is starting a very aggressive course of chemo next week as an inpatient as soon as her surgeons clear her to start treatment. 
They have chosen not to do radiation because the risk of secondary tumours becomes too high due to the SMARCB1 deletion she has. 
The doctors have given her a 50% chance of survival. She’s only fucking 4 years old... at the moment she is dancing in front of the mirror listening to an old Kiss record that she loves. She is the happiest, strongest little kid I’ve ever met. She didn’t shed a single tear after brain surgery, and I didn’t hear a single complaint from her. I can’t bear the thought that in 4 weeks, her hair will be falling out and she will be fighting in hospital while they pump her body full of poison. 
I don’t understand this. It’s so unfair for this to happen to such an innocent little girl. 
Objectively speaking, we are lucky. I’ve never heard of an AT/RT case with more than a 30% chance of survival. There are a few things working in our favour. Her drs think that because she is older than the typical AT/RT patient, her risk of secondary tumours or metastasis are lower. The fact that the chemo will just need to kill any residual cells and not shrink an entire tumour is great. We just need her to be strong enough to withstand chemo. 
It looks like we will be spending the better part of the next 12 months in hospital doing treatment. Oh, and I’m having a baby in 9 weeks. So that’ll be fun. 
Fuck cancer. </t>
        </is>
      </c>
      <c r="D1289" t="n">
        <v>42</v>
      </c>
      <c r="E1289" t="n">
        <v>19</v>
      </c>
      <c r="F1289">
        <f>HYPERLINK("https://www.reddit.com/r/cancer/comments/b16pww/a_formal_diagnosis_for_my_little_girl/")</f>
        <v/>
      </c>
      <c r="G1289" t="inlineStr">
        <is>
          <t>2019-03-14 15:21:49</t>
        </is>
      </c>
      <c r="H1289" t="inlineStr"/>
    </row>
    <row r="1290">
      <c r="A1290" t="inlineStr">
        <is>
          <t>b177vp</t>
        </is>
      </c>
      <c r="B1290" t="inlineStr">
        <is>
          <t>Anyone tried breusse diet or other natural alternatives to surgery to battle cancer?</t>
        </is>
      </c>
      <c r="C1290" t="inlineStr">
        <is>
          <t>Have to go for third surgery for thyroid cancer and im sick of it. Anyone know any success stories with alternate methods?</t>
        </is>
      </c>
      <c r="D1290" t="n">
        <v>0</v>
      </c>
      <c r="E1290" t="n">
        <v>6</v>
      </c>
      <c r="F1290">
        <f>HYPERLINK("https://www.reddit.com/r/cancer/comments/b177vp/anyone_tried_breusse_diet_or_other_natural/")</f>
        <v/>
      </c>
      <c r="G1290" t="inlineStr">
        <is>
          <t>2019-03-14 16:04:26</t>
        </is>
      </c>
      <c r="H1290" t="inlineStr"/>
    </row>
    <row r="1291">
      <c r="A1291" t="inlineStr">
        <is>
          <t>b179m2</t>
        </is>
      </c>
      <c r="B1291" t="inlineStr">
        <is>
          <t>3 year anniversary</t>
        </is>
      </c>
      <c r="C1291" t="inlineStr">
        <is>
          <t xml:space="preserve">Of NED! 2 more to go! </t>
        </is>
      </c>
      <c r="D1291" t="n">
        <v>23</v>
      </c>
      <c r="E1291" t="n">
        <v>4</v>
      </c>
      <c r="F1291">
        <f>HYPERLINK("https://www.reddit.com/r/cancer/comments/b179m2/3_year_anniversary/")</f>
        <v/>
      </c>
      <c r="G1291" t="inlineStr">
        <is>
          <t>2019-03-14 16:08:31</t>
        </is>
      </c>
      <c r="H1291" t="inlineStr"/>
    </row>
    <row r="1292">
      <c r="A1292" t="inlineStr">
        <is>
          <t>b17hg6</t>
        </is>
      </c>
      <c r="B1292" t="inlineStr">
        <is>
          <t>Ribbons</t>
        </is>
      </c>
      <c r="C1292" t="inlineStr">
        <is>
          <t xml:space="preserve">￼
Orange Ribbons. They should not be too hard to find, right? Ribbons are everywhere.  We use ribbons to bring awareness to all the different diseases and causes they represent. Cupcakes in bakery windows sparkle with white sprinkles and pink candied ribbons. Athletes wear pink ribbons on their cleats, pink pins on their jerseys.
That's the problem. We only see pink ribbons out in the world. The problem isn't the pink ribbons, themselves.  Breast Cancer is a very important cause. More people are diagnosed with breast cancer than any other cancer. The pink ribbons bring awareness, and with awareness comes much needed funding to help with the research to find a cure that we desperately need. The problem is that we only see pink ribbons and not all the other colors and causes. Other causes also need awareness and funding for desperately needed cures.
Did you know that orange is the color for Leukemia? It is. Did you know that according to the Leukemia and Lymphoma society, in the United States, one person is diagnosed with a blood cancer every three minutes, that more children are diagnosed with Leukemia than any other type of cancer?That is an estimate of 17,425 people diagnosed annually with a blood cancer like Leukemia. That number just includes blood cancer. Just think about it--- one person every three minutes is diagnosed with Leukemia or another blood cancer. One person every three minutes is told that their life is at risk. One person's life is turned upside down every three minutes, and we don't know the ribbon color.
The NFL wears pink in October. Pink cleats, pink towels, pink pins. They say that the "Critical Catch" campaign will focus of different kinds of cancers. However, outside of interviews and short videos from and about some players' family members, it seems to focus on pink. Approximately $6 billion is raised annually in the name of Breast Cancer, compared to the $250 million raised for Leukemia and Lymphoma.
Out of curiosity, do you think more money would be raised for Leukemia if the orange ribbons were prevalent? Do you think more people would donate if Tom Brady and Jared Goff wore orange cleats and orange gloves? How about if Mookie Betts took the field with an orange glove or if Tuukka Rask had an orange stick or skates? Imagine Gordon Hayward taking the court with an orange headband.
Keep the Pink. Fight Breast Cancer. Add the Orange for Leukemia. Add White for Lung Cancer. Add Yellow for Bone Cancer. Add Purple for Pancreatic Cancer. Add Green for Lymphoma. Add the Burgandy for Oral Cancer. Add all of the ribbon colors. The NFL, MLB, NHL and NBA have a huge audience. They have a platform and they have people's attention. Let's encourage them to put it to good use by raising awareness for all cancers, generating much needed funds for all those who fight and struggle and who desperately need a cure. Keep the pink and add a rainbow. Orange ribbons, along with all the others, should be everywhere.
www.annaspals.org
</t>
        </is>
      </c>
      <c r="D1292" t="n">
        <v>8</v>
      </c>
      <c r="E1292" t="n">
        <v>2</v>
      </c>
      <c r="F1292">
        <f>HYPERLINK("https://www.reddit.com/r/cancer/comments/b17hg6/ribbons/")</f>
        <v/>
      </c>
      <c r="G1292" t="inlineStr">
        <is>
          <t>2019-03-14 16:28:19</t>
        </is>
      </c>
      <c r="H1292" t="inlineStr"/>
    </row>
    <row r="1293">
      <c r="A1293" t="inlineStr">
        <is>
          <t>b17lgf</t>
        </is>
      </c>
      <c r="B1293" t="inlineStr">
        <is>
          <t>I finished!</t>
        </is>
      </c>
      <c r="C1293" t="inlineStr">
        <is>
          <t>Today was my last round of chemo! After 5 months, I’ve finished R-CHOP! I feel like death right now, but it’s the last time I need to feel this way :)
I got an extra surprise on the way out, I was diagnosed with the shingles -____- and now my girlfriend is mad she can get chicken pox. But honestly it’s a small price to pay for this part of the journey to end.
I send my love out there to all still in treatment! Keep fighting, the day eventually comes and there is light at the end of the tunnel!</t>
        </is>
      </c>
      <c r="D1293" t="n">
        <v>86</v>
      </c>
      <c r="E1293" t="n">
        <v>24</v>
      </c>
      <c r="F1293">
        <f>HYPERLINK("https://www.reddit.com/r/cancer/comments/b17lgf/i_finished/")</f>
        <v/>
      </c>
      <c r="G1293" t="inlineStr">
        <is>
          <t>2019-03-14 16:38:14</t>
        </is>
      </c>
      <c r="H1293" t="inlineStr"/>
    </row>
    <row r="1294">
      <c r="A1294" t="inlineStr">
        <is>
          <t>b18hdj</t>
        </is>
      </c>
      <c r="B1294" t="inlineStr">
        <is>
          <t>Mushrooms</t>
        </is>
      </c>
      <c r="C1294" t="inlineStr">
        <is>
          <t xml:space="preserve">Has anyone on here heard of using chaga or turkey tail mushrooms to fight cancer? Just wondering if anyone knows anyone that has tried them.
My mom was just diagnosed today. We are still not sure if she is going to need chemo or just to have the tumor removed. </t>
        </is>
      </c>
      <c r="D1294" t="n">
        <v>0</v>
      </c>
      <c r="E1294" t="n">
        <v>3</v>
      </c>
      <c r="F1294">
        <f>HYPERLINK("https://www.reddit.com/r/cancer/comments/b18hdj/mushrooms/")</f>
        <v/>
      </c>
      <c r="G1294" t="inlineStr">
        <is>
          <t>2019-03-14 18:03:25</t>
        </is>
      </c>
      <c r="H1294" t="inlineStr"/>
    </row>
    <row r="1295">
      <c r="A1295" t="inlineStr">
        <is>
          <t>b18pt2</t>
        </is>
      </c>
      <c r="B1295" t="inlineStr">
        <is>
          <t>Aunt has months to live; first time someone in the family is diagnosed with cancer, and I have no idea how to cope</t>
        </is>
      </c>
      <c r="C1295" t="inlineStr">
        <is>
          <t xml:space="preserve">Hi guys, 
This subreddit was recommended to me by someone. My aunt was diagnosed with Stage 4 Breast cancer just a few weeks ago and she is deteriorating so fast. All of this is happening overseas so I feel like i am both in the storm and outside of it at the same time. We are trying to figure out the financials so we can fly back home in time. 
I'm having a really, really hard time facing this emotionally. I have no idea if what I'm feeling is "normal". What did you experience when you found out about your loved one's diagnosis/prognosis? 
There are days where I can experience moments of joy but just a few minutes after, I am reminded of the current situation and am moved to tears. My mood changes like the wind. I'm very moody and irritable, I hardly sleep. I'm always up till 1, 2 in the morning. I never used to watch movies and tv shows too frequently but now I am binging on anything with comedy in it because laughing brings me some kind of joy, albeit momentarily. Sometimes I forget to even eat. I was finally able to tell my best friend everything yesterday. It was a kind of relief; i felt lighter afterwards. I wanted to cry but i was so happy to see her that I simply couldn't. 
My cousin back home sends us photos of my aunt every day to update us and, man, she's getting worse and worse. The cancer has now spread to her liver. Her bones. Her brain. She can't even walk anymore. Our whole family is in absolute shock. As am I. 
I just... had to vent. I'm very emotionally exhausted and sad. I'm seeing a therapist in a few weeks (this was planned way before my aunt was even diagnosed - talk about good timing!) I just want to fly back home so badly. We're figuring out the finances, but it's taking time. I want to go back home. I want to spend time with my aunt. The doctors have said that the tumour in her brain will affect her memory eventually - so I want to go home before that happens. </t>
        </is>
      </c>
      <c r="D1295" t="n">
        <v>3</v>
      </c>
      <c r="E1295" t="n">
        <v>3</v>
      </c>
      <c r="F1295">
        <f>HYPERLINK("https://www.reddit.com/r/cancer/comments/b18pt2/aunt_has_months_to_live_first_time_someone_in_the/")</f>
        <v/>
      </c>
      <c r="G1295" t="inlineStr">
        <is>
          <t>2019-03-14 18:27:29</t>
        </is>
      </c>
      <c r="H1295" t="inlineStr"/>
    </row>
    <row r="1296">
      <c r="A1296" t="inlineStr">
        <is>
          <t>b18sdj</t>
        </is>
      </c>
      <c r="B1296" t="inlineStr">
        <is>
          <t>Pain Management: I never know what to say</t>
        </is>
      </c>
      <c r="C1296" t="inlineStr">
        <is>
          <t>I finally crossed a line this week and made the jump from Oxycodone to Dilauded. I've worked really hard to manage pain without narcotics but when I get a flare up there's not much else to be done.  The problem is I never know quite what to say when we are discussing pain management.
The pain is significantly worse at night (typical of ewings), enough to make me wonder if I was imagining it by the next morning.  So any time I am discussing it is during the day when it's not as severe. There is bone pain from the tumors, but also nerve pain now in one location, and then there is secondary muscle pain from reacting to the primary pain.
But the questions they ask are just so hard to answer, scale of 1 to 10? Shooting? Stabbing? Burning pain? Numbness? Tingling? I find myself second guessing everything I say because it's so hard to explain to someone that has never felt it, and I'm so very afraid that I will say the wrong thing and they will decide I'm just drug seeking.  They poke and prod, "does this hurt? How about this?" But of course it's during the day when it's not as bad and the meds are working, so I'm sitting there putting a good face on it saying "well not right NOW but at night when there is no one around I want to die".
I have never had any issue with my primary oncologist, she is very understanding and encourages me to use whatever I need.  But the rest of the medical system is so uptight, her receptionist, all hospital staff, they all treat me like a junkie. I'm so afraid of being cut off when I have a real pain flare.  I have no idea why anyone would take this for fun, but it's hard to even ask questions about side effects because of the stigma.
I just don't know how to deal with it, and it's going to be the rest of my (admittedly) short life now.  What do you do? How do you navigate discussing pain management with medical professionals? Please don't start in about pot, yes I have it, no it can't touch the pain. I have been wondering if it's time to start working on MAID before it's too late.</t>
        </is>
      </c>
      <c r="D1296" t="n">
        <v>10</v>
      </c>
      <c r="E1296" t="n">
        <v>18</v>
      </c>
      <c r="F1296">
        <f>HYPERLINK("https://www.reddit.com/r/cancer/comments/b18sdj/pain_management_i_never_know_what_to_say/")</f>
        <v/>
      </c>
      <c r="G1296" t="inlineStr">
        <is>
          <t>2019-03-14 18:34:53</t>
        </is>
      </c>
      <c r="H1296" t="inlineStr"/>
    </row>
    <row r="1297">
      <c r="A1297" t="inlineStr">
        <is>
          <t>b18ygt</t>
        </is>
      </c>
      <c r="B1297" t="inlineStr">
        <is>
          <t>How do I do it</t>
        </is>
      </c>
      <c r="C1297" t="inlineStr">
        <is>
          <t>I just got diagnosed with papillary thyroid cancer, it's in both left and right sides. The tumors are 7cm by 6cm by 5cm. The doctor didn't mention anything about stages or anything. I am currently waiting to see if I also have FAP colon cancer, my father first got diagnosed at 35 and then again at 46 and his polyps were tiny and like carpeting, he died at 48. 90% of the people on my father's side have had colon cancer. So I am a little worried that I do have it because I have had a few symptoms and ya know, family history.
I'm a 23 year old female and I have no idea how I am going to tell my mom that they called today and told me the news and are currently scheduling surgery. What worries me is when I was told the news, I didn't cry or nothing, is that normal?
I honestly hate talking about cancer and how my dad died and its all everyone wants to talk to me about now....</t>
        </is>
      </c>
      <c r="D1297" t="n">
        <v>9</v>
      </c>
      <c r="E1297" t="n">
        <v>4</v>
      </c>
      <c r="F1297">
        <f>HYPERLINK("https://www.reddit.com/r/cancer/comments/b18ygt/how_do_i_do_it/")</f>
        <v/>
      </c>
      <c r="G1297" t="inlineStr">
        <is>
          <t>2019-03-14 18:52:17</t>
        </is>
      </c>
      <c r="H1297" t="inlineStr"/>
    </row>
    <row r="1298">
      <c r="A1298" t="inlineStr">
        <is>
          <t>b19npq</t>
        </is>
      </c>
      <c r="B1298" t="inlineStr">
        <is>
          <t>So Many Feelings</t>
        </is>
      </c>
      <c r="C1298" t="inlineStr">
        <is>
          <t>I'm so sad for those who have lost loved ones. Please be patient with yourselves in your grieving. 
Cancer has been easy on me (breast spread to bone) which is probably one reason I didn't catch it early. But a recent CAT scan report said it was "progressing" in the bone, which my oncologist said she didn't believe so I will have a bone scan soon. The breast tumor has receded. All the organs I need to stay alive seem to be in good shape.
This month I was started on the bone-strengthening med, which is given as a 30-minute infusion. So for the first time I went into the back room where chemo is given. I thought it would be depressing. People were talking and laughing and eating McDonald's. A few were dozing or working on laptops. Not depressing at all.
But I got depressed anyway. I guess it hit me that, in spite of how well I am doing, I have a serious disease. I'm 76 and this is the stage of life when thoughts of mortality naturally surface. But I have had peace about it all. Just have to come to terms with living with so much medical care.</t>
        </is>
      </c>
      <c r="D1298" t="n">
        <v>10</v>
      </c>
      <c r="E1298" t="n">
        <v>3</v>
      </c>
      <c r="F1298">
        <f>HYPERLINK("https://www.reddit.com/r/cancer/comments/b19npq/so_many_feelings/")</f>
        <v/>
      </c>
      <c r="G1298" t="inlineStr">
        <is>
          <t>2019-03-14 20:04:33</t>
        </is>
      </c>
      <c r="H1298" t="inlineStr"/>
    </row>
    <row r="1299">
      <c r="A1299" t="inlineStr">
        <is>
          <t>b1b61r</t>
        </is>
      </c>
      <c r="B1299" t="inlineStr">
        <is>
          <t>I'm happy to see so many people getting bone marrow transplants today.</t>
        </is>
      </c>
      <c r="C1299" t="inlineStr">
        <is>
          <t>About 25 years ago my dad's best friend was diagnosed with leukemia. Doctors told him he needed a bone marrow transplant, but his insurance company refused, citing it was still, "experimental". They knew damn well that it was about experimental as Tylenol for a headache. Their refusal to cover bone marrow transplants resulted in a number of landmark lawsuits which forced insurance companies to cover many of these transplants, but not before my dad's friend died.
I happened to be at the cemetary near his plot last week. I wasn't close to the guy, and in fact, thought he was a bit of a benign jerk when I was a kid, but he was my dad's best friend, and a father, and a husband, and a person, and it just angers me to know that he would probably still be alive today if not for some people in a board room. 
Anyway every time I see a post on here that someone got a bone marrow transplant, my heart lights up a little, because 25 years ago that person would have needlessly died and today they will very likely live.</t>
        </is>
      </c>
      <c r="D1299" t="n">
        <v>9</v>
      </c>
      <c r="E1299" t="n">
        <v>1</v>
      </c>
      <c r="F1299">
        <f>HYPERLINK("https://www.reddit.com/r/cancer/comments/b1b61r/im_happy_to_see_so_many_people_getting_bone/")</f>
        <v/>
      </c>
      <c r="G1299" t="inlineStr">
        <is>
          <t>2019-03-14 22:56:41</t>
        </is>
      </c>
      <c r="H1299" t="inlineStr"/>
    </row>
    <row r="1300">
      <c r="A1300" t="inlineStr">
        <is>
          <t>b1b8wx</t>
        </is>
      </c>
      <c r="B1300" t="inlineStr">
        <is>
          <t>How does Radiation Therapy work?</t>
        </is>
      </c>
      <c r="C1300" t="inlineStr">
        <is>
          <t xml:space="preserve"> 
In simple layman terms, Radiation is a high energy beam which can target a group of cells at one time. 
The one used for cancer is explicitly a high energy x-ray beam. Lesser known forms of radiation use protons named particles to remove a cancerous growth.</t>
        </is>
      </c>
      <c r="D1300" t="n">
        <v>1</v>
      </c>
      <c r="E1300" t="n">
        <v>0</v>
      </c>
      <c r="F1300">
        <f>HYPERLINK("https://www.reddit.com/r/cancer/comments/b1b8wx/how_does_radiation_therapy_work/")</f>
        <v/>
      </c>
      <c r="G1300" t="inlineStr">
        <is>
          <t>2019-03-14 23:06:18</t>
        </is>
      </c>
      <c r="H1300" t="inlineStr"/>
    </row>
    <row r="1301">
      <c r="A1301" t="inlineStr">
        <is>
          <t>b1bx4f</t>
        </is>
      </c>
      <c r="B1301" t="inlineStr">
        <is>
          <t>My friend found out that she has a tumor. She doesn’t want to tell her parents nor does she want to talk about it at all. How do I get her to talk ?</t>
        </is>
      </c>
      <c r="C1301" t="inlineStr">
        <is>
          <t>I’m trying to get my friend to talk about the tumor. I don’t even know how to start the convo. I don’t want her to ignore the situation so that it doesn’t get worse. I want her to tell her family and friends so that they can offer support. Help me open up the subject to her. I really dot know where to start :(</t>
        </is>
      </c>
      <c r="D1301" t="n">
        <v>3</v>
      </c>
      <c r="E1301" t="n">
        <v>8</v>
      </c>
      <c r="F1301">
        <f>HYPERLINK("https://www.reddit.com/r/cancer/comments/b1bx4f/my_friend_found_out_that_she_has_a_tumor_she/")</f>
        <v/>
      </c>
      <c r="G1301" t="inlineStr">
        <is>
          <t>2019-03-15 00:32:51</t>
        </is>
      </c>
      <c r="H1301" t="inlineStr"/>
    </row>
    <row r="1302">
      <c r="A1302" t="inlineStr">
        <is>
          <t>b1cmq2</t>
        </is>
      </c>
      <c r="B1302" t="inlineStr">
        <is>
          <t>Hey cancer gang!</t>
        </is>
      </c>
      <c r="C1302" t="inlineStr">
        <is>
          <t>I survived my 3rd lung surgery:) I lost my right middle lobe and part of my right lower lobe but I'm maintaining 95-99% on room air with activity so guess who is going home without oxygen!?!?
I'm sore. I look like I lost a knife fight. My sideboob is glued together. But I'm still alive and I get to go home in a few hours. 
Now we wait for biopsy results. I'll do chemo for a third time if I have to, but here's hoping I won't need it. 
(Mucinous ovarian stage 4b...22 months survival- and counting)</t>
        </is>
      </c>
      <c r="D1302" t="n">
        <v>152</v>
      </c>
      <c r="E1302" t="n">
        <v>28</v>
      </c>
      <c r="F1302">
        <f>HYPERLINK("https://www.reddit.com/r/cancer/comments/b1cmq2/hey_cancer_gang/")</f>
        <v/>
      </c>
      <c r="G1302" t="inlineStr">
        <is>
          <t>2019-03-15 02:09:46</t>
        </is>
      </c>
      <c r="H1302" t="inlineStr"/>
    </row>
    <row r="1303">
      <c r="A1303" t="inlineStr">
        <is>
          <t>b1eoef</t>
        </is>
      </c>
      <c r="B1303" t="inlineStr">
        <is>
          <t>Just because I have an easy supply of painkillers......</t>
        </is>
      </c>
      <c r="C1303" t="inlineStr">
        <is>
          <t>Doesn't mean I'm your walking pharmacy! I can't believe how many friends ask me for painkillers or Valium. Pretty much all my painkillers are strong opioids and there's now way I'd pass those around. And.... there is a reason they've been prescribed to me.
I'm probably not the only one with this rant! 
\*Rant over\*</t>
        </is>
      </c>
      <c r="D1303" t="n">
        <v>29</v>
      </c>
      <c r="E1303" t="n">
        <v>15</v>
      </c>
      <c r="F1303">
        <f>HYPERLINK("https://www.reddit.com/r/cancer/comments/b1eoef/just_because_i_have_an_easy_supply_of_painkillers/")</f>
        <v/>
      </c>
      <c r="G1303" t="inlineStr">
        <is>
          <t>2019-03-15 06:01:54</t>
        </is>
      </c>
      <c r="H1303" t="inlineStr"/>
    </row>
    <row r="1304">
      <c r="A1304" t="inlineStr">
        <is>
          <t>b1er6b</t>
        </is>
      </c>
      <c r="B1304" t="inlineStr">
        <is>
          <t>Have You Recently Been Diagnosed with Cancer or Undergo Treatment? We need your help in our research.</t>
        </is>
      </c>
      <c r="C1304" t="inlineStr">
        <is>
          <t>We are currently looking for people to take part in our research study at the University of Chester, UK, on daily functioning and psychological wellbeing in cancer patients.
Receiving a cancer diagnosis and all that comes after this can often be a distressing, worrying and confusing time. Our aim is to investigate how cancer has affected your daily functioning and emotional wellbeing. We are particularly interested in how this then affects decisions you make about your treatment. Our goal is to help others that might find themselves in your position in the future. To do this, we need your help.
Anyone who is over 16 years of age and been diagnosed with any type of cancer can take part.Unfortunately, this study isn't suitable for cancer survivors who completed their treatments. If you decide to take part, you will be asked to complete an online questionnaire that will take around 30 minutes to complete. You will be also asked whether you would like to participate in a phone or Skype interview at a later date, but you don’t have to agree to this to take part in the questionnaire study. While we hope that taking part will be a positive experience for you, we also understand that answering questions about your illness may be upsetting. You can always stop the questionnaire at any time. All your answers and data will be anonymous.
If you would like to take part, please click the following link. This will take you to the survey and study information sheet.
Link: [https://chester.onlinesurveys.ac.uk/reddit](https://chester.onlinesurveys.ac.uk/reddit)
Thank you,
David Budzynski, BSc (Hons)
MRes student conducting the research</t>
        </is>
      </c>
      <c r="D1304" t="n">
        <v>3</v>
      </c>
      <c r="E1304" t="n">
        <v>0</v>
      </c>
      <c r="F1304">
        <f>HYPERLINK("https://www.reddit.com/r/cancer/comments/b1er6b/have_you_recently_been_diagnosed_with_cancer_or/")</f>
        <v/>
      </c>
      <c r="G1304" t="inlineStr">
        <is>
          <t>2019-03-15 06:09:05</t>
        </is>
      </c>
      <c r="H1304" t="inlineStr"/>
    </row>
    <row r="1305">
      <c r="A1305" t="inlineStr">
        <is>
          <t>b1errx</t>
        </is>
      </c>
      <c r="B1305" t="inlineStr">
        <is>
          <t>I want to make it easier for cancer patients to get the support they need, and your experience is an important part of that (academic research study)</t>
        </is>
      </c>
      <c r="C1305" t="inlineStr">
        <is>
          <t>As evidenced by many of the posts here, talking about cancer can be difficult, to say the least. People might smother you with unwanted attention, hassle you with advice, or even avoid you completely. I'm dedicating my research to learning how to most effectively support someone with a chronic illness, and I need your help.
I am a third-year Ph.D. candidate in the Communication Studies Department at the University of Nebraska-Lincoln, currently working on my dissertation, which is a two-part study exploring how chronic illnesses of all types impact one's identity, which may affect one's support-seeking communication. Are you:
* at least 19 years old,
* currently living in the U.S., Canada, or Mexico, and
* diagnosed with a chronic illness (including cancer, but also things like migraines, fibromyalgia, diabetes, etc.) in 2008 or later?
If so, your experience is important to me, and I would appreciate your participation in my current study. Participants will be asked to complete a short (12 to 20 minutes), IRB-approved, online survey regarding their health, communication preferences, and relationships with others. Answers will be anonymous and kept confidential. 
Unfortunately, since I live on a student budget, I am unable to provide monetary compensation for participation, but know that **your time** ***will be much appreciated*** as I work to make a difference for current and future chronic illness patients.
[**To take the survey, click here**](https://ssp.qualtrics.com/jfe/form/SV_40k7TfhmeuR7Eu9). If you have questions, want more information, or simply want to reach out, message me through reddit or email me at [heather.voorhees@huskers.unl.edu](mailto:heather.voorhees@huskers.unl.edu).
Thank you so much for your time.
*Just a note*: I had posted this about a week ago (after emailing the moderators) but I am still collecting opinions, and I want to hear a large variety of experiences, so I wanted to re-post, in case you want to participate but may have missed my first call.</t>
        </is>
      </c>
      <c r="D1305" t="n">
        <v>6</v>
      </c>
      <c r="E1305" t="n">
        <v>5</v>
      </c>
      <c r="F1305">
        <f>HYPERLINK("https://www.reddit.com/r/cancer/comments/b1errx/i_want_to_make_it_easier_for_cancer_patients_to/")</f>
        <v/>
      </c>
      <c r="G1305" t="inlineStr">
        <is>
          <t>2019-03-15 06:10:35</t>
        </is>
      </c>
      <c r="H1305" t="inlineStr"/>
    </row>
    <row r="1306">
      <c r="A1306" t="inlineStr">
        <is>
          <t>b1fnzi</t>
        </is>
      </c>
      <c r="B1306" t="inlineStr">
        <is>
          <t>My best friend has been sharing the gruesome details of chemo side effects with me and I’m not sure how to best support him.</t>
        </is>
      </c>
      <c r="C1306" t="inlineStr">
        <is>
          <t>Hi all, thanks for taking a moment to read this.  
My best friend(25m) was diagnosed with stage 4 non-Hodgkins large b cell lymphoma back in December 2018. He’s been responding really well to treatment and only has one more round of chemo and then radiation left to go.  
Naturally the further into treatment you get, the more extreme the side effects are. He hasn’t joined any sort of support group, and really doesn’t talk much about what he’s going through, except to me.  
I have been as supportive as I can be, taking time to hang out and visit in the hospital, bring him food when he’s feeling hungry, take him out and about when he has energy, etc. Recently he’s started confiding in me some of the most gruesome side effects he’s been dealing with (neuropathy, mouth sores, chapped nostrils from his nose always running, etc.) and I’m finally at a loss for how to support him.  
I’ve never been through this. And I can be sort of squeamish. I’m trying really hard to be a good listener, but is there anything else I can be doing/should be doing to make sure he’s feeling supported?  
Any recommendations are appreciated. Thanks in advance!</t>
        </is>
      </c>
      <c r="D1306" t="n">
        <v>14</v>
      </c>
      <c r="E1306" t="n">
        <v>14</v>
      </c>
      <c r="F1306">
        <f>HYPERLINK("https://www.reddit.com/r/cancer/comments/b1fnzi/my_best_friend_has_been_sharing_the_gruesome/")</f>
        <v/>
      </c>
      <c r="G1306" t="inlineStr">
        <is>
          <t>2019-03-15 07:33:20</t>
        </is>
      </c>
      <c r="H1306" t="inlineStr"/>
    </row>
    <row r="1307">
      <c r="A1307" t="inlineStr">
        <is>
          <t>b1h0ri</t>
        </is>
      </c>
      <c r="B1307" t="inlineStr">
        <is>
          <t>Mom In Hospice</t>
        </is>
      </c>
      <c r="C1307" t="inlineStr">
        <is>
          <t>We just recently moved my mother to hospice last night after years of battling her cancer (breast cancer metastasized to the bones, lungs, and liver). I want to prepare myself for the final stages. Right now she is sleeping, non-verbal, not eating or drinking, and moaning a lot. Can anyone tell me what else to expect or how to cope with all of this?</t>
        </is>
      </c>
      <c r="D1307" t="n">
        <v>18</v>
      </c>
      <c r="E1307" t="n">
        <v>16</v>
      </c>
      <c r="F1307">
        <f>HYPERLINK("https://www.reddit.com/r/cancer/comments/b1h0ri/mom_in_hospice/")</f>
        <v/>
      </c>
      <c r="G1307" t="inlineStr">
        <is>
          <t>2019-03-15 09:33:55</t>
        </is>
      </c>
      <c r="H1307" t="inlineStr"/>
    </row>
    <row r="1308">
      <c r="A1308" t="inlineStr">
        <is>
          <t>b1i2ut</t>
        </is>
      </c>
      <c r="B1308" t="inlineStr">
        <is>
          <t>Happiness is…</t>
        </is>
      </c>
      <c r="C1308" t="inlineStr">
        <is>
          <t>When the first two readers of your brand new book . . .Say this;
"Keith:
Awww, that made me tear up a bit. It's well written."
"Great read Keith!!"
http://tinyurl.com/y6ut57ms
As a cancer survivor, I am proud to donate 25 cents for every copy of any of my books to the American Cancer Society!</t>
        </is>
      </c>
      <c r="D1308" t="n">
        <v>1</v>
      </c>
      <c r="E1308" t="n">
        <v>1</v>
      </c>
      <c r="F1308">
        <f>HYPERLINK("https://www.reddit.com/r/cancer/comments/b1i2ut/happiness_is/")</f>
        <v/>
      </c>
      <c r="G1308" t="inlineStr">
        <is>
          <t>2019-03-15 11:02:59</t>
        </is>
      </c>
      <c r="H1308" t="inlineStr"/>
    </row>
    <row r="1309">
      <c r="A1309" t="inlineStr">
        <is>
          <t>b1igs8</t>
        </is>
      </c>
      <c r="B1309" t="inlineStr">
        <is>
          <t>My mother has been diagnosed with Metastatic Hepatocellular Carcinoma(clear cell)</t>
        </is>
      </c>
      <c r="C1309" t="inlineStr">
        <is>
          <t>Hello. 
Just wanted to share a story of my mother and see if anyone have gone through this and wanted to see if there are more options available. During January 2018, my mother had her appendix removed due to an infection and while doing the surgery, they have found an abnormality in her liver. She followed up with a CT on June 2018 to see if it grew. 
Unfortunately, she was diagnosed with Clear Cell Hepatocellular Carcinoma and we've decided to have her liver resection done. On August 2018, the resection was successful and they removed a 13cm tumor and about 60% of her liver. Her liver has been clean according to the CT scans after the surgery but they have found some small lung nodules on both sides of her lungs. She had a PET/CT and a Biopsy done February 2019 and the results came back positive. Largest sized nodule is about 1cm. 
Our oncologist has told her that the liver cancer has metastasized to her lungs and without treatment she might only have about 6 months left. With treatment.. well, he didn't have a clear answer. He said there are about 7 medications that are available that she can try and she will begin her treatment with Sorafenib and move on to the next medication depending on her reaction. He told us that it is incurable and because it is a fast spreading cancer, even with good reaction to treatment, we might be only looking at couple of years.
Should I just follow his recommendations? We do live somewhat close to John's Hopkins so I made a call to schedule an appointment with their medical oncology team but will they offer any different treatment compared to what our current oncologist has given? Does anyone have any experience with Metastatic Hepatocellular Carcinoma? Are what our current oncologist told us true? That she can't be cured and can only be expected to live a couple of years even with treatment. 
She is 64.. becoming 65 years of age. She is currently healthy. No symptoms of trouble breathing and she stays active. 
She wanted to see my brother and I get married.. she wanted to see her grandchildren... this is devastating. I keep telling her to be strong and that she can beat it but I don't know. 
&amp;amp;#x200B;
Thank you for reading.</t>
        </is>
      </c>
      <c r="D1309" t="n">
        <v>3</v>
      </c>
      <c r="E1309" t="n">
        <v>6</v>
      </c>
      <c r="F1309">
        <f>HYPERLINK("https://www.reddit.com/r/cancer/comments/b1igs8/my_mother_has_been_diagnosed_with_metastatic/")</f>
        <v/>
      </c>
      <c r="G1309" t="inlineStr">
        <is>
          <t>2019-03-15 11:35:58</t>
        </is>
      </c>
      <c r="H1309" t="inlineStr"/>
    </row>
    <row r="1310">
      <c r="A1310" t="inlineStr">
        <is>
          <t>b1iryj</t>
        </is>
      </c>
      <c r="B1310" t="inlineStr">
        <is>
          <t>Dear cancer patients. Don't lose hope.</t>
        </is>
      </c>
      <c r="C1310" t="inlineStr">
        <is>
          <t>This is only a theory yet to be proven.
In my understanding of human physiology, this might help you. Call it a urban myth I guess?
1. Human heart has blue and red color due to level of oxygen in blood.
2. Heart gets oxygen directly from lungs.
3. This is important. No oxygen in lungs means no oxygen for heart, therefore every heart beat will contract lungs trying to suck in air.
4. Hold your breathe after exhaling oxygen from lungs. Since lungs and stomach are linked through our throat, eventually this heart beat will contract stomach as well.
Basically heart beat contracts lungs and while holding breathe, it will contract stomach.
5. Once all oxygen has been used by heart per heart beat, it will contract stomach eventually to try to suck in air.
6. Since our stomach can depend our growth, it means it can also reduce our growth however, we don't experience that until later in the old age.
7. If this motion were to continue, eventually the stomach will contract entire body.
8. Physiology that we know will not contract beyond our current body structure, because the contraction caused by heart beat is not strong enough to alter our physiology.
However, this motion will create similar to fusion in the cellular level for cells to recycle itself with stronger cells.
This is how cancer or tumor cells in the body to be directed to stomach for digestion rather than coughing out blood with cancer cells that your body is naturally trying to get rid of.
If you dedicate yourselves to this method,
Possibility is that you will see improvements in your body within few months. 
Whether you have cancer or not, this method will potentially give you a healthy life in general. 
Of course what I wrote above is still to be determined but I'm pretty sure it will work.
Good luck everyone.
May He be over your soul.</t>
        </is>
      </c>
      <c r="D1310" t="n">
        <v>1</v>
      </c>
      <c r="E1310" t="n">
        <v>0</v>
      </c>
      <c r="F1310">
        <f>HYPERLINK("https://www.reddit.com/r/cancer/comments/b1iryj/dear_cancer_patients_dont_lose_hope/")</f>
        <v/>
      </c>
      <c r="G1310" t="inlineStr">
        <is>
          <t>2019-03-15 12:02:04</t>
        </is>
      </c>
      <c r="H1310" t="inlineStr"/>
    </row>
    <row r="1311">
      <c r="A1311" t="inlineStr">
        <is>
          <t>b1kqlv</t>
        </is>
      </c>
      <c r="B1311" t="inlineStr">
        <is>
          <t>My mother has IV cancer and wants to go home</t>
        </is>
      </c>
      <c r="C1311" t="inlineStr">
        <is>
          <t>We'd had good news in February but sadly it seems like the metastasis had started growing again and she recently had to be drained of ascited in her tummy. She's been in hospital for 2 weeks now and hopefully will be released on monday. 
We don't think she has much time left and she is adamant that she wants to go back to her native Brazil where her mum (she's an only child) and friends are. This would involve an 11+ hour flight and I don't think we'll get a doctor to give her the clear. It breaks my heart as I feel like this is her dying wish and I can't help her - my gran can't fly over either as she is too old. 
I feel that this sadness might break my mums heart, my grand heart and my heart too.</t>
        </is>
      </c>
      <c r="D1311" t="n">
        <v>9</v>
      </c>
      <c r="E1311" t="n">
        <v>15</v>
      </c>
      <c r="F1311">
        <f>HYPERLINK("https://www.reddit.com/r/cancer/comments/b1kqlv/my_mother_has_iv_cancer_and_wants_to_go_home/")</f>
        <v/>
      </c>
      <c r="G1311" t="inlineStr">
        <is>
          <t>2019-03-15 14:53:30</t>
        </is>
      </c>
      <c r="H1311" t="inlineStr"/>
    </row>
    <row r="1312">
      <c r="A1312" t="inlineStr">
        <is>
          <t>b1lgem</t>
        </is>
      </c>
      <c r="B1312" t="inlineStr">
        <is>
          <t>Leukemia and the final stages (AML)</t>
        </is>
      </c>
      <c r="C1312" t="inlineStr">
        <is>
          <t>Hi,
&amp;amp;#x200B;
My father has leukemia (AML) and we got the news on January 31st that further treatment won't help, and to prepare for the worst. Since then we've had a good 1.5 month of drinking beer, having fun and doing whatever we wanted on that day - something I really appreciate. His overall health has been at the same level since then, maybe even improving after getting off the treatment. 
&amp;amp;#x200B;
This leaves me with some questions.... After speaking with his doctors and their impressions he should have been dead a long time ago, they're quite surprised that he's doing so well. Any experience with the final stages on AML? I sorta expected a rapid decline and a quick death, but I'm quite surprised so far by how well he is...
Another, more general question. I feel like my father has accepted his fate and that there is nothing left to do, but I kinda fear that he says that he has accepted it and struggles mentally with it. Should I be worried? PS: There are no signs that he's trying lie about it, but I'm worried that he spends his last days battling mentally without speaking up.
Thanks!</t>
        </is>
      </c>
      <c r="D1312" t="n">
        <v>18</v>
      </c>
      <c r="E1312" t="n">
        <v>3</v>
      </c>
      <c r="F1312">
        <f>HYPERLINK("https://www.reddit.com/r/cancer/comments/b1lgem/leukemia_and_the_final_stages_aml/")</f>
        <v/>
      </c>
      <c r="G1312" t="inlineStr">
        <is>
          <t>2019-03-15 15:59:59</t>
        </is>
      </c>
      <c r="H1312" t="inlineStr"/>
    </row>
    <row r="1313">
      <c r="A1313" t="inlineStr">
        <is>
          <t>b1lm3e</t>
        </is>
      </c>
      <c r="B1313" t="inlineStr">
        <is>
          <t>Can i have cancer without coughing?</t>
        </is>
      </c>
      <c r="C1313" t="inlineStr">
        <is>
          <t>Soo, recentlly when i wake up and smoke a cigarett i feel a little stitches in my thorax, and late in the day when i smoke. and sometimes i have shortness of breath, but i dont cough at all btw, soo could it be cancer? i hope not</t>
        </is>
      </c>
      <c r="D1313" t="n">
        <v>0</v>
      </c>
      <c r="E1313" t="n">
        <v>0</v>
      </c>
      <c r="F1313">
        <f>HYPERLINK("https://www.reddit.com/r/cancer/comments/b1lm3e/can_i_have_cancer_without_coughing/")</f>
        <v/>
      </c>
      <c r="G1313" t="inlineStr">
        <is>
          <t>2019-03-15 16:14:40</t>
        </is>
      </c>
      <c r="H1313" t="inlineStr"/>
    </row>
    <row r="1314">
      <c r="A1314" t="inlineStr">
        <is>
          <t>b1m127</t>
        </is>
      </c>
      <c r="B1314" t="inlineStr">
        <is>
          <t>My dad's lung surgery</t>
        </is>
      </c>
      <c r="C1314" t="inlineStr">
        <is>
          <t xml:space="preserve">My (80yo) dad is scheduled for lung surgery this Thursday to remove a cancerous growth. They believe they can remove it before any chemo, which sounds good.
They plan to remove a lobe but if it's more complicated once they're in there, they may remove the entire lung.
I am confused about a few things &amp;amp; my dad (bless his heart) rarely has an answer. I think he's scared, naturally, so he doesn't remember info from his doc appts.
What I do know is:
- The growth is on the front of his lung but the surgeon is going to enter from his back because apparently, the ribs spread easier from the back than front.
- My dad has Emphysema, for many years. A few months ago, he got sick enough to go to the ER. They found a spot on his lung xray but decided it was just an infection and gave him a round on antibiotics. A month later, it came back worse. Back to the Er &amp;amp; this time they said pneumonia. Kept him 4 days &amp;amp; gave him more meds, prob antibiotics. They did a biopsy on each lung shortly after &amp;amp; found a cancerous growth. He had an mri, more tests &amp;amp; another double biopsy.
In the end, they think it hasn't spread enough &amp;amp; they can remove it surgically.
Please knock on wood &amp;amp; cross your fingers that the docs are right and this is the case.
He's very scared, which makes me scared. He's lived a very hard life but has been on top of it healthwise for over a decade. He works out 3 x's/wk at the gym at McLaren, staffed by licensed nurses. He couldn't be in a better place.
Except for that cancer thing...
Thanks for reading, giving me a safe place to vent. Hope you all are doing good.
</t>
        </is>
      </c>
      <c r="D1314" t="n">
        <v>12</v>
      </c>
      <c r="E1314" t="n">
        <v>19</v>
      </c>
      <c r="F1314">
        <f>HYPERLINK("https://www.reddit.com/r/cancer/comments/b1m127/my_dads_lung_surgery/")</f>
        <v/>
      </c>
      <c r="G1314" t="inlineStr">
        <is>
          <t>2019-03-15 16:56:03</t>
        </is>
      </c>
      <c r="H1314" t="inlineStr"/>
    </row>
    <row r="1315">
      <c r="A1315" t="inlineStr">
        <is>
          <t>b1mlp9</t>
        </is>
      </c>
      <c r="B1315" t="inlineStr">
        <is>
          <t>My Mom’s Stage 4 Breast Cancer returns and is inoperable in the bone, I’m looking for care groups or support groups</t>
        </is>
      </c>
      <c r="C1315" t="inlineStr">
        <is>
          <t xml:space="preserve">Mentally I am messed up with this. The other night I raged and I didn’t know how to stop. I had a boyfriend at the time who helped me but I don’t expect that relationship to go anywhere else so I need to find other forms of mental support and someone I can talk to. It hurts a lot and it’s hard. The only grandparent I have left is in and out of the hospital as well with cancer in his prostrate. My mom will be in the hospital another day or so under watch. Emotionally everything is cutting me off. </t>
        </is>
      </c>
      <c r="D1315" t="n">
        <v>0</v>
      </c>
      <c r="E1315" t="n">
        <v>0</v>
      </c>
      <c r="F1315">
        <f>HYPERLINK("https://www.reddit.com/r/cancer/comments/b1mlp9/my_moms_stage_4_breast_cancer_returns_and_is/")</f>
        <v/>
      </c>
      <c r="G1315" t="inlineStr">
        <is>
          <t>2019-03-15 17:53:25</t>
        </is>
      </c>
      <c r="H1315" t="inlineStr"/>
    </row>
    <row r="1316">
      <c r="A1316" t="inlineStr">
        <is>
          <t>b1mtpw</t>
        </is>
      </c>
      <c r="B1316" t="inlineStr">
        <is>
          <t>How to search for a hat</t>
        </is>
      </c>
      <c r="C1316" t="inlineStr">
        <is>
          <t>I’m trying to buy some inexpensive little jersey knit or bamboo caps to wear around the house and to sleep. But I haven’t hit on the right search terms to narrow down what I’m looking for.
I want one for people with little or no hair, not the slouchy bulbous things.
I don’t want a long scarf or dangling ties. I’m a very restless sleeper and I don’t want to have long flowing things potentially wrapping around my face and neck.
I don’t want extra ornaments attached to it.
I don’t want a knot at the back of my neck.
I don’t care about patterns and fancy material. Just a plain, soft, washable, comfortable head cover.
I’m a normal adult size, not petite or child. I don’t care if it’s called “men’s” or “women’s”.
I don’t want anything too warm like fleece.
I don’t want to pay a ton. I’m willing to pay but $25 for such a simple little thing seems excessive. I’m not filtering for price anyway but some of the stuff I’ve seen seems a bit excessive.
Thank you so much for any insight you can offer.</t>
        </is>
      </c>
      <c r="D1316" t="n">
        <v>4</v>
      </c>
      <c r="E1316" t="n">
        <v>20</v>
      </c>
      <c r="F1316">
        <f>HYPERLINK("https://www.reddit.com/r/cancer/comments/b1mtpw/how_to_search_for_a_hat/")</f>
        <v/>
      </c>
      <c r="G1316" t="inlineStr">
        <is>
          <t>2019-03-15 18:17:09</t>
        </is>
      </c>
      <c r="H1316" t="inlineStr"/>
    </row>
    <row r="1317">
      <c r="A1317" t="inlineStr">
        <is>
          <t>b1mub2</t>
        </is>
      </c>
      <c r="B1317" t="inlineStr">
        <is>
          <t>Cancer buddies</t>
        </is>
      </c>
      <c r="C1317" t="inlineStr">
        <is>
          <t>How do you guys deal when your cancer buddies get bad news or dies? One of my cancer buddy died one and a half year ago and it still hurts as much as the day I learned she passed away. One of my other buddy recently got bad news when I got good news and I find it hard to cope we started treatments around de same time we have te same medical team both got a relapse within the same week but now I’m in remission and she’s not. How am I supposed the deal with that she’s become my best friend and my even though we aren’t there yet my heart can’t handle another death so close to me and my reality.</t>
        </is>
      </c>
      <c r="D1317" t="n">
        <v>15</v>
      </c>
      <c r="E1317" t="n">
        <v>1</v>
      </c>
      <c r="F1317">
        <f>HYPERLINK("https://www.reddit.com/r/cancer/comments/b1mub2/cancer_buddies/")</f>
        <v/>
      </c>
      <c r="G1317" t="inlineStr">
        <is>
          <t>2019-03-15 18:18:59</t>
        </is>
      </c>
      <c r="H1317" t="inlineStr"/>
    </row>
    <row r="1318">
      <c r="A1318" t="inlineStr">
        <is>
          <t>b1n4av</t>
        </is>
      </c>
      <c r="B1318" t="inlineStr">
        <is>
          <t>Father and Sister both have cancer</t>
        </is>
      </c>
      <c r="C1318" t="inlineStr">
        <is>
          <t xml:space="preserve">They're so close they both got cancer concurrently.
My sister was diagnosed last year with breast cancer. She is already a warrior level survivor of Type1 childhood diabetes since 9yo. Been sick half of her life. In 2004 she had quadruple bypass surgery &amp;amp; a valve replacement. They gave her 3-5 years to live. She's had several stents &amp;amp; complicated bypass surgeries since. She has the cardiovascular system of a 97yo but she just keeps on going! She once had to get a bypass that linked a stronger vein from her leg up through her torso to her heart, because the diabetes had deteriorated her veins so much.
My sis is bionic. Besides balancing her insulin, she takes a ton of meds &amp;amp; has a long list of doctors:
- heart doc
- vascular doc
- kidney doc
- diabetes doc
- GP
Now she has a new list of cancer docs &amp;amp; surgeons. A literal group of them who meet once a week to discus her case, which is great.
She was told she had to do 9 rounds of chemo before surgery, then radiation afterward.
Cancer-familiar people prob know that the first round is the strongest: a hard blast to wipe out as much possible. I'm sure it works well for most ppl, but my sis was already sick with a super compromised immune system.
That 1st round put her in the hospital for 3 wks with constant vomiting &amp;amp; diarrhea. The docs tried lots of different med variations to see which would work, none did. My sis has a history of stomach acidosis.
She pulled through though &amp;amp; came home. They took a month break before her next chemo treatment. When she did, she was much better afterward. Some nausea &amp;amp; diarrhea but nothing like after the 1st treatment. And it got easier each time afterward. Every 3 weeks &amp;amp; she'd have a group of us up at Karmanos during her sessions.
Surgery:
Last Friday, my sister had a double mastectomy. One side called a "simple mastectomy," the other a "complicated mastectomy," as they had to remove a lobe in her armpit.
She luckily had one of the best doctors in the country. Dr Saha was written up in Newsweek 2 years ago as Doctor of the year. So that helps, esp given my sister's fragile condition. Talk about the planets lining up... :-)
She came out of surgery looking a hundred bucks! She wasn't tired or groggy from anesthesia. She was uncannily alert and her sugar was exactly 100!
It was so perfect that it didn't make sense. They were talking about releasing her the next day but luckily they kept her longer, 4 days total.
She's home / staying with my dad &amp;amp; sister &amp;amp; doing great. Hardly any pain. Has her cat there. I'd send a pic but she's also on reddit &amp;amp; would murder me, lol.
Just know that someone with a longterm incredibly compromised immune system just survived a double mastectomy with flying colors.
Her body is weak but her spirit is cast iron!
I wish the best for all people battling cancer at the moment. 
</t>
        </is>
      </c>
      <c r="D1318" t="n">
        <v>32</v>
      </c>
      <c r="E1318" t="n">
        <v>5</v>
      </c>
      <c r="F1318">
        <f>HYPERLINK("https://www.reddit.com/r/cancer/comments/b1n4av/father_and_sister_both_have_cancer/")</f>
        <v/>
      </c>
      <c r="G1318" t="inlineStr">
        <is>
          <t>2019-03-15 18:49:12</t>
        </is>
      </c>
      <c r="H1318" t="inlineStr"/>
    </row>
    <row r="1319">
      <c r="A1319" t="inlineStr">
        <is>
          <t>b1np8m</t>
        </is>
      </c>
      <c r="B1319" t="inlineStr">
        <is>
          <t>I can’t deal with it</t>
        </is>
      </c>
      <c r="C1319" t="inlineStr">
        <is>
          <t>I need someone to talk to. I had thyroid cancer and the experience has traumatized me and no one understands. I have no one to talk to...</t>
        </is>
      </c>
      <c r="D1319" t="n">
        <v>9</v>
      </c>
      <c r="E1319" t="n">
        <v>19</v>
      </c>
      <c r="F1319">
        <f>HYPERLINK("https://www.reddit.com/r/cancer/comments/b1np8m/i_cant_deal_with_it/")</f>
        <v/>
      </c>
      <c r="G1319" t="inlineStr">
        <is>
          <t>2019-03-15 19:52:41</t>
        </is>
      </c>
      <c r="H1319" t="inlineStr"/>
    </row>
    <row r="1320">
      <c r="A1320" t="inlineStr">
        <is>
          <t>b1o3ka</t>
        </is>
      </c>
      <c r="B1320" t="inlineStr">
        <is>
          <t>Should I give it one more try</t>
        </is>
      </c>
      <c r="C1320" t="inlineStr">
        <is>
          <t xml:space="preserve">I have this awful cancer phobia and I'm scared I have pancreatic cancer and my.doctors ordered me an abdominal ultrasound and that showed nothing then i was reading that a abdominal ultrasound wont pick up any type of pancreas cancer so now I'm scared and wondering if i should go demand a ct even though the doctor reassured me it wasn't cancer I'm only 23 not trying to be insensitive for the people who are actually going through it just figured they might have better opinions on this </t>
        </is>
      </c>
      <c r="D1320" t="n">
        <v>0</v>
      </c>
      <c r="E1320" t="n">
        <v>7</v>
      </c>
      <c r="F1320">
        <f>HYPERLINK("https://www.reddit.com/r/cancer/comments/b1o3ka/should_i_give_it_one_more_try/")</f>
        <v/>
      </c>
      <c r="G1320" t="inlineStr">
        <is>
          <t>2019-03-15 20:37:51</t>
        </is>
      </c>
      <c r="H1320" t="inlineStr"/>
    </row>
    <row r="1321">
      <c r="A1321" t="inlineStr">
        <is>
          <t>b1ossf</t>
        </is>
      </c>
      <c r="B1321" t="inlineStr">
        <is>
          <t>Dad passed this morning, stage 4 lung cancer</t>
        </is>
      </c>
      <c r="C1321" t="inlineStr">
        <is>
          <t>It happened so fast. He was diagnosed in Nov. Everything went down hill so quick. 
&amp;amp;#x200B;
I checked on him last night before I went to bed, around midnight or so and he was still breathing- just very shallow. My mom woke around 130 to check on him, and he was still with us. Around 730am my mom woke again and he had passed. They way he looked changed so much within a days span. He went from responsive, to literally non-responsive at all within 24hrs. 
&amp;amp;#x200B;
I am so sorry for him. He was in so much pain for so long and no one could get it under control. Yet, none of us had a doubt in our mind that he wouldnt beat it, as we watched everyone else around us in our family beat their cancer. But somehow my dad was pushed into submission by his cancer. He didn't want to die yet, he was 51. He spent his entire life devoted to supporting our family. We never got to do family vacations, or watch my parents at least go somewhere on their own. They were supposed to do that now, now that my sister and I were grown and out of the house. They were robbed of the next chapter of their lives and I am so fucking sad and sorry that he endured this shit for the time he did and we didn't even have the opportunity to do anything he wanted. 
&amp;amp;#x200B;
I have never seen a sick corpse before, and I was so afraid to see my dad this morning- but I had to say 'see you later and I love you' before they took him. I just cannot get that image of him out of my head and that is not how I want to remember him. I remember him in pain, and sad, and weak, and with no voice. I can barely even remember his laugh or normal voice and its so.fucked.up. I hope he is somewhere amazing, i just wish he could be having an amazing time with us instead.
&amp;amp;#x200B;
&amp;amp;#x200B;</t>
        </is>
      </c>
      <c r="D1321" t="n">
        <v>19</v>
      </c>
      <c r="E1321" t="n">
        <v>8</v>
      </c>
      <c r="F1321">
        <f>HYPERLINK("https://www.reddit.com/r/cancer/comments/b1ossf/dad_passed_this_morning_stage_4_lung_cancer/")</f>
        <v/>
      </c>
      <c r="G1321" t="inlineStr">
        <is>
          <t>2019-03-15 22:00:30</t>
        </is>
      </c>
      <c r="H1321" t="inlineStr"/>
    </row>
    <row r="1322">
      <c r="A1322" t="inlineStr">
        <is>
          <t>b1pm8n</t>
        </is>
      </c>
      <c r="B1322" t="inlineStr">
        <is>
          <t>Girlfriend’s mom might have cancer.</t>
        </is>
      </c>
      <c r="C1322" t="inlineStr">
        <is>
          <t>So recently my girlfriend’s mom has discovered that she has pre-cancerous cells, and may already have cancer in her cervix. I’m stressed but obviously I’m not showing it. I’m trying my best to be there for my girlfriend and her family as they get through this. I don’t know how to comfort either one of them, but I’m trying my best by staying positive and giving them hope. What else can I do to “destress” them or help them stay calm? I’m very stressed but all I care about doing is helping them through this but I believe her mom will be fine in the long run, thats just my positive speaking of course. I have no idea if she’ll actually be. Please help me with what I can say or do. Thanks.</t>
        </is>
      </c>
      <c r="D1322" t="n">
        <v>1</v>
      </c>
      <c r="E1322" t="n">
        <v>2</v>
      </c>
      <c r="F1322">
        <f>HYPERLINK("https://www.reddit.com/r/cancer/comments/b1pm8n/girlfriends_mom_might_have_cancer/")</f>
        <v/>
      </c>
      <c r="G1322" t="inlineStr">
        <is>
          <t>2019-03-15 23:51:55</t>
        </is>
      </c>
      <c r="H1322" t="inlineStr"/>
    </row>
    <row r="1323">
      <c r="A1323" t="inlineStr">
        <is>
          <t>b1qb8s</t>
        </is>
      </c>
      <c r="B1323" t="inlineStr">
        <is>
          <t>ALL &amp;amp; swollen groin lymph node?</t>
        </is>
      </c>
      <c r="C1323" t="inlineStr">
        <is>
          <t xml:space="preserve">On my 2nd cycle of chemo. Have been receiving Ara-c &amp;amp; 6-MP on D2-D11, methotrexate on D2 &amp;amp; D9 (intrathecal) and CTX on D1. 
Last week I felt some pressure on my right lower quadrant (groin), I palpated the area and felt a very subtle swollen lymph node (very subtle). I asked my onco if he could take a look at it and he agreed that it’s very subtle and I shouldn’t worry about it. 
Today it’s a bit puffy, but I have been “massaging” &amp;amp; palpitating periodically bc it has been uncomfortable. 
Has anyone experienced this? Will def being this issue up with my onco during our next Appt but figured I’d ask here prior. </t>
        </is>
      </c>
      <c r="D1323" t="n">
        <v>4</v>
      </c>
      <c r="E1323" t="n">
        <v>6</v>
      </c>
      <c r="F1323">
        <f>HYPERLINK("https://www.reddit.com/r/cancer/comments/b1qb8s/all_swollen_groin_lymph_node/")</f>
        <v/>
      </c>
      <c r="G1323" t="inlineStr">
        <is>
          <t>2019-03-16 01:37:59</t>
        </is>
      </c>
      <c r="H1323" t="inlineStr"/>
    </row>
    <row r="1324">
      <c r="A1324" t="inlineStr">
        <is>
          <t>b1r5hg</t>
        </is>
      </c>
      <c r="B1324" t="inlineStr">
        <is>
          <t>Thought we were clear - turns out, maybe not</t>
        </is>
      </c>
      <c r="C1324" t="inlineStr">
        <is>
          <t>So, my partner (22) was diagnosed with testicular cancer last year, ball rolled quickly and he had the tumours and affected testicle removed. All was good, he got told he didn't need chemo - turns out, he may have needed it afterall...
Last week we got bloods back saying he was down to a 6, this week it's gone up and we are both wracked with fear. I wasn't in a relationship with him when he was first diagnosed, and ive never really had to face cancer before, let alone been there for someone who is now facing it being back a second time after only a month or two after being told he should be all good.
Any advice on supporting him and keeping myself from continuously thinking the worse?? I'm doing my best to stay strong but it's really breaking me but knowing how scared he is means I'm doing my best to hold it in and out on a brave face for him.
Is there anything I can do or say to help ease his mind until we know for sure?
Has anyone else been down on their count for it to only to back up a point for it to be nothing?
Thank you.</t>
        </is>
      </c>
      <c r="D1324" t="n">
        <v>6</v>
      </c>
      <c r="E1324" t="n">
        <v>4</v>
      </c>
      <c r="F1324">
        <f>HYPERLINK("https://www.reddit.com/r/cancer/comments/b1r5hg/thought_we_were_clear_turns_out_maybe_not/")</f>
        <v/>
      </c>
      <c r="G1324" t="inlineStr">
        <is>
          <t>2019-03-16 03:41:00</t>
        </is>
      </c>
      <c r="H1324" t="inlineStr"/>
    </row>
    <row r="1325">
      <c r="A1325" t="inlineStr">
        <is>
          <t>b1r8pp</t>
        </is>
      </c>
      <c r="B1325" t="inlineStr">
        <is>
          <t>Hi guys, ive just entered the race for life 2k19 and would really appreciate your support through donations, i know its along shot asking internet strangers but it would be fab if you could! ❤️❤️</t>
        </is>
      </c>
      <c r="C1325" t="inlineStr">
        <is>
          <t>https://fundraise.cancerresearchuk.org/page/megans-race-for-life-2808?fbclid=IwAR1KMjygavR0E66IMmmhssE1FkwNf74QY1nl-Bm05gr0wAbd-HmVCSUYtEw</t>
        </is>
      </c>
      <c r="D1325" t="n">
        <v>2</v>
      </c>
      <c r="E1325" t="n">
        <v>0</v>
      </c>
      <c r="F1325">
        <f>HYPERLINK("https://www.reddit.com/r/cancer/comments/b1r8pp/hi_guys_ive_just_entered_the_race_for_life_2k19/")</f>
        <v/>
      </c>
      <c r="G1325" t="inlineStr">
        <is>
          <t>2019-03-16 03:53:55</t>
        </is>
      </c>
      <c r="H1325" t="inlineStr"/>
    </row>
    <row r="1326">
      <c r="A1326" t="inlineStr">
        <is>
          <t>b1rkvq</t>
        </is>
      </c>
      <c r="B1326" t="inlineStr">
        <is>
          <t>Just diagnosed with the PMS2 variant of Lynch Syndrome, got my first colonoscopy, they found a polyp, and now I’m having trouble not going insane waiting for the results.</t>
        </is>
      </c>
      <c r="C1326" t="inlineStr">
        <is>
          <t xml:space="preserve">About six weeks ago I went to a geneticist at the cancer institute I work for after my Dad tested positive for the PMS2 variant of Lynch Syndrome, and my blood came back positive. For those who don’t know, the PMS2 variant is a rare and generally less severe type of Lynch Syndrome, only conveying a lifetime colon cancer risk of about 20%. I’m 25, and they said the pathway is for me to start getting colonoscopies every 1-2 years for the rest of my life starting now. So I got my colonoscopy on Monday, and my gastroenterologist said they removed a polyp and based off his considerable experience he expected it to be precancerous but would let me know after the path results which should be back “in a few days.” I expected in a few days to mean about three, but it’s Saturday and still nothing. I keep telling myself it’s probably nothing, the risk is low for my age, I don’t have any other risk factors, even if it is cancerous it’s probably just stage I which is easy to take care of. But the thoughts still keep creeping up. No news doesn’t mean there’s a problem I keep telling myself. Our institute is massive so we have a large and highly skilled pathology department, they would get back negative results and positive results in about the same time. But the thoughts keep creeping up. In the first few days I wasn’t worried, but Friday I started to worry a little. Any advice? 
TL;DR I have a genetic condition that gives me a 20% risk of colon cancer. The biopsy results from a polyp are taking slightly longer than I expected so now I’m irrationally worried. Advice as to how to cope with the anxiety would be appreciated. </t>
        </is>
      </c>
      <c r="D1326" t="n">
        <v>6</v>
      </c>
      <c r="E1326" t="n">
        <v>2</v>
      </c>
      <c r="F1326">
        <f>HYPERLINK("https://www.reddit.com/r/cancer/comments/b1rkvq/just_diagnosed_with_the_pms2_variant_of_lynch/")</f>
        <v/>
      </c>
      <c r="G1326" t="inlineStr">
        <is>
          <t>2019-03-16 04:40:18</t>
        </is>
      </c>
      <c r="H1326" t="inlineStr"/>
    </row>
    <row r="1327">
      <c r="A1327" t="inlineStr">
        <is>
          <t>b1t2gs</t>
        </is>
      </c>
      <c r="B1327" t="inlineStr">
        <is>
          <t>Please reach out</t>
        </is>
      </c>
      <c r="C1327" t="inlineStr">
        <is>
          <t xml:space="preserve">
If I’ve learned anything from having cancer and having dear friends die from it, it is this: reach out, reach out, reach out to anyone you can. There is nothing at all wrong with asking for help or even just asking for someone to listen to you. 
If you don’t have dear friends or family to reach out to you can reach out to me. 
You are important, and your concerns matter. Please reach out. </t>
        </is>
      </c>
      <c r="D1327" t="n">
        <v>91</v>
      </c>
      <c r="E1327" t="n">
        <v>13</v>
      </c>
      <c r="F1327">
        <f>HYPERLINK("https://www.reddit.com/r/cancer/comments/b1t2gs/please_reach_out/")</f>
        <v/>
      </c>
      <c r="G1327" t="inlineStr">
        <is>
          <t>2019-03-16 07:34:21</t>
        </is>
      </c>
      <c r="H1327" t="inlineStr"/>
    </row>
    <row r="1328">
      <c r="A1328" t="inlineStr">
        <is>
          <t>b1uou6</t>
        </is>
      </c>
      <c r="B1328" t="inlineStr">
        <is>
          <t>Happiness is..</t>
        </is>
      </c>
      <c r="C1328" t="inlineStr">
        <is>
          <t xml:space="preserve">
When the first two readers of your brand new book . . .Say this;
"Keith:
Awww, that made me tear up a bit. It's well written."
"Great read Keith!!"
https://tinyurl.com/y2utaprm
As a cancer survivor, I am proud to donate 25 cents for every copy of any of my books to the American Cancer Society!</t>
        </is>
      </c>
      <c r="D1328" t="n">
        <v>1</v>
      </c>
      <c r="E1328" t="n">
        <v>0</v>
      </c>
      <c r="F1328">
        <f>HYPERLINK("https://www.reddit.com/r/cancer/comments/b1uou6/happiness_is/")</f>
        <v/>
      </c>
      <c r="G1328" t="inlineStr">
        <is>
          <t>2019-03-16 10:08:27</t>
        </is>
      </c>
      <c r="H1328" t="inlineStr"/>
    </row>
    <row r="1329">
      <c r="A1329" t="inlineStr">
        <is>
          <t>b1uvu9</t>
        </is>
      </c>
      <c r="B1329" t="inlineStr">
        <is>
          <t>How best to support someone going through chemo</t>
        </is>
      </c>
      <c r="C1329" t="inlineStr">
        <is>
          <t>My mom (71) was diagnosed with stage 3c endometrial cancer (type 3 cell) last August.  She had a hysterectomy followed by 9 weeks chemotherapy and 8 weeks radiation that she has completed.  She is about to start 9 more weeks of chemotherapy.
Chemotherapy was very rough on my mom the first round she had.  She was approximately 250 lbs and now weighs in at 177 lbs.  She complained of nausea and no appetite.  She had a prescription for CBD oil, but refused to get it (hang up about it being from marijuana).  My dad has requested another prescription of CBD oil for her since he is really concerned due to how rough the first round of chemo was.
Has anyone here used CBD oil during chemo?  Did you find it helpful?  Was there anything else you found helpful to combat the nausea and lack of appetite?  We are worried about the same issues that presented in her first round of chemo.  
Chemotherapy is 5 hours/treatment.  I am thinking of getting her a tablet for entertainment (Netflix and Amazon prime) which may be good to pass the time.  She has always been an avid reader and has a Kindle, but she has suffered severely with chemo brain and she had a (fortunately) mild stroke after her hysterectomy (I suspect from lack of ambulation).  I would appreciate any other suggestions to help her through the long process.
Also, I would like to address my dad. They have been married for 49 years (50 in June).  She is his everything.  I welcome any suggestions on how to best support him.
I live 1500 miles from my parents.  I have visited with my 3 kids recently to surprise my mom for her birthday.  The look on her face was priceless and definitely lifted her spirits.  I plan to make another trip soon (solo) so that I can help both parents.  Does anyone have any recommendations on how best to help from afar?  I worry about my dad too.  She has always been his rock.
Thanks in advance for any insight offered.</t>
        </is>
      </c>
      <c r="D1329" t="n">
        <v>1</v>
      </c>
      <c r="E1329" t="n">
        <v>0</v>
      </c>
      <c r="F1329">
        <f>HYPERLINK("https://www.reddit.com/r/cancer/comments/b1uvu9/how_best_to_support_someone_going_through_chemo/")</f>
        <v/>
      </c>
      <c r="G1329" t="inlineStr">
        <is>
          <t>2019-03-16 10:26:43</t>
        </is>
      </c>
      <c r="H1329" t="inlineStr"/>
    </row>
    <row r="1330">
      <c r="A1330" t="inlineStr">
        <is>
          <t>b1vtew</t>
        </is>
      </c>
      <c r="B1330" t="inlineStr">
        <is>
          <t>Help Wonetta Corbin Smith Fight Stomach Cancer</t>
        </is>
      </c>
      <c r="C1330" t="inlineStr">
        <is>
          <t>&amp;amp;#x200B;
Hey everyone !   
We are writing  this request with the hope of receiving your support on behalf of our mother, Wonetta Corbin-Smith.   
Our mom , Wonetta has been diagnosed with stage 3-4 **Gastric** **Adenocarcinoma** (Cancer of the Stomach).   
![img](24jur94n0jm21)
&amp;amp;#x200B;
&amp;amp;#x200B;
![img](ugw1b3qo0jm21 "Showing strength as she wears a smile on her way to surgery. (January 29th 2019) 
")
She began to notice a drop in her energy levels and appetite but, she continues staying active.   
Recently, she has been hospitalized numerous times and even underwent surgery to remove majority of the tumor in her stomach. Unfortunately, the doctors were unable to remove the entire tumor. She now needs treatment as soon as possible. She is expected to undergo chemo therapy/ chemo radiation and possibly other treatments as well.  
We don’t know why this happened. This is something unexpected and unexplainable. But we do know this — our mom is brave, and she is going to fight this disease.  
We refuse to let this be the end of Wonetta’s journey and ask that you help us raise funds to support her fight. The road ahead isn’t easy, but we aren’t out of options.   
For those of you who know our mom, you know she would be the first one at your side to help. As her family, we are devastated. But this is wonetta, who brings so much love and generosity to our lives.  
As a community, we have an incredible opportunity to support our Unsung Hero in her biggest time of need.  
Our mom, Wonetta Corbin Smith has dedicated most of her life to charity and the well being of others. She has been a mother to so many children , including her own, consistently giving even when she herself didn’t have or may have needed it for herself. She has helped to shelter abused women and children; rehabilitated gang members and even counseled in the prison for many years.  
Today this strong woman whom everyone has turned to without her refusal is now in need of all the help she can get to fight stage 3-4 cancer.   
We would like you to help save her life by contributing. would be very grateful for your donation, no matter how small.  
We have already exceeded our initial funds on her Medicals, therefore we are humbly requesting for your financial support to enable her to receive the treatment she needs. Time is urgent, and we need your help.  
Our current fundraising efforts will cover and supplement the following cancer-related expenses:  
\- Chemotherapy, Chemo radiation  
\- Second Opinions and Molecular testing from a couple of cancer research hospitals outside of Antigua.  
\- Organic Meal Provision (Wonetta’s diet is essential for her maintaining weight during treatment)  
\- Alternative Therapies (clinical psychology, etc.)  
\- Vitamins and Supplements  
\- Miscellaneous treatment costs (co-pays, transportation, etc.)  
We ask that you help us in our push for $20,000. This will be our starting goal. Any additional money will help provide our mom the opportunity to receive consultations from other hospitals.  
These additional consultations are key to  getting her an accurate diagnosis. Every dollar towards our stretch goal gets us closer to more consultations so our mom, Wonetta Corbin Smith can be sure to have the most effective course of treatment possible.  
The cost to potentially save our Mom’s life is huge, so please help us get her the treatment that she needs, so she can continue to live a happier healthy life with her family again!  
We are looking forward to your help as we know that you are a kind hearted donor. Thank you for your time.  
Help share this post to get everyone informed so that we can raise funds as the time is urgent, and we need your help.   
Please don’t just share this post but also donate as every dollar counts ! ❤️  
Yours sincerely,  
Her children:   
Ischikelle Corbin - Ikelle Corbin  
Tony Corbin  
Teahjee Corbin  
Tany Ed  
Her husband:   
Bongo Bryan Bryan Smith  
Her entire family and friends !  
If anyone has any questions or recommendations, please reach out to us on Facebook.  
We hope that you will join us in Wonetta’s fight and share her story.  
Let’s help wonetta beat this!  
We will continually update her condition.  
\#WonnettasFight #ProjectPeriwinkle #FightingCancer2019   
\#GoPeriwinkleForWonetta
&amp;amp;#x200B;
Donation link : [https://www.gofundme.com/help-wonetta-conquer-cancer-hwcc](https://www.gofundme.com/help-wonetta-conquer-cancer-hwcc)
&amp;amp;#x200B;</t>
        </is>
      </c>
      <c r="D1330" t="n">
        <v>1</v>
      </c>
      <c r="E1330" t="n">
        <v>0</v>
      </c>
      <c r="F1330">
        <f>HYPERLINK("https://www.reddit.com/r/cancer/comments/b1vtew/help_wonetta_corbin_smith_fight_stomach_cancer/")</f>
        <v/>
      </c>
      <c r="G1330" t="inlineStr">
        <is>
          <t>2019-03-16 11:52:07</t>
        </is>
      </c>
      <c r="H1330" t="inlineStr"/>
    </row>
    <row r="1331">
      <c r="A1331" t="inlineStr">
        <is>
          <t>b1x4r4</t>
        </is>
      </c>
      <c r="B1331" t="inlineStr">
        <is>
          <t>Teenagers dealing with cancer(Discord)</t>
        </is>
      </c>
      <c r="C1331" t="inlineStr">
        <is>
          <t>Hello I'm James I have battled with osteosarcoma had a LLS surgery in October which removed my knee and 5 inches of my femur and I've realized I've had some trouble finding friends my age going threw some of the same things I'm going threw chemo therapy, emotional stress etc. I'm 16 and created a discord server for teenagers to come share what there experience has been like and hopefully once the community grows we will have teens from all around sharing there stories with each other. [https://discord.gg/wz3whhC](https://discord.gg/wz3whhC)</t>
        </is>
      </c>
      <c r="D1331" t="n">
        <v>56</v>
      </c>
      <c r="E1331" t="n">
        <v>7</v>
      </c>
      <c r="F1331">
        <f>HYPERLINK("https://www.reddit.com/r/cancer/comments/b1x4r4/teenagers_dealing_with_cancerdiscord/")</f>
        <v/>
      </c>
      <c r="G1331" t="inlineStr">
        <is>
          <t>2019-03-16 13:47:17</t>
        </is>
      </c>
      <c r="H1331" t="inlineStr"/>
    </row>
    <row r="1332">
      <c r="A1332" t="inlineStr">
        <is>
          <t>b1yxjm</t>
        </is>
      </c>
      <c r="B1332" t="inlineStr">
        <is>
          <t>I just cant anymore</t>
        </is>
      </c>
      <c r="C1332" t="inlineStr">
        <is>
          <t>My dad has lymphoma and its killing me and my family. My mom is in constant pain because of scoliosis and a rib problem but cooks, cleans, and takes care of the family and my dad especially. Its too much on her and she’s crying every day. My brother is battling depression and flunked out of his classes and is in another college after facing my familys situation. We’re swamped in debt, going negative $500 each month due to medical bills and the bare expenses. Because of this my dad has to go to work when he can and work at home. Im working too to cover my graduation and school costs as Im going to college next year. I faced a scalp condition that has passed but was due to constant stress and depression due to caring so much about my family and our problems and I cant take it anymore. Im in constant stress over my family and wanting us to be happy. I want to just end it but I cant have my family face anything more. I’m tired.</t>
        </is>
      </c>
      <c r="D1332" t="n">
        <v>19</v>
      </c>
      <c r="E1332" t="n">
        <v>6</v>
      </c>
      <c r="F1332">
        <f>HYPERLINK("https://www.reddit.com/r/cancer/comments/b1yxjm/i_just_cant_anymore/")</f>
        <v/>
      </c>
      <c r="G1332" t="inlineStr">
        <is>
          <t>2019-03-16 16:44:39</t>
        </is>
      </c>
      <c r="H1332" t="inlineStr"/>
    </row>
    <row r="1333">
      <c r="A1333" t="inlineStr">
        <is>
          <t>b1zbfr</t>
        </is>
      </c>
      <c r="B1333" t="inlineStr">
        <is>
          <t>Just found out my 10-year survival rate...</t>
        </is>
      </c>
      <c r="C1333" t="inlineStr">
        <is>
          <t xml:space="preserve">When I was 14 I was diagnosed with Stage IVa Hodgkin's Lymphoma, with five year survival rates of ~65%. I forced myself to be optimistic throughout treatment, and when it was finally over I told myself that 65% was really good odds. 
I'm 19 now, 4 years and 1 month after finishing treatment. 
I've never really felt "cured" because there's always a chance it will come back. On my first scan after treatment there was still cancer in my body, but the doctors told me it was dying and would die without any further treatment. All of my tests and scans over the last 4 years have been good. 
I thought that the chance of relapse got lower the further out you got. But then I found 10 year survival rates of 45%. Using basic probability, that means that, given someone's made it 5 years, there's roughly a 70% chance of making it 10 years.  
Those are basically the same fucking odds I've been facing for the last 4 years. And I have another 6 years to go. </t>
        </is>
      </c>
      <c r="D1333" t="n">
        <v>38</v>
      </c>
      <c r="E1333" t="n">
        <v>19</v>
      </c>
      <c r="F1333">
        <f>HYPERLINK("https://www.reddit.com/r/cancer/comments/b1zbfr/just_found_out_my_10year_survival_rate/")</f>
        <v/>
      </c>
      <c r="G1333" t="inlineStr">
        <is>
          <t>2019-03-16 17:24:28</t>
        </is>
      </c>
      <c r="H1333" t="inlineStr"/>
    </row>
    <row r="1334">
      <c r="A1334" t="inlineStr">
        <is>
          <t>b20d7y</t>
        </is>
      </c>
      <c r="B1334" t="inlineStr">
        <is>
          <t>Look for help writing a story on Brain Cancer</t>
        </is>
      </c>
      <c r="C1334" t="inlineStr">
        <is>
          <t>I'm a college journalism student in California and I have an assignment to write about Brain Cancer for the school's annual magazine. I am very interested in talking to anyone who is dealing or has dealt with brain cancer so that I can better understand the experience. I want to tell your story.
If you're interested in talking to me an answering some questions, please reach out to me so we can talk via PM or Reddit chat. I will require some name verification privately and am happy to provide verification of my own credentials as well.
Thank you very much for your time.</t>
        </is>
      </c>
      <c r="D1334" t="n">
        <v>0</v>
      </c>
      <c r="E1334" t="n">
        <v>2</v>
      </c>
      <c r="F1334">
        <f>HYPERLINK("https://www.reddit.com/r/cancer/comments/b20d7y/look_for_help_writing_a_story_on_brain_cancer/")</f>
        <v/>
      </c>
      <c r="G1334" t="inlineStr">
        <is>
          <t>2019-03-16 19:15:11</t>
        </is>
      </c>
      <c r="H1334" t="inlineStr"/>
    </row>
    <row r="1335">
      <c r="A1335" t="inlineStr">
        <is>
          <t>b227jc</t>
        </is>
      </c>
      <c r="B1335" t="inlineStr">
        <is>
          <t>Bone cancer.</t>
        </is>
      </c>
      <c r="C1335" t="inlineStr">
        <is>
          <t>G'day community. On Friday I was diagnosed with bone cancer and I refuse chemotherapy because it will destroy my molecular structure. My question is how do you deal with the numbing pain? I don't want to use painkillers because it only masks it. I'm researching CBD because iv heard meracoules results. Any info will be greatly appreciated.  Cheers.</t>
        </is>
      </c>
      <c r="D1335" t="n">
        <v>0</v>
      </c>
      <c r="E1335" t="n">
        <v>21</v>
      </c>
      <c r="F1335">
        <f>HYPERLINK("https://www.reddit.com/r/cancer/comments/b227jc/bone_cancer/")</f>
        <v/>
      </c>
      <c r="G1335" t="inlineStr">
        <is>
          <t>2019-03-16 23:04:15</t>
        </is>
      </c>
      <c r="H1335" t="inlineStr"/>
    </row>
    <row r="1336">
      <c r="A1336" t="inlineStr">
        <is>
          <t>b244cp</t>
        </is>
      </c>
      <c r="B1336" t="inlineStr">
        <is>
          <t>What can i feed to my grandma who has a cancer relapse</t>
        </is>
      </c>
      <c r="C1336" t="inlineStr">
        <is>
          <t>My grandma recently have a Nasopharyngeal 
cancer relapse, due to her previous treatment with kemo, her mouth cannot produce enough saliva to make the food soft enough so she is constantly choking and coughing out the food that is hard. She also says that she can't take food too soft and wants to vomit when she consumes them. Is there any food she can consume without without choking or vomiting?</t>
        </is>
      </c>
      <c r="D1336" t="n">
        <v>12</v>
      </c>
      <c r="E1336" t="n">
        <v>14</v>
      </c>
      <c r="F1336">
        <f>HYPERLINK("https://www.reddit.com/r/cancer/comments/b244cp/what_can_i_feed_to_my_grandma_who_has_a_cancer/")</f>
        <v/>
      </c>
      <c r="G1336" t="inlineStr">
        <is>
          <t>2019-03-17 04:06:07</t>
        </is>
      </c>
      <c r="H1336" t="inlineStr"/>
    </row>
    <row r="1337">
      <c r="A1337" t="inlineStr">
        <is>
          <t>b26h5k</t>
        </is>
      </c>
      <c r="B1337" t="inlineStr">
        <is>
          <t>Grandma lost her fight early this morning</t>
        </is>
      </c>
      <c r="C1337" t="inlineStr">
        <is>
          <t>Hi r/cancer,
I posted some months back when we initially got her diagnosis. The advice I was given about things to do, and information to look into was most helpful. I feel like I've made the most of the time that we've had together and I have no regrets - no "I wish we'd done that". Thank you for that. 
I'm currently in the grief fog and it's strange. Ultimately we were told to expect between 6 &amp;amp; 12 months and we only got just over 3 months. You really can never tell how fast these things will progress. 
Thanks again for all the advice and loving words.</t>
        </is>
      </c>
      <c r="D1337" t="n">
        <v>51</v>
      </c>
      <c r="E1337" t="n">
        <v>7</v>
      </c>
      <c r="F1337">
        <f>HYPERLINK("https://www.reddit.com/r/cancer/comments/b26h5k/grandma_lost_her_fight_early_this_morning/")</f>
        <v/>
      </c>
      <c r="G1337" t="inlineStr">
        <is>
          <t>2019-03-17 08:48:00</t>
        </is>
      </c>
      <c r="H1337" t="inlineStr"/>
    </row>
    <row r="1338">
      <c r="A1338" t="inlineStr">
        <is>
          <t>b278li</t>
        </is>
      </c>
      <c r="B1338" t="inlineStr">
        <is>
          <t>My sumptoms?</t>
        </is>
      </c>
      <c r="C1338" t="inlineStr">
        <is>
          <t>Hello everyone, I'm having stomach pain, extreme belching, constipation, mild blood in my stools(sometimes), back pain and chest pain since last 5 months. Should I consider cancer a possibility, and should I undergo diagnosis tests?</t>
        </is>
      </c>
      <c r="D1338" t="n">
        <v>0</v>
      </c>
      <c r="E1338" t="n">
        <v>3</v>
      </c>
      <c r="F1338">
        <f>HYPERLINK("https://www.reddit.com/r/cancer/comments/b278li/my_sumptoms/")</f>
        <v/>
      </c>
      <c r="G1338" t="inlineStr">
        <is>
          <t>2019-03-17 09:58:42</t>
        </is>
      </c>
      <c r="H1338" t="inlineStr"/>
    </row>
    <row r="1339">
      <c r="A1339" t="inlineStr">
        <is>
          <t>b287hj</t>
        </is>
      </c>
      <c r="B1339" t="inlineStr">
        <is>
          <t>Has anyone had a vulvar biopsy?</t>
        </is>
      </c>
      <c r="C1339" t="inlineStr">
        <is>
          <t xml:space="preserve"> I'll be having a vulvar biopsy to rule out melanoma in a few weeks and I'm a bit nervous about the recovery. There are 5-7 moles (two places where two moles have joined with a line) and one large dark pigmented area that will be biopsied. I've heard the vulva can bleed and swell and I'm looking for "been there done that" experiences. I'm going to a big convention (like comic-con) two weeks later with my kids, so I'm hoping I'll feel better by then. </t>
        </is>
      </c>
      <c r="D1339" t="n">
        <v>9</v>
      </c>
      <c r="E1339" t="n">
        <v>3</v>
      </c>
      <c r="F1339">
        <f>HYPERLINK("https://www.reddit.com/r/cancer/comments/b287hj/has_anyone_had_a_vulvar_biopsy/")</f>
        <v/>
      </c>
      <c r="G1339" t="inlineStr">
        <is>
          <t>2019-03-17 11:25:45</t>
        </is>
      </c>
      <c r="H1339" t="inlineStr"/>
    </row>
    <row r="1340">
      <c r="A1340" t="inlineStr">
        <is>
          <t>b28f70</t>
        </is>
      </c>
      <c r="B1340" t="inlineStr">
        <is>
          <t>How fast does stage 4 cancer take away your loved one? Need to mentally prepare myself and emotionally for my gfs family. Please help</t>
        </is>
      </c>
      <c r="C1340" t="inlineStr">
        <is>
          <t xml:space="preserve">I’ve been with my gf for 3 years. Her dad is the backbone of the family yet so sweet and such a strong headset.  Cancer was diagnosed on him stage 4 80% mass spread near his liver and lungs.  Seeing him from Christmas to now is such a change. His speech is a bit slow now and he’s losing weight so fast except his stomach looks bloated due to liquids.  I’m trying to be strong for my gf as their family is super small. How can I be at better help? From every post I’ve read here it seems as though stage 4 can be from weeks to months.
The hospital said not even treatment could help at this point but why not try?? I don’t understand it but I can only be there to support the family. I try and converse with him like I always did with sports and news/politics but he now drifts away and goes to sleep then wakes up. It breaks my heart </t>
        </is>
      </c>
      <c r="D1340" t="n">
        <v>13</v>
      </c>
      <c r="E1340" t="n">
        <v>14</v>
      </c>
      <c r="F1340">
        <f>HYPERLINK("https://www.reddit.com/r/cancer/comments/b28f70/how_fast_does_stage_4_cancer_take_away_your_loved/")</f>
        <v/>
      </c>
      <c r="G1340" t="inlineStr">
        <is>
          <t>2019-03-17 11:44:39</t>
        </is>
      </c>
      <c r="H1340" t="inlineStr"/>
    </row>
    <row r="1341">
      <c r="A1341" t="inlineStr">
        <is>
          <t>b2aha7</t>
        </is>
      </c>
      <c r="B1341" t="inlineStr">
        <is>
          <t>My post lung surgery, low grade fever, narcotic induced dream...</t>
        </is>
      </c>
      <c r="C1341" t="inlineStr">
        <is>
          <t xml:space="preserve">I had lung surgery on Wednesday. They pumped me full of narcotics and of course being away from home I hadn't pooped yet. Friday I had a dream...
I was at my mom's house, sitting on her toilet, definitely in her bathroom. My long dead childhood pet cat (her name was Gretchen...RIP crabby kitty). Was circling in front of me like she was going to go the bathroom on my mom's rug. As I'm watching her she poops out a ham! Like a legit quarter ham, wrapped in plastic, with a price sticker on it. I'm not sure who was more shocked, her or me. I thought this has to be a trick and I woke myself up without shitting the bed and went downstairs (but no luck. 
I'm not sure what it means when your dead cat poops a ham on your mother's bathroom rug in a dream. Anyone that wants to try to decipher that one is welcome to. I laughed. I didn't poop the bed. It's all good.
By the way...the ham was $14.70. </t>
        </is>
      </c>
      <c r="D1341" t="n">
        <v>76</v>
      </c>
      <c r="E1341" t="n">
        <v>13</v>
      </c>
      <c r="F1341">
        <f>HYPERLINK("https://www.reddit.com/r/cancer/comments/b2aha7/my_post_lung_surgery_low_grade_fever_narcotic/")</f>
        <v/>
      </c>
      <c r="G1341" t="inlineStr">
        <is>
          <t>2019-03-17 14:48:58</t>
        </is>
      </c>
      <c r="H1341" t="inlineStr"/>
    </row>
    <row r="1342">
      <c r="A1342" t="inlineStr">
        <is>
          <t>b2am49</t>
        </is>
      </c>
      <c r="B1342" t="inlineStr">
        <is>
          <t>I strongly suspect I have blood cancer and it is making me feel suicidal</t>
        </is>
      </c>
      <c r="C1342" t="inlineStr">
        <is>
          <t>So my mom has blood cancer and I'm 23.. well lately I bought these digital scales that measure weight and other stuff, for the ''fun'' of it.. well my weight was perfectly fine, but then came the body composition stuff and it got me REALLY concerned to say the least
To explain things, each body composition data point is represented by an icon... globs for fat, a dog-bone for bone mass, bicep for muscle,
then finally, three wavy veins for blood..
mine was 66%..
I looked up ''normal litres of blood'' and it says the avg. adult has 4 or 5 litres. Plus I am small so maybe less than that..66% is about 30-32 litres of blood..
That is 6 times more than I should have..
I have cancer marker tests every year they come back negative though but this blood thing has gotten worse since when I was 18 I used the hand BI scale things and it said my blood % was 55.. now what goes through my mind now is I have cancer and I produce too many blood cells which is a type of cancer.. I get out of breath easily as well which is a sign of blood cancer since I looked up the signs..
When I saw that I had a mental breakdown and attempted suicide.. went to ER and I am now on Valium to calm me down but tonight is the last dose and dr won't give me a repeat prescription .
I'm only 23 I don't want to die I've been trying to fight depression and become happy and now I have cancer and feel like ODing on sleeping pills I stored under my bed</t>
        </is>
      </c>
      <c r="D1342" t="n">
        <v>0</v>
      </c>
      <c r="E1342" t="n">
        <v>3</v>
      </c>
      <c r="F1342">
        <f>HYPERLINK("https://www.reddit.com/r/cancer/comments/b2am49/i_strongly_suspect_i_have_blood_cancer_and_it_is/")</f>
        <v/>
      </c>
      <c r="G1342" t="inlineStr">
        <is>
          <t>2019-03-17 15:01:34</t>
        </is>
      </c>
      <c r="H1342" t="inlineStr"/>
    </row>
    <row r="1343">
      <c r="A1343" t="inlineStr">
        <is>
          <t>b2be59</t>
        </is>
      </c>
      <c r="B1343" t="inlineStr">
        <is>
          <t>Moms Hair Loss</t>
        </is>
      </c>
      <c r="C1343" t="inlineStr">
        <is>
          <t xml:space="preserve">My mom is a breast cancer survivor and her hair grew back but it’s much thinner than before. Also, recently she is noticing that its been falling out more. Any advice on products or anything would be greatly appreciated. (Also she said she’s noticed itchiness where the hair is falling out, if that helps) </t>
        </is>
      </c>
      <c r="D1343" t="n">
        <v>4</v>
      </c>
      <c r="E1343" t="n">
        <v>1</v>
      </c>
      <c r="F1343">
        <f>HYPERLINK("https://www.reddit.com/r/cancer/comments/b2be59/moms_hair_loss/")</f>
        <v/>
      </c>
      <c r="G1343" t="inlineStr">
        <is>
          <t>2019-03-17 16:15:47</t>
        </is>
      </c>
      <c r="H1343" t="inlineStr"/>
    </row>
    <row r="1344">
      <c r="A1344" t="inlineStr">
        <is>
          <t>b2cto9</t>
        </is>
      </c>
      <c r="B1344" t="inlineStr">
        <is>
          <t>Scared my mother may have Stage VI Melanoma.</t>
        </is>
      </c>
      <c r="C1344" t="inlineStr">
        <is>
          <t xml:space="preserve">So, long story short, my mother was diagnosed with Melanoma around 4 years ago. Thankfully they found it fast and it was removed. However, a few months ago she found a lump not far from where the original way found. Unfortunately, due to errors it took her a few months to see someone about it. A biopsy was done, and confirmed she had Melanoma again. 
&amp;amp;#x200B;
So, she was sent for a CT scan and then a PET/CT scan. We thought that it was all sorted out at the same time, but then she received a letter saying that the initial CT Scan had spotted a lesion on her lung, and the PET/CT scan was done to check it out further. In a few days she is seeing her doctor again and... yeah, I am scared with what they are going to tell her. She is fine outside of a slight cough (which is getting better?) although she has a liver condition.. I have been googling the statistics, a stupid thing to do, but yeah... how do people deal with this? </t>
        </is>
      </c>
      <c r="D1344" t="n">
        <v>10</v>
      </c>
      <c r="E1344" t="n">
        <v>8</v>
      </c>
      <c r="F1344">
        <f>HYPERLINK("https://www.reddit.com/r/cancer/comments/b2cto9/scared_my_mother_may_have_stage_vi_melanoma/")</f>
        <v/>
      </c>
      <c r="G1344" t="inlineStr">
        <is>
          <t>2019-03-17 18:41:20</t>
        </is>
      </c>
      <c r="H1344" t="inlineStr"/>
    </row>
    <row r="1345">
      <c r="A1345" t="inlineStr">
        <is>
          <t>b2ejfk</t>
        </is>
      </c>
      <c r="B1345" t="inlineStr">
        <is>
          <t>This seems like a super impersonal way to get bad test results (image in replies because I’m inept)</t>
        </is>
      </c>
      <c r="C1345" t="inlineStr">
        <is>
          <t>Tl;dr — got CT scan results I was waiting for in a super disconcerting way. Also, remission from ovarian cancer is over. 
Longer story: I was declared NED in July 2018 with 3 areas the doctor wanted to keep an eye on. Because I was so worn out by 2 years of virtually non-stop treatment, I decided I needed a break to regain my strength and get my high blood pressure (caused by treatment) under control. At the same time I had to move to another state to live with my family since I hadn’t been working for 2 years and was out of money. That meant leaving my support system behind and going from really personal care at a cancer clinic to treatment at a teaching hospital. Many people have worse problems with this disease, so I’ve been trying to get used to the change and just suck it up. Anyway, I finally went back to the doctor. Blood test showed increased CA125 levels, so doctor ordered CT scan, which I had last week. About an hour ago, Sunday evening, I got the message below from the patient portal. I understand I’m treating at a huge, anonymous teaching hospital now, but this seems like a really impersonal to let someone know they are no longer in remission. Maybe it’s fine. Maybe I’m just being sensitive. Maybe it’s a good thing to get information as soon as it’s available, even if it’s at a time when you can’t do a stinking thing about. It’s not like I didn’t know ovarian cancer is chronic. But man......... Thanks for reading.</t>
        </is>
      </c>
      <c r="D1345" t="n">
        <v>1</v>
      </c>
      <c r="E1345" t="n">
        <v>0</v>
      </c>
      <c r="F1345">
        <f>HYPERLINK("https://www.reddit.com/r/cancer/comments/b2ejfk/this_seems_like_a_super_impersonal_way_to_get_bad/")</f>
        <v/>
      </c>
      <c r="G1345" t="inlineStr">
        <is>
          <t>2019-03-17 21:56:23</t>
        </is>
      </c>
      <c r="H1345" t="inlineStr"/>
    </row>
    <row r="1346">
      <c r="A1346" t="inlineStr">
        <is>
          <t>b2ekmg</t>
        </is>
      </c>
      <c r="B1346" t="inlineStr">
        <is>
          <t>Chemo before surgery breast cancer</t>
        </is>
      </c>
      <c r="C1346" t="inlineStr">
        <is>
          <t>Still waiting for the treatment plan.  Surgeon was ready to schedule me then re-read my file.  Her2 positive, almost 3 cm tumor.  Now I'm told it's up to the oncologist who may want chemo first.
I'd love some input or shared past experience.
If chemo first then for how long?
Hair loss?
Metastasized risk?
I'm told my life could be on hold for a year?  Really?
TIA.</t>
        </is>
      </c>
      <c r="D1346" t="n">
        <v>9</v>
      </c>
      <c r="E1346" t="n">
        <v>10</v>
      </c>
      <c r="F1346">
        <f>HYPERLINK("https://www.reddit.com/r/cancer/comments/b2ekmg/chemo_before_surgery_breast_cancer/")</f>
        <v/>
      </c>
      <c r="G1346" t="inlineStr">
        <is>
          <t>2019-03-17 22:00:17</t>
        </is>
      </c>
      <c r="H1346" t="inlineStr"/>
    </row>
    <row r="1347">
      <c r="A1347" t="inlineStr">
        <is>
          <t>b2eucg</t>
        </is>
      </c>
      <c r="B1347" t="inlineStr">
        <is>
          <t>I’m so scared it’s the end stage.</t>
        </is>
      </c>
      <c r="C1347" t="inlineStr">
        <is>
          <t>My mother learned she had stage 4 head and neck baseloid squamous small cell carcinoma in November of 2012. February 2013 she had a radical neck dissection to remove cancer in the tonsil and lymph nodes and cancer strangling the jugular and carotid artery. The surgeon amazingly replaced her trap muscle vein/artery during surgery to her neck. She did chemotherapy after and 30+ rounds of radiation to the neck. She carried on in some pain and discomfort for quite some time and was in remission. For 5 years. November 2017 rolls around and she has a very slight pain in her left hip. Her primary care said it’s nothing to worry about. On a follow up visit to the neurologist she mentioned the pain and the doctor said “What? Really? When is your next oncologist appointment? You should go right away to get it checked out. Bam. 5 years removed and there it is. Metastatic bone cancer to the acetabulum. She did 10 rounds of radiation to the hip in January 2018 and 8 rounds in April 2018. The lesion hadn’t grown. Come around mid 2018 the lesion began to grow. We did 10 treatments of Keytruda til about November 2018. The cancer was not going to listen. The PET scan in December 2018 came back showing the Keytruda was ineffective and the lesion has grown, metastasized to the rib, spine, and now liver. My mom had lost quite some weight during this time. But the news was devastating. My mom has been in excruciating pain for over a year from bone cancer. It is the worst thing ever imagine able. There is no quality of life. The oncologist gave her the option to do chemo or look into hospice care. My mom wasn’t anywhere near healthy or ready to do more chemo to get sick as a dog and not be able to spend what quality time she has left. We chose the hospice route. The scariest part is, this past week or two everything has declined. My mom can no longer get up by herself, she sometimes incontinent, she is now very confused and most certainly hallucinating things. I have learned to go along and not frustrate/irritate her by calling her out that she’s hallucinating. The constant confusion is messing me up terribly. Just today she said she can’t talk and was whispering instead. I check on her many times to make sure she’s okay. I’m always by her side and here for her. It’s just tough knowing I have close family that has no idea what I’m really going through. It’s just my mother and I with my grandmother across the street. Most of my family in another city a couple hours away. I feel like after reading the stages of the end of life cycle, too many seem familiar. She has become unrecognizably skinny although I  try to make sure she can eat as much as she can throughout the day. She’s starting to have a hard time even holding her medicines and swallowing fluids. I’m extremely scared my mom may only have days to live. There’s people in my family who will not be able to comprehend how my loving mother now cannot hold a conversation but rather only responds and peacefully looks at you then says something random. She forgets what she says. I love my mom so much and I’ve been here every step of the way. Fuck cancer. Never wish it on my worst enemy. I just feel dumbfounded on how much has changed and how my mom is now a shell of what she always used to be. I love her with all my heart and soul.</t>
        </is>
      </c>
      <c r="D1347" t="n">
        <v>63</v>
      </c>
      <c r="E1347" t="n">
        <v>21</v>
      </c>
      <c r="F1347">
        <f>HYPERLINK("https://www.reddit.com/r/cancer/comments/b2eucg/im_so_scared_its_the_end_stage/")</f>
        <v/>
      </c>
      <c r="G1347" t="inlineStr">
        <is>
          <t>2019-03-17 22:33:47</t>
        </is>
      </c>
      <c r="H1347" t="inlineStr"/>
    </row>
    <row r="1348">
      <c r="A1348" t="inlineStr">
        <is>
          <t>b2ffyi</t>
        </is>
      </c>
      <c r="B1348" t="inlineStr">
        <is>
          <t>Recurrence of ovarian cancer</t>
        </is>
      </c>
      <c r="C1348" t="inlineStr">
        <is>
          <t xml:space="preserve">I posted a few days ago about waiting for CT scan results. Got results tonight — cancer has recurred for third time. I am so.... I don’t know, disappointed? Mad? Numb? I just don’t want to deal with this anymore. Sorry to whine, but fuck cancer already. </t>
        </is>
      </c>
      <c r="D1348" t="n">
        <v>29</v>
      </c>
      <c r="E1348" t="n">
        <v>11</v>
      </c>
      <c r="F1348">
        <f>HYPERLINK("https://www.reddit.com/r/cancer/comments/b2ffyi/recurrence_of_ovarian_cancer/")</f>
        <v/>
      </c>
      <c r="G1348" t="inlineStr">
        <is>
          <t>2019-03-17 23:52:39</t>
        </is>
      </c>
      <c r="H1348" t="inlineStr"/>
    </row>
    <row r="1349">
      <c r="A1349" t="inlineStr">
        <is>
          <t>b2fr2m</t>
        </is>
      </c>
      <c r="B1349" t="inlineStr">
        <is>
          <t>I think my friend is faking cancer</t>
        </is>
      </c>
      <c r="C1349" t="inlineStr">
        <is>
          <t xml:space="preserve">Claims they have had leukemia for the last 8 months which they caught early (never mentioned a stage), I don't know much about it but things seem fishy. 
Information we know:
1. No physical change (I understand some people don't change physically)
2. Says it's cured sometimes then says they have a blood test and it's back
3. Uses percentage to talk about it (quoted 10% most recently) with no reference to what this % means
4. Claimed they had a 50/50 surgery in a foreign country (different continent) that they couldn't do in our country due to its experimental nature (The surgery was supposedly on the side of their body near the lymph nodes but not sure cause they just rub their side when they talk about it)
5. Claims the same doctor who sees them here did the surgery in the foreign country because his doctor partner is there
6. Comes to work after having chemo and seems completely fine
7. Never see them taking medication, no needle marks, have never seen the surgery scar
8. Still plays sports, goes to the gym, etc.
9. Not at the doctor all the time (early morning on saturdays only)
10. Doesn't get sick, never complained about nausea
I'm not sure if they're faking I'm no expert but these things seem fishy to me
</t>
        </is>
      </c>
      <c r="D1349" t="n">
        <v>2</v>
      </c>
      <c r="E1349" t="n">
        <v>13</v>
      </c>
      <c r="F1349">
        <f>HYPERLINK("https://www.reddit.com/r/cancer/comments/b2fr2m/i_think_my_friend_is_faking_cancer/")</f>
        <v/>
      </c>
      <c r="G1349" t="inlineStr">
        <is>
          <t>2019-03-18 00:37:48</t>
        </is>
      </c>
      <c r="H1349" t="inlineStr"/>
    </row>
    <row r="1350">
      <c r="A1350" t="inlineStr">
        <is>
          <t>b2g3f8</t>
        </is>
      </c>
      <c r="B1350" t="inlineStr">
        <is>
          <t>How do I deal with the anxiety?</t>
        </is>
      </c>
      <c r="C1350" t="inlineStr">
        <is>
          <t>I was recently diagnosed with Papillary Thyroid Cancer and I know it's prone to spreading vertically along the neck into the lymph nodes. I've also heard it can spread to bones. I've been having sharp pressure pains in my sternum. As if someone was holding a finger and putting their weight on it. 
I haven't been active lately since I've been pretty sore from everything that's been going on. At first I thought it might just be some minor muscle atrophy since I haven't moved much. 
I also have a pressure in my tailbone that I am not sure is the tailbone or something more nefarious. I do sit down a lot so I assume it's probably just the tailbone but after getting diagnosed with the thyroid cancer which is still somewhat surreal and hard to wrap my head around I am having a hard time not letting the anxiety and uncertainty get to my head. 
I don't see a doctor until the 25th or thereabouts and I have pre admissions tomorrow for the surgery on the 5th so I don't really have anyone to talk to for the time being. I doubt the nurses at pre admissions can help me since they arent allowed to speculate (which is a good thing).</t>
        </is>
      </c>
      <c r="D1350" t="n">
        <v>11</v>
      </c>
      <c r="E1350" t="n">
        <v>4</v>
      </c>
      <c r="F1350">
        <f>HYPERLINK("https://www.reddit.com/r/cancer/comments/b2g3f8/how_do_i_deal_with_the_anxiety/")</f>
        <v/>
      </c>
      <c r="G1350" t="inlineStr">
        <is>
          <t>2019-03-18 01:25:23</t>
        </is>
      </c>
      <c r="H1350" t="inlineStr"/>
    </row>
    <row r="1351">
      <c r="A1351" t="inlineStr">
        <is>
          <t>b2hefc</t>
        </is>
      </c>
      <c r="B1351" t="inlineStr">
        <is>
          <t>About two months ago I went off chemotherapy and now I’m extremely sick.</t>
        </is>
      </c>
      <c r="C1351" t="inlineStr">
        <is>
          <t>When I was on chemotherapy for my arthritis, I had never really ever gotten sick. No colds, no flu, nothing. All I would feel was the constant nausea but that was about it. 
I stepped off injections because it wasn’t really changing my condition and immune family and I wanted to see if it got worse or stayed the same. 
So far we’ve been pretty happy until last week, I first started having a cough, something my partner contracted. Now my throat is excruciatingly painful, I’ve been having liquid foods but it’s getting better. 
Anyone else who’s recently gotten off chemotherapy, have you experienced the same thing?</t>
        </is>
      </c>
      <c r="D1351" t="n">
        <v>0</v>
      </c>
      <c r="E1351" t="n">
        <v>1</v>
      </c>
      <c r="F1351">
        <f>HYPERLINK("https://www.reddit.com/r/cancer/comments/b2hefc/about_two_months_ago_i_went_off_chemotherapy_and/")</f>
        <v/>
      </c>
      <c r="G1351" t="inlineStr">
        <is>
          <t>2019-03-18 04:10:36</t>
        </is>
      </c>
      <c r="H1351" t="inlineStr"/>
    </row>
    <row r="1352">
      <c r="A1352" t="inlineStr">
        <is>
          <t>b2i71y</t>
        </is>
      </c>
      <c r="B1352" t="inlineStr">
        <is>
          <t>What is this medicine? SCOPOLAMINE</t>
        </is>
      </c>
      <c r="C1352" t="inlineStr">
        <is>
          <t>What is this medicine?
&amp;amp;#x200B;
SCOPOLAMINE (skoe POL a meen) is used to prevent nausea and vomiting caused by motion sickness, anesthesia and surgery.
&amp;amp;#x200B;
This medicine may be used for other purposes; ask your health care provider or pharmacist if you have questions.
&amp;amp;#x200B;
&amp;amp;#x200B;
What should I tell my health care provider before I take this medicine?
&amp;amp;#x200B;
They need to know if you have any of these conditions: -glaucoma -kidney or liver disease -an unusual or allergic reaction (especially skin allergy) to scopolamine, atropine, other medicines, foods, dyes, or preservatives -pregnant or trying to get pregnant -breast-feeding
&amp;amp;#x200B;
What if I miss a dose?
Make sure you apply the patch at least 4 hours before you need it. You can apply it the night before traveling.
scopolamine patches australia
&amp;amp;#x200B;
scopolamine patch discontinued
&amp;amp;#x200B;
perrigo scopolamine patch
&amp;amp;#x200B;
transderm v over the counter
&amp;amp;#x200B;
scopoderm usa
&amp;amp;#x200B;
scopolamine patch dose
&amp;amp;#x200B;
Whatsapp at: +1 (650) 822–8110
&amp;amp;#x200B;
Emai­l : ([nembutalforsaleonline@yahoo.com](mailto:nembutalforsaleonline@yahoo.com))
&amp;amp;#x200B;
&amp;amp;#x200B;</t>
        </is>
      </c>
      <c r="D1352" t="n">
        <v>1</v>
      </c>
      <c r="E1352" t="n">
        <v>0</v>
      </c>
      <c r="F1352">
        <f>HYPERLINK("https://www.reddit.com/r/cancer/comments/b2i71y/what_is_this_medicine_scopolamine/")</f>
        <v/>
      </c>
      <c r="G1352" t="inlineStr">
        <is>
          <t>2019-03-18 05:35:09</t>
        </is>
      </c>
      <c r="H1352" t="inlineStr"/>
    </row>
    <row r="1353">
      <c r="A1353" t="inlineStr">
        <is>
          <t>b2ite6</t>
        </is>
      </c>
      <c r="B1353" t="inlineStr">
        <is>
          <t>Mother diagnosed with cancer and I’m not coping.</t>
        </is>
      </c>
      <c r="C1353" t="inlineStr">
        <is>
          <t xml:space="preserve">She’s been diagnosed with stage 2 breast cancer, HER2-positive. She’s just finished her last dose of the dose dense chemo which was given once every 2 weeks. Now she’s moving onto the weekly dose which is supposed to be easier to handle. She’s positive at the moment which is fantastic, and most of the time I feel very positive about things but every now and then I break down and let my thoughts get the best of me. My mind scrambles to grasp all of the ‘what ifs?’ In a situation like this, it’s only expected. I know there’s a lot of funding that goes into breast cancer and she’s only stage 2 but I’m just hoping it doesn’t advance. I want this to be over and done with. 
Guess I just needed a vent </t>
        </is>
      </c>
      <c r="D1353" t="n">
        <v>9</v>
      </c>
      <c r="E1353" t="n">
        <v>3</v>
      </c>
      <c r="F1353">
        <f>HYPERLINK("https://www.reddit.com/r/cancer/comments/b2ite6/mother_diagnosed_with_cancer_and_im_not_coping/")</f>
        <v/>
      </c>
      <c r="G1353" t="inlineStr">
        <is>
          <t>2019-03-18 06:36:07</t>
        </is>
      </c>
      <c r="H1353" t="inlineStr"/>
    </row>
    <row r="1354">
      <c r="A1354" t="inlineStr">
        <is>
          <t>b2jbyt</t>
        </is>
      </c>
      <c r="B1354" t="inlineStr">
        <is>
          <t>2nd Pathologist</t>
        </is>
      </c>
      <c r="C1354" t="inlineStr">
        <is>
          <t>Hey reddit
I'm pretty scared so forgive me if I broke any rules with this post. I had a lump cut off of me that the first pathologist had trouble diagnosing. They said cancer is a possibility. They sent it to a second pathologist and now we're waiting.
I'm desperate and looking for information. Is that normal?</t>
        </is>
      </c>
      <c r="D1354" t="n">
        <v>6</v>
      </c>
      <c r="E1354" t="n">
        <v>6</v>
      </c>
      <c r="F1354">
        <f>HYPERLINK("https://www.reddit.com/r/cancer/comments/b2jbyt/2nd_pathologist/")</f>
        <v/>
      </c>
      <c r="G1354" t="inlineStr">
        <is>
          <t>2019-03-18 07:25:02</t>
        </is>
      </c>
      <c r="H1354" t="inlineStr"/>
    </row>
    <row r="1355">
      <c r="A1355" t="inlineStr">
        <is>
          <t>b2m87o</t>
        </is>
      </c>
      <c r="B1355" t="inlineStr">
        <is>
          <t>Mom is starting Prophylactic Cranial Irradiation for small cell lung cancer</t>
        </is>
      </c>
      <c r="C1355" t="inlineStr">
        <is>
          <t xml:space="preserve">My mom was diagnosed with limited stage small cell lung cancer in November. She has been through 4 rounds of chemo, the second two rounds had concurrent radiation therapy. 
&amp;amp;#x200B;
She refuses to ask her doctors any time frame/staging questions, which I completely understand. She thinks it keeps per positive and if that is true it is perfectly fine with me. They are still doing scans (of course,) and her most recent was a CT and MRI to check her response to her initial treatment before starting Prophylactic Cranial Irradiation.
&amp;amp;#x200B;
She has given me access to her patient portal with the hospital system her treatment is through so I can see her test results because she understands that I want to know, I'm just now allowed to talk to her about it. The most recent CT scan has the note:
&amp;amp;#x200B;
*There is near complete interval resolution of bulky right superior and paratracheal adenopathy since 11/12/2018. There is mild residual soft tissue in the right superior mediastinal and right paratracheal regions, significantly improved since 11/12/2018. Findings are compatible with satisfactory response to interval chemoradiation.* 
&amp;amp;#x200B;
I know it reads as "good," but does anyone with more experience with these tests have any insight? 
&amp;amp;#x200B;
Also, are there any side effects to expect with the Prophylactic Cranial Irradiation that she didn't have with her previous treatment? Anything related to the brain just makes me so nervous. </t>
        </is>
      </c>
      <c r="D1355" t="n">
        <v>6</v>
      </c>
      <c r="E1355" t="n">
        <v>1</v>
      </c>
      <c r="F1355">
        <f>HYPERLINK("https://www.reddit.com/r/cancer/comments/b2m87o/mom_is_starting_prophylactic_cranial_irradiation/")</f>
        <v/>
      </c>
      <c r="G1355" t="inlineStr">
        <is>
          <t>2019-03-18 11:30:17</t>
        </is>
      </c>
      <c r="H1355" t="inlineStr"/>
    </row>
    <row r="1356">
      <c r="A1356" t="inlineStr">
        <is>
          <t>b2mbvg</t>
        </is>
      </c>
      <c r="B1356" t="inlineStr">
        <is>
          <t>How much time do we have? What kind of food? Surgery an option?</t>
        </is>
      </c>
      <c r="C1356" t="inlineStr">
        <is>
          <t xml:space="preserve">Hi So I have been reading a lot of posts on here. My mom was diagnosed with stage 4 NSCLC metastasized into the brain and arm. I see a lot of people here have had a loved one go through this and their stories are about 9 months after diagnosis they have passed. I know statistics are outdated and grim but is that really what time we have? Recent scan after 2 chemo treatments show a reduction of 20% of the large mass. Also her Dr wont do surgery and I read that most don't with stage 4 but wont this help her? I want to make sure she is getting the right care from the Dr's should I push this? Also her appetite is pretty non existent at this point very bland bread like food or ice cream is all I can get her to eat. Does anyone have anything that helped them? She feels nauseas all the time and afraid to throw everything up even with the meds. </t>
        </is>
      </c>
      <c r="D1356" t="n">
        <v>4</v>
      </c>
      <c r="E1356" t="n">
        <v>22</v>
      </c>
      <c r="F1356">
        <f>HYPERLINK("https://www.reddit.com/r/cancer/comments/b2mbvg/how_much_time_do_we_have_what_kind_of_food/")</f>
        <v/>
      </c>
      <c r="G1356" t="inlineStr">
        <is>
          <t>2019-03-18 11:38:56</t>
        </is>
      </c>
      <c r="H1356" t="inlineStr"/>
    </row>
    <row r="1357">
      <c r="A1357" t="inlineStr">
        <is>
          <t>b2mpwa</t>
        </is>
      </c>
      <c r="B1357" t="inlineStr">
        <is>
          <t>Experience with Oxalipatin?</t>
        </is>
      </c>
      <c r="C1357" t="inlineStr">
        <is>
          <t xml:space="preserve">I was recently diagnosed with stage 3 colon cancer and after a sigmoid colectomy I am now undergoing chemo. The treatment my oncologist has prescribed is biweekly infusions of Oxalipatin and 5FU for the next 6 months. I'm curious if anyone else has had negative experiences with Oxy? The neuropathy after 2 treatments has been pretty aweful and the Dr says it will only get worse as it accumulates. (It may be possible that the neuropathy could last months, years or even permanently after treatment). :(
 I could lower the dosage but was warned that since cancer was also found in my lymph nodes that it's not recommended. I'm at a loss on what to do. :(
I would love to hear from others who have had Oxy and how the neuropathy has affected during and after treatment. 💖
</t>
        </is>
      </c>
      <c r="D1357" t="n">
        <v>9</v>
      </c>
      <c r="E1357" t="n">
        <v>15</v>
      </c>
      <c r="F1357">
        <f>HYPERLINK("https://www.reddit.com/r/cancer/comments/b2mpwa/experience_with_oxalipatin/")</f>
        <v/>
      </c>
      <c r="G1357" t="inlineStr">
        <is>
          <t>2019-03-18 12:11:05</t>
        </is>
      </c>
      <c r="H1357" t="inlineStr"/>
    </row>
    <row r="1358">
      <c r="A1358" t="inlineStr">
        <is>
          <t>b2n1m6</t>
        </is>
      </c>
      <c r="B1358" t="inlineStr">
        <is>
          <t>How do you cope with the test/doctor anxiety? (Not a "do I have cancer?!?" post, I promise!)</t>
        </is>
      </c>
      <c r="C1358" t="inlineStr">
        <is>
          <t>So...hi, again. I posted back in December about my mom, who was unexpectedly diagnosed with stage IV breast cancer with bone mets. I'm sorry (fucking devastated, really) to say that she went into hospice at the start of this year and passed on January 29. It was and still is a huge shock I'm still struggling to wrap my head around. I wanted to post here more but I just...couldn't, to be honest. Just didn't have it in me. I've been going to counseling, and that's helped some.
Now there's a new situation. It's just me (32) and my dad (71) left now. I'm an only child. And he's been having some issues that to me sound/feel like IBS. (I've had IBS for well over a decade myself, and a lot of what he describes sounds very familiar.) Which makes sense, of course...we're all under so much stress and grief these days, and IBS feeds off that.
But he went to the doctor today about it, and to rule out anything serious they want to do a CT scan for things like diverticulitis and...of course they mentioned fucking cancer. And my anxiety went through the roof and into a low earth orbit, and will probably stay there until the scan's done. He says he feels awful now too, and gee...can't imagine why.
I could really use some advice. How do you cope with anxiety like that? I said to a friend of mine that even just knowing he was at the doctor today made me anxious, because after what we went through with Mom, my brain associates doctors and tests with bad news on top of more bad news. How do you deal with that?</t>
        </is>
      </c>
      <c r="D1358" t="n">
        <v>4</v>
      </c>
      <c r="E1358" t="n">
        <v>5</v>
      </c>
      <c r="F1358">
        <f>HYPERLINK("https://www.reddit.com/r/cancer/comments/b2n1m6/how_do_you_cope_with_the_testdoctor_anxiety_not_a/")</f>
        <v/>
      </c>
      <c r="G1358" t="inlineStr">
        <is>
          <t>2019-03-18 12:38:13</t>
        </is>
      </c>
      <c r="H1358" t="inlineStr"/>
    </row>
    <row r="1359">
      <c r="A1359" t="inlineStr">
        <is>
          <t>b2n2wc</t>
        </is>
      </c>
      <c r="B1359" t="inlineStr">
        <is>
          <t>My GF (33F) was just diagnosed with breast cancer, and I'm kind of at a loss for what to do next.</t>
        </is>
      </c>
      <c r="C1359" t="inlineStr">
        <is>
          <t>I've (33m) been with my GF for just over 4 months.  Pretty early on I noticed a lump in her breast, and urged her to go get it checked out. Test results came back today after a biopsy last week, and they told her she has cancer.  She called me at work to tell me, and I'm not really sure what to do next, or what happens with her next.  Anything you can throw my way would be appreciated.</t>
        </is>
      </c>
      <c r="D1359" t="n">
        <v>56</v>
      </c>
      <c r="E1359" t="n">
        <v>24</v>
      </c>
      <c r="F1359">
        <f>HYPERLINK("https://www.reddit.com/r/cancer/comments/b2n2wc/my_gf_33f_was_just_diagnosed_with_breast_cancer/")</f>
        <v/>
      </c>
      <c r="G1359" t="inlineStr">
        <is>
          <t>2019-03-18 12:41:16</t>
        </is>
      </c>
      <c r="H1359" t="inlineStr"/>
    </row>
    <row r="1360">
      <c r="A1360" t="inlineStr">
        <is>
          <t>b2odit</t>
        </is>
      </c>
      <c r="B1360" t="inlineStr">
        <is>
          <t>Called back for X-ray</t>
        </is>
      </c>
      <c r="C1360" t="inlineStr">
        <is>
          <t>Hello everybody so I’ve been in remission for about 3 years but went for my monthly blood test  last week and have Now been called back for a X-ray I’m a bit worried. Just wondering has anyone had a similar situation?</t>
        </is>
      </c>
      <c r="D1360" t="n">
        <v>1</v>
      </c>
      <c r="E1360" t="n">
        <v>0</v>
      </c>
      <c r="F1360">
        <f>HYPERLINK("https://www.reddit.com/r/cancer/comments/b2odit/called_back_for_xray/")</f>
        <v/>
      </c>
      <c r="G1360" t="inlineStr">
        <is>
          <t>2019-03-18 14:30:21</t>
        </is>
      </c>
      <c r="H1360" t="inlineStr"/>
    </row>
    <row r="1361">
      <c r="A1361" t="inlineStr">
        <is>
          <t>b2pk8n</t>
        </is>
      </c>
      <c r="B1361" t="inlineStr">
        <is>
          <t>How to manage my (26M) expectations/anxiety at the end of chemo?</t>
        </is>
      </c>
      <c r="C1361" t="inlineStr">
        <is>
          <t xml:space="preserve">Wednesday is the last of 6 scheduled chemo treatments. I've been feeling really strong lately (I just hiked in the grand canyon) and my tumor has shrunk 70% through the first 4 treatments. After two treatments, the PET Scan showed 67% reduction in activity levels. 
&amp;amp;#x200B;
All I can think about going into this last one is how, if the cancer isn't dead yet, this last treatment is going to KO it. While I'm very optimistic and believe I'll be cancer free in 4 months, how did you all manage expectations just in case I get news that there's still a little more left?
&amp;amp;#x200B;
I want to stay positive but I'm afraid that if I get my my hopes up to much, it'll be sad for me but devastating to my girlfriend and parents. </t>
        </is>
      </c>
      <c r="D1361" t="n">
        <v>10</v>
      </c>
      <c r="E1361" t="n">
        <v>3</v>
      </c>
      <c r="F1361">
        <f>HYPERLINK("https://www.reddit.com/r/cancer/comments/b2pk8n/how_to_manage_my_26m_expectationsanxiety_at_the/")</f>
        <v/>
      </c>
      <c r="G1361" t="inlineStr">
        <is>
          <t>2019-03-18 16:11:45</t>
        </is>
      </c>
      <c r="H1361" t="inlineStr"/>
    </row>
    <row r="1362">
      <c r="A1362" t="inlineStr">
        <is>
          <t>b2pqug</t>
        </is>
      </c>
      <c r="B1362" t="inlineStr">
        <is>
          <t>My parents and sisters won't tell me whats going on with my dad, can anyone help me piece this together please</t>
        </is>
      </c>
      <c r="C1362" t="inlineStr">
        <is>
          <t>My parents and older sisters (I'm 17) keep lying to me and not telling me directly whats going on and how bad it is. My mom sent me the C.T scan result for chest and pelvis but won't tell me what any of it means and I'm really sorry if this is not the place to ask this or post this but I just don't know whats going on and I'm tired of people not telling me whats happening.
[https://i.imgur.com/4Ls5flk.jpg](https://i.imgur.com/4Ls5flk.jpg)
[https://i.imgur.com/ohqpHNn.jpg](https://i.imgur.com/ohqpHNn.jpg)
&amp;amp;#x200B;
6 years ago my dad was diagnosed with colon cancer. They did an operation and removed it, when he went back for his check they saw that it came back as stage 4 and spread to his lungs. Hes had chemo and radiation for about 3 and a half years and his body stopped responding to it so they stopped the chemo and radiation and it was making him weak and exhausted so they switched him over to a pill form of chemo treatment. 
&amp;amp;#x200B;
He has been getting C.T scans every month and it is increasing in size and this month it metastasized to his liver and bones my mom said but she won't tell me how long he has or what is going on and its so frustrating I just want to know something. My sisters lie to me when I ask and they tell me its not that bad. They have all lied to me before and told me that it didn't get worse from the previous month before 
&amp;amp;#x200B;
I know that anyone who gives me advice is not my dads doctor (or even a doctor at all possibly) but I just want to know if anyone knows what any of this means because I'm so scared and sick of not being told what is going on
&amp;amp;#x200B;
thank you for anyone who can reply</t>
        </is>
      </c>
      <c r="D1362" t="n">
        <v>1</v>
      </c>
      <c r="E1362" t="n">
        <v>0</v>
      </c>
      <c r="F1362">
        <f>HYPERLINK("https://www.reddit.com/r/cancer/comments/b2pqug/my_parents_and_sisters_wont_tell_me_whats_going/")</f>
        <v/>
      </c>
      <c r="G1362" t="inlineStr">
        <is>
          <t>2019-03-18 16:28:07</t>
        </is>
      </c>
      <c r="H1362" t="inlineStr"/>
    </row>
    <row r="1363">
      <c r="A1363" t="inlineStr">
        <is>
          <t>b2pxow</t>
        </is>
      </c>
      <c r="B1363" t="inlineStr">
        <is>
          <t>Looking for people who tried Genetic Testing</t>
        </is>
      </c>
      <c r="C1363" t="inlineStr">
        <is>
          <t>Hello, I am a producer working with video productions and television stations from South Korea.
I apologize for this post as this may count as solicitations, but I hope I could get responses as what I am trying to do is an extension of sharing stories of survival as is one of the purposes of this subreddit.
We are looking for someone who is trying or have tried a genetic testing for their conditions for a treatment and are willing to share their testimonials to our viewers. We hope to share the stories for our viewers so they may too be informed and get a chance at the new technology available.
Please do message me if you are willing to share your story.</t>
        </is>
      </c>
      <c r="D1363" t="n">
        <v>5</v>
      </c>
      <c r="E1363" t="n">
        <v>4</v>
      </c>
      <c r="F1363">
        <f>HYPERLINK("https://www.reddit.com/r/cancer/comments/b2pxow/looking_for_people_who_tried_genetic_testing/")</f>
        <v/>
      </c>
      <c r="G1363" t="inlineStr">
        <is>
          <t>2019-03-18 16:44:59</t>
        </is>
      </c>
      <c r="H1363" t="inlineStr"/>
    </row>
    <row r="1364">
      <c r="A1364" t="inlineStr">
        <is>
          <t>b2r6a9</t>
        </is>
      </c>
      <c r="B1364" t="inlineStr">
        <is>
          <t>Rant about the BS I'm dealing with.</t>
        </is>
      </c>
      <c r="C1364" t="inlineStr">
        <is>
          <t xml:space="preserve">My husband, B, has days maybe weeks left. His cancer is taking more of him every day. Yet my MIL, C, is still "hasn't lost hope". She's mentally unstable and carries a lot of resentment and animosity towards everyone who she deems is against her in anyway. She's unhealthy in most aspects of her life and doesn't respond well to reason. She's highly emotional and passive aggressive. She's not an evil or bad person, just someone whos never known love, accountability, or anything resembling a healthy relationship, and SO DAMN FRUSTRATING to deal with. She had 2 sons, heavily favoring the younger of them. My husband loves his little brother and has always wanted a close relationship like they had in younger years. His brother, T, is quite self centered. Nothing exists outside of his perception. He pulled away from B a couple years ago, they barely started to repair their relationship when cancer started last year but did get closer, but now is distant though claiming he wants to be involved now. 
Yet I'm doing this all alone. 
C doesn't help with anything, unless you count blowing up my toilet, not saying a word, leaving our house, and letting me find  the mess to clean up. For the SECOND time. Once she came to "help" take care of B while I went to work... 7 fucking hours she sat here playing on her phone. He didn't get pain meds or food or a shower or anything. 
And then last night she gets shitty at me through text because B and I have moved into the acceptance stage and she "hasn't given up hope for ANYTHING like we have". Smh. 
I get that I just need to take care of him and let his family do whatever they're going to do. But damnit! I'm just angry that his family is so selfish and unhelpful and neglectful of him in what are going to be his last days. It's shameful. </t>
        </is>
      </c>
      <c r="D1364" t="n">
        <v>42</v>
      </c>
      <c r="E1364" t="n">
        <v>33</v>
      </c>
      <c r="F1364">
        <f>HYPERLINK("https://www.reddit.com/r/cancer/comments/b2r6a9/rant_about_the_bs_im_dealing_with/")</f>
        <v/>
      </c>
      <c r="G1364" t="inlineStr">
        <is>
          <t>2019-03-18 18:37:23</t>
        </is>
      </c>
      <c r="H1364" t="inlineStr"/>
    </row>
    <row r="1365">
      <c r="A1365" t="inlineStr">
        <is>
          <t>b2run7</t>
        </is>
      </c>
      <c r="B1365" t="inlineStr">
        <is>
          <t>My dad has a lump the size of an orange on his testicle</t>
        </is>
      </c>
      <c r="C1365" t="inlineStr">
        <is>
          <t xml:space="preserve"> If it is the size of the orange, what stage would you assume? Also I would appreciate if any testicular cancer survivors shared their story briefly. Start to finish and when it was gone and life after. 
&amp;amp;#x200B;
Thanks</t>
        </is>
      </c>
      <c r="D1365" t="n">
        <v>1</v>
      </c>
      <c r="E1365" t="n">
        <v>3</v>
      </c>
      <c r="F1365">
        <f>HYPERLINK("https://www.reddit.com/r/cancer/comments/b2run7/my_dad_has_a_lump_the_size_of_an_orange_on_his/")</f>
        <v/>
      </c>
      <c r="G1365" t="inlineStr">
        <is>
          <t>2019-03-18 19:40:43</t>
        </is>
      </c>
      <c r="H1365" t="inlineStr"/>
    </row>
    <row r="1366">
      <c r="A1366" t="inlineStr">
        <is>
          <t>b2s784</t>
        </is>
      </c>
      <c r="B1366" t="inlineStr">
        <is>
          <t>On my way to MD Anderson</t>
        </is>
      </c>
      <c r="C1366" t="inlineStr">
        <is>
          <t xml:space="preserve">Kidney cancer, stage 4, metastasis to lungs, spine, ribs, sacrum, just generally sprinkled everywhere. I’ve had two surgeries, gone through traditional chemo and radiation and am currently on a daily chemo pill. 
I’ve been to Vanderbilt for a second opinion, and all the dr did was look through my treatments and told me he would have handled everything exactly as my local oncologist did. That was good, to have confirmation that my doc is on the right path, but I was also disappointed that they had no other suggestions. That was last summer. Now, after going on the daily chemo pill, the scans are continuing to show spreading. There are a few stable spots, which is the first positive thing I’ve heard. 
I’ve gotten a schedule of tests and meetings set up for me at MD Anderson, and I’m encouraged that there is at least going to be some action.  I’m sitting wide awake in a hotel, halfway to Houston. Has anyone here been there? I’m so ready to get this started. 
Sometimes I feel like I’m just grasping at straws, but when I get to the end I want to be satisfied that I tried everything that I could.  I just wanted to talk to you guys.  It’s a club none of us wanted to ever be in, but we have to lift each other up.  </t>
        </is>
      </c>
      <c r="D1366" t="n">
        <v>78</v>
      </c>
      <c r="E1366" t="n">
        <v>26</v>
      </c>
      <c r="F1366">
        <f>HYPERLINK("https://www.reddit.com/r/cancer/comments/b2s784/on_my_way_to_md_anderson/")</f>
        <v/>
      </c>
      <c r="G1366" t="inlineStr">
        <is>
          <t>2019-03-18 20:15:17</t>
        </is>
      </c>
      <c r="H1366" t="inlineStr"/>
    </row>
    <row r="1367">
      <c r="A1367" t="inlineStr">
        <is>
          <t>b2tgnq</t>
        </is>
      </c>
      <c r="B1367" t="inlineStr">
        <is>
          <t>No One Cares about your cancer</t>
        </is>
      </c>
      <c r="C1367" t="inlineStr">
        <is>
          <t>deal with it fat skank whore</t>
        </is>
      </c>
      <c r="D1367" t="n">
        <v>0</v>
      </c>
      <c r="E1367" t="n">
        <v>0</v>
      </c>
      <c r="F1367">
        <f>HYPERLINK("https://www.reddit.com/r/cancer/comments/b2tgnq/no_one_cares_about_your_cancer/")</f>
        <v/>
      </c>
      <c r="G1367" t="inlineStr">
        <is>
          <t>2019-03-18 22:35:35</t>
        </is>
      </c>
      <c r="H1367" t="inlineStr"/>
    </row>
    <row r="1368">
      <c r="A1368" t="inlineStr">
        <is>
          <t>b2u70g</t>
        </is>
      </c>
      <c r="B1368" t="inlineStr">
        <is>
          <t>Mum has brain cancer (update)</t>
        </is>
      </c>
      <c r="C1368" t="inlineStr">
        <is>
          <t xml:space="preserve">So couple days i posted about mum having cancer and being about palitive care, and so I found out they call the diagnosis mga I think it was I can't say or speak the diagnosis. But she's now started chanyes  stokes breathing I'm told. And it's hard. I want to be here for mum but every time she stops breathing for those seconds it tears me so I'm telling her constantly that I love her. But yesterday she seemed okay a still a little responsive. See mum in the last couple years has kept asking me for money and I've always given it to her because she's family but now being here I understand as there circumstances she needed it which I won't go I to. But I told her that I don't hold anything against her. And that she can pass on when she wanted to. As I only held love for her. And now she's apparently suddenly got hours to days they not sure. But I feel guilty. All I've been doing is sleeping being with mum and I've been forcing myself to eat since my friends are giving me rides to and from the hospital. But I just feel guilty. I just don't know what I'm suppose to do. She's not responsive much anymore but she did really respond when I showed her I'm still wearing the necklace she got me for my 18th. So I'm just hoping it's enough. Sorry if I shouldn't post this here. Just it's hard and the people I know that are mums friends I just don't want to rely on them if that sounds bad I'm sorry. </t>
        </is>
      </c>
      <c r="D1368" t="n">
        <v>12</v>
      </c>
      <c r="E1368" t="n">
        <v>1</v>
      </c>
      <c r="F1368">
        <f>HYPERLINK("https://www.reddit.com/r/cancer/comments/b2u70g/mum_has_brain_cancer_update/")</f>
        <v/>
      </c>
      <c r="G1368" t="inlineStr">
        <is>
          <t>2019-03-19 00:03:39</t>
        </is>
      </c>
      <c r="H1368" t="inlineStr"/>
    </row>
    <row r="1369">
      <c r="A1369" t="inlineStr">
        <is>
          <t>b2xb56</t>
        </is>
      </c>
      <c r="B1369" t="inlineStr">
        <is>
          <t>Cancer centers of america...</t>
        </is>
      </c>
      <c r="C1369" t="inlineStr">
        <is>
          <t>What are peoples thoughts about cancer centers of America</t>
        </is>
      </c>
      <c r="D1369" t="n">
        <v>5</v>
      </c>
      <c r="E1369" t="n">
        <v>6</v>
      </c>
      <c r="F1369">
        <f>HYPERLINK("https://www.reddit.com/r/cancer/comments/b2xb56/cancer_centers_of_america/")</f>
        <v/>
      </c>
      <c r="G1369" t="inlineStr">
        <is>
          <t>2019-03-19 06:18:27</t>
        </is>
      </c>
      <c r="H1369" t="inlineStr"/>
    </row>
    <row r="1370">
      <c r="A1370" t="inlineStr">
        <is>
          <t>b2xepp</t>
        </is>
      </c>
      <c r="B1370" t="inlineStr">
        <is>
          <t>I am kind of afraid to engage in anything that might be to endearing.</t>
        </is>
      </c>
      <c r="C1370" t="inlineStr">
        <is>
          <t xml:space="preserve">This may sounds strange and I wonder if I'm the only one feeling that way. 
As my flair says, I have incurable breast cancer. The mets in my lungs and liver are not that concerning to my medical team, but the metastasis to my cerebellum (now removed) is. Every three months, I have brain MRI to assess the status. If new mets are to show up, I've been told I'll have months to live. 
My life prior to cancer is pretty much non-existent. I witnessed all that I had built completely crumble (career, financial security, friendships, sport performances and more) since my initial diagnosis of stage III breast cancer 4 years ago. 
Since the incurable diagnosis in March last year I have difficulty engaging in long term activities or projects that would be pleasant to me like learning cello, resume singing lessons, becoming guide in a museum or writing a book. I'm just petrified by the idea that I would loose all that again. I feel like I don't want my life to be too enjoyable, if that makes sense. 
Thank you for reading and great day to everyone on r/cancer! 
</t>
        </is>
      </c>
      <c r="D1370" t="n">
        <v>68</v>
      </c>
      <c r="E1370" t="n">
        <v>22</v>
      </c>
      <c r="F1370">
        <f>HYPERLINK("https://www.reddit.com/r/cancer/comments/b2xepp/i_am_kind_of_afraid_to_engage_in_anything_that/")</f>
        <v/>
      </c>
      <c r="G1370" t="inlineStr">
        <is>
          <t>2019-03-19 06:27:55</t>
        </is>
      </c>
      <c r="H1370" t="inlineStr"/>
    </row>
    <row r="1371">
      <c r="A1371" t="inlineStr">
        <is>
          <t>b2y9pw</t>
        </is>
      </c>
      <c r="B1371" t="inlineStr">
        <is>
          <t>Rebuilding strength.</t>
        </is>
      </c>
      <c r="C1371" t="inlineStr">
        <is>
          <t xml:space="preserve">I’ve been in and out of the hospital since September, and since my last release a month ago I’ve been spending 23 hours a day in bed. 
Physically I am weak, but at this point it is due to my laziness and not my treatment. I simply have not exercised at all. 
So I want to try and start to rebuild strength but every time I try to get up to do something I get this crushing anxiety that I am too out of shape and I’m going to give myself a heart attack if I try to exercise. Then I end up in bed panicking instead of exercising. 
Has anyone else had this fear? You would think after being so close to death the last year I would tolerate it well, but it’s honestly crippling, and terrifying. 
I’m really not sure how to get over it and start exercising again. </t>
        </is>
      </c>
      <c r="D1371" t="n">
        <v>6</v>
      </c>
      <c r="E1371" t="n">
        <v>9</v>
      </c>
      <c r="F1371">
        <f>HYPERLINK("https://www.reddit.com/r/cancer/comments/b2y9pw/rebuilding_strength/")</f>
        <v/>
      </c>
      <c r="G1371" t="inlineStr">
        <is>
          <t>2019-03-19 07:45:01</t>
        </is>
      </c>
      <c r="H1371" t="inlineStr"/>
    </row>
    <row r="1372">
      <c r="A1372" t="inlineStr">
        <is>
          <t>b2z6el</t>
        </is>
      </c>
      <c r="B1372" t="inlineStr">
        <is>
          <t>I needed to share</t>
        </is>
      </c>
      <c r="C1372" t="inlineStr">
        <is>
          <t>I already shared this with the r/offmychest sub but I wanted to share here because it has been harming me for a while. Anyway...
I woke up at 4:30 in the morning to drive to the hospital. I waited in the little room for 30 minutes until they brought me back and had me get into a hospital gown. I waited for a little longer until a team came in. They explained to me the surgery and how the anesthesia was going to work. 
The nice nurse tried putting an IV in my arm but it wouldn’t go in right. I could only hear the little boy next to me screaming for water, as he was about to go into heart surgery. Another nurse said “I’m sorry it is so loud in here, I know it can be stressful when’s lot is going on”. All I could think about was that little boy, hoping everything would go well. So I said “it’s okay he is upset” as the nurse kept trying to get the IV in until a lot of blood came out. She finally got it in and the boy was still screaming and I started to get anxious. 
Then I feel this wave of weakness and my eyes go blurry and my mom says “I will see you when you wake up”. It wasn’t like the first surgery. The first one felt incredible, the sedative. This one felt scary. They brought me into the operating room and I remember being put on the table. A woman had me take deep breaths of oxygen and I went to sleep.
I woke up and couldn’t open my eyes. I couldn’t breathe well. The nurse kept the oxygen mask on my face to help me breathe. My brother and mom were there. My brother said “do you want dad to come in” and I slightly shook my head no. And he asked “do you want me to be here” and I shook my head no. He left I presume and I remember my leg would not stop shaking. It was so aggressive.
They took me into my room for the night and I remember crying because it hurt so bad and I had to take oxy for it. 
When I got home the next day I thought I was dying. My heart wouldn’t stop racing. I was shaking immensely and I thought I was going to be sick. Looking back I should have gone to the hospital.
And now I am left with a scar. A reminder of my experience with thyroid cancer. And the trauma it has caused me afterwards with treatment. I feel like my family and friends don’t understand what this experience was like for me. I need someone to talk to. I’m so emotionally drained and depressed and it’s hard to live with. I think I have PTSD.
TLDR: I had a great first experience with a partial thyroidectomy, and the second surgery to remove the other half of my thyroid was absolutely awful and has cause me emotional and mental pain today. I think I have developed PTSD from it.</t>
        </is>
      </c>
      <c r="D1372" t="n">
        <v>25</v>
      </c>
      <c r="E1372" t="n">
        <v>7</v>
      </c>
      <c r="F1372">
        <f>HYPERLINK("https://www.reddit.com/r/cancer/comments/b2z6el/i_needed_to_share/")</f>
        <v/>
      </c>
      <c r="G1372" t="inlineStr">
        <is>
          <t>2019-03-19 09:01:50</t>
        </is>
      </c>
      <c r="H1372" t="inlineStr"/>
    </row>
    <row r="1373">
      <c r="A1373" t="inlineStr">
        <is>
          <t>b31a32</t>
        </is>
      </c>
      <c r="B1373" t="inlineStr">
        <is>
          <t>Seeking Help for 16yo with Lung Cancer Living Abroad</t>
        </is>
      </c>
      <c r="C1373" t="inlineStr">
        <is>
          <t>Hi all,
My family friend's 16-year-old daughter was recently diagnosed with mucoepidermoid carcinoma of the lung with metastases (aka, stage 4 lung cancer). She was prescribed an immunotherapy called Keytruda, which costs about $7,400 per round, of which she is expected to need 3-10. The problem is, she lives in Ukraine, where the average income is about $200/month. As you can imagine, her family is utterly unable to afford her treatment.
My family and I have been trying to marshal every resource we can to get her help, but none of it seems to be working fast enough. I created a GoFundMe, we've reached out to countless charities and research hospitals, but so far our success has been limited. The girl's family can now afford her first round of immunotherapy, but it's unclear what will happen with the successive ones. 
My question is, do any of you wonderful folks have any advice for potential donors, treatment/research hospitals, charities, or anyone else who might be able to help? Really any and all input would be super appreciated. 
Thank you a ton in advance &amp;lt;3</t>
        </is>
      </c>
      <c r="D1373" t="n">
        <v>4</v>
      </c>
      <c r="E1373" t="n">
        <v>4</v>
      </c>
      <c r="F1373">
        <f>HYPERLINK("https://www.reddit.com/r/cancer/comments/b31a32/seeking_help_for_16yo_with_lung_cancer_living/")</f>
        <v/>
      </c>
      <c r="G1373" t="inlineStr">
        <is>
          <t>2019-03-19 11:54:50</t>
        </is>
      </c>
      <c r="H1373" t="inlineStr"/>
    </row>
    <row r="1374">
      <c r="A1374" t="inlineStr">
        <is>
          <t>b31eej</t>
        </is>
      </c>
      <c r="B1374" t="inlineStr">
        <is>
          <t>Before I was diag'd I was in agony and searching for answers. My toxic ex shamed me and called me a hypochondriac.</t>
        </is>
      </c>
      <c r="C1374" t="inlineStr">
        <is>
          <t>I was so vulnerable, and it still gives me so much anxiety. Along with other things she did, I'm having a really hard time getting over the cruelty she showed while also suffering greatly from my cancer, physically. I have an amazing gf now that is so supportive, but I'm still putting myself back together 4 years later. Being so vulnerable while having someone I loved essentially torturing me emotionally was such a terrible thing to overlap with my cancer. She's never apologized for it</t>
        </is>
      </c>
      <c r="D1374" t="n">
        <v>17</v>
      </c>
      <c r="E1374" t="n">
        <v>6</v>
      </c>
      <c r="F1374">
        <f>HYPERLINK("https://www.reddit.com/r/cancer/comments/b31eej/before_i_was_diagd_i_was_in_agony_and_searching/")</f>
        <v/>
      </c>
      <c r="G1374" t="inlineStr">
        <is>
          <t>2019-03-19 12:04:27</t>
        </is>
      </c>
      <c r="H1374" t="inlineStr"/>
    </row>
    <row r="1375">
      <c r="A1375" t="inlineStr">
        <is>
          <t>b31zj7</t>
        </is>
      </c>
      <c r="B1375" t="inlineStr">
        <is>
          <t>I wish I could see her one last time</t>
        </is>
      </c>
      <c r="C1375" t="inlineStr">
        <is>
          <t>My half sister died of cancer more than a year ago. She struggled with a rare type of cancer for like one year. I couldn't accept it, didn't want to accept it. On her last birthday I spent most of my time on my phone, playing stupid mobile games or talking to my niece. I missed that chance of spending time with my half sister. A few weeks later my father said he would go visit her in the hospital and asked if I wanted to go with him but I overslept. That was my last chance of ever seeing her and I just missed it.
I regret never telling her how much I loved her. I regret never thanking her for so many things. Now she's gone. She had a family, she had dreams, she wanted to live. I wish I could have died in her place. I want to see her again, be with her again. But I know that even if I die, I won't be with her again.</t>
        </is>
      </c>
      <c r="D1375" t="n">
        <v>10</v>
      </c>
      <c r="E1375" t="n">
        <v>7</v>
      </c>
      <c r="F1375">
        <f>HYPERLINK("https://www.reddit.com/r/cancer/comments/b31zj7/i_wish_i_could_see_her_one_last_time/")</f>
        <v/>
      </c>
      <c r="G1375" t="inlineStr">
        <is>
          <t>2019-03-19 12:51:55</t>
        </is>
      </c>
      <c r="H1375" t="inlineStr"/>
    </row>
    <row r="1376">
      <c r="A1376" t="inlineStr">
        <is>
          <t>b32srk</t>
        </is>
      </c>
      <c r="B1376" t="inlineStr">
        <is>
          <t>Job Interview Post Chemo</t>
        </is>
      </c>
      <c r="C1376" t="inlineStr">
        <is>
          <t xml:space="preserve">Hi All!
&amp;amp;#x200B;
So I finished chemo on Thursday and had a phone interview for a job this morning and just got a call from the managers assistant that they want to do an in person on the company campus tomorrow! Super short notice but I am excited! I took my last dose of steroids today so I am expecting tomorrow morning to be a bit rough but I wanted to ask the group for any advice to deal with some of the outward showing side effects of chemo for this. I do not want to look sick. With the steroids I have some color to my cheeks and I am hoping it lasts tomorrow. For my hair I have the like tiny whisps but am mostly bald. Is it a good idea to just go to the barber and shave it all off for tomorrow? I know in general that an employer can not ask if I am sick, but like I do not want to look sick if that makes sense. Especially around new strangers for a position I want. 
&amp;amp;#x200B;
Thoughts and advice? Thanks! </t>
        </is>
      </c>
      <c r="D1376" t="n">
        <v>16</v>
      </c>
      <c r="E1376" t="n">
        <v>9</v>
      </c>
      <c r="F1376">
        <f>HYPERLINK("https://www.reddit.com/r/cancer/comments/b32srk/job_interview_post_chemo/")</f>
        <v/>
      </c>
      <c r="G1376" t="inlineStr">
        <is>
          <t>2019-03-19 13:59:06</t>
        </is>
      </c>
      <c r="H1376" t="inlineStr"/>
    </row>
    <row r="1377">
      <c r="A1377" t="inlineStr">
        <is>
          <t>b337pq</t>
        </is>
      </c>
      <c r="B1377" t="inlineStr">
        <is>
          <t>A podcast about drug shortages and how they impact your health - interview opportunity</t>
        </is>
      </c>
      <c r="C1377" t="inlineStr">
        <is>
          <t>This was posted over at Savvy patient cooperative the other day and I thought it may be of interest to this group.
&amp;amp;#x200B;
&amp;gt;A podcaster is looking for guests for an upcoming narrative podcast on the impact of drug shortages. If you or someone you know have ever had to put off or alter treatment plans for lack of chemo drugs, suffered unnecessary pain on account of hospitals running out of fast-acting injectable opioids, or suffered from any illness or condition as the result of lack of drug shortages, we want to hear your story. The podcast will be formatted like a conversation— think of it as venting to a friend. Ideally this conversation will take place face-to-face, with some potential options for a remote interview available. If you'd like to share your story, take a look at some of the things we'll be talking about below and consider signing up. We need patient voices like yours on the airwaves!
&amp;amp;#x200B;
[https://my.savvy.coop/blog/article/478/Share-Your-Experience-with-Drug-Shortages-on-a-Podcast](https://my.savvy.coop/blog/article/478/Share-Your-Experience-with-Drug-Shortages-on-a-Podcast)</t>
        </is>
      </c>
      <c r="D1377" t="n">
        <v>12</v>
      </c>
      <c r="E1377" t="n">
        <v>0</v>
      </c>
      <c r="F1377">
        <f>HYPERLINK("https://www.reddit.com/r/cancer/comments/b337pq/a_podcast_about_drug_shortages_and_how_they/")</f>
        <v/>
      </c>
      <c r="G1377" t="inlineStr">
        <is>
          <t>2019-03-19 14:33:09</t>
        </is>
      </c>
      <c r="H1377" t="inlineStr"/>
    </row>
    <row r="1378">
      <c r="A1378" t="inlineStr">
        <is>
          <t>b33z72</t>
        </is>
      </c>
      <c r="B1378" t="inlineStr">
        <is>
          <t>How bad is chemo?</t>
        </is>
      </c>
      <c r="C1378" t="inlineStr">
        <is>
          <t xml:space="preserve">I was recently diagnosed with recurrent testicular cancer that's in one of my lymph nodes. Met with loads of doctors who all suggested various treatments and other tests. It came down to major surgery, or chemo. After some thinking and consulting my wife, chemo seems to be far and away the best course. But to be honest, it terrifies me. I feel silly, because it's only 3 or 4 rounds and the cure rate is above 97%. But I just always pictured chemo patients as frail and sick (Not to sound insensitive). I'm terrified that I'll be too sick to enjoy my summer, or watch my 3 month old daughter grow. My course would be cisplatin, bleomycin, and one other drug I can't remember. Is chemo as bad as it appears?  I know it isn't a cakewalk, but what can I expect? </t>
        </is>
      </c>
      <c r="D1378" t="n">
        <v>10</v>
      </c>
      <c r="E1378" t="n">
        <v>44</v>
      </c>
      <c r="F1378">
        <f>HYPERLINK("https://www.reddit.com/r/cancer/comments/b33z72/how_bad_is_chemo/")</f>
        <v/>
      </c>
      <c r="G1378" t="inlineStr">
        <is>
          <t>2019-03-19 15:36:10</t>
        </is>
      </c>
      <c r="H1378" t="inlineStr"/>
    </row>
    <row r="1379">
      <c r="A1379" t="inlineStr">
        <is>
          <t>b348yu</t>
        </is>
      </c>
      <c r="B1379" t="inlineStr">
        <is>
          <t>CA125 levels</t>
        </is>
      </c>
      <c r="C1379" t="inlineStr">
        <is>
          <t xml:space="preserve">Hi all. I am new to this thread. I am a 28F who recently found out I have a 8.5CM cyst on my right ovary. 
I had the CA125 test done and my levels came back at 400. I’ve been referred to an oncologist. I’ve been googling(worst idea) and I see a lot of numbers that are much high. Anyone has numbers around there that have come back with cancer? 
I’m very stressed about all of this.
Thanks in advance. </t>
        </is>
      </c>
      <c r="D1379" t="n">
        <v>8</v>
      </c>
      <c r="E1379" t="n">
        <v>7</v>
      </c>
      <c r="F1379">
        <f>HYPERLINK("https://www.reddit.com/r/cancer/comments/b348yu/ca125_levels/")</f>
        <v/>
      </c>
      <c r="G1379" t="inlineStr">
        <is>
          <t>2019-03-19 15:59:15</t>
        </is>
      </c>
      <c r="H1379" t="inlineStr"/>
    </row>
    <row r="1380">
      <c r="A1380" t="inlineStr">
        <is>
          <t>b34ou8</t>
        </is>
      </c>
      <c r="B1380" t="inlineStr">
        <is>
          <t>Lung nodules with pleural tags, sorry to ask this</t>
        </is>
      </c>
      <c r="C1380" t="inlineStr">
        <is>
          <t>First and foremost I apologize if this is the wrong spot to post this, but im a bit on edge. About 6 months ago I had to have a ct scan of my chest area because I was coughing up blood for no reason. Nothing abnormal just a 3mm nodule in my middle lobe. About 2 months ago I went to the dr because of heavy chest pressure and trouble breathing and occasionally spitting up some blood. Did a breathing test and they said they think mild asthma and put me on an inhaler. Finally saw a pulmonologist and he ordered a ct scan based on the prior knowledge of a nodule. Also did a sputum test which was negative and collected the blood from the spit (not sure why)
So i had the ct Friday. I missed a call from the dr Monday morning. I called back but we’ve been playing phone tag since. Just keep getting a message dr would like to speak to me. So thats got me a bit more on edge. 
Anyways I my wife works at the surgery (shes not a dr haha) department and was able to pull up the ct report. What she told me was this
A 4mm nodule with pleural tag in lower middle lobe ( that was the 3mm one last year, minus the pleural tag)
A 5mm nodule in upper middle lobe with pleural tag  (new)
A 2mm nodule with pleural tag in upper right lobe (new)
None of the nodules are calcified 
Thickening of bronchial wall with no evidence of bronchiostasis? 
A couple of Atypical lymph nodes along fissure wall?
Now ive been a 2 pack a day smoker for 18 years so im a bit concerned this could potentially be bad news even though they are extremely tiny. Also what the heck is a pleural tag?!
Sorry if im sounding paranoid about this but playing phone tag with the dr is nerve racking!! Thanks!
Ps: i threw the cigarettes away!</t>
        </is>
      </c>
      <c r="D1380" t="n">
        <v>8</v>
      </c>
      <c r="E1380" t="n">
        <v>4</v>
      </c>
      <c r="F1380">
        <f>HYPERLINK("https://www.reddit.com/r/cancer/comments/b34ou8/lung_nodules_with_pleural_tags_sorry_to_ask_this/")</f>
        <v/>
      </c>
      <c r="G1380" t="inlineStr">
        <is>
          <t>2019-03-19 16:38:53</t>
        </is>
      </c>
      <c r="H1380" t="inlineStr"/>
    </row>
    <row r="1381">
      <c r="A1381" t="inlineStr">
        <is>
          <t>b34qmr</t>
        </is>
      </c>
      <c r="B1381" t="inlineStr">
        <is>
          <t>Help orienting with Fathers diagnosis/surgeries - Sebaceous Cell Carcinoma</t>
        </is>
      </c>
      <c r="C1381" t="inlineStr">
        <is>
          <t>Hi r/cancer, not sure if this is the right place, if not please point me in the right direction.
&amp;amp;#x200B;
Hoping some of you might help orient me (36) with some of my thoughts concerns regarding the recent diagnosis and surgeries of my Father (74).  
Timeline:
* Three weeks ago, my Father was diagnosed with Sebaceous Cell Carcinoma of his left lower eyelid.  
* Two weeks ago they removed a quarter inch portion of his lower eyelid where a 2mm x 4 mm lump resided. The eye itself was cleared of any cancer.
* Last week, they found spread into more of his lower eyelid, and scheduled him for surgery where they removed the rest of his eyelid and a lot of tissue around his eye-socket.  He says he looks like the Terminator. 
* Today they found more spread into his temple/cheek region, and have scheduled him for more surgery on Thursday.  
Symptoms had been presenting for over 6 months, but were initially misdiagnosed as blepharitis.  Though he has indicated having an irritation in his eyelid for 10 years.  
I just found this last part out about 30 minutes ago and I'm still in shock.
A bonus kicker is that he lost his mom a week ago, after he lost his dad on xmas eve a few months ago.
&amp;amp;#x200B;
Not sure what the margins are here, or really what to do.  I live across the country, and am wondering if I need to haul ass back home now, or see what happens after Thursday or the biopsies thereafter.  
Help?
&amp;amp;#x200B;</t>
        </is>
      </c>
      <c r="D1381" t="n">
        <v>6</v>
      </c>
      <c r="E1381" t="n">
        <v>1</v>
      </c>
      <c r="F1381">
        <f>HYPERLINK("https://www.reddit.com/r/cancer/comments/b34qmr/help_orienting_with_fathers_diagnosissurgeries/")</f>
        <v/>
      </c>
      <c r="G1381" t="inlineStr">
        <is>
          <t>2019-03-19 16:43:15</t>
        </is>
      </c>
      <c r="H1381" t="inlineStr"/>
    </row>
    <row r="1382">
      <c r="A1382" t="inlineStr">
        <is>
          <t>b367rr</t>
        </is>
      </c>
      <c r="B1382" t="inlineStr">
        <is>
          <t>Severe Nail Care after Chemo</t>
        </is>
      </c>
      <c r="C1382" t="inlineStr">
        <is>
          <t xml:space="preserve">Hey everyone,
I hope this is the right place to post this...
I am taking care of my mother, who has Metastatic Breast Cancer. Most of my time is spent making her comfortable. One of her issues involves the state of her finger and toenails. They are in quite terrible condition and I am wondering if anyone has been through something similar. 
Here is a [photo](https://imgur.com/a/aJFEcun), FYI some might find this graphic. There is dried blood and fungus lifting the nails up from the skin. She is also experiencing bloating from Lymphedema, which is why her leg is wrapped.
Can anyone recommend any tips or ways to sooth the nails and skin (besides removal...)? I am only interested in making her more comfortable in any way I can. For now, I have gotten her slip on shoes and wide brimmed socks. Thank you in advance. 
</t>
        </is>
      </c>
      <c r="D1382" t="n">
        <v>3</v>
      </c>
      <c r="E1382" t="n">
        <v>6</v>
      </c>
      <c r="F1382">
        <f>HYPERLINK("https://www.reddit.com/r/cancer/comments/b367rr/severe_nail_care_after_chemo/")</f>
        <v/>
      </c>
      <c r="G1382" t="inlineStr">
        <is>
          <t>2019-03-19 19:04:26</t>
        </is>
      </c>
      <c r="H1382" t="inlineStr"/>
    </row>
    <row r="1383">
      <c r="A1383" t="inlineStr">
        <is>
          <t>b369po</t>
        </is>
      </c>
      <c r="B1383" t="inlineStr">
        <is>
          <t>Lost my mom to cancer, missing her dearly</t>
        </is>
      </c>
      <c r="C1383" t="inlineStr">
        <is>
          <t xml:space="preserve">My mother passed away late 2017, and I have found that this sub has helped me cope through the kinds words of some of you.  I’ve been having such a hard time lately with her death, and I kind of just want someone to talk to who can relate to me.  My mother survived cancer three times, but on her fourth time she wasn’t so lucky. She was my best friend and I miss her every single day. </t>
        </is>
      </c>
      <c r="D1383" t="n">
        <v>58</v>
      </c>
      <c r="E1383" t="n">
        <v>6</v>
      </c>
      <c r="F1383">
        <f>HYPERLINK("https://www.reddit.com/r/cancer/comments/b369po/lost_my_mom_to_cancer_missing_her_dearly/")</f>
        <v/>
      </c>
      <c r="G1383" t="inlineStr">
        <is>
          <t>2019-03-19 19:09:40</t>
        </is>
      </c>
      <c r="H1383" t="inlineStr"/>
    </row>
    <row r="1384">
      <c r="A1384" t="inlineStr">
        <is>
          <t>b371wa</t>
        </is>
      </c>
      <c r="B1384" t="inlineStr">
        <is>
          <t>Physical changes due to chemo</t>
        </is>
      </c>
      <c r="C1384" t="inlineStr">
        <is>
          <t xml:space="preserve">I was diagnosed with stage 3 ovarian cancer on June 4th 2017. I’ve been on chemo the entire time, just shy of two years.  I am finally considered NED.  
I knew going in my hair would fall out, I’d gain/lose weight, I’d have multiple scars, I would be in pain, I’d be fatigued and I’d even throw up a lot.  But what I didn’t realize would happen would be the drastic change in my facial features.  My eyelashes and eyebrows fell out along with all of the other hair on my body.   My eyebrows are back, but not very thick like they were and they are lighter. My eyelashes have barely grown back and they curl every which way.  My skin is paler due to not being able to be in the sunlight much.  The hair on my head used to be down to my butt and a pretty straight  dark brown with a little salt in it. But now it is extremely curly, and all grey.  My fave is moon shaped from all of the steroids.  I am hardly recognized by anyone anymore. I was at subway tonight and my cousin was there. She didn’t recognize me.  
Because of this, my social anxiety has gotten so much worse. I HATE leaving the house.  I HATE looking in the mirror and not seeing me, i see cancer me.  Will my fave ever return to normal? Ugh. The things I wish people would have told me. </t>
        </is>
      </c>
      <c r="D1384" t="n">
        <v>4</v>
      </c>
      <c r="E1384" t="n">
        <v>5</v>
      </c>
      <c r="F1384">
        <f>HYPERLINK("https://www.reddit.com/r/cancer/comments/b371wa/physical_changes_due_to_chemo/")</f>
        <v/>
      </c>
      <c r="G1384" t="inlineStr">
        <is>
          <t>2019-03-19 20:28:48</t>
        </is>
      </c>
      <c r="H1384" t="inlineStr"/>
    </row>
    <row r="1385">
      <c r="A1385" t="inlineStr">
        <is>
          <t>b3747c</t>
        </is>
      </c>
      <c r="B1385" t="inlineStr">
        <is>
          <t>My appointment is in April to see if the signs really do point to cancer, but the symptoms are getting worse by the day and I'm getting worried. Looking for advice on how to get prepared.</t>
        </is>
      </c>
      <c r="C1385" t="inlineStr">
        <is>
          <t>Hello. I am an 18 year old female. I have never posted here before.  I'm expecting a doctors appointment in mid-april to see an endocrinologist. I have had swollen lymph nodes under my armpits for around 7-8 years now but brushed it off since it was a norm to me. They've always been swollen, never went away.  When my family noticed this a couple weeks back,  they recommended I make an appointment.  Since then, I noticed my lymph nodes behind my neck are swollen as well, Ive gone to the derma and been diagnosed with psoriasis, I just came down with an awful sickness with a horrible cough and my knees... oh my god my knees hurt.  The knee pain arrived from nowhere and its a pain I know isnt from my work. Ive never felt this knee pain before. I am also extremely skinny and cant seem to get my weight up despite me trying to pig out lately and have hot sweats at night.  It seems within the past couple weeks everything has just been going downhill quickly amd im just waiting for whatever pain will arise next. 
&amp;amp;#x200B;
Is this normal? Has anyone else experienced a sudden onset of symptoms all at once like this? (Aside from the swollen lymph nodes ive had for years.) 
&amp;amp;#x200B;
I am debating on just going into the emergency room because i just feel like a wreck, or if I should wait the 3 more weeks for my doctors appointment... but I just don't know how I should prepare in case for the worst. If anyone could give me some advice for some useful mindsets or exercises I would appreciate it.</t>
        </is>
      </c>
      <c r="D1385" t="n">
        <v>0</v>
      </c>
      <c r="E1385" t="n">
        <v>4</v>
      </c>
      <c r="F1385">
        <f>HYPERLINK("https://www.reddit.com/r/cancer/comments/b3747c/my_appointment_is_in_april_to_see_if_the_signs/")</f>
        <v/>
      </c>
      <c r="G1385" t="inlineStr">
        <is>
          <t>2019-03-19 20:35:31</t>
        </is>
      </c>
      <c r="H1385" t="inlineStr"/>
    </row>
    <row r="1386">
      <c r="A1386" t="inlineStr">
        <is>
          <t>b37cr9</t>
        </is>
      </c>
      <c r="B1386" t="inlineStr">
        <is>
          <t>Not asking if this is cancer, just curious to see if anyone else has had similar things happen</t>
        </is>
      </c>
      <c r="C1386" t="inlineStr">
        <is>
          <t xml:space="preserve"> 
I'm a 21 year old male.
20 days ago I started feeling pain in the lower right part of my throat right above my collarbone. Halfway through the week I noticed a lump was there and made an appointment with my doctor. Doctor sent me for an ultrasound and found some calcium build up in that area but couldn't make out what exactly it was, so I was sent for a CT scan. The CT scan showed a 3cm hard, fluid-less tumor. It seems to be near a lymph node, muscle and blood vessels. Apparently the tumor also has a couple of "legs" (blood vessels, I guess?) and my doctor thought it could very well be cancer but wasn't sure so she referred me to Vanderbilt so they could handle it. The CT scan also showed a slightly swollen lymph node near the middle of my neck and then one towards the top of my chest but my doctor at Vandy didn't seem to think much of it.
&amp;amp;#x200B;
That was 12 days ago. This past Friday I had a fine needle biopsy done on the lump and got the results back yesterday. Apparently cancer wasn't detected and bacteria wasn't either but I did see something about 2+ polys (idk what that means). The test was essentially inconclusive but whatever it was it looked "infectious" and "something on the uncommon side", according to my doctor.
&amp;amp;#x200B;
My doctor was going to prescribe me Augmentin but since I am allergic I was prescribed Clindamycin. He wants to try me on that for a week and see if it helps. However, the day after the biopsy was done I have started experiencing slight pain right under my adam's apple when I yawn or look down. Seems like there is a lump there too. I let my doctor know this yesterday but he still wants to go through with the antibiotic for a week to see if anything changes.
&amp;amp;#x200B;
I don't really notice any other symptoms. I think my mouth has been a bit more dry as of late but nothing crazy. I was pretty worried early on but started to get over it until this other lump showed up. Wouldn't the CT scan from just over a week ago have detected this new lump? I feel like I should be relieved that they didn't find anything malignant but I'm also worried that maybe they missed it or didn't get a proper reading. I have all the trust in the world in this hospital but my nerves are getting the best of me. Sorry if this is kind of all over the place. I'm not really sure what I am asking here besides has anyone had a similar thing happen to them? I was initially worried about lymphoma but now I am worried about my thyroid because of this new lump. </t>
        </is>
      </c>
      <c r="D1386" t="n">
        <v>0</v>
      </c>
      <c r="E1386" t="n">
        <v>3</v>
      </c>
      <c r="F1386">
        <f>HYPERLINK("https://www.reddit.com/r/cancer/comments/b37cr9/not_asking_if_this_is_cancer_just_curious_to_see/")</f>
        <v/>
      </c>
      <c r="G1386" t="inlineStr">
        <is>
          <t>2019-03-19 21:01:14</t>
        </is>
      </c>
      <c r="H1386" t="inlineStr"/>
    </row>
    <row r="1387">
      <c r="A1387" t="inlineStr">
        <is>
          <t>b388ut</t>
        </is>
      </c>
      <c r="B1387" t="inlineStr">
        <is>
          <t>my father passed away a month ago</t>
        </is>
      </c>
      <c r="C1387" t="inlineStr">
        <is>
          <t xml:space="preserve">My dad passed away on February 16 a day before my birthday from stage 4 pancreatic cancer. He was diagnosed in 2016. 
I thought this day was just another visit. But when I got there my dad wasn't in good condition.. he had an oxygen tank. He couldnt talk anymore. Our whole family was there by his bed at the hospice care. 
I just remember throughout the day I would tell him how much I loved him and I thanked him for everything. That I would make him proud. We would just stare at each other and I would hear him say he loved me back. 
The whole day I would feel him and his hands would feel cold. His blood pressure and oxygen levels weren't stable..  The nurse was telling us how he is actively dying.. she couldn't read any blood pressure anymore. 
 my dad was a fighter. We were there from 11am-7:20. My dad finally went to sleep at 7:05 PM and it was right after the pastor came and said a prayer. I still can't get the last image I had of him and how much he was suffering. The feeling of coldness.. 
From this day on, I can't help but think that I didn't say enough to him. There was a time when I was just alone with him and he was trying to point at something for me to get.. I think it was his sunglasses but I never took it with me.. I regret it and I really wish there wasn't a letter that he wrote for me in the sunglasses case..I miss him a lot.. 
The night before his viewing, he was in his dreams. I remember my dream clearly. Because I was getting a phone call and in my dream..I looked at my phone and it was ringing. It was my dad calling. I answered it and I heard him. He said hi and then I woke up from my dream.. it felt so real..
It doesn't get any easier. I would give anything in the world to hear his voice again.. 
</t>
        </is>
      </c>
      <c r="D1387" t="n">
        <v>19</v>
      </c>
      <c r="E1387" t="n">
        <v>4</v>
      </c>
      <c r="F1387">
        <f>HYPERLINK("https://www.reddit.com/r/cancer/comments/b388ut/my_father_passed_away_a_month_ago/")</f>
        <v/>
      </c>
      <c r="G1387" t="inlineStr">
        <is>
          <t>2019-03-19 22:46:18</t>
        </is>
      </c>
      <c r="H1387" t="inlineStr"/>
    </row>
    <row r="1388">
      <c r="A1388" t="inlineStr">
        <is>
          <t>b3b55l</t>
        </is>
      </c>
      <c r="B1388" t="inlineStr">
        <is>
          <t>Fuss</t>
        </is>
      </c>
      <c r="C1388" t="inlineStr">
        <is>
          <t xml:space="preserve">The ignorance surrounding cancer really gets to me sometimes. 
My youngest son and I have been having a lot of turmoil and he went to live with dad-lots of issues, but it basically boils down to I will *not* be disrespected in my home- 3 kids total.
His little girlfriend (they are both 17) thinks I should have done more during cancer treatment. I should have cooked more, done more overall. I shouldn't have 'laid' around so much. GAH!!!!
I know it shouldn't bother me, but situational context is feeding my anger on this one.
</t>
        </is>
      </c>
      <c r="D1388" t="n">
        <v>47</v>
      </c>
      <c r="E1388" t="n">
        <v>26</v>
      </c>
      <c r="F1388">
        <f>HYPERLINK("https://www.reddit.com/r/cancer/comments/b3b55l/fuss/")</f>
        <v/>
      </c>
      <c r="G1388" t="inlineStr">
        <is>
          <t>2019-03-20 05:01:23</t>
        </is>
      </c>
      <c r="H1388" t="inlineStr"/>
    </row>
    <row r="1389">
      <c r="A1389" t="inlineStr">
        <is>
          <t>b3d7iu</t>
        </is>
      </c>
      <c r="B1389" t="inlineStr">
        <is>
          <t>Seeking advice: supporting a friend who has been diagnosed with thyroid cancer</t>
        </is>
      </c>
      <c r="C1389" t="inlineStr">
        <is>
          <t>Hey reddit,
I'm looking for some ideas. What would people who are experiencing thyroid cancer and thyroid removal really appreciate during their recover? My closest and oldest friend has recently been diagnosed and will go for surgery soon. I want to to support her the best I can while living 1300 kms away! I want to send her a care package and I'm looking for ideas to include. Thanks for any input &amp;lt;3</t>
        </is>
      </c>
      <c r="D1389" t="n">
        <v>14</v>
      </c>
      <c r="E1389" t="n">
        <v>8</v>
      </c>
      <c r="F1389">
        <f>HYPERLINK("https://www.reddit.com/r/cancer/comments/b3d7iu/seeking_advice_supporting_a_friend_who_has_been/")</f>
        <v/>
      </c>
      <c r="G1389" t="inlineStr">
        <is>
          <t>2019-03-20 08:14:29</t>
        </is>
      </c>
      <c r="H1389" t="inlineStr"/>
    </row>
    <row r="1390">
      <c r="A1390" t="inlineStr">
        <is>
          <t>b3e4t6</t>
        </is>
      </c>
      <c r="B1390" t="inlineStr">
        <is>
          <t>Seeing a doctor but hoping to hear some real life experiences and point of views.</t>
        </is>
      </c>
      <c r="C1390" t="inlineStr">
        <is>
          <t>I read the “Is this Cancer?” post by an admin, so I want to clarify that I am currently seeing a doctor and waiting on tests to be approved through insurance, and test results and such. 
I will be happy to move or remove this post if it doesn’t fit the bill here.
To start, I’m a 27 year old female, and heavy tobacco user on and off for most of nearly 15 years now. I developed GERD at age 12 or 13, and have dealt with that on and off untreated for years until recently. Some time last year my GERD symptoms got dramatically worse, I would vomit bile and a little of whatever last nights dinner was. I’d feel better after but the stomach pain was still there. Que nausea and absolutely no appetite but I still managed to eat enough, mostly in the evenings after work. About October or November of last year I hopped on a scale and found out that I’d lost about 10lbs. Not unusual for me but I kept an eye on it. I work in construction as an ironworker, so I figured I’d just worked off some body fat. A few months later, this January or so, I scored an awesome job that came with an opportunity to gain more muscle mass and experience. I was stoked! Knowing my body, and capabilities I should’ve gained weight and muscle mass during this job like I normally do. This time however I lost a considerable amount of muscle mass, which brought my total weight loss to over 20lbs in 6 months or so. It didn’t matter how much I ate. I ended up smaller and thinner than I was before I had my daughter, and my body now looks like it did when I was a heavy meth user (10 years clean from it now) just with a couple few pounds more of muscle mass. Pair that with the horrible night sweats that started about 8 months ago maybe, and now I’m finally seeing a doctor. I still have no appetite whatsoever, and now I have the issue of food getting stuck in my throat, and occasionally trouble swallowing (almost like my muscles spaz and just don’t want to work to swallow).
All my blood tests so far have come back normal including thyroid, h. Pylori negative too. I’m waiting on some other blood test results for hormones and other things to rule out, and I have an endoscopy scheduled for May 9th (can’t get anything sooner with my crap insurance) I’ve been out of work for fear of losing more weight, and also because now I’m not even strong enough to DO my job. Unfortunately I can’t be out of work while I’m waiting for that endoscopy, or I’m going to end up homeless, so I’m looking for answers everywhere in the meantime. Also if I have an income, I’ll lose my insurance. 
I’ve managed to gain a couple pounds by eating over 3k in calories every day, but I’m still nowhere near my goal weight. I eat a relatively decent diet for a normal person. I eat a lot of eggs, grains, veggies and real fruit popsicles, and I go through butter like Paula Deen which I know is bad for my GERD but I need to gain. 
What I want to know, is if anyone else experienced something similar. 
When you lost weight, was it body fat or muscle? Both? Does it matter? Were you able to gain weight at all? Did your night sweats ever take a break? Did you have night sweats with or without a fever? How did you feel after you ate? I know it’s different for everyone so I’m looking for personal experiences. The kind of info that you don’t get from the doctor.
Sorry for the short novel.
TDLR: over 20lbs weight loss in 6 months, night sweats, muscle loss and fatigue, heavy tobacco user seeing a doctor, looking for personal experiences with this.</t>
        </is>
      </c>
      <c r="D1390" t="n">
        <v>1</v>
      </c>
      <c r="E1390" t="n">
        <v>1</v>
      </c>
      <c r="F1390">
        <f>HYPERLINK("https://www.reddit.com/r/cancer/comments/b3e4t6/seeing_a_doctor_but_hoping_to_hear_some_real_life/")</f>
        <v/>
      </c>
      <c r="G1390" t="inlineStr">
        <is>
          <t>2019-03-20 09:32:17</t>
        </is>
      </c>
      <c r="H1390" t="inlineStr"/>
    </row>
    <row r="1391">
      <c r="A1391" t="inlineStr">
        <is>
          <t>b3ewr8</t>
        </is>
      </c>
      <c r="B1391" t="inlineStr">
        <is>
          <t>Anyone in British Columbia able to provide guidance on getting a second opinion for recurrent endometrial cancer?</t>
        </is>
      </c>
      <c r="C1391" t="inlineStr">
        <is>
          <t xml:space="preserve">Basically feeling a little blindsided by the situation. My grandmother was diagnosed last year with Endometrial Cancer, Stage 1. Underwent hysterectomy and 3 rounds radiation. The cancer is back in her pelvic lymph node and Oncologist are saying its inoperable and chemo will be started right away.  
Is there a way to get a second opinion here? These oncologists haven't done a biopsy, they are going off of a CT scan. It's a large mass, 6cm. And they are very certain its cancer. </t>
        </is>
      </c>
      <c r="D1391" t="n">
        <v>4</v>
      </c>
      <c r="E1391" t="n">
        <v>10</v>
      </c>
      <c r="F1391">
        <f>HYPERLINK("https://www.reddit.com/r/cancer/comments/b3ewr8/anyone_in_british_columbia_able_to_provide/")</f>
        <v/>
      </c>
      <c r="G1391" t="inlineStr">
        <is>
          <t>2019-03-20 10:36:56</t>
        </is>
      </c>
      <c r="H1391" t="inlineStr"/>
    </row>
    <row r="1392">
      <c r="A1392" t="inlineStr">
        <is>
          <t>b3fzns</t>
        </is>
      </c>
      <c r="B1392" t="inlineStr">
        <is>
          <t>Now that spring is here in the Northern Hemisphere...</t>
        </is>
      </c>
      <c r="C1392" t="inlineStr">
        <is>
          <t xml:space="preserve">Spring is here and we're starting to see more sunshine! This is great but *please* remember to put on sunscreen! Living in the Pacific Northwest and seeing the sun only occasionally, I thought I had nothing to worry about. Boy was I wrong!    
Enjoy your time outside but be mindful of just how harmful the sun's rays can be. Although applying sunscreen is often a hassle, it's worth it. See that you and your families stay safe while enjoying the beautiful weather! And hey, maybe it's time you got a skin exam too. :) 
</t>
        </is>
      </c>
      <c r="D1392" t="n">
        <v>13</v>
      </c>
      <c r="E1392" t="n">
        <v>2</v>
      </c>
      <c r="F1392">
        <f>HYPERLINK("https://www.reddit.com/r/cancer/comments/b3fzns/now_that_spring_is_here_in_the_northern_hemisphere/")</f>
        <v/>
      </c>
      <c r="G1392" t="inlineStr">
        <is>
          <t>2019-03-20 12:06:17</t>
        </is>
      </c>
      <c r="H1392" t="inlineStr"/>
    </row>
    <row r="1393">
      <c r="A1393" t="inlineStr">
        <is>
          <t>b3gv5d</t>
        </is>
      </c>
      <c r="B1393" t="inlineStr">
        <is>
          <t>My dad entered hospice care today</t>
        </is>
      </c>
      <c r="C1393" t="inlineStr">
        <is>
          <t>Early February 2018, he was diagnosed with stage 1B pancreatic cancer. He fought for so long and put his body through the ringer to try to buy more time...but it’s over.  December 2018, it was found in his liver and now it’s overtaking it. He stopped eating almost a week ago and he’s on pain meds constantly that make him sleep. 
I’ve been his main caregiver this entire time and it’s kept me busy. I feel almost in shock knowing what’s to come and that he’s never gonna be okay again. I feel guilty that I think it will also come as a relief. 
My dad’s been a large support for me...and even though I’ve gained a few gray hairs over this past year, I’m glad I was able to do as much as possible for him.</t>
        </is>
      </c>
      <c r="D1393" t="n">
        <v>49</v>
      </c>
      <c r="E1393" t="n">
        <v>18</v>
      </c>
      <c r="F1393">
        <f>HYPERLINK("https://www.reddit.com/r/cancer/comments/b3gv5d/my_dad_entered_hospice_care_today/")</f>
        <v/>
      </c>
      <c r="G1393" t="inlineStr">
        <is>
          <t>2019-03-20 13:18:38</t>
        </is>
      </c>
      <c r="H1393" t="inlineStr"/>
    </row>
    <row r="1394">
      <c r="A1394" t="inlineStr">
        <is>
          <t>b3h5ny</t>
        </is>
      </c>
      <c r="B1394" t="inlineStr">
        <is>
          <t>States That Don't Allow Medical Marijuana Are Really Missing the Point</t>
        </is>
      </c>
      <c r="C1394" t="inlineStr">
        <is>
          <t xml:space="preserve">My dad was diagnosed with stage IV pancreatic cancer 6 weeks ago. He's been sober for 20 years, but upon his diagnosis, his nausea from the Folfirinox was so bad that he decided to try medical marijuana. We live in VA...and it's illegal. Thankfully, we have friends around the country who have sent us some stuff. While he still is in a lot of pain, one gummy bear helps a lot, and the only side effects are being a little loopy/happy, and hunger. What a blessing of a plant marijuana is, and I really hope VA catches up soon, so doctors can actually prescribe this stuff. </t>
        </is>
      </c>
      <c r="D1394" t="n">
        <v>93</v>
      </c>
      <c r="E1394" t="n">
        <v>17</v>
      </c>
      <c r="F1394">
        <f>HYPERLINK("https://www.reddit.com/r/cancer/comments/b3h5ny/states_that_dont_allow_medical_marijuana_are/")</f>
        <v/>
      </c>
      <c r="G1394" t="inlineStr">
        <is>
          <t>2019-03-20 13:42:12</t>
        </is>
      </c>
      <c r="H1394" t="inlineStr"/>
    </row>
    <row r="1395">
      <c r="A1395" t="inlineStr">
        <is>
          <t>b3hnf3</t>
        </is>
      </c>
      <c r="B1395" t="inlineStr">
        <is>
          <t>Does metastatic cancer ever just...not spread?</t>
        </is>
      </c>
      <c r="C1395" t="inlineStr">
        <is>
          <t>A quick background on our situation. My partner (30F) was experiencing numbness in her legs and arms. An MRI scan showed a lesion in her vertebrae as small lesions in her brain. The doctors advised us it was very likely metastatic cancer, although they were unsure what the primary was (if there was one at this point).
Due to location and size, they decided that a biopsy would be a bad idea, but wanted to proceees with radiation on her spine. Prior to the radiation, she was put on a steroid which cleared her symptoms entirely. She then received a short course of radiation. That was three months ago.
Today we received her most recent MRI results and they were all very good. The lesion on the spine had, in the doctors words, almost melted into nothing. The lesions on the brain had either shown some improvements or have stayed the same.
Initially, the doctors told us that we were looking at months rather than years. But today my partner is entirely symptom free and the scans are looking somewhat promising.
Is this very rare for metastatic cancer to behave this way? Since we have no biopsy and confirmation of cancer, can I maybe be a bit hopeful that it could be inflammatory rather than cancerous? I’m feeling very joyful today and it’s feeling like a big win, but my hopes have now opened up to the potential of maybe beating this? I don’t know. 
If anybody has any thoughts on the matter id be so happy to hear them.</t>
        </is>
      </c>
      <c r="D1395" t="n">
        <v>11</v>
      </c>
      <c r="E1395" t="n">
        <v>17</v>
      </c>
      <c r="F1395">
        <f>HYPERLINK("https://www.reddit.com/r/cancer/comments/b3hnf3/does_metastatic_cancer_ever_justnot_spread/")</f>
        <v/>
      </c>
      <c r="G1395" t="inlineStr">
        <is>
          <t>2019-03-20 14:22:03</t>
        </is>
      </c>
      <c r="H1395" t="inlineStr"/>
    </row>
    <row r="1396">
      <c r="A1396" t="inlineStr">
        <is>
          <t>b3i9bm</t>
        </is>
      </c>
      <c r="B1396" t="inlineStr">
        <is>
          <t>How do people die from cancer?</t>
        </is>
      </c>
      <c r="C1396" t="inlineStr">
        <is>
          <t xml:space="preserve">Like just don’t get cancer </t>
        </is>
      </c>
      <c r="D1396" t="n">
        <v>0</v>
      </c>
      <c r="E1396" t="n">
        <v>4</v>
      </c>
      <c r="F1396">
        <f>HYPERLINK("https://www.reddit.com/r/cancer/comments/b3i9bm/how_do_people_die_from_cancer/")</f>
        <v/>
      </c>
      <c r="G1396" t="inlineStr">
        <is>
          <t>2019-03-20 15:12:15</t>
        </is>
      </c>
      <c r="H1396" t="inlineStr"/>
    </row>
    <row r="1397">
      <c r="A1397" t="inlineStr">
        <is>
          <t>b3idxg</t>
        </is>
      </c>
      <c r="B1397" t="inlineStr">
        <is>
          <t>My charity walk</t>
        </is>
      </c>
      <c r="C1397" t="inlineStr">
        <is>
          <t>A few weeks ago my 2 friends and I decided to hold a large charity event. 
As we spoke more about it we decided to walk all the way from receipt or village south of Bristol to Wembley stadium in London. 
The journey is 110 miles and we estimate a 5 day walk, 11 hours a day. 
It would mean the world to us and so many others if you could donate. We are only kids (16) and yet we have lost so much to the hands of cancer.
Any sized donation will help. Thank you all.
https://fundraise.cancerresearchuk.org/page/samuels-giving-page-78</t>
        </is>
      </c>
      <c r="D1397" t="n">
        <v>1</v>
      </c>
      <c r="E1397" t="n">
        <v>0</v>
      </c>
      <c r="F1397">
        <f>HYPERLINK("https://www.reddit.com/r/cancer/comments/b3idxg/my_charity_walk/")</f>
        <v/>
      </c>
      <c r="G1397" t="inlineStr">
        <is>
          <t>2019-03-20 15:22:51</t>
        </is>
      </c>
      <c r="H1397" t="inlineStr"/>
    </row>
    <row r="1398">
      <c r="A1398" t="inlineStr">
        <is>
          <t>b3immd</t>
        </is>
      </c>
      <c r="B1398" t="inlineStr">
        <is>
          <t>Insight about chemo</t>
        </is>
      </c>
      <c r="C1398" t="inlineStr">
        <is>
          <t xml:space="preserve">Took me a while to really come to terms with it, but my mom has colon cancer that has spread to her liver and her lungs. Her first chemo treatment was on Monday and they sent her home with a pack that kept the chemo going until today. She got it removed today and will go back in two weeks for her next treatment. She’s experiencing a lot of body aches, but no nausea. She doesn’t have an appetite and is very weak. 
I’ve never been around anyone who has had chemo treatments so I’m not sure what to expect. My friends have had family who went through this but their cancers were very treatable and are in full remission. The doctors say my mom will never be in remission but that the pills after chemo will continue to treat her. If anyone has any insight or any stories to make me feel better it would be very appreciated. I know everyone takes to chemo differently, but if someone went through something similar it would make me feel a little better!!
Also a little more background on her situation: she has a colostomy bag as well so she’s dealing with a lot of different things. There was no signs to her having cancer, it was very shocking and hard to deal with at first, but I’m being very positive for her and trying to keep her mentally in a good place. </t>
        </is>
      </c>
      <c r="D1398" t="n">
        <v>10</v>
      </c>
      <c r="E1398" t="n">
        <v>8</v>
      </c>
      <c r="F1398">
        <f>HYPERLINK("https://www.reddit.com/r/cancer/comments/b3immd/insight_about_chemo/")</f>
        <v/>
      </c>
      <c r="G1398" t="inlineStr">
        <is>
          <t>2019-03-20 15:43:38</t>
        </is>
      </c>
      <c r="H1398" t="inlineStr"/>
    </row>
    <row r="1399">
      <c r="A1399" t="inlineStr">
        <is>
          <t>b3itox</t>
        </is>
      </c>
      <c r="B1399" t="inlineStr">
        <is>
          <t>What is Induction Chemotherapy?</t>
        </is>
      </c>
      <c r="C1399" t="inlineStr">
        <is>
          <t>I've had a reoccurrence of lymphoma, and my Dr. said I need to start with induction chemo, but I can't find a good explanation for what it is and how it works.  All I know is it's given over five days.</t>
        </is>
      </c>
      <c r="D1399" t="n">
        <v>4</v>
      </c>
      <c r="E1399" t="n">
        <v>8</v>
      </c>
      <c r="F1399">
        <f>HYPERLINK("https://www.reddit.com/r/cancer/comments/b3itox/what_is_induction_chemotherapy/")</f>
        <v/>
      </c>
      <c r="G1399" t="inlineStr">
        <is>
          <t>2019-03-20 16:00:43</t>
        </is>
      </c>
      <c r="H1399" t="inlineStr"/>
    </row>
    <row r="1400">
      <c r="A1400" t="inlineStr">
        <is>
          <t>b3jtvj</t>
        </is>
      </c>
      <c r="B1400" t="inlineStr">
        <is>
          <t>How to cope with estranged people in my life reaching out because they found out?</t>
        </is>
      </c>
      <c r="C1400" t="inlineStr">
        <is>
          <t>I feel like I should be thankful for all the people reaching out to me since my dad was given less than a year to live. But for some reason I'm starting to get angry and resentful towards them for not being there the previous 10 years we've been dealing with this. Am I an asshole?</t>
        </is>
      </c>
      <c r="D1400" t="n">
        <v>21</v>
      </c>
      <c r="E1400" t="n">
        <v>15</v>
      </c>
      <c r="F1400">
        <f>HYPERLINK("https://www.reddit.com/r/cancer/comments/b3jtvj/how_to_cope_with_estranged_people_in_my_life/")</f>
        <v/>
      </c>
      <c r="G1400" t="inlineStr">
        <is>
          <t>2019-03-20 17:30:57</t>
        </is>
      </c>
      <c r="H1400" t="inlineStr"/>
    </row>
    <row r="1401">
      <c r="A1401" t="inlineStr">
        <is>
          <t>b3k223</t>
        </is>
      </c>
      <c r="B1401" t="inlineStr">
        <is>
          <t>I’m a 27yr old non-disabled brain cancer patient on chemotherapy treatment. I can not afford to go unemployed or underemployed through my 12 month chemo cycle. I live in a state where med marijuana is not legal, but CBD is legal. What can I do when it comes to taking new employee drug tests?</t>
        </is>
      </c>
      <c r="C1401" t="inlineStr">
        <is>
          <t>I am in a debacle on how to handle employers who require drug tests/screens for new employees. I have heard CBD products can make me test positive for cannabis. Also, THC is a better product for me when it comes to increasing appetite and managing side effects.
So, what’s the deal with how private companies manage cannabis drug screens nowadays?</t>
        </is>
      </c>
      <c r="D1401" t="n">
        <v>8</v>
      </c>
      <c r="E1401" t="n">
        <v>13</v>
      </c>
      <c r="F1401">
        <f>HYPERLINK("https://www.reddit.com/r/cancer/comments/b3k223/im_a_27yr_old_nondisabled_brain_cancer_patient_on/")</f>
        <v/>
      </c>
      <c r="G1401" t="inlineStr">
        <is>
          <t>2019-03-20 17:52:39</t>
        </is>
      </c>
      <c r="H1401" t="inlineStr"/>
    </row>
    <row r="1402">
      <c r="A1402" t="inlineStr">
        <is>
          <t>b3k33g</t>
        </is>
      </c>
      <c r="B1402" t="inlineStr">
        <is>
          <t>Problems with Anastrozole?</t>
        </is>
      </c>
      <c r="C1402" t="inlineStr">
        <is>
          <t>I’ve been on Anastrozole since my bilateral mastectomy with lymph node biopsy in September. I’ve developed severe low back pain and wrist pain. Is this from the medication? Has anybody else had this problem?</t>
        </is>
      </c>
      <c r="D1402" t="n">
        <v>4</v>
      </c>
      <c r="E1402" t="n">
        <v>4</v>
      </c>
      <c r="F1402">
        <f>HYPERLINK("https://www.reddit.com/r/cancer/comments/b3k33g/problems_with_anastrozole/")</f>
        <v/>
      </c>
      <c r="G1402" t="inlineStr">
        <is>
          <t>2019-03-20 17:55:23</t>
        </is>
      </c>
      <c r="H1402" t="inlineStr"/>
    </row>
    <row r="1403">
      <c r="A1403" t="inlineStr">
        <is>
          <t>b3kdek</t>
        </is>
      </c>
      <c r="B1403" t="inlineStr">
        <is>
          <t>Prostate Cancer</t>
        </is>
      </c>
      <c r="C1403" t="inlineStr">
        <is>
          <t xml:space="preserve">I need some clarification and I can’t get a hold of the doctor right now. I’d really appreciate any advice/help.  
It’s prostate cancer and it’s spread to his [60] bladder. That’s all I was told by my parents and we’ve decided to keep it between us for now. I’m just really confused because we just found out and it’s already spread to his bladder so is it considered stage 4? 
I told my mom that everything is going to be alright and it’s really eating me up inside. If it ends up being terminal, what’s the quality of life? Do people with terminal prostate cancer still continue with treatment or do they go home? Is there anything I should know or  prepare myself for? 
Thank you </t>
        </is>
      </c>
      <c r="D1403" t="n">
        <v>1</v>
      </c>
      <c r="E1403" t="n">
        <v>0</v>
      </c>
      <c r="F1403">
        <f>HYPERLINK("https://www.reddit.com/r/cancer/comments/b3kdek/prostate_cancer/")</f>
        <v/>
      </c>
      <c r="G1403" t="inlineStr">
        <is>
          <t>2019-03-20 18:22:57</t>
        </is>
      </c>
      <c r="H1403" t="inlineStr"/>
    </row>
    <row r="1404">
      <c r="A1404" t="inlineStr">
        <is>
          <t>b3m5sb</t>
        </is>
      </c>
      <c r="B1404" t="inlineStr">
        <is>
          <t>People with testicular cancer: does firmly squeezing the tumor hurt like squeezing your ball would?</t>
        </is>
      </c>
      <c r="C1404" t="inlineStr">
        <is>
          <t>So I have a portion on my right testicle that I can't tell whether or not is just a part of my nut or is a tumor. I squeezed it with enough force to make my regular testicle hurt, and sure enough it was not pleasant and induced that slow ache. Would a tumor do that?
Thanks</t>
        </is>
      </c>
      <c r="D1404" t="n">
        <v>0</v>
      </c>
      <c r="E1404" t="n">
        <v>5</v>
      </c>
      <c r="F1404">
        <f>HYPERLINK("https://www.reddit.com/r/cancer/comments/b3m5sb/people_with_testicular_cancer_does_firmly/")</f>
        <v/>
      </c>
      <c r="G1404" t="inlineStr">
        <is>
          <t>2019-03-20 21:20:38</t>
        </is>
      </c>
      <c r="H1404" t="inlineStr"/>
    </row>
    <row r="1405">
      <c r="A1405" t="inlineStr">
        <is>
          <t>b3mlgr</t>
        </is>
      </c>
      <c r="B1405" t="inlineStr">
        <is>
          <t>My grandmother just got diagnosed and I'm losing my mind</t>
        </is>
      </c>
      <c r="C1405" t="inlineStr">
        <is>
          <t>My grandmother is like a second mother to me. I actually call her mom, because I grew up living with her when I was little. But currently I live in US (I moved here 20 years ago), and she is back in my home country, and I haven't seen her in person in 10 years.  
She is in her late 80s, but is of a very clear mind, and has been physically active as well, until for about 6 months, her health slowly started to decline, with no explanation. First, she had a bad cold with a cough that wouldn't go away for months. Then really bad hip pain. Then the cough came back with a vengeance. She also started getting very short of breath.  
After several ambulance visits and one hospitalization, they have now found a tumor in her lungs that is obstructing her breathing, quite a bit of fluid in her lungs, and also (from what I could understand from the medical documents) metastasis in her spine and ribs, as well as some abnormal readings of the liver and pancreas. I have to add that she lives in a very small town in the middle of nowhere, so a local hospital can only do so much, and they don't have an oncology department.   
They essentially sent her home with some medications, and recommended that she is taken to a regional hospital to their oncology department.  
My Mom has now moved in to stay with her, and she is in total shock. On top of that, she got sick herself with bad flu, and almost got pneumonia... I talk to her on the phone almost every day, and she says that grandma is extremely weak, has a lot of trouble breathing, coughing all the time, and hardly eating anything. Mostly sleeping...  
From what I read in the medical documents and was able to look up online, this points to a fairly late stage cancer, and I doubt that they will prescribe her any curative treatment, especially because she's so old and weak. At this point, I'm still asking my mom to take her to that regional hospital, so that at least they can do a proper diagnosis, and give my mom some information about what to expect, and how long my granny has left. But most importantly, I want to make sure that they make her comfortable, give her some good pain meds, and something to ease the feeling that she is suffocating all the time. I read that opioids can help with that.  
In the mean time, I'm struggling to make my way over there. Because I'm in a different country, I have to jump through all kinds of crazy bureaucracy and red tape. So on one hand, I can wait for 2 weeks to get a visa. On another hand, I can travel using an emergency document, but then I'll have to stay there for at least 1 month, to get my paperwork sorted.  
I'm losing my mind and don't know what to do. I HAVE to see her and say goodbye. I also don't want her to be in pain and   suffering, so I'm trying to figure out what kind of stuff I can bring with me to help her... Maybe like a comfy mattress topper... Her favorite chocolate... Some photos of her and the family...  
And also I feel like I really need to be there and be with her until then end and comfort her and my mother. And I need to be there to help with all the arrangements and everything when my granny passes. But I also don't know when "the end" is going to come. And I also can't leave my work with an open-ended date of return...  
Like I said, I'm losing my mind. This all happened so fast. I just found out 5 days ago... I can't focus on my work, and I've asked for a few days of time off, and I'm just crying all the time, and don't know what to do. I'm flying to the consulate this morning to get the emergency paper... And after that I don't know.  
Sorry for rambling. I don't really know what  replies I'm hoping for.  
&amp;amp;#x200B;</t>
        </is>
      </c>
      <c r="D1405" t="n">
        <v>4</v>
      </c>
      <c r="E1405" t="n">
        <v>0</v>
      </c>
      <c r="F1405">
        <f>HYPERLINK("https://www.reddit.com/r/cancer/comments/b3mlgr/my_grandmother_just_got_diagnosed_and_im_losing/")</f>
        <v/>
      </c>
      <c r="G1405" t="inlineStr">
        <is>
          <t>2019-03-20 22:10:02</t>
        </is>
      </c>
      <c r="H1405" t="inlineStr"/>
    </row>
    <row r="1406">
      <c r="A1406" t="inlineStr">
        <is>
          <t>b3mlmm</t>
        </is>
      </c>
      <c r="B1406" t="inlineStr">
        <is>
          <t>My dad has been diagnosed with pancreatic cancer. What should I expect and be prepared for?</t>
        </is>
      </c>
      <c r="C1406" t="inlineStr">
        <is>
          <t xml:space="preserve">My dad is 57 and two days ago, he got diagnosed with pancreatic cancer. It was detected very late. The doctor says it's aggressive and has already metastasized into his lungs and liver. Surgery is out of question because the tumor has surrounded an artery. 
They've already started the chemo and he is to take it every week. 
Doctor says he has 6 months to a year to live. More if the treatment works. 
That's all I know about the medical side of it. My brother is the one who spoke to the doctor. 
We're all in shock. All I've been doing since then is watching Brooklyn 99 because anytime I stop, the crushing weight of grief is unbearable. My brother and I live in different cities (in India) and our parents are at our home in a small town. We've taken a week off to be with them. 
There's a feeling of helplessness. The only thing I can do right now is get as much information on this as I can so that we can prepare ourselves for whatever lies ahead for us. 
I don't know anything about cancer treatment and what to expect. He had his first round of chemo yesterday. No side effects so far. But how bad is it going to get?
Will he be bedridden at some point? 
Is it possible that the treatment can beat back the cancer entirely?
</t>
        </is>
      </c>
      <c r="D1406" t="n">
        <v>1</v>
      </c>
      <c r="E1406" t="n">
        <v>1</v>
      </c>
      <c r="F1406">
        <f>HYPERLINK("https://www.reddit.com/r/cancer/comments/b3mlmm/my_dad_has_been_diagnosed_with_pancreatic_cancer/")</f>
        <v/>
      </c>
      <c r="G1406" t="inlineStr">
        <is>
          <t>2019-03-20 22:10:38</t>
        </is>
      </c>
      <c r="H1406" t="inlineStr"/>
    </row>
    <row r="1407">
      <c r="A1407" t="inlineStr">
        <is>
          <t>b3o8o6</t>
        </is>
      </c>
      <c r="B1407" t="inlineStr">
        <is>
          <t>We got that dreaded middle of the night call</t>
        </is>
      </c>
      <c r="C1407" t="inlineStr">
        <is>
          <t xml:space="preserve">I wanted to start the thread with a witty line but there is no funny bone left in me after hearing the news last night.
My father 65 diagnosed with intestinal cancer in duodenum. The GP for whatever reason gave a timeframe of 3 years after the scans but recommended to go to an oncologist to know what stage it is at. 
My dad is very active, non smoker and non drinker of alcohol, usually eats light though not strictly a super healthy diet but ok. Has been complaining about abdominal pain when eating hard food but the GP when consulted within 5 days of the symptom asked not to worry and have some medicine. 3 weeks passed and the situation did not change resulting in him understandably losing 8.818 lb (4kg) weight. 
Was scanned thoroughly this time around and found out about the cancer in duodenum part of  intestine.
He has been super positive and cheering us all up but it is draining us emotionally though we have been keeping our tears private. We are not worried about the mental part of the fight as our dad is up for it but want to know if anyone knows the kind of treatments available now and how taxing it will be on the body and will there be any physical pain they carry as a result of this.
Appreciate your time.
</t>
        </is>
      </c>
      <c r="D1407" t="n">
        <v>5</v>
      </c>
      <c r="E1407" t="n">
        <v>6</v>
      </c>
      <c r="F1407">
        <f>HYPERLINK("https://www.reddit.com/r/cancer/comments/b3o8o6/we_got_that_dreaded_middle_of_the_night_call/")</f>
        <v/>
      </c>
      <c r="G1407" t="inlineStr">
        <is>
          <t>2019-03-21 01:57:25</t>
        </is>
      </c>
      <c r="H1407" t="inlineStr"/>
    </row>
    <row r="1408">
      <c r="A1408" t="inlineStr">
        <is>
          <t>b3o947</t>
        </is>
      </c>
      <c r="B1408" t="inlineStr">
        <is>
          <t>Basal Cell Cancer Treatments - MedfaW</t>
        </is>
      </c>
      <c r="C1408" t="inlineStr">
        <is>
          <t xml:space="preserve"> Before studying about Basal Cell Cancer treatments it is necessary to understand what is basal cell carcinoma? It appears as a painless raised area of skin it may be shiny with small blood vessels running over it or it may be a raised area with ulceration in the skin. Several types … </t>
        </is>
      </c>
      <c r="D1408" t="n">
        <v>0</v>
      </c>
      <c r="E1408" t="n">
        <v>0</v>
      </c>
      <c r="F1408">
        <f>HYPERLINK("https://www.reddit.com/r/cancer/comments/b3o947/basal_cell_cancer_treatments_medfaw/")</f>
        <v/>
      </c>
      <c r="G1408" t="inlineStr">
        <is>
          <t>2019-03-21 01:59:22</t>
        </is>
      </c>
      <c r="H1408" t="inlineStr"/>
    </row>
    <row r="1409">
      <c r="A1409" t="inlineStr">
        <is>
          <t>b3pnzm</t>
        </is>
      </c>
      <c r="B1409" t="inlineStr">
        <is>
          <t>My Step-dad has passed</t>
        </is>
      </c>
      <c r="C1409" t="inlineStr">
        <is>
          <t xml:space="preserve">Rest in peace my amazing step-dad passed at 47  years of age, you are a wonderful man you fought until the fight was no longer winnable. Cancer is a horrible disease you didn't deserve to lose your battle. I love you and I think we should have had more time together  it's been a wild ride, we were both stubborn as hell we didn't always get along,  but when we did, you have been the only one who could talk some sense into my stubborn head, I miss you so much love always and forever. 
I had to post this I'm a wreck right now I loved him so much, he was an amazing man my mother had to watch the life slowly leave him. My mother is a mess she keeps reliving the moment he died. I'm just trying to help out where I can but I don't know what to do I just want everything to be okay again. </t>
        </is>
      </c>
      <c r="D1409" t="n">
        <v>43</v>
      </c>
      <c r="E1409" t="n">
        <v>8</v>
      </c>
      <c r="F1409">
        <f>HYPERLINK("https://www.reddit.com/r/cancer/comments/b3pnzm/my_stepdad_has_passed/")</f>
        <v/>
      </c>
      <c r="G1409" t="inlineStr">
        <is>
          <t>2019-03-21 04:59:26</t>
        </is>
      </c>
      <c r="H1409" t="inlineStr"/>
    </row>
    <row r="1410">
      <c r="A1410" t="inlineStr">
        <is>
          <t>b3qk6p</t>
        </is>
      </c>
      <c r="B1410" t="inlineStr">
        <is>
          <t>High dose methotrexate inpatient experiences?</t>
        </is>
      </c>
      <c r="C1410" t="inlineStr">
        <is>
          <t>I start inpatient chemo next week, what should I expect? Clinic staff hasn't been the most useful for telling me what I'll be able to do or not do. I'm sure it varies.
Personally I'd like to be able to do a couple hours of work (cad drafting) and gaming each day, is this going to be possible??</t>
        </is>
      </c>
      <c r="D1410" t="n">
        <v>6</v>
      </c>
      <c r="E1410" t="n">
        <v>14</v>
      </c>
      <c r="F1410">
        <f>HYPERLINK("https://www.reddit.com/r/cancer/comments/b3qk6p/high_dose_methotrexate_inpatient_experiences/")</f>
        <v/>
      </c>
      <c r="G1410" t="inlineStr">
        <is>
          <t>2019-03-21 06:31:34</t>
        </is>
      </c>
      <c r="H1410" t="inlineStr"/>
    </row>
    <row r="1411">
      <c r="A1411" t="inlineStr">
        <is>
          <t>b3skva</t>
        </is>
      </c>
      <c r="B1411" t="inlineStr">
        <is>
          <t>Please explain</t>
        </is>
      </c>
      <c r="C1411" t="inlineStr">
        <is>
          <t>What is "amegakaryocytic thrombocytopenia". Please explain. Thank you</t>
        </is>
      </c>
      <c r="D1411" t="n">
        <v>2</v>
      </c>
      <c r="E1411" t="n">
        <v>6</v>
      </c>
      <c r="F1411">
        <f>HYPERLINK("https://www.reddit.com/r/cancer/comments/b3skva/please_explain/")</f>
        <v/>
      </c>
      <c r="G1411" t="inlineStr">
        <is>
          <t>2019-03-21 09:26:06</t>
        </is>
      </c>
      <c r="H1411" t="inlineStr"/>
    </row>
    <row r="1412">
      <c r="A1412" t="inlineStr">
        <is>
          <t>b3son8</t>
        </is>
      </c>
      <c r="B1412" t="inlineStr">
        <is>
          <t>The last days in the life of my dad</t>
        </is>
      </c>
      <c r="C1412" t="inlineStr">
        <is>
          <t xml:space="preserve">My dad was diagnosed with skin cancer in October. We learned in that moment he would never be an old man, but I think we all believed he would have at least a year or two left. 
I haven’t been able to see him much during all of this, despite how much I wanted to. I study 9000km away from my country. I visited him for Christmas, and I returned again yesterday. Seeing him these two days have been absolutely heartbreaking...
Yesterday was the worst. He was in such a terrible condition. His once steel grey hair was now white like chalk, and his skin looked like that of a 70 year old, though he’s still 54... his body all swollen and weak. He went through two weeks of radiation therapy (10 sessions total) to get rid of the new, aggressive tumours that have been growing out there. It seems like it was unsuccessful, and he’s too weak to receive any other treatment either... he was lucky enough to receive immune therapy when he was first diagnosed, but the treatment was unsuccessful... at the time, there is no treatment, only pain relievers. He can hardly even open his eyes or reply to people at times, he’s so exhausted. It’s so painful to see... and I know he’s still fighting with all he’s got, and I know he’d never want to admit defeat in this. He tells his doctor he’s feeling better every day. That he wants crutches instead of walking chairs. He asks them to lower his pain relief dosage. Asks how long he’ll be feeling sleepy for, and when he can expect improvement. When he can go home... 
It’s relieving and painful at the same time. It’s hard because I know nothing short of a miracle can save him now, and it pains me so much that he can’t “understand” that. At the same time, I’m so happy he won’t give up. My grandmother talking to me about my dad dying, about him “going pain free” and all these things, it crushes me, though I know she means well, and is just dealing with this in her own way. I’m not ready to lose my dad yet... I wanted him to be there on my wedding day, when I get kids. I know he’d be the greatest grandfather in the world, because he truly is the greatest dad there is... 
The doctors won’t really say anything straight but, it seems like a question of days or weeks, tops. 
I love you, dad. Even though I wanted you to be with me forever, I thought that at least until I was about 40 or 50 wouldn’t be too much to ask. Even just 30. Even 25. But the world has been to cruel to us... you deserved this the least. Every day, more than 5 different people come to visit you. Both friends and family. You are so loved dad, because you are so loving. You’re like no one else.  You’re my super hero. I wished you never had to go... </t>
        </is>
      </c>
      <c r="D1412" t="n">
        <v>36</v>
      </c>
      <c r="E1412" t="n">
        <v>15</v>
      </c>
      <c r="F1412">
        <f>HYPERLINK("https://www.reddit.com/r/cancer/comments/b3son8/the_last_days_in_the_life_of_my_dad/")</f>
        <v/>
      </c>
      <c r="G1412" t="inlineStr">
        <is>
          <t>2019-03-21 09:34:52</t>
        </is>
      </c>
      <c r="H1412" t="inlineStr"/>
    </row>
    <row r="1413">
      <c r="A1413" t="inlineStr">
        <is>
          <t>b3te3k</t>
        </is>
      </c>
      <c r="B1413" t="inlineStr">
        <is>
          <t>Dad (75+) just told me he was dx with skin cancer on the leg. How is that different than the spots hes been having removed previously?</t>
        </is>
      </c>
      <c r="C1413" t="inlineStr">
        <is>
          <t>Clarification. My dad has fair skin. He's been going for skin checks 2-3 times a year. He's always had cancer spots removed for the past 5+ years. The doc removes them then needs a stitch or 2. Last year he told me he was putting on a cream on his bald head and face that was a low dose of something to get rid of cancer cells.
Today he calls me and tells me the doc found cancer on his leg by the lower area/foot. He was told he needs 17 radiation treatments. 
What makes this cancer different than the other cancers he's been getting? I tried to ask him but he couldn't explain it and his speach was slurring so it was hard to understand (he also has Parkinson's)
Thoughts?</t>
        </is>
      </c>
      <c r="D1413" t="n">
        <v>4</v>
      </c>
      <c r="E1413" t="n">
        <v>4</v>
      </c>
      <c r="F1413">
        <f>HYPERLINK("https://www.reddit.com/r/cancer/comments/b3te3k/dad_75_just_told_me_he_was_dx_with_skin_cancer_on/")</f>
        <v/>
      </c>
      <c r="G1413" t="inlineStr">
        <is>
          <t>2019-03-21 10:32:35</t>
        </is>
      </c>
      <c r="H1413" t="inlineStr"/>
    </row>
    <row r="1414">
      <c r="A1414" t="inlineStr">
        <is>
          <t>b3tixn</t>
        </is>
      </c>
      <c r="B1414" t="inlineStr">
        <is>
          <t>My Son is recovering from a tumor which was removed from his head</t>
        </is>
      </c>
      <c r="C1414" t="inlineStr">
        <is>
          <t>Last Tuesday, I took my 16-year-old son, Josh, to see his doctor about an issue he had been having with his right leg. He would constantly feel like his knee was going to "give out" on him when he walked. I had noticed more and more that his gait had changed, and he had trouble getting around.
His doctor asked some questions, observed him walking around in the examination room, tested his strength, etc., and suggested that we take him to see a neurologist. Not even an hour later, she called my wife to say that she felt like he should be seen ASAP and if an appointment couldn't be made with neurology, then we should take  him into the ER for a CT scan.
The next day (Wednesday) my wife took him into the ER for a scan. The scan detected a mass in his brain, and some swelling. He was transferred via ambulance to the Betsy Devos Children's hospital. A MRI confirmed that he had a tumor in his head.
Thursday, he had lost all feeling/movement in his right arm, and had trouble moving his right leg. By Saturday, the right side of his mouth was drooping a bit as he lost muscle tone in his face. I left the hospital with plans to return on Monday for a meeting with Josh's surgeon, and the word from doctors was that his operation to remove the tumor would be on Thursday.
However, on Sunday Josh's surgeon decided that he had deteriorated enough that they needed to operate on Monday. The operation was a success; 100% of the tumor was removed. On Tuesday night, he was returned to the operating table for a suspected blood clot. As it turned out, fluid had gotten trapped inside the space left behind by the removed tumor, and pressure was building in his head.
He is currently recovering in ICU. Between Monday and Tuesday, he was constantly sleeping. When awokened, he was able to communicate with hand motions. He has not spoken since Monday morning prior to his surgery.
I am grateful that his surgery was scheduled earlier than expected, and also that the tumor was entirely removed. I just wish that he was able to talk, and that we could focus on working with him to get the use of his right arm and leg back. We are also waiting for the results of the biopsy to come back, so that we have a better idea of what kind of tumor it was.</t>
        </is>
      </c>
      <c r="D1414" t="n">
        <v>83</v>
      </c>
      <c r="E1414" t="n">
        <v>31</v>
      </c>
      <c r="F1414">
        <f>HYPERLINK("https://www.reddit.com/r/cancer/comments/b3tixn/my_son_is_recovering_from_a_tumor_which_was/")</f>
        <v/>
      </c>
      <c r="G1414" t="inlineStr">
        <is>
          <t>2019-03-21 10:43:27</t>
        </is>
      </c>
      <c r="H1414" t="inlineStr"/>
    </row>
    <row r="1415">
      <c r="A1415" t="inlineStr">
        <is>
          <t>b3up53</t>
        </is>
      </c>
      <c r="B1415" t="inlineStr">
        <is>
          <t>Thought I had TC</t>
        </is>
      </c>
      <c r="C1415" t="inlineStr">
        <is>
          <t>After my radiological test, it’s only a small cyst nothing cancerous! So happy I really need to fix my health anxiety lol</t>
        </is>
      </c>
      <c r="D1415" t="n">
        <v>2</v>
      </c>
      <c r="E1415" t="n">
        <v>3</v>
      </c>
      <c r="F1415">
        <f>HYPERLINK("https://www.reddit.com/r/cancer/comments/b3up53/thought_i_had_tc/")</f>
        <v/>
      </c>
      <c r="G1415" t="inlineStr">
        <is>
          <t>2019-03-21 12:16:40</t>
        </is>
      </c>
      <c r="H1415" t="inlineStr"/>
    </row>
    <row r="1416">
      <c r="A1416" t="inlineStr">
        <is>
          <t>b3v5c6</t>
        </is>
      </c>
      <c r="B1416" t="inlineStr">
        <is>
          <t>My mother might have Uterine Cancer and I am very scared. Looking for some hope.</t>
        </is>
      </c>
      <c r="C1416" t="inlineStr">
        <is>
          <t xml:space="preserve"> In the last six months my mother(47) had 3 instances of irregular periods with bleeding in between the periods. The first was six months ago, then again 3 months ago and the third one last week. The thickness of the uterus lining was 7.6mm when it should have been 2-4mm. The doctor has ordered a D&amp;amp;C in about 15-20 days to check for Uterine cancer.
Apart from irregular bleeding and increased thickness, she doesn't have any other symptoms.
She is not obese (72 kg 5'4)</t>
        </is>
      </c>
      <c r="D1416" t="n">
        <v>2</v>
      </c>
      <c r="E1416" t="n">
        <v>1</v>
      </c>
      <c r="F1416">
        <f>HYPERLINK("https://www.reddit.com/r/cancer/comments/b3v5c6/my_mother_might_have_uterine_cancer_and_i_am_very/")</f>
        <v/>
      </c>
      <c r="G1416" t="inlineStr">
        <is>
          <t>2019-03-21 12:53:39</t>
        </is>
      </c>
      <c r="H1416" t="inlineStr"/>
    </row>
    <row r="1417">
      <c r="A1417" t="inlineStr">
        <is>
          <t>b3vdan</t>
        </is>
      </c>
      <c r="B1417" t="inlineStr">
        <is>
          <t>Leukemia survivors, did your vision get blurry?</t>
        </is>
      </c>
      <c r="C1417" t="inlineStr">
        <is>
          <t>Hey all, I'm in remission with 1 more cycle of  chemo and 1 more cycle of immunotherapy before maintenance. About 2 months ago I got a stye in my right eye, the stye has since healed however vision in my right eye is blurry. Many of the drugs I have and will receive (cyterabine, vincristine, etoposide,etc) can cause blurry vision side effect. 
What I don't know is will my vision get better once the drugs stop? I have seen 3 ophthalmologists and they can't explain it...I got glasses which sometimes help...</t>
        </is>
      </c>
      <c r="D1417" t="n">
        <v>8</v>
      </c>
      <c r="E1417" t="n">
        <v>5</v>
      </c>
      <c r="F1417">
        <f>HYPERLINK("https://www.reddit.com/r/cancer/comments/b3vdan/leukemia_survivors_did_your_vision_get_blurry/")</f>
        <v/>
      </c>
      <c r="G1417" t="inlineStr">
        <is>
          <t>2019-03-21 13:11:50</t>
        </is>
      </c>
      <c r="H1417" t="inlineStr"/>
    </row>
    <row r="1418">
      <c r="A1418" t="inlineStr">
        <is>
          <t>b3vkjx</t>
        </is>
      </c>
      <c r="B1418" t="inlineStr">
        <is>
          <t>Not sure what to do ¯\_(ツ)_/¯</t>
        </is>
      </c>
      <c r="C1418" t="inlineStr">
        <is>
          <t>I have had this bump on my jaw bone for about a week now and I am worried it is a swollen lymph node, but also worried it could be something more. I recently had my follow up ultrasound for thyroid cancer and they found nothing so I’m just a little worried. Wondering if anyone has had a similar experience or if I am just being stupid. 
(Not trying to have a “is this cancer” question, so sorry if it is)</t>
        </is>
      </c>
      <c r="D1418" t="n">
        <v>1</v>
      </c>
      <c r="E1418" t="n">
        <v>3</v>
      </c>
      <c r="F1418">
        <f>HYPERLINK("https://www.reddit.com/r/cancer/comments/b3vkjx/not_sure_what_to_do_ツ/")</f>
        <v/>
      </c>
      <c r="G1418" t="inlineStr">
        <is>
          <t>2019-03-21 13:28:52</t>
        </is>
      </c>
      <c r="H1418" t="inlineStr"/>
    </row>
    <row r="1419">
      <c r="A1419" t="inlineStr">
        <is>
          <t>b3vkpf</t>
        </is>
      </c>
      <c r="B1419" t="inlineStr">
        <is>
          <t>Melanoma: First oncology visit soon, what to ask and what to expect</t>
        </is>
      </c>
      <c r="C1419" t="inlineStr">
        <is>
          <t>Background: I'm a 54 y/o male who went to dermatologist on February 6th to have a mole checked on my left upper-arm. She removed it and sent it to pathology for testing. It came back as melanoma, 2cm wide, 4.3mm thick and ulcerated, mitotic rate 5/mm2, with lymphovascular invasion present (putting my initial diagnosis as pT4b). I was referred to a melanoma surgeon who performed a wide-local excision surgery on February 25th, along with Sentinel Lymph Node biopsy, removing two lymph nodes from my left arm-pit area. I then had another surgery on February 26th to remove a hematoma from the first surgery. Pathology results on the WLE showed clear margins, and the axillary lymph nodes came back negative (my diagnosis now moved from pT4b to pT4bN0Mx).
On this coming Monday, March 25th I have my first appointment with an oncologist. In the meantime, I've been reading every trusted medical journal article and research study I can find and learning more than I ever wanted to know about melanoma. I'm learning about targeted therapy and immunotherapy. From my reading, it appears that I have anywhere from a 6% chance to a 28% chance that the cancer has "silently" spread elsewhere, let alone the likelihood of it returning at the original location.
My question for you is, what questions should I take with me to my first oncology appointment and what answers should I expect? I don't want to come away from this appointment with more questions than answers.</t>
        </is>
      </c>
      <c r="D1419" t="n">
        <v>9</v>
      </c>
      <c r="E1419" t="n">
        <v>4</v>
      </c>
      <c r="F1419">
        <f>HYPERLINK("https://www.reddit.com/r/cancer/comments/b3vkpf/melanoma_first_oncology_visit_soon_what_to_ask/")</f>
        <v/>
      </c>
      <c r="G1419" t="inlineStr">
        <is>
          <t>2019-03-21 13:29:15</t>
        </is>
      </c>
      <c r="H1419" t="inlineStr"/>
    </row>
    <row r="1420">
      <c r="A1420" t="inlineStr">
        <is>
          <t>b3vqp4</t>
        </is>
      </c>
      <c r="B1420" t="inlineStr">
        <is>
          <t>Prostate cancer</t>
        </is>
      </c>
      <c r="C1420" t="inlineStr">
        <is>
          <t xml:space="preserve">I can’t get a hold of the doctor right now so I’d really appreciate any advice/help.  
It’s prostate cancer and it’s spread to his [60] bladder. That’s all I was told by my parents and we’ve decided to keep it between us for now. I’m just really confused because when we found out, it had already spread to his bladder so is it considered stage 4? 
I told my mom that everything is going to be alright and it’s really eating me up inside. If it ends up being terminal, what’s the quality of life? Do people with terminal prostate cancer still continue with treatment or do they go home? Is there anything I should know or  prepare myself for? 
Thank you </t>
        </is>
      </c>
      <c r="D1420" t="n">
        <v>5</v>
      </c>
      <c r="E1420" t="n">
        <v>14</v>
      </c>
      <c r="F1420">
        <f>HYPERLINK("https://www.reddit.com/r/cancer/comments/b3vqp4/prostate_cancer/")</f>
        <v/>
      </c>
      <c r="G1420" t="inlineStr">
        <is>
          <t>2019-03-21 13:43:07</t>
        </is>
      </c>
      <c r="H1420" t="inlineStr"/>
    </row>
    <row r="1421">
      <c r="A1421" t="inlineStr">
        <is>
          <t>b3vzj5</t>
        </is>
      </c>
      <c r="B1421" t="inlineStr">
        <is>
          <t>Dear Cancer,</t>
        </is>
      </c>
      <c r="C1421" t="inlineStr">
        <is>
          <t xml:space="preserve">You’re the biggest jerk I’ve ever met. You attack everyone, and have made so many enemies. But do you realize WHO you’re messing with? There are thousands of people who fight against you every day. Those people can be medical professionals, care takers, and even people you’ve personally victimized, like me. 
One day, we will ALL make you cower. One day, you’ll be gone, and we will salute those who didn’t survive the fight. But until then, just know that we are here, and we are watching your every move. Every person you attack makes our army stronger. Just remember that. 
-M
</t>
        </is>
      </c>
      <c r="D1421" t="n">
        <v>25</v>
      </c>
      <c r="E1421" t="n">
        <v>2</v>
      </c>
      <c r="F1421">
        <f>HYPERLINK("https://www.reddit.com/r/cancer/comments/b3vzj5/dear_cancer/")</f>
        <v/>
      </c>
      <c r="G1421" t="inlineStr">
        <is>
          <t>2019-03-21 14:03:27</t>
        </is>
      </c>
      <c r="H1421" t="inlineStr"/>
    </row>
    <row r="1422">
      <c r="A1422" t="inlineStr">
        <is>
          <t>b3w49k</t>
        </is>
      </c>
      <c r="B1422" t="inlineStr">
        <is>
          <t>how long after chemo does it take to not feel exhausted all the time?</t>
        </is>
      </c>
      <c r="C1422" t="inlineStr">
        <is>
          <t>I've got two more treatments to go, and am completely exhausted.  
&amp;amp;#x200B;
Question for those of you who've finished a cycle: how long after chemo does it take to not feel exhausted all the time?
&amp;amp;#x200B;
Peace &amp;amp; Love to you all!</t>
        </is>
      </c>
      <c r="D1422" t="n">
        <v>4</v>
      </c>
      <c r="E1422" t="n">
        <v>10</v>
      </c>
      <c r="F1422">
        <f>HYPERLINK("https://www.reddit.com/r/cancer/comments/b3w49k/how_long_after_chemo_does_it_take_to_not_feel/")</f>
        <v/>
      </c>
      <c r="G1422" t="inlineStr">
        <is>
          <t>2019-03-21 14:14:46</t>
        </is>
      </c>
      <c r="H1422" t="inlineStr"/>
    </row>
    <row r="1423">
      <c r="A1423" t="inlineStr">
        <is>
          <t>b3w5kp</t>
        </is>
      </c>
      <c r="B1423" t="inlineStr">
        <is>
          <t>Update on MD Anderson visit</t>
        </is>
      </c>
      <c r="C1423" t="inlineStr">
        <is>
          <t xml:space="preserve">Wow!! I’m on my second day here. I do love my doctor back home, but in the short talk with my doctor here yesterday I learned more about my status than I’ve ever known. Also, during a brain scan last night they seem to have found a blood clot and now have me on blood thinner injections. 
This place is HUGE, but it runs like clockwork and they know how to move people quickly around and there is always someone right there to help you on your way. Every person we’ve dealt with at the hospital has been nice, helpful , friendly and professional.  This place is very impressive, do say the least.
My doctor thinks I’ll be a good candidate for a new drug trial, so I’ll find out about that for sure tomorrow. If so, I’ll be coming back out every three to four weeks for a while. 
Thank you so much for all the input.  </t>
        </is>
      </c>
      <c r="D1423" t="n">
        <v>6</v>
      </c>
      <c r="E1423" t="n">
        <v>7</v>
      </c>
      <c r="F1423">
        <f>HYPERLINK("https://www.reddit.com/r/cancer/comments/b3w5kp/update_on_md_anderson_visit/")</f>
        <v/>
      </c>
      <c r="G1423" t="inlineStr">
        <is>
          <t>2019-03-21 14:17:54</t>
        </is>
      </c>
      <c r="H1423" t="inlineStr"/>
    </row>
    <row r="1424">
      <c r="A1424" t="inlineStr">
        <is>
          <t>b3w9f3</t>
        </is>
      </c>
      <c r="B1424" t="inlineStr">
        <is>
          <t>Mom isn't going to make it</t>
        </is>
      </c>
      <c r="C1424" t="inlineStr">
        <is>
          <t>My mom is currently dying of an aggressive type of cancer. We have no idea how long she's had this tumor, only that its spread so fast that she has little chance of fighting it off.
Earlier this year she was diagnosed with it following a buildup of fluid in her lungs and she did her chemo shortly afterwards. Just a few days later, her right leg suffered an arterial blood clot due to the tumor and had to be amputated leaving her both crippled and in pain.
Her health then began deteriorating rapidly (up to the time that I write this) and my siblings and I have accepted that this is the end for her. She's in her bed right now sedated and slowly dying as her organs are appearing to shut down with every passing day.
To say she was a good person is an understatement. She raised four kids almost on her own and sacrificed an endless amount to get us where we are today, by far one of the strongest people I know of. She helped out heavily in the religious community and gave countless donations to those in need. And for all she's done this is how she gets rewarded. 
I'm not even religious but I've been praying with her and my family in hopes that whatever God that exists can just let her be in peace for crying out loud.
I just want her to pass on instead of living in all of this pain. She doesn't deserve this.
I'm not the kind to write huge blocks of text but this was the best I can do to describe the situation. I'm just relived to finally get this off of me. Thank you for reading.</t>
        </is>
      </c>
      <c r="D1424" t="n">
        <v>93</v>
      </c>
      <c r="E1424" t="n">
        <v>19</v>
      </c>
      <c r="F1424">
        <f>HYPERLINK("https://www.reddit.com/r/cancer/comments/b3w9f3/mom_isnt_going_to_make_it/")</f>
        <v/>
      </c>
      <c r="G1424" t="inlineStr">
        <is>
          <t>2019-03-21 14:27:15</t>
        </is>
      </c>
      <c r="H1424" t="inlineStr"/>
    </row>
    <row r="1425">
      <c r="A1425" t="inlineStr">
        <is>
          <t>b3wbjx</t>
        </is>
      </c>
      <c r="B1425" t="inlineStr">
        <is>
          <t>I was just diagnosed. I am scared.</t>
        </is>
      </c>
      <c r="C1425" t="inlineStr">
        <is>
          <t xml:space="preserve">   A little backstory. 4-5 months ago my tongue was tender on one side. I looked and it had three pea sized white dots. Soon this formed into a white lesion that was very tender. I went to the doctor and he referred me to a EMT doctor. He first gave me antibiotics to see if that would help. It didn't change or help anything. So he then did a biopsy on my tongue's lesion. He than ended up getting a 2nd opinion on the sample after the first testing. Then today he called me. He said the tissue sample tested was malignant. I was just diagnosed with tongue cancer. He said that it seemed confined to that area of the tongue. Doesn't seem to have spread. He said surgery is needed but he couldn't do the surgery himself so he referred me to the next best surgeon. I have to schedule an appointment and see where we go from there.
   I am beyond scared. I never smoked. I never drank a lot of alcohol. I am overweight and have type 2 diabetes. I know I am not diagnosed but I do have social anxiety. I don't think the real impact has hit me completely yet. I feel like I am in a nightmare dream. I want to stay positive. I want to live as much as possible. Is there anyone who has survived tongue cancer? If yes, what is your advice? Did you full have to change your lifestyle? Any words of encouragement?</t>
        </is>
      </c>
      <c r="D1425" t="n">
        <v>23</v>
      </c>
      <c r="E1425" t="n">
        <v>27</v>
      </c>
      <c r="F1425">
        <f>HYPERLINK("https://www.reddit.com/r/cancer/comments/b3wbjx/i_was_just_diagnosed_i_am_scared/")</f>
        <v/>
      </c>
      <c r="G1425" t="inlineStr">
        <is>
          <t>2019-03-21 14:32:15</t>
        </is>
      </c>
      <c r="H1425" t="inlineStr"/>
    </row>
    <row r="1426">
      <c r="A1426" t="inlineStr">
        <is>
          <t>b3x5pq</t>
        </is>
      </c>
      <c r="B1426" t="inlineStr">
        <is>
          <t>Good news and?bad news</t>
        </is>
      </c>
      <c r="C1426" t="inlineStr">
        <is>
          <t>Mom has triple positive breast cancer, post mastectomy and we just found out she's node negative today! 
Really excited about that. She doesn't need radiation.
She does need chemo though and I guess it didn't hit us till today, but she probably won't be able to make it for my graduation overseas at the end of May. She's really disappointed about it.
I'm disappointed about it too, but it's more so the fact that as my graduation gets closer, I'm moving to a different country to work for five years.
Cancer really sucks. Life just goes on as is. At the beginning of the year, I had a bunch of interviews lined up and my life was set. My mom and grandmother were so excited to come for my graduation.
Now, no one's coming for my grad. My mom has breast cancer. My grandma has lung cancer. Things change so quickly.
Health really is something I took for granted.
Hang in there, everyone, who's going through this horrible disease.
Tldr: mom and grandma both have cancer, but good news today! Mom is node negative.</t>
        </is>
      </c>
      <c r="D1426" t="n">
        <v>11</v>
      </c>
      <c r="E1426" t="n">
        <v>2</v>
      </c>
      <c r="F1426">
        <f>HYPERLINK("https://www.reddit.com/r/cancer/comments/b3x5pq/good_news_andbad_news/")</f>
        <v/>
      </c>
      <c r="G1426" t="inlineStr">
        <is>
          <t>2019-03-21 15:44:39</t>
        </is>
      </c>
      <c r="H1426" t="inlineStr"/>
    </row>
    <row r="1427">
      <c r="A1427" t="inlineStr">
        <is>
          <t>b3yh1a</t>
        </is>
      </c>
      <c r="B1427" t="inlineStr">
        <is>
          <t>Mum has ovarian cancer and I’m worried I do too</t>
        </is>
      </c>
      <c r="C1427" t="inlineStr">
        <is>
          <t xml:space="preserve">Hi all
My mum has stage 3 ovarian cancer.
Since her diagnosis I’ve been having pain in my pelvis area. No other symptoms except being tired ( have very low iron though) 
I had the ca125 test, ultrasounds, been to several doctors and nothing. Everything is negative. I have an ovarian cyst but the GPS all day it looks good and they are not worried. It hasn’t grown. 
I’m just terrified. My cousin also had breast cancer a decade ago and passed. I’ve been to a gynaecologist and he checked my breasts too. 
What else can I do ? My mum had a genetic test which we are waiting for.
Thank you </t>
        </is>
      </c>
      <c r="D1427" t="n">
        <v>2</v>
      </c>
      <c r="E1427" t="n">
        <v>4</v>
      </c>
      <c r="F1427">
        <f>HYPERLINK("https://www.reddit.com/r/cancer/comments/b3yh1a/mum_has_ovarian_cancer_and_im_worried_i_do_too/")</f>
        <v/>
      </c>
      <c r="G1427" t="inlineStr">
        <is>
          <t>2019-03-21 17:44:36</t>
        </is>
      </c>
      <c r="H1427" t="inlineStr"/>
    </row>
    <row r="1428">
      <c r="A1428" t="inlineStr">
        <is>
          <t>b3ylmr</t>
        </is>
      </c>
      <c r="B1428" t="inlineStr">
        <is>
          <t>Laryngeal cancer</t>
        </is>
      </c>
      <c r="C1428" t="inlineStr">
        <is>
          <t>My husband has laryngeal cancer. He was diagnosed at stage 3. He did radiation and chemotherapy. When that didn’t work, his entire voice box was removed. It helped so much and he was doing great. This was all within the last year.
While the cancer is gone from his throat, it has metastasized to his lungs in three spots. I assume that means stage 4.
I know treatment has improved and people go into remission. If we didn’t get this news, we would have never known. He feels fine.
He’s scared. I’m scared. We have a 4 month old. How do I help him get through this?</t>
        </is>
      </c>
      <c r="D1428" t="n">
        <v>3</v>
      </c>
      <c r="E1428" t="n">
        <v>0</v>
      </c>
      <c r="F1428">
        <f>HYPERLINK("https://www.reddit.com/r/cancer/comments/b3ylmr/laryngeal_cancer/")</f>
        <v/>
      </c>
      <c r="G1428" t="inlineStr">
        <is>
          <t>2019-03-21 17:57:04</t>
        </is>
      </c>
      <c r="H1428" t="inlineStr"/>
    </row>
    <row r="1429">
      <c r="A1429" t="inlineStr">
        <is>
          <t>b3zs77</t>
        </is>
      </c>
      <c r="B1429" t="inlineStr">
        <is>
          <t>Hair Growth after Chemo</t>
        </is>
      </c>
      <c r="C1429" t="inlineStr">
        <is>
          <t>Hello! 
I had Hodgkins Lymphoma and my last chemo was December 4th. My hair has since started to grow back, however I never fully lost all of my hair during chemo. It has gotten thicker and has been growing back pretty fast it seems, but for some reason the area on the top of my head is still pretty thin. The sides and the very front is quite thicker. 
I am not too worried, but before I was even diagnosed I had noticed a little hair loss, I am sure that was probably just a symptom of having cancer though. I am hoping it is just taking a little bit more time for the top to fully grow in, but I was curious if anyone else had the same experience and any tips to help the hair get thicker. Thanks!</t>
        </is>
      </c>
      <c r="D1429" t="n">
        <v>5</v>
      </c>
      <c r="E1429" t="n">
        <v>9</v>
      </c>
      <c r="F1429">
        <f>HYPERLINK("https://www.reddit.com/r/cancer/comments/b3zs77/hair_growth_after_chemo/")</f>
        <v/>
      </c>
      <c r="G1429" t="inlineStr">
        <is>
          <t>2019-03-21 19:55:50</t>
        </is>
      </c>
      <c r="H1429" t="inlineStr"/>
    </row>
    <row r="1430">
      <c r="A1430" t="inlineStr">
        <is>
          <t>b415ke</t>
        </is>
      </c>
      <c r="B1430" t="inlineStr">
        <is>
          <t>Thinking about quitting chemo 2 infusions left</t>
        </is>
      </c>
      <c r="C1430" t="inlineStr">
        <is>
          <t>I just finished my third round of the AVBD regimen and have one left (scheduled to be done April 18th). My prognosis was very good and my medical team and oncologist act like there’s 0% chance that I’ll have any cancer left after the 4 rounds. That being said, I just cannot stand feeling like this anymore. The second I walk into the infusion center I get unbearable nausea that doesn’t go away with nausea meds. I haven’t brought this up to my oncologist or anything just because I know he’ll tell me to stick it out. I don’t really know what to do. Any advice would be greatly appreciated. Thanks</t>
        </is>
      </c>
      <c r="D1430" t="n">
        <v>2</v>
      </c>
      <c r="E1430" t="n">
        <v>17</v>
      </c>
      <c r="F1430">
        <f>HYPERLINK("https://www.reddit.com/r/cancer/comments/b415ke/thinking_about_quitting_chemo_2_infusions_left/")</f>
        <v/>
      </c>
      <c r="G1430" t="inlineStr">
        <is>
          <t>2019-03-21 22:30:37</t>
        </is>
      </c>
      <c r="H1430" t="inlineStr"/>
    </row>
    <row r="1431">
      <c r="A1431" t="inlineStr">
        <is>
          <t>b429v5</t>
        </is>
      </c>
      <c r="B1431" t="inlineStr">
        <is>
          <t>Second last chemo</t>
        </is>
      </c>
      <c r="C1431" t="inlineStr">
        <is>
          <t xml:space="preserve">This monday my second last chemo will start out of 5. If anyone still has some tips let me know.
Wish me luck :) </t>
        </is>
      </c>
      <c r="D1431" t="n">
        <v>16</v>
      </c>
      <c r="E1431" t="n">
        <v>4</v>
      </c>
      <c r="F1431">
        <f>HYPERLINK("https://www.reddit.com/r/cancer/comments/b429v5/second_last_chemo/")</f>
        <v/>
      </c>
      <c r="G1431" t="inlineStr">
        <is>
          <t>2019-03-22 00:55:50</t>
        </is>
      </c>
      <c r="H1431" t="inlineStr"/>
    </row>
    <row r="1432">
      <c r="A1432" t="inlineStr">
        <is>
          <t>b443n0</t>
        </is>
      </c>
      <c r="B1432" t="inlineStr">
        <is>
          <t>Diagnosed with Melanoma</t>
        </is>
      </c>
      <c r="C1432" t="inlineStr">
        <is>
          <t>TL;DR - 2nd stage melanoma waiting for further staging and treatment. 
37 yo. For about a year I had an occasionally itchy patch on my back which I didn’t think much about. My wife looked there and couldn’t see anything so we weren’t worried. About two months ago I had a wound there which we attributed to me scratching it too much. This went away but then a month later we suddenly noticed blood on the sheets. Went to the doctor and got a derm appointment for two weeks later (god bless the NHS). At the appointment she said she can’t be sure what it is and sent me straight down to have it removed. 
Results took another three weeks and it came back as malignant melanoma, and apparently quite advanced (Breslow thickness 1.9). One of the shocking things (apart from the realization that my chance of living to an old age is much less than I used to think) was that because it was completely unpigmented neither us nor the doctors could see how big the lesion was. They took a diameter of 10 mm around and while this did include all the malignant part it didn’t include all the in situ component. If t was pigmented I would have seen it months ago as a huge and growing mark. 
Anyway, trying to get to grips now and deciding how to move forward. The NHS (UK) is extremely slow about these things and we are planning to go privately to have the wide local excision and lymph node biopsy. 
Considering the biopsy results I am probably looking at immunotherapy treatment soon. If anyone has any experience or tips I’d be happy to hear them. 
Especially how you deal with the emotional aspects. Has anyone (or their partners) tried anxiety medicine? Does it help? What kind of side effects do you get?</t>
        </is>
      </c>
      <c r="D1432" t="n">
        <v>43</v>
      </c>
      <c r="E1432" t="n">
        <v>15</v>
      </c>
      <c r="F1432">
        <f>HYPERLINK("https://www.reddit.com/r/cancer/comments/b443n0/diagnosed_with_melanoma/")</f>
        <v/>
      </c>
      <c r="G1432" t="inlineStr">
        <is>
          <t>2019-03-22 04:47:51</t>
        </is>
      </c>
      <c r="H1432" t="inlineStr"/>
    </row>
    <row r="1433">
      <c r="A1433" t="inlineStr">
        <is>
          <t>b45l2v</t>
        </is>
      </c>
      <c r="B1433" t="inlineStr">
        <is>
          <t>Does anyone have any long term experience with side effects associated with Etoposide and/or Cisplatin?</t>
        </is>
      </c>
      <c r="C1433" t="inlineStr">
        <is>
          <t xml:space="preserve">I am two months post chemo and a lot of people have complained of potentially acquiring neuropathy further down the line. Has anyone else experienced this? If so, when? Any other inclement side effects?
</t>
        </is>
      </c>
      <c r="D1433" t="n">
        <v>7</v>
      </c>
      <c r="E1433" t="n">
        <v>14</v>
      </c>
      <c r="F1433">
        <f>HYPERLINK("https://www.reddit.com/r/cancer/comments/b45l2v/does_anyone_have_any_long_term_experience_with/")</f>
        <v/>
      </c>
      <c r="G1433" t="inlineStr">
        <is>
          <t>2019-03-22 07:16:24</t>
        </is>
      </c>
      <c r="H1433" t="inlineStr"/>
    </row>
    <row r="1434">
      <c r="A1434" t="inlineStr">
        <is>
          <t>b46v6a</t>
        </is>
      </c>
      <c r="B1434" t="inlineStr">
        <is>
          <t>Support thread for ovarian cancer</t>
        </is>
      </c>
      <c r="C1434" t="inlineStr">
        <is>
          <t>I thought I would see if anyone was interested. I feel isolated in some ways with this cancer. I have a wonderful support group but almost everyone is already retired. I'm in my early 40s. Divorced. Still have children at home. 
Im Stage 3. Struggling with getting back to work but scared to come off disability, terrified of recurrence. It can happen so fast</t>
        </is>
      </c>
      <c r="D1434" t="n">
        <v>29</v>
      </c>
      <c r="E1434" t="n">
        <v>29</v>
      </c>
      <c r="F1434">
        <f>HYPERLINK("https://www.reddit.com/r/cancer/comments/b46v6a/support_thread_for_ovarian_cancer/")</f>
        <v/>
      </c>
      <c r="G1434" t="inlineStr">
        <is>
          <t>2019-03-22 09:06:19</t>
        </is>
      </c>
      <c r="H1434" t="inlineStr"/>
    </row>
    <row r="1435">
      <c r="A1435" t="inlineStr">
        <is>
          <t>b48580</t>
        </is>
      </c>
      <c r="B1435" t="inlineStr">
        <is>
          <t>3 weeks left</t>
        </is>
      </c>
      <c r="C1435" t="inlineStr">
        <is>
          <t xml:space="preserve">I have 5 days of chemo left over the next 3 weeks. Can’t wait for the final day so I can start recovering from chemo. I hadn’t had any crappy side effects till recently. No metallic taste but excessive salivation (watery) and dry mouth which is weird. I’m so over all of this fatigue, I want my hair back, I want my port out, I just want to go back to normal mode. </t>
        </is>
      </c>
      <c r="D1435" t="n">
        <v>28</v>
      </c>
      <c r="E1435" t="n">
        <v>7</v>
      </c>
      <c r="F1435">
        <f>HYPERLINK("https://www.reddit.com/r/cancer/comments/b48580/3_weeks_left/")</f>
        <v/>
      </c>
      <c r="G1435" t="inlineStr">
        <is>
          <t>2019-03-22 10:53:08</t>
        </is>
      </c>
      <c r="H1435" t="inlineStr"/>
    </row>
    <row r="1436">
      <c r="A1436" t="inlineStr">
        <is>
          <t>b492c5</t>
        </is>
      </c>
      <c r="B1436" t="inlineStr">
        <is>
          <t>My father might get diagnosed with cancer</t>
        </is>
      </c>
      <c r="C1436" t="inlineStr">
        <is>
          <t xml:space="preserve">We’ve been in the doctor since last night and just got news. Something in his immune system. They’re going to take a sample.. they said if it is then they can’t help him here. My father is 47 and I’m still 16 with a sister of 13. We live paycheck to paycheck and we’re scared of the outcome. He isn’t a citizen which is why they said they can’t help him get into Medicare. I’m scared right now. Really scared. </t>
        </is>
      </c>
      <c r="D1436" t="n">
        <v>5</v>
      </c>
      <c r="E1436" t="n">
        <v>0</v>
      </c>
      <c r="F1436">
        <f>HYPERLINK("https://www.reddit.com/r/cancer/comments/b492c5/my_father_might_get_diagnosed_with_cancer/")</f>
        <v/>
      </c>
      <c r="G1436" t="inlineStr">
        <is>
          <t>2019-03-22 12:08:22</t>
        </is>
      </c>
      <c r="H1436" t="inlineStr"/>
    </row>
    <row r="1437">
      <c r="A1437" t="inlineStr">
        <is>
          <t>b49lxc</t>
        </is>
      </c>
      <c r="B1437" t="inlineStr">
        <is>
          <t>My mother won't start her treatment.</t>
        </is>
      </c>
      <c r="C1437" t="inlineStr">
        <is>
          <t>Today my mom has told me that she has 2 small tumors (5mm in size) in her thyroid. She's found out about this 2 weeks ago. Because of her problems with thyroid, she has had regular checkups, so you could say that the tumor has been discovered early. The problem is that my mom believes that in this day and age there are more people who die from unncessary chemo than cancer itself, and that most of diagnosed cancer patients would get cured by themselves. She doesn't even plan to check if the tumor is cancerous or not. For me it just seems like a suicidal idea - she could probably get cured with an operation without chemo, because the tumor has been found so early and because it's so small. I want to convince her to do something about it before it spreads everywhere (again, I don't even know if it is cancerous but it's probably just a matter of time if left by itself), but she doesn't listen to me. What should I do? I don't want to see her suffer. She's so energetic right now, but it's just so surreal to me that she has a problem like that.</t>
        </is>
      </c>
      <c r="D1437" t="n">
        <v>8</v>
      </c>
      <c r="E1437" t="n">
        <v>5</v>
      </c>
      <c r="F1437">
        <f>HYPERLINK("https://www.reddit.com/r/cancer/comments/b49lxc/my_mother_wont_start_her_treatment/")</f>
        <v/>
      </c>
      <c r="G1437" t="inlineStr">
        <is>
          <t>2019-03-22 12:53:57</t>
        </is>
      </c>
      <c r="H1437" t="inlineStr"/>
    </row>
    <row r="1438">
      <c r="A1438" t="inlineStr">
        <is>
          <t>b49qry</t>
        </is>
      </c>
      <c r="B1438" t="inlineStr">
        <is>
          <t>Help</t>
        </is>
      </c>
      <c r="C1438" t="inlineStr">
        <is>
          <t xml:space="preserve">It will be 2 years on March 29 since I lost my mom to RCC, and it’s started to destroy me. I never got to say goodbye to her. I started crying and got overwhelmed and left the room, but little after I did so, shit started to hit the fan. She died a couple minutes later. Her last words to me were My name and don’t cry. I didn’t even say goodbye. It’s been ripping me apart lately. I don’t know how much longer I can take it. I feel immense guilt and depression. </t>
        </is>
      </c>
      <c r="D1438" t="n">
        <v>10</v>
      </c>
      <c r="E1438" t="n">
        <v>8</v>
      </c>
      <c r="F1438">
        <f>HYPERLINK("https://www.reddit.com/r/cancer/comments/b49qry/help/")</f>
        <v/>
      </c>
      <c r="G1438" t="inlineStr">
        <is>
          <t>2019-03-22 13:04:52</t>
        </is>
      </c>
      <c r="H1438" t="inlineStr"/>
    </row>
    <row r="1439">
      <c r="A1439" t="inlineStr">
        <is>
          <t>b4ae5w</t>
        </is>
      </c>
      <c r="B1439" t="inlineStr">
        <is>
          <t>Extremely concerned about cervical cancer</t>
        </is>
      </c>
      <c r="C1439" t="inlineStr">
        <is>
          <t>Hi guys.
First off I would like to make clear - I have not been diagnosed with cancer. I do hope my post does not upset or offend anyone, but I'm genuinely worried and looking for some advice, from really anyone, whether they have cancer or not.
For the last 6 months, I have been experiencing random bleeding between periods. Well, I say random, but often there is a cause - such as me having sex with my boyfriend or getting very stressed out. I received my letter inviting me for my smear test on October 5th 2018. I ignored the letter, stupidly, as I had a lot of other issues going on at that time and again, stupidly, I pushed my smear test to the back of my mind.
Since then, the bleeding has become worse. I've also become very lethargic, just tired all the time. My lower back is also killing me, to the point I'm waking up and crying quietly so as to not wake my boyfriend who is sleeping beside me, and constantly shifting in my seat to stay comfortable.
Other symptoms include strange vaginal discharge - not smelly mind you, just... not what my normal discharge looks like.
Occasional discomfort during sex with my boyfriend, which I don't actually know whether that is because he's quite big or if there's something not quite right with me.
I'll also note now, in case it might be relevant, back in September 2018 I became pregnant. I lost the baby the following month. I understand that after miscarriages things can take a little while to settle, but 5 months later seems long enough to me?
I have of course, been to my GP about this. I've had my smear test done, which I'm currently awaiting the results for however I had started bleeding when my test rolled around and I was warned blood can interfere with the results. The issue with this is - I have no idea when I will or will not be bleeding. So if the results are affected due to blood, I have no idea when I'll next realistically stop bleeding to have the test re-done, and these tests need to be booked in advance! 
Everything is getting on top of me. I have nobody to talk to. I really just want to go to the hospital and have an actual professional take a look at me, but I know that I cannot just turn up and expect someone to do that for me, appointments have to be made and you're lucky if you get one that isn't 2+ months later.
My mother told me today that her friend Paul's daughter, who is my age, has been diagnosed with terminal cervical cancer. She has 6 months left to live. I'm so scared. I don't want to die. I know it might not happen, it might be nothing at all but a dodgy womb maybe but the stress is crushing me and I just cannot breathe.</t>
        </is>
      </c>
      <c r="D1439" t="n">
        <v>0</v>
      </c>
      <c r="E1439" t="n">
        <v>2</v>
      </c>
      <c r="F1439">
        <f>HYPERLINK("https://www.reddit.com/r/cancer/comments/b4ae5w/extremely_concerned_about_cervical_cancer/")</f>
        <v/>
      </c>
      <c r="G1439" t="inlineStr">
        <is>
          <t>2019-03-22 14:00:40</t>
        </is>
      </c>
      <c r="H1439" t="inlineStr"/>
    </row>
    <row r="1440">
      <c r="A1440" t="inlineStr">
        <is>
          <t>b4back</t>
        </is>
      </c>
      <c r="B1440" t="inlineStr">
        <is>
          <t>My wife found out she has thyroid cancer today.</t>
        </is>
      </c>
      <c r="C1440" t="inlineStr">
        <is>
          <t>Her mother had it 3 or 4 years ago and fought it and her sister has her thyroid removed year before last and it was precancerous so we got my wife's checked out and it's malignant. Surgery to remove the thyroid is Wednesday. Hopefully is hasn't spread. She'll be 34 in May. 
Not sure how to process all this.</t>
        </is>
      </c>
      <c r="D1440" t="n">
        <v>12</v>
      </c>
      <c r="E1440" t="n">
        <v>10</v>
      </c>
      <c r="F1440">
        <f>HYPERLINK("https://www.reddit.com/r/cancer/comments/b4back/my_wife_found_out_she_has_thyroid_cancer_today/")</f>
        <v/>
      </c>
      <c r="G1440" t="inlineStr">
        <is>
          <t>2019-03-22 15:17:02</t>
        </is>
      </c>
      <c r="H1440" t="inlineStr"/>
    </row>
    <row r="1441">
      <c r="A1441" t="inlineStr">
        <is>
          <t>b4bgxq</t>
        </is>
      </c>
      <c r="B1441" t="inlineStr">
        <is>
          <t>Cancer twice before 27</t>
        </is>
      </c>
      <c r="C1441" t="inlineStr">
        <is>
          <t xml:space="preserve">Hi all,
I recently found this thread and found it be comforting when dealing when hard times 
When I was 21 I was dx with Hodgkin’s lymphoma. I did chemo and radiation to my neck and I been in remission for about 4.5 years. 
Since this December 2018 I felt jaw pain, kind of like TMJ mixed with tooth pain. Felt a lump
I’m my Submandibular gland where I can feel under my jaw and through my month and did a ct and the ct scan showed NOTHING on 2/8. 
I didn’t ease up and on 3/8 I got an mri that showed a 2cm mass. My ENT surgery swore it is benign and we have to take it out and that’s it however after the needle biopsy it was discovered it is carcinoma of the salivary gland, something that is .2 out of 100,000 get and something 65 year men get. 
We think it’s from the radiation of the hodgkins but it doesn’t make sense for it cause a secondary cancer in 5 years, usually it’s 10,15,20. 
My surgery is 4.2, thank god it is localized and my tumor and surrounding nodes will be removed. 
If you have experienced with salivary gland cancers or carcinoma please DM me I would love to ask questions. 
Thank you for listening. Cancer twice before 26 calls for a book.  
Best,
Asaf
</t>
        </is>
      </c>
      <c r="D1441" t="n">
        <v>52</v>
      </c>
      <c r="E1441" t="n">
        <v>31</v>
      </c>
      <c r="F1441">
        <f>HYPERLINK("https://www.reddit.com/r/cancer/comments/b4bgxq/cancer_twice_before_27/")</f>
        <v/>
      </c>
      <c r="G1441" t="inlineStr">
        <is>
          <t>2019-03-22 15:33:15</t>
        </is>
      </c>
      <c r="H1441" t="inlineStr"/>
    </row>
    <row r="1442">
      <c r="A1442" t="inlineStr">
        <is>
          <t>b4cmwd</t>
        </is>
      </c>
      <c r="B1442" t="inlineStr">
        <is>
          <t>CA Orange County Young Adult Cancer Support Group</t>
        </is>
      </c>
      <c r="C1442" t="inlineStr">
        <is>
          <t>I was recently acquainted with a cancer survivor named Heather who started a group on Meetup. It's called IMPACT: I'm Post/Active Cancer Treatment. Here's the summary:
"This group is designed for young adults with cancer (either actively receiving treatment or post treatment) to bond over adventurous activities! A place where we can openly talk about our cancer or not! :) The activities are supposed to be free or affordable as cancer treatments tend to break the wallet!
The events will be 1-2x/week that can range from hiking and kayaking to museum day painting activities."
It's still really new but there's a hike planned on the 6th of April and kayaking in May.
If anybody in/around Orange County California is interested, here's the link to the Meetup group: [IMPACT](http://meetu.ps/c/4gTHK/yWhF6/d)</t>
        </is>
      </c>
      <c r="D1442" t="n">
        <v>7</v>
      </c>
      <c r="E1442" t="n">
        <v>0</v>
      </c>
      <c r="F1442">
        <f>HYPERLINK("https://www.reddit.com/r/cancer/comments/b4cmwd/ca_orange_county_young_adult_cancer_support_group/")</f>
        <v/>
      </c>
      <c r="G1442" t="inlineStr">
        <is>
          <t>2019-03-22 17:22:13</t>
        </is>
      </c>
      <c r="H1442" t="inlineStr"/>
    </row>
    <row r="1443">
      <c r="A1443" t="inlineStr">
        <is>
          <t>b4dos2</t>
        </is>
      </c>
      <c r="B1443" t="inlineStr">
        <is>
          <t>Bad wolf gaming</t>
        </is>
      </c>
      <c r="C1443" t="inlineStr">
        <is>
          <t>Hello redditors! I'm here because 4 years ago, a young youtuber named david acott (aka badwolfgaming) passed away. I did not discover him until now and he made pretty good videos. In one of his final videos, he unboxed dying light, a zombie game, and said that he wanted to reach at  least 100 hours of play time. I'm afraid he died before he could. So, in memory of him, I am going to reach 150 hours. I am currently at 102 hours and counting. I will edit this post when I reach my goal. Check out his channel and drop a sub in memory of him....its the least you could do. RIP badwolfgaming</t>
        </is>
      </c>
      <c r="D1443" t="n">
        <v>8</v>
      </c>
      <c r="E1443" t="n">
        <v>2</v>
      </c>
      <c r="F1443">
        <f>HYPERLINK("https://www.reddit.com/r/cancer/comments/b4dos2/bad_wolf_gaming/")</f>
        <v/>
      </c>
      <c r="G1443" t="inlineStr">
        <is>
          <t>2019-03-22 19:13:00</t>
        </is>
      </c>
      <c r="H1443" t="inlineStr"/>
    </row>
    <row r="1444">
      <c r="A1444" t="inlineStr">
        <is>
          <t>b4dz36</t>
        </is>
      </c>
      <c r="B1444" t="inlineStr">
        <is>
          <t>I want to play online games with the kids/adults fighting cancer.</t>
        </is>
      </c>
      <c r="C1444" t="inlineStr">
        <is>
          <t>Hey guys, im relatively new to reddit and I had an idea. I was diagnosed with stage 3 melanoma in second grade and had to be taken out of school for a whole year. In that time I played more video games than I can remember. It was one of the only things that could simultaneously lift my spirits and take my mind off of the treatment. Unfortunately I never got to play with any body else. Back then I was playing pro scater on my ps1 and there was no online for me. But now I have been wanting to help people who are going through the same thing that I went through and i think I found a way. If anyone knows a kid/adult that is struggling with his treatment and has a pc to play video games on I really want to help. So please message me any usernames I can add, because I really want to help.</t>
        </is>
      </c>
      <c r="D1444" t="n">
        <v>11</v>
      </c>
      <c r="E1444" t="n">
        <v>1</v>
      </c>
      <c r="F1444">
        <f>HYPERLINK("https://www.reddit.com/r/cancer/comments/b4dz36/i_want_to_play_online_games_with_the_kidsadults/")</f>
        <v/>
      </c>
      <c r="G1444" t="inlineStr">
        <is>
          <t>2019-03-22 19:44:09</t>
        </is>
      </c>
      <c r="H1444" t="inlineStr"/>
    </row>
    <row r="1445">
      <c r="A1445" t="inlineStr">
        <is>
          <t>b4e1rg</t>
        </is>
      </c>
      <c r="B1445" t="inlineStr">
        <is>
          <t>Anyone else have Lynch Syndrome (or other hereditary cancer), and how do you deal with it?</t>
        </is>
      </c>
      <c r="C1445" t="inlineStr">
        <is>
          <t>TL;DR No cancer yet but I don’t know how to cope with the uncertainty of a hereditary cancer diagnosis, the vigilance of worrying whether or not something is just a minor something or an indicator of cancer.  I can’t tell myself “it’s probably nothing” because what if it isn’t?
25f. I got the Lynch dx about a month ago. Basically my form gives 20% lifetime risk of colon cancer, 15-20% risk of uterine, and increased risk of skin, brain, pancreatic, upper GI, and probably other stuff. I had my colonoscopy two weeks ago, they removed a precancerous polyp, and I’ll have to get one every year for the rest of my life. I spoke with one of my docs and she basically said if something feels wrong I should come in, I know myself best, and better safe than sorry. Feels wrong anywhere. Essentially I am going to have a lot of false panics in my future (assuming I don’t actually get cancer in the very near future). If I get it, they tend to be more aggressive. At first I was okay but with time I’m feeling less okay. I plan on getting a partial hysterectomy eventually since there doesn’t seem to be any easy screening method like for colon cancer, but beyond that I don’t know what to do. The brain cancer scares me the most. I already have a seizure disorder. What if I get a tumor there but they think the symptoms are just the seizure disorder until it’s too late? So many what ifs. Or nothing may ever happen and I’ll have a nagging worry in the back of my mind for the next 50+ years. Has my stomach been upset because I’ve been stressed or might there be something else? Are my periods weird lately because things change over time or is it something wrong with my uterus? Are the headaches and vision issues a tumor or just a sign they still haven’t gotten my eyeglass prescription quite right?</t>
        </is>
      </c>
      <c r="D1445" t="n">
        <v>3</v>
      </c>
      <c r="E1445" t="n">
        <v>7</v>
      </c>
      <c r="F1445">
        <f>HYPERLINK("https://www.reddit.com/r/cancer/comments/b4e1rg/anyone_else_have_lynch_syndrome_or_other/")</f>
        <v/>
      </c>
      <c r="G1445" t="inlineStr">
        <is>
          <t>2019-03-22 19:52:19</t>
        </is>
      </c>
      <c r="H1445" t="inlineStr"/>
    </row>
    <row r="1446">
      <c r="A1446" t="inlineStr">
        <is>
          <t>b4e3wd</t>
        </is>
      </c>
      <c r="B1446" t="inlineStr">
        <is>
          <t>Anything medical related will give me a panic attack, could I have cancer related PTSD?</t>
        </is>
      </c>
      <c r="C1446" t="inlineStr">
        <is>
          <t>5 years out and good. Before testicular cancer I had depression and some anxiety. It wasn’t until after cancer that I started having panic attacks. Now anything medical related will trigger a panic attack and I end up avoiding my follow up appointments and tests. My general anxiety is more consistent know as well. I’m seeing a psychiatrist soon about this. Could this be some kind of PTSD or just some general anxiety disorder.</t>
        </is>
      </c>
      <c r="D1446" t="n">
        <v>4</v>
      </c>
      <c r="E1446" t="n">
        <v>6</v>
      </c>
      <c r="F1446">
        <f>HYPERLINK("https://www.reddit.com/r/cancer/comments/b4e3wd/anything_medical_related_will_give_me_a_panic/")</f>
        <v/>
      </c>
      <c r="G1446" t="inlineStr">
        <is>
          <t>2019-03-22 19:58:43</t>
        </is>
      </c>
      <c r="H1446" t="inlineStr"/>
    </row>
    <row r="1447">
      <c r="A1447" t="inlineStr">
        <is>
          <t>b4eecs</t>
        </is>
      </c>
      <c r="B1447" t="inlineStr">
        <is>
          <t>My toddler has a brain tumor, and I've got no statistically good options for him. Peer reviewed treatment suggestions and/or any intel on ongoing clinical trials that seem promising would be appreciated.</t>
        </is>
      </c>
      <c r="C1447" t="inlineStr">
        <is>
          <t xml:space="preserve">My three year old has grade 3 diffuse astrocytoma, or as I half-jokingly call it, the artist formerly known as gliomatosis cerebri. I did some research and found only four children lose this particular lottery per year in the US. His condition has only been diagnose (pre-mortem) since the MRI came into use in the late 1970's/early 1980's. Most studies I have read are not promising, but sample sizes are small and treatment options were extremely limited for much of the time it has been detectable before death. For those reasons, I'm attempting to remain positive, but as most of you are likely aware it is difficult at times. Does anyone have any experiences and/or intelligence on treatments that have been effective for childhood high-grade gliomas? I'm trying to avoid radiation due to the potential for developmental delays and other negative neurological effects, but that is the only non-experimental option I've found that reliably destroys his type of tumor cells. He doesn't know and/or care about his condition at this point as his seizures are controlled and his  tumor hasn't progressed since it's detection/diagnosis six months ago, but I know the time will come where decisions have to be made. We likely don't have the time to sit around and wait for seven years and six months to wait for a sample size of 30 and the relative statistical certainty that would bring, so any insight into new/ongoing/any treatments that have proven helpful would be appreciated. </t>
        </is>
      </c>
      <c r="D1447" t="n">
        <v>19</v>
      </c>
      <c r="E1447" t="n">
        <v>6</v>
      </c>
      <c r="F1447">
        <f>HYPERLINK("https://www.reddit.com/r/cancer/comments/b4eecs/my_toddler_has_a_brain_tumor_and_ive_got_no/")</f>
        <v/>
      </c>
      <c r="G1447" t="inlineStr">
        <is>
          <t>2019-03-22 20:30:19</t>
        </is>
      </c>
      <c r="H1447" t="inlineStr"/>
    </row>
    <row r="1448">
      <c r="A1448" t="inlineStr">
        <is>
          <t>b4evgf</t>
        </is>
      </c>
      <c r="B1448" t="inlineStr">
        <is>
          <t>Hey y’all. This is crazy but I think I have cancer.</t>
        </is>
      </c>
      <c r="C1448" t="inlineStr">
        <is>
          <t xml:space="preserve">I saw a neurologist and right away she noticed something off. My reflexes were a little messed up. I can’t feel hot/cold or sharpness on certain parts of the left side of my body. I finally got to a neurologist after we have done a million tests to rule out diabetes, MS, and anything we can think of. It all started with neuropathy in my feet. Then hands. Used to be occasional but now all the time. Way worse at night. My body aches a lot. I describe it as it feels like my bones are rotting. Over the last year on and off I will go through times when I pee myself because I can’t control my bladder. Did bladder tests, everything is fine. Was in urgent care for back and neck pain a few weeks ago that was unbearable. The other day I lost feeling in my arm for like 30 minutes and it felt like a rubber band was being flicked through my finger up my arm. I lose my balance all the time now. Sometimes words sound perfect in my head then I slur when I try to talk. I’ve had a raspy voice on and off with no explanation. I also randomly throw up when I’m walking sometimes because out of nowhere I feel sick. This has all happened over the last year and I never even thought it was all connected because it always seems to blow over until I saw the neurologist this week. Ordered a neck mri. She mentioned my spine having signs of arthritis which stood out because I’m young. 
I am a 22 year old female.
I just need some support. Can anyone tell me what some of their signs were? Am I making it all up in my head to be worse than it is? I have felt crazy the last year with doctors saying my blood work etc was fine. But this doctor seemed pretty concerned and I’m terrified. Help </t>
        </is>
      </c>
      <c r="D1448" t="n">
        <v>1</v>
      </c>
      <c r="E1448" t="n">
        <v>6</v>
      </c>
      <c r="F1448">
        <f>HYPERLINK("https://www.reddit.com/r/cancer/comments/b4evgf/hey_yall_this_is_crazy_but_i_think_i_have_cancer/")</f>
        <v/>
      </c>
      <c r="G1448" t="inlineStr">
        <is>
          <t>2019-03-22 21:22:57</t>
        </is>
      </c>
      <c r="H1448" t="inlineStr"/>
    </row>
    <row r="1449">
      <c r="A1449" t="inlineStr">
        <is>
          <t>b4eycw</t>
        </is>
      </c>
      <c r="B1449" t="inlineStr">
        <is>
          <t>We've had a rough week.</t>
        </is>
      </c>
      <c r="C1449" t="inlineStr">
        <is>
          <t>It's been a rough week.  My wife turns 60 in June and has been fighting breast cancer on and off since she was 29.  It came back in late 2012 when she was 52.  It was in her mediastinum.  30 days of radiation cooked that and we had almost three good years after that.  In 2016 is metastasized into six vertebra, her liver, and her hip.  Only recently did we discover there were small nodules in her lungs.  We've done two forms of pill chemo therapy and June 2018 we had to start Taxol.  That's infusion based bag chemo.  It kicked her ass, but it also started shrinking her cancers.  By November of 2018 she was getting toxic.  Since the cancer was shrinking the oncologist suggested we take a chemo "holiday."   It was a good thing too, because I think she was ready to give up around this point.  
&amp;amp;#x200B;
I've told her from day one that treatment decisions are hers.  I will back whatever decision she makes 100% even if I don't agree with it.  I told her to fight as long as she wants to fight and get done whatever she needs to do.  The only request I had was for her to NOT do it for me.  Because I'm watching her suffer through this shit and I don't want to be the reason she continues to suffer.  I do not want to lose her, but that is inevitable.  We are just buying time and balancing quality over quantity.  The doctors told us that if she were to quit chemo she would have at most six to nine months once the cancer started growing again.
&amp;amp;#x200B;
In January of this year we went in for a checkup having been off chemo for almost 7 weeks.   The oncologist was tickled to tell us that the cancer was stable.  Nothing shrunk, but also nothing had grown.  He wanted us to take two more months off chemo to let her body recover.  She was thrilled of course.   That brings us to this week.  We went to the oncologist with three possible expectations.
1. The cancer was stable so continue the holiday
2. The cancer grew a tiny amount, but continue the holiday
3. The cancer grew a little and we need to start back on chemo.
&amp;amp;#x200B;
Surprise!  It was option 4.  The cancer went $#@%ing nuts.  The three tumors in her liver grew anywhere from 50% to outright doubling in size.  The biggest one is now 3.5x3.7cm.  Worst yet five new tumors appeared measuring anywhere from 0.6cm to 1.7cm.  We never considered option 4.  Not in just 60 days.  In even worse news the oncologist does not want us back on the devil we know, Taxol.  He feels that the cancer is probably becoming resistant to it by this point.  So he's putting us on Xeloda.  I've read up on this drug.  The side effects read like a #@$%ing horror novel.
&amp;amp;#x200B;
So it's been a bit of a crap week.  This Sunday is my birthday.  I'll be turning 45.  Yes...I'm 15 years younger than her.  We've been a couple for 22 years.  Married for 17 this June.   I hate watching her suffer.  I hate watching her go through this.  And it royally sucks that I'm about to find myself alone for the first time in my life before I even hit 50.
&amp;amp;#x200B;
Thanks for letting me vent.</t>
        </is>
      </c>
      <c r="D1449" t="n">
        <v>19</v>
      </c>
      <c r="E1449" t="n">
        <v>16</v>
      </c>
      <c r="F1449">
        <f>HYPERLINK("https://www.reddit.com/r/cancer/comments/b4eycw/weve_had_a_rough_week/")</f>
        <v/>
      </c>
      <c r="G1449" t="inlineStr">
        <is>
          <t>2019-03-22 21:32:16</t>
        </is>
      </c>
      <c r="H1449" t="inlineStr"/>
    </row>
    <row r="1450">
      <c r="A1450" t="inlineStr">
        <is>
          <t>b4f2ds</t>
        </is>
      </c>
      <c r="B1450" t="inlineStr">
        <is>
          <t>What’s good?</t>
        </is>
      </c>
      <c r="C1450" t="inlineStr">
        <is>
          <t xml:space="preserve">Nothing. Nothing is good today. I feel like a total slug, waxy texture in mouth can’t taste food. The food I do eat sits like rocks in my stomach. 
Crispix cereal with a little brown sugar? 
Nope
Dried papaya because it’s supposed to help with tummy issues? 
Nope. 
Baked potato with nothing on it because heck who doesn’t like potatoes. 
Still nope. 
Baked chicken, broccoli, and noodles for dinner because your husband is nice enough to cook. 
Ate it all but couldn’t taste a bite. 
Too much garlic apparently. 
Turtle pie!! Heck (!)...nope. 
Wish I could just sleep through these days but nooo my bladder and bowels still have to function. Maybe tomorrow. </t>
        </is>
      </c>
      <c r="D1450" t="n">
        <v>11</v>
      </c>
      <c r="E1450" t="n">
        <v>4</v>
      </c>
      <c r="F1450">
        <f>HYPERLINK("https://www.reddit.com/r/cancer/comments/b4f2ds/whats_good/")</f>
        <v/>
      </c>
      <c r="G1450" t="inlineStr">
        <is>
          <t>2019-03-22 21:44:46</t>
        </is>
      </c>
      <c r="H1450" t="inlineStr"/>
    </row>
    <row r="1451">
      <c r="A1451" t="inlineStr">
        <is>
          <t>b4f6ob</t>
        </is>
      </c>
      <c r="B1451" t="inlineStr">
        <is>
          <t>What Is The Craziest or Funniest Thing That Happened During Your Cancer Experience?</t>
        </is>
      </c>
      <c r="C1451" t="inlineStr">
        <is>
          <t>I'm going to say more than one. I had three different cancers so I will pick three different things from each. 
My first cancer I was about a month in to my treatment, I was going back and forth between my treatment hospital and my hometown (a 12-13 hour drive). Now my home town is extremely small (20 people in my graduating class), and we don't get many new people. My mom, my aunt and I always had a tradition of going to a local baffet for lunch. Being my first cancer I was quite self conscious of my bald head so I wore a hat unless I was home with family or friends. Well, I was sitting in my usual spot, and the owner comes around. Instead of asking me why I was bald. This lady walks behind me like she was going to another table, and stops directly behind me so I couldn't see her. She rips off my hat and starts rubbing the top of my head and asks me if I shaved my head.
As for my second cancer. I hate Social Workers. They seem to think they know everything and I have never had a single one help me. One day I was laying in bed talking with my mom who was next to me. When a lady comes in to my room, walks directly to my bed, interrupts my conversation and starts grabbing my hands. Yes, this was a social worker. She starts asking me what all these different scars and marks were on my body, I was 11 and a Tom Boy at that, so I had fallen off my bike, or scooter, or horse multiple times, I was a girl who wasn't afraid to get her hands dirty. And my old scars were inflamed from the chemo. I have a burn scar on the top of my left hand it's very old you can tell that it is old by just looking at it. This Social Worker grabs my hand flips it over and straight up asks me if my mom burned me. First of all, I've never known a victim of abuse to admit the abuse in front of their abuser, and second, my mother is the sweetest kindest lady and about all she could do is hurt a fly or someone who was hurting me. So she obviously cares very much for me. I explained what the burn mark was, but she wasn't done there. She looks up my neck where the line to my port goes and it protruded a bit. So she decides it'd be smart to jab my port line with her finger while pointing it out and ask what it was, like my mother had somehow implanted my neck with something? So I informed her that I recieved my chemotherapy for my cancer, that she was on the cancer floor, and that she should leave and never come back. 
My last one was my Leukemia. I had to wear a protective mask, it was green and large and it stood out. It looks kind of like a mask for a hazmat suit. I was walking around walmart with a friend and a lady saw me, pointed, screamed and ran away.</t>
        </is>
      </c>
      <c r="D1451" t="n">
        <v>32</v>
      </c>
      <c r="E1451" t="n">
        <v>31</v>
      </c>
      <c r="F1451">
        <f>HYPERLINK("https://www.reddit.com/r/cancer/comments/b4f6ob/what_is_the_craziest_or_funniest_thing_that/")</f>
        <v/>
      </c>
      <c r="G1451" t="inlineStr">
        <is>
          <t>2019-03-22 21:57:54</t>
        </is>
      </c>
      <c r="H1451" t="inlineStr"/>
    </row>
    <row r="1452">
      <c r="A1452" t="inlineStr">
        <is>
          <t>b4g0gb</t>
        </is>
      </c>
      <c r="B1452" t="inlineStr">
        <is>
          <t>My Dad has less than two years to live</t>
        </is>
      </c>
      <c r="C1452" t="inlineStr">
        <is>
          <t>I apologize in advance for my poor sentence structure. I'm going through a lot at the moment.
My Dad was recently diagnosed with terminal lung cancer. He's been a smoker since he was a teenager and was never really in the best health throughout most of his life. I've been trying to get him to at least start vaping for the last two years, hoping it would help (but I suppose I always knew that it would happen no matter what). He may not have always been the best person. He'd get angry, get drunk, sometimes break stuff. But he's my dad. He's the only one I got. I keep telling myself how I always knew that this day would come and I'd be able to handle it. But now that it's here, I don't know what to do. I'm usually very calm and collected on the exterior. But I can feel my heart racing as I type this out. When my sister told me it was terminal, I kept my cool. But after I left, I felt like I was going to throw up. I'm scared for my Dad. He lives in an apartment by himself. No pets, no wife, no girlfriend. It's just him. I can't imagine what he's going through right now. Alone at that.
I don't know what to do.</t>
        </is>
      </c>
      <c r="D1452" t="n">
        <v>23</v>
      </c>
      <c r="E1452" t="n">
        <v>5</v>
      </c>
      <c r="F1452">
        <f>HYPERLINK("https://www.reddit.com/r/cancer/comments/b4g0gb/my_dad_has_less_than_two_years_to_live/")</f>
        <v/>
      </c>
      <c r="G1452" t="inlineStr">
        <is>
          <t>2019-03-22 23:37:31</t>
        </is>
      </c>
      <c r="H1452" t="inlineStr"/>
    </row>
    <row r="1453">
      <c r="A1453" t="inlineStr">
        <is>
          <t>b4g1w6</t>
        </is>
      </c>
      <c r="B1453" t="inlineStr">
        <is>
          <t>Dealing with my mother’s cancer diagnosis</t>
        </is>
      </c>
      <c r="C1453" t="inlineStr">
        <is>
          <t xml:space="preserve">Well, it’s been a little over a month since my mom first told me that she had a mass on her pancreas. The doctors first told her that it had only been there maybe six months and was definitely not there this time last year. Fast forward to last week and she has been diagnosed with Stage IV Pancreatic Cancer along with liver cancer. She had a pet scan today to determine if and how much else it has spread through her body. I feel so alone right now. My brother is a heroin addict and I can’t depend on him to help with anything other then him wanting to steal pain medication or shoot up. My dad is doing the best he can to keep everything together and not have a break down. My poor sister who is developmentally delayed has no clue the reality we are looking at and one day my mom will no longer be there to put her to bed and she will have no idea why. I know she hasn’t passed yet and I should take every chance I have to be with her and I am, but the times that I’m alone I just get overwhelmed with a great sadness that I can’t shake. I can’t fathom the idea that she will never see me have children, get married or even graduate college in a few years. </t>
        </is>
      </c>
      <c r="D1453" t="n">
        <v>10</v>
      </c>
      <c r="E1453" t="n">
        <v>3</v>
      </c>
      <c r="F1453">
        <f>HYPERLINK("https://www.reddit.com/r/cancer/comments/b4g1w6/dealing_with_my_mothers_cancer_diagnosis/")</f>
        <v/>
      </c>
      <c r="G1453" t="inlineStr">
        <is>
          <t>2019-03-22 23:42:28</t>
        </is>
      </c>
      <c r="H1453" t="inlineStr"/>
    </row>
    <row r="1454">
      <c r="A1454" t="inlineStr">
        <is>
          <t>b4houp</t>
        </is>
      </c>
      <c r="B1454" t="inlineStr">
        <is>
          <t>Fuck Cancer</t>
        </is>
      </c>
      <c r="C1454" t="inlineStr">
        <is>
          <t xml:space="preserve">My aunt was diagnosed with anaplastic thyroid cancer 2 weeks before thanksgiving.  We were told 3 months without treatment, 3-6 months with. 
They told us most people don’t make it to surgery.  Then they told us most people don’t make it through chemo/radiation ... but she wanted to fight...through the burns on her neck, the sores on her feet...through the trach, the peg, the infections.... 
Less than a week ago she told us she wanted some time to herself, and then drove herself to the casino to gamble...she was fine, she was herself.... but the tumor eroded into a major vessel in her lung last night and she was gone before paramedics arrived.  
We got 4 months when most don’t get 1....but it’s not enough.   A nurse who gave up her life in service of others; who gave up her retirement to care for her very sick mother.  The most wonderful person, who didn’t get a chance to live only for herself.  My heart is broken - Fuck Cancer. 
Thanks for listening. </t>
        </is>
      </c>
      <c r="D1454" t="n">
        <v>116</v>
      </c>
      <c r="E1454" t="n">
        <v>14</v>
      </c>
      <c r="F1454">
        <f>HYPERLINK("https://www.reddit.com/r/cancer/comments/b4houp/fuck_cancer/")</f>
        <v/>
      </c>
      <c r="G1454" t="inlineStr">
        <is>
          <t>2019-03-23 03:28:01</t>
        </is>
      </c>
      <c r="H1454" t="inlineStr"/>
    </row>
    <row r="1455">
      <c r="A1455" t="inlineStr">
        <is>
          <t>b4hxcz</t>
        </is>
      </c>
      <c r="B1455" t="inlineStr">
        <is>
          <t>The Cancer Card</t>
        </is>
      </c>
      <c r="C1455" t="inlineStr">
        <is>
          <t>I jsut started my chemo for this time having colon cancer. It went horrible. I have been feeling horrible and have probably said more than once and online "The Cancer Card or CC" as many Redditors seems to use. Well, yes, I have it and it sucks. On Reiddt recently I was attacked saying I don't even have it! Mean abuse comments that stung and hurt to the core but of course people online think their words don't hurt or abuse or make us feel like that. To them they are just words. To me,It is like a dull sword meant o hurt and harm. 
Yes, I have said it and why do I say it. CUZ it fucking sucks to have cancer and people don't seem to understand and you want them to "get it" and be nicer or be kinder or just be a fucking good human. and yes, if you attack me onlineI may and most likely will tell you I have cancer because I am hoping , MAYBE you might change your tune and stop being a dick or a bitch to me for no reason.
I posted on a weed site and got attacked. CC
I posted on Humand Being Bros about a friend who did a good thing paying me back and evidently it looked like I was trying to too my horn own about lending it to him, which was not the point and yes I pulled the CC.
Then I posted in weed again clarifying in the title me, cancer warrior and yep got more attacked. CC
I idtentify with it. I have Cancer. It is who I am. This is Trixie, Cancer warrior. Ths is Trixie, cancer fighter. this is trixie, cancer Toastmaster. and so on. I don't feel it is wrong and many of you might agree or might not. Cancer sux. I hate it. Who doesn't No one is going around, "Oh look at me I have cancer look how great Ia m" FUCK.
Why do I use it, say it claim it? Because I have cancer. Yes, it DOEs define me. It is who I am. My identity is connected to it. My character is connected to it. My integrity, my values, connected. I don't feel there is anyone wrong with being that way. That does mean I am "pulling the cancer card" it means, I have fucking cancer, it sucks and I am a human trying to fight it and get to the other side...living without it</t>
        </is>
      </c>
      <c r="D1455" t="n">
        <v>1</v>
      </c>
      <c r="E1455" t="n">
        <v>6</v>
      </c>
      <c r="F1455">
        <f>HYPERLINK("https://www.reddit.com/r/cancer/comments/b4hxcz/the_cancer_card/")</f>
        <v/>
      </c>
      <c r="G1455" t="inlineStr">
        <is>
          <t>2019-03-23 04:00:02</t>
        </is>
      </c>
      <c r="H1455" t="inlineStr"/>
    </row>
    <row r="1456">
      <c r="A1456" t="inlineStr">
        <is>
          <t>b4iiyj</t>
        </is>
      </c>
      <c r="B1456" t="inlineStr">
        <is>
          <t>I’m 22 and there’s a good chance I have colon cancer</t>
        </is>
      </c>
      <c r="C1456" t="inlineStr">
        <is>
          <t>Back when I was a teenager, from 14-18, I followed a keto diet with a lot of red meat. I regained my senses regarding diet but probably too late. The past weeks I had some mild bowel discomfort, so I decided to get a fecal immunological blood test (check for blood in the stool). 
It’s one of those pregnancy type tests where 2 lines means positive. The line was very very vague, but it was positive. A positive result is statistically linked to about 75% chance of (early stage) cancer. I have an appointment on monday to schedule a colonoscopy. I’m trying to stay positive that it might be a false positive, but the odds are not on my side.. I just don’t know what to think or do</t>
        </is>
      </c>
      <c r="D1456" t="n">
        <v>0</v>
      </c>
      <c r="E1456" t="n">
        <v>8</v>
      </c>
      <c r="F1456">
        <f>HYPERLINK("https://www.reddit.com/r/cancer/comments/b4iiyj/im_22_and_theres_a_good_chance_i_have_colon_cancer/")</f>
        <v/>
      </c>
      <c r="G1456" t="inlineStr">
        <is>
          <t>2019-03-23 05:16:26</t>
        </is>
      </c>
      <c r="H1456" t="inlineStr"/>
    </row>
    <row r="1457">
      <c r="A1457" t="inlineStr">
        <is>
          <t>b4lmmn</t>
        </is>
      </c>
      <c r="B1457" t="inlineStr">
        <is>
          <t>Who provides a diagnosis of (esophaegal?) cancer?</t>
        </is>
      </c>
      <c r="C1457" t="inlineStr">
        <is>
          <t xml:space="preserve">Hi guys,
My husband's doctor has told him that an ultrasound has indicated quite likely cancer in his lymph nodes. It could have originated in his lymph nodes or it could have migrated from an affected organ. 
Do GPs diagnose cancer? Shouldn't my husband be referred to a specialist?
</t>
        </is>
      </c>
      <c r="D1457" t="n">
        <v>0</v>
      </c>
      <c r="E1457" t="n">
        <v>20</v>
      </c>
      <c r="F1457">
        <f>HYPERLINK("https://www.reddit.com/r/cancer/comments/b4lmmn/who_provides_a_diagnosis_of_esophaegal_cancer/")</f>
        <v/>
      </c>
      <c r="G1457" t="inlineStr">
        <is>
          <t>2019-03-23 10:17:01</t>
        </is>
      </c>
      <c r="H1457" t="inlineStr"/>
    </row>
    <row r="1458">
      <c r="A1458" t="inlineStr">
        <is>
          <t>b4pgu2</t>
        </is>
      </c>
      <c r="B1458" t="inlineStr">
        <is>
          <t>Resource for women with ovarian cancer</t>
        </is>
      </c>
      <c r="C1458" t="inlineStr">
        <is>
          <t xml:space="preserve">I don't know if anyone has posted this here before, but [inspire.com](https://inspire.com) is a real good message board and website for women with ovarian cancer. Lots of good information, as well as a place to get emotional support. I have been using it since I was diagnosed, and even though I mostly lurk I've found it very helpful. </t>
        </is>
      </c>
      <c r="D1458" t="n">
        <v>28</v>
      </c>
      <c r="E1458" t="n">
        <v>8</v>
      </c>
      <c r="F1458">
        <f>HYPERLINK("https://www.reddit.com/r/cancer/comments/b4pgu2/resource_for_women_with_ovarian_cancer/")</f>
        <v/>
      </c>
      <c r="G1458" t="inlineStr">
        <is>
          <t>2019-03-23 16:08:04</t>
        </is>
      </c>
      <c r="H1458" t="inlineStr"/>
    </row>
    <row r="1459">
      <c r="A1459" t="inlineStr">
        <is>
          <t>b4qzyc</t>
        </is>
      </c>
      <c r="B1459" t="inlineStr">
        <is>
          <t>Writing my story to move forward?</t>
        </is>
      </c>
      <c r="C1459" t="inlineStr">
        <is>
          <t>The title pretty much says it all, I’m having a really hard time adjusting to my new life of remission and I love writing and was wondering if writing my story could help me move forward with my life, what do you guys think?</t>
        </is>
      </c>
      <c r="D1459" t="n">
        <v>8</v>
      </c>
      <c r="E1459" t="n">
        <v>13</v>
      </c>
      <c r="F1459">
        <f>HYPERLINK("https://www.reddit.com/r/cancer/comments/b4qzyc/writing_my_story_to_move_forward/")</f>
        <v/>
      </c>
      <c r="G1459" t="inlineStr">
        <is>
          <t>2019-03-23 18:48:35</t>
        </is>
      </c>
      <c r="H1459" t="inlineStr"/>
    </row>
    <row r="1460">
      <c r="A1460" t="inlineStr">
        <is>
          <t>b4rmsj</t>
        </is>
      </c>
      <c r="B1460" t="inlineStr">
        <is>
          <t>Help me get something I enjoy back</t>
        </is>
      </c>
      <c r="C1460" t="inlineStr">
        <is>
          <t>Right now I'm a twenty year old dealing with a rare form of liver cancer. My stepmom and Dad have been kind enough to take me in but have convinced themselves that foods high in sugar are detrimental to my treatment and cure. I've looked online and found some articles that say the opposite from reputable sources like Mayo but it's going to take more than one. If anyone else has information on this it'd be greatly appreciated, or if I'm wrong then being called out on that would be appreciated as well.
Thanks, and good luck to you and your battle.</t>
        </is>
      </c>
      <c r="D1460" t="n">
        <v>11</v>
      </c>
      <c r="E1460" t="n">
        <v>13</v>
      </c>
      <c r="F1460">
        <f>HYPERLINK("https://www.reddit.com/r/cancer/comments/b4rmsj/help_me_get_something_i_enjoy_back/")</f>
        <v/>
      </c>
      <c r="G1460" t="inlineStr">
        <is>
          <t>2019-03-23 19:54:35</t>
        </is>
      </c>
      <c r="H1460" t="inlineStr"/>
    </row>
    <row r="1461">
      <c r="A1461" t="inlineStr">
        <is>
          <t>b4rt1c</t>
        </is>
      </c>
      <c r="B1461" t="inlineStr">
        <is>
          <t>My mom</t>
        </is>
      </c>
      <c r="C1461" t="inlineStr">
        <is>
          <t xml:space="preserve">I’ve posted here before, but basically I can tell my mom is getting worse. She’s more tired and in more pain more often. I’m not ready. </t>
        </is>
      </c>
      <c r="D1461" t="n">
        <v>9</v>
      </c>
      <c r="E1461" t="n">
        <v>6</v>
      </c>
      <c r="F1461">
        <f>HYPERLINK("https://www.reddit.com/r/cancer/comments/b4rt1c/my_mom/")</f>
        <v/>
      </c>
      <c r="G1461" t="inlineStr">
        <is>
          <t>2019-03-23 20:13:28</t>
        </is>
      </c>
      <c r="H1461" t="inlineStr"/>
    </row>
    <row r="1462">
      <c r="A1462" t="inlineStr">
        <is>
          <t>b4t8w5</t>
        </is>
      </c>
      <c r="B1462" t="inlineStr">
        <is>
          <t>The worst experience since diagnosis wasn’t from the cancer; it was the medicine</t>
        </is>
      </c>
      <c r="C1462" t="inlineStr">
        <is>
          <t>Last year, while taking chemo, I had some constipation issues with an anti-nausea drug called ondansetron. The doctor gave me another anti-nausea called compazine. 
I started to experience the worst feeling I have ever had. I couldn’t sit still enough to get sleep at night. I would walk around my room late into the night debating whether or not to wake my mom from the couch in my apartment. I would spend hours crying to her telling her how awful I felt. But I could never pinpoint what was wrong. The anxiety and restlessness came to a degree that I had never experienced. Existing felt torturous. I wish I was exaggerating. 
I remember once when I went out to dinner with my mom and sister. The sun was shining and we were sitting outside. I was excited to get out of the house because of this feeling of restlessness. But the second we sat down I felt trapped and restricted and cried to my family that we needed to leave. 
I was seeing a counselor already for an issue related to my anxiety, so I feared that this was an amplification of my preexisting anxiety. I went to my counselor to discuss anxiety medication, so she referred me to her colleague, a psychiatrist. While she was checking the drugs that I was taking she came across a side effect from compazine: akathisia. The second that I stopped taking compazine, the symptoms were gone. 
So I thought I’d pass on some of my chemo wisdom: Trust yourself! You know when something is really wrong. Tell your doctor about any abnormal feeling or side effect.
I felt like the restlessness was too trivial of a thing to mention to my oncologist because it was mental health, and seemingly unrelated to my treatment of cancer. I also am very grateful that that psychiatrist was able to diagnose the issue so quickly. It felt like she was an angel. If you are going through chemo, consider seeing a counselor. Mental health is just as important as physical health. 
Thanks for reading. Good luck if you are on chemo, take care!</t>
        </is>
      </c>
      <c r="D1462" t="n">
        <v>82</v>
      </c>
      <c r="E1462" t="n">
        <v>40</v>
      </c>
      <c r="F1462">
        <f>HYPERLINK("https://www.reddit.com/r/cancer/comments/b4t8w5/the_worst_experience_since_diagnosis_wasnt_from/")</f>
        <v/>
      </c>
      <c r="G1462" t="inlineStr">
        <is>
          <t>2019-03-23 23:16:26</t>
        </is>
      </c>
      <c r="H1462" t="inlineStr"/>
    </row>
    <row r="1463">
      <c r="A1463" t="inlineStr">
        <is>
          <t>b4u1iz</t>
        </is>
      </c>
      <c r="B1463" t="inlineStr">
        <is>
          <t>Best Ayurvedic Treatment for Cancer with Ayurvedic Medicines</t>
        </is>
      </c>
      <c r="C1463" t="inlineStr">
        <is>
          <t>[Ayurvedic treatment for cancer](http://www.askmap.net/location/5035286/india/cancertame) is one of the best and affordable cancer treatment for cancer at the starting stage. If you are looking for treat you cancer, Contact us today.</t>
        </is>
      </c>
      <c r="D1463" t="n">
        <v>0</v>
      </c>
      <c r="E1463" t="n">
        <v>0</v>
      </c>
      <c r="F1463">
        <f>HYPERLINK("https://www.reddit.com/r/cancer/comments/b4u1iz/best_ayurvedic_treatment_for_cancer_with/")</f>
        <v/>
      </c>
      <c r="G1463" t="inlineStr">
        <is>
          <t>2019-03-24 01:17:17</t>
        </is>
      </c>
      <c r="H1463" t="inlineStr"/>
    </row>
    <row r="1464">
      <c r="A1464" t="inlineStr">
        <is>
          <t>b4vwrx</t>
        </is>
      </c>
      <c r="B1464" t="inlineStr">
        <is>
          <t>Have You Recently Been Diagnosed with Cancer or Undergo Treatment? We need your help in our research.</t>
        </is>
      </c>
      <c r="C1464" t="inlineStr">
        <is>
          <t>We are currently looking for people to take part in our research study at the University of Chester, UK, on daily functioning and psychological wellbeing in cancer patients.
Receiving a cancer diagnosis and all that comes after this can often be a distressing, worrying and confusing time. Our aim is to investigate how cancer has affected your daily functioning and emotional wellbeing. We are particularly interested in how this then affects decisions you make about your treatment. Our goal is to help others that might find themselves in your position in the future. To do this, we need your help.
Anyone who is over 16 years of age and been diagnosed with any type of cancer can take part.Unfortunately, this study isn't suitable for cancer survivors who completed their treatments. If you decide to take part, you will be asked to complete an online questionnaire that will take around 30 minutes to complete. You will be also asked whether you would like to participate in a phone or Skype interview at a later date, but you don’t have to agree to this to take part in the questionnaire study. While we hope that taking part will be a positive experience for you, we also understand that answering questions about your illness may be upsetting. You can always stop the questionnaire at any time. All your answers and data will be anonymous.
If you would like to take part, please click the following link. This will take you to the survey and study information sheet.
Link: [https://chester.onlinesurveys.ac.uk/reddit](https://chester.onlinesurveys.ac.uk/reddit)
Thank you,
David Budzynski, BSc (Hons)
MRes student conducting the research</t>
        </is>
      </c>
      <c r="D1464" t="n">
        <v>2</v>
      </c>
      <c r="E1464" t="n">
        <v>0</v>
      </c>
      <c r="F1464">
        <f>HYPERLINK("https://www.reddit.com/r/cancer/comments/b4vwrx/have_you_recently_been_diagnosed_with_cancer_or/")</f>
        <v/>
      </c>
      <c r="G1464" t="inlineStr">
        <is>
          <t>2019-03-24 05:39:00</t>
        </is>
      </c>
      <c r="H1464" t="inlineStr"/>
    </row>
    <row r="1465">
      <c r="A1465" t="inlineStr">
        <is>
          <t>b4xvnb</t>
        </is>
      </c>
      <c r="B1465" t="inlineStr">
        <is>
          <t>What to Expect? Whipple Recovery for PanCan</t>
        </is>
      </c>
      <c r="C1465" t="inlineStr">
        <is>
          <t xml:space="preserve">My mother is up for whipple surgery in a few months for Pancreatic Stage 3. Does anyone have useful (factual or anecdotal, I'll take anything) info on what to expect?
I am trying to get an idea of what to expect post-whipple in terms of (a) risk of complications (b) how often the patient needs to visit doctor, go for checkups (c) any other stuff a normal person would want to know?! Mom has heard from one "nurse friend" that post-whipple, she'll be totally fine and just tired. I've talked to others who have said, it's major surgery and you can have some crazy complications, and it's best if someone can stay with her 24/7 if she stays in a private home vs nursing care. ARGH!
* My mom will be having surgery out of town (1.5 hrs from me, 6 hours from her home) ; the place she will have surgery has limited housing options. The offerings are competitive, and they aren't going to know a date range very far in advance, since it will be based on how she does in surgery/recovery in hospital...
* Mom is not being proactive in asking her doctor about what to expect post surgery. So far chemo has been physically tolerable but she still has to do 2 weeks of radiation. She has diabetes thanks to the cancer but is managing it really well.
* She has GREAT insurance and while I haven't confirmed, it seems that if a doctor requests it, insurance would cover housing of some sort. I still need to call to see whether (with doctors orders) they would cover an apartment or a step-down/nursing care type facility after she is released from the hospital.
* My spouse and I both work full time about 30-45 minutes north of home, and the hospital is 1-1.5 hours south of home, depending on traffic.  She has had friends offer to come stay/help but we only have 1 guest bed...and I am a bit scared that we won't be a good place for her to stay since our shower and restrooms are too small to install safety bars, we aren't close to any decent hospitals etc. 
* I can probably take off a week, but I am trying to not use up too much FMLA as we are trying to start a family and my workplace gives FMLA on a rolling calendar year....
I love my mom but I want to understand what overall situation is best and SAFEST for her recovery. </t>
        </is>
      </c>
      <c r="D1465" t="n">
        <v>12</v>
      </c>
      <c r="E1465" t="n">
        <v>5</v>
      </c>
      <c r="F1465">
        <f>HYPERLINK("https://www.reddit.com/r/cancer/comments/b4xvnb/what_to_expect_whipple_recovery_for_pancan/")</f>
        <v/>
      </c>
      <c r="G1465" t="inlineStr">
        <is>
          <t>2019-03-24 08:57:33</t>
        </is>
      </c>
      <c r="H1465" t="inlineStr"/>
    </row>
    <row r="1466">
      <c r="A1466" t="inlineStr">
        <is>
          <t>b4yt5l</t>
        </is>
      </c>
      <c r="B1466" t="inlineStr">
        <is>
          <t>Cousin was diagnosed with cancer and has no insurance. What's the best hospital in NJ that accepts patients with no insurance?</t>
        </is>
      </c>
      <c r="C1466" t="inlineStr">
        <is>
          <t>Hi everyone,
I have a cousin who was diagnosed with breast cancer and it's spreading rather quickly. She is traveling to the USA from the carribeans to get treatment and I need to find a cancer center that accepts patients with no insurance. Does any one have any resources for me please?
Thank you in advance!</t>
        </is>
      </c>
      <c r="D1466" t="n">
        <v>1</v>
      </c>
      <c r="E1466" t="n">
        <v>32</v>
      </c>
      <c r="F1466">
        <f>HYPERLINK("https://www.reddit.com/r/cancer/comments/b4yt5l/cousin_was_diagnosed_with_cancer_and_has_no/")</f>
        <v/>
      </c>
      <c r="G1466" t="inlineStr">
        <is>
          <t>2019-03-24 10:18:54</t>
        </is>
      </c>
      <c r="H1466" t="inlineStr"/>
    </row>
    <row r="1467">
      <c r="A1467" t="inlineStr">
        <is>
          <t>b53oc9</t>
        </is>
      </c>
      <c r="B1467" t="inlineStr">
        <is>
          <t>my mom has what is believed to be stage 4 angiosarcoma.</t>
        </is>
      </c>
      <c r="C1467" t="inlineStr">
        <is>
          <t xml:space="preserve">she was just diagnosed in february, a few days before my birthday. she had a large tumor on her thigh that the hospital partly removed &amp;amp; then left open, basically because they didn’t know what to do with it once they went in and found out it wasn’t an abscess. 
she has chosen to not have any treatment. no chemo, no radiation, and most of all, no amputation, which is what the doctors were really pushing for.
she just signed in to in-home hospice care yesterday. we have no idea how long she has, but it’s probably better that way. 
i don’t know how to process any of this. it all came about so suddenly. she has been bedridden since 2012, which doctors now think may have been the start of the cancer, and no one caught it. i’m really not completely processing it so i have a feeling i’m in for a lot of shock and denial when the time comes.
</t>
        </is>
      </c>
      <c r="D1467" t="n">
        <v>8</v>
      </c>
      <c r="E1467" t="n">
        <v>2</v>
      </c>
      <c r="F1467">
        <f>HYPERLINK("https://www.reddit.com/r/cancer/comments/b53oc9/my_mom_has_what_is_believed_to_be_stage_4/")</f>
        <v/>
      </c>
      <c r="G1467" t="inlineStr">
        <is>
          <t>2019-03-24 17:19:18</t>
        </is>
      </c>
      <c r="H1467" t="inlineStr"/>
    </row>
    <row r="1468">
      <c r="A1468" t="inlineStr">
        <is>
          <t>b541gu</t>
        </is>
      </c>
      <c r="B1468" t="inlineStr">
        <is>
          <t>Approaching Someone Else with Cancer</t>
        </is>
      </c>
      <c r="C1468" t="inlineStr">
        <is>
          <t xml:space="preserve">My last thread about your craziest or funniest experiences received a lot of really cool feedback. Now here's something I need advice from others about. I've been through cancer three times as i said on my last post. And every time i went through cancer I had many people stare or point at me, as I'm sure you have had the same experiences. I would rather had people ask me what was going on.  Now since I've been five years done with cancer and chemo 😁 I seem to see so many people with cancer around. Not just the bald head, but sunken eyes from loss of sleep, extremely skinny, port scars etcetera. I always want to go up to them and give them hope. But I know what it feels like to go to the grocery store and just want to get what you need and go home because your already out of breath and have people wanting to talk to you. I'm very conflicted because of this. Should I let them go about their day or tell them that it will get better? I'm sure that a few of you are currently going through cancer right now and can give me good insight. Thank you! </t>
        </is>
      </c>
      <c r="D1468" t="n">
        <v>22</v>
      </c>
      <c r="E1468" t="n">
        <v>16</v>
      </c>
      <c r="F1468">
        <f>HYPERLINK("https://www.reddit.com/r/cancer/comments/b541gu/approaching_someone_else_with_cancer/")</f>
        <v/>
      </c>
      <c r="G1468" t="inlineStr">
        <is>
          <t>2019-03-24 17:54:19</t>
        </is>
      </c>
      <c r="H1468" t="inlineStr"/>
    </row>
    <row r="1469">
      <c r="A1469" t="inlineStr">
        <is>
          <t>b54bbg</t>
        </is>
      </c>
      <c r="B1469" t="inlineStr">
        <is>
          <t>They have stopped treatment on my mother</t>
        </is>
      </c>
      <c r="C1469" t="inlineStr">
        <is>
          <t>...and she wants to continue fighting using alternative methods. She’s old and weak, but her mind is sharp. Just looking for people with experience in this situation who have tried something that has worked or given you more time with your loved one. 
It was a little bit shocking and we’ve tried researching it, but there is so much information and my brain isn’t functioning properly. 
Any advice would help...energy healing, essential oils, cannabis...
I don’t want to sound like a jerk, but I’m sad enough and just looking for advice/ideas. I’m just hoping her body will react to something different we introduce. I don’t know where to begin. 
Thank you</t>
        </is>
      </c>
      <c r="D1469" t="n">
        <v>11</v>
      </c>
      <c r="E1469" t="n">
        <v>9</v>
      </c>
      <c r="F1469">
        <f>HYPERLINK("https://www.reddit.com/r/cancer/comments/b54bbg/they_have_stopped_treatment_on_my_mother/")</f>
        <v/>
      </c>
      <c r="G1469" t="inlineStr">
        <is>
          <t>2019-03-24 18:20:12</t>
        </is>
      </c>
      <c r="H1469" t="inlineStr"/>
    </row>
    <row r="1470">
      <c r="A1470" t="inlineStr">
        <is>
          <t>b54j6i</t>
        </is>
      </c>
      <c r="B1470" t="inlineStr">
        <is>
          <t>I've been a cranky mess this weekend, and then put it together</t>
        </is>
      </c>
      <c r="C1470" t="inlineStr">
        <is>
          <t>Scanxiety. It's coming up. Yuck. What's the worst that can happen, right? Ha ha that sure doesn't work with this kind of anxiety because I can tell you in gory detail! 
Oh well I feel a little better now that I figured it out</t>
        </is>
      </c>
      <c r="D1470" t="n">
        <v>12</v>
      </c>
      <c r="E1470" t="n">
        <v>2</v>
      </c>
      <c r="F1470">
        <f>HYPERLINK("https://www.reddit.com/r/cancer/comments/b54j6i/ive_been_a_cranky_mess_this_weekend_and_then_put/")</f>
        <v/>
      </c>
      <c r="G1470" t="inlineStr">
        <is>
          <t>2019-03-24 18:41:42</t>
        </is>
      </c>
      <c r="H1470" t="inlineStr"/>
    </row>
    <row r="1471">
      <c r="A1471" t="inlineStr">
        <is>
          <t>b54lfa</t>
        </is>
      </c>
      <c r="B1471" t="inlineStr">
        <is>
          <t>It's over.</t>
        </is>
      </c>
      <c r="C1471" t="inlineStr">
        <is>
          <t>My dad passed this morning peacefully at age 55.  I'm 20 and now own a cat, an apartment full of stuff, and a business - which thankfully my mom is running for me. I go away to the school of my dreams in September. I've been very calm, and am relieved his suffering is over, the only thing to spike my emotions was the awful breathing in the last days even though I knew he wasnt in pain. His cat is also unusually affectionate to me, (shes always play fought with me as affection) and she keeps turning the corner looking for him in his room, which got me pretty bad. Last night he went non-reponsive and I had a conversation with him. I told him I know he loves me and everyone, and that we all love him so much that we want him to be comfortable, and that it is his choice if he wants to go. That he raised me to be a fighter and although I'll miss him, I'll be okay and I'll make sure his cat and his mentally disabled brother are okay. This morning I was woken up by the call, so I hope he heard me. I'm spreading his ashes in a cemetary/nature reserve in an area he loved in the morning before the funeral, which will be held on April Fools Day. I know he would find that hilarious. I have no doubt that there will be hundreds in attendance from AA and other communities he touched with his humor and divine kindness. I don't know if this was the right place to post this, but thanks for reading anyways. Fuck cancer.</t>
        </is>
      </c>
      <c r="D1471" t="n">
        <v>126</v>
      </c>
      <c r="E1471" t="n">
        <v>13</v>
      </c>
      <c r="F1471">
        <f>HYPERLINK("https://www.reddit.com/r/cancer/comments/b54lfa/its_over/")</f>
        <v/>
      </c>
      <c r="G1471" t="inlineStr">
        <is>
          <t>2019-03-24 18:47:54</t>
        </is>
      </c>
      <c r="H1471" t="inlineStr"/>
    </row>
    <row r="1472">
      <c r="A1472" t="inlineStr">
        <is>
          <t>b54onf</t>
        </is>
      </c>
      <c r="B1472" t="inlineStr">
        <is>
          <t>Dad's Recent Colonoscopy Shows Neuroendocrine Neoplasm - Confused and Concerned</t>
        </is>
      </c>
      <c r="C1472" t="inlineStr">
        <is>
          <t xml:space="preserve">Hi everyone,
My dad recently underwent a colonoscopy after much pleading (his first one was not successful despite finishing the bowel prep). I have a family history of colon cancer (grandfather passed away from it). 
We got the report back recently from the biopsy, showing the following:
\-Diagnosis: Benign Carcinoid Tumor of the Sigmoid Colon (Colonic Tissue with Well Differentiated Neuroendocrine Neoplasm - Carcinoid Tumor). 
\-Gross Description: 3 fragments of tan, soft tissue measuring 0.5 x 0.2 x 0.2 cm to 0.1 x 0.1 x 0.1 cm. 
I just wanted to make sure I have everything covered, as all the available information online seems to vary. The gastroenterologist is stating that he's not concerned, that he will repeat a colonoscopy in one year's time. 
Do I need to follow up with a NET specialist - does my father need additional imaging or bloodwork? From what I understand, what they removed were very small, and well differentiated. 
I only have one father and want to make sure we're going down the right path. 
Thank you all! </t>
        </is>
      </c>
      <c r="D1472" t="n">
        <v>3</v>
      </c>
      <c r="E1472" t="n">
        <v>2</v>
      </c>
      <c r="F1472">
        <f>HYPERLINK("https://www.reddit.com/r/cancer/comments/b54onf/dads_recent_colonoscopy_shows_neuroendocrine/")</f>
        <v/>
      </c>
      <c r="G1472" t="inlineStr">
        <is>
          <t>2019-03-24 18:56:42</t>
        </is>
      </c>
      <c r="H1472" t="inlineStr"/>
    </row>
    <row r="1473">
      <c r="A1473" t="inlineStr">
        <is>
          <t>b54rnc</t>
        </is>
      </c>
      <c r="B1473" t="inlineStr">
        <is>
          <t>CancerousKelly passed away.</t>
        </is>
      </c>
      <c r="C1473" t="inlineStr">
        <is>
          <t>I follow her cat, chemo.the.ragdoll on insta. He said his mommy lost her battle to cervical today. She posted 23 days ago that the cancer was back, she wanted to get married this year finally to her fiancée and she’s been putting it off due to this bull. She was 33. May she Rest In Peace, this monster has done it again. Bull. Shit.</t>
        </is>
      </c>
      <c r="D1473" t="n">
        <v>30</v>
      </c>
      <c r="E1473" t="n">
        <v>13</v>
      </c>
      <c r="F1473">
        <f>HYPERLINK("https://www.reddit.com/r/cancer/comments/b54rnc/cancerouskelly_passed_away/")</f>
        <v/>
      </c>
      <c r="G1473" t="inlineStr">
        <is>
          <t>2019-03-24 19:04:45</t>
        </is>
      </c>
      <c r="H1473" t="inlineStr"/>
    </row>
    <row r="1474">
      <c r="A1474" t="inlineStr">
        <is>
          <t>b55dhs</t>
        </is>
      </c>
      <c r="B1474" t="inlineStr">
        <is>
          <t>Dad has cancer and my mom and him fight when in the past they seemed in love</t>
        </is>
      </c>
      <c r="C1474" t="inlineStr">
        <is>
          <t>I feel like cancer is ruining everything. I love my dad so much and it is just a matter of when his cancer treatments stop working. My parents own a business and my dad can’t work because he is too sick. She is so resentful of it yet she loves the control and complains when he helps. When I call her, all my mom does is complain about my dad and it breaks my heart. I understand she is a caregiver and runs a business and that’s hard work, but my siblings and I do everything we can to help them. 
I feel so bad for him because knowing you are going to die and having your wife be crazy mean all the time doesn’t help.
And I know it’s not about me, but I can’t handle the pain of knowing I soon won’t have a dad and that I have two parents that now can’t stand each other. I just needed to vent.</t>
        </is>
      </c>
      <c r="D1474" t="n">
        <v>10</v>
      </c>
      <c r="E1474" t="n">
        <v>7</v>
      </c>
      <c r="F1474">
        <f>HYPERLINK("https://www.reddit.com/r/cancer/comments/b55dhs/dad_has_cancer_and_my_mom_and_him_fight_when_in/")</f>
        <v/>
      </c>
      <c r="G1474" t="inlineStr">
        <is>
          <t>2019-03-24 20:05:38</t>
        </is>
      </c>
      <c r="H1474" t="inlineStr"/>
    </row>
    <row r="1475">
      <c r="A1475" t="inlineStr">
        <is>
          <t>b55e9g</t>
        </is>
      </c>
      <c r="B1475" t="inlineStr">
        <is>
          <t>I just made my first friend with the C Word!</t>
        </is>
      </c>
      <c r="C1475" t="inlineStr">
        <is>
          <t xml:space="preserve">Okay I know this is silly and isn’t really a big deal, but as an 18 year old high school student I don’t have anyone in my life who has cancer. The only person I personally know who did is my grandmother across the states. 
I have Stage 4 Hodgkins Lymphoma and go to a really small high school. A few days ago I met a girl who goes to my school who HAS THE EXACT SAME THING AND STAGE. I never thought I’d be so happy to meet someone with cancer but I’m ecstatic! 
We got along super quick and go to the same branch of hospital (I’m a bit older so she goes to the Children’s hospital while I’m at the adult cancer clinic). She even wants to meet and I’m just so so happy. I’m not alone anymore guys, I’m not alone! I’m sorry for rambling and gushing but I’m so so happy. </t>
        </is>
      </c>
      <c r="D1475" t="n">
        <v>20</v>
      </c>
      <c r="E1475" t="n">
        <v>7</v>
      </c>
      <c r="F1475">
        <f>HYPERLINK("https://www.reddit.com/r/cancer/comments/b55e9g/i_just_made_my_first_friend_with_the_c_word/")</f>
        <v/>
      </c>
      <c r="G1475" t="inlineStr">
        <is>
          <t>2019-03-24 20:07:50</t>
        </is>
      </c>
      <c r="H1475" t="inlineStr"/>
    </row>
    <row r="1476">
      <c r="A1476" t="inlineStr">
        <is>
          <t>b55fu0</t>
        </is>
      </c>
      <c r="B1476" t="inlineStr">
        <is>
          <t>How long do people usually live one they have been diagnosed with end stage liver failure due to liver cancer?</t>
        </is>
      </c>
      <c r="C1476" t="inlineStr">
        <is>
          <t>Someone close to me (M, 40 years old) was diagnosed with pancreatic cancer 10 years ago. It is a miracle that chemotherapy has kept him alive as long as it has. Just recently he developed ascites (swollen feet, abdomen and tounge). He is unable to eat much and he says when he eats he feels full and nauseated. 
Last Friday, his physician said there is nothing else that they can do as the tumors have taken over his liver. He is starting home hospice care. He seems very sleepy and is taking morphine...as much as needed to keep the pain under control. He seems to get very confused and tries to walk around but has trouble walking. 
The cancer has spread to his lungs, vertebrae and liver. 
Tl;dr How long do people usually live once they have been diagnosed with end stage liver failure due to cancer?</t>
        </is>
      </c>
      <c r="D1476" t="n">
        <v>3</v>
      </c>
      <c r="E1476" t="n">
        <v>7</v>
      </c>
      <c r="F1476">
        <f>HYPERLINK("https://www.reddit.com/r/cancer/comments/b55fu0/how_long_do_people_usually_live_one_they_have/")</f>
        <v/>
      </c>
      <c r="G1476" t="inlineStr">
        <is>
          <t>2019-03-24 20:12:24</t>
        </is>
      </c>
      <c r="H1476" t="inlineStr"/>
    </row>
    <row r="1477">
      <c r="A1477" t="inlineStr">
        <is>
          <t>b55qdc</t>
        </is>
      </c>
      <c r="B1477" t="inlineStr">
        <is>
          <t>Just an FYI for people who travel with their deceased loved ones.</t>
        </is>
      </c>
      <c r="C1477" t="inlineStr">
        <is>
          <t>This weekend we scattered my mother's ashes at the beach after she lost her battle with cancer. 
We had to transport my mother's remains through TSA, we were given a death certificate to prove that was the remains of my mother. 
 Fucking humility, she was taken out of her package and they placed a coin underneath and sent it through the X-ray. 
Thanks TSA, fuck you.
Keep fighting the good fight guys, love to all of you who are going through this.</t>
        </is>
      </c>
      <c r="D1477" t="n">
        <v>11</v>
      </c>
      <c r="E1477" t="n">
        <v>6</v>
      </c>
      <c r="F1477">
        <f>HYPERLINK("https://www.reddit.com/r/cancer/comments/b55qdc/just_an_fyi_for_people_who_travel_with_their/")</f>
        <v/>
      </c>
      <c r="G1477" t="inlineStr">
        <is>
          <t>2019-03-24 20:43:21</t>
        </is>
      </c>
      <c r="H1477" t="inlineStr"/>
    </row>
    <row r="1478">
      <c r="A1478" t="inlineStr">
        <is>
          <t>b5aobf</t>
        </is>
      </c>
      <c r="B1478" t="inlineStr">
        <is>
          <t>Managing my mothers colon cancer from a different city</t>
        </is>
      </c>
      <c r="C1478" t="inlineStr">
        <is>
          <t xml:space="preserve">My mother underwent surgery Sept of last year to remove a cancerous tumor and a few polyps. About 3 months post operation a CT scan was done. Small shadows (less than a cm) were found on the right side of her lung and the liver. Both were too small to biopsy. The doctor recommended chemo, but I’m worried since she is only 91 pounds. She’s had a hard time gaining weight after the surgery. Her CEA levels were at a 1.5 in Feb, but I don’t think CEA is going to give us any more information here. 
She is starting to experience pain in her upper right lung in the back and the front. This is about 2-3 weeks after the CT scan showed these shadows. Pre operative her lungs and liver were clear. I’m going to assume it’s starting to spread in her lungs. 
Am I safe to assume this? The doctors are kind of playing the waiting game. Should I request a PET? My mother is very hesitant to do the chemo because she’s afraid her body isn’t ready. I’m taking her to Md Anderson in Houston to ease her worries in a couple weeks. I’m hoping they can treat her well. 
Has anyone done chemo underweight? I’m sure many of you have. Would appreciate anyone willing to share their experience. The doctor back home is recommending Folfurri. I’m going to take her to houston to get a second opinion and then decide which course of treatment we should do. 
Also, any help easing her worries about a port would help. Apologies for the long post and thanks in advance. 
</t>
        </is>
      </c>
      <c r="D1478" t="n">
        <v>6</v>
      </c>
      <c r="E1478" t="n">
        <v>3</v>
      </c>
      <c r="F1478">
        <f>HYPERLINK("https://www.reddit.com/r/cancer/comments/b5aobf/managing_my_mothers_colon_cancer_from_a_different/")</f>
        <v/>
      </c>
      <c r="G1478" t="inlineStr">
        <is>
          <t>2019-03-25 06:26:04</t>
        </is>
      </c>
      <c r="H1478" t="inlineStr"/>
    </row>
    <row r="1479">
      <c r="A1479" t="inlineStr">
        <is>
          <t>b5aukw</t>
        </is>
      </c>
      <c r="B1479" t="inlineStr">
        <is>
          <t>Hair loss post chemo</t>
        </is>
      </c>
      <c r="C1479" t="inlineStr">
        <is>
          <t>I am 23m and I finished my chemo over 6 months ago and initially my hair started to grow back normally, it was even thicker and darker in places, especially my mustache and facial hair. My head hair, which was thinning already but still looked like I had a thick full head of hair, came back like it was before. However, now 6 months post chemo my facial hair has stopped growing entirely in some areas, especially on my mustache and very thin everywhere else. Additionally, my head hair is EXTREMELY thin, like I look like a close to bald 45 year old man (no offense). My hair line is very thin and seeming to get thinner, and the crown of my head is super thin (a problem I've never had before). I've read some forums about similar things. But I am super concerned and conscious about it. What can I except and is this normal?</t>
        </is>
      </c>
      <c r="D1479" t="n">
        <v>7</v>
      </c>
      <c r="E1479" t="n">
        <v>11</v>
      </c>
      <c r="F1479">
        <f>HYPERLINK("https://www.reddit.com/r/cancer/comments/b5aukw/hair_loss_post_chemo/")</f>
        <v/>
      </c>
      <c r="G1479" t="inlineStr">
        <is>
          <t>2019-03-25 06:42:56</t>
        </is>
      </c>
      <c r="H1479" t="inlineStr"/>
    </row>
    <row r="1480">
      <c r="A1480" t="inlineStr">
        <is>
          <t>b5b9da</t>
        </is>
      </c>
      <c r="B1480" t="inlineStr">
        <is>
          <t>Losing faith in NHS</t>
        </is>
      </c>
      <c r="C1480" t="inlineStr">
        <is>
          <t xml:space="preserve">Just found out that while my biopsy was reported as melanoma in 1/3 they basically sat on it for 3 weeks without telling me. And now on top of that I am in a queue to see a *plastic surgeon* - not an oncologist. Why does the NHS insist on treating patients like babies? I am happy that I have the option to go elsewhere for diagnosis at least but dread what will happen if I try to then get the treatment here. </t>
        </is>
      </c>
      <c r="D1480" t="n">
        <v>8</v>
      </c>
      <c r="E1480" t="n">
        <v>17</v>
      </c>
      <c r="F1480">
        <f>HYPERLINK("https://www.reddit.com/r/cancer/comments/b5b9da/losing_faith_in_nhs/")</f>
        <v/>
      </c>
      <c r="G1480" t="inlineStr">
        <is>
          <t>2019-03-25 07:19:56</t>
        </is>
      </c>
      <c r="H1480" t="inlineStr"/>
    </row>
    <row r="1481">
      <c r="A1481" t="inlineStr">
        <is>
          <t>b5crsu</t>
        </is>
      </c>
      <c r="B1481" t="inlineStr">
        <is>
          <t>Ovarian cancer</t>
        </is>
      </c>
      <c r="C1481" t="inlineStr">
        <is>
          <t xml:space="preserve">I’m just curious, those of you with ovarian cancer, did your surgeon remove your appendix too? 
I had my left ovary, Fallopian tube, a couple lymph nodes, and my appendix removed. The appendix kind of confuses everyone when I bring it up but she said there’s some kind of correlation between ovarian cancer and the appendix. </t>
        </is>
      </c>
      <c r="D1481" t="n">
        <v>9</v>
      </c>
      <c r="E1481" t="n">
        <v>3</v>
      </c>
      <c r="F1481">
        <f>HYPERLINK("https://www.reddit.com/r/cancer/comments/b5crsu/ovarian_cancer/")</f>
        <v/>
      </c>
      <c r="G1481" t="inlineStr">
        <is>
          <t>2019-03-25 09:25:24</t>
        </is>
      </c>
      <c r="H1481" t="inlineStr"/>
    </row>
    <row r="1482">
      <c r="A1482" t="inlineStr">
        <is>
          <t>b5cz1e</t>
        </is>
      </c>
      <c r="B1482" t="inlineStr">
        <is>
          <t>Thoughts of suicide AFTER cancer?</t>
        </is>
      </c>
      <c r="C1482" t="inlineStr">
        <is>
          <t>Hi, I'm a 36/F pancreatic cancer survivor. I had the whipple procedure last September and as far as we can tell there's no more cancer. I thought I was gonna be okay but I found out the hard way how the experience of cancer lives on even when it's supposedly all gone.  
Today, I'm struggling. I feel guilty that I am since so many of you want more than anything to be cancer-free. I should just be happy to be alive and well with a good prognosis considering that pancreatic cancer is often a death sentence. I got a letter from my PCP the other day telling me that she was looking at my blood work and thinks I need to come in and see her pretty soon to talk about it. I'm sick to my stomach and I've done nothing but cry all morning while trying to press the call button on my cell phone to make an appt with her. I don't want to be told there's anything else wrong with me. I can't go through it again so soon. I know you all know very well how that feels.  
I'm scared to death of my own body. What compounds this problem even more is that my decade-old relationship with my boyfriend has deteriorated to the point where I think I need to leave him. That's really scary for me. I don't have any stable family to fall back on if I mess up. I'd just be homeless. I have no safety net. I haven't even gone back to work yet, and when I do, it can only be part time. I applied for low income housing for myself but they said the wait could be over a year. However, since I'm on disability they might let me cut in line but that doesn't give much of a time frame.  
It's so weird how when I was told I had pancreatic cancer I was afraid to die, but now I'm so used to the idea of death being just around the corner I'm far less afraid of injecting an entire vial of insulin. The idea of falling asleep and never having to wake up to this nightmare inside my mind again is disturbingly appealing. I'm in therapy and I'm taking Zoloft and it all helps but nothing can patch my broken heart and feelings of betrayal but time. I just don't know if I want to go through it. Maybe there's something good on the other side but I find it hard to trust. I've lost the ability to hold on to hope today. I'm way beyond overwhelmed and I feel like nothing will ever change and I'll always feel like an unlovable burden. It's not true, but depression has a way to convincing us otherwise. I guess I'm looking for thoughts from others who've found themselves in a similar situation. 
&amp;amp;#x200B;</t>
        </is>
      </c>
      <c r="D1482" t="n">
        <v>24</v>
      </c>
      <c r="E1482" t="n">
        <v>38</v>
      </c>
      <c r="F1482">
        <f>HYPERLINK("https://www.reddit.com/r/cancer/comments/b5cz1e/thoughts_of_suicide_after_cancer/")</f>
        <v/>
      </c>
      <c r="G1482" t="inlineStr">
        <is>
          <t>2019-03-25 09:40:56</t>
        </is>
      </c>
      <c r="H1482" t="inlineStr"/>
    </row>
    <row r="1483">
      <c r="A1483" t="inlineStr">
        <is>
          <t>b5d9ki</t>
        </is>
      </c>
      <c r="B1483" t="inlineStr">
        <is>
          <t>Struggling...</t>
        </is>
      </c>
      <c r="C1483" t="inlineStr">
        <is>
          <t xml:space="preserve">I always try to keep a positive outlook about my cancer journey but I'm struggling today. I just had an utter breakdown in a public restroom stall. I'm tired of being in pain. I am tired of being embarrassed about my body. I had to stop and buy a different bra because the one in was wearing was cutting into the two foot scar that encircles half my body.  I struggle with survivor guilt often. Days like today I would give anything to just be pain free and normal again... I feel horrible for bitching but I'm really having a hard time today </t>
        </is>
      </c>
      <c r="D1483" t="n">
        <v>96</v>
      </c>
      <c r="E1483" t="n">
        <v>30</v>
      </c>
      <c r="F1483">
        <f>HYPERLINK("https://www.reddit.com/r/cancer/comments/b5d9ki/struggling/")</f>
        <v/>
      </c>
      <c r="G1483" t="inlineStr">
        <is>
          <t>2019-03-25 10:02:33</t>
        </is>
      </c>
      <c r="H1483" t="inlineStr"/>
    </row>
    <row r="1484">
      <c r="A1484" t="inlineStr">
        <is>
          <t>b5edmp</t>
        </is>
      </c>
      <c r="B1484" t="inlineStr">
        <is>
          <t>I’m so lost...</t>
        </is>
      </c>
      <c r="C1484" t="inlineStr">
        <is>
          <t xml:space="preserve">My mom has been diagnosed today with colon cancer and the mass won’t be removed until she hears more. My moms only 50 years young and I’m terrified. All these mixed emotions but keeping my head up high for her. Will she be on chemo after words? What do you think of chemo? Is it truly helpful or not? I’m sorry, I just hear mixed things and I know only y’all will truly know from experiences. Thank you so much y’all. </t>
        </is>
      </c>
      <c r="D1484" t="n">
        <v>9</v>
      </c>
      <c r="E1484" t="n">
        <v>11</v>
      </c>
      <c r="F1484">
        <f>HYPERLINK("https://www.reddit.com/r/cancer/comments/b5edmp/im_so_lost/")</f>
        <v/>
      </c>
      <c r="G1484" t="inlineStr">
        <is>
          <t>2019-03-25 11:26:32</t>
        </is>
      </c>
      <c r="H1484" t="inlineStr"/>
    </row>
    <row r="1485">
      <c r="A1485" t="inlineStr">
        <is>
          <t>b5f7dj</t>
        </is>
      </c>
      <c r="B1485" t="inlineStr">
        <is>
          <t>Facial hair loss during chemo - advice?</t>
        </is>
      </c>
      <c r="C1485" t="inlineStr">
        <is>
          <t>Hi, all. My dad was diagnosed with terminal stage 4 cancer very unexpectedly and suddenly last month after being healthy his entire life, and he's starting chemo today essentially for palliative care to hopefully give us all some more time. Anyway, he has an INCREDIBLE MUSTACHE and I would really like to be able to help him keep it since it's resplendent and I think it would make him even more depressed to lose it. His chemo is supposedly not too harsh for hair loss, and palliative care frankly feels like pissing on a fire at this point, but anything to keep spirits up. Also it sort of feels better to just write this down somewhere. Thank you.</t>
        </is>
      </c>
      <c r="D1485" t="n">
        <v>1</v>
      </c>
      <c r="E1485" t="n">
        <v>0</v>
      </c>
      <c r="F1485">
        <f>HYPERLINK("https://www.reddit.com/r/cancer/comments/b5f7dj/facial_hair_loss_during_chemo_advice/")</f>
        <v/>
      </c>
      <c r="G1485" t="inlineStr">
        <is>
          <t>2019-03-25 12:31:58</t>
        </is>
      </c>
      <c r="H1485" t="inlineStr"/>
    </row>
    <row r="1486">
      <c r="A1486" t="inlineStr">
        <is>
          <t>b5fdcp</t>
        </is>
      </c>
      <c r="B1486" t="inlineStr">
        <is>
          <t>My mum came into my room yesterday and told me she has cancer...</t>
        </is>
      </c>
      <c r="C1486" t="inlineStr">
        <is>
          <t>Me and my mum have been through everything together, she had me at a very young age, we were homeless together until I was 3, have constantly struggled with money and abusive men in the house but despite all of that she has NEVER once complained, and dutifully served as the strongest and most inspirational person I have ever had the privilege of knowing. She has always made sure I don't have to go without, often missing meals so that I would be able to eat, and she is now 39 and has cervical cancer.
She has been suffering agonising pain for the past year and due to the failings of the NHS (public healthcare in the UK), her diagnosis came only last Wednesday. At this stage we don't know the stage it's at, however due to watching her roll around in agonising pain every day and night for the past year, losing a few stone and completely losing her usually insatiable appetite, I'm thinking the worst. I read that once it spreads to lymph nodes the 5-year survivorship rate is 12%, obviously I spent all day yesterday blubbering my eyes out at the concept of losing my mum, the one thing I never wanted to think about and face.
I have no money in my bank account and have about £8,000 in debt. I am working a comission only sales job, where the earnings potential is unbelievable over a year's time span, and I was planning on having plenty of time to save money and buy my mum all the things we never got to have or she went without when I was younger. Of course due to her age I thought I would have at least another 20 years (smoker) to achieve this, but that was all torn away from me yesterday. 
I work a performance based job and I need the opportunity to support her, however I cannot comprehend coming into work with a positive salesman attitude, 7am-8pm 6 days a week, with the guilt of missing precious time I could have spent with her, especially on days where I don't make any sales as this is only my second week in industry.
I don't even know why I'm writing this post, I don't really want anything from anyone, because I am so furious at the world and how we have been left abandoned to the cruel winds of fate simply because we have nothing to offer those who could have helped us, or even diagnosed her at a better stage. 
I guess I just want to hear similar stories for comfort, but I don't know if anything can make this pain hurt less. She is the only constant I have ever had in my life and now the world is trying to rip her away from me too. I have 2 sisters, 11 and 8 who don't even know and I would like to take responsibility for them if the worst happens as their father is a piece of shit. My mum hasn't told them yet and has been putting on such a strong, brave face despite worrying about how her body is rotting from the inside out. I feel the least I can do is do my best at this job if she has the strength to do that but I just wish I could hold her in my arms all day until the day finally comes, not being out of the house 13 hours a day and only have 2-3 hours when I get home to do anything.
It would really help just to get some input on this, I am so furious at the world for the way it has abandoned us, specifically her because she is such a good woman, and I really have no faith in anyone anymore.
Thanks for your time guys.</t>
        </is>
      </c>
      <c r="D1486" t="n">
        <v>14</v>
      </c>
      <c r="E1486" t="n">
        <v>10</v>
      </c>
      <c r="F1486">
        <f>HYPERLINK("https://www.reddit.com/r/cancer/comments/b5fdcp/my_mum_came_into_my_room_yesterday_and_told_me/")</f>
        <v/>
      </c>
      <c r="G1486" t="inlineStr">
        <is>
          <t>2019-03-25 12:44:27</t>
        </is>
      </c>
      <c r="H1486" t="inlineStr"/>
    </row>
    <row r="1487">
      <c r="A1487" t="inlineStr">
        <is>
          <t>b5gbut</t>
        </is>
      </c>
      <c r="B1487" t="inlineStr">
        <is>
          <t>Hey guys just want some advice for my mother</t>
        </is>
      </c>
      <c r="C1487" t="inlineStr">
        <is>
          <t>My mother was recently diagnosed with stage 4 lung cancer. The doctor originally prescribed 1 treatment of keytruda but it didnt work due to a mutation that makes it resistant to immunotherapy(we sent out samples but it takes 1-2 months to get results back). Now with this information the doctor is looking to start Chemotherapy Carboplatin and alimta. Does anyone have experience with these drugs and the effects? or have some good websites on how to prepare or things to have to make it as easy as possible? Just trying to collect as much info as possible to keep her as comfortable as i can especially since I still have to work and be out of the house from 5am-4pm every day. Anything will help Thank you!</t>
        </is>
      </c>
      <c r="D1487" t="n">
        <v>10</v>
      </c>
      <c r="E1487" t="n">
        <v>4</v>
      </c>
      <c r="F1487">
        <f>HYPERLINK("https://www.reddit.com/r/cancer/comments/b5gbut/hey_guys_just_want_some_advice_for_my_mother/")</f>
        <v/>
      </c>
      <c r="G1487" t="inlineStr">
        <is>
          <t>2019-03-25 14:00:08</t>
        </is>
      </c>
      <c r="H1487" t="inlineStr"/>
    </row>
    <row r="1488">
      <c r="A1488" t="inlineStr">
        <is>
          <t>b5hmxt</t>
        </is>
      </c>
      <c r="B1488" t="inlineStr">
        <is>
          <t>Wonder Park movie?</t>
        </is>
      </c>
      <c r="C1488" t="inlineStr">
        <is>
          <t>If any of ya’ll have kids, have you seen the movie Wonder Park? We haven’t, but my daughter wants to. I hadn’t seen much about it beyond the ad, but I heard some other moms talking about it and I’m wondering if we should avoid it. They said the plot is about a little girl who’s mom is suffering from an unnamed illness and getting sicker throughout the movie, and the little girl is building (or imagining maybe?) a theme park in her home to deal with the trauma. Any guidance from people who’ve seen the movie and have kids and cancer or a partner with cancer would be appreciated.</t>
        </is>
      </c>
      <c r="D1488" t="n">
        <v>6</v>
      </c>
      <c r="E1488" t="n">
        <v>3</v>
      </c>
      <c r="F1488">
        <f>HYPERLINK("https://www.reddit.com/r/cancer/comments/b5hmxt/wonder_park_movie/")</f>
        <v/>
      </c>
      <c r="G1488" t="inlineStr">
        <is>
          <t>2019-03-25 15:43:43</t>
        </is>
      </c>
      <c r="H1488" t="inlineStr"/>
    </row>
    <row r="1489">
      <c r="A1489" t="inlineStr">
        <is>
          <t>b5i6kw</t>
        </is>
      </c>
      <c r="B1489" t="inlineStr">
        <is>
          <t>So my mother passed away from colon cancer 10 years ago. She was 33 when she was diagnosed with stage 4. So I’m 23 now and just had my colonoscopy and am curious. They found 2 Polyps that are being sent to pathology and mucosa in the traverse colon. And recently my grandfather was diagnosed with it.</t>
        </is>
      </c>
      <c r="C1489" t="inlineStr">
        <is>
          <t>My question is what are my chances of getting colon cancer? With having this family history. Not trying to freak myself out but I am surprised they found polyps</t>
        </is>
      </c>
      <c r="D1489" t="n">
        <v>3</v>
      </c>
      <c r="E1489" t="n">
        <v>4</v>
      </c>
      <c r="F1489">
        <f>HYPERLINK("https://www.reddit.com/r/cancer/comments/b5i6kw/so_my_mother_passed_away_from_colon_cancer_10/")</f>
        <v/>
      </c>
      <c r="G1489" t="inlineStr">
        <is>
          <t>2019-03-25 16:31:06</t>
        </is>
      </c>
      <c r="H1489" t="inlineStr"/>
    </row>
    <row r="1490">
      <c r="A1490" t="inlineStr">
        <is>
          <t>b5ihg0</t>
        </is>
      </c>
      <c r="B1490" t="inlineStr">
        <is>
          <t>I might have cancer &amp;amp; It’s finally hitting me. What do I do? [VENT/ADVICE]</t>
        </is>
      </c>
      <c r="C1490" t="inlineStr">
        <is>
          <t>It has been a year and a half journey on account of numerous tests to be sure it’s not just an infection &amp;amp; due to my mothers neglect. It started when I was 15, and I’m now 17, to be 18 this year.
I’m waiting on a referral to get a CT scan, to see a hematologist and oncologist.
And for almost a year I knew it was going to be cancer, I just knew it. Everything leading up to this moment just screamed in my face. 
But when I was at the doctors about two months ago and he told me I lost 10 lbs in 2 months, I almost threw up &amp;amp; I began to cry. I bought a scale and recorded my weight and no matter what I tried I lost another 10 in a little under a month with no explanation other than my loss of appetite, I lost my mind and broke down. 
The pains in my chest that keep coming and going with no apparent cause, my bowel habits, my bruising, my completion, my everything. 
When I go outside, I’m contrast to the grass I’m as white a ghost. My boss tells me that where she’s from being pale is a sign of beauty. And then she frowns. And asks if I feel okay. 
“You’re always sick.” She tells me, when I show up to work with another head cold yet again. They keep coming, and coming and coming. My immune system would never have allowed this a year and a half ago. But since then I get railed. 
I wake up every morning and I feel for the lymph nodes hoping they’re gone. Hoping it’s a bad dream. But they’re there. And this is real.
Something I was at peace with when I first suspected it compared to things as of late are vast. 
My girlfriend would break down on the phone often, crying telling me that she doesn’t want me to die. And I feel devastated. I don’t want to die, I want to live a life with her. I want her. I can’t stand that she has to suffer through it. I’ve told her that she can leave me but she doesn’t want to.
I look in the mirror and I feel disgusted. If I have to shave my head, I would be ugly, hideous. Grateful to be alive but so outside of my own body and sense of self I feel like I’m suffocating.
The waiting game by far is the worst of it all. Waiting. Sitting idle like a duck waiting to be shot by the hunter. Sitting idle while an illness is eating me from the inside out... I’m terrified. This is a sad day, this is a hard day. 
This is a day I get to live though, and I am thankful. Cancer doesn’t mean I’m going to die. But having cancer itself is going to be the end of me.</t>
        </is>
      </c>
      <c r="D1490" t="n">
        <v>1</v>
      </c>
      <c r="E1490" t="n">
        <v>11</v>
      </c>
      <c r="F1490">
        <f>HYPERLINK("https://www.reddit.com/r/cancer/comments/b5ihg0/i_might_have_cancer_its_finally_hitting_me_what/")</f>
        <v/>
      </c>
      <c r="G1490" t="inlineStr">
        <is>
          <t>2019-03-25 16:58:48</t>
        </is>
      </c>
      <c r="H1490" t="inlineStr"/>
    </row>
    <row r="1491">
      <c r="A1491" t="inlineStr">
        <is>
          <t>b5ir8j</t>
        </is>
      </c>
      <c r="B1491" t="inlineStr">
        <is>
          <t>Signs of cancer</t>
        </is>
      </c>
      <c r="C1491" t="inlineStr">
        <is>
          <t>What are the signs of colon cancer?</t>
        </is>
      </c>
      <c r="D1491" t="n">
        <v>0</v>
      </c>
      <c r="E1491" t="n">
        <v>5</v>
      </c>
      <c r="F1491">
        <f>HYPERLINK("https://www.reddit.com/r/cancer/comments/b5ir8j/signs_of_cancer/")</f>
        <v/>
      </c>
      <c r="G1491" t="inlineStr">
        <is>
          <t>2019-03-25 17:22:30</t>
        </is>
      </c>
      <c r="H1491" t="inlineStr"/>
    </row>
    <row r="1492">
      <c r="A1492" t="inlineStr">
        <is>
          <t>b5j6k2</t>
        </is>
      </c>
      <c r="B1492" t="inlineStr">
        <is>
          <t>Dad Has Stage 4 Lung Cancer -- Any Success Stories With Immunotherapy?</t>
        </is>
      </c>
      <c r="C1492" t="inlineStr">
        <is>
          <t>My dad was diagnosed with Stage 4 lung cancer last month that had metastasized to his brain.  The brain tumors were very small and were treated with targeted radiation.  First meeting with the oncologist today and he recommended a treatment plan of combined chemo and immunotherapy (keytruda).  Does anyone have any experience with a treatment plan like this?  I know prognosis for stage 4 lc is bleak, but hanging onto hope here.</t>
        </is>
      </c>
      <c r="D1492" t="n">
        <v>15</v>
      </c>
      <c r="E1492" t="n">
        <v>21</v>
      </c>
      <c r="F1492">
        <f>HYPERLINK("https://www.reddit.com/r/cancer/comments/b5j6k2/dad_has_stage_4_lung_cancer_any_success_stories/")</f>
        <v/>
      </c>
      <c r="G1492" t="inlineStr">
        <is>
          <t>2019-03-25 18:00:42</t>
        </is>
      </c>
      <c r="H1492" t="inlineStr"/>
    </row>
    <row r="1493">
      <c r="A1493" t="inlineStr">
        <is>
          <t>b5jwn6</t>
        </is>
      </c>
      <c r="B1493" t="inlineStr">
        <is>
          <t>Cancer stories</t>
        </is>
      </c>
      <c r="C1493" t="inlineStr">
        <is>
          <t>I'm not talking about what people share on here. I hope I don't come off as incentive. Please hear me out of you will.
I guess I'll pose this as a question: does anyone else feel... Sad or something hearing/seeing cancer stories related to death? 
I have mesenchymal chondrosarcoma and I am currently undergoing chemo. Through this time I have become acutely aware of death, especially if cancer. I guess I am just saying I am getting sick of the only time I hear about cancer it is associated with death. I don't wanna die. It's hard enough as is, I'm just looking for some hope. I hope I am making sense. Thank you for reading.</t>
        </is>
      </c>
      <c r="D1493" t="n">
        <v>13</v>
      </c>
      <c r="E1493" t="n">
        <v>9</v>
      </c>
      <c r="F1493">
        <f>HYPERLINK("https://www.reddit.com/r/cancer/comments/b5jwn6/cancer_stories/")</f>
        <v/>
      </c>
      <c r="G1493" t="inlineStr">
        <is>
          <t>2019-03-25 19:07:30</t>
        </is>
      </c>
      <c r="H1493" t="inlineStr"/>
    </row>
    <row r="1494">
      <c r="A1494" t="inlineStr">
        <is>
          <t>b5k347</t>
        </is>
      </c>
      <c r="B1494" t="inlineStr">
        <is>
          <t>Advice For My Dad’s Cough.</t>
        </is>
      </c>
      <c r="C1494" t="inlineStr">
        <is>
          <t xml:space="preserve">Hey guys, my dad is 2 months into a stage IV pancreatic Cancer with Adenocarcinoma of the lungs, just fluid, no tumors in the lungs.
He coughs though, loses his breath and his face gets all red. Its really scary for me to watch and it scares him a lot to. He catches a breath after about 10 seconds, which dosn’t seem long but it feels like forever.
Does this get better? What is this? Can we do anything to help?  </t>
        </is>
      </c>
      <c r="D1494" t="n">
        <v>7</v>
      </c>
      <c r="E1494" t="n">
        <v>1</v>
      </c>
      <c r="F1494">
        <f>HYPERLINK("https://www.reddit.com/r/cancer/comments/b5k347/advice_for_my_dads_cough/")</f>
        <v/>
      </c>
      <c r="G1494" t="inlineStr">
        <is>
          <t>2019-03-25 19:24:51</t>
        </is>
      </c>
      <c r="H1494" t="inlineStr"/>
    </row>
    <row r="1495">
      <c r="A1495" t="inlineStr">
        <is>
          <t>b5k7qx</t>
        </is>
      </c>
      <c r="B1495" t="inlineStr">
        <is>
          <t>How do I tell my 8 &amp;amp; 10 year old boys that my most recent scans showed that my melanoma has moved to my brain, liver, &amp;amp; gall bladder???</t>
        </is>
      </c>
      <c r="C1495" t="inlineStr">
        <is>
          <t>Tell kids about newest spread of melanoma?</t>
        </is>
      </c>
      <c r="D1495" t="n">
        <v>49</v>
      </c>
      <c r="E1495" t="n">
        <v>23</v>
      </c>
      <c r="F1495">
        <f>HYPERLINK("https://www.reddit.com/r/cancer/comments/b5k7qx/how_do_i_tell_my_8_10_year_old_boys_that_my_most/")</f>
        <v/>
      </c>
      <c r="G1495" t="inlineStr">
        <is>
          <t>2019-03-25 19:37:04</t>
        </is>
      </c>
      <c r="H1495" t="inlineStr"/>
    </row>
    <row r="1496">
      <c r="A1496" t="inlineStr">
        <is>
          <t>b5k82s</t>
        </is>
      </c>
      <c r="B1496" t="inlineStr">
        <is>
          <t>I found out recently my friend who isn't even 28 yet has stage 4 lung cancer and I'm struggling to understand.</t>
        </is>
      </c>
      <c r="C1496" t="inlineStr">
        <is>
          <t>She has stage 4 adenocarcinoma. I spent hours googling it and everything I read was saying that the survival rate is very low. I just can't seem to comprehend that. I feel like because of her age that can't possibly be true. I don't even know what I'm trying to say here, I just don't understand how it's possible she could die from this, let alone likely. Is that always the case? I'm just at a loss.</t>
        </is>
      </c>
      <c r="D1496" t="n">
        <v>8</v>
      </c>
      <c r="E1496" t="n">
        <v>6</v>
      </c>
      <c r="F1496">
        <f>HYPERLINK("https://www.reddit.com/r/cancer/comments/b5k82s/i_found_out_recently_my_friend_who_isnt_even_28/")</f>
        <v/>
      </c>
      <c r="G1496" t="inlineStr">
        <is>
          <t>2019-03-25 19:37:58</t>
        </is>
      </c>
      <c r="H1496" t="inlineStr"/>
    </row>
    <row r="1497">
      <c r="A1497" t="inlineStr">
        <is>
          <t>b5k83m</t>
        </is>
      </c>
      <c r="B1497" t="inlineStr">
        <is>
          <t>Worried no one is taking me seriously</t>
        </is>
      </c>
      <c r="C1497" t="inlineStr">
        <is>
          <t>I have been a smoker off and on for the past  3.5yrs. Stress and anxiety and depression all combined to make it my go to stress relief.Been trying to quit for months now... Recently had severe back pain and chest pain. Had an ECG and Blood tests. Awaiting Blood results. I specifically asked if it could be cancer and what steps I could take to mentally prepare. Dr. goes it's costochondritis...you'll be fine. I actually couldn't sleep last night because the pain was so bad. But the doctor seems pretty chilled about it. This is the second doctor I've seen. While I wait for the results of the blood test can anyone tell me if being a smoker (2-3 packs a week) for 3 yrs + could result in lung cancer. What signs should I look out for? I will be going to another doctor if this GP continues to disregard my worries. ..but am waiting the blood results.</t>
        </is>
      </c>
      <c r="D1497" t="n">
        <v>0</v>
      </c>
      <c r="E1497" t="n">
        <v>5</v>
      </c>
      <c r="F1497">
        <f>HYPERLINK("https://www.reddit.com/r/cancer/comments/b5k83m/worried_no_one_is_taking_me_seriously/")</f>
        <v/>
      </c>
      <c r="G1497" t="inlineStr">
        <is>
          <t>2019-03-25 19:38:01</t>
        </is>
      </c>
      <c r="H1497" t="inlineStr"/>
    </row>
    <row r="1498">
      <c r="A1498" t="inlineStr">
        <is>
          <t>b5lp7y</t>
        </is>
      </c>
      <c r="B1498" t="inlineStr">
        <is>
          <t>Fingers are turning white</t>
        </is>
      </c>
      <c r="C1498" t="inlineStr">
        <is>
          <t>Seems like Reynolds syndrome but I'm nervous because i had cancer. Usually only the right index finger and it happens most often when my hand gets cold. Just turned 26 and don't have health insurance yet so I'm worried.</t>
        </is>
      </c>
      <c r="D1498" t="n">
        <v>6</v>
      </c>
      <c r="E1498" t="n">
        <v>2</v>
      </c>
      <c r="F1498">
        <f>HYPERLINK("https://www.reddit.com/r/cancer/comments/b5lp7y/fingers_are_turning_white/")</f>
        <v/>
      </c>
      <c r="G1498" t="inlineStr">
        <is>
          <t>2019-03-25 22:18:11</t>
        </is>
      </c>
      <c r="H1498" t="inlineStr"/>
    </row>
    <row r="1499">
      <c r="A1499" t="inlineStr">
        <is>
          <t>b5m4nz</t>
        </is>
      </c>
      <c r="B1499" t="inlineStr">
        <is>
          <t>Brain tumor in human</t>
        </is>
      </c>
      <c r="C1499" t="inlineStr">
        <is>
          <t>A brain tumor is a mass or development of abnormal cells in the brain. A wide range of sorts of [brain](https://jacobspublishers.com/jacobs-journal-of-neurology-and-neuroscienceissn-2376-9408/) tumors exist. Some brain tumors are noncancerous (considerate), and some brain tumors are cancerous (malignant). Brain tumors can begin in your brain (essential brain tumors), or malignant growth can begin in different pieces of your body and spread to your brain (auxiliary, or metastatic, brain tumors).
[tumor in brain](https://i.redd.it/juwik0axmeo21.jpg)
How rapidly a brain tumor develops can vary greatly. The development rate, just as the area of a brain tumor, determine how it will influence the capacity of your sensory system.  Brain tumor treatment alternatives rely upon the sort of brain tumor you have, just as its size and area.
&amp;amp;#x200B;</t>
        </is>
      </c>
      <c r="D1499" t="n">
        <v>0</v>
      </c>
      <c r="E1499" t="n">
        <v>2</v>
      </c>
      <c r="F1499">
        <f>HYPERLINK("https://www.reddit.com/r/cancer/comments/b5m4nz/brain_tumor_in_human/")</f>
        <v/>
      </c>
      <c r="G1499" t="inlineStr">
        <is>
          <t>2019-03-25 23:09:25</t>
        </is>
      </c>
      <c r="H1499" t="inlineStr"/>
    </row>
    <row r="1500">
      <c r="A1500" t="inlineStr">
        <is>
          <t>b5o3sp</t>
        </is>
      </c>
      <c r="B1500" t="inlineStr">
        <is>
          <t>No stomach &amp;amp; vomiting bile over 40 times per day</t>
        </is>
      </c>
      <c r="C1500" t="inlineStr">
        <is>
          <t xml:space="preserve">Age: 61
Sex: M
Height: 5’ 9”
Weight: 140lbs (current)
Duration of complaint: Approx 2 month’s
Location: Esophagus / GI tract
My dad was diagnosed with esophageal cancer in November of 2017. 
He completed full rounds of chemo and radiation, and was scheduled for an ivor lewis surgery in April 2018. When he went in for the surgery, scar tissue was found in his stomach, making it unusable for the procedure. This resulted in a partial esophagectomy and total gastrectomy instead. His intestines attached to his esophagus (roux en y). Pathology was taken for the removed areas, he recovered well and was doing well adjusting to his “new normal”.
During his follow up visit we learned that the margins on the pathology were not clear, and there was a chance that there was still cancer inside him. In July 2018 he went back in for another surgery to remove more of his esophagus. This recovery was harder, but he preserved,  and again adjusted to his new normal. 
Follow up scans were clear, he ate almost everything (in portions and moderation), slept on an incline, went back to work and resumed his hobbies.
In December 2018 he had a clear PET scan, bought a motorcycle to celebrate. In January he began experiencing severe cramping, and also reflux. We had multiple doctors visits l, tried several medications, but his symptoms got worse. He began vomiting bile a few times per day. By mid February he was admitted back into the hospital to treat the vomiting. 
Today (one month after hospital admission) he is still vomiting and it has become more frequent, over 40x a day (vomiting bile every 15 minutes). He’s lost 30lbs in 1 month
His doctors have been unable to determine the cause of his symptoms. Do not believe it’s gallbladder or bowel obstruction related. My dad is suffering, and we are desperate to find a solution. Below is a list of all of the tests and medications we have tried. 
Now surgery is up for discussion, and I have concerns, as his doctors are unsure if these surgeries will fix him, but at this point they have tried everything else. I have been in communication with others who have had similar cases in online forums for total gastrectomy patients, but nobody has a matching experience or a solution. I am reaching out to the reddit world for insight. 
Here’s an overview of what we have tried: 
1. Barium swallow tests: found that he swallows “slowly” (but we already knew that) 
2. 3 Endosopies: 1 dilated the area. The second found a rare infection - actinomycosis in his esophagus, resulted in putting a feeding tube into his intestines, and a picc line of penicillin (must be one for 1 year). He was sent home assuming this infection may be the cause of the symptoms, but the 3rd endoscopy has shown improvement in the infection, but his symptoms persist, and he is back in the hospital.
3. CT scan - clear 
4. Xray - clear (discovered constipation, treated him for this)
5. PET Scan - clear, one area showed “low activity and visibility” - they have decided to do a laparoscopic exploratory surgery this week to check for cancer in this area.
Medications (we have tried many of each type, still nothing has stopped the vomiting)
1. Anti nausea (tried all kinds, no relief)
2. Bile binding 
3. Laxatives and enemas 
4. Carafate 
5. Prilosec 
6. He’s still on the penicillin for the infection (it’s not believed to be an allergic reaction)
If the exploratory surgery shows no cancer then the plan is to revise the roux en y to move the connection lower. It is believed that this could help, as this will create a longer path for the bile to come up. His doctors are not sure if this will resolve his issues, but this is what they want to try. 
Any and all advice or information that could help is welcomed, please reddit, we need answers 
</t>
        </is>
      </c>
      <c r="D1500" t="n">
        <v>7</v>
      </c>
      <c r="E1500" t="n">
        <v>5</v>
      </c>
      <c r="F1500">
        <f>HYPERLINK("https://www.reddit.com/r/cancer/comments/b5o3sp/no_stomach_vomiting_bile_over_40_times_per_day/")</f>
        <v/>
      </c>
      <c r="G1500" t="inlineStr">
        <is>
          <t>2019-03-26 03:40:51</t>
        </is>
      </c>
      <c r="H1500" t="inlineStr"/>
    </row>
    <row r="1501">
      <c r="A1501" t="inlineStr">
        <is>
          <t>b5olx3</t>
        </is>
      </c>
      <c r="B1501" t="inlineStr">
        <is>
          <t>How do I emotionally support my mom</t>
        </is>
      </c>
      <c r="C1501" t="inlineStr">
        <is>
          <t xml:space="preserve">My mom has pancreatic cancer and doctors told me she only has a few days to live. Work let me work remotely as long as I need, so I've been staying at home with her, but I don't know what to do. Every day, I get her any food she's craving, but she is eating so little. She lost the ability to walk, but massaging her legs feel better so I do that when I can. I got some of her favorite romantic comedies cause I thought laughing would be good medicine, but she can't really pay attention but keeps them on as background noise. She falls in and out of consciousness while talking. 
It's 4 am right now and I noticed her light on. I walk in and she told me that she is going crazy. She can't sleep and she doesn't know what to do. I find something to get her talking, but she starts feeling nauseous, told me to wake up my dad, and told me to go to bed.
She's in pain and suffering, but she doesn't want to make her kids suffer. When she got diagnosed, she kept the news from us for as long as possible. I want to do as much as I can in her worse moment. Can I please get suggestions.
</t>
        </is>
      </c>
      <c r="D1501" t="n">
        <v>26</v>
      </c>
      <c r="E1501" t="n">
        <v>16</v>
      </c>
      <c r="F1501">
        <f>HYPERLINK("https://www.reddit.com/r/cancer/comments/b5olx3/how_do_i_emotionally_support_my_mom/")</f>
        <v/>
      </c>
      <c r="G1501" t="inlineStr">
        <is>
          <t>2019-03-26 04:37:29</t>
        </is>
      </c>
      <c r="H1501" t="inlineStr"/>
    </row>
    <row r="1502">
      <c r="A1502" t="inlineStr">
        <is>
          <t>b5qh57</t>
        </is>
      </c>
      <c r="B1502" t="inlineStr">
        <is>
          <t>Frustration with life</t>
        </is>
      </c>
      <c r="C1502" t="inlineStr">
        <is>
          <t xml:space="preserve">DH has a stage iv cancer. We're in a good news/bad news situation.
&amp;amp;#x200B;
Good news: he's had good response to chemo, and they'll proceed with radiation and surgery. We are overjoyed.
&amp;amp;#x200B;
Bad news: The treatment will have to take place out of state. Looking at a minimum of 12 weeks away, in total, if everything goes perfectly. 
&amp;amp;#x200B;
Bad news: surgery will be extremely risky, and DH will definitely have some deficits. He will probably never work in his previous field again. 
&amp;amp;#x200B;
Bad news: I left my \*real\* job years ago, and work part-time without benefits.
&amp;amp;#x200B;
Bad news: We'll likely need a handicap-accessible home, which we cannot afford nor at this point would we be allowed to purchase. 
&amp;amp;#x200B;
Bad news: our health insurance will only last until November at the latest. While DH is deemed disabled and will begin receiving SSDI soon, we qualify for no further benefits (medicaid, etc).
&amp;amp;#x200B;
Bad news: I'm going to have to find a full time job with benefits while DH is getting treatment in another state, while also being the sole caretaker of our kids and home. 
&amp;amp;#x200B;
I am downright terrified of the future. I can't plan for a thing, and we'll be going through six months minimum of hell, from every angle. How do families do this? </t>
        </is>
      </c>
      <c r="D1502" t="n">
        <v>11</v>
      </c>
      <c r="E1502" t="n">
        <v>5</v>
      </c>
      <c r="F1502">
        <f>HYPERLINK("https://www.reddit.com/r/cancer/comments/b5qh57/frustration_with_life/")</f>
        <v/>
      </c>
      <c r="G1502" t="inlineStr">
        <is>
          <t>2019-03-26 07:37:42</t>
        </is>
      </c>
      <c r="H1502" t="inlineStr"/>
    </row>
    <row r="1503">
      <c r="A1503" t="inlineStr">
        <is>
          <t>b5qpo8</t>
        </is>
      </c>
      <c r="B1503" t="inlineStr">
        <is>
          <t>2 weeks</t>
        </is>
      </c>
      <c r="C1503" t="inlineStr">
        <is>
          <t xml:space="preserve">My aunt (we’ll call her D) was diagnosed with stage 4 non-Hodgkin’s lymphoma back in late September. Diffuse large B cell if I remember correctly. 
They’ve done 4 rounds of chemo - many complications. Issues with her pancreas and her liver, infections galore, etc. 
Just found out that it’s spread all throughout her body. They’ve given her 2 weeks to live. She doesn’t even live on the same continent I do. I want so badly to go and soak up some time with her, but I want to remember her as the strong, beautiful, courageous woman she was. I don’t want to go just in time to see her pass away, and then have to leave before I can pay my respects. 
I just needed to write this somewhere. Thank you all. </t>
        </is>
      </c>
      <c r="D1503" t="n">
        <v>17</v>
      </c>
      <c r="E1503" t="n">
        <v>5</v>
      </c>
      <c r="F1503">
        <f>HYPERLINK("https://www.reddit.com/r/cancer/comments/b5qpo8/2_weeks/")</f>
        <v/>
      </c>
      <c r="G1503" t="inlineStr">
        <is>
          <t>2019-03-26 07:58:48</t>
        </is>
      </c>
      <c r="H1503" t="inlineStr"/>
    </row>
    <row r="1504">
      <c r="A1504" t="inlineStr">
        <is>
          <t>b5qq6m</t>
        </is>
      </c>
      <c r="B1504" t="inlineStr">
        <is>
          <t>Really nervous.</t>
        </is>
      </c>
      <c r="C1504" t="inlineStr">
        <is>
          <t>I have had this bump on my skin that I honestly never thought anything of. It started out looking exactly like a superficial cyst on my neck that my dr told me not to worry about but if it changed to get it checked. It hasn’t.
This one on my leg has over time. I posted on r/askdocs about what to do for this “boil”. Thank god someone commented about potentially cancerous because, embarrassingly, that never even crossed my mind!!!
It’s been there about a year now. It turned reddish. I almost forgot it was even there. Now the last couple months it gets itchy occasionally, usually after I shower/take a bath so seems to be temperature sensitive. Also it’s smooth and as you can see it’s kinda scaly.
I have an appointment with a dermatologist at the end of April. I was recommended so I requested him. Should I say fuck being particular and go see someone else sooner?
[picture](https://imgur.com/a/AqLu084)</t>
        </is>
      </c>
      <c r="D1504" t="n">
        <v>0</v>
      </c>
      <c r="E1504" t="n">
        <v>3</v>
      </c>
      <c r="F1504">
        <f>HYPERLINK("https://www.reddit.com/r/cancer/comments/b5qq6m/really_nervous/")</f>
        <v/>
      </c>
      <c r="G1504" t="inlineStr">
        <is>
          <t>2019-03-26 08:00:03</t>
        </is>
      </c>
      <c r="H1504" t="inlineStr"/>
    </row>
    <row r="1505">
      <c r="A1505" t="inlineStr">
        <is>
          <t>b5s5gv</t>
        </is>
      </c>
      <c r="B1505" t="inlineStr">
        <is>
          <t>Healers reveal yourselves</t>
        </is>
      </c>
      <c r="C1505" t="inlineStr">
        <is>
          <t>In 1952, there was a great healer who resided near Bixby Park, Long Beach, Ca. He cured thousands, he was called Mr. S. He wanted no notoriety, in his later years. He lectured at his home a few students. One was James MacKimmie, who cured thousands himself. All the known healers MacKimmie had known have passed.  It is time for real healers to come out, reveal yourselves to help cure those in need. Long have we laughed at, accused healers for lack of miracles, we need to know not every illnesses and diseases can be removed. Humble ourself, seek other healers, never giving up.  I have experienced the gift of healing through the Holy Spirit, I have seen Jesus heal others through prayer. If a miracle appears  as it it has failed, remember your healing may have been on a higher level for your spiritual body. All is not lost. Do not lose heart or faith. We are always being tested. We need healers to reveal themselves, we ask, seek and knock on your door, in the Name of Jesus.
Father Pio and Father Guglierlmo Lauriola says, "do not be afraid".  So many ill, so many to heal.  Heal your sheep Lord. Hear our prayer.</t>
        </is>
      </c>
      <c r="D1505" t="n">
        <v>0</v>
      </c>
      <c r="E1505" t="n">
        <v>0</v>
      </c>
      <c r="F1505">
        <f>HYPERLINK("https://www.reddit.com/r/cancer/comments/b5s5gv/healers_reveal_yourselves/")</f>
        <v/>
      </c>
      <c r="G1505" t="inlineStr">
        <is>
          <t>2019-03-26 09:54:43</t>
        </is>
      </c>
      <c r="H1505" t="inlineStr"/>
    </row>
    <row r="1506">
      <c r="A1506" t="inlineStr">
        <is>
          <t>b5snn7</t>
        </is>
      </c>
      <c r="B1506" t="inlineStr">
        <is>
          <t>People who have or had throat cancer, what were your first symptoms?</t>
        </is>
      </c>
      <c r="C1506" t="inlineStr">
        <is>
          <t>Would like to know since I am studying about it a bit.. thank you!</t>
        </is>
      </c>
      <c r="D1506" t="n">
        <v>0</v>
      </c>
      <c r="E1506" t="n">
        <v>10</v>
      </c>
      <c r="F1506">
        <f>HYPERLINK("https://www.reddit.com/r/cancer/comments/b5snn7/people_who_have_or_had_throat_cancer_what_were/")</f>
        <v/>
      </c>
      <c r="G1506" t="inlineStr">
        <is>
          <t>2019-03-26 10:36:03</t>
        </is>
      </c>
      <c r="H1506" t="inlineStr"/>
    </row>
    <row r="1507">
      <c r="A1507" t="inlineStr">
        <is>
          <t>b5spa0</t>
        </is>
      </c>
      <c r="B1507" t="inlineStr">
        <is>
          <t>Really hard day</t>
        </is>
      </c>
      <c r="C1507" t="inlineStr">
        <is>
          <t>After a three month break from treatment where I was NED, we got the news today that the cancer is back and I've moved out of the realm of cure. Time to try clinical trials. The thought of maintenance therapy terrifies me. I'm completely broken, mostly thinking about my almost four year old son. FUCK CANCER.</t>
        </is>
      </c>
      <c r="D1507" t="n">
        <v>78</v>
      </c>
      <c r="E1507" t="n">
        <v>21</v>
      </c>
      <c r="F1507">
        <f>HYPERLINK("https://www.reddit.com/r/cancer/comments/b5spa0/really_hard_day/")</f>
        <v/>
      </c>
      <c r="G1507" t="inlineStr">
        <is>
          <t>2019-03-26 10:39:58</t>
        </is>
      </c>
      <c r="H1507" t="inlineStr"/>
    </row>
    <row r="1508">
      <c r="A1508" t="inlineStr">
        <is>
          <t>b5t6bk</t>
        </is>
      </c>
      <c r="B1508" t="inlineStr">
        <is>
          <t>Keytruda</t>
        </is>
      </c>
      <c r="C1508" t="inlineStr">
        <is>
          <t>My husband is about to start Keytruda for his metastatic squamous cell laryngeal cancer. Anybody familiar with this immunotherapy?</t>
        </is>
      </c>
      <c r="D1508" t="n">
        <v>7</v>
      </c>
      <c r="E1508" t="n">
        <v>13</v>
      </c>
      <c r="F1508">
        <f>HYPERLINK("https://www.reddit.com/r/cancer/comments/b5t6bk/keytruda/")</f>
        <v/>
      </c>
      <c r="G1508" t="inlineStr">
        <is>
          <t>2019-03-26 11:17:24</t>
        </is>
      </c>
      <c r="H1508" t="inlineStr"/>
    </row>
    <row r="1509">
      <c r="A1509" t="inlineStr">
        <is>
          <t>b5th7s</t>
        </is>
      </c>
      <c r="B1509" t="inlineStr">
        <is>
          <t>Dyspepsia</t>
        </is>
      </c>
      <c r="C1509" t="inlineStr">
        <is>
          <t xml:space="preserve">Fancy word for not digesting for fun. 
I need some suggestions for what to do when your stomach won’t process anything. Threw up the other night and it was just the same as when it went down 8 hours earlier. I’ve stopped taking my anti emetics since the salt slow digestion. I managed to drink 600mL of protein shake. 
My doctor just prescribed reglan for nausea but the pharmacy doesn’t have it ready yet. Please help! This is the most uncomfortable I’ve felt throughout chemo. </t>
        </is>
      </c>
      <c r="D1509" t="n">
        <v>8</v>
      </c>
      <c r="E1509" t="n">
        <v>2</v>
      </c>
      <c r="F1509">
        <f>HYPERLINK("https://www.reddit.com/r/cancer/comments/b5th7s/dyspepsia/")</f>
        <v/>
      </c>
      <c r="G1509" t="inlineStr">
        <is>
          <t>2019-03-26 11:41:21</t>
        </is>
      </c>
      <c r="H1509" t="inlineStr"/>
    </row>
    <row r="1510">
      <c r="A1510" t="inlineStr">
        <is>
          <t>b5ub92</t>
        </is>
      </c>
      <c r="B1510" t="inlineStr">
        <is>
          <t>Ways to get help?</t>
        </is>
      </c>
      <c r="C1510" t="inlineStr">
        <is>
          <t xml:space="preserve">I had chemo and head+neck radiation back in 2012 and since then I've lost insurance and have no money. Looked into programs for financial support but was denied them all. 
I need dental work (tons of it) almost all my teeth have rotten away and are black stubs. I am severely depressed/anxious and could use medication for it which I was once prescribed but due to lack of insurance and money haven't seen a doctor in 6 years. 
Are there grants to help get dental work? Doctor visits and prescriptions? 
Am I left to try to make GoFundMe/KickStarter pages to maybe get financial support that way?
Is there a credit card without limits I can apply for and use for dental/medical work and just file bankruptcy after it's taken care of? 
I'm almost 30 years old and can't even work due to just chronic fatigue, not sure if it's from the cancer treatments or the depression but I've lost my twenties and done nothing but lay in bed for 7 years and I want to fix myself. </t>
        </is>
      </c>
      <c r="D1510" t="n">
        <v>1</v>
      </c>
      <c r="E1510" t="n">
        <v>0</v>
      </c>
      <c r="F1510">
        <f>HYPERLINK("https://www.reddit.com/r/cancer/comments/b5ub92/ways_to_get_help/")</f>
        <v/>
      </c>
      <c r="G1510" t="inlineStr">
        <is>
          <t>2019-03-26 12:47:55</t>
        </is>
      </c>
      <c r="H1510" t="inlineStr"/>
    </row>
    <row r="1511">
      <c r="A1511" t="inlineStr">
        <is>
          <t>b5voyd</t>
        </is>
      </c>
      <c r="B1511" t="inlineStr">
        <is>
          <t>Husband just diagnosed.</t>
        </is>
      </c>
      <c r="C1511" t="inlineStr">
        <is>
          <t xml:space="preserve">Yesterday we got the ct scan results and it showed a 3.5cm tumour on his pancreas, it’s wrapped around the blood vessels and spread to his colon, the scan also showed numerous other smaller lumps in the area.  This is most We have not yet seen the gastroenterologist for official diagnosis and staging but the news looks very bleak.  He’s 38, we have a two year old daughter.  I’m numb. </t>
        </is>
      </c>
      <c r="D1511" t="n">
        <v>8</v>
      </c>
      <c r="E1511" t="n">
        <v>13</v>
      </c>
      <c r="F1511">
        <f>HYPERLINK("https://www.reddit.com/r/cancer/comments/b5voyd/husband_just_diagnosed/")</f>
        <v/>
      </c>
      <c r="G1511" t="inlineStr">
        <is>
          <t>2019-03-26 14:39:38</t>
        </is>
      </c>
      <c r="H1511" t="inlineStr"/>
    </row>
    <row r="1512">
      <c r="A1512" t="inlineStr">
        <is>
          <t>b5w9cm</t>
        </is>
      </c>
      <c r="B1512" t="inlineStr">
        <is>
          <t>Scared 26 year old looking for some help</t>
        </is>
      </c>
      <c r="C1512" t="inlineStr">
        <is>
          <t xml:space="preserve">I will keep this short.
I felt a lump in my armpit about 6 weeks ago and brushed it off as something that I shouldn’t be worried about.
I finally plucked up the courage and got myself checked out at my doctors last week who had a feel, prod and visual examination on my breasts.  She noticed another small lump in one of my breasts. She sat me down and said ‘don’t worry but’ it feels like it might be something to be concerned about and said that if it were to get bigger and stay the hard, stone feeling it has been I have to go back to see her asap. In the shower yesterday it felt slightly bigger. 
I’m going back to see her beginning of next week and I’ve been a state since the last appointment. 
How have you dealt with the initial shock that something isn’t right? I’ve been exercising more and seeing friends over the weekend to distract myself and my mum and boyfriends have been a great support.
I’m praying it is a false alarm, as anyone would do, but I just can’t shake the feeling something isn’t ‘normal’
</t>
        </is>
      </c>
      <c r="D1512" t="n">
        <v>1</v>
      </c>
      <c r="E1512" t="n">
        <v>0</v>
      </c>
      <c r="F1512">
        <f>HYPERLINK("https://www.reddit.com/r/cancer/comments/b5w9cm/scared_26_year_old_looking_for_some_help/")</f>
        <v/>
      </c>
      <c r="G1512" t="inlineStr">
        <is>
          <t>2019-03-26 15:26:28</t>
        </is>
      </c>
      <c r="H1512" t="inlineStr"/>
    </row>
    <row r="1513">
      <c r="A1513" t="inlineStr">
        <is>
          <t>b5xf6o</t>
        </is>
      </c>
      <c r="B1513" t="inlineStr">
        <is>
          <t>Don’t have cancer, but getting a lumpectomy for a tumor. Seeking some advice!</t>
        </is>
      </c>
      <c r="C1513" t="inlineStr">
        <is>
          <t xml:space="preserve">I am a 23 year old female with a 3 inch deep, 1 inch in length tumor in my right breast. And let me tell you, I have tiny titties so that’s a third of my boob right there. 
I found it on February 8th, tried not to worry too much about it and waited another 4 weeks to let myself go through my period and ovulation because I was aware it could have been a hormonal cyst that would go away. 
When I finally decided to have it checked as it had not gone away or changed in size, I was told it was tumor and given 3 options; let it stay there and keep and eye on it with regular check ups, leave it but have it biopsied to make 100% that it was not active or cancerous, or remove it completely and of course still biopsy it afterwards. 
I opted to have it removed completely because my mother had breast cancer at 42, my boob is significantly larger than the other and my bras don’t fit, and I just wouldn’t want to live with the worry of having a huge lump in my boob. 
What should I be looking “forward” to with the lumpectomy? 
How long is recovery time typically? I work with my right arm of course,  typically slightly above my head, which I am concerned about. 
Do they take more than the actual lump itself to make sure that the surrounding area is okay? 
Should I be preparing somehow? 
Any info about your experience will help! 
I know these are all questions that I can ask the doctor and I will, in 2 weeks when I have my consultation , but they’re circling in my mind right now. </t>
        </is>
      </c>
      <c r="D1513" t="n">
        <v>0</v>
      </c>
      <c r="E1513" t="n">
        <v>9</v>
      </c>
      <c r="F1513">
        <f>HYPERLINK("https://www.reddit.com/r/cancer/comments/b5xf6o/dont_have_cancer_but_getting_a_lumpectomy_for_a/")</f>
        <v/>
      </c>
      <c r="G1513" t="inlineStr">
        <is>
          <t>2019-03-26 17:10:53</t>
        </is>
      </c>
      <c r="H1513" t="inlineStr"/>
    </row>
    <row r="1514">
      <c r="A1514" t="inlineStr">
        <is>
          <t>b5y1ry</t>
        </is>
      </c>
      <c r="B1514" t="inlineStr">
        <is>
          <t>My mom might have colon cancer</t>
        </is>
      </c>
      <c r="C1514" t="inlineStr">
        <is>
          <t xml:space="preserve">I just need to get this off my chest because i’m scared... they’ve done blood tests and they didn’t say anything about cancer but apparently she has perniciois anemia and she’s already upset over that alone. I know she’s not the type of person to handle these things well and she already has depression/anxiety so if she has cancer on top of this too it’s gonna be an absolute disaster.
Im 15 and i have no close friends or siblings she’s basically all i’ve got. What do i do... </t>
        </is>
      </c>
      <c r="D1514" t="n">
        <v>1</v>
      </c>
      <c r="E1514" t="n">
        <v>0</v>
      </c>
      <c r="F1514">
        <f>HYPERLINK("https://www.reddit.com/r/cancer/comments/b5y1ry/my_mom_might_have_colon_cancer/")</f>
        <v/>
      </c>
      <c r="G1514" t="inlineStr">
        <is>
          <t>2019-03-26 18:08:16</t>
        </is>
      </c>
      <c r="H1514" t="inlineStr"/>
    </row>
    <row r="1515">
      <c r="A1515" t="inlineStr">
        <is>
          <t>b5yj0k</t>
        </is>
      </c>
      <c r="B1515" t="inlineStr">
        <is>
          <t>Several questions about bone marrow transplant for Myeloproliferative Neoplasm/myelofibrosis</t>
        </is>
      </c>
      <c r="C1515" t="inlineStr">
        <is>
          <t>• Do they do it if you're over 70?
• Does Medicare or Medicaid pay for it?
• Does my insurance pay for the donor's medical cost?
• How does a prospective donor determine if they are compatible?
• Can the donor do it by donating blood instead of having a bone marrow procedure?</t>
        </is>
      </c>
      <c r="D1515" t="n">
        <v>5</v>
      </c>
      <c r="E1515" t="n">
        <v>3</v>
      </c>
      <c r="F1515">
        <f>HYPERLINK("https://www.reddit.com/r/cancer/comments/b5yj0k/several_questions_about_bone_marrow_transplant/")</f>
        <v/>
      </c>
      <c r="G1515" t="inlineStr">
        <is>
          <t>2019-03-26 18:54:50</t>
        </is>
      </c>
      <c r="H1515" t="inlineStr"/>
    </row>
    <row r="1516">
      <c r="A1516" t="inlineStr">
        <is>
          <t>b5zauz</t>
        </is>
      </c>
      <c r="B1516" t="inlineStr">
        <is>
          <t>If I need further treatment I will die.</t>
        </is>
      </c>
      <c r="C1516" t="inlineStr">
        <is>
          <t>In a few months I finish the extent of the treatment my insurance will pay for, and after that, if any cancer is left, I have no way to obtain the specialty drugs for it, in a first world nation.
Yes I felt the need to highlight that.</t>
        </is>
      </c>
      <c r="D1516" t="n">
        <v>59</v>
      </c>
      <c r="E1516" t="n">
        <v>31</v>
      </c>
      <c r="F1516">
        <f>HYPERLINK("https://www.reddit.com/r/cancer/comments/b5zauz/if_i_need_further_treatment_i_will_die/")</f>
        <v/>
      </c>
      <c r="G1516" t="inlineStr">
        <is>
          <t>2019-03-26 20:12:48</t>
        </is>
      </c>
      <c r="H1516" t="inlineStr"/>
    </row>
    <row r="1517">
      <c r="A1517" t="inlineStr">
        <is>
          <t>b60d43</t>
        </is>
      </c>
      <c r="B1517" t="inlineStr">
        <is>
          <t>Tested positive for two gene mutations</t>
        </is>
      </c>
      <c r="C1517" t="inlineStr">
        <is>
          <t>First time posting here. Scared and need advice. 
My dad was diagnosed with breast cancer and prostate cancer, and his doctor linked them to a specific and rare gene. Since cancer also runs on my mom’s side (her brother) his doctor highly encouraged I get genetically tested (I’m 32).
Today I got the results back, positive for two cancer causing genes linked the increased breast, colon, and ovarian cancer.
Immediately the doctor tells me I have to get an MRI and mammogram done (which my insurance will not cover since I’m below 40) and gives me the numbers of plastic surgeons for a mastectomy, and fertility doctors to freeze my eggs, and info for a colonscopy.
Is this... is this all necessary? Does this all have to happen now? I feel so overwhelmed and confused. I was too in shock to say anything, I was crying a lot- just took the paperwork and left. I wish I was stronger.
Are these my only options? Just remove organs? My relatives didn’t get cancer until they were in their 60s and 70s, and this doctor is saying to remove my ovaries by 35. I feel so lost and cornered.</t>
        </is>
      </c>
      <c r="D1517" t="n">
        <v>6</v>
      </c>
      <c r="E1517" t="n">
        <v>16</v>
      </c>
      <c r="F1517">
        <f>HYPERLINK("https://www.reddit.com/r/cancer/comments/b60d43/tested_positive_for_two_gene_mutations/")</f>
        <v/>
      </c>
      <c r="G1517" t="inlineStr">
        <is>
          <t>2019-03-26 22:11:58</t>
        </is>
      </c>
      <c r="H1517" t="inlineStr"/>
    </row>
    <row r="1518">
      <c r="A1518" t="inlineStr">
        <is>
          <t>b60gor</t>
        </is>
      </c>
      <c r="B1518" t="inlineStr">
        <is>
          <t>Ovarian chemo brain</t>
        </is>
      </c>
      <c r="C1518" t="inlineStr">
        <is>
          <t xml:space="preserve">So it's been YEARS since I've had cancer and done the chemo crap. 12 then 27 now. I suffer so bad from "chemo brain" but it's so hard to explain and has mad me suffer a bit in life. Anyone feel the same and can share some similar experiences???  Makes me so mad at times  </t>
        </is>
      </c>
      <c r="D1518" t="n">
        <v>1</v>
      </c>
      <c r="E1518" t="n">
        <v>0</v>
      </c>
      <c r="F1518">
        <f>HYPERLINK("https://www.reddit.com/r/cancer/comments/b60gor/ovarian_chemo_brain/")</f>
        <v/>
      </c>
      <c r="G1518" t="inlineStr">
        <is>
          <t>2019-03-26 22:24:18</t>
        </is>
      </c>
      <c r="H1518" t="inlineStr"/>
    </row>
    <row r="1519">
      <c r="A1519" t="inlineStr">
        <is>
          <t>b611hd</t>
        </is>
      </c>
      <c r="B1519" t="inlineStr">
        <is>
          <t>Scared</t>
        </is>
      </c>
      <c r="C1519" t="inlineStr">
        <is>
          <t>My Gigi (aka my grandma) currently has stage 4 incurable terminal ovarian cancer. She’s in treatment, but the treatment is basically doing nothing but giving her a little bit of extra time. 
Before her cancer, my family (aka my immediate family of me and my mom and my younger brothers, my Gigi and my grandpa, and my mom’s sister, her husband, and their two daughters) has a super close dynamic. Family dinners and get togethers a few times month, birthday celebrations, every major holiday together, etc.
Even right now as we’ve banded together to help care for Gigi in her final days, we still have those dinners and happy moments. 
Despite the scary and dreadful thought of losing her, also comes the almost even scarier thoughts of our family afterwards. I always hear so many stories about illness, specially cancer, and more specifically incurable cancer, and death ripping families apart. So far, my family has done great sticking together. My Gigi had to move in with my aunt, my grandpa returned to town (he and my Gigi are divorced but amicable and he moved back here to help), and so between me, my mom, my aunt, and my grandpa, we rotate each day as her full time caretakers. While also all still working, being in school, my mom and aunt being parents, etc etc. It’s been HARD. We basically live, eat, and breathe cancer right now. We’re constantly together, constantly spending the night at my aunt’s house with her husband and my two younger cousins caring for her, and there’s always little bickering. Always somebody getting on somebody else’s nerves. Everybody being around each other 24/7 has caused some drama (nothing serious, just normal family bickering when you’re together too much). We’ve done good about pushing it aside for Gigi’s sake right now, but I’m very worried that come THAT DAY, once everything is said and done, we’re going to be so sick of each other and so ready to get back to our normal lives, that we’re going to go our separate ways and never really have that super close family dynamic we had before the cancer.
My fear of this comes from my mom’s best friend who also went through something very similar, having this happen to her family about 5 years ago. She said they were incredibly close, her dad got cancer, they came together as full time caretakers for him, throughout that time they began bickering and fighting and not being able to put up with each other, that after her father passed, her and her siblings have barely talked since. 
Anybody else dealt with this?</t>
        </is>
      </c>
      <c r="D1519" t="n">
        <v>5</v>
      </c>
      <c r="E1519" t="n">
        <v>6</v>
      </c>
      <c r="F1519">
        <f>HYPERLINK("https://www.reddit.com/r/cancer/comments/b611hd/scared/")</f>
        <v/>
      </c>
      <c r="G1519" t="inlineStr">
        <is>
          <t>2019-03-26 23:35:54</t>
        </is>
      </c>
      <c r="H1519" t="inlineStr"/>
    </row>
    <row r="1520">
      <c r="A1520" t="inlineStr">
        <is>
          <t>b61ugy</t>
        </is>
      </c>
      <c r="B1520" t="inlineStr">
        <is>
          <t>Looking for others with the same diagnosis</t>
        </is>
      </c>
      <c r="C1520" t="inlineStr">
        <is>
          <t>About six months following the end of treatment I started developing growths on my vagina. They’re imbedded into my colon, and have been growing and causing massive amounts of pain. They’re painful to the touch and feel swollen, and cause aching pains constantly that build throughout the day. I’m unable to touch my vagina at all, any type of insertion is excruciating. They feel almost itchy.
They’re diagnosed as “hardened healthy overgrowth tissue” and are untreatable and inoperable. I’ve been told they will continue to grow throughout my vagina and surrounding tissues and there are no options.
I’m reaching out in the hopes that anyone has heard of this or experienced it. I am struggling with the amount of pain I’m in and grappling with the knowledge that it is only going to get worse.
I’ve been told that it isn’t related to cancer or treatments but the timeline is suspicious.</t>
        </is>
      </c>
      <c r="D1520" t="n">
        <v>3</v>
      </c>
      <c r="E1520" t="n">
        <v>6</v>
      </c>
      <c r="F1520">
        <f>HYPERLINK("https://www.reddit.com/r/cancer/comments/b61ugy/looking_for_others_with_the_same_diagnosis/")</f>
        <v/>
      </c>
      <c r="G1520" t="inlineStr">
        <is>
          <t>2019-03-27 01:22:46</t>
        </is>
      </c>
      <c r="H1520" t="inlineStr"/>
    </row>
    <row r="1521">
      <c r="A1521" t="inlineStr">
        <is>
          <t>b64bd8</t>
        </is>
      </c>
      <c r="B1521" t="inlineStr">
        <is>
          <t>Back to work after a year and 3 months of cancer treatment</t>
        </is>
      </c>
      <c r="C1521" t="inlineStr">
        <is>
          <t xml:space="preserve"> im 33 and In late 2017 i was diagnosed with late stage cancer (hodgkins). I beat it and today is my first week back at work. Im finding it difficult to connect with people who really didnt reach out while i was away. Im full of resentment but trying to keep a brave face on. I wrestle with anger towards my friends, family and coworked for not doing enough to help me or understand what i was going through. Any advise or words of wisdom would be greatly appreciated.</t>
        </is>
      </c>
      <c r="D1521" t="n">
        <v>44</v>
      </c>
      <c r="E1521" t="n">
        <v>19</v>
      </c>
      <c r="F1521">
        <f>HYPERLINK("https://www.reddit.com/r/cancer/comments/b64bd8/back_to_work_after_a_year_and_3_months_of_cancer/")</f>
        <v/>
      </c>
      <c r="G1521" t="inlineStr">
        <is>
          <t>2019-03-27 06:11:26</t>
        </is>
      </c>
      <c r="H1521" t="inlineStr"/>
    </row>
    <row r="1522">
      <c r="A1522" t="inlineStr">
        <is>
          <t>b672y3</t>
        </is>
      </c>
      <c r="B1522" t="inlineStr">
        <is>
          <t>The Day I recieved my last round of Chemo (i'm in remission now)</t>
        </is>
      </c>
      <c r="C1522" t="inlineStr">
        <is>
          <t xml:space="preserve">Ringing the Cancer Bell after 12 agressive rounds of ABVD CHemotherapy! This video was taken at The Health Science Centre in St. John's Newfoundland, surrounded by my dear friends, family and nurses that helped save my life! I am forever grateful to be alive and almost back to my normal self. </t>
        </is>
      </c>
      <c r="D1522" t="n">
        <v>6</v>
      </c>
      <c r="E1522" t="n">
        <v>1</v>
      </c>
      <c r="F1522">
        <f>HYPERLINK("https://www.reddit.com/r/cancer/comments/b672y3/the_day_i_recieved_my_last_round_of_chemo_im_in/")</f>
        <v/>
      </c>
      <c r="G1522" t="inlineStr">
        <is>
          <t>2019-03-27 10:30:51</t>
        </is>
      </c>
      <c r="H1522" t="inlineStr"/>
    </row>
    <row r="1523">
      <c r="A1523" t="inlineStr">
        <is>
          <t>b67xmj</t>
        </is>
      </c>
      <c r="B1523" t="inlineStr">
        <is>
          <t>Lost my local Cancer Buddy</t>
        </is>
      </c>
      <c r="C1523" t="inlineStr">
        <is>
          <t>I live in a pretty rural area, so for there to be two of us with Glioblastoma so close together is pretty odd.  I don't even remember how we got to know each other.  I think his wife found out about my story online.
He and I were diagnosed within a couple months of each other, almost a year and a half ago now.  For quite a while, both of us were doing very well.  Then he had an MRI that showed tumor growth, so he had another resection.  Then his tumor grew a lot very quickly, he had another resection.  Now, he's gone.
I haven't had any growth, and now even without chemo my tumor is still shrinking.  I don't understand why I am doing so well with this monster in my brain, and others fare so much worse.
I just don't know what to do.  I want to reach out to his family to help in any way possible.  But I don't want my existence to be a constant reminder that I am living with what killed him.</t>
        </is>
      </c>
      <c r="D1523" t="n">
        <v>50</v>
      </c>
      <c r="E1523" t="n">
        <v>9</v>
      </c>
      <c r="F1523">
        <f>HYPERLINK("https://www.reddit.com/r/cancer/comments/b67xmj/lost_my_local_cancer_buddy/")</f>
        <v/>
      </c>
      <c r="G1523" t="inlineStr">
        <is>
          <t>2019-03-27 11:38:51</t>
        </is>
      </c>
      <c r="H1523" t="inlineStr"/>
    </row>
    <row r="1524">
      <c r="A1524" t="inlineStr">
        <is>
          <t>b684m9</t>
        </is>
      </c>
      <c r="B1524" t="inlineStr">
        <is>
          <t>Don't know what to do...</t>
        </is>
      </c>
      <c r="C1524" t="inlineStr">
        <is>
          <t>I'm 31 with diagnosed stage IV incurable colon cancer for the last 18 months. I'm currently doing ongoing immunotherapy after a colectomy and my metastasized tumors are stable. My fiancè, 26, stuck by my side when she could have easily left after only a year and a half of dating. We are currently planning our wedding but parenthood has been a sore subject recently. I have always wanted to become a father, but the idea of not being around makes me hesitant. I have a positive and optimistic mindset in regards to my life expectancy but I am very much a realist. How could I start a family in my condition, especially reading these posts about how devistated people are dealing with parent and spousal cancer journeys. I feel awful enough about the possibility of leaving my future wife a widow. She truly wants to carry on my legacy and assure she won't be left alone. I understand both sides but I'm really struggling with this decision...</t>
        </is>
      </c>
      <c r="D1524" t="n">
        <v>16</v>
      </c>
      <c r="E1524" t="n">
        <v>13</v>
      </c>
      <c r="F1524">
        <f>HYPERLINK("https://www.reddit.com/r/cancer/comments/b684m9/dont_know_what_to_do/")</f>
        <v/>
      </c>
      <c r="G1524" t="inlineStr">
        <is>
          <t>2019-03-27 11:54:41</t>
        </is>
      </c>
      <c r="H1524" t="inlineStr"/>
    </row>
    <row r="1525">
      <c r="A1525" t="inlineStr">
        <is>
          <t>b6874i</t>
        </is>
      </c>
      <c r="B1525" t="inlineStr">
        <is>
          <t>rapid Hemoglobin decline on BEP</t>
        </is>
      </c>
      <c r="C1525" t="inlineStr">
        <is>
          <t>I’m towards the end cycle 2 of 4 BEP chemo for testicular cancer. My Hemoglobin was 16 prior to chemo and fell to 11.5 a few days after round 1 was complete.
A few days later it had dropped to 8 from 11.5 in less than 96 hours. I received a unit of blood at that point due to severe anemia symptoms. My platelets also went from 275 to under 10 in the same time period. 
Most of the guys over at the testicular sub did not experience major problems with anemia during treatment, so I wanted to reach out to general cancer sub.
Has anything else experienced such rapid declines in Hemoglobin during chemo? Apparently BEP is ridiculously toxic to my red cells and platelets. 
If this rate continues I’ll be getting transfusions constantly for the next six weeks.</t>
        </is>
      </c>
      <c r="D1525" t="n">
        <v>4</v>
      </c>
      <c r="E1525" t="n">
        <v>2</v>
      </c>
      <c r="F1525">
        <f>HYPERLINK("https://www.reddit.com/r/cancer/comments/b6874i/rapid_hemoglobin_decline_on_bep/")</f>
        <v/>
      </c>
      <c r="G1525" t="inlineStr">
        <is>
          <t>2019-03-27 12:00:19</t>
        </is>
      </c>
      <c r="H1525" t="inlineStr"/>
    </row>
    <row r="1526">
      <c r="A1526" t="inlineStr">
        <is>
          <t>b68912</t>
        </is>
      </c>
      <c r="B1526" t="inlineStr">
        <is>
          <t>The waiting is the hardest part 🎶</t>
        </is>
      </c>
      <c r="C1526" t="inlineStr">
        <is>
          <t xml:space="preserve">But seriously. I was lucky and had stage 1b melanoma with no spread. Since then I've had a few scares, but no recurrence. A chest spot on X-ray that ended up being calcium build up, and a pre cancerous mole that we did a wide excision on that was negative. I recently had a chest x-ray , my doctor wants me to get one annually and I've been having a nasty non productive cough, weight loss, and very low energy/low appetite. Found a widened mediastinum. CT scan time. Sent to ER for pericardial effusion, 2 enlarged lymph nodes (1 at 4 cm and 1 at 5 cm) and swelling of one lobe on the lung. Can also feel the lymph nodes in my neck but they are secondary as of now. All vitals, bloodwork, and ekg are normal so that's encouraging. On to oncologist to get a biopsy scheduled, saw him first thing this Monday. He said he was hoping to have answers around the end of the week and that someone would be calling me same day. Get a call from scheduling today for a biopsy on....APRIL 8. I WILL DRIVE MYSELF CRAZY BEFORE THEN.
Hope everyone here is doing well for themselves. Just needed to get that out to the world. </t>
        </is>
      </c>
      <c r="D1526" t="n">
        <v>8</v>
      </c>
      <c r="E1526" t="n">
        <v>2</v>
      </c>
      <c r="F1526">
        <f>HYPERLINK("https://www.reddit.com/r/cancer/comments/b68912/the_waiting_is_the_hardest_part/")</f>
        <v/>
      </c>
      <c r="G1526" t="inlineStr">
        <is>
          <t>2019-03-27 12:04:32</t>
        </is>
      </c>
      <c r="H1526" t="inlineStr"/>
    </row>
    <row r="1527">
      <c r="A1527" t="inlineStr">
        <is>
          <t>b68wuu</t>
        </is>
      </c>
      <c r="B1527" t="inlineStr">
        <is>
          <t>Received Diagnosis or Undergo Treatment? Please Contribute to our Research.</t>
        </is>
      </c>
      <c r="C1527" t="inlineStr">
        <is>
          <t>We are currently looking additional participants for  our research study at the University of Chester, UK, on daily functioning and psychological wellbeing in cancer patients.
Receiving a cancer diagnosis and all that comes after this can often be a distressing, worrying and confusing time. Our aim is to investigate how cancer has affected your daily functioning and emotional wellbeing. We are particularly interested in how this then affects decisions you make about your treatment. Our goal is to help others that might find themselves in your position in the future. To do this, we need your help.
Anyone who is over 16 years of age and been diagnosed with any type of cancer can take part. Unfortunately, this study isn't suitable for cancer survivors who completed their treatments. If you decide to take part, you will be asked to complete an online questionnaire that will take around 30 minutes to complete. You will be also asked whether you would like to participate in a phone or Skype interview at a later date, but you don’t have to agree to this to take part in the questionnaire study. While we hope that taking part will be a positive experience for you, we also understand that answering questions about your illness may be upsetting. You can always stop the questionnaire at any time. All your answers and data will be anonymous.
If you would like to take part, please click the following link. This will take you to the survey and study information sheet.
Link: [https://chester.onlinesurveys.ac.uk/reddit](https://chester.onlinesurveys.ac.uk/reddit)
Thank you,
David Budzynski, BSc (Hons)
MRes student conducting the research</t>
        </is>
      </c>
      <c r="D1527" t="n">
        <v>0</v>
      </c>
      <c r="E1527" t="n">
        <v>0</v>
      </c>
      <c r="F1527">
        <f>HYPERLINK("https://www.reddit.com/r/cancer/comments/b68wuu/received_diagnosis_or_undergo_treatment_please/")</f>
        <v/>
      </c>
      <c r="G1527" t="inlineStr">
        <is>
          <t>2019-03-27 12:57:41</t>
        </is>
      </c>
      <c r="H1527" t="inlineStr"/>
    </row>
    <row r="1528">
      <c r="A1528" t="inlineStr">
        <is>
          <t>b69nl2</t>
        </is>
      </c>
      <c r="B1528" t="inlineStr">
        <is>
          <t>Pain after lymph node removal</t>
        </is>
      </c>
      <c r="C1528" t="inlineStr">
        <is>
          <t xml:space="preserve">I need help with my mother. She had surgery on the 15th. They were to remove her right upper lung lobe. The Dr. had to abandon that procedure due to the cancer location and growth. He did however remove several lymph nodes. She is still in incredible pain.  And of course her surgeon and pulmonary Dr. are both on vacation so no help there. Any information and advice would be so welcome. </t>
        </is>
      </c>
      <c r="D1528" t="n">
        <v>6</v>
      </c>
      <c r="E1528" t="n">
        <v>1</v>
      </c>
      <c r="F1528">
        <f>HYPERLINK("https://www.reddit.com/r/cancer/comments/b69nl2/pain_after_lymph_node_removal/")</f>
        <v/>
      </c>
      <c r="G1528" t="inlineStr">
        <is>
          <t>2019-03-27 13:57:56</t>
        </is>
      </c>
      <c r="H1528" t="inlineStr"/>
    </row>
    <row r="1529">
      <c r="A1529" t="inlineStr">
        <is>
          <t>b69wb9</t>
        </is>
      </c>
      <c r="B1529" t="inlineStr">
        <is>
          <t>Low Oxygen Level After Chemo&amp;amp;Radiation</t>
        </is>
      </c>
      <c r="C1529" t="inlineStr">
        <is>
          <t xml:space="preserve">Hi all,
I would like know if any of you or anyone you know going through or went through the same thing.
Summary:
Early Stage 2 lung cancer was detected. The mass had been removed with surgery in mid-September. Scans and lab tests showed that the rest of the lung was cancer-free. Doctor suggested 6 chemo session(once a week) and radiation (30 session) just to eliminate all the chances of cancer coming back.
Towards the end of the treatment, the side effects started to show up. 
Doctors suggested additional 2 chemo sessions at the end which were higher dosage than the previous 6. First one was done in early January, and they did a scan at the end of January. Result showed that there were no trace of cancer, and they decided not to go with the last chemo sessions. By that time, the patient was having serious side effects(losing hair, being tired all the time, very low energy etc) Doctor said that these were expected side effects, and it would get better by time.
2 weeks ago, the patient was having serious issues with breathing. Went to the hospital. they accepted the patient. It turns out there was liquid in the lungs which they removed. Also, they said there was inflammation in the lungs which was causing the low level of oxygen and fatigue. 
They treated the patient with antibiotics and steroids to eliminate the possible causes. the thing is it is not working. The patient needs oxygen 24/7. They try to lower the amount of oxygen, but the oxygen levels are not good (around low 80's without oxygen-  mid 90's with 10-12 liter of oxygen at rest) 
The oxygen levels are dropping with a small activity, and the patient starts hyperventilating. They do not know what is causing this. They can't do bronchoscopy 
since it is very dangerous at this stage(also, they started the treatment once admitted, so they say the results wouldn't make much sense?)
Has anyone experienced similar things? I am asking here because we are frustrated although I trust the hospital and the doctors. They can't figure it out, and trying to "fix" any possible issue.
</t>
        </is>
      </c>
      <c r="D1529" t="n">
        <v>3</v>
      </c>
      <c r="E1529" t="n">
        <v>0</v>
      </c>
      <c r="F1529">
        <f>HYPERLINK("https://www.reddit.com/r/cancer/comments/b69wb9/low_oxygen_level_after_chemoradiation/")</f>
        <v/>
      </c>
      <c r="G1529" t="inlineStr">
        <is>
          <t>2019-03-27 14:17:06</t>
        </is>
      </c>
      <c r="H1529" t="inlineStr"/>
    </row>
    <row r="1530">
      <c r="A1530" t="inlineStr">
        <is>
          <t>b69y2b</t>
        </is>
      </c>
      <c r="B1530" t="inlineStr">
        <is>
          <t>What Is the Death Rattle</t>
        </is>
      </c>
      <c r="C1530" t="inlineStr">
        <is>
          <t>Hey all, my dad has stage IV Pancreatic cancer, we got diagnosed about 2 months ago.
He’s had a Bad cough where he gasps for air, and now I hear a rattling noise coming from him as he breaths. I’ve heard of the death rattle before.
Is this the same? Is it any indication of time left with him? Is there anything I can do to help with this cough.
Thank you.</t>
        </is>
      </c>
      <c r="D1530" t="n">
        <v>8</v>
      </c>
      <c r="E1530" t="n">
        <v>6</v>
      </c>
      <c r="F1530">
        <f>HYPERLINK("https://www.reddit.com/r/cancer/comments/b69y2b/what_is_the_death_rattle/")</f>
        <v/>
      </c>
      <c r="G1530" t="inlineStr">
        <is>
          <t>2019-03-27 14:21:04</t>
        </is>
      </c>
      <c r="H1530" t="inlineStr"/>
    </row>
    <row r="1531">
      <c r="A1531" t="inlineStr">
        <is>
          <t>b6b96k</t>
        </is>
      </c>
      <c r="B1531" t="inlineStr">
        <is>
          <t>I am worried for my friend</t>
        </is>
      </c>
      <c r="C1531" t="inlineStr">
        <is>
          <t>So me and my friend are 18 and she recently got told her dad has cancer, they hide alot from her (he's been going to the doctors frequently since new year),  she overheard that the cancer has spread. He has been given morphine through a drip and has been hallucinating quite badly. Tonight my friend is staying at her grannie's house, her mum's sleeping in her bed, and the dads sleeping in the parents bed while the nurse is sleeping on the couch. I'm afraid he's going to die tonight, and I wanted to know if it will happen soon. I don't know if this is the right subbreddit for this and Im sorry I just want to know how bad the situation looks :L
If anyone has advice for how to consolidate her or anything helpful to say at all it'd be greatly appreciated &amp;lt;3</t>
        </is>
      </c>
      <c r="D1531" t="n">
        <v>1</v>
      </c>
      <c r="E1531" t="n">
        <v>0</v>
      </c>
      <c r="F1531">
        <f>HYPERLINK("https://www.reddit.com/r/cancer/comments/b6b96k/i_am_worried_for_my_friend/")</f>
        <v/>
      </c>
      <c r="G1531" t="inlineStr">
        <is>
          <t>2019-03-27 16:09:20</t>
        </is>
      </c>
      <c r="H1531" t="inlineStr"/>
    </row>
    <row r="1532">
      <c r="A1532" t="inlineStr">
        <is>
          <t>b6bh24</t>
        </is>
      </c>
      <c r="B1532" t="inlineStr">
        <is>
          <t>Am i being normal?</t>
        </is>
      </c>
      <c r="C1532" t="inlineStr">
        <is>
          <t xml:space="preserve">I’ve had this problem lately where I just spit out jokes about cancer like they’re funny i’ve always had dark humour but every time i do it i just get super sad and i tear up and i don’t know how to stop 
anyone else that can relate to this and know how to like stop or maybe should i keep doing it since it’s a way to deal with it?
</t>
        </is>
      </c>
      <c r="D1532" t="n">
        <v>8</v>
      </c>
      <c r="E1532" t="n">
        <v>4</v>
      </c>
      <c r="F1532">
        <f>HYPERLINK("https://www.reddit.com/r/cancer/comments/b6bh24/am_i_being_normal/")</f>
        <v/>
      </c>
      <c r="G1532" t="inlineStr">
        <is>
          <t>2019-03-27 16:29:32</t>
        </is>
      </c>
      <c r="H1532" t="inlineStr"/>
    </row>
    <row r="1533">
      <c r="A1533" t="inlineStr">
        <is>
          <t>b6e5aq</t>
        </is>
      </c>
      <c r="B1533" t="inlineStr">
        <is>
          <t>Handling Work And Cancer logistics.</t>
        </is>
      </c>
      <c r="C1533" t="inlineStr">
        <is>
          <t>How do you do it?  How am I sopose to take care of of my 43yo wife with stage 4 incurable terminal cancer and work at the same time? She can barely walk, can't fix her own food, and we have to drive daily to doctors and or radiation. She can't drive because of the drugs she's on.No family to help out they are across the USA, cant afford a private nurse. How the hell am I sopose to handle this! I can't believe this is happening in our lives, im devastated. I wish so bad I could trade places with my wife. FUCK CANCER!</t>
        </is>
      </c>
      <c r="D1533" t="n">
        <v>7</v>
      </c>
      <c r="E1533" t="n">
        <v>7</v>
      </c>
      <c r="F1533">
        <f>HYPERLINK("https://www.reddit.com/r/cancer/comments/b6e5aq/handling_work_and_cancer_logistics/")</f>
        <v/>
      </c>
      <c r="G1533" t="inlineStr">
        <is>
          <t>2019-03-27 20:59:07</t>
        </is>
      </c>
      <c r="H1533" t="inlineStr"/>
    </row>
    <row r="1534">
      <c r="A1534" t="inlineStr">
        <is>
          <t>b6eash</t>
        </is>
      </c>
      <c r="B1534" t="inlineStr">
        <is>
          <t>Mom Diagnosed with MDS - Bone Marrow Transplant &amp;amp; Support</t>
        </is>
      </c>
      <c r="C1534" t="inlineStr">
        <is>
          <t>Hi all. This is my first time posting on reddit. I am a 21 year old senior in college. My mom was diagnosed with MDS (considered a blood cancer) two weeks ago. We are working with a specialist for a bone marrow transplant. Without it, she was given two years to live. I am struggling to process everything.
My mom and I are very close, as we had several years where it was just the two of us. She then married my stepdad, with whom I do have a good relationship. However, I (as well as my mom) have always known he is a very selfish man. It has always been obvious, but it is becoming extremely evident now. He does what he needs to do for her as she is currently in a great deal of pain (her back is flaring up due to bone marrow issues, her shoulder is hurt and not healing so she cannot drive, she experiences a lot of dizziness, fatigue, light headedness, etc.), but treats her as a burden and she has expressed this. I understand people handle things differently, but that's not an excuse. He is not there for her emotionally and she feels very abandoned.
I am doing everything in my power to be there for her - I am taking her to her appointments as often as I can (I am a full-time student, but all of my professors have been very accommodating due to the circumstances), I spent all of last week (my spring break) at home with her tending to her every need WILLINGLY, etc.. But she does not want me to be there for her emotionally. I understand this as I am her daughter and she wants to protect me, but I feel so terrible for her feeling alone due to my stepdad's lack of emotional availability. She has friends that she talks to, but I want her to feel supported at home. What can I do in this sense? How can I make her feel supported?
Also, I have felt very numb to the situation at hand. I hate to see her suffering in pain right now, and I hate to think of her scared (which she is), but I have felt very little emotion regarding myself since the day of the diagnosis. Is this normal? I think for me, it's because I have this reassurance that a bone marrow transplant can cure this disease - but I also know that bone marrow transplants are risky and also we have to find a match first. Can anyone help in this regard, as well?
Sorry for such a long post - I am struggling to talk to my friends about it because I honestly struggle to even find the words to say to express how I am feeling. I don't even know how I am feeling. Would greatly appreciate some words of advice and encouragement.</t>
        </is>
      </c>
      <c r="D1534" t="n">
        <v>2</v>
      </c>
      <c r="E1534" t="n">
        <v>0</v>
      </c>
      <c r="F1534">
        <f>HYPERLINK("https://www.reddit.com/r/cancer/comments/b6eash/mom_diagnosed_with_mds_bone_marrow_transplant/")</f>
        <v/>
      </c>
      <c r="G1534" t="inlineStr">
        <is>
          <t>2019-03-27 21:16:50</t>
        </is>
      </c>
      <c r="H1534" t="inlineStr"/>
    </row>
    <row r="1535">
      <c r="A1535" t="inlineStr">
        <is>
          <t>b6eblf</t>
        </is>
      </c>
      <c r="B1535" t="inlineStr">
        <is>
          <t>trying to breathe</t>
        </is>
      </c>
      <c r="C1535" t="inlineStr">
        <is>
          <t xml:space="preserve">Hey this is my first post here. I just got diagnosed about 10 days ago with breast cancer. I'm 28. I just feel a panic attack coming on and I keep trying to push it away. I sometimes feel like I'm not concerned enough, but I think that's my coping. I feel like a burden to people if I were to call them right now with my anxiety. Figuring this all out is hard, even with the support of my family. They keep asking me if I'm okay like every 5 minutes which freaks me out. I just want to wake up from this nightmare. Has anyone used any of the online therapy apps that are out now ? </t>
        </is>
      </c>
      <c r="D1535" t="n">
        <v>13</v>
      </c>
      <c r="E1535" t="n">
        <v>11</v>
      </c>
      <c r="F1535">
        <f>HYPERLINK("https://www.reddit.com/r/cancer/comments/b6eblf/trying_to_breathe/")</f>
        <v/>
      </c>
      <c r="G1535" t="inlineStr">
        <is>
          <t>2019-03-27 21:19:25</t>
        </is>
      </c>
      <c r="H1535" t="inlineStr"/>
    </row>
    <row r="1536">
      <c r="A1536" t="inlineStr">
        <is>
          <t>b6epfw</t>
        </is>
      </c>
      <c r="B1536" t="inlineStr">
        <is>
          <t>Grandmothers Doctor Emailed Her That It’s Stage 4– Email?? Really?? Advice please.</t>
        </is>
      </c>
      <c r="C1536" t="inlineStr">
        <is>
          <t>Hey Reddit,
My grandmother was diagnosed with cancer. She avoided the PAT until yesterday. Her fucking Kaiser oncologist sent her an email essentially stating that the cancer has spread and he doesn’t want to do treatment and recommends hospice. I felt that this was going to be the diagnosis because my grandmothers voice has been gone for months and she looks not so great. But over fucking email?? No phone call?? Has this happened to anyone?? What can be done??? This seems like it’s beyond a complaint. Maybe I’m trying to avoid thinking about the fact that my grandmother is dying I don’t know. I just found out. I’m in shock I guess. I’ll move past it and try to show up for my grandmother eventually. Would like insight</t>
        </is>
      </c>
      <c r="D1536" t="n">
        <v>10</v>
      </c>
      <c r="E1536" t="n">
        <v>5</v>
      </c>
      <c r="F1536">
        <f>HYPERLINK("https://www.reddit.com/r/cancer/comments/b6epfw/grandmothers_doctor_emailed_her_that_its_stage_4/")</f>
        <v/>
      </c>
      <c r="G1536" t="inlineStr">
        <is>
          <t>2019-03-27 22:05:28</t>
        </is>
      </c>
      <c r="H1536" t="inlineStr"/>
    </row>
    <row r="1537">
      <c r="A1537" t="inlineStr">
        <is>
          <t>b6erlv</t>
        </is>
      </c>
      <c r="B1537" t="inlineStr">
        <is>
          <t>Severely depressed, waiting on doctors app for biopsy. 29F, thickened endometrium.</t>
        </is>
      </c>
      <c r="C1537" t="inlineStr">
        <is>
          <t xml:space="preserve">Hello, everyone. 
Here's my story, about a month ago I started bleeding, sorry to sound gross. I thought my period finally came (I am irregular, went as long as 3 years without one maybe more) since I been taking Metformin for my diabetes. Unfortunately, the bleeding was really heavy and I developed excruciating lower back and pelvic pain. I put up with it for 2 days, on the third I couldn't stand it, I went to the ER, got a pelvic ultrasound and was told I had a thickened endometrium. About 27MM thick. Doctor said I had to see my OB GYN and get a biopsy. So, the pain was so bad that they gave me muscle relaxers, that same day around 7PM, I am in excruciating pain, so I head down to another ER, they ran some blood tests, all they found was my hemoglobin at 10, a UTI and that's it. They gave me 600MG Motrin which was heaven sent, it helped. Monday came and I visit my regular doctor, I explained what was happening, btw the bleeding was extremely heavy, huge blood clots every 2-5 minutes. I also developed a really bad chest pain. I take a couple steps and my heart starts to race and it hurts. They took a EKG and everything was fine. 
At the moment I experienced new symptoms, my throat gets real horse. I take my 800MG Motrin and my throat is left hoarse. Also, I was given Prednisolone (SP) glipizide for my diabetes and Losartan for blood pressure. I am getting more blood test tomorrow and finally see the OB GYN next week. I am scared, I get real bad headaches everyday and I am so tired. I just want to stay in my room. I don't even want to go out, I am just super tired and sleepy. I do not get hungry much anymore. I am scared, I think I have cancer. I just don't feel like myself. Can it be the meds? Does a thickened endometrium always mean cancer? I have no energy and all I do is cry thinking I am dying. The headaches and the chest pain is too much. Feels like I am choking. </t>
        </is>
      </c>
      <c r="D1537" t="n">
        <v>1</v>
      </c>
      <c r="E1537" t="n">
        <v>1</v>
      </c>
      <c r="F1537">
        <f>HYPERLINK("https://www.reddit.com/r/cancer/comments/b6erlv/severely_depressed_waiting_on_doctors_app_for/")</f>
        <v/>
      </c>
      <c r="G1537" t="inlineStr">
        <is>
          <t>2019-03-27 22:12:36</t>
        </is>
      </c>
      <c r="H1537" t="inlineStr"/>
    </row>
    <row r="1538">
      <c r="A1538" t="inlineStr">
        <is>
          <t>b6esv8</t>
        </is>
      </c>
      <c r="B1538" t="inlineStr">
        <is>
          <t>Does this look like skin cancer? Repost, faulty link, wouldn't let me delete or edit.</t>
        </is>
      </c>
      <c r="C1538" t="inlineStr">
        <is>
          <t>http://imgur.com/gallery/0CvDeuj</t>
        </is>
      </c>
      <c r="D1538" t="n">
        <v>0</v>
      </c>
      <c r="E1538" t="n">
        <v>3</v>
      </c>
      <c r="F1538">
        <f>HYPERLINK("https://www.reddit.com/r/cancer/comments/b6esv8/does_this_look_like_skin_cancer_repost_faulty/")</f>
        <v/>
      </c>
      <c r="G1538" t="inlineStr">
        <is>
          <t>2019-03-27 22:16:53</t>
        </is>
      </c>
      <c r="H1538" t="inlineStr"/>
    </row>
    <row r="1539">
      <c r="A1539" t="inlineStr">
        <is>
          <t>b6gkn1</t>
        </is>
      </c>
      <c r="B1539" t="inlineStr">
        <is>
          <t>I might have one less testicle but I’ve beaten cancer and I couldn’t be happier.</t>
        </is>
      </c>
      <c r="C1539" t="inlineStr">
        <is>
          <t xml:space="preserve">It’s been a nervy 6-weeks-or-so however I had surgery yesterday and it’s gone. Cut out and removed. I just wanna say to everyone on this sub thanks for all the info, it really did help a ton even reading what people advise for different types of cancer. 
To anyone struggling or wanting to rant, talk or looking for some advice, if I can help in any small way, please do let me know. I’ll give it my best shot. 
One thing this journey has taught me is we are all stronger than we realise. Every single one of us has the resilience to get through anything so no matter how bad things get just know you are made of tougher stuff than you, perhaps give yourself credit for. 
Lastly, I don’t their username but there was a person who replied to comments telling me their story and giving me advice when I hadn’t even had scans yet so a huge thank you to that person. We will never meet and unlikely talk again but you helped. 
Best wishes to everyone! </t>
        </is>
      </c>
      <c r="D1539" t="n">
        <v>123</v>
      </c>
      <c r="E1539" t="n">
        <v>49</v>
      </c>
      <c r="F1539">
        <f>HYPERLINK("https://www.reddit.com/r/cancer/comments/b6gkn1/i_might_have_one_less_testicle_but_ive_beaten/")</f>
        <v/>
      </c>
      <c r="G1539" t="inlineStr">
        <is>
          <t>2019-03-28 02:17:15</t>
        </is>
      </c>
      <c r="H1539" t="inlineStr"/>
    </row>
    <row r="1540">
      <c r="A1540" t="inlineStr">
        <is>
          <t>b6gs5m</t>
        </is>
      </c>
      <c r="B1540" t="inlineStr">
        <is>
          <t>Stage 4 breats cancer tips?</t>
        </is>
      </c>
      <c r="C1540" t="inlineStr">
        <is>
          <t>Hi all!
About a month ago someone close to me has been diagnosed with stage 4 breast cancer, and has been told that she has bone metastasis (in some of her lumbar vertebrae). We are currently waiting for the results of the biopsy, and have been told they will arrive in a few weeks (and tbh that seems like a hell of a long time). She is currently not on any treatment, just quit smoking and modified her diet a bit.
Any tips on what could be done? Even if it's just some dietary tips or supplements it would be helpful :)</t>
        </is>
      </c>
      <c r="D1540" t="n">
        <v>6</v>
      </c>
      <c r="E1540" t="n">
        <v>2</v>
      </c>
      <c r="F1540">
        <f>HYPERLINK("https://www.reddit.com/r/cancer/comments/b6gs5m/stage_4_breats_cancer_tips/")</f>
        <v/>
      </c>
      <c r="G1540" t="inlineStr">
        <is>
          <t>2019-03-28 02:46:07</t>
        </is>
      </c>
      <c r="H1540" t="inlineStr"/>
    </row>
    <row r="1541">
      <c r="A1541" t="inlineStr">
        <is>
          <t>b6ld4v</t>
        </is>
      </c>
      <c r="B1541" t="inlineStr">
        <is>
          <t>Behavioral changes after chemo?</t>
        </is>
      </c>
      <c r="C1541" t="inlineStr">
        <is>
          <t xml:space="preserve">Hi everyone, I was wondering if anyone has experienced long-term behavioral changes after chemotherapy. 
I'll start with a little background info...
I was diagnosed with Ewing's sarcoma when I was 16 going on 17 and underwent chemotherapy for nine months. I am now 19 and cancer-free. 
Sometime during treatment, I acquired what seem like tics; sudden facial movements, vocalizations, and mostly compulsive thoughts and memories. The facial movements and vocalizations are mild. I can usually suppress them in public although there have been a few times where I couldn't. However, I am constantly inundated with memories of usually embarrassing or painful things (some of which I had completely forgotten prior to starting treatment) and sometimes phrases which make no sense which I almost always vocalize when alone. 
At first I thought this must be some form of chemo-brain and like other symptoms would fade over time. But as I am approaching two years off chemo, I'm beginning to think this is not something that will simply fade if ignored. I avoided bringing it up for a long time because I'm afraid acknowledging the symptoms might exacerbate them. I'm currently speaking to my oncologist and therapist about the possibility of chemo being the cause. 
Has anybody else had experience with persisting behavioral changes after chemo, not necessarily tics? I would love to read personal stories or any kind of feedback. Thank you for reading if you did. </t>
        </is>
      </c>
      <c r="D1541" t="n">
        <v>12</v>
      </c>
      <c r="E1541" t="n">
        <v>14</v>
      </c>
      <c r="F1541">
        <f>HYPERLINK("https://www.reddit.com/r/cancer/comments/b6ld4v/behavioral_changes_after_chemo/")</f>
        <v/>
      </c>
      <c r="G1541" t="inlineStr">
        <is>
          <t>2019-03-28 10:03:17</t>
        </is>
      </c>
      <c r="H1541" t="inlineStr"/>
    </row>
    <row r="1542">
      <c r="A1542" t="inlineStr">
        <is>
          <t>b6lkn6</t>
        </is>
      </c>
      <c r="B1542" t="inlineStr">
        <is>
          <t>Gift Advice for someone newly diagnosed</t>
        </is>
      </c>
      <c r="C1542" t="inlineStr">
        <is>
          <t xml:space="preserve">I am hoping to get some advice from people who have already gone through Chemo.  What is something that helped you pass the time?  I would like to make my Aunt a Chemo Basket of sorts and was just wondering what would help her as she gets ready to start her battle.  
P.S. I REALLY HATE CANCER! </t>
        </is>
      </c>
      <c r="D1542" t="n">
        <v>4</v>
      </c>
      <c r="E1542" t="n">
        <v>7</v>
      </c>
      <c r="F1542">
        <f>HYPERLINK("https://www.reddit.com/r/cancer/comments/b6lkn6/gift_advice_for_someone_newly_diagnosed/")</f>
        <v/>
      </c>
      <c r="G1542" t="inlineStr">
        <is>
          <t>2019-03-28 10:20:00</t>
        </is>
      </c>
      <c r="H1542" t="inlineStr"/>
    </row>
    <row r="1543">
      <c r="A1543" t="inlineStr">
        <is>
          <t>b6lkr4</t>
        </is>
      </c>
      <c r="B1543" t="inlineStr">
        <is>
          <t>Ladies, have your periods changed post treatment?</t>
        </is>
      </c>
      <c r="C1543" t="inlineStr">
        <is>
          <t>If they have, in what ways? As of lately I've noticed my periods seem to have been lighter and shorter. I'm not sure whether this is caused by stressed (I'm always stressed!) or it's just one of the side effects of chemo. Lately I have just bled the day I get it and then by the next day or 12 hrs later, it is just that excess stuff (IDK how else to describe it but I'm sure you know what I mean). I'm also not trying to add this to my list of anxieties although I have been constantly thinking about it. I'm not sure if this is dumb but I worry this could mean something about my fertility. I am thinking about seeing my gyno is this pattern continues but thought maybe someone else has had some experience with this. Thanks!</t>
        </is>
      </c>
      <c r="D1543" t="n">
        <v>5</v>
      </c>
      <c r="E1543" t="n">
        <v>19</v>
      </c>
      <c r="F1543">
        <f>HYPERLINK("https://www.reddit.com/r/cancer/comments/b6lkr4/ladies_have_your_periods_changed_post_treatment/")</f>
        <v/>
      </c>
      <c r="G1543" t="inlineStr">
        <is>
          <t>2019-03-28 10:20:13</t>
        </is>
      </c>
      <c r="H1543" t="inlineStr"/>
    </row>
    <row r="1544">
      <c r="A1544" t="inlineStr">
        <is>
          <t>b6ll83</t>
        </is>
      </c>
      <c r="B1544" t="inlineStr">
        <is>
          <t>Do you believe there's a "cancer personality"?</t>
        </is>
      </c>
      <c r="C1544" t="inlineStr">
        <is>
          <t>Do you believe certain psycho-biological characteristics can help predict susceptibility to future diseases, such as cancer?
I've been reading 'When The Body Says No' by Gabor Mate, and he claims that in 25 years of his practice, every cancer patient he has encountered has had a history of emotional repression. Of course, this isn't the only factor to take into account because certainly not every human on the planet who suppresses their emotions will get cancer, but it is seen with everyone who has been diagnosed with cancer.
Are there other personality traits, or coping styles in how we deal with stress that link to diseases?</t>
        </is>
      </c>
      <c r="D1544" t="n">
        <v>1</v>
      </c>
      <c r="E1544" t="n">
        <v>1</v>
      </c>
      <c r="F1544">
        <f>HYPERLINK("https://www.reddit.com/r/cancer/comments/b6ll83/do_you_believe_theres_a_cancer_personality/")</f>
        <v/>
      </c>
      <c r="G1544" t="inlineStr">
        <is>
          <t>2019-03-28 10:21:19</t>
        </is>
      </c>
      <c r="H1544" t="inlineStr"/>
    </row>
    <row r="1545">
      <c r="A1545" t="inlineStr">
        <is>
          <t>b6m9re</t>
        </is>
      </c>
      <c r="B1545" t="inlineStr">
        <is>
          <t>Mom has throat cancer</t>
        </is>
      </c>
      <c r="C1545" t="inlineStr">
        <is>
          <t xml:space="preserve">My mom (64) was diagnosed 2 years ago with throat cancer (not sure what stage). She decided not to seek treatment but ended up in extreme pain 2 weeks ago and her husband made her go to the hospital. She had been hiding a softball sized lump behind her long hair. 
She agreed to go through chemo and it reduced the size of it a little but is still in the hospital. Her heart is having trouble ( she had a pacemaker put in about 10 years ago or so but the battery is now dead/turned off) and her kidneys aren't functioning properly. She can't keep anything down, can't walk, and her speech is horrible to where we can hardly understand her.
She has decided to stop all treatment. She has an extreme dislike of doctors and doesn't want to go on anymore. She's going to stay in the hospital and they'll just make sure she's comfortable (but they aren't putting her in hospice??). I don't even know how long they expect her to live. Unfortunately I'm in Ohio and she's in Arizona.
I don't know how to support her decision. I feel like she had so much life ahead of her and she's giving up because she's not getting instant results or it's too painful, etc. She doesn't even want me to go see her.
Any tips on how to support her through this? What I should say vs not say? </t>
        </is>
      </c>
      <c r="D1545" t="n">
        <v>19</v>
      </c>
      <c r="E1545" t="n">
        <v>7</v>
      </c>
      <c r="F1545">
        <f>HYPERLINK("https://www.reddit.com/r/cancer/comments/b6m9re/mom_has_throat_cancer/")</f>
        <v/>
      </c>
      <c r="G1545" t="inlineStr">
        <is>
          <t>2019-03-28 11:17:07</t>
        </is>
      </c>
      <c r="H1545" t="inlineStr"/>
    </row>
    <row r="1546">
      <c r="A1546" t="inlineStr">
        <is>
          <t>b6nfaj</t>
        </is>
      </c>
      <c r="B1546" t="inlineStr">
        <is>
          <t>Anyone willing to commit to cancer research should get free tuition</t>
        </is>
      </c>
      <c r="C1546" t="inlineStr">
        <is>
          <t xml:space="preserve">...and financial support to be able to study w/o the need to work part-time.
Cancer is a worldwide tragedy and economic burden. Despite of many promises and attempts to find efficient treatments, all we still have is a bunch of "promising" therapies that just extend pacient's lifespan to a couple of months or 2-3 years more in the cases of solid tumors. 
I believe there are enough enthusiasts that would dedicate their career to research, but have no access to proper education. In countries where the education is affordable, it's not efficient or multidisciplinary enough, while in countries with good academic programs and modern labs ppl have to pay unaffordable tuition fees, get in debt for many years ahead and work part-time to make it for a living, which doesn't let them study enough.
</t>
        </is>
      </c>
      <c r="D1546" t="n">
        <v>27</v>
      </c>
      <c r="E1546" t="n">
        <v>43</v>
      </c>
      <c r="F1546">
        <f>HYPERLINK("https://www.reddit.com/r/cancer/comments/b6nfaj/anyone_willing_to_commit_to_cancer_research/")</f>
        <v/>
      </c>
      <c r="G1546" t="inlineStr">
        <is>
          <t>2019-03-28 12:51:05</t>
        </is>
      </c>
      <c r="H1546" t="inlineStr"/>
    </row>
    <row r="1547">
      <c r="A1547" t="inlineStr">
        <is>
          <t>b6nsv7</t>
        </is>
      </c>
      <c r="B1547" t="inlineStr">
        <is>
          <t>The thought is giving me anxiety</t>
        </is>
      </c>
      <c r="C1547" t="inlineStr">
        <is>
          <t>I have to get my wisdom teeth take out. 4 of them. During my last surgery I had a bad experience waking up from surgery. My leg was shaking uncontrollably and I needed oxygen. I was in a lot of pain. I don’t want to go under anesthesia again. Im scared and it gives me anxiety and reminds me of that bad experience. I don’t know what to do</t>
        </is>
      </c>
      <c r="D1547" t="n">
        <v>8</v>
      </c>
      <c r="E1547" t="n">
        <v>13</v>
      </c>
      <c r="F1547">
        <f>HYPERLINK("https://www.reddit.com/r/cancer/comments/b6nsv7/the_thought_is_giving_me_anxiety/")</f>
        <v/>
      </c>
      <c r="G1547" t="inlineStr">
        <is>
          <t>2019-03-28 13:22:27</t>
        </is>
      </c>
      <c r="H1547" t="inlineStr"/>
    </row>
    <row r="1548">
      <c r="A1548" t="inlineStr">
        <is>
          <t>b6o578</t>
        </is>
      </c>
      <c r="B1548" t="inlineStr">
        <is>
          <t>Need some straight-forward clarity on my grandmother's condition</t>
        </is>
      </c>
      <c r="C1548" t="inlineStr">
        <is>
          <t>I work in the medical field as a cardiac monitor tech. But I don't know cancer. I know hearts and I know cardiac rhythms because that's my job. Cancer is a foreign language to me. I have no idea what symptoms mean and whether they are normal or serious. No one has ever had cancer in my family until now.
My grandmother has, from what I can assume, stage 4 bladder cancer. It has spread to her lungs (masses in both), pancreas, femur (eaten away, reinforced with a rod), kidney (removed), hip (hole in the bone, filled with cement), and rib cage (rubbing against her heart). But this has been going on for about 6 months, with more masses popping up at every scan. She has managed to stay out of the hospital for 2 months now, which is a new record. 
&amp;amp;#x200B;
She is receiving Keytruda infusions as a last ditch effort. It most likely isn't doing anything. Chemo and radiation are no longer working. 
&amp;amp;#x200B;
Currently: She sleeps 20 hours a day and was given oxygen today to wear 24/7.
No one is talking about her prognosis.
I know this is bad, but I have no idea HOW bad. I know that you guys can't pinpoint exactly what I can expect, but almost everyone on here has some experience and have seen things like this before. 
&amp;amp;#x200B;
Is this - most likely - what the end looks like, or what the beginning of the end looks like? 
I would appreciate any kind of input, personal experience, advice, etc. Again, I know you guys aren't doctors, but you all know more than me about this disease.</t>
        </is>
      </c>
      <c r="D1548" t="n">
        <v>9</v>
      </c>
      <c r="E1548" t="n">
        <v>6</v>
      </c>
      <c r="F1548">
        <f>HYPERLINK("https://www.reddit.com/r/cancer/comments/b6o578/need_some_straightforward_clarity_on_my/")</f>
        <v/>
      </c>
      <c r="G1548" t="inlineStr">
        <is>
          <t>2019-03-28 13:51:01</t>
        </is>
      </c>
      <c r="H1548" t="inlineStr"/>
    </row>
    <row r="1549">
      <c r="A1549" t="inlineStr">
        <is>
          <t>b6owr2</t>
        </is>
      </c>
      <c r="B1549" t="inlineStr">
        <is>
          <t>Vapers and smokers 21+ are needed for a USC research study examining the health risks or benefits of vaping vs smoking. COMPENSATION AVAILABLE</t>
        </is>
      </c>
      <c r="C1549" t="inlineStr">
        <is>
          <t>USC is conducting a research study on the health risks or benefits of new and emerging tobacco products. We seek healthy volunteers who:
(1) Smoke cigarettes only; or
(2) Use e-cigarettes/vape only; or
\*\*Those who BOTH smoke cigarettes and use e-cigarettes/vape are NOT eligible for this study\*\*
Additional requirements include:
\- being 21 or older
\- living in the LA area
\- willing to answer a survey questionnaire, accessible at: [http://geteo.usc.edu](http://geteo.usc.edu/)
\--COMPENSATION IS AVAILABLE—
CONTACT US FOR MORE INFORMATION
\- Phone: (323)-442-7765
\- E-mail: [geteostudy@gmail.com](mailto:geteostudy@gmail.com)
&amp;amp;#x200B;
&amp;amp;#x200B;
https://i.redd.it/k1w5j7bkjxo21.png</t>
        </is>
      </c>
      <c r="D1549" t="n">
        <v>4</v>
      </c>
      <c r="E1549" t="n">
        <v>2</v>
      </c>
      <c r="F1549">
        <f>HYPERLINK("https://www.reddit.com/r/cancer/comments/b6owr2/vapers_and_smokers_21_are_needed_for_a_usc/")</f>
        <v/>
      </c>
      <c r="G1549" t="inlineStr">
        <is>
          <t>2019-03-28 14:54:50</t>
        </is>
      </c>
      <c r="H1549" t="inlineStr"/>
    </row>
    <row r="1550">
      <c r="A1550" t="inlineStr">
        <is>
          <t>b6p7jk</t>
        </is>
      </c>
      <c r="B1550" t="inlineStr">
        <is>
          <t>Let go by my radiation oncologist! (Happy)</t>
        </is>
      </c>
      <c r="C1550" t="inlineStr">
        <is>
          <t>Four years ago I was getting ready to start 25 rounds of radiation. 
Yesterday, my radiation oncologist shook my hand and said goodbye "unless you need to see me again."
Real talk, I'll still be followed by my medical oncologist for at least five more years.  But that's at a different hospital and I am SO GLAD to be done at the other cancer center.
Here's to being in remission, may it be endless! That doctor is nice and all, but I'd prefer to never see her again!</t>
        </is>
      </c>
      <c r="D1550" t="n">
        <v>109</v>
      </c>
      <c r="E1550" t="n">
        <v>45</v>
      </c>
      <c r="F1550">
        <f>HYPERLINK("https://www.reddit.com/r/cancer/comments/b6p7jk/let_go_by_my_radiation_oncologist_happy/")</f>
        <v/>
      </c>
      <c r="G1550" t="inlineStr">
        <is>
          <t>2019-03-28 15:20:03</t>
        </is>
      </c>
      <c r="H1550" t="inlineStr"/>
    </row>
    <row r="1551">
      <c r="A1551" t="inlineStr">
        <is>
          <t>b6pp2n</t>
        </is>
      </c>
      <c r="B1551" t="inlineStr">
        <is>
          <t>Graduate Students Seeking Parents of Children with Cancer</t>
        </is>
      </c>
      <c r="C1551" t="inlineStr">
        <is>
          <t>Hello There,
Our names are Emily Shleppey, Jihoo Seo, and Jina Song. We are graduate students in the occupational therapy (OT) program at California State University, Dominguez Hills. We are currently in the process of conducting research on “The Relationship Between Parental Needs, Child’s Quality of Life, and Occupational Therapy Services During Cancer Treatment”. 
We are seeking participants for our online survey. One must be a parent of a child who is currently undergoing cancer treatment.
The following is the link to our survey: [https://forms.gle/bApaP89hXAAXBpQ36](https://forms.gle/bApaP89hXAAXBpQ36)
When you clink on the link, you will be led to a Consent Form page that includes a description of our study. Our survey is anonymous and completely voluntary. 
If you have any questions, feel free to email us at: otoncologystudy@gmail.com
If you know anyone that would be eligible and interested to participate in our study, we would appreciate it if you could share our post with them as well! We are trying to reach as many parents as possible. Thank you so much for your time and consideration!
Sincerely, 
Jihoo Seo, Emily Shleppey, &amp;amp; Jina Song</t>
        </is>
      </c>
      <c r="D1551" t="n">
        <v>4</v>
      </c>
      <c r="E1551" t="n">
        <v>2</v>
      </c>
      <c r="F1551">
        <f>HYPERLINK("https://www.reddit.com/r/cancer/comments/b6pp2n/graduate_students_seeking_parents_of_children/")</f>
        <v/>
      </c>
      <c r="G1551" t="inlineStr">
        <is>
          <t>2019-03-28 16:01:54</t>
        </is>
      </c>
      <c r="H1551" t="inlineStr"/>
    </row>
    <row r="1552">
      <c r="A1552" t="inlineStr">
        <is>
          <t>b6ru3t</t>
        </is>
      </c>
      <c r="B1552" t="inlineStr">
        <is>
          <t>My sister got great news today!</t>
        </is>
      </c>
      <c r="C1552" t="inlineStr">
        <is>
          <t xml:space="preserve">To recap: sister got diagnosed with cervical cancer recently. Today, she got the news that it was contained within two small areas, and it wasn't aggressive. So they are just planning to get it cut out and having her go to a lot of checkups afterward.
She's 28. I got diagnosed with thyroid cancer at 28. We both could have caught ours earlier if we hadn't skipped checkups. I've been clear for just over a year and soon she will be okay, but we are STRONG advocates now for annual checkups! </t>
        </is>
      </c>
      <c r="D1552" t="n">
        <v>26</v>
      </c>
      <c r="E1552" t="n">
        <v>4</v>
      </c>
      <c r="F1552">
        <f>HYPERLINK("https://www.reddit.com/r/cancer/comments/b6ru3t/my_sister_got_great_news_today/")</f>
        <v/>
      </c>
      <c r="G1552" t="inlineStr">
        <is>
          <t>2019-03-28 19:26:26</t>
        </is>
      </c>
      <c r="H1552" t="inlineStr"/>
    </row>
    <row r="1553">
      <c r="A1553" t="inlineStr">
        <is>
          <t>b6rz5p</t>
        </is>
      </c>
      <c r="B1553" t="inlineStr">
        <is>
          <t>Alright sarcasm professionals...</t>
        </is>
      </c>
      <c r="C1553" t="inlineStr">
        <is>
          <t>I have esthesioneuroblastoma.  I need a response for those people who don't believe the first three 'doing great' answers, and ask a forth time, "no really, how are you doing?"  The asking is nice, but I don't have a set number of times to be asked before I tell the actual answer.</t>
        </is>
      </c>
      <c r="D1553" t="n">
        <v>2</v>
      </c>
      <c r="E1553" t="n">
        <v>17</v>
      </c>
      <c r="F1553">
        <f>HYPERLINK("https://www.reddit.com/r/cancer/comments/b6rz5p/alright_sarcasm_professionals/")</f>
        <v/>
      </c>
      <c r="G1553" t="inlineStr">
        <is>
          <t>2019-03-28 19:41:06</t>
        </is>
      </c>
      <c r="H1553" t="inlineStr"/>
    </row>
    <row r="1554">
      <c r="A1554" t="inlineStr">
        <is>
          <t>b6t2ci</t>
        </is>
      </c>
      <c r="B1554" t="inlineStr">
        <is>
          <t>My mother is loosing my father</t>
        </is>
      </c>
      <c r="C1554" t="inlineStr">
        <is>
          <t>I had a chance to say goodbye this morning before getting on a flight to get back to work.  My mother has been with my dad since they were kids 16 and 17.  They are now in there mid 70's. She has no idea how to move forward.   She hasn't left his side in over a week.  He is not going to be around another day.   I am very worried about her wellbeing and how to comfort her.  Any advice would be appreciated.      Thanks in advance.</t>
        </is>
      </c>
      <c r="D1554" t="n">
        <v>3</v>
      </c>
      <c r="E1554" t="n">
        <v>9</v>
      </c>
      <c r="F1554">
        <f>HYPERLINK("https://www.reddit.com/r/cancer/comments/b6t2ci/my_mother_is_loosing_my_father/")</f>
        <v/>
      </c>
      <c r="G1554" t="inlineStr">
        <is>
          <t>2019-03-28 21:44:50</t>
        </is>
      </c>
      <c r="H1554" t="inlineStr"/>
    </row>
    <row r="1555">
      <c r="A1555" t="inlineStr">
        <is>
          <t>b6trex</t>
        </is>
      </c>
      <c r="B1555" t="inlineStr">
        <is>
          <t>My body is trying to kill me.</t>
        </is>
      </c>
      <c r="C1555" t="inlineStr">
        <is>
          <t>They found a lump in my breast today. I've had cancer 3 times already and I've beaten it each time but it still terrifies me.
The treatments and surgeries and they way people react to you when you're sick is wearing me down... I'm only 34 years old and I feel like my body has been trying to kill me for 14 years.
I am just here to vent because I'm freaking out before my mammogram tomorrow. Thanks to anyone that is reading this ❤️
Fuck cancer.</t>
        </is>
      </c>
      <c r="D1555" t="n">
        <v>75</v>
      </c>
      <c r="E1555" t="n">
        <v>31</v>
      </c>
      <c r="F1555">
        <f>HYPERLINK("https://www.reddit.com/r/cancer/comments/b6trex/my_body_is_trying_to_kill_me/")</f>
        <v/>
      </c>
      <c r="G1555" t="inlineStr">
        <is>
          <t>2019-03-28 23:15:54</t>
        </is>
      </c>
      <c r="H1555" t="inlineStr"/>
    </row>
    <row r="1556">
      <c r="A1556" t="inlineStr">
        <is>
          <t>b6uibu</t>
        </is>
      </c>
      <c r="B1556" t="inlineStr">
        <is>
          <t>feel like can taste ketchup even when not eating?</t>
        </is>
      </c>
      <c r="C1556" t="inlineStr">
        <is>
          <t>Finished my 2nd bout with cancer a while ago. Also an alcoholic who drinks. Ever since my chemo/radiation (2 years ago) my toes are numb and have ringing noise in head. But lately I feel like taste ketchup even if haven't eaten anything with ketchup like simple Mac &amp;amp; Cheese. Anyone ever get that weird taste? I'm sitting here getting drunk on vodka but can still taste ketchup. I'll go with Cancer sucks. Chemo was better this time around but since I was 30 years older my body didn't bounce back.</t>
        </is>
      </c>
      <c r="D1556" t="n">
        <v>3</v>
      </c>
      <c r="E1556" t="n">
        <v>4</v>
      </c>
      <c r="F1556">
        <f>HYPERLINK("https://www.reddit.com/r/cancer/comments/b6uibu/feel_like_can_taste_ketchup_even_when_not_eating/")</f>
        <v/>
      </c>
      <c r="G1556" t="inlineStr">
        <is>
          <t>2019-03-29 01:01:36</t>
        </is>
      </c>
      <c r="H1556" t="inlineStr"/>
    </row>
    <row r="1557">
      <c r="A1557" t="inlineStr">
        <is>
          <t>b6uvvi</t>
        </is>
      </c>
      <c r="B1557" t="inlineStr">
        <is>
          <t>Some good news.</t>
        </is>
      </c>
      <c r="C1557" t="inlineStr">
        <is>
          <t xml:space="preserve">I have stage 4 bowel cancer that has spread to my spleen, left kidney, multiple lymph nodes and looks like it was pushing on my pancreas.
Initially they were going to operate but after seeing everything chemo was the only option.
My nurse said the chances of me beating this are very slim but for me some hope is better then no hope.
After 6 bi weekly chemo session and using thc oil every night before bed I had my first progress scan. 
The tumor in my bowel has shrunk from 6cm to 2cm and the tumors are pulling away from other organs and there are no new organs effected however it has gone in another lymph node. 
I have a meeting on Tuesday to see where we go now... 
I'm am using high dose thc oil at 400mg per night, this is an amazing product which is great for pain, sleep and appetite. I take at 7pm via capsule and have a couple really relaxing hours before a solid night's sleep. 
I also had major concerns with weight loss having dropped 6-7 stone within a year. I dropped down to 14 stone and was still losing so I aquired some oxandrolone which they prescribe to aid and cancer patients to help them keep on weight and after 12 weeks my weigh is around 14.5 and is stable.  
I also have session in a hyperbaric chamber for oxygen.  This I think is also useful. 
</t>
        </is>
      </c>
      <c r="D1557" t="n">
        <v>26</v>
      </c>
      <c r="E1557" t="n">
        <v>4</v>
      </c>
      <c r="F1557">
        <f>HYPERLINK("https://www.reddit.com/r/cancer/comments/b6uvvi/some_good_news/")</f>
        <v/>
      </c>
      <c r="G1557" t="inlineStr">
        <is>
          <t>2019-03-29 01:58:17</t>
        </is>
      </c>
      <c r="H1557" t="inlineStr"/>
    </row>
    <row r="1558">
      <c r="A1558" t="inlineStr">
        <is>
          <t>b6vt5w</t>
        </is>
      </c>
      <c r="B1558" t="inlineStr">
        <is>
          <t>Family History Can Enhance The Risk Of Breast Cancer by Ronit Roy</t>
        </is>
      </c>
      <c r="C1558" t="inlineStr">
        <is>
          <t xml:space="preserve">It is seen that those who have a family history with breast cancer, may carry a higher risk of cancer in their body. Breast cancer surgery can remove cancer if it found in the initial stage. </t>
        </is>
      </c>
      <c r="D1558" t="n">
        <v>1</v>
      </c>
      <c r="E1558" t="n">
        <v>0</v>
      </c>
      <c r="F1558">
        <f>HYPERLINK("https://www.reddit.com/r/cancer/comments/b6vt5w/family_history_can_enhance_the_risk_of_breast/")</f>
        <v/>
      </c>
      <c r="G1558" t="inlineStr">
        <is>
          <t>2019-03-29 03:57:03</t>
        </is>
      </c>
      <c r="H1558" t="inlineStr"/>
    </row>
    <row r="1559">
      <c r="A1559" t="inlineStr">
        <is>
          <t>b6vwun</t>
        </is>
      </c>
      <c r="B1559" t="inlineStr">
        <is>
          <t>8 Cancer Quotes That Will Encourage You To Fight Cancer</t>
        </is>
      </c>
      <c r="C1559" t="inlineStr">
        <is>
          <t xml:space="preserve">Battling with any form of cancer? Check some wise words that will help you boost your motivation to fight cancer even more. </t>
        </is>
      </c>
      <c r="D1559" t="n">
        <v>0</v>
      </c>
      <c r="E1559" t="n">
        <v>2</v>
      </c>
      <c r="F1559">
        <f>HYPERLINK("https://www.reddit.com/r/cancer/comments/b6vwun/8_cancer_quotes_that_will_encourage_you_to_fight/")</f>
        <v/>
      </c>
      <c r="G1559" t="inlineStr">
        <is>
          <t>2019-03-29 04:07:21</t>
        </is>
      </c>
      <c r="H1559" t="inlineStr"/>
    </row>
    <row r="1560">
      <c r="A1560" t="inlineStr">
        <is>
          <t>b6w04q</t>
        </is>
      </c>
      <c r="B1560" t="inlineStr">
        <is>
          <t>What it feels like...</t>
        </is>
      </c>
      <c r="C1560" t="inlineStr">
        <is>
          <t xml:space="preserve">I never pictured it like this. But I guess no one ever really does. After the coma, we were learning how to live a new life with my mom being on oxygen. 
We accepted yes; the pneumonia happened. Yes; she’ll never be off oxygen. 
But we nicknamed them hank the tank and frank the tank. When you’ve been through so much like she has, you just got to find the humor somehow. It’s what’s keeps some sort of positivity.
We were just shy of 10 months of the year date of her coma. And that’s when we thought it couldn’t get any worse. 
It did. 
She’s dying. And we’re learning how day by day, hour by hour, moments to moments knowing that our plans we pictured are something we can only dream about. 
I thought I’d be older and more mature. I thought I would have married and had a child or two. She would be a grandma and watch my kids. I always dreamed of her living in my house with her own separate apartment, laying outside by the pool watching my kids while I go to work. 
I thought we’d have just more time. 
More time to experience and grow. More time to create new memories and life changing ones too. 
It’s not fair that I’m not going to have her here. And I’m so devastated at the heartbreak I’m enduring when the clock is now ticking. 
I replay my childhood in my head almost every night.
I’d take it all of it back and do it again. The good and the bad. I’d just want to relive it again, because life will not be the same. 
Its never going to stop aching. 
We often have late night girl time and talks. And the thing that gets me crying the hardest is that she tells me how much she’s going to miss me; and that she’ll be waiting for me; and we will meet someday again. 
I’m just going miss her more. That’s my entire life time I’ll be waiting to see her again. 
I tell her that I think I’ll miss her more everyday. Because I know I’ll never stop missing her until we’re reunited in the universe somewhere out there. 
I’m going to miss her for the rest of my life... and I have so much life to yet live. Every single day continuing on... I’ll always and forever miss and yarn for my mom. 
It will never be the same. 
No one will ever be able to fill that void. That hole, that heart break of endless searching for something to comfort like you once did. 
People, family friends, aunts and cousins will try to make the time to know I can reach out, because there will be some many things I’ll still need to ask a mom.
New traditions, holidays, and even my birthday... won’t ever be the same of what you’ve always cherished for me. 
Trying to cook the recipes like she once did will be the ultimate goal, because damn she has so many. And some of them were on the spot.
Starting a new chapter and a great one too, but one without guidance. And one without you. 
I know, this is my time to grow up and start my life with the man (boyfriend) of my dreams. 
I just need you here, for everything. 
I’m scared to do it alone, but I know you’ll always and forever be in my heart. But I’m still not ready momma. I hold this dear to my heart, probably more than you’ll ever know.
Our saying every night before we went to bed goes something a little like this; 
“I love you” 
“No, I love you”
“No, I love you more”
“More than what...?”
“More than the stars in the sky?”
“More than the fish in the sea?”
“For all eternity”
“Goodnight baby girl”
“Night momma bear”
</t>
        </is>
      </c>
      <c r="D1560" t="n">
        <v>18</v>
      </c>
      <c r="E1560" t="n">
        <v>4</v>
      </c>
      <c r="F1560">
        <f>HYPERLINK("https://www.reddit.com/r/cancer/comments/b6w04q/what_it_feels_like/")</f>
        <v/>
      </c>
      <c r="G1560" t="inlineStr">
        <is>
          <t>2019-03-29 04:17:23</t>
        </is>
      </c>
      <c r="H1560" t="inlineStr"/>
    </row>
    <row r="1561">
      <c r="A1561" t="inlineStr">
        <is>
          <t>b6w05i</t>
        </is>
      </c>
      <c r="B1561" t="inlineStr">
        <is>
          <t>Health and Fitness Mantra — Brush Right To Ensure A Oral Health</t>
        </is>
      </c>
      <c r="C1561" t="inlineStr">
        <is>
          <t>People seeking oral cancer treatment often also projects several other oral medical condition. See some tips to have good oral health.</t>
        </is>
      </c>
      <c r="D1561" t="n">
        <v>0</v>
      </c>
      <c r="E1561" t="n">
        <v>0</v>
      </c>
      <c r="F1561">
        <f>HYPERLINK("https://www.reddit.com/r/cancer/comments/b6w05i/health_and_fitness_mantra_brush_right_to_ensure_a/")</f>
        <v/>
      </c>
      <c r="G1561" t="inlineStr">
        <is>
          <t>2019-03-29 04:17:26</t>
        </is>
      </c>
      <c r="H1561" t="inlineStr"/>
    </row>
    <row r="1562">
      <c r="A1562" t="inlineStr">
        <is>
          <t>b6wflc</t>
        </is>
      </c>
      <c r="B1562" t="inlineStr">
        <is>
          <t>5 Most Common Form Of Cancers Affecting Women</t>
        </is>
      </c>
      <c r="C1562" t="inlineStr">
        <is>
          <t>Breast cancer is the most common type of cancer among women, all over the world. Let's see the 5 Most common form of cancers affecting women.</t>
        </is>
      </c>
      <c r="D1562" t="n">
        <v>0</v>
      </c>
      <c r="E1562" t="n">
        <v>0</v>
      </c>
      <c r="F1562">
        <f>HYPERLINK("https://www.reddit.com/r/cancer/comments/b6wflc/5_most_common_form_of_cancers_affecting_women/")</f>
        <v/>
      </c>
      <c r="G1562" t="inlineStr">
        <is>
          <t>2019-03-29 05:04:36</t>
        </is>
      </c>
      <c r="H1562" t="inlineStr"/>
    </row>
    <row r="1563">
      <c r="A1563" t="inlineStr">
        <is>
          <t>b6wizp</t>
        </is>
      </c>
      <c r="B1563" t="inlineStr">
        <is>
          <t>How to Detect Breast Cancer</t>
        </is>
      </c>
      <c r="C1563" t="inlineStr">
        <is>
          <t xml:space="preserve">Breast cancer affects the health of millions of women across the globe. Timely breast screening can help with timely breast cancer treatment. </t>
        </is>
      </c>
      <c r="D1563" t="n">
        <v>0</v>
      </c>
      <c r="E1563" t="n">
        <v>0</v>
      </c>
      <c r="F1563">
        <f>HYPERLINK("https://www.reddit.com/r/cancer/comments/b6wizp/how_to_detect_breast_cancer/")</f>
        <v/>
      </c>
      <c r="G1563" t="inlineStr">
        <is>
          <t>2019-03-29 05:15:01</t>
        </is>
      </c>
      <c r="H1563" t="inlineStr"/>
    </row>
    <row r="1564">
      <c r="A1564" t="inlineStr">
        <is>
          <t>b6xcli</t>
        </is>
      </c>
      <c r="B1564" t="inlineStr">
        <is>
          <t>5 Most Common Types of Cancers in Women</t>
        </is>
      </c>
      <c r="C1564" t="inlineStr">
        <is>
          <t>CANCER is the leading cause of death for women all over the world. Here we present 5 most common types of cancer found in women, in brief.</t>
        </is>
      </c>
      <c r="D1564" t="n">
        <v>1</v>
      </c>
      <c r="E1564" t="n">
        <v>0</v>
      </c>
      <c r="F1564">
        <f>HYPERLINK("https://www.reddit.com/r/cancer/comments/b6xcli/5_most_common_types_of_cancers_in_women/")</f>
        <v/>
      </c>
      <c r="G1564" t="inlineStr">
        <is>
          <t>2019-03-29 06:35:32</t>
        </is>
      </c>
      <c r="H1564" t="inlineStr"/>
    </row>
    <row r="1565">
      <c r="A1565" t="inlineStr">
        <is>
          <t>b6ywy9</t>
        </is>
      </c>
      <c r="B1565" t="inlineStr">
        <is>
          <t>NHL at 22</t>
        </is>
      </c>
      <c r="C1565" t="inlineStr">
        <is>
          <t>My LDR best friend had non-Hodgkin lymphoma 3 years ago. She was able to beat it after a lot of chemo and radiation. She has been living a healthy life since then and following what the doctor recommended. Just recently, she started noticing a non-painful bump on the back of her right ear and one painful bump on the back of the left ear. She then set an appointment with the doctor to get it checked. Two days before the appointment, a bump on her neck (close to the jawline) started to grow and she said it's like a swollen lymph node when she catches cold. However, she doesn't have a cold then. She had a fever the night before the doctor's appointment. 
Therefore, her doctor reviewed all her past ultrasounds. He prescribed some antibiotics for her to take for a week. If the bumps do not change or go away, she'll have to get an ultrasound.
We are all super worried her NHL will come back. Her auntie had this, too, and unfortunately, she was not able to fight it. 
&amp;amp;#x200B;</t>
        </is>
      </c>
      <c r="D1565" t="n">
        <v>8</v>
      </c>
      <c r="E1565" t="n">
        <v>2</v>
      </c>
      <c r="F1565">
        <f>HYPERLINK("https://www.reddit.com/r/cancer/comments/b6ywy9/nhl_at_22/")</f>
        <v/>
      </c>
      <c r="G1565" t="inlineStr">
        <is>
          <t>2019-03-29 08:49:08</t>
        </is>
      </c>
      <c r="H1565" t="inlineStr"/>
    </row>
    <row r="1566">
      <c r="A1566" t="inlineStr">
        <is>
          <t>b6yzvu</t>
        </is>
      </c>
      <c r="B1566" t="inlineStr">
        <is>
          <t>what should i do with my mom?</t>
        </is>
      </c>
      <c r="C1566" t="inlineStr">
        <is>
          <t>like the title says she's just been diagnosed with stage 4 breast cancer and i want to make the most of the time i habe</t>
        </is>
      </c>
      <c r="D1566" t="n">
        <v>1</v>
      </c>
      <c r="E1566" t="n">
        <v>0</v>
      </c>
      <c r="F1566">
        <f>HYPERLINK("https://www.reddit.com/r/cancer/comments/b6yzvu/what_should_i_do_with_my_mom/")</f>
        <v/>
      </c>
      <c r="G1566" t="inlineStr">
        <is>
          <t>2019-03-29 08:56:09</t>
        </is>
      </c>
      <c r="H1566" t="inlineStr"/>
    </row>
    <row r="1567">
      <c r="A1567" t="inlineStr">
        <is>
          <t>b6z3tw</t>
        </is>
      </c>
      <c r="B1567" t="inlineStr">
        <is>
          <t>Day +37 post BMT — T-cell chimerism shows I am 100% donor!!!!!</t>
        </is>
      </c>
      <c r="C1567" t="inlineStr">
        <is>
          <t xml:space="preserve">I feel like shit right now but this new brightens up my day. </t>
        </is>
      </c>
      <c r="D1567" t="n">
        <v>74</v>
      </c>
      <c r="E1567" t="n">
        <v>6</v>
      </c>
      <c r="F1567">
        <f>HYPERLINK("https://www.reddit.com/r/cancer/comments/b6z3tw/day_37_post_bmt_tcell_chimerism_shows_i_am_100/")</f>
        <v/>
      </c>
      <c r="G1567" t="inlineStr">
        <is>
          <t>2019-03-29 09:05:03</t>
        </is>
      </c>
      <c r="H1567" t="inlineStr"/>
    </row>
    <row r="1568">
      <c r="A1568" t="inlineStr">
        <is>
          <t>b6zybi</t>
        </is>
      </c>
      <c r="B1568" t="inlineStr">
        <is>
          <t>Stages of Grief</t>
        </is>
      </c>
      <c r="C1568" t="inlineStr">
        <is>
          <t xml:space="preserve">
The Kübler-Ross model is commonly known as the five stages of grief. It has been used recently as the model of depression, but was originally designed to show the progression of emotions experienced by terminally ill patients after the initial diagnosis. The stages are as follows:
1. Shock and Denial
2. Pain and Guilt
3. Anger and Bargaining
4. Depression, Reflection, Loneliness
5. The Upward Turn
6. Reconstruction and Working Through
7. Acceptance and Hope
Now, it has been said that we can pass through these stages at different times, that you don't go through in order and everyone has different experiences. According to dictionary.com, the word stage is defined as "a single step or degree in process; a particular phase, period, position, etc., 
in a process, development, or series " If stage means that each step is a process, or development, how do we bounce around from one step to another? Wouldn't it make sense that if we are not continuing to move forward, then we are regressing?
The question is, can anyone really move forward in the grief process? Does the shock of the loss ever go away? If you step out of denial, can you breathe? Can you function in life knowing you can't see or hear your loved one again, or share all of life's milestones? Why would you want to move past denial? The pain would be overwhelming. Survivors guilt is real and can be debilitating. Imagine if you really had a reason to feel guilty, it would eat you alive. Most of us are able to create reasons for guilt. The conversations that were misunderstood, the miss phone calls, the times we chose to do other things-guilt can be all consuming.
Anger and bargaining certainly won't benefit anyone. Who can you even bargain with? We can't change what has already happened. Anger doesn't bring people back. You can blame, you can yell and scream, you can hit and break things. What would be the outcome? You'd be left with hurt feelings and a mess. 
Depression, reflection and loneliness? While in denial, those feelings are kept at bay. While in denial the hopelessness of depression is not felt, nor is the pain of loneliness. With reflection comes self-analysis. We would contemplate all of the mistakes we made, the missed opportunities and the time lost. 
Are the upward turn, reconstruction and working through, acceptance and hope, real stages? Perhaps they are just other levels of denial. Maybe we have moments where we acknowledge our grief and pain. In that same moment we immediately start trying to figure out who caused this, who we should put this sudden, overwhelming anger on. We know that if we recognize the loss by blaming someone, we will feel the hopelessness of depression and the anguish of loneliness. Is it possible, that in that exact same moment we swallow, take a deep breath, admit to ourselves that we are unable to handle even a minuscule amount of all of that information? Could we mistake acceptance and hope for closing the door to pain and sliding into our comfort zone of denial?
In a few days my beautiful daughter would be turning twenty. For the past four and a half years we have been celebrating milestones without her. Her twin brother must face yet another birthday with only his candles on the cake. I can't save him from his pain, anger, loneliness, nor his grief. What I can do is stay in my safe place, denial. I can go through the motions of wrapping the gifts, baking the cake, and lighting the candles. This can be done, not because my journey has taken me through all of the stages of grief, because I'm not sure they exist. This will happen because I have all but mastered the art of denial, the only stage of grief which allows us to function.
www.annaspals.org
Posted 6 hours ago by Anna's Pals
0 
Add a comment
Loading
</t>
        </is>
      </c>
      <c r="D1568" t="n">
        <v>0</v>
      </c>
      <c r="E1568" t="n">
        <v>0</v>
      </c>
      <c r="F1568">
        <f>HYPERLINK("https://www.reddit.com/r/cancer/comments/b6zybi/stages_of_grief/")</f>
        <v/>
      </c>
      <c r="G1568" t="inlineStr">
        <is>
          <t>2019-03-29 10:15:20</t>
        </is>
      </c>
      <c r="H1568" t="inlineStr"/>
    </row>
    <row r="1569">
      <c r="A1569" t="inlineStr">
        <is>
          <t>b716k6</t>
        </is>
      </c>
      <c r="B1569" t="inlineStr">
        <is>
          <t>Been a long week, mom about to start first treatment</t>
        </is>
      </c>
      <c r="C1569" t="inlineStr">
        <is>
          <t xml:space="preserve">My mom and I went to the ER for a bump on her chest on Monday (she's had it since January and our regular doctors keep giving us the run-around and constantly screwing up lab orders and all that). CAT scan showed cancer, so she was admitted. After a few days of waiting, we were finally told yesterday that it is likely non-hodgkins aggressive b-cell lymphoma, stage II.
She will be receiving Rituxan every three weeks, and will see the doctor twice a week, for the next nine months.
We're all terrified of the possibilities and the what-ifs, especially thanks to the possibility that she won't respond to treatment.
Does anyone have any advice or experience with this type of cancer or treatment? I just really wonder when we will know if it's working. We have a hard road ahead, especially thanks to her being the caregiver of my disabled brother (my other brother and I will take over for now, which will be difficult but we just have to do what we have to do). </t>
        </is>
      </c>
      <c r="D1569" t="n">
        <v>3</v>
      </c>
      <c r="E1569" t="n">
        <v>4</v>
      </c>
      <c r="F1569">
        <f>HYPERLINK("https://www.reddit.com/r/cancer/comments/b716k6/been_a_long_week_mom_about_to_start_first/")</f>
        <v/>
      </c>
      <c r="G1569" t="inlineStr">
        <is>
          <t>2019-03-29 11:56:50</t>
        </is>
      </c>
      <c r="H1569" t="inlineStr"/>
    </row>
    <row r="1570">
      <c r="A1570" t="inlineStr">
        <is>
          <t>b71wr2</t>
        </is>
      </c>
      <c r="B1570" t="inlineStr">
        <is>
          <t>Does your port hurt your neck.</t>
        </is>
      </c>
      <c r="C1570" t="inlineStr">
        <is>
          <t>It feels like the catheter to my port is pinching/ tugging the skin near my neck. I had this problem with a different port but never this current one until today.</t>
        </is>
      </c>
      <c r="D1570" t="n">
        <v>6</v>
      </c>
      <c r="E1570" t="n">
        <v>12</v>
      </c>
      <c r="F1570">
        <f>HYPERLINK("https://www.reddit.com/r/cancer/comments/b71wr2/does_your_port_hurt_your_neck/")</f>
        <v/>
      </c>
      <c r="G1570" t="inlineStr">
        <is>
          <t>2019-03-29 12:57:50</t>
        </is>
      </c>
      <c r="H1570" t="inlineStr"/>
    </row>
    <row r="1571">
      <c r="A1571" t="inlineStr">
        <is>
          <t>b71y82</t>
        </is>
      </c>
      <c r="B1571" t="inlineStr">
        <is>
          <t>Stages of Grief?</t>
        </is>
      </c>
      <c r="C1571" t="inlineStr">
        <is>
          <t xml:space="preserve">
The Kübler-Ross model is commonly known as the five stages of grief. It has been used recently as the model of depression, but was originally designed to show the progression of emotions experienced by terminally ill patients after the initial diagnosis. The stages are as follows:
1. Shock and Denial
2. Pain and Guilt
3. Anger and Bargaining
4. Depression, Reflection, Loneliness
5. The Upward Turn
6. Reconstruction and Working Through
7. Acceptance and Hope
Now, it has been said that we can pass through these stages at different times, that you don't go through in order and everyone has different experiences. According to dictionary.com, the word stage is defined as "a single step or degree in process; a particular phase, period, position, etc., 
in a process, development, or series " If stage means that each step is a process, or development, how do we bounce around from one step to another? Wouldn't it make sense that if we are not continuing to move forward, then we are regressing?
The question is, can anyone really move forward in the grief process? Does the shock of the loss ever go away? If you step out of denial, can you breathe? Can you function in life knowing you can't see or hear your loved one again, or share all of life's milestones? Why would you want to move past denial? The pain would be overwhelming. Survivors guilt is real and can be debilitating. Imagine if you really had a reason to feel guilty, it would eat you alive. Most of us are able to create reasons for guilt. The conversations that were misunderstood, the miss phone calls, the times we chose to do other things-guilt can be all consuming.
Anger and bargaining certainly won't benefit anyone. Who can you even bargain with? We can't change what has already happened. Anger doesn't bring people back. You can blame, you can yell and scream, you can hit and break things. What would be the outcome? You'd be left with hurt feelings and a mess. 
Depression, reflection and loneliness? While in denial, those feelings are kept at bay. While in denial the hopelessness of depression is not felt, nor is the pain of loneliness. With reflection comes self-analysis. We would contemplate all of the mistakes we made, the missed opportunities and the time lost. 
Are the upward turn, reconstruction and working through, acceptance and hope, real stages? Perhaps they are just other levels of denial. Maybe we have moments where we acknowledge our grief and pain. In that same moment we immediately start trying to figure out who caused this, who we should put this sudden, overwhelming anger on. We know that if we recognize the loss by blaming someone, we will feel the hopelessness of depression and the anguish of loneliness. Is it possible, that in that exact same moment we swallow, take a deep breath, admit to ourselves that we are unable to handle even a minuscule amount of all of that information? Could we mistake acceptance and hope for closing the door to pain and sliding into our comfort zone of denial?
In a few days my beautiful daughter would be turning twenty. For the past four and a half years we have been celebrating milestones without her. Her twin brother must face yet another birthday with only his candles on the cake. I can't save him from his pain, anger, loneliness, nor his grief. What I can do is stay in my safe place, denial. I can go through the motions of wrapping the gifts, baking the cake, and lighting the candles. This can be done, not because my journey has taken me through all of the stages of grief, because I'm not sure they exist. This will happen because I have all but mastered the art of denial, the only stage of grief which allows us to function.
www.annaspals.org
</t>
        </is>
      </c>
      <c r="D1571" t="n">
        <v>11</v>
      </c>
      <c r="E1571" t="n">
        <v>3</v>
      </c>
      <c r="F1571">
        <f>HYPERLINK("https://www.reddit.com/r/cancer/comments/b71y82/stages_of_grief/")</f>
        <v/>
      </c>
      <c r="G1571" t="inlineStr">
        <is>
          <t>2019-03-29 13:01:13</t>
        </is>
      </c>
      <c r="H1571" t="inlineStr"/>
    </row>
    <row r="1572">
      <c r="A1572" t="inlineStr">
        <is>
          <t>b73uht</t>
        </is>
      </c>
      <c r="B1572" t="inlineStr">
        <is>
          <t>Moving on</t>
        </is>
      </c>
      <c r="C1572" t="inlineStr">
        <is>
          <t xml:space="preserve"> I don’t really have a point in this post, it’s just been weighing down on me so I really needed to get this off my chest. I’ve been cancer free for a long time. I was diagnosed with ALL when I was just 3 years old so I’ve been considered cured for years now. It’s still so hard. As we all know, this isn’t something I can just leave in the past and forget about. I need yearly check ups, treatment for the various side effects, and I’m even active in a study that requires me to go back to my hospital every 5 years indefinitely. I have PTSD and my depression was worsened by it. It’s so hard not to feel like a freak. I have all these issues stemming from this stupid event in my life and the worst part is that nobody understands. I live in a small town. I’m a freak here. And even when I met other survivors my age, there’s almost an unspoken rule that we don’t talk about this stuff. Because for once, around each other, we could pretend we’re normal 20 year olds with normal worries. I haven’t seen them since I was 13 though. </t>
        </is>
      </c>
      <c r="D1572" t="n">
        <v>6</v>
      </c>
      <c r="E1572" t="n">
        <v>4</v>
      </c>
      <c r="F1572">
        <f>HYPERLINK("https://www.reddit.com/r/cancer/comments/b73uht/moving_on/")</f>
        <v/>
      </c>
      <c r="G1572" t="inlineStr">
        <is>
          <t>2019-03-29 15:48:23</t>
        </is>
      </c>
      <c r="H1572" t="inlineStr"/>
    </row>
    <row r="1573">
      <c r="A1573" t="inlineStr">
        <is>
          <t>b73ul9</t>
        </is>
      </c>
      <c r="B1573" t="inlineStr">
        <is>
          <t>Ovarian cancer Talc Powder Lawsuit</t>
        </is>
      </c>
      <c r="C1573" t="inlineStr">
        <is>
          <t>Has anyone joined any ovarian cancer lawsuits for the talcum powder?   If so what has been your experience so far?  Before my mom passed away on March 8, she asked me to look into this.  Since she has passed, I’ve done some research and contacted a law firm.  Just got a call from them today and they said my moms info meets their criteria for a case and will be passing the info on to the actual attorneys now.  I contacted the law firm that won the 4.6 billion suit against Johnson and Johnson as they seem to have a good grasp on the issue.  Thoughts?</t>
        </is>
      </c>
      <c r="D1573" t="n">
        <v>4</v>
      </c>
      <c r="E1573" t="n">
        <v>2</v>
      </c>
      <c r="F1573">
        <f>HYPERLINK("https://www.reddit.com/r/cancer/comments/b73ul9/ovarian_cancer_talc_powder_lawsuit/")</f>
        <v/>
      </c>
      <c r="G1573" t="inlineStr">
        <is>
          <t>2019-03-29 15:48:37</t>
        </is>
      </c>
      <c r="H1573" t="inlineStr"/>
    </row>
    <row r="1574">
      <c r="A1574" t="inlineStr">
        <is>
          <t>b73weo</t>
        </is>
      </c>
      <c r="B1574" t="inlineStr">
        <is>
          <t>Thank You</t>
        </is>
      </c>
      <c r="C1574" t="inlineStr">
        <is>
          <t xml:space="preserve">I wanted to take a moment to thank every one of you who are fighting your battle but still take time to reply and respond to those of us who have questions for loved ones that are struggling with their own fight. Your answers, advice, and insight help me better understand what my moms going through and how I can best help her. Thank you, I wish you all the best. </t>
        </is>
      </c>
      <c r="D1574" t="n">
        <v>90</v>
      </c>
      <c r="E1574" t="n">
        <v>5</v>
      </c>
      <c r="F1574">
        <f>HYPERLINK("https://www.reddit.com/r/cancer/comments/b73weo/thank_you/")</f>
        <v/>
      </c>
      <c r="G1574" t="inlineStr">
        <is>
          <t>2019-03-29 15:53:33</t>
        </is>
      </c>
      <c r="H1574" t="inlineStr"/>
    </row>
    <row r="1575">
      <c r="A1575" t="inlineStr">
        <is>
          <t>b75jdk</t>
        </is>
      </c>
      <c r="B1575" t="inlineStr">
        <is>
          <t>Anybody else have post-cancer anxiety?</t>
        </is>
      </c>
      <c r="C1575" t="inlineStr">
        <is>
          <t>I had cancer at 21 and been clear since but it created some serious anxiety. I get real aches and pains from the scars but also the fake aches and pains from anxiety, the trouble is differentiating between them. I usually get weird looks when I see a doctor about these aches and pains, so I feel embarrassed to see my general doctor. I have trouble keeping up with my cancer tests and follow ups because I’ve always been needle-phobic and get panic attacks when it comes to anything related to medical emergencies. I know better then to search WebMD, but if I hadn’t searched WebMD when I was 21 I wouldn’t have suspected a tumor and seen a doctor, so I have a fear that cancer is back or that there’s a real unrelated issue. I’m trying to see a psychiatrist, but does anyone have advice on how to deal with the health anxiety so it doesn’t get to the point where I feel the need to go to an ER? Is there any benefit to seeing a cardiologist or checking on these anxiety aches and pains? Is there such a thing as health related PTSD?</t>
        </is>
      </c>
      <c r="D1575" t="n">
        <v>10</v>
      </c>
      <c r="E1575" t="n">
        <v>6</v>
      </c>
      <c r="F1575">
        <f>HYPERLINK("https://www.reddit.com/r/cancer/comments/b75jdk/anybody_else_have_postcancer_anxiety/")</f>
        <v/>
      </c>
      <c r="G1575" t="inlineStr">
        <is>
          <t>2019-03-29 18:34:52</t>
        </is>
      </c>
      <c r="H1575" t="inlineStr"/>
    </row>
    <row r="1576">
      <c r="A1576" t="inlineStr">
        <is>
          <t>b75wjw</t>
        </is>
      </c>
      <c r="B1576" t="inlineStr">
        <is>
          <t>Alright...I’m frustrated.</t>
        </is>
      </c>
      <c r="C1576" t="inlineStr">
        <is>
          <t xml:space="preserve">I’m 25 diagnosed with ALL. This 2nd cycle is driving me insane. My first cycle was aggressive and administered to me as in inpatient. Luckily, I experienced no side effects other than a bit of neuropathy in my legs but was completely manageable. I was discharged and given a month break in which a BM biopsy revealed I’m in remission. 
A month ago I began my 2nd cycle and it has been testing me mentally and physically. I’m nauseous, so I’ve been taking Zofran which helps but I have to remember to take it on time. My entire body (more especially my lower half) aches...it feels like pre-flu symptoms but my temps have been good so it can’t be the flu. I developed a reaction to Peg-Aspiraganise, a chemo I’ve had before, and I went into anaphylactic shock...I now have some sort of PTSD when I’m given chemo bc that shit was so damn scary. I have also finished 7 courses of lumbar punctures and up until the 7th I wasn’t experiencing any of the symptoms. But after the 7th I have a throbbing headache, I have to take 800mg of Motrin just to stop from crying from the pain. I am also experiencing UTI symptoms, it hurts to pee but urine is clear and I’ve been hydrating myself well (about 3 liters per day). Oncologist has prescribed me antibiotics so hopefully this works for me. 
And lastly, to make matters worse, I am experiencing oral thrush for the 2nd time in a span of 2 weeks...despite excellent oral care. I floss/brush and swish with salt/soda mixture after every meal. 
I’m fucking tired despite sleeping 13+ hours every day and I’m just so frustrated. It’s exhausting to hear my family (although they mean well) offer solutions to feel better (ex. You should take a walk....you need to eat better etc.) sometimes I just want to yell to their faces “IM FUCKING SICK” but I know deep down that that is not gonna help. I’m doing everything I can possibly do to minimize these symptoms but I’m so out of control atm...I just want to skip past this period of my life already but know that I’m one of the lucky ones. ALL has an amazing cure rate and I’m young and fit, I’m still under my moms insurance which so far has payed for everything except the deductible which is manageable and expected. It kills me that I’ve been crying a lot in secret lately bc I want to be strong and also want to be in right mind set to beat this for me and my family but this shit sucks now. I’m not looking forward to next week, I have chemo every day don’t even want to think how I’m going to feel then. 
Thanks for allowing me to vent my frustrations. This disease sucks, and why we have been chosen to experience this bewilders me. I’m just going to continue to pray, despite feeling remorse of “why me” and I’ll continue to pray for my r/cancer redditor’s. </t>
        </is>
      </c>
      <c r="D1576" t="n">
        <v>27</v>
      </c>
      <c r="E1576" t="n">
        <v>17</v>
      </c>
      <c r="F1576">
        <f>HYPERLINK("https://www.reddit.com/r/cancer/comments/b75wjw/alrightim_frustrated/")</f>
        <v/>
      </c>
      <c r="G1576" t="inlineStr">
        <is>
          <t>2019-03-29 19:14:06</t>
        </is>
      </c>
      <c r="H1576" t="inlineStr"/>
    </row>
    <row r="1577">
      <c r="A1577" t="inlineStr">
        <is>
          <t>b7644a</t>
        </is>
      </c>
      <c r="B1577" t="inlineStr">
        <is>
          <t>Nausea and vomcano after abdominal rads</t>
        </is>
      </c>
      <c r="C1577" t="inlineStr">
        <is>
          <t>I finished 25 rounds of 2Gy rads to my para-aortic lymphnodes from T12-L5. Basically ribcage to low back along my spine, but my innards got blasted too due to proximity. I'm having a bitch of a time keeping food down, even on all my meds. Rad finished Wednesday.
So far an iced capp and toast has stayed down. Anything with fibre seems to be auto rejected in projectile fashion. Any foods you lovely peeps has success with? Do I go to KD direction or the other way and only do smoothies? Let me know your magic foods.
Thanks all.</t>
        </is>
      </c>
      <c r="D1577" t="n">
        <v>10</v>
      </c>
      <c r="E1577" t="n">
        <v>6</v>
      </c>
      <c r="F1577">
        <f>HYPERLINK("https://www.reddit.com/r/cancer/comments/b7644a/nausea_and_vomcano_after_abdominal_rads/")</f>
        <v/>
      </c>
      <c r="G1577" t="inlineStr">
        <is>
          <t>2019-03-29 19:36:26</t>
        </is>
      </c>
      <c r="H1577" t="inlineStr"/>
    </row>
    <row r="1578">
      <c r="A1578" t="inlineStr">
        <is>
          <t>b76z89</t>
        </is>
      </c>
      <c r="B1578" t="inlineStr">
        <is>
          <t>My dad was just diagnosed</t>
        </is>
      </c>
      <c r="C1578" t="inlineStr">
        <is>
          <t xml:space="preserve">This is going to be rambling on, but I don’t know what else to do. Found out today that my dad was diagnosed with stage 2 throat cancer. I’m away at college in nyc, and he is going to Sloan-Kettering for 4-7 weeks sometime in the very near future. I don’t even know how to react. He was told that he caught it very early on and there is a 95% chance it will be gone within those 4-7 weeks. I’m very thankful that i go to school near the hospital so I can at least be around when my mom has to stay home. Mostly I’m just feeling incredibly guilty for doing anything. I know it’s selfish but I feel so guilty and i can’t even move off of my bed because i feel like i can’t do anything fun anymore, like it’s unfair to be having fun while my dad is sick. That makes me sound like a horrible person, and I tried to reach out to my siblings but they don’t want to talk about it at all. I’m only 18 and I don’t know how to handle any of this especially when I can’t go home as they are coming here. I just need any advice on how to keep going with life while this is happening. </t>
        </is>
      </c>
      <c r="D1578" t="n">
        <v>16</v>
      </c>
      <c r="E1578" t="n">
        <v>6</v>
      </c>
      <c r="F1578">
        <f>HYPERLINK("https://www.reddit.com/r/cancer/comments/b76z89/my_dad_was_just_diagnosed/")</f>
        <v/>
      </c>
      <c r="G1578" t="inlineStr">
        <is>
          <t>2019-03-29 21:16:45</t>
        </is>
      </c>
      <c r="H1578" t="inlineStr"/>
    </row>
    <row r="1579">
      <c r="A1579" t="inlineStr">
        <is>
          <t>b77tui</t>
        </is>
      </c>
      <c r="B1579" t="inlineStr">
        <is>
          <t>Conflicting treatment options: Signet Ring Cell carcinoma stage IV</t>
        </is>
      </c>
      <c r="C1579" t="inlineStr">
        <is>
          <t xml:space="preserve">My dad had been diagnosed with highly mucinous, poorly-differentiated signet ring cell carcinoma of the gastro-esophageal (GE) junction in 2016.
After that he went through:
- surgery - total esophagectomy + 3-field lymphadenectomy
- chemotherapy - docetaxel, oxaliplatin, 5-FU (capecetabine), 6 cycles
After this he was in remission for 2 years.
Last september, it relapsed at the region of surgical stapling, after which he went through:
- chemotherapy - paclitaxel, cisplatin, 6 cycles
- radiotherapy - 52 Gy tomotherapy
He remains in good physical health though, and handled the last sessions without much side-effects.
Now is where things get complicated. 
His last PET scan showed the primary tumor site is probably non-malignant inflammatory and nothing else. His recent endoscopy (1 week after PET) showed the primary tumor (4.5x1 cm circumferential) has shrunk only by a small amount and there is a satellite tumor (1.5x1cm) in the pyloric atrium.
One set of doctors tell us we should wait and the other bunch are like since chemo and radio are not working, immuno remains the only option left.
His tumor is HER2 negative and microsatellite stable. Though PD-1/PD-L1 has not been tested yet (one doc says its irrelevant cause immuno is "out of protocol anyway").
Which ones do i trust? What options do i have?
</t>
        </is>
      </c>
      <c r="D1579" t="n">
        <v>7</v>
      </c>
      <c r="E1579" t="n">
        <v>2</v>
      </c>
      <c r="F1579">
        <f>HYPERLINK("https://www.reddit.com/r/cancer/comments/b77tui/conflicting_treatment_options_signet_ring_cell/")</f>
        <v/>
      </c>
      <c r="G1579" t="inlineStr">
        <is>
          <t>2019-03-29 22:58:33</t>
        </is>
      </c>
      <c r="H1579" t="inlineStr"/>
    </row>
    <row r="1580">
      <c r="A1580" t="inlineStr">
        <is>
          <t>b79q42</t>
        </is>
      </c>
      <c r="B1580" t="inlineStr">
        <is>
          <t>Diagnosed today</t>
        </is>
      </c>
      <c r="C1580" t="inlineStr">
        <is>
          <t xml:space="preserve">He has esophageal cancer at the GE junction, with metastasis to nearby lymph nodes as well as neck.  
ACA survival rates put that at 24% chance of living for 5 years.  
We have young kids (12, 10, and 1 years old). I am pregnant. He is the love of my life. A decent and hardworking person.
I drive him to the hospital tomorrow for emergency PET and rush scope. Biopsy Monday. Oncologist on Tuesday. 
Other than treatment, any advice? 
Most people with this variation die within 9-12 months. 
</t>
        </is>
      </c>
      <c r="D1580" t="n">
        <v>21</v>
      </c>
      <c r="E1580" t="n">
        <v>23</v>
      </c>
      <c r="F1580">
        <f>HYPERLINK("https://www.reddit.com/r/cancer/comments/b79q42/diagnosed_today/")</f>
        <v/>
      </c>
      <c r="G1580" t="inlineStr">
        <is>
          <t>2019-03-30 03:22:23</t>
        </is>
      </c>
      <c r="H1580" t="inlineStr"/>
    </row>
    <row r="1581">
      <c r="A1581" t="inlineStr">
        <is>
          <t>b7brkl</t>
        </is>
      </c>
      <c r="B1581" t="inlineStr">
        <is>
          <t>Ketogenic diet and skin cancer</t>
        </is>
      </c>
      <c r="C1581" t="inlineStr">
        <is>
          <t xml:space="preserve">I was diagnosed a few weeks ago with basal cell carcinoma. It's early stage so treatable with Imiquimod and while it's painful, sore and uncomfortable it's bearable. So hopefully all will be ok.
I'm also overweight and I was just starting to do a keto diet to lose the weight, that was also going really well, I'd lost a lot of weight, felt great, thinking clearer and doing better in work etc. But since the diagnosis I've been worried about the effects it might have. It's very hard to find information on diet and the impact it has on Imiquimod treatment too.
I did find a couple of things about how intermittent fasting might help prevent cancer due to promoting autophagy which will clean up problem cells but that it might benefit existing cancers who can use the autophagy to grow.
Has anyone done any research on diet and carcinoma or ketosis and carcinoma? I guess the best course of action for diet is probable healthy varied diet, get all your vitamins and exercise regularly to increase the immune system. </t>
        </is>
      </c>
      <c r="D1581" t="n">
        <v>3</v>
      </c>
      <c r="E1581" t="n">
        <v>3</v>
      </c>
      <c r="F1581">
        <f>HYPERLINK("https://www.reddit.com/r/cancer/comments/b7brkl/ketogenic_diet_and_skin_cancer/")</f>
        <v/>
      </c>
      <c r="G1581" t="inlineStr">
        <is>
          <t>2019-03-30 07:18:15</t>
        </is>
      </c>
      <c r="H1581" t="inlineStr"/>
    </row>
    <row r="1582">
      <c r="A1582" t="inlineStr">
        <is>
          <t>b7d0f7</t>
        </is>
      </c>
      <c r="B1582" t="inlineStr">
        <is>
          <t>Get checked ASAP if you think you have any cancer related symptoms</t>
        </is>
      </c>
      <c r="C1582" t="inlineStr">
        <is>
          <t xml:space="preserve">My Dad passed away in 2004 due to cancer and it’s the reason I wanted to make this post because I recently confirmed with my sister who I hadn’t seen since his passing that he died 2 weeks after his diagnosis. He always hated going to the doctor for some reason and a few months before he had been ill a lot and when he finally got checked it was pretty much too late and I know that there have been many improvements in cancer treatments over the years but ever since I first heard that at a young age I have always been a firm believer in getting checked out as often or as quickly as possible. I wouldn’t wish what happened to him on anyone and that’s why I wanted to share this so rather than asking online about a possible illness go to a doctor it could make a world of difference </t>
        </is>
      </c>
      <c r="D1582" t="n">
        <v>55</v>
      </c>
      <c r="E1582" t="n">
        <v>15</v>
      </c>
      <c r="F1582">
        <f>HYPERLINK("https://www.reddit.com/r/cancer/comments/b7d0f7/get_checked_asap_if_you_think_you_have_any_cancer/")</f>
        <v/>
      </c>
      <c r="G1582" t="inlineStr">
        <is>
          <t>2019-03-30 09:21:26</t>
        </is>
      </c>
      <c r="H1582" t="inlineStr"/>
    </row>
    <row r="1583">
      <c r="A1583" t="inlineStr">
        <is>
          <t>b7gmcw</t>
        </is>
      </c>
      <c r="B1583" t="inlineStr">
        <is>
          <t>The Platelets Challenge</t>
        </is>
      </c>
      <c r="C1583" t="inlineStr">
        <is>
          <t>I created this video recently as a call to action for my family and friends. It is starting to gain a little traction and a handful of donations are rolling out. I would like to share it with this community as well. Good luck, hang in there everyone. Your loved ones are doing what they can. Please feel free to send this call to action as far as you can. 
[#plateletschallenge ](https://youtu.be/tBBCAD0xXp4)</t>
        </is>
      </c>
      <c r="D1583" t="n">
        <v>2</v>
      </c>
      <c r="E1583" t="n">
        <v>2</v>
      </c>
      <c r="F1583">
        <f>HYPERLINK("https://www.reddit.com/r/cancer/comments/b7gmcw/the_platelets_challenge/")</f>
        <v/>
      </c>
      <c r="G1583" t="inlineStr">
        <is>
          <t>2019-03-30 15:07:12</t>
        </is>
      </c>
      <c r="H1583" t="inlineStr"/>
    </row>
    <row r="1584">
      <c r="A1584" t="inlineStr">
        <is>
          <t>b7hg3n</t>
        </is>
      </c>
      <c r="B1584" t="inlineStr">
        <is>
          <t>No hugs please?</t>
        </is>
      </c>
      <c r="C1584" t="inlineStr">
        <is>
          <t>I had a lumpectomy Wednesday. My mother in law died a couple days before that and the services are on Monday. I am terrified someone will hug me and it will hurt. (I'm not big on hugs anyway)
Anyone with similar experience have suggestions of what to say or do?</t>
        </is>
      </c>
      <c r="D1584" t="n">
        <v>5</v>
      </c>
      <c r="E1584" t="n">
        <v>6</v>
      </c>
      <c r="F1584">
        <f>HYPERLINK("https://www.reddit.com/r/cancer/comments/b7hg3n/no_hugs_please/")</f>
        <v/>
      </c>
      <c r="G1584" t="inlineStr">
        <is>
          <t>2019-03-30 16:34:49</t>
        </is>
      </c>
      <c r="H1584" t="inlineStr"/>
    </row>
    <row r="1585">
      <c r="A1585" t="inlineStr">
        <is>
          <t>b7hiv7</t>
        </is>
      </c>
      <c r="B1585" t="inlineStr">
        <is>
          <t>For those who have battled or are currently Breast Cancer, what was the financial​ cost?</t>
        </is>
      </c>
      <c r="C1585" t="inlineStr">
        <is>
          <t xml:space="preserve">The title pretty much says it all but I am curious about what the cost of breast cancer specifically is. I would greatly appreciate hearing where you were (where in the US or if you were outside the US) and if located in the US what was your health insurance in addition to the cost of care and treatment. Thank you for your time! </t>
        </is>
      </c>
      <c r="D1585" t="n">
        <v>7</v>
      </c>
      <c r="E1585" t="n">
        <v>12</v>
      </c>
      <c r="F1585">
        <f>HYPERLINK("https://www.reddit.com/r/cancer/comments/b7hiv7/for_those_who_have_battled_or_are_currently/")</f>
        <v/>
      </c>
      <c r="G1585" t="inlineStr">
        <is>
          <t>2019-03-30 16:43:12</t>
        </is>
      </c>
      <c r="H1585" t="inlineStr"/>
    </row>
    <row r="1586">
      <c r="A1586" t="inlineStr">
        <is>
          <t>b7kj0b</t>
        </is>
      </c>
      <c r="B1586" t="inlineStr">
        <is>
          <t>17 years old and dealing with a post cancer diagnosis</t>
        </is>
      </c>
      <c r="C1586" t="inlineStr">
        <is>
          <t xml:space="preserve">Hi, I was diagnosed with APML last May, spent a month inpatient then the rest was outpatient. I have only recently finished chemotherapy this January. (Successfully in remission in August of last year ) But being “cured” of it makes me feel like I’m wandering through life.  My main struggle is mental health and love life
PTSD and depression. Returning to high school for my Junior year was possible the most scariest thing I’ve ever done before. My diagnosis was shared around the school and I was everywhere on posters and newsletters. Coming back was highly stigmatized. I had people look at me weird and ask so many questions. I had my first depression episode around thanksgiving. I had no idea what I was going to do with my life and stuck to myself or tried to skip events. I would sometimes hear a noise that sounded like equipment from a hospital and it would trigger a bad memory. I also still have the tendency to snap pencils with my hand due to so much stress (I’ve been through 7 pencils) . It was only by the intervention of a friend did I seek help from friends and family.
The second depression episode was more violent and happened at the end of January . I would do everything above but I’d lash out at friends and family. It scared me. I lashed out at one of my best friends I’ve know since kindergarten. I also had a recurring dream of me never leaving the hospital. I got to the point of contemplated suicide but never did it because of a text from a person I had a heavy crush on saying “how are you?” . At this point I sought professional help. And I took up drawing and videography as a response to all this unexplained emotions I had.
My third and most recent depression episode was at the middle of March. I’ve been seeing a therapist but something happened that just stirred too many thoughts in my head. My crush found out I liked them and confronted me. We are still friends but it doesn’t feel the same. To add on to that I had feelings for another person but I’m scared of what happened before repeating It feels like I’m destined to be alone, and that the only way for me to get through life is escapism and distraction. No matter how many people I am friends with I don’t know if I’ll ever meet someone that I can love and spend quality time with. Please any advice on mental health and love after cancer. </t>
        </is>
      </c>
      <c r="D1586" t="n">
        <v>10</v>
      </c>
      <c r="E1586" t="n">
        <v>9</v>
      </c>
      <c r="F1586">
        <f>HYPERLINK("https://www.reddit.com/r/cancer/comments/b7kj0b/17_years_old_and_dealing_with_a_post_cancer/")</f>
        <v/>
      </c>
      <c r="G1586" t="inlineStr">
        <is>
          <t>2019-03-30 22:53:06</t>
        </is>
      </c>
      <c r="H1586" t="inlineStr"/>
    </row>
    <row r="1587">
      <c r="A1587" t="inlineStr">
        <is>
          <t>b7kjzz</t>
        </is>
      </c>
      <c r="B1587" t="inlineStr">
        <is>
          <t>Books and Describing</t>
        </is>
      </c>
      <c r="C1587" t="inlineStr">
        <is>
          <t>So I am currently writing a book about my cancer experience, surviving and the struggle of living on a small community where not many people know enough about cancer. Most people in my town think that cancer is just losing your hair. But, for those of you who had a port for your treatments how would you describe it to people especially how it is accessed? I'm having trouble describing it in a way that is easily understandable. I feel like a port is hard to describe unless the person you are describing it to has seen one. Thank you x</t>
        </is>
      </c>
      <c r="D1587" t="n">
        <v>6</v>
      </c>
      <c r="E1587" t="n">
        <v>4</v>
      </c>
      <c r="F1587">
        <f>HYPERLINK("https://www.reddit.com/r/cancer/comments/b7kjzz/books_and_describing/")</f>
        <v/>
      </c>
      <c r="G1587" t="inlineStr">
        <is>
          <t>2019-03-30 22:57:11</t>
        </is>
      </c>
      <c r="H1587" t="inlineStr"/>
    </row>
    <row r="1588">
      <c r="A1588" t="inlineStr">
        <is>
          <t>b7ktxp</t>
        </is>
      </c>
      <c r="B1588" t="inlineStr">
        <is>
          <t>My boyfriend is dying to stage 4 throat cancer.</t>
        </is>
      </c>
      <c r="C1588" t="inlineStr">
        <is>
          <t xml:space="preserve">Where do I start? Well 7 months my boyfriend(42) got diagnosed with stage 4 throat cancer. We’ve been together for 8 years and when this happened we were shocked as well as our families. Everything was going well, we started chemo in October every 2 weeks for 36 hours. This holiday season was rough but we both made it through. In January we had a second PET scan done and the results were great. The doctor was really happy that the cancer had shrunk and everything was going according to plan. We were happy because only 6 more chemo treatments and we could ring the bell!! Well mid February things got worse, cancer had spread to the bones and nervous system. He has been in the hospital since then. 
Yesterday was a good day, he was smiling and some what talking to us. But today everything changed. When I went to see him, he could talk and was heavily breathing. The nurse was talking about time lines to his parents and I. That’s when it happened. It hit me like a truck. This guy whom I’ve been with for 8 freakin years will not be coming home. This guy who I shared a home with won’t be back in it. Also the guy who I really love won’t be here anymore. 
I just don’t know what to do anymore. I’ve kept the strong front for his parents and brother but they finally saw me break down and walk out the room. Just could do it anymore. 
Sorry for the wall of text just had to get this off my chest. </t>
        </is>
      </c>
      <c r="D1588" t="n">
        <v>125</v>
      </c>
      <c r="E1588" t="n">
        <v>18</v>
      </c>
      <c r="F1588">
        <f>HYPERLINK("https://www.reddit.com/r/cancer/comments/b7ktxp/my_boyfriend_is_dying_to_stage_4_throat_cancer/")</f>
        <v/>
      </c>
      <c r="G1588" t="inlineStr">
        <is>
          <t>2019-03-30 23:39:08</t>
        </is>
      </c>
      <c r="H1588" t="inlineStr"/>
    </row>
    <row r="1589">
      <c r="A1589" t="inlineStr">
        <is>
          <t>b7mf24</t>
        </is>
      </c>
      <c r="B1589" t="inlineStr">
        <is>
          <t>What would the best flavoursome food or drink to have during chemo?</t>
        </is>
      </c>
      <c r="C1589" t="inlineStr">
        <is>
          <t>My mum was recently diagnosed with stage 2 breast cancer, she had her first chemotherapy a few weeks ago and struggled to eat or drink anything that doesn’t taste like metal. She found roundtree ice pops and vimto cordial so far being most helpful but I was wondering what other avenues we could try?</t>
        </is>
      </c>
      <c r="D1589" t="n">
        <v>7</v>
      </c>
      <c r="E1589" t="n">
        <v>12</v>
      </c>
      <c r="F1589">
        <f>HYPERLINK("https://www.reddit.com/r/cancer/comments/b7mf24/what_would_the_best_flavoursome_food_or_drink_to/")</f>
        <v/>
      </c>
      <c r="G1589" t="inlineStr">
        <is>
          <t>2019-03-31 03:38:48</t>
        </is>
      </c>
      <c r="H1589" t="inlineStr"/>
    </row>
    <row r="1590">
      <c r="A1590" t="inlineStr">
        <is>
          <t>b7milu</t>
        </is>
      </c>
      <c r="B1590" t="inlineStr">
        <is>
          <t>Struggling to cope</t>
        </is>
      </c>
      <c r="C1590" t="inlineStr">
        <is>
          <t xml:space="preserve">Hi all, 
So my mum (35) was diagnosed with stage II HER2-positive breast cancer this year. Initially she noticed a lump on her breast, got it checked and was given the all clear. A couple months later she noticed another lump under her arm, got it tested and it came back positive. 
She’s on the second part of her chemo now which she’ll have to carry out for another 10 or so weeks until they see her to organise surgery. After which she will undergo radiation. So far the lump under her arm has shrunk significantly (to the point where you can barely, if not at all, feel it.) 
I just feel drained. I feel like I’m wishing this entire year away. I feel like I can’t be happy or work on myself or put effort into my studies (I’m in grade 11) until this whole experience is over. But even then I get anxious about the cancer coming back even though it’s not yet gone. I hate night time now too, because I know when i try to go to sleep my mind will wander and think of all the worst possibilities. 
I just want to help all of he unfortunate circumstances going on in this world. I wish I could cure everyone of their cancers, get rid of all the CO2, end all poverty/wars, convince people that believe they have nothing to live for, to live happy lives. All of this is sounding very dramatic but I’m in an emotional state so I’m going to let it slide for now. 
I have so much love in my heart for everyone. I hope everyone is staying positive... it’s so hard too. (I feel strange telling people to stay positive when I’m barely doing that myself) 
So much love, everyone is in my prayers 💜💜 
</t>
        </is>
      </c>
      <c r="D1590" t="n">
        <v>8</v>
      </c>
      <c r="E1590" t="n">
        <v>7</v>
      </c>
      <c r="F1590">
        <f>HYPERLINK("https://www.reddit.com/r/cancer/comments/b7milu/struggling_to_cope/")</f>
        <v/>
      </c>
      <c r="G1590" t="inlineStr">
        <is>
          <t>2019-03-31 03:52:57</t>
        </is>
      </c>
      <c r="H1590" t="inlineStr"/>
    </row>
    <row r="1591">
      <c r="A1591" t="inlineStr">
        <is>
          <t>b7mwjk</t>
        </is>
      </c>
      <c r="B1591" t="inlineStr">
        <is>
          <t>I lost my dad to cancer a week ago.</t>
        </is>
      </c>
      <c r="C1591" t="inlineStr">
        <is>
          <t>I'm a complete mess. I miss him so much. He was such good man. A great father, husband. I have no idea how to go on.</t>
        </is>
      </c>
      <c r="D1591" t="n">
        <v>20</v>
      </c>
      <c r="E1591" t="n">
        <v>8</v>
      </c>
      <c r="F1591">
        <f>HYPERLINK("https://www.reddit.com/r/cancer/comments/b7mwjk/i_lost_my_dad_to_cancer_a_week_ago/")</f>
        <v/>
      </c>
      <c r="G1591" t="inlineStr">
        <is>
          <t>2019-03-31 04:45:11</t>
        </is>
      </c>
      <c r="H1591" t="inlineStr"/>
    </row>
    <row r="1592">
      <c r="A1592" t="inlineStr">
        <is>
          <t>b7n5hp</t>
        </is>
      </c>
      <c r="B1592" t="inlineStr">
        <is>
          <t>Grandmother got the diagnosis today.</t>
        </is>
      </c>
      <c r="C1592" t="inlineStr">
        <is>
          <t>I want to preface this by saying there is a wall of text below, most of it is for me to bring myself to the realisation that it’s real. The other part of it is to serve as a way for me to get it off my chest.
________________________________________________________
A little while ago my grandmother had a fall, my parents, siblings, aged-care nurses or I didn’t know about until 6 weeks after the fall. 
She’s been in hospital for the last month, month and a half trying to get on the mend and the doctors found it odd that her hip wasn’t healing considering she’d been on bed duty this entire time.
Original scans on the broken hip revealed a number of dark areas on her lung, amongst other things. At first the two overseeing doctors were at a disagreement over it being an infection or cancerous; so they went to a 3rd and he agreed it appears cancerous. They did a biopsy and it came back negative, however the doctor who thought it might have been an infection had suddenly flipped on his decision and thinks it might be cancerous after all.
He wasn’t happy with the result, citing the belief that they didn’t take enough cells nor did they take them from a strong enough area. So he pushed and we got a PET scan.
Turns out it wasn’t an infection, it indeed is cancerous. Lung cancer is her primary, plus she has secondary’s on her bowel, liver, stomach and in her hip. Today has been rough. I knew in the back of my head it might have been, but I dismissed it when they said it was an infection. I was eating breakfast when my parents told me and my partner was with me when I found out, which was followed up by me bringing it up. I couldn’t believe it and didn’t want to believe it.
It’s hard to believe considering the big role she’s played in my life. How indestructible she’s been, losing all her siblings and father as a result of the war. I thought nothing would bring her down, not my trike that she slipped on and broke her wrist when I was a kid, not the seizures she had; nothing.
But it’s hit me and it’s hit me hard. It’s hit me hard that she might not be around when I graduate university, to see both of my brothers wedding’s or even see me get engaged. I’m still relatively young, at 22, and don’t know what to expect. I don’t know how fast It will advance, or how slow and dragged out it will be. All we know for certain is that she doesn’t want to get chemo, so her last bit of time isn’t plagued with more medication, weakness and pain than she already experiences. My parents have a meeting with her Dr’s tomorrow which hopefully gives us all some clearer information.
I guess by writing this out, it gives me the chance to confront it. To accept that it’s real, it’s happening and I can’t sit here and wish it’s not going to. I’m probably going to go and see one of the psychologist’s on campus for a bit of help, a bit ironic considering I’m studying that very thing with hopes to end up as a developmental psychologist one day (please ignore the poor formatting, I’m typing this in bed trying to hold back the tears from my girlfriend over the phone).
I don’t expect anyone to read this wall of text whatsoever, but to those of you who do I preemptively thank you. To each other we are nothing more than words on a screen, but I know there’s a person behind the keyboard and without a doubt will probably be reduced to a poignant, crying mess by each one.
You’ve lived 77 fantastic years so far Nina and I know the last of your time is going to be something that sticks by me for years to come, as have all the other memories.</t>
        </is>
      </c>
      <c r="D1592" t="n">
        <v>9</v>
      </c>
      <c r="E1592" t="n">
        <v>3</v>
      </c>
      <c r="F1592">
        <f>HYPERLINK("https://www.reddit.com/r/cancer/comments/b7n5hp/grandmother_got_the_diagnosis_today/")</f>
        <v/>
      </c>
      <c r="G1592" t="inlineStr">
        <is>
          <t>2019-03-31 05:17:04</t>
        </is>
      </c>
      <c r="H1592" t="inlineStr"/>
    </row>
    <row r="1593">
      <c r="A1593" t="inlineStr">
        <is>
          <t>b7nbam</t>
        </is>
      </c>
      <c r="B1593" t="inlineStr">
        <is>
          <t>Question on sugar</t>
        </is>
      </c>
      <c r="C1593" t="inlineStr">
        <is>
          <t>My husband was diagnosed a couple of weeks ago with stage IV oral cancer. As we're approaching treatment (radiation/chemo combo), it's important for us to keep his weight up. He's limited to a puree/liquid diet because it's difficult for him to eat due to pain in his mouth and neck, which I'm worried has us too reliant on sugary foods such as Carnation breakfast and ice cream. (He does still eat a good amount of fruit and vegetables in smoothie and soup form, respectively. He also eats eggs and pureed beans for protein and we add protein powder to foods.)
We asked his ENT, dietician, and radiation oncologist if we should worry about sugar, and they all said no; the most important thing is preventing him from losing weight. 
However, one of our friends who is a breast cancer survivor said that she cut out pretty much all sugar during treatment and after. She feels strongly about this. And I saw someone post a comment here about keto last night, which got my anxiety wheels churning again. 
Does anyone out there also recommend cutting out sugar? Thanks in advance for your advice.</t>
        </is>
      </c>
      <c r="D1593" t="n">
        <v>4</v>
      </c>
      <c r="E1593" t="n">
        <v>32</v>
      </c>
      <c r="F1593">
        <f>HYPERLINK("https://www.reddit.com/r/cancer/comments/b7nbam/question_on_sugar/")</f>
        <v/>
      </c>
      <c r="G1593" t="inlineStr">
        <is>
          <t>2019-03-31 05:37:23</t>
        </is>
      </c>
      <c r="H1593" t="inlineStr"/>
    </row>
    <row r="1594">
      <c r="A1594" t="inlineStr">
        <is>
          <t>b7not8</t>
        </is>
      </c>
      <c r="B1594" t="inlineStr">
        <is>
          <t>Advice on how to visit someone in the hospital.</t>
        </is>
      </c>
      <c r="C1594" t="inlineStr">
        <is>
          <t xml:space="preserve">My family just received the devastating news that my father has a stage 3 or 4 brain tumor....this is all just happened within the past 24 hours. My husband and I plan on visiting him in the hospital later today. How should we act? </t>
        </is>
      </c>
      <c r="D1594" t="n">
        <v>11</v>
      </c>
      <c r="E1594" t="n">
        <v>10</v>
      </c>
      <c r="F1594">
        <f>HYPERLINK("https://www.reddit.com/r/cancer/comments/b7not8/advice_on_how_to_visit_someone_in_the_hospital/")</f>
        <v/>
      </c>
      <c r="G1594" t="inlineStr">
        <is>
          <t>2019-03-31 06:21:46</t>
        </is>
      </c>
      <c r="H1594" t="inlineStr"/>
    </row>
    <row r="1595">
      <c r="A1595" t="inlineStr">
        <is>
          <t>b7osh4</t>
        </is>
      </c>
      <c r="B1595" t="inlineStr">
        <is>
          <t>Girlfriend's mom was diagnosed with leukemia. What resources are available for financial/legal information? Washington State</t>
        </is>
      </c>
      <c r="C1595" t="inlineStr">
        <is>
          <t>I'm trying to help my girlfriend's family by looking into the financial/legal side of things, at least as much as I can do. Her mom was diagnosed with leukemia within the last couple weeks. She is 60 and still working. Her husband was planning on retiring in July, but may need to work longer for insurance coverage. Money is going to be tight though. I read up on FMLA and disability/medicaid, which I think she should qualify for.   
Obviously, there are a lot of specific questions we will have. I am guessing we will need to speak to a lawyer. It would be really nice if we could meet with someone, explain all the scenarios and be walked through what we need to do. Is there any resources like that? If not, any and all resources would be so appreciated. Her parent's don't know what to do and are kind of at a stand still. I think my girlfriend and I will be spearheading a lot of this process.</t>
        </is>
      </c>
      <c r="D1595" t="n">
        <v>8</v>
      </c>
      <c r="E1595" t="n">
        <v>6</v>
      </c>
      <c r="F1595">
        <f>HYPERLINK("https://www.reddit.com/r/cancer/comments/b7osh4/girlfriends_mom_was_diagnosed_with_leukemia_what/")</f>
        <v/>
      </c>
      <c r="G1595" t="inlineStr">
        <is>
          <t>2019-03-31 08:14:30</t>
        </is>
      </c>
      <c r="H1595" t="inlineStr"/>
    </row>
    <row r="1596">
      <c r="A1596" t="inlineStr">
        <is>
          <t>b7ss1l</t>
        </is>
      </c>
      <c r="B1596" t="inlineStr">
        <is>
          <t>random hospital anxiety?</t>
        </is>
      </c>
      <c r="C1596" t="inlineStr">
        <is>
          <t>i've made it past the 5 year mark (6 and change, I think).  going to the hospital for subsequent visits is fine, i can get my way around the hospital pretty easily.  cut to today: find out my nephew might need to stay overnight, and i volunteer for third shift.  since i'm not the patient, no big deal, right?  as soon as i hang up, i realize what i just did and start to freak out while driving home from the store.  
fuck you, brain.  that is all.</t>
        </is>
      </c>
      <c r="D1596" t="n">
        <v>6</v>
      </c>
      <c r="E1596" t="n">
        <v>2</v>
      </c>
      <c r="F1596">
        <f>HYPERLINK("https://www.reddit.com/r/cancer/comments/b7ss1l/random_hospital_anxiety/")</f>
        <v/>
      </c>
      <c r="G1596" t="inlineStr">
        <is>
          <t>2019-03-31 14:07:18</t>
        </is>
      </c>
      <c r="H1596" t="inlineStr"/>
    </row>
    <row r="1597">
      <c r="A1597" t="inlineStr">
        <is>
          <t>b7t6n1</t>
        </is>
      </c>
      <c r="B1597" t="inlineStr">
        <is>
          <t>I just found out my mum has cancer</t>
        </is>
      </c>
      <c r="C1597" t="inlineStr">
        <is>
          <t xml:space="preserve">It doesn't feel real. I've never cried this hard in my life. She's the most important person in the world to me. I'm an only child and she's always been there. She's been my rock. I love her so much, I don't want her to die, I don't know what I'm going to do without her. I'm fucking devastated. I don't know what to do, I just don't know what to do other than be there for her. 
&amp;amp;#x200B;
And she's being so optimistic and smiling as always. I'm hurting so much. My mum is my best friend. I'm going to be so lost without her and she told me I need to be strong but I don't know what that means. I can't stop crying. I love her.
&amp;amp;#x200B;
Why? Why my mum? </t>
        </is>
      </c>
      <c r="D1597" t="n">
        <v>4</v>
      </c>
      <c r="E1597" t="n">
        <v>7</v>
      </c>
      <c r="F1597">
        <f>HYPERLINK("https://www.reddit.com/r/cancer/comments/b7t6n1/i_just_found_out_my_mum_has_cancer/")</f>
        <v/>
      </c>
      <c r="G1597" t="inlineStr">
        <is>
          <t>2019-03-31 14:42:11</t>
        </is>
      </c>
      <c r="H1597" t="inlineStr"/>
    </row>
    <row r="1598">
      <c r="A1598" t="inlineStr">
        <is>
          <t>b7uioe</t>
        </is>
      </c>
      <c r="B1598" t="inlineStr">
        <is>
          <t>Feeling Remote</t>
        </is>
      </c>
      <c r="C1598" t="inlineStr">
        <is>
          <t>Ever since my diagnosis and surgery (invasive  BC with lymph node biopsy), I’ve felt oddly remote from the world. I’m usually 100% up to date on the news and current events and have strong opinions about it all. Now, I’ll dutifully read headlines, but I feel little connection to any of it. And it’s weird because I don’t think I’m dying from this (lymph nodes were clean). Does anybody else have this feeling?</t>
        </is>
      </c>
      <c r="D1598" t="n">
        <v>15</v>
      </c>
      <c r="E1598" t="n">
        <v>11</v>
      </c>
      <c r="F1598">
        <f>HYPERLINK("https://www.reddit.com/r/cancer/comments/b7uioe/feeling_remote/")</f>
        <v/>
      </c>
      <c r="G1598" t="inlineStr">
        <is>
          <t>2019-03-31 16:50:39</t>
        </is>
      </c>
      <c r="H1598" t="inlineStr"/>
    </row>
    <row r="1599">
      <c r="A1599" t="inlineStr">
        <is>
          <t>b7v42k</t>
        </is>
      </c>
      <c r="B1599" t="inlineStr">
        <is>
          <t>I got my PET Scans back</t>
        </is>
      </c>
      <c r="C1599" t="inlineStr">
        <is>
          <t xml:space="preserve">For some background, I am 16 years old and in January, I was diagnosed with Stage IV Hodgkin’s Lymphoma. After two rounds of chemotherapy, I was taken in for another PET Scan to see if our treatment plan was effective. I am proud to say that the results from this PET scan showed some very promising progress. My doctor informed me that most of my tumors had reduced by about half. I am so exited about this news, but I still have a way to go. I have 2 more rounds of chemotherapy and radiation therapy ahead of me. I can’t wait to beat this and finally be in remission. </t>
        </is>
      </c>
      <c r="D1599" t="n">
        <v>189</v>
      </c>
      <c r="E1599" t="n">
        <v>46</v>
      </c>
      <c r="F1599">
        <f>HYPERLINK("https://www.reddit.com/r/cancer/comments/b7v42k/i_got_my_pet_scans_back/")</f>
        <v/>
      </c>
      <c r="G1599" t="inlineStr">
        <is>
          <t>2019-03-31 17:43:52</t>
        </is>
      </c>
      <c r="H1599" t="inlineStr"/>
    </row>
    <row r="1600">
      <c r="A1600" t="inlineStr">
        <is>
          <t>b7vbdm</t>
        </is>
      </c>
      <c r="B1600" t="inlineStr">
        <is>
          <t>Wife has Adrenal Cortical Carcinoma</t>
        </is>
      </c>
      <c r="C1600" t="inlineStr">
        <is>
          <t>Or ACC for short, because seriously, ‘Adrenal Cortical Carcinoma’ _IS_ a mouthful. Another poster mentioned this I think a year ago, like him, we went Dr Hammer in U Mich. He’s the expert in what is sadly an obscure field of knowledge. Kinda like Gandalf being an expert in the obscure field of Hobbit-lore, but you know - cancer.  Anywho...
Wife was / is Stage 2, had an R0 resection meaning the got the tumor as well as a layer of healthy tissue all the way around OUT. She’s currently going through adjunct therapy - they radiate the ‘tumor bed’ and start her on a drug called Mitotane.  Mitotane is only effective for a limited number of people: 15-25% or 30%+ depending on the study. But, the statistical benefits for doing the complete adjunct therapy are clear. Further, if this cancer recurs, it’s vengeful. The docs haven’t directly stated as much, but they push strongly to do everything we can to avoid recurrence. Our radiologist slipped and said “ - comes back it’s basically incurable”, and then tried to cover. So that’s nice
My wife is having a tough time with radiation, and the Mitotane didn’t sit well with her. I won’t go into detail, as I don’t want to discourage others from Mitotane if you have ACC. We’re going to try it again post-radiation.
We’re basically doing everything we can. One of those is diet. I know folks on here have a dim view of some of those diets. But our Integrative Medicine doc recommended Keto, my uncle added 18 months to what was a 3-month survival estimate on more of a straight vegetarian diet with certain proteins and some fruits, and a family friend is VERY strict on a similar diet and his stage 4 lung cancer hasn’t grown in 2+ years. A cure? Not saying that at all. I’m not even sure that’s what gave my uncle that extra time or is helping our fam friend.
Is it potentially an arrow in the quiver? I think so, and the desperate are willing to try. 
My wife’s weight is steady, so that’s not an issue. Right now, I’m trying to keep my wife motivated and determined to tough out this adjunct therapy and figure out what else we can do. I’m honestly mixed on Keto, the high fat thing... But I _DO_ like heavy green / red veggies, limited proteins and some fruits.
Right now, we’re optimistic. I’m trying to stay that way. They got the entire tumor out (all they could find - ACC is an odd beast) and we have the best team in the world on ACC with a plan. I’m just trying to keep my wife positive and engaged on it.
Best to everyone here going through this. We discovered my wife’s tumor in December, it’s been a long, difficult road...</t>
        </is>
      </c>
      <c r="D1600" t="n">
        <v>6</v>
      </c>
      <c r="E1600" t="n">
        <v>1</v>
      </c>
      <c r="F1600">
        <f>HYPERLINK("https://www.reddit.com/r/cancer/comments/b7vbdm/wife_has_adrenal_cortical_carcinoma/")</f>
        <v/>
      </c>
      <c r="G1600" t="inlineStr">
        <is>
          <t>2019-03-31 18:04:09</t>
        </is>
      </c>
      <c r="H1600" t="inlineStr"/>
    </row>
    <row r="1601">
      <c r="A1601" t="inlineStr">
        <is>
          <t>b7vrp1</t>
        </is>
      </c>
      <c r="B1601" t="inlineStr">
        <is>
          <t>M28 looking for advice or experience with testosterone supplementation post cancer.</t>
        </is>
      </c>
      <c r="C1601" t="inlineStr">
        <is>
          <t>So, I will acknowledge up front I'm not looking for medical advice (I've already consulted an endocrinologist) - I'm just looking for opinions or experiences of people who have been in a similar situation in order to make a decision.
I'm a 28 year old male, 10 years out of treatment for ALL (leukemia) that occurred at 8, with relapses at 12 and 17. Two stem cell transplants, chemo, radiation, the works. I'm considering starting testosterone supplementation for quality of life issues. The biggest reason is mainly vanity, although I think not unreasonable - I've been going to the gym religiously for over two years (I know what I'm doing) with proper diet and the muscle growth (strength and size) in that period is just not there. I've had the same amount of progress that most men could expect in 3-6 months. I barely look toned. This is super discouraging because of all the effort put in to look good for dating, and concerning on a medical level anyways. Mind you, I'm not trying to lift 400lbs, I just want normal progress other men my size and age have. There are other issues as well, such as extra fat around my breast (typical of low t), and concerns about bone density, but it is mainly a self confidence and vanity issue if I'm being honest. I want the looks, the better energy, etc.
Here's the catch - my testosterone levels are actually low normal (290-300ish). My production is not - it's completely pituitary and none from downstairs. There are concerns that if I were to start testosterone therapy it would shut down my natural production leaving me reliant on supplementation. There are normally other concerns as well, but TBH I have most of the other side effects already so the shutdown is the main issue. 
The point of this is, it is technically unnecessary. I already have normal production, but I feel that supplement in it with low amounts would help solve several issues that are affecting my quality of life, even if those issues aren't directly caused by low testosterone. Do the risks balance the reward? If anyone has had similar experiences, undergone testosterone supplementation, or just has an opinion on what you would do, please let me know. Thanks!</t>
        </is>
      </c>
      <c r="D1601" t="n">
        <v>9</v>
      </c>
      <c r="E1601" t="n">
        <v>9</v>
      </c>
      <c r="F1601">
        <f>HYPERLINK("https://www.reddit.com/r/cancer/comments/b7vrp1/m28_looking_for_advice_or_experience_with/")</f>
        <v/>
      </c>
      <c r="G1601" t="inlineStr">
        <is>
          <t>2019-03-31 18:49:38</t>
        </is>
      </c>
      <c r="H1601" t="inlineStr"/>
    </row>
    <row r="1602">
      <c r="A1602" t="inlineStr">
        <is>
          <t>b7w3gm</t>
        </is>
      </c>
      <c r="B1602" t="inlineStr">
        <is>
          <t>Just wanted to share my Glioblastoma diagnosis story (24M)</t>
        </is>
      </c>
      <c r="C1602" t="inlineStr">
        <is>
          <t>Ever since being diagnosed with GBM Grade IV several months ago, I have gone through things I never imagined before the age of 24. But through all of it I have wanted to help other cancer patients by spreading what (little) I have learned about the whole process. I know I am not the first person to do this, but I love making videos and being silly! So hopefully me putting up content about my surgery or mental health can help someone or someone you care about. :) Stay strong!
&amp;amp;#x200B;
My channel: [https://www.youtube.com/channel/UCVxw4mxOmIxv\_95btELjdyQ/featured](https://www.youtube.com/channel/UCVxw4mxOmIxv_95btELjdyQ/featured) 
&amp;amp;#x200B;
P.S. 
I welcome constructive criticism! Always trying to improve my craft. Also I turned of monetization for the channel, I don't really care about potentially making money. I just want to get info y=out there from my point of view. :)</t>
        </is>
      </c>
      <c r="D1602" t="n">
        <v>13</v>
      </c>
      <c r="E1602" t="n">
        <v>4</v>
      </c>
      <c r="F1602">
        <f>HYPERLINK("https://www.reddit.com/r/cancer/comments/b7w3gm/just_wanted_to_share_my_glioblastoma_diagnosis/")</f>
        <v/>
      </c>
      <c r="G1602" t="inlineStr">
        <is>
          <t>2019-03-31 19:21:46</t>
        </is>
      </c>
      <c r="H1602" t="inlineStr"/>
    </row>
    <row r="1603">
      <c r="A1603" t="inlineStr">
        <is>
          <t>b7w873</t>
        </is>
      </c>
      <c r="B1603" t="inlineStr">
        <is>
          <t>The Unscratchable Itch</t>
        </is>
      </c>
      <c r="C1603" t="inlineStr">
        <is>
          <t>So a nerve in my chest was cut or damaged during my last port installation, and the skin on one side of my port is fairly numb to the touch, BUT, also itches. Only because it's fairly numb other than the itch, I can't scratch it.
My friend was telling me about a show today called "The Good Place". It's about a bunch of people who died and went to hell, only Hell was experimenting with new damnation techniques so it was done up to seem more like heaven and the damnation imposed is more psychological.
I can't help but to wonder...</t>
        </is>
      </c>
      <c r="D1603" t="n">
        <v>3</v>
      </c>
      <c r="E1603" t="n">
        <v>6</v>
      </c>
      <c r="F1603">
        <f>HYPERLINK("https://www.reddit.com/r/cancer/comments/b7w873/the_unscratchable_itch/")</f>
        <v/>
      </c>
      <c r="G1603" t="inlineStr">
        <is>
          <t>2019-03-31 19:34:56</t>
        </is>
      </c>
      <c r="H1603" t="inlineStr"/>
    </row>
    <row r="1604">
      <c r="A1604" t="inlineStr">
        <is>
          <t>b7w887</t>
        </is>
      </c>
      <c r="B1604" t="inlineStr">
        <is>
          <t>I’m so lost.</t>
        </is>
      </c>
      <c r="C1604" t="inlineStr">
        <is>
          <t xml:space="preserve">Hey everyone. This Thursday we found out that my grandfather has stage IV pancreatic cancer. I am 17, so I still live with my family. Because of this news, we traveled to where he lives early the next morning to support him. We knew he was sick, but it’s tearing us all up to know he was really suffering and we could have done something before, but we didn’t. He has three kids: my mother, uncle, and aunt. We went to see him right when we arrived and everyone was there. My grandfather looked absolutely horrifying; not in a way that scared me, but in a way that hurt me. It’s clear just how sick he really is. I heard the news, but seeing him killed me and I can’t stop thinking about it. He’s a good man, and he has been through so much already. He served in the Vietnam war, suffered from PTSD from it, and much more. Seeing him so sick is killing me. While he was conscious of what’s going on, he informed everybody that he doesn’t want to be saved. If his heart stops beating, he wants to just die.  My family has been rushing around to beat nature and sign tons of papers and meet with people to let him pass, as he is no longer able to consciously sign anything or really do anything at all. My mother has been staying in the hospital with him for days straight as well as her siblings while everyone else takes care of other things. He was behind on rent so we need to hurry and clean all of his things out of there before he gets evicted and they can’t get in or his stuff gets thrown away, and there’s no one to watch my aunts baby and 9 year old so I have had to stay and do that. Everyone is so busy and so tired. To top it all off, the other night my uncle snuck a whole case of beer into the hospital and tried to make my grandpa drink with him. He said it was because he had his first drink with him, and he wanted his father to have his last with him. My grandpa agreed because he was on so many pain killers and didn’t really know what was going on. My uncle ended up getting drunk as all hell and being super loud and obnoxious. He made his 19 year old daughter drink with them even though she didn’t want to and was embarrassed. The nurses and doctors came in and saw what was happening and asked him to stop, and he started yelling and making a fool of himself. They called the police and kicked him out, and he almost got arrested. My aunt followed him out and got into a scream fest with him in the parking lot and it almost turned into a physical fight. Everyone was crying, his daughter kept apologizing and felt so guilty and embarrassed when she shouldn’t, and it’s really hurting them all that he would do that. We have been told that he will either pass away tonight or tomorrow, as they have taken him off of life support and everyone is just trying to make him comfortable and waiting it out. I’ve been babysitting, but I feel like I’m not doing enough. This is so hard on everybody and I feel like I could do so much more to help everyone out, but I have no idea what to do. I haven’t seen my mom for more than 10 minutes since Friday. Does anyone have any advice? What can I do to support her and everyone involved at this time? I will continue to babysit, but what else can I do? </t>
        </is>
      </c>
      <c r="D1604" t="n">
        <v>5</v>
      </c>
      <c r="E1604" t="n">
        <v>2</v>
      </c>
      <c r="F1604">
        <f>HYPERLINK("https://www.reddit.com/r/cancer/comments/b7w887/im_so_lost/")</f>
        <v/>
      </c>
      <c r="G1604" t="inlineStr">
        <is>
          <t>2019-03-31 19:35:01</t>
        </is>
      </c>
      <c r="H1604" t="inlineStr"/>
    </row>
    <row r="1605">
      <c r="A1605" t="inlineStr">
        <is>
          <t>b7wai3</t>
        </is>
      </c>
      <c r="B1605" t="inlineStr">
        <is>
          <t>A rare type of cancer..</t>
        </is>
      </c>
      <c r="C1605" t="inlineStr">
        <is>
          <t xml:space="preserve">Hey folks for some background I am (26) immunosuppresed due to a heart condition .Recently I've been diagnosed with a very rare form of cancer known as **Histiocytic sarcoma** . For some further background I was having severe abdominal pain and trouble going to the bathroom. I had PET scan performed in late January which revealed a golf ball sized mass in the lower right quadrant of my abdominal region near the intestines,along with other areas which identified several inflamed lymph nodes . I also had a biopsy performed which took an entire month before I got my results back because the hospital pathologist couldn't identify what it was.It was then sent out to a Boston cancer research center where another pathologist was able to make the proper diagnosis. I will be seeing an oncologist this week to discuss it's current stage, treatment options and or surgery. Has anyone here ever heard of this cancer or know someone who has been diagnosed with it, If so what was their prognosis ? </t>
        </is>
      </c>
      <c r="D1605" t="n">
        <v>6</v>
      </c>
      <c r="E1605" t="n">
        <v>18</v>
      </c>
      <c r="F1605">
        <f>HYPERLINK("https://www.reddit.com/r/cancer/comments/b7wai3/a_rare_type_of_cancer/")</f>
        <v/>
      </c>
      <c r="G1605" t="inlineStr">
        <is>
          <t>2019-03-31 19:41:34</t>
        </is>
      </c>
      <c r="H1605" t="inlineStr"/>
    </row>
    <row r="1606">
      <c r="A1606" t="inlineStr">
        <is>
          <t>b7yito</t>
        </is>
      </c>
      <c r="B1606" t="inlineStr">
        <is>
          <t>72 year old father with stage 4 melanoma</t>
        </is>
      </c>
      <c r="C1606" t="inlineStr">
        <is>
          <t xml:space="preserve">My dad was diagnosed with stage 4 metastatic melanoma in January after under going obstructive bowel surgery. Looking here for any advice to be given to me, his 32 year old daughter. He is getting immunotherapy once every 3 weeks, tomorrow will be his second immunotherapy treatment. Along with that he’s been getting blood transfusions twice a week bc his hemoglobin is so low. To be honest, I’m here to get the truth, anonymously. What do I prepare myself for? </t>
        </is>
      </c>
      <c r="D1606" t="n">
        <v>3</v>
      </c>
      <c r="E1606" t="n">
        <v>1</v>
      </c>
      <c r="F1606">
        <f>HYPERLINK("https://www.reddit.com/r/cancer/comments/b7yito/72_year_old_father_with_stage_4_melanoma/")</f>
        <v/>
      </c>
      <c r="G1606" t="inlineStr">
        <is>
          <t>2019-03-31 23:37:21</t>
        </is>
      </c>
      <c r="H1606" t="inlineStr"/>
    </row>
    <row r="1607">
      <c r="A1607" t="inlineStr">
        <is>
          <t>b813kc</t>
        </is>
      </c>
      <c r="B1607" t="inlineStr">
        <is>
          <t>Very funny...</t>
        </is>
      </c>
      <c r="C1607" t="inlineStr">
        <is>
          <t>My best friend "passed away" this day three months ago on January first. Joke's old now bud, come back.
Hah..  ...ha.......</t>
        </is>
      </c>
      <c r="D1607" t="n">
        <v>18</v>
      </c>
      <c r="E1607" t="n">
        <v>5</v>
      </c>
      <c r="F1607">
        <f>HYPERLINK("https://www.reddit.com/r/cancer/comments/b813kc/very_funny/")</f>
        <v/>
      </c>
      <c r="G1607" t="inlineStr">
        <is>
          <t>2019-04-01 04:33:09</t>
        </is>
      </c>
      <c r="H1607" t="inlineStr"/>
    </row>
    <row r="1608">
      <c r="A1608" t="inlineStr">
        <is>
          <t>b829rj</t>
        </is>
      </c>
      <c r="B1608" t="inlineStr">
        <is>
          <t>Dealing with a father that's been diagnosed</t>
        </is>
      </c>
      <c r="C1608" t="inlineStr">
        <is>
          <t xml:space="preserve">Hi there, not really sure how to exactly start this off, but my father was recently diagnosed with cancer. Does anyone have any suggestions from past experience on how they've dealt with this ? Unfortunately, I'm states away at school and rarely get to see him, especially with the financial stress this has caused making getting flights almost near impossible. Any input is greatly appreciated. </t>
        </is>
      </c>
      <c r="D1608" t="n">
        <v>6</v>
      </c>
      <c r="E1608" t="n">
        <v>6</v>
      </c>
      <c r="F1608">
        <f>HYPERLINK("https://www.reddit.com/r/cancer/comments/b829rj/dealing_with_a_father_thats_been_diagnosed/")</f>
        <v/>
      </c>
      <c r="G1608" t="inlineStr">
        <is>
          <t>2019-04-01 06:18:10</t>
        </is>
      </c>
      <c r="H1608" t="inlineStr"/>
    </row>
    <row r="1609">
      <c r="A1609" t="inlineStr">
        <is>
          <t>b83i8y</t>
        </is>
      </c>
      <c r="B1609" t="inlineStr">
        <is>
          <t>I'm highly likely to be diagnosed with throat cancer. What should i do before a diagnosis?</t>
        </is>
      </c>
      <c r="C1609" t="inlineStr">
        <is>
          <t xml:space="preserve">My (m36)  lower esophageal sphincter (like a valve, its job is to keep the contents of your stomach IN your stomach) was damaged/weakened as a tween and I have had reflux every day since causing chronic repetitive agitation. I also check the box for most of the risk factors for esophageal cancer. I've decided it's time to, as a preventative measure, see a doctor about having an upper endoscopy. I suspect they'll find that I have Barrett's esophagus (condition that is often a precursor to cancer) or early cancer or something else. No, I don't have any new symptoms, but one can't expect to coat his esophagus with stomach acid every day for 20 years and not have damage. 
I have an insurance policy through work, however, I'm just afraid it may not be enough. I don't know what the limits are. I would like a long term policy separate from work that will cover my cancer care and expenses regardless of where I work. And if I'm a betting man, it would be nice to get a payout on top of my treatment coverage, because... Money let's you do a variety of fun things. Am I right in assuming that I should get that policy in place before going in for an evaluation? What kinds of policies should I look for? 
Thanks in advance. </t>
        </is>
      </c>
      <c r="D1609" t="n">
        <v>0</v>
      </c>
      <c r="E1609" t="n">
        <v>13</v>
      </c>
      <c r="F1609">
        <f>HYPERLINK("https://www.reddit.com/r/cancer/comments/b83i8y/im_highly_likely_to_be_diagnosed_with_throat/")</f>
        <v/>
      </c>
      <c r="G1609" t="inlineStr">
        <is>
          <t>2019-04-01 08:01:34</t>
        </is>
      </c>
      <c r="H1609" t="inlineStr"/>
    </row>
    <row r="1610">
      <c r="A1610" t="inlineStr">
        <is>
          <t>b867rb</t>
        </is>
      </c>
      <c r="B1610" t="inlineStr">
        <is>
          <t>Dad has esophageal cancer, will be starting hospice and living with me. Any insight?</t>
        </is>
      </c>
      <c r="C1610" t="inlineStr">
        <is>
          <t>I am a 28 year old nurse and my dad is 58 and was diagnosed with stage 4 esophageal cancer in November 2018. He is in Maryland and I moved to Georgia a few years ago with my husband and toddler. He is in the ICU right now after his stent tore a hole in his esophagus. He now
Has a chest tube and a feeding tube, can never again eat or drink, has subcutaneous emphysema, etc. Our plan is to try to medically transport him as soon as he is stable to get to my house in Georgia and I will set up hospice. I have a spare bedroom. Right now I know we will need a hospital bed and a bedside commode. The nurse part of me understands his medications, his port, how to move him, but the daughter part of me has no idea how I will handle it. I am so scared of trying to be a mom to my 2 year old while I am trying to care for my dad. Has anyone been through that process? Any tips or even just encouraging words? I am a little lost right now. I know once we get solid plans of what hospice company, I will get a lot of help, I just don’t know what to do right now. Thank you guys!</t>
        </is>
      </c>
      <c r="D1610" t="n">
        <v>17</v>
      </c>
      <c r="E1610" t="n">
        <v>17</v>
      </c>
      <c r="F1610">
        <f>HYPERLINK("https://www.reddit.com/r/cancer/comments/b867rb/dad_has_esophageal_cancer_will_be_starting/")</f>
        <v/>
      </c>
      <c r="G1610" t="inlineStr">
        <is>
          <t>2019-04-01 11:06:04</t>
        </is>
      </c>
      <c r="H1610" t="inlineStr"/>
    </row>
    <row r="1611">
      <c r="A1611" t="inlineStr">
        <is>
          <t>b86988</t>
        </is>
      </c>
      <c r="B1611" t="inlineStr">
        <is>
          <t>School Charity Project</t>
        </is>
      </c>
      <c r="C1611" t="inlineStr">
        <is>
          <t>For school I'm doing this thing where my class does different events and things in order to raise money for charity, we have chosen Macmillan Cancer Support. 
We are doing various things like sponsor runs, food sales and tournaments. In order to do these we need money, which we can use to raise even more money to be donated to charity. [Here is the link to the fundraising page.](https://www.gofundme.com/macmillan-cancer-support-school-project&amp;amp;rcid=r01-155413740555-cba2db497eff400f&amp;amp;pc=ot_co_campmgmt_w) Every piece of money donated will go to get more money, which will be donated in order to help the victims of cancer.
If you could donate it'd mean a lot, thanks.</t>
        </is>
      </c>
      <c r="D1611" t="n">
        <v>1</v>
      </c>
      <c r="E1611" t="n">
        <v>0</v>
      </c>
      <c r="F1611">
        <f>HYPERLINK("https://www.reddit.com/r/cancer/comments/b86988/school_charity_project/")</f>
        <v/>
      </c>
      <c r="G1611" t="inlineStr">
        <is>
          <t>2019-04-01 11:09:21</t>
        </is>
      </c>
      <c r="H1611" t="inlineStr"/>
    </row>
    <row r="1612">
      <c r="A1612" t="inlineStr">
        <is>
          <t>b86tnf</t>
        </is>
      </c>
      <c r="B1612" t="inlineStr">
        <is>
          <t>South San Francisco Cancer Support Group</t>
        </is>
      </c>
      <c r="C1612" t="inlineStr">
        <is>
          <t xml:space="preserve">Anyone know of a cancer support group in South San Francisco.?  Thank you in advance.
</t>
        </is>
      </c>
      <c r="D1612" t="n">
        <v>8</v>
      </c>
      <c r="E1612" t="n">
        <v>3</v>
      </c>
      <c r="F1612">
        <f>HYPERLINK("https://www.reddit.com/r/cancer/comments/b86tnf/south_san_francisco_cancer_support_group/")</f>
        <v/>
      </c>
      <c r="G1612" t="inlineStr">
        <is>
          <t>2019-04-01 11:49:18</t>
        </is>
      </c>
      <c r="H1612" t="inlineStr"/>
    </row>
    <row r="1613">
      <c r="A1613" t="inlineStr">
        <is>
          <t>b86yv5</t>
        </is>
      </c>
      <c r="B1613" t="inlineStr">
        <is>
          <t>Strange accident?</t>
        </is>
      </c>
      <c r="C1613" t="inlineStr">
        <is>
          <t>Cheek cancer.  They resectioned, did a free flap, dissectioned 20 plus lymph nodes.  Skin graft for the free flap.  Back home healing, trach and feeding tube out.  Will probably start radiation next week.
  I would be in goodish spirits, but for all the care they took, they somehow messed up the uninvolved hand.  My right hand doesn’t do anything.  It basically wiggles and that’s it.  Without that hand, I’m basically crippled.  What the heck?</t>
        </is>
      </c>
      <c r="D1613" t="n">
        <v>8</v>
      </c>
      <c r="E1613" t="n">
        <v>7</v>
      </c>
      <c r="F1613">
        <f>HYPERLINK("https://www.reddit.com/r/cancer/comments/b86yv5/strange_accident/")</f>
        <v/>
      </c>
      <c r="G1613" t="inlineStr">
        <is>
          <t>2019-04-01 11:58:05</t>
        </is>
      </c>
      <c r="H1613" t="inlineStr"/>
    </row>
    <row r="1614">
      <c r="A1614" t="inlineStr">
        <is>
          <t>b88jid</t>
        </is>
      </c>
      <c r="B1614" t="inlineStr">
        <is>
          <t>I am so angry with god right now.</t>
        </is>
      </c>
      <c r="C1614" t="inlineStr">
        <is>
          <t xml:space="preserve">My mother is a godly woman. She’s the most beautiful woman inside and out. She doesn’t have an enemy in the world. She never had an easy life but she finally met a wonderful man 6 months before she got diagnosed with CNSL. She’s been fighting so hard for 2 years and just got married a year ago. Her life is not supposed to end this way! She’s on hospice now and we don’t expect her to make it another night. If any deserves a miracle it is her and she never got her miracle! </t>
        </is>
      </c>
      <c r="D1614" t="n">
        <v>81</v>
      </c>
      <c r="E1614" t="n">
        <v>33</v>
      </c>
      <c r="F1614">
        <f>HYPERLINK("https://www.reddit.com/r/cancer/comments/b88jid/i_am_so_angry_with_god_right_now/")</f>
        <v/>
      </c>
      <c r="G1614" t="inlineStr">
        <is>
          <t>2019-04-01 13:35:49</t>
        </is>
      </c>
      <c r="H1614" t="inlineStr"/>
    </row>
    <row r="1615">
      <c r="A1615" t="inlineStr">
        <is>
          <t>b894yy</t>
        </is>
      </c>
      <c r="B1615" t="inlineStr">
        <is>
          <t>I just made an appointment with an oncologist. Now what?</t>
        </is>
      </c>
      <c r="C1615" t="inlineStr">
        <is>
          <t>It might be nothing. It might be something other than cancer. It could be cancer. I'm 29 and a newly wed. What do I do? Do I ask my husband to go with me? Do I tell people? Do I start putting plans on hold? Any advice or suggestions would be appreciated.</t>
        </is>
      </c>
      <c r="D1615" t="n">
        <v>2</v>
      </c>
      <c r="E1615" t="n">
        <v>26</v>
      </c>
      <c r="F1615">
        <f>HYPERLINK("https://www.reddit.com/r/cancer/comments/b894yy/i_just_made_an_appointment_with_an_oncologist_now/")</f>
        <v/>
      </c>
      <c r="G1615" t="inlineStr">
        <is>
          <t>2019-04-01 14:11:21</t>
        </is>
      </c>
      <c r="H1615" t="inlineStr"/>
    </row>
    <row r="1616">
      <c r="A1616" t="inlineStr">
        <is>
          <t>b8b6kj</t>
        </is>
      </c>
      <c r="B1616" t="inlineStr">
        <is>
          <t>Stage 2b bladder cancer - 72 yr old patient with weak lungs - docs want chemo and surgery - thoughts?</t>
        </is>
      </c>
      <c r="C1616" t="inlineStr">
        <is>
          <t>Hey guys - I have a family member who I love very dear who is not sure if he's going to do treatment or not - thought I'd run the wisdom by here  
Stage T2b with a high grade chance of re-occurrence - (the shit kind - I think the doc said 1 in 4 chance) - they're saying 95% chance he will pass in two years if he doesn't do Chemo and the Bladder/Prostrate removal  
But he's waffling - for one he's got some pretty weak lungs - (he might be on O2 in two years anyways) and his one chemo story is a guy who died right after his first treatment and he's worried about his breathing.  - He can get access to CBD easily - (medical card - he used to smoke anyways) - he's looking at homeopathic options but honestly, everything I've read suggests the standard treatments are the best for this kind of situation.  
He's also upset about getting cut into - he's afraid he's gonna be carrying a bag of piss around the rest of his life and he's a bit of a rancher so the surgery/post op stay on his limited insurance he's afraid is gonna bankrupt him.  
Mostly though I think he's just afraid about his quality of life.   I've always worried he might take his own life if he ever became dependent and he lives a pretty rustic and independent life - I'll respect his decision no matter what but a couple questions for you guys  
1. \-  Is it really a bag of piss and a tube?   Can't he get an artificial bladder and essentially live normally after recovery?
2. \- I think he's thinking two more years is two more good years - (they removed the tumor he did have and he's almost back up to 100% and doesn't want to go into it with chemo) - my concern is it might be 6 good months and 18 months of complications and pain -   
he's got to make a decision quick - like - if 12 weeks pass they said the chemo effectiveness and chances are cut by 50%  
I'll keep reading but thoughts and input is welcome - gratsi  
RB</t>
        </is>
      </c>
      <c r="D1616" t="n">
        <v>4</v>
      </c>
      <c r="E1616" t="n">
        <v>8</v>
      </c>
      <c r="F1616">
        <f>HYPERLINK("https://www.reddit.com/r/cancer/comments/b8b6kj/stage_2b_bladder_cancer_72_yr_old_patient_with/")</f>
        <v/>
      </c>
      <c r="G1616" t="inlineStr">
        <is>
          <t>2019-04-01 16:29:33</t>
        </is>
      </c>
      <c r="H1616" t="inlineStr"/>
    </row>
    <row r="1617">
      <c r="A1617" t="inlineStr">
        <is>
          <t>b8cqsd</t>
        </is>
      </c>
      <c r="B1617" t="inlineStr">
        <is>
          <t>clinical trials for my brother?</t>
        </is>
      </c>
      <c r="C1617" t="inlineStr">
        <is>
          <t>my bro arnaz woods is 29 he got brain cancer at 18 and they recently found it wasnt all out. christiana hospital here in delaware wont operate which is rediculous, why not try how do you give up on hope? they sent him home on hospice with 2 weeks to live. hes lost weight and most of his balance as its moved to his spine and is eating it away. hes still cracking jokes and yelling at mom which is normal and hes playing x-box and smoking pot so i dont see him folding in 2 weeks or anytime soon. we need to find clinical trials to score a miracle. can anyone point us in the right direction? thank you god bless.</t>
        </is>
      </c>
      <c r="D1617" t="n">
        <v>6</v>
      </c>
      <c r="E1617" t="n">
        <v>3</v>
      </c>
      <c r="F1617">
        <f>HYPERLINK("https://www.reddit.com/r/cancer/comments/b8cqsd/clinical_trials_for_my_brother/")</f>
        <v/>
      </c>
      <c r="G1617" t="inlineStr">
        <is>
          <t>2019-04-01 18:43:01</t>
        </is>
      </c>
      <c r="H1617" t="inlineStr"/>
    </row>
    <row r="1618">
      <c r="A1618" t="inlineStr">
        <is>
          <t>b8cub2</t>
        </is>
      </c>
      <c r="B1618" t="inlineStr">
        <is>
          <t>One kidney</t>
        </is>
      </c>
      <c r="C1618" t="inlineStr">
        <is>
          <t xml:space="preserve">I'm 34 years old and 30 years cancer survivor.  One kidney was removed when I was 4, and lately i am getting really sore on my right side.  Where my empty kidney space is.  Any suggestions on how to help with this? Any pillows I could use?  </t>
        </is>
      </c>
      <c r="D1618" t="n">
        <v>2</v>
      </c>
      <c r="E1618" t="n">
        <v>1</v>
      </c>
      <c r="F1618">
        <f>HYPERLINK("https://www.reddit.com/r/cancer/comments/b8cub2/one_kidney/")</f>
        <v/>
      </c>
      <c r="G1618" t="inlineStr">
        <is>
          <t>2019-04-01 18:51:58</t>
        </is>
      </c>
      <c r="H1618" t="inlineStr"/>
    </row>
    <row r="1619">
      <c r="A1619" t="inlineStr">
        <is>
          <t>b8doca</t>
        </is>
      </c>
      <c r="B1619" t="inlineStr">
        <is>
          <t>...but you look good. (How to respond)</t>
        </is>
      </c>
      <c r="C1619" t="inlineStr">
        <is>
          <t xml:space="preserve">This weekend I  was the first social outing in have been to in months and the first time out of the house, except to hospital, in weeks. It was a very small gathering to see an old friend from out of town. Mind you I know I look like 💩. I had on a designer track suit, Something I’d never normally wear out if the house, and athletic shoes.  I can hardly stand up straight and am recovering from surgery. 
Not, one person asked me how I was.  No-one said they were happy to see me. All they could say is. Hi.....um....don’t you look great!  
What’s your take. I felt hurt but tried not to.  I think everyone is just so afraid of cancer. My prognosis with treatment is good and they all know that. So it’s not like they are pretending I’m not dying or something.  Sigh!  Just one more tough thing about cancer.  Or maybe I’m just being thin skinned from being sick. </t>
        </is>
      </c>
      <c r="D1619" t="n">
        <v>2</v>
      </c>
      <c r="E1619" t="n">
        <v>3</v>
      </c>
      <c r="F1619">
        <f>HYPERLINK("https://www.reddit.com/r/cancer/comments/b8doca/but_you_look_good_how_to_respond/")</f>
        <v/>
      </c>
      <c r="G1619" t="inlineStr">
        <is>
          <t>2019-04-01 20:10:45</t>
        </is>
      </c>
      <c r="H1619" t="inlineStr"/>
    </row>
    <row r="1620">
      <c r="A1620" t="inlineStr">
        <is>
          <t>b8dsn4</t>
        </is>
      </c>
      <c r="B1620" t="inlineStr">
        <is>
          <t>Dad's about to start chemo. How can I support him and cope with the situation?</t>
        </is>
      </c>
      <c r="C1620" t="inlineStr">
        <is>
          <t>Hi everyone,
My dad has index 9 prostate cancer that has metastasized to his liver. It also jumped to the base of his skull but that tumor has been killed with radiation and gamma knife treatment. He has always been a believer in holistic medicine and at his initial diagnosis, he refused surgery and chemo/radiation. He thought he was doing ok until in 2016 he was diagnosed with stage 4, inoperable etc. 
He did hormone therapy for a while but now the tumor on his liver is growing despite the androgen blockers. His oncologist says the only other path to take is chemo and Dad agreed to the treatment.
My questions are: how do I support him through this? This whole experience has been heartbreaking and frustrating for me as his daughter. He's been stubborn and our beliefs don't align in terms of medicine and science etc. I try the best I can to support him and I think I've done a good job so far but sometimes it's hard not have some resentment. 
He has not given up hope despite this news and despite having almost died over the summer from a fungal lung infection. I refuse to give up hope for him too, but it's hard to not get lost in a fog of anxiety. I feel like I'm on the edge of panic, especially now that we have a start date. I don't know if I'll be able to watch this. It's all so overwhelming.
He'll start Taxotere on 4/10 at a lower than normal dose every two weeks for 6 treatments. His oncologist suggested this dosage as a way to cut down on the side effects. 
Please if anyone has any words of wisdom or support to offer, I'm in desperate need. I don't have much support in my personal life other than him and I can't come to him with this.</t>
        </is>
      </c>
      <c r="D1620" t="n">
        <v>4</v>
      </c>
      <c r="E1620" t="n">
        <v>3</v>
      </c>
      <c r="F1620">
        <f>HYPERLINK("https://www.reddit.com/r/cancer/comments/b8dsn4/dads_about_to_start_chemo_how_can_i_support_him/")</f>
        <v/>
      </c>
      <c r="G1620" t="inlineStr">
        <is>
          <t>2019-04-01 20:22:30</t>
        </is>
      </c>
      <c r="H1620" t="inlineStr"/>
    </row>
    <row r="1621">
      <c r="A1621" t="inlineStr">
        <is>
          <t>b8du0q</t>
        </is>
      </c>
      <c r="B1621" t="inlineStr">
        <is>
          <t>Best Friend's Mom with Cancer for the 3rd time, how can I help?</t>
        </is>
      </c>
      <c r="C1621" t="inlineStr">
        <is>
          <t>Hey guys, 
So my best friend's mother already went through breast cancer twice, with chemo and radiation. Today my friend and I took her to the hospital because her asthma had been really bad lately because of environmental pollen. She's had DVT's before so they did a chest CT to be cautious. A lesion showed up on the CT. An MRI of her spine showed diffuse lesions and tumors on most of the vertebrae. 
My friend's mother's had a hard life, just lost her sister to cancer and now is facing new metastatic disease. She has an appointment with her oncologist tomorrow for a plan. 
My question is, what in your experience can I do to help? I know I can be there and be company. But what else? My best friend and I were hoping she turned a corner in her life after she divorced her abusive husband and beat cancer for the second time and got her own house. This is devastating. 
I want to do all I can for them. I welcome any suggestions. 
&amp;amp;#x200B;
&amp;amp;#x200B;</t>
        </is>
      </c>
      <c r="D1621" t="n">
        <v>5</v>
      </c>
      <c r="E1621" t="n">
        <v>2</v>
      </c>
      <c r="F1621">
        <f>HYPERLINK("https://www.reddit.com/r/cancer/comments/b8du0q/best_friends_mom_with_cancer_for_the_3rd_time_how/")</f>
        <v/>
      </c>
      <c r="G1621" t="inlineStr">
        <is>
          <t>2019-04-01 20:26:33</t>
        </is>
      </c>
      <c r="H1621" t="inlineStr"/>
    </row>
    <row r="1622">
      <c r="A1622" t="inlineStr">
        <is>
          <t>b8j7c5</t>
        </is>
      </c>
      <c r="B1622" t="inlineStr">
        <is>
          <t>Pre check in symptoms again</t>
        </is>
      </c>
      <c r="C1622" t="inlineStr">
        <is>
          <t xml:space="preserve">My wife had stage IV DLBCL two years ago. She was declared cancer free a could of months post chemo in July 2017. Most of her follow up visits have been uneventful as we’d hope. At her last one in January we switched to every six months for check ins with her oncologist. 
Now here’s the odd thing. A month before her last check in she started getting shoulder pain consultant with lymphoma again. A cat scan and check up revealed a herniated disc. This time, a month before her next check in she’s getting chest and shoulder pains that our GP suspects is acid reflux (she’s had AR in the past). We have a cat scan booked for tomorrow just to be safe as she’s been on acid reducing medication for two weeks and the pain has reduced but is still there. 
Sorry for the long lead in. I guess my question is. Have others found they get physical bumps in the road before check ins? She’s very strong and doesn’t show any outward anxiety about the check ins (that’s my problem!) but it’s seems odd that this happens with the last three check ins. </t>
        </is>
      </c>
      <c r="D1622" t="n">
        <v>4</v>
      </c>
      <c r="E1622" t="n">
        <v>3</v>
      </c>
      <c r="F1622">
        <f>HYPERLINK("https://www.reddit.com/r/cancer/comments/b8j7c5/pre_check_in_symptoms_again/")</f>
        <v/>
      </c>
      <c r="G1622" t="inlineStr">
        <is>
          <t>2019-04-02 06:26:19</t>
        </is>
      </c>
      <c r="H1622" t="inlineStr"/>
    </row>
    <row r="1623">
      <c r="A1623" t="inlineStr">
        <is>
          <t>b8ktfa</t>
        </is>
      </c>
      <c r="B1623" t="inlineStr">
        <is>
          <t>What Do I Need To Do?</t>
        </is>
      </c>
      <c r="C1623" t="inlineStr">
        <is>
          <t>My girlfriend is undergoing a double mastectomy on Monday. We don't know yet if she'll need chemo (doc was optimistic that she wouldn't, based on the ultrasound). I guess my question is, what is she going to need from me, post surgery? How can I make sure she is as comfortable as possible, and knows that I love her just as much now as I did before? Just... nervous, and afraid she's gonna push me away because she's used to dealing with stuff on her own.</t>
        </is>
      </c>
      <c r="D1623" t="n">
        <v>12</v>
      </c>
      <c r="E1623" t="n">
        <v>6</v>
      </c>
      <c r="F1623">
        <f>HYPERLINK("https://www.reddit.com/r/cancer/comments/b8ktfa/what_do_i_need_to_do/")</f>
        <v/>
      </c>
      <c r="G1623" t="inlineStr">
        <is>
          <t>2019-04-02 08:39:12</t>
        </is>
      </c>
      <c r="H1623" t="inlineStr"/>
    </row>
    <row r="1624">
      <c r="A1624" t="inlineStr">
        <is>
          <t>b8lu2o</t>
        </is>
      </c>
      <c r="B1624" t="inlineStr">
        <is>
          <t>Mom passed away, looking to donate her things.</t>
        </is>
      </c>
      <c r="C1624" t="inlineStr">
        <is>
          <t>Our mother recently passed away from chondrosarcoma. She'd had multiple bouts with cancer for nearly two decades. We're going to be donating a lot of her things and were wondering if anybody had recommendations for places to donate clothing and such?</t>
        </is>
      </c>
      <c r="D1624" t="n">
        <v>9</v>
      </c>
      <c r="E1624" t="n">
        <v>3</v>
      </c>
      <c r="F1624">
        <f>HYPERLINK("https://www.reddit.com/r/cancer/comments/b8lu2o/mom_passed_away_looking_to_donate_her_things/")</f>
        <v/>
      </c>
      <c r="G1624" t="inlineStr">
        <is>
          <t>2019-04-02 09:58:16</t>
        </is>
      </c>
      <c r="H1624" t="inlineStr"/>
    </row>
    <row r="1625">
      <c r="A1625" t="inlineStr">
        <is>
          <t>b8mcur</t>
        </is>
      </c>
      <c r="B1625" t="inlineStr">
        <is>
          <t>What to expect with Hodgkin’s Lymphoma chemo?</t>
        </is>
      </c>
      <c r="C1625" t="inlineStr">
        <is>
          <t xml:space="preserve">Hi everyone, I just got diagnosed with advanced Hodgekins Lymphoma a few weeks ago. I have never posted in this sub before, only lurked and commented. You all are such a wonderful community of such strong people. I thought I would get the best advice from you all. I will be getting a port shortly (which sounds extremely scary) and then I will start chemo within the next month or so. Does anyone have any experience with this particular kind of chemo? Or what to expect at all? In regards to the port/chemo sickness/level of pain in general? I know my oncologist said by the second dose all of the hair on my head will be gone, but what about my eyelashes? Eyebrows? How crappy can I expect to feel? Any general advice and tips are very much appreciated. Thank you so much in advance. 
-ps. any ladies that have online wig shop recommendations would be amazingly helpful. Most of the places I’ve gone to online seem less than reputable. </t>
        </is>
      </c>
      <c r="D1625" t="n">
        <v>13</v>
      </c>
      <c r="E1625" t="n">
        <v>24</v>
      </c>
      <c r="F1625">
        <f>HYPERLINK("https://www.reddit.com/r/cancer/comments/b8mcur/what_to_expect_with_hodgkins_lymphoma_chemo/")</f>
        <v/>
      </c>
      <c r="G1625" t="inlineStr">
        <is>
          <t>2019-04-02 10:39:21</t>
        </is>
      </c>
      <c r="H1625" t="inlineStr"/>
    </row>
    <row r="1626">
      <c r="A1626" t="inlineStr">
        <is>
          <t>b8n87k</t>
        </is>
      </c>
      <c r="B1626" t="inlineStr">
        <is>
          <t>Cannabis for chemo nausea/vomiting?</t>
        </is>
      </c>
      <c r="C1626" t="inlineStr">
        <is>
          <t>Hi all,
I live in Canada, where Cannabis is legal for both recreational and medicinal use.
My mom is getting TCH soon for her triple positive breast CA and she's really apprehensive about getting chemo and understandably afraid of the side effects. She really wants to have some kind of safeguard in case those anti-emetics don't do the job i.e. cannabinoid products.
In addition to the nausea prophylaxis premeds that they give before chemo, have any of you had success with controlling nausea with cannabis products? 
If so, what kind/dose worked for you? Is it a 1:1 ratio? (We should def have a conversation with her onco as well)
Thanks in advance!</t>
        </is>
      </c>
      <c r="D1626" t="n">
        <v>19</v>
      </c>
      <c r="E1626" t="n">
        <v>26</v>
      </c>
      <c r="F1626">
        <f>HYPERLINK("https://www.reddit.com/r/cancer/comments/b8n87k/cannabis_for_chemo_nauseavomiting/")</f>
        <v/>
      </c>
      <c r="G1626" t="inlineStr">
        <is>
          <t>2019-04-02 11:48:10</t>
        </is>
      </c>
      <c r="H1626" t="inlineStr"/>
    </row>
    <row r="1627">
      <c r="A1627" t="inlineStr">
        <is>
          <t>b8puj2</t>
        </is>
      </c>
      <c r="B1627" t="inlineStr">
        <is>
          <t>How do you keep yourself busy?</t>
        </is>
      </c>
      <c r="C1627" t="inlineStr">
        <is>
          <t>I'm pretty much housebound because my ANC is very low and I had a pulmonary embolism and I'm still also recovering from a massive surgery. I'm going crazy here and I think I've hit the end of the internet? What can I do for fun? I don't have any gaming system or want one.</t>
        </is>
      </c>
      <c r="D1627" t="n">
        <v>15</v>
      </c>
      <c r="E1627" t="n">
        <v>36</v>
      </c>
      <c r="F1627">
        <f>HYPERLINK("https://www.reddit.com/r/cancer/comments/b8puj2/how_do_you_keep_yourself_busy/")</f>
        <v/>
      </c>
      <c r="G1627" t="inlineStr">
        <is>
          <t>2019-04-02 15:23:20</t>
        </is>
      </c>
      <c r="H1627" t="inlineStr"/>
    </row>
    <row r="1628">
      <c r="A1628" t="inlineStr">
        <is>
          <t>b8raj7</t>
        </is>
      </c>
      <c r="B1628" t="inlineStr">
        <is>
          <t>95% success rate treatment ?</t>
        </is>
      </c>
      <c r="C1628" t="inlineStr">
        <is>
          <t xml:space="preserve">Last week I was diagnosed with an aggressive brain cancer. I thought for sure I would be dead but the doctor is saying with a treatment I could be cancer free within around 2 months and there's a 95% success rate with that treatment. And apparently less than 2% chance of a comeback. I'm wondering if they're just trying to not worry me or they are for real ? Is it actually possible for me to take a little chemio pill every morning and do about 15 min of radio everyday for 2 months and boom it's gone forever ? Seems too good to be true... However I don't feel like it's impossible cause I'm only 17 and they found the cancer very early ( &amp;lt; 2 cm ) so it's probably easier in that case. Anyone know a bit about this ? </t>
        </is>
      </c>
      <c r="D1628" t="n">
        <v>3</v>
      </c>
      <c r="E1628" t="n">
        <v>2</v>
      </c>
      <c r="F1628">
        <f>HYPERLINK("https://www.reddit.com/r/cancer/comments/b8raj7/95_success_rate_treatment/")</f>
        <v/>
      </c>
      <c r="G1628" t="inlineStr">
        <is>
          <t>2019-04-02 17:38:54</t>
        </is>
      </c>
      <c r="H1628" t="inlineStr"/>
    </row>
    <row r="1629">
      <c r="A1629" t="inlineStr">
        <is>
          <t>b8rgy8</t>
        </is>
      </c>
      <c r="B1629" t="inlineStr">
        <is>
          <t>Supporting a friend</t>
        </is>
      </c>
      <c r="C1629" t="inlineStr">
        <is>
          <t xml:space="preserve">A friend of mine was just recently diagnosed with stage two breast cancer and has started undergoing chemotherapy. Unfortunately she lives a few states away and I can’t be there for her. I want to send her a chemo care package but am not totally sure what to get! She mentioned sleeping on silk pillow cases to protect her hair so I found one in a pattern that’s an inside joke with us. I also figured some coloring books would be good. She mentioned getting headaches during chemo, would peppermint essential oils be ok? Any other suggestions are welcome! </t>
        </is>
      </c>
      <c r="D1629" t="n">
        <v>11</v>
      </c>
      <c r="E1629" t="n">
        <v>5</v>
      </c>
      <c r="F1629">
        <f>HYPERLINK("https://www.reddit.com/r/cancer/comments/b8rgy8/supporting_a_friend/")</f>
        <v/>
      </c>
      <c r="G1629" t="inlineStr">
        <is>
          <t>2019-04-02 17:56:30</t>
        </is>
      </c>
      <c r="H1629" t="inlineStr"/>
    </row>
    <row r="1630">
      <c r="A1630" t="inlineStr">
        <is>
          <t>b8s45z</t>
        </is>
      </c>
      <c r="B1630" t="inlineStr">
        <is>
          <t>Finally some good news about my dad!!</t>
        </is>
      </c>
      <c r="C1630" t="inlineStr">
        <is>
          <t>My dad called me and told me he was cures of his stage 4 cancer. The cancer is not in his lymph nodes anymore. He also has no cancer in his bones or other organs. He does have a shrinking tumor in his lungs that they will continue to treat.
The doctors called him a miracle. Don't give up hope everyone, keep on fighting!!</t>
        </is>
      </c>
      <c r="D1630" t="n">
        <v>75</v>
      </c>
      <c r="E1630" t="n">
        <v>25</v>
      </c>
      <c r="F1630">
        <f>HYPERLINK("https://www.reddit.com/r/cancer/comments/b8s45z/finally_some_good_news_about_my_dad/")</f>
        <v/>
      </c>
      <c r="G1630" t="inlineStr">
        <is>
          <t>2019-04-02 19:00:15</t>
        </is>
      </c>
      <c r="H1630" t="inlineStr"/>
    </row>
    <row r="1631">
      <c r="A1631" t="inlineStr">
        <is>
          <t>b8st4m</t>
        </is>
      </c>
      <c r="B1631" t="inlineStr">
        <is>
          <t>My doctor said he “wouldn’t worry” about having cancer because I’m only 20. I just want my anxiety about something being wrong to go away. What can I do?</t>
        </is>
      </c>
      <c r="C1631" t="inlineStr">
        <is>
          <t>I’ve had very minor headaches for a period of 8 months. I’ve also been having strange muscle spasms, especially when I’m trying to sleep. Usually the headaches are so minor that I can’t even notice them, but still alarming since they’ve been going on for so long. I thought it could either be a sinus problem, vitamin deficiency, vision problems, or something serious. The thought that it could be something serious gave me horrible anxiety. I decided to go to my doctor. 
It was my first time seeing him (I went to a pediatric doctor before). I told him I know it might sound ridiculous but I can’t shake the thought that my headaches were due to something serious. I also mentioned [this bump](https://i.imgur.com/CLIxn93.jpg) on my scalp that I didn’t notice before. He didn’t even look at it. If I’m being honest, the bump may have always been there but I didn’t notice it till I scrutinized myself. My doctor told me to get my eyes checked and start taking a vitamin supplement. My doctor didn’t seem concerned at all but I feel like he didn’t really check. I’ve since gotten glasses and vitamins.
I feel like maybe my headaches have gotten better, but to be honest, they were so minor before that I can’t really tell. The headaches get worse when I stand up or sometimes on random days. 
How likely is it that I’m fine and my mind is just playing tricks on me? Is the bump on my scalp something I should bring up again? What can I do?</t>
        </is>
      </c>
      <c r="D1631" t="n">
        <v>1</v>
      </c>
      <c r="E1631" t="n">
        <v>2</v>
      </c>
      <c r="F1631">
        <f>HYPERLINK("https://www.reddit.com/r/cancer/comments/b8st4m/my_doctor_said_he_wouldnt_worry_about_having/")</f>
        <v/>
      </c>
      <c r="G1631" t="inlineStr">
        <is>
          <t>2019-04-02 20:10:49</t>
        </is>
      </c>
      <c r="H1631" t="inlineStr"/>
    </row>
    <row r="1632">
      <c r="A1632" t="inlineStr">
        <is>
          <t>b8th7d</t>
        </is>
      </c>
      <c r="B1632" t="inlineStr">
        <is>
          <t>Tangent On Rad Fatigue and Transitioning</t>
        </is>
      </c>
      <c r="C1632" t="inlineStr">
        <is>
          <t>I'm now four months post-radiation treatment and I still feel like my energy is sometimes half what it used to be. Before, I could be productive and personable on like two to three hours sleep. Now, if I sleep for less than eight hours and don't rest at some point mid-day, I'm like a zombie. The fatigue is so strong I can't even pretend to hide it. I get too tired to even communicate. Anyone else relate?
Also, two of my tendon grafts ruptured last week (surgeons needed to replace four tendons in my left hand to remove my tumour) so now I will be going under the knife again on Friday. 
I miss my body before these scars, I miss the way my hands worked before the surgery, and I can't believe how lucky I was to have once had a body that just worked. I was doing my prescribed physio exercises, I heard a tear, and my thumb just stopped working. I know it doesn't seem like anything, but it brought me right back to those first feelings of vulnerability after the diagnosis. The realization that my whole regular life could just be swept away in a moment by this thing.
I am very grateful to be cancer-free. I am just still struggling with it's effect on me. I was just 22. I had my first real apartment, with a job I loved in a community I loved. I was in the best shape of my life. I was slowly paying off my debt and never worried about the bills anymore. I'd still be there if it weren't for cancer. 
The journey has given me soo much. It has informed me forever moving forward. But it has taken so much too. I am young, I know, I have plenty of time to recover from this. I know it will all be okay in time. But holy fuck, doesn't it just hit you right out fucking nowhere?
Love you folks. Thanks for listening.
TL;DR: I used to be able to throw a pigskin a quarter mile. Now I can't do shit cause my thumb fell off. Thanks, sarcoma!</t>
        </is>
      </c>
      <c r="D1632" t="n">
        <v>2</v>
      </c>
      <c r="E1632" t="n">
        <v>1</v>
      </c>
      <c r="F1632">
        <f>HYPERLINK("https://www.reddit.com/r/cancer/comments/b8th7d/tangent_on_rad_fatigue_and_transitioning/")</f>
        <v/>
      </c>
      <c r="G1632" t="inlineStr">
        <is>
          <t>2019-04-02 21:26:39</t>
        </is>
      </c>
      <c r="H1632" t="inlineStr"/>
    </row>
    <row r="1633">
      <c r="A1633" t="inlineStr">
        <is>
          <t>b8trbq</t>
        </is>
      </c>
      <c r="B1633" t="inlineStr">
        <is>
          <t>Bone marrow recovery after platinum based chemotherapy</t>
        </is>
      </c>
      <c r="C1633" t="inlineStr">
        <is>
          <t>I had carboplatin as one of my chemotherapy drugs and my bone marrow took a big hit from it. I'm 6 months past my last infusion and my CBC recovery has been asymptotic. My values have risen overall but then stopped and are dancing around just under the normal range. My platelets made it in to the normal range but then dropper back out of it 
I know it can take 8 months for bone marrow to recover but I also know that some people sustain permanent bone marrow injury from chemotherapy. 
Has anyone had a similar experience?</t>
        </is>
      </c>
      <c r="D1633" t="n">
        <v>2</v>
      </c>
      <c r="E1633" t="n">
        <v>0</v>
      </c>
      <c r="F1633">
        <f>HYPERLINK("https://www.reddit.com/r/cancer/comments/b8trbq/bone_marrow_recovery_after_platinum_based/")</f>
        <v/>
      </c>
      <c r="G1633" t="inlineStr">
        <is>
          <t>2019-04-02 22:01:27</t>
        </is>
      </c>
      <c r="H1633" t="inlineStr"/>
    </row>
    <row r="1634">
      <c r="A1634" t="inlineStr">
        <is>
          <t>b8twqa</t>
        </is>
      </c>
      <c r="B1634" t="inlineStr">
        <is>
          <t>Mum has secondary cancer, need advice, help, stories and funny anecdotes.</t>
        </is>
      </c>
      <c r="C1634" t="inlineStr">
        <is>
          <t xml:space="preserve">Hi everyone, I’m a 21 year old girl from the UK and unfortunately my life has been turned upside down with my mums diagnosis of secondary breast cancer. 
I am devastated, but find myself lucky to have such an incredible mum who seems to be fighting the good fight. She’s strong, funny, firm and I know if anyone has a shot at living her life in a short amount of time, I know it’s her. 
She starts chemo next week, and I’m worried but happy for her. I’m just having a hard time coping. I don’t sleep and trying to get into uni is a struggle. It’s ok during the day when I have things to keep me busy but at night it feels like it all piles on top of me and stops me from breathing, and sometimes I cry for hours on end, unable to believe that my family are this unlucky.
It was mother’s day this weekend and it sucked, my (adopted) sister didn’t come and see her and my brother didn’t put any effort in, although it doesn’t surprise me cause this is the shit they pull every year, I couldn’t believe they would allow my poor mother to feel this way. I don’t believe my mum is perfect, she has her flaws, but she’s good to both of them, has taken care of them well and even allows my brother (26) to live with her while he hasn’t got a job. 
I really don’t know what to do with my life, we keep having conversations I didn’t think I’d ever have to have with her, at least not for a few years. She sounds excited when she tells me how much money she’ll be leaving for us because she’s happy we’ll be sorted out and I keep agreeing that while it is good, no amount will ever replace her or make it easier that she’s gone. 
I guess this is a bit of a messy post, but really I just need help, or guidance from someone who is coping with the same things, or maybe can give me the other perspective. 
How do I confront my siblings? What can I do with my mum to cherish our time together? Will it one day become normal life for my mum to be sick, or will it get worse and worse the more time goes down? Should I drop out of uni even though she’s asked me to because I want to spend time with her? 
God please help ahahahahah. </t>
        </is>
      </c>
      <c r="D1634" t="n">
        <v>2</v>
      </c>
      <c r="E1634" t="n">
        <v>5</v>
      </c>
      <c r="F1634">
        <f>HYPERLINK("https://www.reddit.com/r/cancer/comments/b8twqa/mum_has_secondary_cancer_need_advice_help_stories/")</f>
        <v/>
      </c>
      <c r="G1634" t="inlineStr">
        <is>
          <t>2019-04-02 22:20:01</t>
        </is>
      </c>
      <c r="H1634" t="inlineStr"/>
    </row>
    <row r="1635">
      <c r="A1635" t="inlineStr">
        <is>
          <t>b8ujsv</t>
        </is>
      </c>
      <c r="B1635" t="inlineStr">
        <is>
          <t>What kind of person attacks a cancer patient?!?!</t>
        </is>
      </c>
      <c r="C1635" t="inlineStr">
        <is>
          <t>I don't understand people who are mean to cancer patients. If they don't like my posts mentioning, discussing cancer, weed gelling me through chemo, or reaching out online, why not just keep scrolling? Why mean? What kind of person attacks a cancer patient?!?!</t>
        </is>
      </c>
      <c r="D1635" t="n">
        <v>35</v>
      </c>
      <c r="E1635" t="n">
        <v>22</v>
      </c>
      <c r="F1635">
        <f>HYPERLINK("https://www.reddit.com/r/cancer/comments/b8ujsv/what_kind_of_person_attacks_a_cancer_patient/")</f>
        <v/>
      </c>
      <c r="G1635" t="inlineStr">
        <is>
          <t>2019-04-02 23:45:09</t>
        </is>
      </c>
      <c r="H1635" t="inlineStr"/>
    </row>
    <row r="1636">
      <c r="A1636" t="inlineStr">
        <is>
          <t>b8vfn0</t>
        </is>
      </c>
      <c r="B1636" t="inlineStr">
        <is>
          <t>Fundraiser for a deceased friend..</t>
        </is>
      </c>
      <c r="C1636" t="inlineStr">
        <is>
          <t xml:space="preserve">Hello Reddit,
I am telling you this story because it really struck me. Not a long time ago friend of my girlfriend deceased because of a fatal brain tumor. She struggled for about one year to fight this disease, but unfortunately she didn't make it. The tumor was to strong and she lost the fight against cancer. Her hope was for us to keep fighting against this disease, so that one day other people could be helped. So here I am. My girlfriend started a fund campaign with KWF (Dutch Cancer Society). This campaign is to raise money for the research to fight cancer. I am asking you redditors for a little contribution to this campaign. My girlfriend is walking the Nijmegen vierdaagse, because this was a dream of her and her deceased friend (Walk of the world).
I hope you guys would help us with this campaign and to help better the world. We are here to keep fighting against cancer, and to stop this terrible decease once and for all.
Link to campaign: https://acties.kwf.nl/fundraisers/fleurchris/----km-draag-ik-je-mee-in-mijn-hart-
</t>
        </is>
      </c>
      <c r="D1636" t="n">
        <v>0</v>
      </c>
      <c r="E1636" t="n">
        <v>0</v>
      </c>
      <c r="F1636">
        <f>HYPERLINK("https://www.reddit.com/r/cancer/comments/b8vfn0/fundraiser_for_a_deceased_friend/")</f>
        <v/>
      </c>
      <c r="G1636" t="inlineStr">
        <is>
          <t>2019-04-03 01:47:23</t>
        </is>
      </c>
      <c r="H1636" t="inlineStr"/>
    </row>
    <row r="1637">
      <c r="A1637" t="inlineStr">
        <is>
          <t>b8vpop</t>
        </is>
      </c>
      <c r="B1637" t="inlineStr">
        <is>
          <t>some april fools joke... my dad's incurable brain cancer diagnosis.</t>
        </is>
      </c>
      <c r="C1637" t="inlineStr">
        <is>
          <t>most people wake up on april fools weary of light hearted, mildly annoying pranks. i was one of these people. instead, what i woke up to was a phone call from my hysterical mother, who had confirmed to me that my recently forgetful father (55 years old) has a tumor lodged deeply inside his brain.
what it's called is a bilateral thalamic glioma, and it accounts for less than 1% of brain tumors found. because of the location of the thalamus, surgery is definitely not an option, and radiotherapy and chemotherapy are apparently only so effective (damage to surrounding brain tissue is a big no-no). tic toc, tic toc... 
my father is in high spirits. he insists he's fine: still aware, still in no pain, but its obvious that isn't the case. his sentences are still littered with inaccuracies and repetition, and it breaks my damn heart to to see the person in front of me now when i had seen somebody very different over a year ago.
me? i'm only 19. in many ways, i still feel like a fucking kid. i'm not ready for this. "young and in your 20s" is about to take on a whole new meaning for me. my brother and i are about to start our second and third years of university in the fall, and we both lack the certain breadwinner potential he has provided our family with. financially, i really don't know what we're gonna do.
mostly, i think of my poor mother. when my dad passes, she will have lost her mother to lung cancer (she was 23), her father to brain cancer (she was 25), and now her soulmate of 20 some years to brain cancer. yet again. fate is cruel, isn't it?
a lot of this was rambling, but i just needed some place to let all of it out. i don't want to be crying endlessly anymore ): any advice would be GREATLY appreciated!</t>
        </is>
      </c>
      <c r="D1637" t="n">
        <v>8</v>
      </c>
      <c r="E1637" t="n">
        <v>7</v>
      </c>
      <c r="F1637">
        <f>HYPERLINK("https://www.reddit.com/r/cancer/comments/b8vpop/some_april_fools_joke_my_dads_incurable_brain/")</f>
        <v/>
      </c>
      <c r="G1637" t="inlineStr">
        <is>
          <t>2019-04-03 02:26:04</t>
        </is>
      </c>
      <c r="H1637" t="inlineStr"/>
    </row>
    <row r="1638">
      <c r="A1638" t="inlineStr">
        <is>
          <t>b8y4s4</t>
        </is>
      </c>
      <c r="B1638" t="inlineStr">
        <is>
          <t>Supporting boyfriend's mom - pain relief for radiation burn?</t>
        </is>
      </c>
      <c r="C1638" t="inlineStr">
        <is>
          <t xml:space="preserve">Hi everyone! 
My boyfriend's mom has been battling cancer for 6+ years now, and is currently struggling with radiation burns. Neither narcotics nor lidocaine are relieving the pain, and she has access to medical grade marijuana but I'm assuming that is at it's limit in its help for pain. 
Do people have suggestions on what have helped themselves or their loved ones for radiation burns and pains? Thank you in advance for any replies! 
&amp;amp;#x200B;
P.S. - I've asked permission from my boyfriend to do this and I have consent to do so!  Just wanted to pitch in as non-intrusively as possible. If people also have suggestions for best ways to support or material to read for people who are adjacent to the situation like myself so I'm as attuned as possible, that would be appreciated as well! </t>
        </is>
      </c>
      <c r="D1638" t="n">
        <v>4</v>
      </c>
      <c r="E1638" t="n">
        <v>6</v>
      </c>
      <c r="F1638">
        <f>HYPERLINK("https://www.reddit.com/r/cancer/comments/b8y4s4/supporting_boyfriends_mom_pain_relief_for/")</f>
        <v/>
      </c>
      <c r="G1638" t="inlineStr">
        <is>
          <t>2019-04-03 06:44:22</t>
        </is>
      </c>
      <c r="H1638" t="inlineStr"/>
    </row>
    <row r="1639">
      <c r="A1639" t="inlineStr">
        <is>
          <t>b8zjjo</t>
        </is>
      </c>
      <c r="B1639" t="inlineStr">
        <is>
          <t>Is it common for chemotherapy to affect one's sense of taste?</t>
        </is>
      </c>
      <c r="C1639" t="inlineStr">
        <is>
          <t>I don't mean to be rude by asking this, I was just wondering whether this is a common thing to happen. When my half sister received chemotherapy she said that she couldn't eat more than 2 or 3 bites of something before it turned to ashes in her mouth. My mother then cooked for her, she prepared 5 different meals so my half sister could at least eat and maybe even enjoy 2-3 bites out of each of those 5 meals.</t>
        </is>
      </c>
      <c r="D1639" t="n">
        <v>7</v>
      </c>
      <c r="E1639" t="n">
        <v>18</v>
      </c>
      <c r="F1639">
        <f>HYPERLINK("https://www.reddit.com/r/cancer/comments/b8zjjo/is_it_common_for_chemotherapy_to_affect_ones/")</f>
        <v/>
      </c>
      <c r="G1639" t="inlineStr">
        <is>
          <t>2019-04-03 08:39:15</t>
        </is>
      </c>
      <c r="H1639" t="inlineStr"/>
    </row>
    <row r="1640">
      <c r="A1640" t="inlineStr">
        <is>
          <t>b8zwss</t>
        </is>
      </c>
      <c r="B1640" t="inlineStr">
        <is>
          <t>Just found out I have chronic brain cancer</t>
        </is>
      </c>
      <c r="C1640" t="inlineStr">
        <is>
          <t xml:space="preserve">I found out I had a brain tumor in my right temporal lobe about a month ago and just underwent surgery last week. They could only removed 95% of it because of how close it was to my optic nerves and some major veins. Yesterday we found out it was a grade 3 Anaplastic Astrocytoma Glioma and I’ll be doing 6 weeks of daily radiation therapy and 6 months of chemo in pill form. They said they can’t obliterate the cells so treatment will just put them to sleep and I’ll just have to do MRIs every couple of months for the rest of my life. Basically, I’m going to have brain cancer for forever and I’ll just be doing treatment to manage it. 
I feel .... weird. I’m pretty upset that I’ll never be cancer free but my symptoms are manageable (seizures) and it’s a really good motivation to stay healthy and take care of myself. It’s also like we’ll be watching it and monitoring it so we’ll know if something bad is about to happen. If anything I just feel inconvenienced by it, but it’s also helping me stay really positive about living my life to the fullest and letting things go. </t>
        </is>
      </c>
      <c r="D1640" t="n">
        <v>15</v>
      </c>
      <c r="E1640" t="n">
        <v>7</v>
      </c>
      <c r="F1640">
        <f>HYPERLINK("https://www.reddit.com/r/cancer/comments/b8zwss/just_found_out_i_have_chronic_brain_cancer/")</f>
        <v/>
      </c>
      <c r="G1640" t="inlineStr">
        <is>
          <t>2019-04-03 09:08:09</t>
        </is>
      </c>
      <c r="H1640" t="inlineStr"/>
    </row>
    <row r="1641">
      <c r="A1641" t="inlineStr">
        <is>
          <t>b90dbo</t>
        </is>
      </c>
      <c r="B1641" t="inlineStr">
        <is>
          <t>How do I properly deal with a diagnosis?</t>
        </is>
      </c>
      <c r="C1641" t="inlineStr">
        <is>
          <t xml:space="preserve">I am currently going through a difficult time. A few months ago I met an incredible individual and our connection has developed into a long-distance relationship. Since then, we have called each other every day. 
She recently received her initial diagnosis of gastric cancer (stage 1) and she underwent a surgery for it. Unfortunately, the doctors had told her that the surgery wasn't as successful as they previously had thought, and as a result decided to increase her medication in hopes of reducing the inflammation in the stomach lining. 
I'm unsure of the current situation beyond this, because she avoids the questions related to her condition but she has recently begun to feel worse and she called me today to tell me that the pills were not working. 
She also communicated that she would wouldn't like to talk anymore because "You did not sign up for this and instead of disappearing. It would be better to say our good bye today." It seemed as though she had made up her mind about this, because she did not want me to go through the pain of losing her. 
I have been reliving through that conversation the entire day, and what has been especially difficult for me to deal with is the fact that she is going through this alone. I was the only support system for her, and now she wants to push me away. 
Although I've accepted her request for that space, I cannot help but feel that was a mistake because I feel as though she has given up early but I also understand that she does not want to become a burden and leave me feeling pain. This is one of the most frustrating times I have gone through, because I feel as though every other challenge can be resolved with a possible solution, but... there is no possible solution here. All I see is pain. 
It is also a punishing feeling. Perhaps, I should of tried harder to convince her to stay, and somehow I'd be able to push my emotions to the side and continue being that support but... Maybe she had a point. Maybe we were never meant to be together. </t>
        </is>
      </c>
      <c r="D1641" t="n">
        <v>3</v>
      </c>
      <c r="E1641" t="n">
        <v>0</v>
      </c>
      <c r="F1641">
        <f>HYPERLINK("https://www.reddit.com/r/cancer/comments/b90dbo/how_do_i_properly_deal_with_a_diagnosis/")</f>
        <v/>
      </c>
      <c r="G1641" t="inlineStr">
        <is>
          <t>2019-04-03 09:43:36</t>
        </is>
      </c>
      <c r="H1641" t="inlineStr"/>
    </row>
    <row r="1642">
      <c r="A1642" t="inlineStr">
        <is>
          <t>b90v18</t>
        </is>
      </c>
      <c r="B1642" t="inlineStr">
        <is>
          <t>Through with chemo...for now.</t>
        </is>
      </c>
      <c r="C1642" t="inlineStr">
        <is>
          <t xml:space="preserve">Finished up  my last infusion of six of Rituxan and bendamustine yesterday for my NH lymphoma.  Feeling wiped as usual, just want to nap and watch TV.  I'll get a CT in four weeks to see what's going on with my lymph nodes and if any swelling remains I'll probably get some radiation and perhaps maintenance treatments of chemotherapy.  I should feel relieved that at least this stage is over but my oncologist said it's likely to come back so I have that hanging over my head.  I'm hoping some or most of my strength comes back as I've felt tired and weak through this whole ordeal.  I shouldn't complain really, since fatigue has been the only real side effect I've had to deal with.  No nausea and vomiting, no mouth sores, hair loss, etc., so I've been lucky and feel for the other people I've seen at the cancer center who are obviously dealing with that.  
My experience at my present clinic has been good but I may seek a second opinion at the Mayo Clinic since I've received care there before, am in their system and have always been impressed with the quality of care they deliver.  They're also cutting edge and just a few hours drive from my home.  Otherwise, it's just try to get back into life and wait and see what happens.  
I'm 65, have had a good life and been very fortunate to have had the family and experiences I've had.  I've worked in health care myself for decades and have seen many people who've died much younger and suffered much worse than I have.  I'm probably not going to die anytime soon but have to face up to the fact the clock is ticking and the odds of me being around for much more than five years or so are diminishing.  Now the question is how to spend that time.  
I'm not sure why I'm writing this, just venting and in some small way celebrating the end of chemo.  And I don't have much else to do.  For everyone else out there dealing with cancer, I hope you or your loved one has the best possible outcome.  </t>
        </is>
      </c>
      <c r="D1642" t="n">
        <v>4</v>
      </c>
      <c r="E1642" t="n">
        <v>1</v>
      </c>
      <c r="F1642">
        <f>HYPERLINK("https://www.reddit.com/r/cancer/comments/b90v18/through_with_chemofor_now/")</f>
        <v/>
      </c>
      <c r="G1642" t="inlineStr">
        <is>
          <t>2019-04-03 10:21:59</t>
        </is>
      </c>
      <c r="H1642" t="inlineStr"/>
    </row>
    <row r="1643">
      <c r="A1643" t="inlineStr">
        <is>
          <t>b90vqa</t>
        </is>
      </c>
      <c r="B1643" t="inlineStr">
        <is>
          <t>Currently at lunch. I put a sandwich in the microwave that was inside a plastic bag.</t>
        </is>
      </c>
      <c r="C1643" t="inlineStr">
        <is>
          <t>A coworker then warned me to not warm it too long because it may release carcinogens. This is news to me so I took out the bag after 19 seconds. Should I be worried about the sandwich I just ate? Sorry if this is a dumb question or if I'm just overreacting. Thanks.</t>
        </is>
      </c>
      <c r="D1643" t="n">
        <v>0</v>
      </c>
      <c r="E1643" t="n">
        <v>5</v>
      </c>
      <c r="F1643">
        <f>HYPERLINK("https://www.reddit.com/r/cancer/comments/b90vqa/currently_at_lunch_i_put_a_sandwich_in_the/")</f>
        <v/>
      </c>
      <c r="G1643" t="inlineStr">
        <is>
          <t>2019-04-03 10:23:30</t>
        </is>
      </c>
      <c r="H1643" t="inlineStr"/>
    </row>
    <row r="1644">
      <c r="A1644" t="inlineStr">
        <is>
          <t>b910kf</t>
        </is>
      </c>
      <c r="B1644" t="inlineStr">
        <is>
          <t>Post Chemo Hair Growth Subreddit</t>
        </is>
      </c>
      <c r="C1644" t="inlineStr">
        <is>
          <t>Hey everyone!! 
I hope this post is allowed here - but I just created a community to talk specifically about growing your hair after finishing chemotherapy and feeling normal again r/postchemohairgrowth. Being 22 and just finishing ABVD for Hodgkins Lymphoma, I found it hard to find a lot of online resources for timeline pictures, growth tips, and anywhere to answer my questions about trying to feel normal again. I want it to be a place for survivors to share their stories and have any questions answered in a space specifically for those taking on the second half of the battle after cancer.</t>
        </is>
      </c>
      <c r="D1644" t="n">
        <v>6</v>
      </c>
      <c r="E1644" t="n">
        <v>0</v>
      </c>
      <c r="F1644">
        <f>HYPERLINK("https://www.reddit.com/r/cancer/comments/b910kf/post_chemo_hair_growth_subreddit/")</f>
        <v/>
      </c>
      <c r="G1644" t="inlineStr">
        <is>
          <t>2019-04-03 10:34:15</t>
        </is>
      </c>
      <c r="H1644" t="inlineStr"/>
    </row>
    <row r="1645">
      <c r="A1645" t="inlineStr">
        <is>
          <t>b919ss</t>
        </is>
      </c>
      <c r="B1645" t="inlineStr">
        <is>
          <t>Pre-diagnosis, seeking advice</t>
        </is>
      </c>
      <c r="C1645" t="inlineStr">
        <is>
          <t>I'm not asking, "is this cancer." I recently had an appointment with an ENT (Ear, Neck, and Throat) doctor for a large lymph node on my neck. They suggested that I have a CT scan, followed up with an ultra-sound guided biopsy. Since my appointment just recently, it looks like I could be waiting weeks (2-4) before I get back biopsy results, since the doctor wanted the biopsy to follow the CT scan. The thought of having to wait weeks is unsettling (I'm sure that's a common thread here). I didn't ask the right questions in the appointment.   
I'm wondering if anyone else had a similar pre-diagnosis treatment? Is there a good reason to have a CT scan first? I'm wondering if I could have the biopsy done within a week, and if that would be better (I don't think the biopsy requires a pre-auth i.e. 7-10 days for my insurance to give the green light).</t>
        </is>
      </c>
      <c r="D1645" t="n">
        <v>3</v>
      </c>
      <c r="E1645" t="n">
        <v>9</v>
      </c>
      <c r="F1645">
        <f>HYPERLINK("https://www.reddit.com/r/cancer/comments/b919ss/prediagnosis_seeking_advice/")</f>
        <v/>
      </c>
      <c r="G1645" t="inlineStr">
        <is>
          <t>2019-04-03 10:54:38</t>
        </is>
      </c>
      <c r="H1645" t="inlineStr"/>
    </row>
    <row r="1646">
      <c r="A1646" t="inlineStr">
        <is>
          <t>b93vy8</t>
        </is>
      </c>
      <c r="B1646" t="inlineStr">
        <is>
          <t>What to do to help someone with recent diagnosis?</t>
        </is>
      </c>
      <c r="C1646" t="inlineStr">
        <is>
          <t xml:space="preserve">A coworker of mine recently was diagnosed with pancreatic cancer. Our coworkers are all extremely close and want to do something to help her and her family in this time. I’m not sure what is appropriate or not. I was thinking make some food and drop it off to them. Not sure what else to do, just want to make this time easier so they can enjoy time together and stress less about other things. Please give me some suggestions. </t>
        </is>
      </c>
      <c r="D1646" t="n">
        <v>2</v>
      </c>
      <c r="E1646" t="n">
        <v>4</v>
      </c>
      <c r="F1646">
        <f>HYPERLINK("https://www.reddit.com/r/cancer/comments/b93vy8/what_to_do_to_help_someone_with_recent_diagnosis/")</f>
        <v/>
      </c>
      <c r="G1646" t="inlineStr">
        <is>
          <t>2019-04-03 14:19:48</t>
        </is>
      </c>
      <c r="H1646" t="inlineStr"/>
    </row>
    <row r="1647">
      <c r="A1647" t="inlineStr">
        <is>
          <t>b93zv9</t>
        </is>
      </c>
      <c r="B1647" t="inlineStr">
        <is>
          <t>Nonsmokers 21+ are needed for a USC research study examining the health risks or benefits of vaping vs smoking. COMPENSATION AVAILABLE</t>
        </is>
      </c>
      <c r="C1647" t="inlineStr">
        <is>
          <t>USC is conducting a research study on the health risks or benefits of new and emerging tobacco products. We seek healthy volunteers who:
Neither smoke cigarettes nor use e-cigarettes/vape
Additional requirements include:
\- being 21 or older
\- living in the LA area
\- willing to answer a survey questionnaire, accessible at: [http://geteo.usc.edu](http://geteo.usc.edu/)
\--COMPENSATION IS AVAILABLE—
CONTACT US FOR MORE INFORMATION
\- Phone: (323)-442-7765
\- E-mail: [geteostudy@gmail.com](mailto:geteostudy@gmail.com)
&amp;amp;#x200B;
https://i.redd.it/xymse0jf64q21.png
&amp;amp;#x200B;</t>
        </is>
      </c>
      <c r="D1647" t="n">
        <v>3</v>
      </c>
      <c r="E1647" t="n">
        <v>0</v>
      </c>
      <c r="F1647">
        <f>HYPERLINK("https://www.reddit.com/r/cancer/comments/b93zv9/nonsmokers_21_are_needed_for_a_usc_research_study/")</f>
        <v/>
      </c>
      <c r="G1647" t="inlineStr">
        <is>
          <t>2019-04-03 14:29:08</t>
        </is>
      </c>
      <c r="H1647" t="inlineStr"/>
    </row>
    <row r="1648">
      <c r="A1648" t="inlineStr">
        <is>
          <t>b94doh</t>
        </is>
      </c>
      <c r="B1648" t="inlineStr">
        <is>
          <t>How to manage hit by hit</t>
        </is>
      </c>
      <c r="C1648" t="inlineStr">
        <is>
          <t xml:space="preserve">Few years ago my father died after almost 5 years of bad new after a bad new, hit by hit, in the face. I only remember one good new, one day, but it turned a bluf. Now is the turn of my mother, half year of bad news one after the previous. I just figured out that metastasis can break bones. A fucking vertebra. She just got surgery but the cancer is so agresive that in afraid the only chance is to be compatible to some kind of therapy called 'target therapy', based on the Gen that has mutated.
My question is: how could someone stay positive after life not giving you a single chance? A single true good new about this?
I remember like 15 years ago getting incredible overwhelmed with the idea of my parents dying someday. I stayed awake hours calculating years and thinking I will be really sad they dying at their 70 or even 80. Now I'm here without my father and my mother really bad, and I don't know what to expect for the rest of my life, I can't be optimistic anymore I think. </t>
        </is>
      </c>
      <c r="D1648" t="n">
        <v>7</v>
      </c>
      <c r="E1648" t="n">
        <v>4</v>
      </c>
      <c r="F1648">
        <f>HYPERLINK("https://www.reddit.com/r/cancer/comments/b94doh/how_to_manage_hit_by_hit/")</f>
        <v/>
      </c>
      <c r="G1648" t="inlineStr">
        <is>
          <t>2019-04-03 15:02:49</t>
        </is>
      </c>
      <c r="H1648" t="inlineStr"/>
    </row>
    <row r="1649">
      <c r="A1649" t="inlineStr">
        <is>
          <t>b94q4h</t>
        </is>
      </c>
      <c r="B1649" t="inlineStr">
        <is>
          <t>I want to quit chemo</t>
        </is>
      </c>
      <c r="C1649" t="inlineStr">
        <is>
          <t>I (41F) have stage 4 breast cancer. I've been doing chemo for over a year and a half. It's become clear that we are just managing the cancer and that I'll most likely never be cancer free. I have 2 young children and a heavily dependent husband who all need me. But I'm tired y'all. The chemo effects have made me miserable and this is no life to live. I'm tired of being a burden on everyone. I think about suicide at least once a week but I put on a brave face for everyone. People often describe me as being brave and strong, but I certainly don't feel that way. I'm seriously considering</t>
        </is>
      </c>
      <c r="D1649" t="n">
        <v>40</v>
      </c>
      <c r="E1649" t="n">
        <v>29</v>
      </c>
      <c r="F1649">
        <f>HYPERLINK("https://www.reddit.com/r/cancer/comments/b94q4h/i_want_to_quit_chemo/")</f>
        <v/>
      </c>
      <c r="G1649" t="inlineStr">
        <is>
          <t>2019-04-03 15:33:20</t>
        </is>
      </c>
      <c r="H1649" t="inlineStr"/>
    </row>
    <row r="1650">
      <c r="A1650" t="inlineStr">
        <is>
          <t>b958e2</t>
        </is>
      </c>
      <c r="B1650" t="inlineStr">
        <is>
          <t>Cancer Care Ontario - Colon Cancer Screening</t>
        </is>
      </c>
      <c r="C1650" t="inlineStr">
        <is>
          <t xml:space="preserve">Hi friends,
Has anyone in Ontario taken the screening test recently? How long did it take for your results to come in?
Also, everything I'm reading about this test says that if you have colorectal cancer symptoms that the test is pointless (because it's always spread) and you should just skip to a colonoscopy, is that true? If it comes back negative does that mean 100% no colorectal cancer? I know a positive doesn't necessarily mean cancer but my doctor will send me for a colonoscopy anyway, correct?
</t>
        </is>
      </c>
      <c r="D1650" t="n">
        <v>4</v>
      </c>
      <c r="E1650" t="n">
        <v>1</v>
      </c>
      <c r="F1650">
        <f>HYPERLINK("https://www.reddit.com/r/cancer/comments/b958e2/cancer_care_ontario_colon_cancer_screening/")</f>
        <v/>
      </c>
      <c r="G1650" t="inlineStr">
        <is>
          <t>2019-04-03 16:19:55</t>
        </is>
      </c>
      <c r="H1650" t="inlineStr"/>
    </row>
    <row r="1651">
      <c r="A1651" t="inlineStr">
        <is>
          <t>b967bt</t>
        </is>
      </c>
      <c r="B1651" t="inlineStr">
        <is>
          <t>How do I deal with this?</t>
        </is>
      </c>
      <c r="C1651" t="inlineStr">
        <is>
          <t>My great grandma had just been diagnosed with brain cancer. It is inoperable and extremely far along.
She has been given 3 months to live and the tumor sits on her speech part of the brain. She can barely talk and doesnt remember a lot of simple words.
How do I deal with this. I'm scared  I dont want to lose her and it's hard.</t>
        </is>
      </c>
      <c r="D1651" t="n">
        <v>2</v>
      </c>
      <c r="E1651" t="n">
        <v>1</v>
      </c>
      <c r="F1651">
        <f>HYPERLINK("https://www.reddit.com/r/cancer/comments/b967bt/how_do_i_deal_with_this/")</f>
        <v/>
      </c>
      <c r="G1651" t="inlineStr">
        <is>
          <t>2019-04-03 17:54:42</t>
        </is>
      </c>
      <c r="H1651" t="inlineStr"/>
    </row>
    <row r="1652">
      <c r="A1652" t="inlineStr">
        <is>
          <t>b96c1u</t>
        </is>
      </c>
      <c r="B1652" t="inlineStr">
        <is>
          <t>So, apparently chemo has torpedoed my vestibular balance system.</t>
        </is>
      </c>
      <c r="C1652" t="inlineStr">
        <is>
          <t>I think I may get be subject to bouts of crippling vertigo for the rest of my life now thanks to carboplatin.  Fuck cancer.</t>
        </is>
      </c>
      <c r="D1652" t="n">
        <v>3</v>
      </c>
      <c r="E1652" t="n">
        <v>5</v>
      </c>
      <c r="F1652">
        <f>HYPERLINK("https://www.reddit.com/r/cancer/comments/b96c1u/so_apparently_chemo_has_torpedoed_my_vestibular/")</f>
        <v/>
      </c>
      <c r="G1652" t="inlineStr">
        <is>
          <t>2019-04-03 18:07:54</t>
        </is>
      </c>
      <c r="H1652" t="inlineStr"/>
    </row>
    <row r="1653">
      <c r="A1653" t="inlineStr">
        <is>
          <t>b96m24</t>
        </is>
      </c>
      <c r="B1653" t="inlineStr">
        <is>
          <t>Pregnant wife started chemo today</t>
        </is>
      </c>
      <c r="C1653" t="inlineStr">
        <is>
          <t xml:space="preserve">She was diagnosed with cancer on March 11th. After further testing and sending results to two different hospitals, we learned last Friday that she has a very rare and aggressive form of cervical cancer. She's currently 15 weeks pregnant with baby #2. Our first born just turned 10 months. 
Today was day 1 of 3. She's due to have 5 cycles before the baby is delivered at 32 weeks.
I'll be honest in that I haven't read through this sub very much. It's interesting that the first place (online) I went to for information was Reddit. There's very little information on the cancer itself because it's rare, but now that she's started treatment I'm going to dive into general caretaker info. Any advice is appreciated.
</t>
        </is>
      </c>
      <c r="D1653" t="n">
        <v>44</v>
      </c>
      <c r="E1653" t="n">
        <v>11</v>
      </c>
      <c r="F1653">
        <f>HYPERLINK("https://www.reddit.com/r/cancer/comments/b96m24/pregnant_wife_started_chemo_today/")</f>
        <v/>
      </c>
      <c r="G1653" t="inlineStr">
        <is>
          <t>2019-04-03 18:35:57</t>
        </is>
      </c>
      <c r="H1653" t="inlineStr"/>
    </row>
    <row r="1654">
      <c r="A1654" t="inlineStr">
        <is>
          <t>b96mi3</t>
        </is>
      </c>
      <c r="B1654" t="inlineStr">
        <is>
          <t>Bile duct cancer outlook</t>
        </is>
      </c>
      <c r="C1654" t="inlineStr">
        <is>
          <t>I've never heard of this cancer before up until recently. Since the news came out, I've been trying to learn more about this cancer but there isn't that much information out there and I don't know anyone else who has had it before.
&amp;amp;#x200B;
A family member of mine (60) only discovered he had bile duct cancer in the liver after his eyes turned yellow. He'll be getting a stent inserted in a few days time.
&amp;amp;#x200B;
When does chemo start? How long does it go for? If the tumour shrinks, are they able to operate? What is the general outlook on life? 
&amp;amp;#x200B;</t>
        </is>
      </c>
      <c r="D1654" t="n">
        <v>4</v>
      </c>
      <c r="E1654" t="n">
        <v>3</v>
      </c>
      <c r="F1654">
        <f>HYPERLINK("https://www.reddit.com/r/cancer/comments/b96mi3/bile_duct_cancer_outlook/")</f>
        <v/>
      </c>
      <c r="G1654" t="inlineStr">
        <is>
          <t>2019-04-03 18:37:17</t>
        </is>
      </c>
      <c r="H1654" t="inlineStr"/>
    </row>
    <row r="1655">
      <c r="A1655" t="inlineStr">
        <is>
          <t>b982ur</t>
        </is>
      </c>
      <c r="B1655" t="inlineStr">
        <is>
          <t>Real doctors say, “Cancer Occurs at +30 Millivolts”</t>
        </is>
      </c>
      <c r="C1655" t="inlineStr">
        <is>
          <t>Did you know that pH correlates perfectly with cell voltage? Dr. Jerry Tennant teaches that at a pH of zero—an extreme acidic condition—voltage drops to +400 mV (millivolts). At a pH of 7, which is neutral, we have zero mV. And at extreme alkaline levels, or a pH of 14, we have -400 mV. The minus sign means that the voltage of a cell or substance makes it an electron donor, thus it has life and energy to give out. If the voltage of a solution drops to the positive side it becomes an electron stealer robbing cells of their life force. Cancer occurs at +30 millivolts.
&amp;amp;#x200B;
Dr. Tennant says that a voltmeter can be used to measure pH and that human cells are designed to run at about -20 millivolts (or pH of 7.35). As voltage in cells drops, going from -20 mV to zero mV (remember the greater the number, the lower the voltage), their physiology becomes compromised.
&amp;amp;#x200B;
“Ultimately, the tumor microenvironment directs the development of tumor cells adapted to survive in an acidic surrounding where normal cells perish. The provision of unique pH characteristics in tumor cells provides a defining trait that has led to the pursuit of treatments that target metabolism, hypoxia, and pH-related mechanisms to selectively kill cancer cells,” writes the Institute of Developmental Biology and Cancer Research in France. J Cell Physiol. 2011 Feb;226(2):299-308.
&amp;amp;#x200B;
Dr. Tennant says, “The voltage in my thumb is -25 millivolts. Now I hit it with a hammer. The voltage immediately goes to -50 millivolts so it has enough power to replace the cells I damaged with the hammer. At -50 millivolts, we have the signs familiar as inflammation: throbbing pain, swelling, redness, and heat as well as decreased function. When tissue is at -50 millivolts and healing is occurring, two things are possible. It can have enough electrons to heal the damaged cells, and it returns to normal at -25 millivolts. The other possibility is that it runs out of voltage before the damaged cells are replaced. It then drops to a voltage lower than -25 millivolts. Now we have all the signs of degeneration. The pain changes from throbbing to a constant ache, the swelling may or may not be present, redness turns to paleness, and heat disappears as circulation diminishes.”
&amp;amp;#x200B;
“Every cell in the body is designed to run at -20 to -25 millivolts. To heal, we must make new cells. To make a new cell requires -50 millivolts. Chronic disease occurs when voltage drops below -20 and/or you cannot achieve -50 millivolts to make new cells,” says Tennant. Thus chronic disease can almost always be defined by having low voltage, low body temperature, low pH occurring in conjunction with low CO2 and O2 levels. Tennant himself is a medical genius telling us that cell voltage and cell pH is running down the same railroad track.
&amp;amp;#x200B;
The Electron Doctor
&amp;amp;#x200B;
Dr. Tennant deals with electrons and feeds them directly into the body in a very ingenious way. We might as well nickname him “the electron doctor” or “the voltage doctor” but he is not mad like Dr. [Frankenstein.It](https://Frankenstein.It) is important to understand that the voltage of cells and tissues is synonymous with their pH.
&amp;amp;#x200B;
Voltage is the stored potential to do work. Cells must have enough voltage to work. Amperage is the movement of electrons doing work. When electrons move from one place to another, we call that current.Wherever the body has low voltage, the cells begin to have problems that get more serious the lower the voltage (pH) goes. The lower the voltage goes, the lower the pH goes, and the lower oxygen levels go.
&amp;amp;#x200B;
Wherever the body suffers from low oxygen conditions we have disease and eventually cancer. Wherever the body becomes acidic, voltage drops as does tissue oxygen levels. What is pH after all? It is ultimately a measure of redox potential. Redox potential is a measure of whether electrons are available in surplus (and thus are “electron donors”) or whether electrons are deficient (and thus are “electron stealers”). Electrons are necessary for life and are needed for health and in high quantities for healing and the growth of new cells.
&amp;amp;#x200B;
Dr. Tennant is among the few doctors who really understand the work of Dr. Tullio Simoncini, who uses sodium bicarbonate to kill fungus colonies associated with cancer tumors. When cell voltage is low and oxygen decreases, we see an increase of anaerobic bacteria in the gut, which begins to thrive in the low-oxygen environment.
&amp;amp;#x200B;
Cells function in a narrow range of pH and when they get too far out of that comfort zone they become cancerous. When cells lose their oxygen they are losing their pH and voltage at the same time.
&amp;amp;#x200B;
[https://drsircus.com/general/cancer-occurs-at-30-millivolts/](https://drsircus.com/general/cancer-occurs-at-30-millivolts/)</t>
        </is>
      </c>
      <c r="D1655" t="n">
        <v>0</v>
      </c>
      <c r="E1655" t="n">
        <v>8</v>
      </c>
      <c r="F1655">
        <f>HYPERLINK("https://www.reddit.com/r/cancer/comments/b982ur/real_doctors_say_cancer_occurs_at_30_millivolts/")</f>
        <v/>
      </c>
      <c r="G1655" t="inlineStr">
        <is>
          <t>2019-04-03 21:12:04</t>
        </is>
      </c>
      <c r="H1655" t="inlineStr"/>
    </row>
    <row r="1656">
      <c r="A1656" t="inlineStr">
        <is>
          <t>b98sd4</t>
        </is>
      </c>
      <c r="B1656" t="inlineStr">
        <is>
          <t>What I learned on reddit...</t>
        </is>
      </c>
      <c r="C1656" t="inlineStr">
        <is>
          <t>My dad was diagnosed with stage IV lung cancer in September of last year. Since then I’ve been following this sub, and I haven’t really posted here, but I always read the posts. I have no segue here...but my dad passed away Monday morning. I’m sitting here getting ready for his funeral...still trying to let it sink in that he’s really gone...and I realized how much this sub has helped me to prepare and cope for this loss. I’ve seen some great advice of things to do/say in preparation and tips on going through the grieving process. Someone mentioned getting a recording so you could hear their voice again, and I’d never thought of that. I’m so grateful for this advice because on tough nights like tonight I can listen to my little recording and it makes it a little easier. I don’t really have anything to add or share, just wanted to say thank you for everyone’s honesty, openness, and willingness to share their own journeys. It really helped me through my own.</t>
        </is>
      </c>
      <c r="D1656" t="n">
        <v>59</v>
      </c>
      <c r="E1656" t="n">
        <v>10</v>
      </c>
      <c r="F1656">
        <f>HYPERLINK("https://www.reddit.com/r/cancer/comments/b98sd4/what_i_learned_on_reddit/")</f>
        <v/>
      </c>
      <c r="G1656" t="inlineStr">
        <is>
          <t>2019-04-03 22:36:04</t>
        </is>
      </c>
      <c r="H1656" t="inlineStr"/>
    </row>
    <row r="1657">
      <c r="A1657" t="inlineStr">
        <is>
          <t>b99io8</t>
        </is>
      </c>
      <c r="B1657" t="inlineStr">
        <is>
          <t>Tips and tricks for a recently diagnosed cancer patient (me)!</t>
        </is>
      </c>
      <c r="C1657" t="inlineStr">
        <is>
          <t xml:space="preserve">Walked into the hospital last Friday with a sore and swollen arm, turns out it was DVT and PE. Just then got officially diagnosed with Classic Hodgkins Lymphoma after a biopsy. 
Not sure what stage yet, they think it’s either 2 or 3; and unsure of what treatment I’ll be undergoing.  
Anyone got any tips or tricks for my days to come? </t>
        </is>
      </c>
      <c r="D1657" t="n">
        <v>2</v>
      </c>
      <c r="E1657" t="n">
        <v>2</v>
      </c>
      <c r="F1657">
        <f>HYPERLINK("https://www.reddit.com/r/cancer/comments/b99io8/tips_and_tricks_for_a_recently_diagnosed_cancer/")</f>
        <v/>
      </c>
      <c r="G1657" t="inlineStr">
        <is>
          <t>2019-04-04 00:07:21</t>
        </is>
      </c>
      <c r="H1657" t="inlineStr"/>
    </row>
    <row r="1658">
      <c r="A1658" t="inlineStr">
        <is>
          <t>b9a3eg</t>
        </is>
      </c>
      <c r="B1658" t="inlineStr">
        <is>
          <t>LEEP treatment</t>
        </is>
      </c>
      <c r="C1658" t="inlineStr">
        <is>
          <t xml:space="preserve">I have just had to have loop or leep treatment due to high risk cells on my cervix. They’re going off for testing but I have no idea what that means. I should have asked more questions but I was a little in shock. I’m very much in the head space of, sure these things happen but not to me and now it is happening to me. I was aware the treatment may be needed but I didn’t think I’d need it as it was so surreal I guess and it happened so fast. I went in to have a closer look at the cells and then she said we’d do the treatment and in 6min or so it was done and I was getting dressed and ushered out. 
Has anyone had this treatment before? If it comes back as cancerous do I need the treatment again? I read the literature saying pregnancy can now have added complications which broke my heart as my partner and I are going to start trying once we are back from holiday in October. I know if I have another treatment pregnancy issues will almost be a certainty and that scares me. 
In my head I’m thinking they’ve removed all the cells so even if it’s cancerous they’ve already done the treatment so surely thats the end of it right? 
I wish I’d asked more questions whilst I was there Monday. If anyone can shed any light on this I’d be very appreciative. </t>
        </is>
      </c>
      <c r="D1658" t="n">
        <v>2</v>
      </c>
      <c r="E1658" t="n">
        <v>7</v>
      </c>
      <c r="F1658">
        <f>HYPERLINK("https://www.reddit.com/r/cancer/comments/b9a3eg/leep_treatment/")</f>
        <v/>
      </c>
      <c r="G1658" t="inlineStr">
        <is>
          <t>2019-04-04 01:22:36</t>
        </is>
      </c>
      <c r="H1658" t="inlineStr"/>
    </row>
    <row r="1659">
      <c r="A1659" t="inlineStr">
        <is>
          <t>b9ao1v</t>
        </is>
      </c>
      <c r="B1659" t="inlineStr">
        <is>
          <t>Social Media Network for cancer fighters, survivors, and caregivers around the globe</t>
        </is>
      </c>
      <c r="C1659" t="inlineStr">
        <is>
          <t xml:space="preserve">Hello guys, 
&amp;amp;#x200B;
How all are you doing?
&amp;amp;#x200B;
I am quite excited to share with you that we have launched an updated version of [CancerBro](https://www.cancerbro.com)\- An innovative social media platform for people affected with cancer.
&amp;amp;#x200B;
Just have a look and share your feedback on how it can be improved. 
&amp;amp;#x200B;
I hope you will love it!!!
&amp;amp;#x200B;
Thank you so much. 
&amp;amp;#x200B;
P.S: Very soon I will also add the option to let people connected with each other based on their interests. </t>
        </is>
      </c>
      <c r="D1659" t="n">
        <v>5</v>
      </c>
      <c r="E1659" t="n">
        <v>4</v>
      </c>
      <c r="F1659">
        <f>HYPERLINK("https://www.reddit.com/r/cancer/comments/b9ao1v/social_media_network_for_cancer_fighters/")</f>
        <v/>
      </c>
      <c r="G1659" t="inlineStr">
        <is>
          <t>2019-04-04 02:42:37</t>
        </is>
      </c>
      <c r="H1659" t="inlineStr"/>
    </row>
    <row r="1660">
      <c r="A1660" t="inlineStr">
        <is>
          <t>b9av3i</t>
        </is>
      </c>
      <c r="B1660" t="inlineStr">
        <is>
          <t>Nightmares after anesthesia?</t>
        </is>
      </c>
      <c r="C1660" t="inlineStr">
        <is>
          <t>I've had multiple surgeries, 20+ surgeries, my longest one  was five hours.  More recently when I've had to go under they have needed to give me a higher dose because I was moving and waking up on the table. The night after every surgery I seem to have nightmares about the OR, have any of you experienced this after surgery?</t>
        </is>
      </c>
      <c r="D1660" t="n">
        <v>2</v>
      </c>
      <c r="E1660" t="n">
        <v>2</v>
      </c>
      <c r="F1660">
        <f>HYPERLINK("https://www.reddit.com/r/cancer/comments/b9av3i/nightmares_after_anesthesia/")</f>
        <v/>
      </c>
      <c r="G1660" t="inlineStr">
        <is>
          <t>2019-04-04 03:06:36</t>
        </is>
      </c>
      <c r="H1660" t="inlineStr"/>
    </row>
    <row r="1661">
      <c r="A1661" t="inlineStr">
        <is>
          <t>b9cddo</t>
        </is>
      </c>
      <c r="B1661" t="inlineStr">
        <is>
          <t>Metastasized liver cancer from common bile duct</t>
        </is>
      </c>
      <c r="C1661" t="inlineStr">
        <is>
          <t xml:space="preserve">My father cancer has metastasized and contaminated 20% of his liver from common bile duct cellular cancer, non tumour. The liver has been deemed inoperable and recommendation is to not perform chemotherapy and too make the best of the time he has left.
Does anyone know a person in a similar situation with matching cancer types. If so what should we expect when it comes to quality of life in the coming months. How long should he expect to live.
</t>
        </is>
      </c>
      <c r="D1661" t="n">
        <v>10</v>
      </c>
      <c r="E1661" t="n">
        <v>6</v>
      </c>
      <c r="F1661">
        <f>HYPERLINK("https://www.reddit.com/r/cancer/comments/b9cddo/metastasized_liver_cancer_from_common_bile_duct/")</f>
        <v/>
      </c>
      <c r="G1661" t="inlineStr">
        <is>
          <t>2019-04-04 05:56:53</t>
        </is>
      </c>
      <c r="H1661" t="inlineStr"/>
    </row>
    <row r="1662">
      <c r="A1662" t="inlineStr">
        <is>
          <t>b9d364</t>
        </is>
      </c>
      <c r="B1662" t="inlineStr">
        <is>
          <t>Hoping......</t>
        </is>
      </c>
      <c r="C1662" t="inlineStr">
        <is>
          <t xml:space="preserve">Just sitting in a room becoming radioactive for a PET scan hoping and praying that my cancer is not back. It’s not looking good. I scored an 81 on the CA125 and had an enlarged lymph node on the CT. 
This is my first close call since being clear.  The stress is awful. I hate cancer. I hate what it puts people through. I hate for my family that they have to worry. </t>
        </is>
      </c>
      <c r="D1662" t="n">
        <v>52</v>
      </c>
      <c r="E1662" t="n">
        <v>17</v>
      </c>
      <c r="F1662">
        <f>HYPERLINK("https://www.reddit.com/r/cancer/comments/b9d364/hoping/")</f>
        <v/>
      </c>
      <c r="G1662" t="inlineStr">
        <is>
          <t>2019-04-04 07:02:07</t>
        </is>
      </c>
      <c r="H1662" t="inlineStr"/>
    </row>
    <row r="1663">
      <c r="A1663" t="inlineStr">
        <is>
          <t>b9dnao</t>
        </is>
      </c>
      <c r="B1663" t="inlineStr">
        <is>
          <t>Can you help me understand the skin changes from cancer</t>
        </is>
      </c>
      <c r="C1663" t="inlineStr">
        <is>
          <t>Hello and thank you in advance for reading this and any reply will be welcome. My husband is in remission from 4th stage nasopharyngeal cancer. He went through 30 rounds of radiation to head/throat area and 5 years of chemo.He has been on immune therapy for about a year and it been like a miracle. The test and imaging show his cancer hasn’t grown but I see physical changes that alarm me. His weight has evened out and he isn’t losing weight but his skin and his facial features are rapidly changing. He looks gaunt and his skin is sagging and wrinkled. He is getting weaker too. I’ve noticed this and mentioned it to Dr. I was told to give him lotion baths and massage his skin. Dr can’t tell me why his skin is breaking down. I do ROM exercises for him and don’t know what this drastic skin change means. 
Thank you for any answer or help you can give me. No one has any answers for me and I’ve turned to you.</t>
        </is>
      </c>
      <c r="D1663" t="n">
        <v>1</v>
      </c>
      <c r="E1663" t="n">
        <v>0</v>
      </c>
      <c r="F1663">
        <f>HYPERLINK("https://www.reddit.com/r/cancer/comments/b9dnao/can_you_help_me_understand_the_skin_changes_from/")</f>
        <v/>
      </c>
      <c r="G1663" t="inlineStr">
        <is>
          <t>2019-04-04 07:47:52</t>
        </is>
      </c>
      <c r="H1663" t="inlineStr"/>
    </row>
    <row r="1664">
      <c r="A1664" t="inlineStr">
        <is>
          <t>b9dnm5</t>
        </is>
      </c>
      <c r="B1664" t="inlineStr">
        <is>
          <t>Just had my haircut for the first time in 3 years</t>
        </is>
      </c>
      <c r="C1664" t="inlineStr">
        <is>
          <t xml:space="preserve">Just been to the barbers and have a lovely hair cut, shave etc. Feels so nice to look “presentable” again. 
I lost all my hair when I had chemotherapy. At the age of 30 and being a teacher in a high school it caused a lot of talk and odd looks. My hair started growing back about 3 months ago and today it looks nice and tidy. 
Small things go a very long way. I’m so happy </t>
        </is>
      </c>
      <c r="D1664" t="n">
        <v>26</v>
      </c>
      <c r="E1664" t="n">
        <v>9</v>
      </c>
      <c r="F1664">
        <f>HYPERLINK("https://www.reddit.com/r/cancer/comments/b9dnm5/just_had_my_haircut_for_the_first_time_in_3_years/")</f>
        <v/>
      </c>
      <c r="G1664" t="inlineStr">
        <is>
          <t>2019-04-04 07:48:36</t>
        </is>
      </c>
      <c r="H1664" t="inlineStr"/>
    </row>
    <row r="1665">
      <c r="A1665" t="inlineStr">
        <is>
          <t>b9e968</t>
        </is>
      </c>
      <c r="B1665" t="inlineStr">
        <is>
          <t>Last chemo!</t>
        </is>
      </c>
      <c r="C1665" t="inlineStr">
        <is>
          <t xml:space="preserve">After 13 rounds of chemos , 5 days in the hospital inpatient and outpatient I’m finally going to be finished Saturday! . 10 long months, 1 baby delivered early, 3 surgeries, 31 days of radiation, 34 days in the hospital, 37 chemo infusions. I’ve been NED since October but protocol, is protocol though my dr is stopping me a round early. I’m very excited but also very nervous. This is all I know especially with a baby.  How do you all deal with post treatment anxiety? My cancer has a high reoccurrence rate as well. </t>
        </is>
      </c>
      <c r="D1665" t="n">
        <v>9</v>
      </c>
      <c r="E1665" t="n">
        <v>4</v>
      </c>
      <c r="F1665">
        <f>HYPERLINK("https://www.reddit.com/r/cancer/comments/b9e968/last_chemo/")</f>
        <v/>
      </c>
      <c r="G1665" t="inlineStr">
        <is>
          <t>2019-04-04 08:36:17</t>
        </is>
      </c>
      <c r="H1665" t="inlineStr"/>
    </row>
    <row r="1666">
      <c r="A1666" t="inlineStr">
        <is>
          <t>b9el16</t>
        </is>
      </c>
      <c r="B1666" t="inlineStr">
        <is>
          <t>Can oral cancer spread to body and lymph nodes?</t>
        </is>
      </c>
      <c r="C1666" t="inlineStr">
        <is>
          <t>At which stage can oral cancer be completely cured by surgery and plastic surgery? Is there any way to know how the rest of the body is working after treatment in future? Any full body tests that detect cancer?</t>
        </is>
      </c>
      <c r="D1666" t="n">
        <v>3</v>
      </c>
      <c r="E1666" t="n">
        <v>2</v>
      </c>
      <c r="F1666">
        <f>HYPERLINK("https://www.reddit.com/r/cancer/comments/b9el16/can_oral_cancer_spread_to_body_and_lymph_nodes/")</f>
        <v/>
      </c>
      <c r="G1666" t="inlineStr">
        <is>
          <t>2019-04-04 09:01:36</t>
        </is>
      </c>
      <c r="H1666" t="inlineStr"/>
    </row>
    <row r="1667">
      <c r="A1667" t="inlineStr">
        <is>
          <t>b9fub3</t>
        </is>
      </c>
      <c r="B1667" t="inlineStr">
        <is>
          <t>My 19 year old friend is diagnosed with stage 4 brain cancer.</t>
        </is>
      </c>
      <c r="C1667" t="inlineStr">
        <is>
          <t xml:space="preserve">I tried to read about it but, I understand it is terminal.
He's done the surgery and removed some of the "tumor" or "cancer cells", information is not very detailed but that's why I heard.
After the surgery, he went to a coma, wether its medically induced or not, I do not know.
I do not know of the state of his body right now, at this younger age the information going around is not very dependable, my question is:
In this current state of him being in a coma, is that worse for his state or better as to avoid any damage to his brain after surgery?
Is this stage of cancer terminal? Meaning that if he gets to wake up, it is only a matter of time?
No symptoms whatsoever happened to him prior to the doctor's diagnosis but two days prior when he started getting the headaches, is it possible to hit stage 4 so suddenly without longer symptoms? 
</t>
        </is>
      </c>
      <c r="D1667" t="n">
        <v>2</v>
      </c>
      <c r="E1667" t="n">
        <v>3</v>
      </c>
      <c r="F1667">
        <f>HYPERLINK("https://www.reddit.com/r/cancer/comments/b9fub3/my_19_year_old_friend_is_diagnosed_with_stage_4/")</f>
        <v/>
      </c>
      <c r="G1667" t="inlineStr">
        <is>
          <t>2019-04-04 10:40:29</t>
        </is>
      </c>
      <c r="H1667" t="inlineStr"/>
    </row>
    <row r="1668">
      <c r="A1668" t="inlineStr">
        <is>
          <t>b9go2r</t>
        </is>
      </c>
      <c r="B1668" t="inlineStr">
        <is>
          <t>Acid reflux after Chemo treatment</t>
        </is>
      </c>
      <c r="C1668" t="inlineStr">
        <is>
          <t>I have a quick question for y’all. I’ve for the past 2 months after chemo have been having acid reflux which involves me every morning spitting up vile and saliva. Is this normal? If not what should I do about it. (Note that I have been on acid reflux meds which have not worked).</t>
        </is>
      </c>
      <c r="D1668" t="n">
        <v>2</v>
      </c>
      <c r="E1668" t="n">
        <v>3</v>
      </c>
      <c r="F1668">
        <f>HYPERLINK("https://www.reddit.com/r/cancer/comments/b9go2r/acid_reflux_after_chemo_treatment/")</f>
        <v/>
      </c>
      <c r="G1668" t="inlineStr">
        <is>
          <t>2019-04-04 11:45:59</t>
        </is>
      </c>
      <c r="H1668" t="inlineStr"/>
    </row>
    <row r="1669">
      <c r="A1669" t="inlineStr">
        <is>
          <t>b9hmrk</t>
        </is>
      </c>
      <c r="B1669" t="inlineStr">
        <is>
          <t>Day after surgery love</t>
        </is>
      </c>
      <c r="C1669" t="inlineStr">
        <is>
          <t xml:space="preserve">Had surgery yesterday to treat cervical cancer. It was a tough day but I had some amazing nurses and my fiancé didn’t leave my side. He has been such a supporter with handling it all. I can’t wait to marry him IN ONE MONTH! Crazy. I have also received a lot of gifts through the mail: edible arrangements and flowers from family and friends. Lastly, my high school students have been emailing me asking for updates and warm wishes. I just feel blessed to have these amazing people in my life during this challenging time. Now to relax and recover :) </t>
        </is>
      </c>
      <c r="D1669" t="n">
        <v>7</v>
      </c>
      <c r="E1669" t="n">
        <v>2</v>
      </c>
      <c r="F1669">
        <f>HYPERLINK("https://www.reddit.com/r/cancer/comments/b9hmrk/day_after_surgery_love/")</f>
        <v/>
      </c>
      <c r="G1669" t="inlineStr">
        <is>
          <t>2019-04-04 13:04:31</t>
        </is>
      </c>
      <c r="H1669" t="inlineStr"/>
    </row>
    <row r="1670">
      <c r="A1670" t="inlineStr">
        <is>
          <t>b9hn19</t>
        </is>
      </c>
      <c r="B1670" t="inlineStr">
        <is>
          <t>Making the best of the time left...</t>
        </is>
      </c>
      <c r="C1670" t="inlineStr">
        <is>
          <t xml:space="preserve">My mom is 70 and looks like she has pretty aggressive cancer. It’s her second bout and not sure how much time we have left. Looking for ideas to make the best of this time. My kid is about to turn 3. I want him to remember her or as best I can preserve a memory of such a wonderful woman. I was thinking of asking her to make a video for him. Is that weird or heartless? My mom has always been the one keeping up the ancestry and documenting stories and things for the family and I want her to be remembered. I just want to make the best of the time we have left with her. </t>
        </is>
      </c>
      <c r="D1670" t="n">
        <v>3</v>
      </c>
      <c r="E1670" t="n">
        <v>4</v>
      </c>
      <c r="F1670">
        <f>HYPERLINK("https://www.reddit.com/r/cancer/comments/b9hn19/making_the_best_of_the_time_left/")</f>
        <v/>
      </c>
      <c r="G1670" t="inlineStr">
        <is>
          <t>2019-04-04 13:05:10</t>
        </is>
      </c>
      <c r="H1670" t="inlineStr"/>
    </row>
    <row r="1671">
      <c r="A1671" t="inlineStr">
        <is>
          <t>b9hv0k</t>
        </is>
      </c>
      <c r="B1671" t="inlineStr">
        <is>
          <t>A bad day at the hospital.</t>
        </is>
      </c>
      <c r="C1671" t="inlineStr">
        <is>
          <t>I'll start this post with a small backstory. My 5 year old son has been in hospital for the majority of the time since Boxing Day (26th December for those outside the UK) with non hodgkin's lymphoma. We are progressing according to plan and hope to be done with this hell sometime around May.
So at one end of the ward we are in is a large room for gathering lots of people. In this room is a large silver bell. The purpose of this bell is that it is rung when the child is going home for the last time. Our goal at the moment is to get to the point where we ring the everliving shit out of that  I was painfully reminded that not everybody gets to ring that bell. Not everybody's little boy gets to go home at the end of this journey. That sometimes, the most horrible of things happen.
I know in my head that this is no closer than any other person out there, but this one has hit close to home today. I guess I just needed to put my thoughts somewhere out there.
Just remember folks, you can hug people today, so you should do so. Try to hug someone every day if you can.
Oh and as always, fuck cancer.</t>
        </is>
      </c>
      <c r="D1671" t="n">
        <v>18</v>
      </c>
      <c r="E1671" t="n">
        <v>7</v>
      </c>
      <c r="F1671">
        <f>HYPERLINK("https://www.reddit.com/r/cancer/comments/b9hv0k/a_bad_day_at_the_hospital/")</f>
        <v/>
      </c>
      <c r="G1671" t="inlineStr">
        <is>
          <t>2019-04-04 13:23:17</t>
        </is>
      </c>
      <c r="H1671" t="inlineStr"/>
    </row>
    <row r="1672">
      <c r="A1672" t="inlineStr">
        <is>
          <t>b9hy2y</t>
        </is>
      </c>
      <c r="B1672" t="inlineStr">
        <is>
          <t>Mother has multiple outbreaks of cancer, how can I cope being away?</t>
        </is>
      </c>
      <c r="C1672" t="inlineStr">
        <is>
          <t xml:space="preserve">Well better to tell a bunch of strangers than keeping it bottled up its killing me inside. Months ago on my mothers anniversary she collapsed wile my dad was taking her on a second honeymoon.. (Their anniversary is on his birthday) I drove over 47 hours through multiple states to get to her bed side, I thought I had lost her. Afterwords it was named brain cancer, slowly we made progress on the tumors then it spread through to her lungs. As of right now I'm on a deployment with the United States army I've been attempting to keep strong but the last picture I saw of my mother her hair had turned completely white and she had aged years. Its started keeping  me up every night. How should I process all of this? Even her voice sounds weak over the phone.. Sorry for the long spiral, found out I had an old friend killed back home today. </t>
        </is>
      </c>
      <c r="D1672" t="n">
        <v>8</v>
      </c>
      <c r="E1672" t="n">
        <v>10</v>
      </c>
      <c r="F1672">
        <f>HYPERLINK("https://www.reddit.com/r/cancer/comments/b9hy2y/mother_has_multiple_outbreaks_of_cancer_how_can_i/")</f>
        <v/>
      </c>
      <c r="G1672" t="inlineStr">
        <is>
          <t>2019-04-04 13:29:58</t>
        </is>
      </c>
      <c r="H1672" t="inlineStr"/>
    </row>
    <row r="1673">
      <c r="A1673" t="inlineStr">
        <is>
          <t>b9i2ua</t>
        </is>
      </c>
      <c r="B1673" t="inlineStr">
        <is>
          <t>My mother's pathology</t>
        </is>
      </c>
      <c r="C1673" t="inlineStr">
        <is>
          <t xml:space="preserve">Well it came back today she waited 3 months and fought with doctors to have her lobe removed because she refused the biopsy in fear they wouldn't cut it out. But today the results came back as non small cell with 0 sopead to her lymph nodes so apparently she needs preventative chemo and then may be cured. So great news had to share. </t>
        </is>
      </c>
      <c r="D1673" t="n">
        <v>14</v>
      </c>
      <c r="E1673" t="n">
        <v>3</v>
      </c>
      <c r="F1673">
        <f>HYPERLINK("https://www.reddit.com/r/cancer/comments/b9i2ua/my_mothers_pathology/")</f>
        <v/>
      </c>
      <c r="G1673" t="inlineStr">
        <is>
          <t>2019-04-04 13:40:40</t>
        </is>
      </c>
      <c r="H1673" t="inlineStr"/>
    </row>
    <row r="1674">
      <c r="A1674" t="inlineStr">
        <is>
          <t>b9ia48</t>
        </is>
      </c>
      <c r="B1674" t="inlineStr">
        <is>
          <t>Here's the thing they don't tell you about a cancer diagnosis...</t>
        </is>
      </c>
      <c r="C1674" t="inlineStr">
        <is>
          <t xml:space="preserve">I was diagnosed with clear cell renal cell carcinoma in 2016. It was shocking, especially considering I was only 42 with no family history. "They" literally called it a fluke. Finding it was a fluke. I had a horrendous open partial nephrectomy a week later and the recovery was awful. Sadly, though, the emotional aftermath was/is far worse. No one mentions that during diagnosis or before and after surgery. No one tells you that every sniffle brings a paralyzing fear. Every ache, every pain feels like being in a haunted house where something may be lurking behind the corner ready to jump out at you. That's the thing "they" don't tell you. Or at least no one told me. My mom still cries. My husband is basically walking around in that haunted house with me, gripped with fear every time I have to have a scan or mention not feeling well. What brings me to these thoughts, strong enough to make me write about it is that I have had a persistent headache for months now. Sometimes it's just a nagging type thing that I can brush off and ignore. Sometimes it is worse. 2 migraines in 2 months but hadn't had one in a decade previously. My memory has suddenly become iffy and I forgot which way to turn in an intersection recently (even though I have driven through it twice a day for 7 years). My balance is off and I've had to catch myself from falling several times in a few weeks. I can't tell you how many times I've joked before about having a brain tumor when I've forgotten something simple or done something ridiculous but I'd be lying if I said I am anything short of terrified right now. That's the thing "they" don't tell you! You will spend the rest of your life thinking "what if that is...". I have SO much respect for the people who are able to walk away from their diagnosis with a clear healthy mind but damn I'm not one of them! </t>
        </is>
      </c>
      <c r="D1674" t="n">
        <v>108</v>
      </c>
      <c r="E1674" t="n">
        <v>52</v>
      </c>
      <c r="F1674">
        <f>HYPERLINK("https://www.reddit.com/r/cancer/comments/b9ia48/heres_the_thing_they_dont_tell_you_about_a_cancer/")</f>
        <v/>
      </c>
      <c r="G1674" t="inlineStr">
        <is>
          <t>2019-04-04 13:57:29</t>
        </is>
      </c>
      <c r="H1674" t="inlineStr"/>
    </row>
    <row r="1675">
      <c r="A1675" t="inlineStr">
        <is>
          <t>b9is2r</t>
        </is>
      </c>
      <c r="B1675" t="inlineStr">
        <is>
          <t>Methotrexate</t>
        </is>
      </c>
      <c r="C1675" t="inlineStr">
        <is>
          <t>Im due to begin rounds of methotrexate, its unclear what form I will be prescribed. Has anyone take the oral tablets or solutions as apposed to the daily injections of Methotrexate? Side effects? Hair loss? 
Really nervous, just looking for some comfort.</t>
        </is>
      </c>
      <c r="D1675" t="n">
        <v>2</v>
      </c>
      <c r="E1675" t="n">
        <v>5</v>
      </c>
      <c r="F1675">
        <f>HYPERLINK("https://www.reddit.com/r/cancer/comments/b9is2r/methotrexate/")</f>
        <v/>
      </c>
      <c r="G1675" t="inlineStr">
        <is>
          <t>2019-04-04 14:40:12</t>
        </is>
      </c>
      <c r="H1675" t="inlineStr"/>
    </row>
    <row r="1676">
      <c r="A1676" t="inlineStr">
        <is>
          <t>b9jbgx</t>
        </is>
      </c>
      <c r="B1676" t="inlineStr">
        <is>
          <t>Newbie here.</t>
        </is>
      </c>
      <c r="C1676" t="inlineStr">
        <is>
          <t>Got diagnosed this past week with rectal cancer. Been having problems with my digestive system for about a year. I have anxiety disorder and hate hospitals but I developed an abscess outside my colon that was too painful to ignore. 12 hours in a badly run ER, two cathadars, one tube drilled into my butcheek to drain fluid into a bag (which I hopefully get removed tomorrow), two catscans, loads of antiobiotics and not nearly enough pain meds later I'm home and getting things set up. They say my tumor is "bulky", but so far my other organs are looking good. Going for an mri soon after the bag.
So yeah, just thought I'd say hi here. I'm not really scared, more annoyed if that makes any sense. This type of cancer runs on my mom's side so it was probably inevitable. Trying to quit smoking cigs but it is hard with the stress.</t>
        </is>
      </c>
      <c r="D1676" t="n">
        <v>4</v>
      </c>
      <c r="E1676" t="n">
        <v>3</v>
      </c>
      <c r="F1676">
        <f>HYPERLINK("https://www.reddit.com/r/cancer/comments/b9jbgx/newbie_here/")</f>
        <v/>
      </c>
      <c r="G1676" t="inlineStr">
        <is>
          <t>2019-04-04 15:28:46</t>
        </is>
      </c>
      <c r="H1676" t="inlineStr"/>
    </row>
    <row r="1677">
      <c r="A1677" t="inlineStr">
        <is>
          <t>b9k0o3</t>
        </is>
      </c>
      <c r="B1677" t="inlineStr">
        <is>
          <t>A few brief words on mouth sores</t>
        </is>
      </c>
      <c r="C1677" t="inlineStr">
        <is>
          <t xml:space="preserve">Those painful sores that just won't go away? Getting chemo and can't bear to eat or drink because of raw spots in your mouth? Been on the antibiotics yet again because your post-Tx immune system is still shit and have ulcers in your mouth thanks to a good bacteria / fungal imbalance? We've all been there! But wait, folks, there's good news. Relief may be in sight. A simple Q-tip / cotton swab application of tincture of benzoin\*, available cheap and otc at most fine pharmacies and drug stores, can create a spit-proof barrier that immediately stops the pain, promotes healing, and allows you to eat and drink again within minutes!   
I have tried the mouthwashes and the nurses recommendations to rinse with water and those have afforded me zero relief. Benzoin actually works. I just got off more antibiotics and this worked so well for my mouth sores I thought I better share it before I forgot. 
\*Tincture of benzoin, despite the similarity in naming convention, is not one of those new age-y miracle cures, but rather the resin of the styrax tree dissolved in alcohol. It has been used for antiseptic dressings, holding down mountaineering and rafting hand wraps, in cosmetics, and apparently even in food. </t>
        </is>
      </c>
      <c r="D1677" t="n">
        <v>3</v>
      </c>
      <c r="E1677" t="n">
        <v>7</v>
      </c>
      <c r="F1677">
        <f>HYPERLINK("https://www.reddit.com/r/cancer/comments/b9k0o3/a_few_brief_words_on_mouth_sores/")</f>
        <v/>
      </c>
      <c r="G1677" t="inlineStr">
        <is>
          <t>2019-04-04 16:36:25</t>
        </is>
      </c>
      <c r="H1677" t="inlineStr"/>
    </row>
    <row r="1678">
      <c r="A1678" t="inlineStr">
        <is>
          <t>b9kthj</t>
        </is>
      </c>
      <c r="B1678" t="inlineStr">
        <is>
          <t>Lung cancer spread to lymph nodes and spine...how do they stage cancer?</t>
        </is>
      </c>
      <c r="C1678" t="inlineStr">
        <is>
          <t xml:space="preserve">My step dad (64), the man the raised me, just got the results from his PET scan after he started coughing up blood a month ago and an MRI showed a 2cm nodule in his upper right lung. The PET scan showed a spot on one of his lymph nodes and a spot at the bottom of his spine. The biopsy was today and they biopsied both the lung and the lymphnode but couldnt do the one at the bottom of his spine because it was "spread out" as my mom put it. I have no idea what that means. We won't know for sure that the spine/lympnode spots are the cancer spreading until we get the official results on Monday at 1, but we all know it is. We don't even know what kind of lung cancer it is yet, but he smoked his entire life up until a couple years ago. I'm devastated and still in shock. Ive seen the statistics, and I know it's bad. But how do they stage cancer? I know they grade it if the cancer is localized, regional, or distant...but what do they consider regional and distant? Im assuming he's stage 3 or 4 obviously if it has spread that much. I guess I just want to know what noone is going to be able to tell me, which is what now? It's going to be a long, long weekend. </t>
        </is>
      </c>
      <c r="D1678" t="n">
        <v>1</v>
      </c>
      <c r="E1678" t="n">
        <v>5</v>
      </c>
      <c r="F1678">
        <f>HYPERLINK("https://www.reddit.com/r/cancer/comments/b9kthj/lung_cancer_spread_to_lymph_nodes_and_spinehow_do/")</f>
        <v/>
      </c>
      <c r="G1678" t="inlineStr">
        <is>
          <t>2019-04-04 17:57:09</t>
        </is>
      </c>
      <c r="H1678" t="inlineStr"/>
    </row>
    <row r="1679">
      <c r="A1679" t="inlineStr">
        <is>
          <t>b9l1o5</t>
        </is>
      </c>
      <c r="B1679" t="inlineStr">
        <is>
          <t>Acanthosis nigricans? Do i have cancer?</t>
        </is>
      </c>
      <c r="C1679" t="inlineStr">
        <is>
          <t xml:space="preserve">I have what I and my GP think is acanthosis nigricans on my big toes. I have had it before, it lasted a couple of years, then went away for a couple of years, and is now back. About 2 months ago, one day it wasnt there, and the next it was.  From what i understand, it is common in African Americans and usually benign or related to obesity/insulin. However, I'm a white 30 year old female who is 135lbs (at 5'9) and have had lots of bloodwork over the years that never showed any signs of diabetic or sugar issues. 
What seems to accompany the AN is this strange thing where large meals cause my entire abdomen *including the skin* to hurt for the next day or two. When i had AN a couple of years ago, this was also happening, and for the 2 years my AN was gone, so was this! And now, returning with the AN, is this bizarre eating issue. It's not related to *what* i eat, as i have experimentally cut out carbs and fats at different periods of time, which had no effect- the only cause is *amount*. Small meals don't do it, an indulgent dinner will. This time, however, I've been having pretty frequent pain and painful nausea in my actual stomach. 
So i told all of this to my GP today and she is setting me up with an ultrasound of my stomach, dermatologist, a GI specialist, and i had my blood drawn for possible newly occurring insulin issues (which i still very much doubt is the cause) and to look for things that might be present if there is cancer.
What do you think? 
</t>
        </is>
      </c>
      <c r="D1679" t="n">
        <v>0</v>
      </c>
      <c r="E1679" t="n">
        <v>2</v>
      </c>
      <c r="F1679">
        <f>HYPERLINK("https://www.reddit.com/r/cancer/comments/b9l1o5/acanthosis_nigricans_do_i_have_cancer/")</f>
        <v/>
      </c>
      <c r="G1679" t="inlineStr">
        <is>
          <t>2019-04-04 18:20:12</t>
        </is>
      </c>
      <c r="H1679" t="inlineStr"/>
    </row>
    <row r="1680">
      <c r="A1680" t="inlineStr">
        <is>
          <t>b9ltlx</t>
        </is>
      </c>
      <c r="B1680" t="inlineStr">
        <is>
          <t>Hair loss after whole brain radiation</t>
        </is>
      </c>
      <c r="C1680" t="inlineStr">
        <is>
          <t>Hey all,
I'm feeling a bit lost tonight and was hoping to find someone who has been through something similar. Last December I finished whole brain radiation for metastatic breast cancer. I was already bald from chemo, but they told me hair loss was a side effect. Ok, no biggie, I was already in the middle of that.
Today I had a follow-up with my radiation oncologist because I'm having some dizziness, but I showed her my scalp which is still mostly bald. I have some patchy growth on the sides, and a thick patch at the base of my skull where radiation missed, but otherwise I'm still smooth on top and between the patches. She told me that the bald patches are where the dose was highest, and that she "hopes" it'll grow back, and then referred me to the clinic's hairstyles who helps patients choose wigs. I'm feeling silly because I guess it never occurred to me that hair loss might be permanent. And I'm feeling shallow because, despite being lucky in multiple aspects of this whole disease, and despite radiation being hugely successful, instead I'm worrying that I'll be bald for the rest of my life. I'm 29/F, since diagnosis I've had to come to terms with so many changes, but for whatever reason, this is really affecting me.
Has anyone here who had whole brain radiation experienced permanent hair loss? If it eventually grew back, how long did it take before you started seeing growth? Thanks.</t>
        </is>
      </c>
      <c r="D1680" t="n">
        <v>1</v>
      </c>
      <c r="E1680" t="n">
        <v>3</v>
      </c>
      <c r="F1680">
        <f>HYPERLINK("https://www.reddit.com/r/cancer/comments/b9ltlx/hair_loss_after_whole_brain_radiation/")</f>
        <v/>
      </c>
      <c r="G1680" t="inlineStr">
        <is>
          <t>2019-04-04 19:39:24</t>
        </is>
      </c>
      <c r="H1680" t="inlineStr"/>
    </row>
    <row r="1681">
      <c r="A1681" t="inlineStr">
        <is>
          <t>b9m2rc</t>
        </is>
      </c>
      <c r="B1681" t="inlineStr">
        <is>
          <t>After the CT scan my mother wants to “talk”</t>
        </is>
      </c>
      <c r="C1681" t="inlineStr">
        <is>
          <t>Two weeks ago we were all joking that the small lump on her stomach was a tumor. Fast forward to today and in her blood test the cancer indicative was above average. 
My parents are divorced and I need to wait a couple of days to see her. She told me a cardiologist told her there were signs of malignancy in what appeared to be a tumor in her colon and sent her to an oncologist that already scheduled a surgery and conducted a CT scan. 
She is always sweating at night, though she doesn’t have the common cancer symptoms that I always imagined.I don’t think it has spread since she didn’t text too much and told me the doctor was waiting to conduct the biopsy soon enough for more “concrete results”, though they’ve already had a long talk.
I expect at least some preventive chemo or something, but getting the news about such event is nerve wrecking. Will I become less worried over time? How will it affect my life and will I be able to live as normal by going to school as a good student and with many afternoon activities? How should I explain to people the situation and how often is it relevant? I just have many initial thoughts and I’m trying to be prepared for when the worst comes.</t>
        </is>
      </c>
      <c r="D1681" t="n">
        <v>2</v>
      </c>
      <c r="E1681" t="n">
        <v>4</v>
      </c>
      <c r="F1681">
        <f>HYPERLINK("https://www.reddit.com/r/cancer/comments/b9m2rc/after_the_ct_scan_my_mother_wants_to_talk/")</f>
        <v/>
      </c>
      <c r="G1681" t="inlineStr">
        <is>
          <t>2019-04-04 20:06:37</t>
        </is>
      </c>
      <c r="H1681" t="inlineStr"/>
    </row>
    <row r="1682">
      <c r="A1682" t="inlineStr">
        <is>
          <t>b9m7ob</t>
        </is>
      </c>
      <c r="B1682" t="inlineStr">
        <is>
          <t>Mom just diagnosed with colon cancer</t>
        </is>
      </c>
      <c r="C1682" t="inlineStr">
        <is>
          <t xml:space="preserve">Hey everyone I’m still in a bit of shock so sorry if I’m not too coherent or I forget somethings. I don’t have too much info other than my mom was just diagnosed with colon cancer a few hours ago. She’s going to get more tests Monday, such as a blood test and whatever else they need to do. 
So we don’t know the stage of the cancer or anything. I just wanted to ask for some advice if anyone has info
1. I know the Keto diet is supposed to have some benefits for being a healthier diet while you have cancer. Not like it cures it but it helps to lower carb intake. I was curious my mom says she is already very low energy and tired. Is it a bad idea then to eliminate carbs from her diet? Or if we do should we do it at a paced out amount? I’m worried taking carbs entirely out or too low will make her unbearably exhausted. How long does it take to adjust to the Keto diet? 
2. What are some good exercise routines for a woman of her age? Is just walking ok? Or should we try to get her heart rate more elevated with slightly more intense exercise? I don’t wanna overdo it. But I would like to start working out with her to help her drop some weight. She’s 5’4 and 148 so not obese but I think still technically considered overweight 
3. Any other advice is welcome </t>
        </is>
      </c>
      <c r="D1682" t="n">
        <v>1</v>
      </c>
      <c r="E1682" t="n">
        <v>9</v>
      </c>
      <c r="F1682">
        <f>HYPERLINK("https://www.reddit.com/r/cancer/comments/b9m7ob/mom_just_diagnosed_with_colon_cancer/")</f>
        <v/>
      </c>
      <c r="G1682" t="inlineStr">
        <is>
          <t>2019-04-04 20:21:32</t>
        </is>
      </c>
      <c r="H1682" t="inlineStr"/>
    </row>
    <row r="1683">
      <c r="A1683" t="inlineStr">
        <is>
          <t>b9nh9w</t>
        </is>
      </c>
      <c r="B1683" t="inlineStr">
        <is>
          <t>Can sleeping by a TV cause cancer?</t>
        </is>
      </c>
      <c r="C1683" t="inlineStr">
        <is>
          <t>My room has three tvs (me and my two other siblings sleep in there). One of them is a computer monitor (for my sister) and the main one is the tv for all of us. For some reason my brother has his own tv hooked up on the wall for his video games (stupid). Anyways, my head just so happens to be sleeping by that TV at night. Like right by it and maybe a foot away from it. It’s always turned off when I sleep there. Will it cause cancer? It is a Samsung Flatscreen TV</t>
        </is>
      </c>
      <c r="D1683" t="n">
        <v>0</v>
      </c>
      <c r="E1683" t="n">
        <v>4</v>
      </c>
      <c r="F1683">
        <f>HYPERLINK("https://www.reddit.com/r/cancer/comments/b9nh9w/can_sleeping_by_a_tv_cause_cancer/")</f>
        <v/>
      </c>
      <c r="G1683" t="inlineStr">
        <is>
          <t>2019-04-04 22:57:08</t>
        </is>
      </c>
      <c r="H1683" t="inlineStr"/>
    </row>
    <row r="1684">
      <c r="A1684" t="inlineStr">
        <is>
          <t>b9nsgk</t>
        </is>
      </c>
      <c r="B1684" t="inlineStr">
        <is>
          <t>Body Hair Growth After Chemo</t>
        </is>
      </c>
      <c r="C1684" t="inlineStr">
        <is>
          <t>So  it’s been 2 months since I finished Chemotherapy (ABVD) for Hodgkin’s Lymphoma, hair growth took a little bit longer than expected but my head is finally covered in fuzz! HOWEVER, there are bumps all over my body especially my legs. Feels like razor burn everywhere. I’m sure it’s just my follicles rebooting after being out of commission for so long, but I’m just wondering if anyone else is having a similar issue? Any remedies to sooth the bumps? Also, does anyone know how long this lasts?</t>
        </is>
      </c>
      <c r="D1684" t="n">
        <v>1</v>
      </c>
      <c r="E1684" t="n">
        <v>2</v>
      </c>
      <c r="F1684">
        <f>HYPERLINK("https://www.reddit.com/r/cancer/comments/b9nsgk/body_hair_growth_after_chemo/")</f>
        <v/>
      </c>
      <c r="G1684" t="inlineStr">
        <is>
          <t>2019-04-04 23:38:45</t>
        </is>
      </c>
      <c r="H1684" t="inlineStr"/>
    </row>
    <row r="1685">
      <c r="A1685" t="inlineStr">
        <is>
          <t>b9o7z8</t>
        </is>
      </c>
      <c r="B1685" t="inlineStr">
        <is>
          <t>Just tired of it all</t>
        </is>
      </c>
      <c r="C1685" t="inlineStr">
        <is>
          <t>I recognize the fact that I'm not the sick one but at this point I'm just exhausted from it all, I love my mom more than life itself but I'm just exhausted from this whole thing, my mom was diagnosed with stage 4 pancreatic cancer on her liver back in September and it has since spread to her kidney and liver, she's on an extremely mild chemo regimen every other week and even though it's extremely mild it leads to the same situation where the day after is filled with uncontrollable nausea/stomach pain and ends up with her in the hospital for 2-3 days until the symptoms are under control, this has been the past four months of my life and I'm just over seeing her like this, I'm not really sure what I'm looking for in this post just bitching I guess</t>
        </is>
      </c>
      <c r="D1685" t="n">
        <v>12</v>
      </c>
      <c r="E1685" t="n">
        <v>4</v>
      </c>
      <c r="F1685">
        <f>HYPERLINK("https://www.reddit.com/r/cancer/comments/b9o7z8/just_tired_of_it_all/")</f>
        <v/>
      </c>
      <c r="G1685" t="inlineStr">
        <is>
          <t>2019-04-05 00:35:37</t>
        </is>
      </c>
      <c r="H1685" t="inlineStr"/>
    </row>
    <row r="1686">
      <c r="A1686" t="inlineStr">
        <is>
          <t>b9qg19</t>
        </is>
      </c>
      <c r="B1686" t="inlineStr">
        <is>
          <t>My 13yo might die &amp;amp; it's all my fault</t>
        </is>
      </c>
      <c r="C1686" t="inlineStr">
        <is>
          <t xml:space="preserve">The tumor on Ethan's head was visible for a long time and I chose to ignore it. Because of my negligence it metastasized to about 5 areas in his soft tissues. CIC-DUX4 is the mutating gene that somewhat mimics Ewings sarcoma, rare &amp;amp; aggressive. So rare, they hardly have any information on it. He's been given a 10% chance of surviving. The 1 person in the world who truly loves me the most...I'm going to lose?!? The most empathetic, compassion child I've ever known at his age...has been assigned this cruel fate?!? I hate God, Allah, Buddha, (who else?) the World, this Universe, humanity (especially my MIL), I hate everything &amp;amp; everyone &amp;amp; it will only get worse if he dies. FUCK CANCER. FUCK EVERYTHING. </t>
        </is>
      </c>
      <c r="D1686" t="n">
        <v>80</v>
      </c>
      <c r="E1686" t="n">
        <v>27</v>
      </c>
      <c r="F1686">
        <f>HYPERLINK("https://www.reddit.com/r/cancer/comments/b9qg19/my_13yo_might_die_its_all_my_fault/")</f>
        <v/>
      </c>
      <c r="G1686" t="inlineStr">
        <is>
          <t>2019-04-05 05:13:50</t>
        </is>
      </c>
      <c r="H1686" t="inlineStr"/>
    </row>
    <row r="1687">
      <c r="A1687" t="inlineStr">
        <is>
          <t>b9r38l</t>
        </is>
      </c>
      <c r="B1687" t="inlineStr">
        <is>
          <t>First CT Scan since Chemo for Colon Cancer. What should i expect? How did you cope between scan &amp;amp; result?</t>
        </is>
      </c>
      <c r="C1687" t="inlineStr">
        <is>
          <t>Hello Fellow Fighters, Survivors and Family Members,
Personal Info: 36 year old husband and father of two boys.  I have worked in healthcare marketing for nearly 15 years and have experience with Oncology and Hematology.  I am not a trained medical professional.
Cancer Info: Stage IIIb colon cancer @ 35, right hemi colectomy to remove the golf ball that nearly obstructed in Apr '18 and 6 months of Fulfox (Chemo) from May to Nov which I tolerated to reach full course of treatment. TNM = 4a, 1b, 0 (Tumor, Node, Metastatic)
Current Status: Returned to work, returned to recreational activities (Skiing, Hockey) and social life for last 4 months
My Oncologist referred to me as in remission and the chemo was administered with curative intent.  Positive perspective for sure but one would enter remission the minute all visabile cancer was excised, which is exactly what happened when they cut out the T4 (ranges 1-smallest to 4-largest) tumor along with a foot of my colon.  Along with that, my surgeon removed 46 lymph nodes, 3 of which were positive for cancer making me N1 (a 4th node would bump that node score to N2).  Luckily my initial scan showed it did not spread so not metastatic.  For those less familiar here colon cancer survival rates plummet from stage 3 to 4 (metastatic).  
So that brings me to today where I've just completed the first CT scan since the initial, preoperative one from a year ago.  Due to my work background, I accessed age-adjusted survival data and know the typical recurrence rates for someone in my situation.   Based on the wealth of real world data collected, there is a not so insignificant chance I could recur.  I also know that 80% of those that do recur, do so in the first 2 years.
Maybe that was more background then anyone needs, but it at least helped me just to write it out.  What I'm polling the sub is, 
What should I expect? How long in-between scan and results?  Did your oncologist call you with the results or just schedule an in-office consultation?  Are they definitive or was more testing needed to confirm? And equally importantly, how did you cope? What did you do to not stare at your phone waiting for them to call?
Thank you for reading this much and your support.</t>
        </is>
      </c>
      <c r="D1687" t="n">
        <v>3</v>
      </c>
      <c r="E1687" t="n">
        <v>6</v>
      </c>
      <c r="F1687">
        <f>HYPERLINK("https://www.reddit.com/r/cancer/comments/b9r38l/first_ct_scan_since_chemo_for_colon_cancer_what/")</f>
        <v/>
      </c>
      <c r="G1687" t="inlineStr">
        <is>
          <t>2019-04-05 06:16:37</t>
        </is>
      </c>
      <c r="H1687" t="inlineStr"/>
    </row>
    <row r="1688">
      <c r="A1688" t="inlineStr">
        <is>
          <t>b9r4si</t>
        </is>
      </c>
      <c r="B1688" t="inlineStr">
        <is>
          <t>My friend was diagnosed with multiple myeloma, what can I do to support her?</t>
        </is>
      </c>
      <c r="C1688" t="inlineStr">
        <is>
          <t xml:space="preserve">I was with her when she (46, female, has MS also) got the diagnosis. It is in the spine and hip. We are going to a cancer doc (the news was given by her primary doctor) on Monday so we don’t know the stage. My question is three parts:
1. What should she expect? How harsh is the chemo and other related treatments?
2. What is the best way for me to be her friend now and going forward?
3. What are the best cancer centers for this treatment? She is in Virginia, but will go anywhere </t>
        </is>
      </c>
      <c r="D1688" t="n">
        <v>3</v>
      </c>
      <c r="E1688" t="n">
        <v>3</v>
      </c>
      <c r="F1688">
        <f>HYPERLINK("https://www.reddit.com/r/cancer/comments/b9r4si/my_friend_was_diagnosed_with_multiple_myeloma/")</f>
        <v/>
      </c>
      <c r="G1688" t="inlineStr">
        <is>
          <t>2019-04-05 06:20:37</t>
        </is>
      </c>
      <c r="H1688" t="inlineStr"/>
    </row>
    <row r="1689">
      <c r="A1689" t="inlineStr">
        <is>
          <t>b9rlq8</t>
        </is>
      </c>
      <c r="B1689" t="inlineStr">
        <is>
          <t>Everyone send us good juju?</t>
        </is>
      </c>
      <c r="C1689" t="inlineStr">
        <is>
          <t xml:space="preserve">My wife has been in and out of the hospital for the past two months. We were lucky to come back home last time, but her health did not improve and her treatment is at halt while they fix everything else first.
Today (and maybe tomorrow?) they will give it a go again. They will try to fix the biliary obstruction that has been making her so sick, putting her life at risk, significantly diminishing her (our) quality of life, and keeping her from dealing with the main issue, cancer.
We are calm and hopeful, but we need all the good juju we can get. Would you send some love her way? 
Thank you! 
</t>
        </is>
      </c>
      <c r="D1689" t="n">
        <v>28</v>
      </c>
      <c r="E1689" t="n">
        <v>33</v>
      </c>
      <c r="F1689">
        <f>HYPERLINK("https://www.reddit.com/r/cancer/comments/b9rlq8/everyone_send_us_good_juju/")</f>
        <v/>
      </c>
      <c r="G1689" t="inlineStr">
        <is>
          <t>2019-04-05 07:05:24</t>
        </is>
      </c>
      <c r="H1689" t="inlineStr"/>
    </row>
    <row r="1690">
      <c r="A1690" t="inlineStr">
        <is>
          <t>b9sew2</t>
        </is>
      </c>
      <c r="B1690" t="inlineStr">
        <is>
          <t>Need to vent: keeping up with all the different medical providers</t>
        </is>
      </c>
      <c r="C1690" t="inlineStr">
        <is>
          <t>I work so hard to stay on top of all the bills from my husband's, and now my, doctors and providers. There are office visits and labs and outpatient procedures and radiologists and anesthesiologists...
And it seems like every time I think I've got it all figured out, they change the rules. "Oh, we have a different account number for every visit" or "If you have a payment plan, any payment automatically goes to that, unless you call or stop in instead of using our online system, so now this new amount is overdue."
I'm in tears after today's phone call. Why do they make it so hard!?!</t>
        </is>
      </c>
      <c r="D1690" t="n">
        <v>1</v>
      </c>
      <c r="E1690" t="n">
        <v>0</v>
      </c>
      <c r="F1690">
        <f>HYPERLINK("https://www.reddit.com/r/cancer/comments/b9sew2/need_to_vent_keeping_up_with_all_the_different/")</f>
        <v/>
      </c>
      <c r="G1690" t="inlineStr">
        <is>
          <t>2019-04-05 08:13:38</t>
        </is>
      </c>
      <c r="H1690" t="inlineStr"/>
    </row>
    <row r="1691">
      <c r="A1691" t="inlineStr">
        <is>
          <t>b9tap9</t>
        </is>
      </c>
      <c r="B1691" t="inlineStr">
        <is>
          <t>Any switch gamers? I have a game code I would like to give away.</t>
        </is>
      </c>
      <c r="C1691" t="inlineStr">
        <is>
          <t>I know gaming helps some escape all of the stress and reality that cancer can bring and I recently won a game code from PAX East this past weekend, yet I already have the game. It is Splatoon 2 if someone is interested, it's yours. :)</t>
        </is>
      </c>
      <c r="D1691" t="n">
        <v>5</v>
      </c>
      <c r="E1691" t="n">
        <v>22</v>
      </c>
      <c r="F1691">
        <f>HYPERLINK("https://www.reddit.com/r/cancer/comments/b9tap9/any_switch_gamers_i_have_a_game_code_i_would_like/")</f>
        <v/>
      </c>
      <c r="G1691" t="inlineStr">
        <is>
          <t>2019-04-05 09:25:23</t>
        </is>
      </c>
      <c r="H1691" t="inlineStr"/>
    </row>
    <row r="1692">
      <c r="A1692" t="inlineStr">
        <is>
          <t>b9tcvw</t>
        </is>
      </c>
      <c r="B1692" t="inlineStr">
        <is>
          <t>Chemo or no chemo? Long term side effects?</t>
        </is>
      </c>
      <c r="C1692" t="inlineStr">
        <is>
          <t>Did anyone opt out from chemotherapy and decided to go a holistic way to treat cancer,  breast cancer specifically? The more i'm reading about long term side effects,  the less i'm convinced that chemo works. Any long term survivors after a chemo,  with a good quality of life here? Or maybe it's better to treat it other way and not to poison your body with toxic chemo drugs?</t>
        </is>
      </c>
      <c r="D1692" t="n">
        <v>1</v>
      </c>
      <c r="E1692" t="n">
        <v>10</v>
      </c>
      <c r="F1692">
        <f>HYPERLINK("https://www.reddit.com/r/cancer/comments/b9tcvw/chemo_or_no_chemo_long_term_side_effects/")</f>
        <v/>
      </c>
      <c r="G1692" t="inlineStr">
        <is>
          <t>2019-04-05 09:30:15</t>
        </is>
      </c>
      <c r="H1692" t="inlineStr"/>
    </row>
    <row r="1693">
      <c r="A1693" t="inlineStr">
        <is>
          <t>b9vd90</t>
        </is>
      </c>
      <c r="B1693" t="inlineStr">
        <is>
          <t>Experiences with CPR</t>
        </is>
      </c>
      <c r="C1693" t="inlineStr">
        <is>
          <t xml:space="preserve">I’m currently doing a clinical trial for my colon cancer (diagnosed March 2016). But because of where I am, I’ve also been starting end-of-life conversations with some of my physician team. As part of a POLST (physician’s orders for life sustaining treatment) discussion, the pain management physician asked “Do you want CPR?”.
My first thoughts: Well heck, sure. Who doesn’t? It works out on TV all the time. 
But then: Oh, it involves actually cracking the sternum!?! And then become non-communicative because I’ve got a tube in my throat? And it almost never works anyway? It’s different from CPR. Hrmmmmm.....
What have been YOUR experiences with, or deep thoughts about CPR? Have you or a loved one gone through it? 
Thanks!
</t>
        </is>
      </c>
      <c r="D1693" t="n">
        <v>1</v>
      </c>
      <c r="E1693" t="n">
        <v>9</v>
      </c>
      <c r="F1693">
        <f>HYPERLINK("https://www.reddit.com/r/cancer/comments/b9vd90/experiences_with_cpr/")</f>
        <v/>
      </c>
      <c r="G1693" t="inlineStr">
        <is>
          <t>2019-04-05 12:15:00</t>
        </is>
      </c>
      <c r="H1693" t="inlineStr"/>
    </row>
    <row r="1694">
      <c r="A1694" t="inlineStr">
        <is>
          <t>b9vgao</t>
        </is>
      </c>
      <c r="B1694" t="inlineStr">
        <is>
          <t>Need help</t>
        </is>
      </c>
      <c r="C1694" t="inlineStr">
        <is>
          <t xml:space="preserve">Guy i need your help reading the following findings. I am 38 male never smoked or drink. This is from a chest xray. I don't have any symptoms of lung cancer. My doctor ordered a CT scan
&amp;amp;#x200B;
Following is the report on my xray--
 FINDINGS: 3.3 cm right lower lobe mass. Radiographic appearance of the chest is otherwise negative. Consider bronchoscopic evaluation or PET-CT for further evaluation.
&amp;amp;#x200B;
 NOTE: ABNORMAL REPORT  
THE DICTATION ABOVE DESCRIBES AN ABNORMALITY FOR WHICH FOLLOW-UP IS NEEDED. 
&amp;amp;#x200B;
&amp;amp;#x200B;
I have so many questions..any help on this is really appreciated.   
 </t>
        </is>
      </c>
      <c r="D1694" t="n">
        <v>1</v>
      </c>
      <c r="E1694" t="n">
        <v>0</v>
      </c>
      <c r="F1694">
        <f>HYPERLINK("https://www.reddit.com/r/cancer/comments/b9vgao/need_help/")</f>
        <v/>
      </c>
      <c r="G1694" t="inlineStr">
        <is>
          <t>2019-04-05 12:21:51</t>
        </is>
      </c>
      <c r="H1694" t="inlineStr"/>
    </row>
    <row r="1695">
      <c r="A1695" t="inlineStr">
        <is>
          <t>b9vk35</t>
        </is>
      </c>
      <c r="B1695" t="inlineStr">
        <is>
          <t>Just need to vent - So insanely frustrated by Health Care (Medicaid).</t>
        </is>
      </c>
      <c r="C1695" t="inlineStr">
        <is>
          <t xml:space="preserve">Sorry, this may be a long read.
So last year I was officially determined to be disabled by my doctors and ended up with an SSDI designation due mainly to side effects of severe carcinoid syndrome causing limitations on me and exertion (both physical and mental... aka any type of stress), and partly due to the my cancer not having a "cure" at this time.
Because I am on SSDI, when I went to file for health insurance at the end of last year (for this year through the ACA), I was shunted over to Medicaid. Medicaid approved me and I was put on a plan, and thankfully was still able to see my current primary care physician and the woman who diagnosed me and has been working with my Oncologist team to treat me.
Now, suddenly, 3 months in, and without notice, I have been told I was reclassified 5 days ago (April 1st) under Medicaid and switched from a Medallion classification to a CCC+. And apparently, a CCC+ doesn't allow my MCO to cover me through my current primary care provider. So in other words, they are forcing me to drop my primary care physician and a significant part of the doctor team that is CURRENTLY TREATING MY CANCER. WITHOUT PRIOR NOTICE. Hell, I only found out because I was talking to a community navigator rep with my Health care provider who said I was suddenly not showing up in their system. I received no letter, no call, no email, NOTHING from Medicaid.
I spent 5 hours on the phone so far today being bounced around trying to figure out exactly what is happening. Each person telling me something slightly different but basically the same, but also at times providing completely incorrect information, likely to shunt me to some other talking head on a phone somewhere. In the process, I found out I have a case worker who I had NO CLUE I had cause no one told me. But the caseworker refuses to answer her phone. I also had 2 "episodes" with the full flushing, sudden need to go to the bathroom, racing heart, sweats, and feeling like I was going to pass out, simply from the stress of it all.
So here I am, stuck suddenly without access to half of my doctor team doing my treatments and with no path out of this.
So I am venting.
FUCK CANCER.
But also...
FUCK THE HEALTHCARE SYSTEM.. and its freaking confusing ass setup with cracks everywhere and confusion all around.
</t>
        </is>
      </c>
      <c r="D1695" t="n">
        <v>7</v>
      </c>
      <c r="E1695" t="n">
        <v>13</v>
      </c>
      <c r="F1695">
        <f>HYPERLINK("https://www.reddit.com/r/cancer/comments/b9vk35/just_need_to_vent_so_insanely_frustrated_by/")</f>
        <v/>
      </c>
      <c r="G1695" t="inlineStr">
        <is>
          <t>2019-04-05 12:30:58</t>
        </is>
      </c>
      <c r="H1695" t="inlineStr"/>
    </row>
    <row r="1696">
      <c r="A1696" t="inlineStr">
        <is>
          <t>b9w0jo</t>
        </is>
      </c>
      <c r="B1696" t="inlineStr">
        <is>
          <t>Any funny hospital stories?</t>
        </is>
      </c>
      <c r="C1696" t="inlineStr">
        <is>
          <t xml:space="preserve">I thought I'd change the mood of the posts a little by asking for (ex) cancer patient's funny anekdotes from their time in hospitals. I'll start with one: one time they accidentally put the dosis of my iv painkillers (ketamine) a bit too high and I spent a good two hours hallucinating pink elephants and birds flying around my room. I have been told the nurses had a very good time watching me ramble on about those elephants XD. </t>
        </is>
      </c>
      <c r="D1696" t="n">
        <v>20</v>
      </c>
      <c r="E1696" t="n">
        <v>27</v>
      </c>
      <c r="F1696">
        <f>HYPERLINK("https://www.reddit.com/r/cancer/comments/b9w0jo/any_funny_hospital_stories/")</f>
        <v/>
      </c>
      <c r="G1696" t="inlineStr">
        <is>
          <t>2019-04-05 13:09:34</t>
        </is>
      </c>
      <c r="H1696" t="inlineStr"/>
    </row>
    <row r="1697">
      <c r="A1697" t="inlineStr">
        <is>
          <t>b9w3tq</t>
        </is>
      </c>
      <c r="B1697" t="inlineStr">
        <is>
          <t>22 Year old diagnosed with Melanoma today</t>
        </is>
      </c>
      <c r="C1697" t="inlineStr">
        <is>
          <t xml:space="preserve">Hey everyone,
I've turned to reddit as I always do to get a bit of insight from anyone who might if been through what I'm about to.
Firstly let me tell you about myself and how we got to where I am now. I'm a 22 year old Male, fit, healthy and full time employed. I've never had any medical issues throughout my life. Anyway just after new year I notice a small raised notch on the back of my head so I went down to the doctors to which they told me it was a sebaceous cyst and booked me in to have it removed a few days later, when I was having it removed the dr told me it looked more like a wart and anyway he removed it by shaving it as opposed to cutting into the skin and sent it off for biopsy. As far as I was aware I was in the clear whatever it was had been removed until about 2 weeks later I got a call with the results and he told me over the phone that they needed to look further into it as it has signs of melanoma however it was most likely a Spitz nivus. I was then referred to a dermatologist who then referred me to a specialist hospital who deal with cancer specifically. They did a biopsy of the area on my head and then I waited a while for the results almost 2 weeks to which I then thought oh no it must be to urgent or anything serious anyway after a group meeting they had yesterday I was called in to a pre arranged appointment today.
I got to the hospital and they dressed the existing wound on my head and I waited for my consultant to come into the room. He gave me the news to which the thing that was removed on my head was cancerous melanoma and there was a possibility it could have spread. Monday I'm booked in for my scan to locate the lymph nodes and Tuesday I go in for my operation to remove them as well as taking a larger area from the back of my head and replacing the skin with some from my leg. 
I'm quite worried that it has spread but I'm just curious has anyone else had this procedure done and what was your results? What happened after? How has it affected your day to day living if so. Are you okay now? </t>
        </is>
      </c>
      <c r="D1697" t="n">
        <v>11</v>
      </c>
      <c r="E1697" t="n">
        <v>21</v>
      </c>
      <c r="F1697">
        <f>HYPERLINK("https://www.reddit.com/r/cancer/comments/b9w3tq/22_year_old_diagnosed_with_melanoma_today/")</f>
        <v/>
      </c>
      <c r="G1697" t="inlineStr">
        <is>
          <t>2019-04-05 13:17:15</t>
        </is>
      </c>
      <c r="H1697" t="inlineStr"/>
    </row>
    <row r="1698">
      <c r="A1698" t="inlineStr">
        <is>
          <t>b9wxza</t>
        </is>
      </c>
      <c r="B1698" t="inlineStr">
        <is>
          <t>Need to interview a cancer survivor for school</t>
        </is>
      </c>
      <c r="C1698" t="inlineStr">
        <is>
          <t xml:space="preserve">Hello! I'm currently a nursing student about ready to start a unit about oncology. For one of our assignments, we have to interview a cancer survivor. If anyone has time to answer a few questions, please reply below! :)
* When were you diagnosed? How old? 
* Do you remember how or who informed of your diagnosis? What was your diagnosis?
* Were there any symptoms leading up to the diagnosis?
* What was the hardest part of your treatment? 
* Did people treat you differently when the learned about your diagnosis?
* What have you learned as a result of your illness?
* What advice do you have for health care providers in caring for a patient with cancer?
* Any other information you would like to share? 
</t>
        </is>
      </c>
      <c r="D1698" t="n">
        <v>5</v>
      </c>
      <c r="E1698" t="n">
        <v>19</v>
      </c>
      <c r="F1698">
        <f>HYPERLINK("https://www.reddit.com/r/cancer/comments/b9wxza/need_to_interview_a_cancer_survivor_for_school/")</f>
        <v/>
      </c>
      <c r="G1698" t="inlineStr">
        <is>
          <t>2019-04-05 14:31:02</t>
        </is>
      </c>
      <c r="H1698" t="inlineStr"/>
    </row>
    <row r="1699">
      <c r="A1699" t="inlineStr">
        <is>
          <t>b9xazm</t>
        </is>
      </c>
      <c r="B1699" t="inlineStr">
        <is>
          <t>Father with glioblastoma. Any advice</t>
        </is>
      </c>
      <c r="C1699" t="inlineStr">
        <is>
          <t xml:space="preserve">Hi everyone, I need some help, guidance and general prayers and well wishes from Reddit.
On Wednesday of last week my father had a seizure and was rushed to the hospital. They subsequently found a brain tumor and have diagnosed him with Glioblastoma. They performed surgery but the doctor said, due to the nature of the cancer, it cannot be fully removed. He is starting chemo and radiation in two weeks. 
Glioblastoma is considered a terminal illness, though I pray that something in the clinical trials or treatment prescribed will turn it around somehow. 
I’m devastated. I don’t know what to do or how to help. My family lives in Virginia and we aren’t able to pick up and be in Wisconsin to help. My husband is active duty and I work full time. My dad was the majority provider for him and his wife. He can no longer work, after being a programmer for more than 20 years. It’s only been a couple days and I feel like I need to do everything I can to help them. 
I love my dad. He cared for us when my mom left and never gave up on us. He served faithfully in the Marines and raised 8 children to adulthood. He supported me through college and then my own service in the Navy. Can anyone give advice on resources or anything we can do to help him? He feels like his life is out of control now. 
Thanks in advance. </t>
        </is>
      </c>
      <c r="D1699" t="n">
        <v>15</v>
      </c>
      <c r="E1699" t="n">
        <v>17</v>
      </c>
      <c r="F1699">
        <f>HYPERLINK("https://www.reddit.com/r/cancer/comments/b9xazm/father_with_glioblastoma_any_advice/")</f>
        <v/>
      </c>
      <c r="G1699" t="inlineStr">
        <is>
          <t>2019-04-05 15:03:25</t>
        </is>
      </c>
      <c r="H1699" t="inlineStr"/>
    </row>
    <row r="1700">
      <c r="A1700" t="inlineStr">
        <is>
          <t>b9xhmb</t>
        </is>
      </c>
      <c r="B1700" t="inlineStr">
        <is>
          <t>I have a tremor, where to go next?</t>
        </is>
      </c>
      <c r="C1700" t="inlineStr">
        <is>
          <t>Pre-tumor I was a nursing student. I've been left with a tremor in my right hand, forcing me to learn to be left handed, and really making me have to re learn how to do most things. I'm not able to choose for my hand to be still, and I don't have a ton of control over it. 
Unfortunately I won't be able to go back to nursing. I really don't know what to do, or where to go. 
Do you have a tremor? What do you do for school or work. What can work?</t>
        </is>
      </c>
      <c r="D1700" t="n">
        <v>0</v>
      </c>
      <c r="E1700" t="n">
        <v>1</v>
      </c>
      <c r="F1700">
        <f>HYPERLINK("https://www.reddit.com/r/cancer/comments/b9xhmb/i_have_a_tremor_where_to_go_next/")</f>
        <v/>
      </c>
      <c r="G1700" t="inlineStr">
        <is>
          <t>2019-04-05 15:20:08</t>
        </is>
      </c>
      <c r="H1700" t="inlineStr"/>
    </row>
    <row r="1701">
      <c r="A1701" t="inlineStr">
        <is>
          <t>b9ydrj</t>
        </is>
      </c>
      <c r="B1701" t="inlineStr">
        <is>
          <t>My mother in law just got diagnosed and I dont know how to act</t>
        </is>
      </c>
      <c r="C1701" t="inlineStr">
        <is>
          <t>First af all, sorry if this isn't the right sub to post this.
A little bit of backstory: I've been with my boyfriend for the past two years. We love each other deeply, and tell each other everything. We are also most of the time together, so I pretty much always know when he's sad or upset about something, but he's quite reserved about when he's feeling down or upset and I have to almost force him to talk to me so he doesn't keep bottling up his feelings.
A bit more than a month ago, my mother in law got diagnosed with breast cancer. It was shocking, obviously, but the first chemo session went well, with little to no side-effects. We would talk about it freely, and he even said that it didn't affect him as much as he thought it would, which to me is weird.
Anyways, the second session came and went, I waited for about five days and asked him about his mother. His reaction was quite weird, he told me he doesn't have bad news (or any news at all) but that he doesn't feel comfortable talking about the subject. Then he got quiet for a bit and went to bed.
I'm worried about him, we are seeing his mother for the first time since she got diagnosed next week and I feel like this will be hard for him, but I don't know how to react nor how to comfort him if he feels down after seeing her.
Any advice?</t>
        </is>
      </c>
      <c r="D1701" t="n">
        <v>2</v>
      </c>
      <c r="E1701" t="n">
        <v>1</v>
      </c>
      <c r="F1701">
        <f>HYPERLINK("https://www.reddit.com/r/cancer/comments/b9ydrj/my_mother_in_law_just_got_diagnosed_and_i_dont/")</f>
        <v/>
      </c>
      <c r="G1701" t="inlineStr">
        <is>
          <t>2019-04-05 16:48:58</t>
        </is>
      </c>
      <c r="H1701" t="inlineStr"/>
    </row>
    <row r="1702">
      <c r="A1702" t="inlineStr">
        <is>
          <t>ba005j</t>
        </is>
      </c>
      <c r="B1702" t="inlineStr">
        <is>
          <t>Both of my parents have been diagnosed with cancer</t>
        </is>
      </c>
      <c r="C1702" t="inlineStr">
        <is>
          <t xml:space="preserve">My step dad was diagnosed with stage 3 colon cancer 3 weeks ago and my mother tonight called me to let me know she's been diagnosed with breast cancer. She said that the doctor thought it was small and they caught it early but after her MRI, her lymph nodes under her armpit "look weird" and that unsettles me. I'm 31 and I've been blessed that all of my grandparents are still alive. I've never had a close friend or relative really sick. Now I have two of the most important people in my life fighting cancer. I'm not even sure if I'm in the right forum. This might be a forum for people with cancer to talk about their struggle. This might not be for family. I don't know. I'm sorry. This is stream of conscience. My mother has always been the pillar of perfect health. She's 5'10" and looks like she could still be a beast at volleyball at 59. When I talked to my step-dad after he was diagnosed, presurgery, before we knew the extent, he was crying and telling me how much I meant to him and my mom. It shook me obviously. My mom is trying to be a rock, she started off today with an even voice stating, "I need you to know that I'm going to be fine, but I have breast cancer." she's amazing. I'm lost. </t>
        </is>
      </c>
      <c r="D1702" t="n">
        <v>45</v>
      </c>
      <c r="E1702" t="n">
        <v>4</v>
      </c>
      <c r="F1702">
        <f>HYPERLINK("https://www.reddit.com/r/cancer/comments/ba005j/both_of_my_parents_have_been_diagnosed_with_cancer/")</f>
        <v/>
      </c>
      <c r="G1702" t="inlineStr">
        <is>
          <t>2019-04-05 19:54:32</t>
        </is>
      </c>
      <c r="H1702" t="inlineStr"/>
    </row>
    <row r="1703">
      <c r="A1703" t="inlineStr">
        <is>
          <t>ba2373</t>
        </is>
      </c>
      <c r="B1703" t="inlineStr">
        <is>
          <t>What helps with boredom when you are confined to a hospital?</t>
        </is>
      </c>
      <c r="C1703" t="inlineStr">
        <is>
          <t>I'll be going in for a bone marrow stem cell transplant in a month or so and I'm already bored because I can't work right now. Does anyone have suggestions for someone staying a month in the hospital? I plan on getting some audio books/books and bringing my laptop if possible so I can play games. It'll be a lot of time to fill though.</t>
        </is>
      </c>
      <c r="D1703" t="n">
        <v>7</v>
      </c>
      <c r="E1703" t="n">
        <v>13</v>
      </c>
      <c r="F1703">
        <f>HYPERLINK("https://www.reddit.com/r/cancer/comments/ba2373/what_helps_with_boredom_when_you_are_confined_to/")</f>
        <v/>
      </c>
      <c r="G1703" t="inlineStr">
        <is>
          <t>2019-04-06 00:50:27</t>
        </is>
      </c>
      <c r="H1703" t="inlineStr"/>
    </row>
    <row r="1704">
      <c r="A1704" t="inlineStr">
        <is>
          <t>ba2ula</t>
        </is>
      </c>
      <c r="B1704" t="inlineStr">
        <is>
          <t>My grandmother just got diagnosed with brain cancer.</t>
        </is>
      </c>
      <c r="C1704" t="inlineStr">
        <is>
          <t xml:space="preserve">Me and my family have always been very close to our grandmother and she visits us every weekend. A while back she got cleared from lung cancer but she recently started having trouble seeing. She visited the hospital and they concluded she had small spots of brain tumour all around. I suck at anything cancer related and as of now we have been given very little information about the severity of it. What we do know is she most probably won't live another 5 years (she's 78). Our family has lost so many relatives to cancer already and I don't think I can handle another, especially my grandmother. I'm falling apart inside. I haven't got the opportunity told any of my friends and such so I just needed to get this off my chest. I don't wanna lose her. </t>
        </is>
      </c>
      <c r="D1704" t="n">
        <v>9</v>
      </c>
      <c r="E1704" t="n">
        <v>0</v>
      </c>
      <c r="F1704">
        <f>HYPERLINK("https://www.reddit.com/r/cancer/comments/ba2ula/my_grandmother_just_got_diagnosed_with_brain/")</f>
        <v/>
      </c>
      <c r="G1704" t="inlineStr">
        <is>
          <t>2019-04-06 03:03:04</t>
        </is>
      </c>
      <c r="H1704" t="inlineStr"/>
    </row>
    <row r="1705">
      <c r="A1705" t="inlineStr">
        <is>
          <t>ba48u9</t>
        </is>
      </c>
      <c r="B1705" t="inlineStr">
        <is>
          <t>Do I have testicular cancer?</t>
        </is>
      </c>
      <c r="C1705" t="inlineStr">
        <is>
          <t>I am 16 and I just noticed that an area in my testicle feels like it has a little lump on it, the area is in the front facing part of my testicle.  I am so nervous right now does anyone know what it could be?</t>
        </is>
      </c>
      <c r="D1705" t="n">
        <v>1</v>
      </c>
      <c r="E1705" t="n">
        <v>1</v>
      </c>
      <c r="F1705">
        <f>HYPERLINK("https://www.reddit.com/r/cancer/comments/ba48u9/do_i_have_testicular_cancer/")</f>
        <v/>
      </c>
      <c r="G1705" t="inlineStr">
        <is>
          <t>2019-04-06 06:22:31</t>
        </is>
      </c>
      <c r="H1705" t="inlineStr"/>
    </row>
    <row r="1706">
      <c r="A1706" t="inlineStr">
        <is>
          <t>ba4bm1</t>
        </is>
      </c>
      <c r="B1706" t="inlineStr">
        <is>
          <t>Terminal father won't write a will</t>
        </is>
      </c>
      <c r="C1706" t="inlineStr">
        <is>
          <t>My father been fighting with stage 4 lung cancer, a fight which he is sadly losing. He started on palliative care couple of weeks ago, and comfortable and mobile but part of that he is meant to be sorting out his financial affairs, though he is refusing saying he we shouldn't be fighting over his inheritance. Though it's not really for us as his kids, myself (31) and sister (25), both have stable jobs houses and partners however his wife, our step mother, has nothing and doesn't work as anything special and would struggle supporting herself properly in London. We trying to convince him that if he dies leaving his estate open will cause huge issues for the people he leaves behind and open the doors for one of his multiple ex wives to come into the picture. 
Really hard bringing it up plus we rather be enjoying our time left with our father than worrying about this kind of thing
Any advice or places we can convince him to talk to?</t>
        </is>
      </c>
      <c r="D1706" t="n">
        <v>36</v>
      </c>
      <c r="E1706" t="n">
        <v>22</v>
      </c>
      <c r="F1706">
        <f>HYPERLINK("https://www.reddit.com/r/cancer/comments/ba4bm1/terminal_father_wont_write_a_will/")</f>
        <v/>
      </c>
      <c r="G1706" t="inlineStr">
        <is>
          <t>2019-04-06 06:31:56</t>
        </is>
      </c>
      <c r="H1706" t="inlineStr"/>
    </row>
    <row r="1707">
      <c r="A1707" t="inlineStr">
        <is>
          <t>ba4vvt</t>
        </is>
      </c>
      <c r="B1707" t="inlineStr">
        <is>
          <t>Father diagnosed w/ Stage 4 Bladder Cancer</t>
        </is>
      </c>
      <c r="C1707" t="inlineStr">
        <is>
          <t>Like the title says, about a month ago my father was diagnosed with stage 4 bladder cancer. It started with blood appearing in his urine, and although we reported it years ago, his doctor didn't think it was much of an issue. He did a couple tests a few years ago, and dismissed it.  
Now last month he had an extreme amount of blood in his urine, and my mother took him to the ER this time, and they pretty much instantly found out he had cancer. (They did cat scans, and x-rays of his kidneys/liver/bladder/lungs, etc)  
His GP doctor really really fucked up, my dad see's him monthly due to other issues, and my mother reported these symptoms 3 times over the previous 4 years.  Which is pretty fucked, it should have been caught earlier. So after the doctors found the cancer they scheduled a biopsy, (it took 12 days; is that normal? I'd think waiting 12 days when they find stage4 cancer is a bit long..)  
After the biopsy, they found the cancer is bladder cancer that has spread to his liver, and lungs. With many large tumors in his lungs. (it took them another 5 days to get back to us after the biopsy, also curious if these times frames are too long?)  
The say this type of cancer is difficult to treat, but they won't elaborate until his next appointment, which I also don't get. (Why is one type of cancer more difficult to treat than others?) They seem to refuse to give you anymore information than just a tiny summery of what they found, until you meet with them. (they called with results Fri, his next appointment is this Monday).  
I'm really irritated by the whole thing because my dad was mostly fine just a month ago, and since then he has rapidly deteriorated, he sleeps all the time; he can't get out of bed without help, and he is getting very thin, and shaky. I don't get why they aren't moving faster with all of their tests.  
&amp;amp;#x200B;</t>
        </is>
      </c>
      <c r="D1707" t="n">
        <v>3</v>
      </c>
      <c r="E1707" t="n">
        <v>4</v>
      </c>
      <c r="F1707">
        <f>HYPERLINK("https://www.reddit.com/r/cancer/comments/ba4vvt/father_diagnosed_w_stage_4_bladder_cancer/")</f>
        <v/>
      </c>
      <c r="G1707" t="inlineStr">
        <is>
          <t>2019-04-06 07:34:33</t>
        </is>
      </c>
      <c r="H1707" t="inlineStr"/>
    </row>
    <row r="1708">
      <c r="A1708" t="inlineStr">
        <is>
          <t>ba676u</t>
        </is>
      </c>
      <c r="B1708" t="inlineStr">
        <is>
          <t>A light of hope to brighten your day &amp;lt;3</t>
        </is>
      </c>
      <c r="C1708" t="inlineStr">
        <is>
          <t>Today, students at The University of Texas at San Antonio are standing for 12 hours in solidarity with children and their families battling pediatric cancer. We're standing for the fight. For the cure. For the kids. I'm so incredibly proud of the hard work that these students have put in by raising awareness, fundraising, and putting together a Dance Marathon to culminate another year of battling this disease. All of the kids and families fighting the fight of your lives - we are dancing for you today. 
https://i.redd.it/odwl47v19oq21.jpg</t>
        </is>
      </c>
      <c r="D1708" t="n">
        <v>36</v>
      </c>
      <c r="E1708" t="n">
        <v>1</v>
      </c>
      <c r="F1708">
        <f>HYPERLINK("https://www.reddit.com/r/cancer/comments/ba676u/a_light_of_hope_to_brighten_your_day_3/")</f>
        <v/>
      </c>
      <c r="G1708" t="inlineStr">
        <is>
          <t>2019-04-06 09:42:02</t>
        </is>
      </c>
      <c r="H1708" t="inlineStr"/>
    </row>
    <row r="1709">
      <c r="A1709" t="inlineStr">
        <is>
          <t>ba7eul</t>
        </is>
      </c>
      <c r="B1709" t="inlineStr">
        <is>
          <t>14 years later</t>
        </is>
      </c>
      <c r="C1709" t="inlineStr">
        <is>
          <t>14 years ago, when I was 9/10 all 4 of my grandparents were diagnosed with various forms of terminal cancer. My parents elected for in home hospice, and my maternal grandmother we basically lived there while she was getting hospice in her home. By the next year, all had died. 
I’m at peace with the grief of losing those super special people, who were like parents to me. What I cannot get over is the mental images of their decline...at such a young age it is a wonder I still remember today that decline. The changing from full of life to full of death. The decline in mental faculties. The decline in self care abilities. So rapidly and so so severely. I work in healthcare today and I’ve seen patients in dire straits, but nothing like that agonizingly drawn out process of dying  that came with cancer. 
I don’t even know where I’m going with this. I’m in therapy, so I’m covered there I just wanted to see if anyone else shares a similar struggle with those memories of the decline of their loved ones and how they cope today...</t>
        </is>
      </c>
      <c r="D1709" t="n">
        <v>5</v>
      </c>
      <c r="E1709" t="n">
        <v>3</v>
      </c>
      <c r="F1709">
        <f>HYPERLINK("https://www.reddit.com/r/cancer/comments/ba7eul/14_years_later/")</f>
        <v/>
      </c>
      <c r="G1709" t="inlineStr">
        <is>
          <t>2019-04-06 11:33:59</t>
        </is>
      </c>
      <c r="H1709" t="inlineStr"/>
    </row>
    <row r="1710">
      <c r="A1710" t="inlineStr">
        <is>
          <t>ba7q8r</t>
        </is>
      </c>
      <c r="B1710" t="inlineStr">
        <is>
          <t>People who've taken temodar a while back: how's your digestion?</t>
        </is>
      </c>
      <c r="C1710" t="inlineStr">
        <is>
          <t xml:space="preserve">I have IBS now (super sensitive to galacto-oligosaccharides now) but never dealt with this before the cancer. I have a strong suspicion that something in my post-cancer treatment caused my IBS. Temodar or an antibiotic seems likely. 
Any of you have a similar experience? </t>
        </is>
      </c>
      <c r="D1710" t="n">
        <v>3</v>
      </c>
      <c r="E1710" t="n">
        <v>1</v>
      </c>
      <c r="F1710">
        <f>HYPERLINK("https://www.reddit.com/r/cancer/comments/ba7q8r/people_whove_taken_temodar_a_while_back_hows_your/")</f>
        <v/>
      </c>
      <c r="G1710" t="inlineStr">
        <is>
          <t>2019-04-06 12:04:02</t>
        </is>
      </c>
      <c r="H1710" t="inlineStr"/>
    </row>
    <row r="1711">
      <c r="A1711" t="inlineStr">
        <is>
          <t>ba8j39</t>
        </is>
      </c>
      <c r="B1711" t="inlineStr">
        <is>
          <t>Be the match</t>
        </is>
      </c>
      <c r="C1711" t="inlineStr">
        <is>
          <t>Just a question. I cannot find an answer on the web. I joined be the match years ago. I was too over weight to be able to be a match. I have lost weight and should fit the criteria now. The site won’t let me update any info or redo my medical questions. Is there away around this? Do I need to make a new email account? Or am I plain out of luck? Anybody have an experience with this?? Thanks a bunch!</t>
        </is>
      </c>
      <c r="D1711" t="n">
        <v>6</v>
      </c>
      <c r="E1711" t="n">
        <v>1</v>
      </c>
      <c r="F1711">
        <f>HYPERLINK("https://www.reddit.com/r/cancer/comments/ba8j39/be_the_match/")</f>
        <v/>
      </c>
      <c r="G1711" t="inlineStr">
        <is>
          <t>2019-04-06 13:24:10</t>
        </is>
      </c>
      <c r="H1711" t="inlineStr"/>
    </row>
    <row r="1712">
      <c r="A1712" t="inlineStr">
        <is>
          <t>ba8seq</t>
        </is>
      </c>
      <c r="B1712" t="inlineStr">
        <is>
          <t>This is cancer!</t>
        </is>
      </c>
      <c r="C1712" t="inlineStr">
        <is>
          <t>Finally i have been searching for this sub now i find cancer</t>
        </is>
      </c>
      <c r="D1712" t="n">
        <v>0</v>
      </c>
      <c r="E1712" t="n">
        <v>0</v>
      </c>
      <c r="F1712">
        <f>HYPERLINK("https://www.reddit.com/r/cancer/comments/ba8seq/this_is_cancer/")</f>
        <v/>
      </c>
      <c r="G1712" t="inlineStr">
        <is>
          <t>2019-04-06 13:49:40</t>
        </is>
      </c>
      <c r="H1712" t="inlineStr"/>
    </row>
    <row r="1713">
      <c r="A1713" t="inlineStr">
        <is>
          <t>ba8v6a</t>
        </is>
      </c>
      <c r="B1713" t="inlineStr">
        <is>
          <t>How to get Stepdad to understand Mum's cancer and needs</t>
        </is>
      </c>
      <c r="C1713" t="inlineStr">
        <is>
          <t>Hi, I am new to the online community and am looking for advice. Short version: mum has lymphoma, bad immune system, stepdad doesn't understand whats going on despite my best efforts (and docs, nurses, literature) and keeps putting her at risk, I can't be there all the time, need help to get him to understand/co-operate. 
Long version:My mum has just started chemo for the 4th time (diagnosed 10 years go, it's been a long battle). I feel like the biggest risk to her health is my stepdad and he's getting worse. They have been together over 20 years, since I was very young. He is a very caring and generous guy, the issue is he seems to have an inability to understand what's happening with mum, despite several people explaining it to him (doctors, specialist nurses and endless literature). He thinks that unless she is either in hospital or vomiting at any given moment that she is fine. He doesn't understand the tiredness, struggle to eat, change in tastes of foods, and many other side effects and seems to think these and many aspects of us trying to keep her well (avoiding people with the flu or chickenpox, extra care with food hygeine etc.) are actually mum and me being deliberately awkward. If he doesn't understand, he doesn't co-operate. I have told him what could happen if she gets an infection (death; we had a close one with a bout of pneumonia last chemo round) but it doesn't sink in and he keeps putting her at risk. For example, spilling raw meat juice in the kitchen and not cleaning it up properly or wanting to bring his granddaughter with chicken pox to mum. I am in the final year of my phd and live 3 hours away. I am the main carer as I can't trust him to look after her well enough so am between home and uni every week, it's exhausting, the travel, dealing with him and actually caring for my mum, but I can't be there all the time and am worried him being ignorant could cause serious problems. He was a farmer most of his life and has an "a little bit of dirt never killed anyone" attitude. The odd thing is his dad isn't very well (mainly old age ailments) and has lost a leg, for some reason, in that situation he seems to be with whats going on and is helpful and seems to realise the new limitations, so probably not simply denial? My partner thinks he maybe only understand what he can see - his dad only has one leg, of course he can't go up the stairs on his own - mum has both legs (but an invisible lack of red blood cells) so why are stairs so difficult?
I don't know how to get this through to him, does anyone have experience explaining things to people who don't understand?</t>
        </is>
      </c>
      <c r="D1713" t="n">
        <v>1</v>
      </c>
      <c r="E1713" t="n">
        <v>0</v>
      </c>
      <c r="F1713">
        <f>HYPERLINK("https://www.reddit.com/r/cancer/comments/ba8v6a/how_to_get_stepdad_to_understand_mums_cancer_and/")</f>
        <v/>
      </c>
      <c r="G1713" t="inlineStr">
        <is>
          <t>2019-04-06 13:57:59</t>
        </is>
      </c>
      <c r="H1713" t="inlineStr"/>
    </row>
    <row r="1714">
      <c r="A1714" t="inlineStr">
        <is>
          <t>ba9792</t>
        </is>
      </c>
      <c r="B1714" t="inlineStr">
        <is>
          <t>Grandfather, 71 , Stage 4 Prostate Cancer.</t>
        </is>
      </c>
      <c r="C1714" t="inlineStr">
        <is>
          <t>My grandfather was diagnosed with Stage 4 Cancer 7 years ago. The cancer has metastasized to his bones. He had been doing different types of treatments. Mostly medications. At the beginning of 2017, The Cancer started to spread again. He started chemotherapy, He took a leave from work but was able to get around, go shopping, drive, etc. He had intended on going back to work.
Late 2018, he started to do some radiation and then He was hospitalized because he had an ulcer that was bleeding in his stomach, He lost too much blood and passed out. They clipped it and then in January, He passed out again because of the bleeding. This time they tried cauterizing the ulcer and after a single day out of the hospital, he started coughing up blood. He had surgery and they sowed the ulcer. After monitoring him for around three weeks they sent him to a rehabilitation center.
He has slowly been fading away as all of this has been happening and now that he is in the rehabilitation center, he has given up on his situation. He’s gotten progressively weaker and isn’t able to finish any of the exercises with the nurses. He doesn’t eat that often and his bilirubin levels keep dropping down and when that happens he seems out of it. They gave him a transfusion the other day. He hasn’t had any form of treatment in 3 months and He wants to come back home to my grandmothers house to pass.
My grandfather and grandmother are the ones that raised me. I’ve been helping as much as I can throughout these past few years. Doctor Appointments, Driving down from Tennessee to Georgia to the Cancer Center, Car Work, etc.
Is there anything I can do to help comfort either of them? Is there anything more I can do to help? Does anyone have resources for pain management?</t>
        </is>
      </c>
      <c r="D1714" t="n">
        <v>27</v>
      </c>
      <c r="E1714" t="n">
        <v>12</v>
      </c>
      <c r="F1714">
        <f>HYPERLINK("https://www.reddit.com/r/cancer/comments/ba9792/grandfather_71_stage_4_prostate_cancer/")</f>
        <v/>
      </c>
      <c r="G1714" t="inlineStr">
        <is>
          <t>2019-04-06 14:32:07</t>
        </is>
      </c>
      <c r="H1714" t="inlineStr"/>
    </row>
    <row r="1715">
      <c r="A1715" t="inlineStr">
        <is>
          <t>ba9de6</t>
        </is>
      </c>
      <c r="B1715" t="inlineStr">
        <is>
          <t>Advice for second opinion?</t>
        </is>
      </c>
      <c r="C1715" t="inlineStr">
        <is>
          <t xml:space="preserve">My dad found out he had stage II colon cancer in November and has been doing chemo, unfortunately it was discovered last week that cancer has spread to the soft issue around his intestines.
At this point we are exploring second opinions at more sophisticated treatment centers beyond our area hospital system. Luckily, we're located about a 3 hour drive from NYC and Boston. Any advice on where he should go? Right now I'm leaning towards Sloan-Kettering. Any other guidance or recommendations for picking a hospital in NYC or Boston?
Thank you in advance, I appreciate it! </t>
        </is>
      </c>
      <c r="D1715" t="n">
        <v>4</v>
      </c>
      <c r="E1715" t="n">
        <v>7</v>
      </c>
      <c r="F1715">
        <f>HYPERLINK("https://www.reddit.com/r/cancer/comments/ba9de6/advice_for_second_opinion/")</f>
        <v/>
      </c>
      <c r="G1715" t="inlineStr">
        <is>
          <t>2019-04-06 14:49:25</t>
        </is>
      </c>
      <c r="H1715" t="inlineStr"/>
    </row>
    <row r="1716">
      <c r="A1716" t="inlineStr">
        <is>
          <t>ba9sqc</t>
        </is>
      </c>
      <c r="B1716" t="inlineStr">
        <is>
          <t>My mother has started to ask us about dying</t>
        </is>
      </c>
      <c r="C1716" t="inlineStr">
        <is>
          <t xml:space="preserve">My mom is 56 and dying in a hospital's bedroom. We lost my dad 6 years ago and now it's her turn. I have been with her crying and shaking her arms desperately asking for a gun (we live in Spain, we don't have that here), or even a brick. I don't know how to manage all this. She is the most generous person I have ever met. She has paid me anything I need and she has helped anyone with needs. I'm 27 and seeing her in this situation makes me think about my own suicide. I think it's not worth to live in one world that works whis way. I know I'm not going to commit suicide but I sometimes just feel it the best way. </t>
        </is>
      </c>
      <c r="D1716" t="n">
        <v>18</v>
      </c>
      <c r="E1716" t="n">
        <v>9</v>
      </c>
      <c r="F1716">
        <f>HYPERLINK("https://www.reddit.com/r/cancer/comments/ba9sqc/my_mother_has_started_to_ask_us_about_dying/")</f>
        <v/>
      </c>
      <c r="G1716" t="inlineStr">
        <is>
          <t>2019-04-06 15:33:25</t>
        </is>
      </c>
      <c r="H1716" t="inlineStr"/>
    </row>
    <row r="1717">
      <c r="A1717" t="inlineStr">
        <is>
          <t>baa09q</t>
        </is>
      </c>
      <c r="B1717" t="inlineStr">
        <is>
          <t>Keto for Squamous cell carcinoma of tongue</t>
        </is>
      </c>
      <c r="C1717" t="inlineStr">
        <is>
          <t>Hi All
I have been diagnosed with stage 2 tongue cancer and require Surgery to remove 50% of my tongue plus lymph nodes on the same side. MRI scan shows tumor on tongue and possibly lymph nodes. Chest CT scans have come back clear so far.
I have surgery in just over a week followed by possible radiation. I have been researching about what to do post treatment to give myself the best chance of survival long term. 
I have read an article:
https://www.ncbi.nlm.nih.gov/pmc/articles/PMC4197426/
Do you guys think this is beneficial? and if so how I could implement this diet given the eating challenges I will be experiencing post treatment. 
Are there keto shakes or products that would help me achieve this without eating a ton of other animal products?</t>
        </is>
      </c>
      <c r="D1717" t="n">
        <v>1</v>
      </c>
      <c r="E1717" t="n">
        <v>5</v>
      </c>
      <c r="F1717">
        <f>HYPERLINK("https://www.reddit.com/r/cancer/comments/baa09q/keto_for_squamous_cell_carcinoma_of_tongue/")</f>
        <v/>
      </c>
      <c r="G1717" t="inlineStr">
        <is>
          <t>2019-04-06 15:55:57</t>
        </is>
      </c>
      <c r="H1717" t="inlineStr"/>
    </row>
    <row r="1718">
      <c r="A1718" t="inlineStr">
        <is>
          <t>baafdr</t>
        </is>
      </c>
      <c r="B1718" t="inlineStr">
        <is>
          <t>what happens if you overdose on methotrexate ?</t>
        </is>
      </c>
      <c r="C1718" t="inlineStr">
        <is>
          <t>i find out the normal symptoms but nothing much</t>
        </is>
      </c>
      <c r="D1718" t="n">
        <v>0</v>
      </c>
      <c r="E1718" t="n">
        <v>10</v>
      </c>
      <c r="F1718">
        <f>HYPERLINK("https://www.reddit.com/r/cancer/comments/baafdr/what_happens_if_you_overdose_on_methotrexate/")</f>
        <v/>
      </c>
      <c r="G1718" t="inlineStr">
        <is>
          <t>2019-04-06 16:42:06</t>
        </is>
      </c>
      <c r="H1718" t="inlineStr"/>
    </row>
    <row r="1719">
      <c r="A1719" t="inlineStr">
        <is>
          <t>baammn</t>
        </is>
      </c>
      <c r="B1719" t="inlineStr">
        <is>
          <t>My father had stage 2 (b I believe?) lung cancer. Finished chemo in early February, still coughing?</t>
        </is>
      </c>
      <c r="C1719" t="inlineStr">
        <is>
          <t>This worries me. He went through chemotherapy, and after telling us prior to the treatment that he would be receiving radiation therapy as well, the doctor told him that it has been a successful treatment, no need for radiation therapy. They would be seeing him every 3 months for a scan to see if it has returned. 
For a while it seemed like he had been coughing less. The past week or so I’ve heard him coughing seemingly more than usual, but never mentioned it, then today he brought it up. He has a consultation in a little over a week for treatment of his colon cancer.
I figure this is something we should mention as soon as possible but he doesn’t seem as concerned. How do I proceed? This is crazy to me because never in my life did I ever think I would experience this, but regardless I know everyone in life will go through something similar.</t>
        </is>
      </c>
      <c r="D1719" t="n">
        <v>3</v>
      </c>
      <c r="E1719" t="n">
        <v>1</v>
      </c>
      <c r="F1719">
        <f>HYPERLINK("https://www.reddit.com/r/cancer/comments/baammn/my_father_had_stage_2_b_i_believe_lung_cancer/")</f>
        <v/>
      </c>
      <c r="G1719" t="inlineStr">
        <is>
          <t>2019-04-06 17:05:30</t>
        </is>
      </c>
      <c r="H1719" t="inlineStr"/>
    </row>
    <row r="1720">
      <c r="A1720" t="inlineStr">
        <is>
          <t>baaqjy</t>
        </is>
      </c>
      <c r="B1720" t="inlineStr">
        <is>
          <t>Scared I have cancer</t>
        </is>
      </c>
      <c r="C1720" t="inlineStr">
        <is>
          <t xml:space="preserve">I’m really worried something is wrong with me and all the doctors I visit are misdiagnosing me. I had a UTI which went away with antibiotics a couple weeks ago but the symptoms came back. The urologist I went to checked my urine and it’s clear. Then he said if the symptoms I have don’t clear up he would have to do a pretty invasive procedure to look in my bladder for any abnormalities. That seemed to clear but now I have really back abdominal pain and went to the ER today as my primary care provider suggested (since his office is closed on weekends) and said I should and see if they wanted to run a CT scan if anything felt weird. However I told the doctor at the ER my abdominal pain symptoms and a lot of them pointed towards acid reflux (like more pain when laying down, heartburn at night, etc.) And after checking me out he said it was bad acid reflux most likely and prescribed me pills. He said there was no reason he saw for a ct scan.
I might just be freaking out since I took the pills for the first time earlier today and they could take awhile to kick in, bit I’m worried the abdominal pain is stomach cancer or something. I feel like it’s too serious of an issue to be wasting time trying things like these antacid pills but I also have to try and trust the doctors. I’m just really stressed because I have anxiety to begin with, and my uncle currently is sick with lung cancer. 
I know that abdominal pain could be from anything, and the ER doctor said my plumbing sounded fine when he was using a stethoscope on my stomach but I’m still freaked out their similar symptoms to stomach cancer. I just hope I can get this all figured out soon. </t>
        </is>
      </c>
      <c r="D1720" t="n">
        <v>0</v>
      </c>
      <c r="E1720" t="n">
        <v>2</v>
      </c>
      <c r="F1720">
        <f>HYPERLINK("https://www.reddit.com/r/cancer/comments/baaqjy/scared_i_have_cancer/")</f>
        <v/>
      </c>
      <c r="G1720" t="inlineStr">
        <is>
          <t>2019-04-06 17:17:40</t>
        </is>
      </c>
      <c r="H1720" t="inlineStr"/>
    </row>
    <row r="1721">
      <c r="A1721" t="inlineStr">
        <is>
          <t>bac9l0</t>
        </is>
      </c>
      <c r="B1721" t="inlineStr">
        <is>
          <t>What's better option my mom is almost 70 and diagnosed with breast cancer stage 2 and his oncologist asking her if she wants radiation or chemo after surgery?</t>
        </is>
      </c>
      <c r="C1721" t="inlineStr">
        <is>
          <t>She got petscan done i think 2 weeks ago and thankfully it hasn't spread. She's old for chemo I'm worried shes not gonna handle chemo very well</t>
        </is>
      </c>
      <c r="D1721" t="n">
        <v>1</v>
      </c>
      <c r="E1721" t="n">
        <v>9</v>
      </c>
      <c r="F1721">
        <f>HYPERLINK("https://www.reddit.com/r/cancer/comments/bac9l0/whats_better_option_my_mom_is_almost_70_and/")</f>
        <v/>
      </c>
      <c r="G1721" t="inlineStr">
        <is>
          <t>2019-04-06 20:19:12</t>
        </is>
      </c>
      <c r="H1721" t="inlineStr"/>
    </row>
    <row r="1722">
      <c r="A1722" t="inlineStr">
        <is>
          <t>bacj0s</t>
        </is>
      </c>
      <c r="B1722" t="inlineStr">
        <is>
          <t>Uncle diagnosed with stage 4 pancreatic cancer</t>
        </is>
      </c>
      <c r="C1722" t="inlineStr">
        <is>
          <t>A week ago my uncle , my father’s brother, was diagnosed with stage 4 metastatic pancreatic cancer. I have always been very close with my uncle and cousins and have spent several summers living with them. My dad is also very close with his brother, as he is his only sibling and this has been a huge shock to all of us (he is only 59 years old). 
I just want to know what I should be doing to comfort my uncle, father, cousins, and aunt. Is there anything I should be saying or, specifically, not saying during this time? For people who have had family go through a similar situation, was there anything people did for you and your family that was especially helpful or memorable?</t>
        </is>
      </c>
      <c r="D1722" t="n">
        <v>3</v>
      </c>
      <c r="E1722" t="n">
        <v>2</v>
      </c>
      <c r="F1722">
        <f>HYPERLINK("https://www.reddit.com/r/cancer/comments/bacj0s/uncle_diagnosed_with_stage_4_pancreatic_cancer/")</f>
        <v/>
      </c>
      <c r="G1722" t="inlineStr">
        <is>
          <t>2019-04-06 20:53:06</t>
        </is>
      </c>
      <c r="H1722" t="inlineStr"/>
    </row>
    <row r="1723">
      <c r="A1723" t="inlineStr">
        <is>
          <t>bad2tc</t>
        </is>
      </c>
      <c r="B1723" t="inlineStr">
        <is>
          <t>My mother</t>
        </is>
      </c>
      <c r="C1723" t="inlineStr">
        <is>
          <t>Its been 1 year and the effects of cancer are still a bitch. As a stupid type of chive post would say, "fuck cancer." To be honest I've had a few beers and that is the sole reason i am posting this. Thanks to auto correct it seems to be coming out ok. My mother had stage 2 breast cancer 10 years ago. The bitch went dormant and my mother, a kindergarten teacher went on to live a semi normal life, but the bitch came back. This time not in the breasts but in the bones. Me and my two sisters were almost in a battle over who would be able to take care of my mother. There were fights over what we believed was the best course of actions. Ironically my mother passed away after a night of fighting over what the best course of action would be. Luckily she passed in the night peacefully. We all miss her every day. She was a great mother and she was the best in early child education. A gift that we each could give our children. The reason for this post is to warn children of parents with cancer that it doesn't matter what you plan, life happens and that you must love your people because they may not be here when you need them to be because " cancer is a bitch." Cancer patients are fucking troopers and i want you to know that we love you. God speed in your recovery and the world is with you!</t>
        </is>
      </c>
      <c r="D1723" t="n">
        <v>12</v>
      </c>
      <c r="E1723" t="n">
        <v>2</v>
      </c>
      <c r="F1723">
        <f>HYPERLINK("https://www.reddit.com/r/cancer/comments/bad2tc/my_mother/")</f>
        <v/>
      </c>
      <c r="G1723" t="inlineStr">
        <is>
          <t>2019-04-06 22:06:51</t>
        </is>
      </c>
      <c r="H1723" t="inlineStr"/>
    </row>
    <row r="1724">
      <c r="A1724" t="inlineStr">
        <is>
          <t>badhuh</t>
        </is>
      </c>
      <c r="B1724" t="inlineStr">
        <is>
          <t>Five years is official, but can I just move on?</t>
        </is>
      </c>
      <c r="C1724" t="inlineStr">
        <is>
          <t>So I just rounded the 4 year clear mark a few months ago. I'm a young adult survivor. My partner during cancer left me for being infertile.
But! My current partner is great! Neither he nor I want kids. He has been to onc appointments with me previously, but this time (my 4-year checkup) he can't go.  
I'm supposed to get blood work done, and go to this 4-year checkup, but honestly I don't care. I'm so done; I'm not symptomatic; and I want to leave this all behind.
So I've dragged my feet on scheduling an office visit with my onc. Has anyone else faced this? I'll eventually schedule the appointment, but I don't know why I suddenly feel like a rebellious teenager! 
Thanks y'all. I've loved this sub for years, and you're a giant source of hope. I hope you all are well :)</t>
        </is>
      </c>
      <c r="D1724" t="n">
        <v>29</v>
      </c>
      <c r="E1724" t="n">
        <v>17</v>
      </c>
      <c r="F1724">
        <f>HYPERLINK("https://www.reddit.com/r/cancer/comments/badhuh/five_years_is_official_but_can_i_just_move_on/")</f>
        <v/>
      </c>
      <c r="G1724" t="inlineStr">
        <is>
          <t>2019-04-06 23:09:41</t>
        </is>
      </c>
      <c r="H1724" t="inlineStr"/>
    </row>
    <row r="1725">
      <c r="A1725" t="inlineStr">
        <is>
          <t>badmdf</t>
        </is>
      </c>
      <c r="B1725" t="inlineStr">
        <is>
          <t>Cancer and Social Security Disability. What do you know?</t>
        </is>
      </c>
      <c r="C1725" t="inlineStr">
        <is>
          <t>I think I it may be time for me to file for benefits (US, of course).  I am just wondering: does my stage IV diagnosis alone mean that I will qualify?  I’ve read lots of stories of others trying to qualify and failing, but I don’t think any of them had cancer.  
I’m about to turn 36 and my metastatic disease isn’t going anywhere.  Can anyone tell me anything about what it’s like to seek out SSDI with advanced cancer?</t>
        </is>
      </c>
      <c r="D1725" t="n">
        <v>2</v>
      </c>
      <c r="E1725" t="n">
        <v>5</v>
      </c>
      <c r="F1725">
        <f>HYPERLINK("https://www.reddit.com/r/cancer/comments/badmdf/cancer_and_social_security_disability_what_do_you/")</f>
        <v/>
      </c>
      <c r="G1725" t="inlineStr">
        <is>
          <t>2019-04-06 23:29:30</t>
        </is>
      </c>
      <c r="H1725" t="inlineStr"/>
    </row>
    <row r="1726">
      <c r="A1726" t="inlineStr">
        <is>
          <t>bae11l</t>
        </is>
      </c>
      <c r="B1726" t="inlineStr">
        <is>
          <t>I might have Lung Cancer and need advice.</t>
        </is>
      </c>
      <c r="C1726" t="inlineStr">
        <is>
          <t>So 2 years ago we saw a nodule in my right lung. I went to a pulmonologist and he suggested we take a CT scan every 6 months to 1 year to see if it grows. When they first saw it, it was 7 mm. Had a CT scan last year and it had grown to 9 mm. Had my CT scan a few weeks ago and it's grown to 1.2 cm. So now my pulmonologist thinks it is most likely slow-growing adenocarcinoma. 
Last year I was supposed to have a biopsy but because of the location of it which is in the right lower lobe on the outside right next to the rib cage, the surgeon said it would be a very difficult biopsy. They would have to collapse the lung and I would have to stay in the hospital. I wasn't prepared for that so I did not go through with it. This was before my latest CT scan. Now that I know this thing is still there and growing I have to move on to do further tests. The next test is going to be a PET scan.
Here's where I need advice. If the PET Scan comes back as positive, I know they're going to want to do a wedge resection. What I want to know is what alternatives there are to surgery. I don't want to lose any of my lung tissue. The thing that brings me the most joy in life is singing. I have been doing it since I was 12 and it's a big part of my identity. It's one of the few things in life that I'm very good at. If I couldn't do it anymore I would fall into a terrible depression. I don't want to have surgery because  I'm afraid of losing lung capacity and not being able to sing anymore.
 Has anybody else gone through this, or had family members go through it and not had surgery? I know there's cutting-edge treatments coming out all the time but my pulmonologist hasn't even discussed those with me. He seems focused on surgery. He's an older doctor. Maybe it's time for me to go see an oncologist, or should I stay with the pulmonologist until after the PET Scan?</t>
        </is>
      </c>
      <c r="D1726" t="n">
        <v>4</v>
      </c>
      <c r="E1726" t="n">
        <v>2</v>
      </c>
      <c r="F1726">
        <f>HYPERLINK("https://www.reddit.com/r/cancer/comments/bae11l/i_might_have_lung_cancer_and_need_advice/")</f>
        <v/>
      </c>
      <c r="G1726" t="inlineStr">
        <is>
          <t>2019-04-07 00:39:50</t>
        </is>
      </c>
      <c r="H1726" t="inlineStr"/>
    </row>
    <row r="1727">
      <c r="A1727" t="inlineStr">
        <is>
          <t>bae6ch</t>
        </is>
      </c>
      <c r="B1727" t="inlineStr">
        <is>
          <t>Mom had a 4cm lung mass found on an xray.</t>
        </is>
      </c>
      <c r="C1727" t="inlineStr">
        <is>
          <t xml:space="preserve">I know this isn’t much of a story compared to most of the stuff I see on here but the waiting on appointments and finding out what is going on in her lung is terrifying. 
She is literally my only family and I don’t know what I would even do without her. She is going to her general physician as suggested by a doctor at the hospital (she was in er for a minor car collision) and then I’m assuming she will have to make another appointment to a specialist to get it checked more in depth. 
I know that not all masses / nodules in the lungs are not cancerous but the larger they are the higher the chance. Just was wondering if anyone has been in a similar situation and could help ease my nerves. This waiting is awful and I am very scared for her but I am trying to stay strong and comfort her.
</t>
        </is>
      </c>
      <c r="D1727" t="n">
        <v>9</v>
      </c>
      <c r="E1727" t="n">
        <v>7</v>
      </c>
      <c r="F1727">
        <f>HYPERLINK("https://www.reddit.com/r/cancer/comments/bae6ch/mom_had_a_4cm_lung_mass_found_on_an_xray/")</f>
        <v/>
      </c>
      <c r="G1727" t="inlineStr">
        <is>
          <t>2019-04-07 01:08:00</t>
        </is>
      </c>
      <c r="H1727" t="inlineStr"/>
    </row>
    <row r="1728">
      <c r="A1728" t="inlineStr">
        <is>
          <t>bafrsg</t>
        </is>
      </c>
      <c r="B1728" t="inlineStr">
        <is>
          <t>Patients that underwent surgery- How Long did you wait between scan showing a tumor and surgery?</t>
        </is>
      </c>
      <c r="C1728" t="inlineStr">
        <is>
          <t>Hi all,
I was just curious about those folks that had dissections, resections, or any surgery to remove a tumor how long was your surgery after the scan showed that you had a tumor/cancer in your body. I’m hearing the average is 2 weeks?
I know it depends on the agressiveness and grade but I wanted to take a general poll 
Thanks ,
Ace</t>
        </is>
      </c>
      <c r="D1728" t="n">
        <v>10</v>
      </c>
      <c r="E1728" t="n">
        <v>37</v>
      </c>
      <c r="F1728">
        <f>HYPERLINK("https://www.reddit.com/r/cancer/comments/bafrsg/patients_that_underwent_surgery_how_long_did_you/")</f>
        <v/>
      </c>
      <c r="G1728" t="inlineStr">
        <is>
          <t>2019-04-07 05:30:40</t>
        </is>
      </c>
      <c r="H1728" t="inlineStr"/>
    </row>
    <row r="1729">
      <c r="A1729" t="inlineStr">
        <is>
          <t>bafxtp</t>
        </is>
      </c>
      <c r="B1729" t="inlineStr">
        <is>
          <t>My granddad has been diagnosed with bone cancer and has been given 5 weeks to live. What can I do to make his last few weeks well-spent?</t>
        </is>
      </c>
      <c r="C1729" t="inlineStr">
        <is>
          <t>He's been really down and depressed lately, and I can understand why, knowing you only have such a limited amount of time to must be frightening. He's been telling everyone to forget about him when he's gone, he used to be such a lively and funny person and it's really hard seeing him like this. The amount of time he's been given to live is far too short for him to wrap his mind around everything. I want to make his last few weeks amazing for him, just so he can get even the tiniest amount of enjoyment out of his remaining time. What can I do to support him during such a stressful time?
Thank you in advance,
-Bryan.</t>
        </is>
      </c>
      <c r="D1729" t="n">
        <v>42</v>
      </c>
      <c r="E1729" t="n">
        <v>14</v>
      </c>
      <c r="F1729">
        <f>HYPERLINK("https://www.reddit.com/r/cancer/comments/bafxtp/my_granddad_has_been_diagnosed_with_bone_cancer/")</f>
        <v/>
      </c>
      <c r="G1729" t="inlineStr">
        <is>
          <t>2019-04-07 05:53:08</t>
        </is>
      </c>
      <c r="H1729" t="inlineStr"/>
    </row>
    <row r="1730">
      <c r="A1730" t="inlineStr">
        <is>
          <t>bag80t</t>
        </is>
      </c>
      <c r="B1730" t="inlineStr">
        <is>
          <t>Any experiences with ependymoma?</t>
        </is>
      </c>
      <c r="C1730" t="inlineStr">
        <is>
          <t xml:space="preserve">hello there!! i’m 18 and have just come out of surgery to remove an ependymoma from my spinal cord, just over half was able to be removed but trying to get the rest posed too much of a risk of paralysis/quadriplegia. i’ve lost pretty much all sensation below the waist following the op but luckily retained my motor function so hopefully i’ll be walking again soon once i start rehab :)) i’m nervous about the remaining mass and it’s treatment. the docs have been mentioning chemo as well as radiation therapy, but they’re yet to classify the ependymoma. if anyone has stories of themselves or someone they know who has been treated for ependymoma please do share! what class was it, and what treatments, were they effective, etc? </t>
        </is>
      </c>
      <c r="D1730" t="n">
        <v>1</v>
      </c>
      <c r="E1730" t="n">
        <v>1</v>
      </c>
      <c r="F1730">
        <f>HYPERLINK("https://www.reddit.com/r/cancer/comments/bag80t/any_experiences_with_ependymoma/")</f>
        <v/>
      </c>
      <c r="G1730" t="inlineStr">
        <is>
          <t>2019-04-07 06:27:47</t>
        </is>
      </c>
      <c r="H1730" t="inlineStr"/>
    </row>
    <row r="1731">
      <c r="A1731" t="inlineStr">
        <is>
          <t>bagpbl</t>
        </is>
      </c>
      <c r="B1731" t="inlineStr">
        <is>
          <t>Any practical advice for post-op recovery after removing a spinal tumour?</t>
        </is>
      </c>
      <c r="C1731" t="inlineStr">
        <is>
          <t xml:space="preserve">I’m (27F) prepping for surgery on my back to remove an Ependymoma that’s growing right at the base of my spine. It’s about 4cm by 1.5cm and pressing pretty heavy on my spinal cord, but the doctor hasn’t indicated there there will be any problem getting it out. 
Does anyone have any practical advice or tips on how to make the post-op journey a little more manageable? I’ve heard that I’ll probably be pretty nauseous with a bad headache through loss of spinal fluid- is there anything I can take or do to counteract that?
</t>
        </is>
      </c>
      <c r="D1731" t="n">
        <v>2</v>
      </c>
      <c r="E1731" t="n">
        <v>2</v>
      </c>
      <c r="F1731">
        <f>HYPERLINK("https://www.reddit.com/r/cancer/comments/bagpbl/any_practical_advice_for_postop_recovery_after/")</f>
        <v/>
      </c>
      <c r="G1731" t="inlineStr">
        <is>
          <t>2019-04-07 07:21:35</t>
        </is>
      </c>
      <c r="H1731" t="inlineStr"/>
    </row>
    <row r="1732">
      <c r="A1732" t="inlineStr">
        <is>
          <t>baibua</t>
        </is>
      </c>
      <c r="B1732" t="inlineStr">
        <is>
          <t>Hippocrates Institute and their Comprehensive Cancer Wellness program. Anyone done it and could share their experience here?</t>
        </is>
      </c>
      <c r="C1732" t="inlineStr">
        <is>
          <t>Were you diagnosed with cancer and went thru a week of program at the Hippocrates Institute in Palm Beach? What was your experience? Did it help you get better after cancer treatments? What exactly did you do there? How do they work?
Please share your experience! Thank you :)</t>
        </is>
      </c>
      <c r="D1732" t="n">
        <v>1</v>
      </c>
      <c r="E1732" t="n">
        <v>1</v>
      </c>
      <c r="F1732">
        <f>HYPERLINK("https://www.reddit.com/r/cancer/comments/baibua/hippocrates_institute_and_their_comprehensive/")</f>
        <v/>
      </c>
      <c r="G1732" t="inlineStr">
        <is>
          <t>2019-04-07 09:56:03</t>
        </is>
      </c>
      <c r="H1732" t="inlineStr"/>
    </row>
    <row r="1733">
      <c r="A1733" t="inlineStr">
        <is>
          <t>baifxp</t>
        </is>
      </c>
      <c r="B1733" t="inlineStr">
        <is>
          <t>Anyone here done the stem cell transplant thing in Nashville at either Vanderbilt or Sarah Cannon?</t>
        </is>
      </c>
      <c r="C1733" t="inlineStr">
        <is>
          <t>In a few months, I'll have to go through this and I have both general questions about the procedure and some questions specific to Vanderbilt/Sarah Cannon.</t>
        </is>
      </c>
      <c r="D1733" t="n">
        <v>2</v>
      </c>
      <c r="E1733" t="n">
        <v>4</v>
      </c>
      <c r="F1733">
        <f>HYPERLINK("https://www.reddit.com/r/cancer/comments/baifxp/anyone_here_done_the_stem_cell_transplant_thing/")</f>
        <v/>
      </c>
      <c r="G1733" t="inlineStr">
        <is>
          <t>2019-04-07 10:06:02</t>
        </is>
      </c>
      <c r="H1733" t="inlineStr"/>
    </row>
    <row r="1734">
      <c r="A1734" t="inlineStr">
        <is>
          <t>bakck7</t>
        </is>
      </c>
      <c r="B1734" t="inlineStr">
        <is>
          <t>I’d like to donate my hair to be made into a wig for cancer or other hair loss patients. Need advice.</t>
        </is>
      </c>
      <c r="C1734" t="inlineStr">
        <is>
          <t>I’ve been blessed to have strong, long hair that I have donated 3 times over the years to Locks of Love.  However I recently heard that they sell the hair donations sometimes, and I’m not sure I would like to donate to them again because of that.  
Also, I’ve heard advancements in synthetic hair have made real hair wigs less popular and less in demand. 
So when I cut my hair next, should I donate it? And if so, to which company? 
Thank you for all your advice.</t>
        </is>
      </c>
      <c r="D1734" t="n">
        <v>2</v>
      </c>
      <c r="E1734" t="n">
        <v>5</v>
      </c>
      <c r="F1734">
        <f>HYPERLINK("https://www.reddit.com/r/cancer/comments/bakck7/id_like_to_donate_my_hair_to_be_made_into_a_wig/")</f>
        <v/>
      </c>
      <c r="G1734" t="inlineStr">
        <is>
          <t>2019-04-07 12:54:22</t>
        </is>
      </c>
      <c r="H1734" t="inlineStr"/>
    </row>
    <row r="1735">
      <c r="A1735" t="inlineStr">
        <is>
          <t>bakw9n</t>
        </is>
      </c>
      <c r="B1735" t="inlineStr">
        <is>
          <t>What are easy goals you had while chemo prevented you from living your life normally?</t>
        </is>
      </c>
      <c r="C1735" t="inlineStr">
        <is>
          <t xml:space="preserve">So I’m doing six rounds of chemo, ending in October. Not sure if I’ll need radiation yet, but nonetheless I have to take a gap year from college as I can’t move away from my home during treatment. My parents are really supportive as I’m an 18 year old high school student - so they are luckily still supporting me financially and plan to until I go to college. 
I’m a goal motivated type of person so treatment being my only “goal” right now has been really draining/depressing. I’ve finished high school and have been advised to no longer take any classes/ or be around large groups of people due to my blood counts being so low. 
I really need something to do, and I need a goal that I can do during treatment. I was hoping for any ideas? I need something that I can try to do while also being out of commission for the week of nausea every other week. It also needs to be something that doesn’t have obligations if I need to take breaks from it (so no classes, a job, etc). 
Does anyone have any ideas or advice for dealing with this rut during treatment? 
I had a few ideas, like trying to learn a language, or maybe getting a job on Wag to walk dogs on my time when I’m feeling okay, but I know there must be more than that. It feels like my life has become centered around cancer because everything I wanted/want to do has had to be postponed. 
I need something to distract me that won’t be impossible when I’m so sick. But small things like crafts and reading aren’t cutting it. I feel like I need something to feel more accomplished or excited for. Agh. 
</t>
        </is>
      </c>
      <c r="D1735" t="n">
        <v>0</v>
      </c>
      <c r="E1735" t="n">
        <v>8</v>
      </c>
      <c r="F1735">
        <f>HYPERLINK("https://www.reddit.com/r/cancer/comments/bakw9n/what_are_easy_goals_you_had_while_chemo_prevented/")</f>
        <v/>
      </c>
      <c r="G1735" t="inlineStr">
        <is>
          <t>2019-04-07 13:44:14</t>
        </is>
      </c>
      <c r="H1735" t="inlineStr"/>
    </row>
    <row r="1736">
      <c r="A1736" t="inlineStr">
        <is>
          <t>bam6a8</t>
        </is>
      </c>
      <c r="B1736" t="inlineStr">
        <is>
          <t>Watching my own emotional slow dissolve</t>
        </is>
      </c>
      <c r="C1736" t="inlineStr">
        <is>
          <t>Hi all, posted in here about a month ago for the first time and got some good responses, so I'm back!
Backstory: I'm 26F with stage IIIB triple negative breast cancer. I have five weeks of chemo (Taxol/Carbo) left before I have a double mastectomy (happens to fall on the week of my 27th birthday), followed by radiation. 
Every day is like Groundhog Day. I wake up with a bleak outlook every single day. I'm sad, angry, frustrated, unmotivated, bitter, resentful and exhausted. I struggled with depression and anxiety before my diagnosis, but any coping mechanism I've learned has pretty much been rendered useless now.
My oncology group hooked me up with a psychiatrist that I saw maybe twice, and got no relief from. I can look for a different psych within their group but it just feels hopeless.
While my support system is good overall, I feel like my diagnosis is just the new normal for them. They're used to it and I never will be. My family is very heavy into "thoughts are things", which is helpful sometimes but doesn't allow much room for processing the negative emotions that come along with this. It's almost taboo.
My partner, on the other hand, has never dealt with illness or disease in anyone close to him. Initially, he was great about everything but now it seems like he doesn't understand what he was taking on by assuming the caretaker role. He made sacrifices to take on that role, and for that I'm grateful. But on a day-to-day basis, I wonder if he's clueless or just selfish. 
I know that I'm dissociating from him and my family. I just hide away all the time and don't answer my phone when my extended family calls.
&amp;amp;#x200B;
Any advice would be amazing. Thanks kind internet strangers!</t>
        </is>
      </c>
      <c r="D1736" t="n">
        <v>49</v>
      </c>
      <c r="E1736" t="n">
        <v>12</v>
      </c>
      <c r="F1736">
        <f>HYPERLINK("https://www.reddit.com/r/cancer/comments/bam6a8/watching_my_own_emotional_slow_dissolve/")</f>
        <v/>
      </c>
      <c r="G1736" t="inlineStr">
        <is>
          <t>2019-04-07 15:45:33</t>
        </is>
      </c>
      <c r="H1736" t="inlineStr"/>
    </row>
    <row r="1737">
      <c r="A1737" t="inlineStr">
        <is>
          <t>bampr6</t>
        </is>
      </c>
      <c r="B1737" t="inlineStr">
        <is>
          <t>Advice for adult siblings of cancer patients</t>
        </is>
      </c>
      <c r="C1737" t="inlineStr">
        <is>
          <t xml:space="preserve">My brother was just diagnosed with testicular cancer about a week ago. He was born with Spina Bifida so he can’t feel below his waist and a majority of health problems don’t present normally in him either. Long story short, he had a testicular tumor that was acting like a hernia and growing inside him. He had been having reoccurring bladder infections for which doctors just kept prescribing antibiotics. Then he developed a cough about a month ago and again doctors brushed it off as the flu. He got to the point where he was having coughing attacks and the medicine wasn’t working so my mom took him to the ER since it was affecting his ability to breathe. They found genital swelling and after diagnostics found he had a tumor the size of a pineapple growing in him (eventually dropped due to weight and coughing attack). They also found tumors in his lungs, bladder stones, and kidney stones. They removed his testicle and main tumor to stop the growth anywhere else and the bladder stones as well did a urethra reconstruction (because he can’t walk or feel below waist he caths but because the bladder stones were blocking entrance to bladder he was poking holes in urethra). They didn’t remove kidney stones because it would have been too much stress at once. They haven’t done an MRI of brain but all abdominal organs look otherwise healthy (tumor free). He’s had complications with bladder emptying and he has multiple, moderate sized tumors in lungs and as a result of his complicated health and history I’m really struggling to stay hopeful, to find peace, but most of all to cope. Do any of you have any advice for how to process this kind of situation as well as how to support him or my mom even though they’re 12 hours away? (My brother is 27 living with my mom because of health reasons). </t>
        </is>
      </c>
      <c r="D1737" t="n">
        <v>2</v>
      </c>
      <c r="E1737" t="n">
        <v>0</v>
      </c>
      <c r="F1737">
        <f>HYPERLINK("https://www.reddit.com/r/cancer/comments/bampr6/advice_for_adult_siblings_of_cancer_patients/")</f>
        <v/>
      </c>
      <c r="G1737" t="inlineStr">
        <is>
          <t>2019-04-07 16:39:04</t>
        </is>
      </c>
      <c r="H1737" t="inlineStr"/>
    </row>
    <row r="1738">
      <c r="A1738" t="inlineStr">
        <is>
          <t>ban72r</t>
        </is>
      </c>
      <c r="B1738" t="inlineStr">
        <is>
          <t>Can cancer be diagnosed without a biopsy?</t>
        </is>
      </c>
      <c r="C1738" t="inlineStr">
        <is>
          <t xml:space="preserve">Just wondering, because all my stepdad has had done are PET scans and an endoscopy and he’s been diagnosed with stage IV throat cancer. I’m not doubting that it’s cancer, I just don’t understand how that’s the conclusion they’ve come to. I have a lot to learn still. Never thought I’d be spending so much time researching cancer. 
He had a PET scan Friday, results should be in tomorrow. He’s been feeling his ear plugged up this weekend and can’t hear out of it. Makes me worry. </t>
        </is>
      </c>
      <c r="D1738" t="n">
        <v>2</v>
      </c>
      <c r="E1738" t="n">
        <v>14</v>
      </c>
      <c r="F1738">
        <f>HYPERLINK("https://www.reddit.com/r/cancer/comments/ban72r/can_cancer_be_diagnosed_without_a_biopsy/")</f>
        <v/>
      </c>
      <c r="G1738" t="inlineStr">
        <is>
          <t>2019-04-07 17:29:25</t>
        </is>
      </c>
      <c r="H1738" t="inlineStr"/>
    </row>
    <row r="1739">
      <c r="A1739" t="inlineStr">
        <is>
          <t>bao8pv</t>
        </is>
      </c>
      <c r="B1739" t="inlineStr">
        <is>
          <t>What to give to someone newly diagnosed to cheer them up?</t>
        </is>
      </c>
      <c r="C1739" t="inlineStr">
        <is>
          <t>I'm in the position to give a fellow mum of a toddler, who has recently been diagnosed and is/will be going through chemo, a gift basket.
I don't know her at all, I just bought something online from her and she had a wee breakdown in the messages about her situation. I have her address due to it being on the package she sent me.
Any ideas what I could send to give her a happy surprise?</t>
        </is>
      </c>
      <c r="D1739" t="n">
        <v>7</v>
      </c>
      <c r="E1739" t="n">
        <v>5</v>
      </c>
      <c r="F1739">
        <f>HYPERLINK("https://www.reddit.com/r/cancer/comments/bao8pv/what_to_give_to_someone_newly_diagnosed_to_cheer/")</f>
        <v/>
      </c>
      <c r="G1739" t="inlineStr">
        <is>
          <t>2019-04-07 19:21:17</t>
        </is>
      </c>
      <c r="H1739" t="inlineStr"/>
    </row>
    <row r="1740">
      <c r="A1740" t="inlineStr">
        <is>
          <t>bapyh4</t>
        </is>
      </c>
      <c r="B1740" t="inlineStr">
        <is>
          <t>Best Herbal Medicines for Bladder Cancer Treatment</t>
        </is>
      </c>
      <c r="C1740" t="inlineStr">
        <is>
          <t>Here are the best herbs that just might help your fight against cancer. If you are looking for [Herbal medicines for cancer](https://www.tuugo.biz/Companies/cancertame/0050004060919). Cancer tame is here for you, Contact us today.</t>
        </is>
      </c>
      <c r="D1740" t="n">
        <v>0</v>
      </c>
      <c r="E1740" t="n">
        <v>2</v>
      </c>
      <c r="F1740">
        <f>HYPERLINK("https://www.reddit.com/r/cancer/comments/bapyh4/best_herbal_medicines_for_bladder_cancer_treatment/")</f>
        <v/>
      </c>
      <c r="G1740" t="inlineStr">
        <is>
          <t>2019-04-07 22:39:39</t>
        </is>
      </c>
      <c r="H1740" t="inlineStr"/>
    </row>
    <row r="1741">
      <c r="A1741" t="inlineStr">
        <is>
          <t>bat9z1</t>
        </is>
      </c>
      <c r="B1741" t="inlineStr">
        <is>
          <t>What to feed for a patient that has loss appetite?</t>
        </is>
      </c>
      <c r="C1741" t="inlineStr">
        <is>
          <t>Currently, I'm loss at what to feed because my mom just doesn't want to eat. Also, she tells me that their is a bitter taste around her mouth. Any advise? Her oncologist told me that it's okay to feed her anything just to regain nutrition.</t>
        </is>
      </c>
      <c r="D1741" t="n">
        <v>13</v>
      </c>
      <c r="E1741" t="n">
        <v>18</v>
      </c>
      <c r="F1741">
        <f>HYPERLINK("https://www.reddit.com/r/cancer/comments/bat9z1/what_to_feed_for_a_patient_that_has_loss_appetite/")</f>
        <v/>
      </c>
      <c r="G1741" t="inlineStr">
        <is>
          <t>2019-04-08 05:36:26</t>
        </is>
      </c>
      <c r="H1741" t="inlineStr"/>
    </row>
    <row r="1742">
      <c r="A1742" t="inlineStr">
        <is>
          <t>batto8</t>
        </is>
      </c>
      <c r="B1742" t="inlineStr">
        <is>
          <t>Help with joint pain?</t>
        </is>
      </c>
      <c r="C1742" t="inlineStr">
        <is>
          <t xml:space="preserve">I'm a breast cancer survivor on hormone suppressant medication (tamoxifen tablets and lucrin injections). It's been three years and over that period I have developed pain in my joints, mostly my hips but also knees, elbows and fingers. It's gotten so bad my oncologist is considering taking me off the medication, but I would really like to stay on it. I'm wondering if there's anything I can try to help with this. I'm already on magnesium tablets because without them I get terrible leg cramps at night. I feel like the pain gets less bad when I get some very gentle exercise like a short walk with the dog, especially in the morning. But if I do too much it gets worse and I can't seem to get my body used to more exercise. </t>
        </is>
      </c>
      <c r="D1742" t="n">
        <v>1</v>
      </c>
      <c r="E1742" t="n">
        <v>2</v>
      </c>
      <c r="F1742">
        <f>HYPERLINK("https://www.reddit.com/r/cancer/comments/batto8/help_with_joint_pain/")</f>
        <v/>
      </c>
      <c r="G1742" t="inlineStr">
        <is>
          <t>2019-04-08 06:29:19</t>
        </is>
      </c>
      <c r="H1742" t="inlineStr"/>
    </row>
    <row r="1743">
      <c r="A1743" t="inlineStr">
        <is>
          <t>batwme</t>
        </is>
      </c>
      <c r="B1743" t="inlineStr">
        <is>
          <t>Insurance won’t approve chemoembolization</t>
        </is>
      </c>
      <c r="C1743" t="inlineStr">
        <is>
          <t xml:space="preserve">Hi, my mom has cholangiocarcinoma(bile duct). Our doctor said she cant be cured but chemoembolization could help her tumor shrink. Blue cross blue shield won’t approve this procedure because it is not necessary for her. What can I do to appeal this with BCBS? </t>
        </is>
      </c>
      <c r="D1743" t="n">
        <v>6</v>
      </c>
      <c r="E1743" t="n">
        <v>3</v>
      </c>
      <c r="F1743">
        <f>HYPERLINK("https://www.reddit.com/r/cancer/comments/batwme/insurance_wont_approve_chemoembolization/")</f>
        <v/>
      </c>
      <c r="G1743" t="inlineStr">
        <is>
          <t>2019-04-08 06:37:13</t>
        </is>
      </c>
      <c r="H1743" t="inlineStr"/>
    </row>
    <row r="1744">
      <c r="A1744" t="inlineStr">
        <is>
          <t>baua5a</t>
        </is>
      </c>
      <c r="B1744" t="inlineStr">
        <is>
          <t>Has anyone had a second cancer?</t>
        </is>
      </c>
      <c r="C1744" t="inlineStr">
        <is>
          <t>6 years ago I had melanoma (stage 1b) and I am currently in the hospital waiting to be staged for NHL. The melanoma has not recurred so that's a plus and the lymphoma seems like I can battle it. Has anyone else had this happen? I'm ready to fight but this just seems stupid unlucky. Hope all is well on everyone's journey.</t>
        </is>
      </c>
      <c r="D1744" t="n">
        <v>16</v>
      </c>
      <c r="E1744" t="n">
        <v>43</v>
      </c>
      <c r="F1744">
        <f>HYPERLINK("https://www.reddit.com/r/cancer/comments/baua5a/has_anyone_had_a_second_cancer/")</f>
        <v/>
      </c>
      <c r="G1744" t="inlineStr">
        <is>
          <t>2019-04-08 07:12:03</t>
        </is>
      </c>
      <c r="H1744" t="inlineStr"/>
    </row>
    <row r="1745">
      <c r="A1745" t="inlineStr">
        <is>
          <t>bav2sj</t>
        </is>
      </c>
      <c r="B1745" t="inlineStr">
        <is>
          <t>Need to Vent</t>
        </is>
      </c>
      <c r="C1745" t="inlineStr">
        <is>
          <t xml:space="preserve">Dad was diagnosed with Stage 3 Rectal Ca last July when he went in for a Hemorrhoids operation. Instead of the operation the surgeon discovered the tumor. Fast forward to now where he has had his neo adjuvant chemoradio, his tumor removal surgery which showed only 1 lymph nodes involvement, and had started adjuvant chemo. 
First two cycles were fine but cycle 3 of capox knocked him out. His diet was poor and he got a bout of chemo induced diarrhoea that had him admitted for 10 days on drips. Chemo 4 delayed and in between the return home and a very solid effort for him to get back to walking, being independent and eating so much better, he's back in with severe Cellulitis on his hand. Doctors are saying they need to remove t0he pus since after 5 days of antibiotics they don't see improvement like they want. Perhaps even remove skin and flesh if the infection is deep. I'm sitting in the ward with him waiting for them to take him into the OR. It's a shitty hospital since we had to come in on an emergency and his main cancer hospital is 2 hours away. I still went to his oncologust to see if they could bring him inpatient there but they refused because he current condition is not oncology related. His medical coverage at the cancer hospital only covers oncology (we are not in the US and the system here is very different. No universal healthcare for non locals)
 I'm so worn down now with every change and admission and now another surgery needed to fix something that should not have happened unless he had the chemo and resulting lowered immunity. I want to cry and I do when alone and praying and I tear up thinking how unfair it is for someone to keep having to have a new hurdle to cross. I know people here are in perhaps a worse position and I am extremely grateful that there were zero complications since diagnosis till the last month but it feels so overwhelming at times. 
I am the eldest son, don't live with him but close enough to take him to every appointment. I've run from office 3 times when moms called that there's an issue dropping everything.  Since chemo 2 he's unable to drive anymore due to weakness and chemo fog. So I see it all, and I wanted to just vent and tell everyone reading that I pray you and your lived ones get better soon and I hope my daughter's generation (currently 4 and missing her dadda) finds a way to eliminate this wretched illness. 
</t>
        </is>
      </c>
      <c r="D1745" t="n">
        <v>3</v>
      </c>
      <c r="E1745" t="n">
        <v>6</v>
      </c>
      <c r="F1745">
        <f>HYPERLINK("https://www.reddit.com/r/cancer/comments/bav2sj/need_to_vent/")</f>
        <v/>
      </c>
      <c r="G1745" t="inlineStr">
        <is>
          <t>2019-04-08 08:21:06</t>
        </is>
      </c>
      <c r="H1745" t="inlineStr"/>
    </row>
    <row r="1746">
      <c r="A1746" t="inlineStr">
        <is>
          <t>bavy53</t>
        </is>
      </c>
      <c r="B1746" t="inlineStr">
        <is>
          <t>Cancer, food, taste</t>
        </is>
      </c>
      <c r="C1746" t="inlineStr">
        <is>
          <t>My dad has cancer and is struggling to find his food enjoyable. It all tastes bland/bleurgh to him. Have you got any tips/tricks for getting food to taste better either for yourself or loved ones you're caring for undergoing chemo?
I know mint is supposed to help. Any other suggestions would be so valued.
Thank you</t>
        </is>
      </c>
      <c r="D1746" t="n">
        <v>1</v>
      </c>
      <c r="E1746" t="n">
        <v>0</v>
      </c>
      <c r="F1746">
        <f>HYPERLINK("https://www.reddit.com/r/cancer/comments/bavy53/cancer_food_taste/")</f>
        <v/>
      </c>
      <c r="G1746" t="inlineStr">
        <is>
          <t>2019-04-08 09:34:00</t>
        </is>
      </c>
      <c r="H1746" t="inlineStr"/>
    </row>
    <row r="1747">
      <c r="A1747" t="inlineStr">
        <is>
          <t>baw05c</t>
        </is>
      </c>
      <c r="B1747" t="inlineStr">
        <is>
          <t>Impending sense of doom...</t>
        </is>
      </c>
      <c r="C1747" t="inlineStr">
        <is>
          <t>In December 2018, I was diagnosed with Subungual Melanoma under the fingernail of my right pinkie finger. In January of this year, that pinkie was amputated and 2 sentinal Lymph Nodes were removed from under my right armpit. All the tests on the lymph nodes and removed finger came back good. No cancer in the nodes and the cancer cells were limited to the affected area.
Good news.
During my follow up, the Dr  told me that since I had it once, I am more susceptible to recurrence. Makes sense...be vigilant. Then he told me it could come back in other places. My brain, bones liver, lungs, etc... Now I feel like I'm waiting for the other cancer shoe to drop.  Every headache, cough, pain makes me wonder if this is it.
I feel doomed...</t>
        </is>
      </c>
      <c r="D1747" t="n">
        <v>4</v>
      </c>
      <c r="E1747" t="n">
        <v>6</v>
      </c>
      <c r="F1747">
        <f>HYPERLINK("https://www.reddit.com/r/cancer/comments/baw05c/impending_sense_of_doom/")</f>
        <v/>
      </c>
      <c r="G1747" t="inlineStr">
        <is>
          <t>2019-04-08 09:38:45</t>
        </is>
      </c>
      <c r="H1747" t="inlineStr"/>
    </row>
    <row r="1748">
      <c r="A1748" t="inlineStr">
        <is>
          <t>baw6ab</t>
        </is>
      </c>
      <c r="B1748" t="inlineStr">
        <is>
          <t>Questions about my moms diagnosis, prognosis, and progression</t>
        </is>
      </c>
      <c r="C1748" t="inlineStr">
        <is>
          <t>Hi again all.
&amp;amp;#x200B;
So my mom has angiosarcoma (believed to be stage 4, likely mets in the lungs). She has chosen no treatment, so she is on a hospice plan, at home. They have her on morphine, and visteril for the itching caused by morphine. She has become increasingly confused. Any conversation with her goes around in circles, with her asking the same questions again and again. It's very sad and of course frustrating.
&amp;amp;#x200B;
Saturday night, I was at my boyfriend's house sleeping over when she called me in a panic from my dad's phone, asking me to come home. I did so. She was very upset and confused, saying she was scared of my father and didn't trust him, that he was forcing her to take morphine. She kept imagining I was speaking to her when I hadn't said anything.
&amp;amp;#x200B;
In the morning, she had some clarity, and was sure she was dying and needed to go to the respite care house. So she's there now. She said goodbye to our cats before she left. She really doesn't think she's coming back.
&amp;amp;#x200B;
I don't know if her time really is soon, and I know that no one can foresee that. But does anyone have any insight on if this could fully be the morphine causing her to act this way, or if it could be her time? I'm scared.</t>
        </is>
      </c>
      <c r="D1748" t="n">
        <v>2</v>
      </c>
      <c r="E1748" t="n">
        <v>4</v>
      </c>
      <c r="F1748">
        <f>HYPERLINK("https://www.reddit.com/r/cancer/comments/baw6ab/questions_about_my_moms_diagnosis_prognosis_and/")</f>
        <v/>
      </c>
      <c r="G1748" t="inlineStr">
        <is>
          <t>2019-04-08 09:53:10</t>
        </is>
      </c>
      <c r="H1748" t="inlineStr"/>
    </row>
    <row r="1749">
      <c r="A1749" t="inlineStr">
        <is>
          <t>bawe61</t>
        </is>
      </c>
      <c r="B1749" t="inlineStr">
        <is>
          <t>A bit of levity</t>
        </is>
      </c>
      <c r="C1749" t="inlineStr">
        <is>
          <t>I realize this won't be everyone's cup of tea, but may be useful to some if humor is your primary coping mechanism.
I was treated for papillary thyroid cancer early last year, at the age of 28. I was given the all-clear in March and I turned 29 in June. My sister texted me a week or so before my birthday, saying she was going to buy me and her concert tickets for one of our favorite bands. She added that it was my birthday/"sorry you got cancer" present. I thought it was really funny, and we had a blast at the concert.
Currently, she is 28 (we're only 15 months apart in age) and is getting surgery soon to remove cancer in her cervix. The doctors say she should be all-clear afterward, as they caught it early and it isn't aggressive. Thank goodness for that. But I texted her this morning that come September, when she turns 29, she can also expect a birthday/"sorry you got cancer" present. Now I just have to decide what it will be!</t>
        </is>
      </c>
      <c r="D1749" t="n">
        <v>51</v>
      </c>
      <c r="E1749" t="n">
        <v>11</v>
      </c>
      <c r="F1749">
        <f>HYPERLINK("https://www.reddit.com/r/cancer/comments/bawe61/a_bit_of_levity/")</f>
        <v/>
      </c>
      <c r="G1749" t="inlineStr">
        <is>
          <t>2019-04-08 10:11:43</t>
        </is>
      </c>
      <c r="H1749" t="inlineStr"/>
    </row>
    <row r="1750">
      <c r="A1750" t="inlineStr">
        <is>
          <t>bawzno</t>
        </is>
      </c>
      <c r="B1750" t="inlineStr">
        <is>
          <t>Paid Cigarette and E-Cig/Vape Study at USC</t>
        </is>
      </c>
      <c r="C1750" t="inlineStr">
        <is>
          <t>USC is conducting a research study on the health risks or benefits of new and emerging tobacco products. We seek healthy volunteers who:
(1) Smoke cigarettes only; or
(2) Use e-cigarettes/vape only; or
(3) Neither smoke cigarettes nor use e-cigarettes/vape
\*\*Those who BOTH smoke cigarettes and use e-cigarettes/vape are NOT eligible for this study\*\*
Additional requirements include:
\- being 21 or older
\- living in the LA area
\- willing to answer a survey questionnaire, accessible at: [http://geteo.usc.edu](http://geteo.usc.edu/)
\--COMPENSATION IS AVAILABLE—
CONTACT US FOR MORE INFORMATION
\- Phone: (323)-442-7765
\- E-mail: [geteostudy@gmail.com](mailto:geteostudy@gmail.com)
&amp;amp;#x200B;
&amp;amp;#x200B;
https://i.redd.it/pacb14vpw2r21.png</t>
        </is>
      </c>
      <c r="D1750" t="n">
        <v>1</v>
      </c>
      <c r="E1750" t="n">
        <v>0</v>
      </c>
      <c r="F1750">
        <f>HYPERLINK("https://www.reddit.com/r/cancer/comments/bawzno/paid_cigarette_and_ecigvape_study_at_usc/")</f>
        <v/>
      </c>
      <c r="G1750" t="inlineStr">
        <is>
          <t>2019-04-08 11:03:02</t>
        </is>
      </c>
      <c r="H1750" t="inlineStr"/>
    </row>
    <row r="1751">
      <c r="A1751" t="inlineStr">
        <is>
          <t>bax1se</t>
        </is>
      </c>
      <c r="B1751" t="inlineStr">
        <is>
          <t>Paranoid</t>
        </is>
      </c>
      <c r="C1751" t="inlineStr">
        <is>
          <t>So two and a half years ago while I was pregnant with my daughter, my mom started showing signs of her cancer, I told her to get checked out, I thought it was probably a pulled muscle or a pinched nerve because of how she described it, but having chronic back pain myself, I know that it could be a kidney infection or a bunch of other more serious things... So I knew that she should have it looked at and get an x-ray to make sure things are ok... the pain just kept getting worse but she put it off and didn't see an actual doctor until over a year after the first symptoms started, and then her kidneys were in major distress... And at this point she's been given a year or two at most to live... 
Now my partner has been complaining about back pain and while I know that he is like me and has an injury there so I know that it's probably not cancer... He was in for a doctor's appointment today, and they called him in for a second emergency round of more x-rays and bloodwork... I'm trying not to freak out and jump to conclusions... He has been my rock through everything with my Mom... Just the waiting to find out what's actually going on has me in a mild panic, and a little paranoid that it's the same thing my mom has... I know this isn't rational thinking but I can't help it.</t>
        </is>
      </c>
      <c r="D1751" t="n">
        <v>1</v>
      </c>
      <c r="E1751" t="n">
        <v>3</v>
      </c>
      <c r="F1751">
        <f>HYPERLINK("https://www.reddit.com/r/cancer/comments/bax1se/paranoid/")</f>
        <v/>
      </c>
      <c r="G1751" t="inlineStr">
        <is>
          <t>2019-04-08 11:07:57</t>
        </is>
      </c>
      <c r="H1751" t="inlineStr"/>
    </row>
    <row r="1752">
      <c r="A1752" t="inlineStr">
        <is>
          <t>bazbde</t>
        </is>
      </c>
      <c r="B1752" t="inlineStr">
        <is>
          <t>Lung cancer-got the official results on friday. Squamous stage 1. Went for pre surgery today and now they're saying it's stage 3 and non operable. Now what?</t>
        </is>
      </c>
      <c r="C1752" t="inlineStr">
        <is>
          <t>We went to get the results from a biopsy and PET scan on friday for my stepdad. We already knew he had cancer because the mass in his lung was the size of a golf ball, we just didn't know what type or how bad. The PET scan results were already in and showed a spot on a lymph node and spots spread out near the bottom of his spine. They told us that on Thursday but said a doctor still needed to read them. They also biospied the lymphnode.  To our surprise, on Friday they told us that it had not metastasized at all, that the biopsy on the lymph node came back fine and while they didnt know what the spots near his spine were, they dont believe it's cancer. The plan was to operate and remove the bottom two lobes. He was to come in today for pre surgery breathing test, etc. But for the first time since they fpund the mass it felt like we could stop holding our breath. 
My mom just texted me and said theyre still at the hospital, that as soon as they got there they were pulled aside and told that they had made a mistake. That the lymphnode is cancerous and there is another one further down his lung that was questionable. Since there's two, it's most likely all through the lymphnodes just too small to detect. This makes it stage 3. She said the plan now is to have the lympnode removed on Wednesday to confirm, but that theyre already sure it'll be cancerous. Now theyre saying chemo and radiation, then they'll reevaluated for surgery depending on how that goes. 
I'm pissed. So pissed. How are they going to tell us one thing then pull the rug out from under us. That takes 5 year survival rate from near 60 percent to 6 percent?! How do they drop the ball like that. What happens now? Anyone familiar with squamous cell lung cancer...is there any chance of the chemo/radiation killing the cancer enough for him to have the surgery? Or is this going to be about extending his life instead of curing the cancer? Is there anything I should be looking into? Rick Simpson oil, some sort of trials, shit I don't even know. This is my first experience with someone I know having cancer and I feel so useless. It felt like he really had a shot and now it's pointless. He already said he doesn't want to go through with chemo and radiation if it'll only prolong his suffering. I don't want them making him think doing chemo and rad. is going to definitely get him to the surgery if the truth is it isn't, when he's said from the start he'll only do it if theres a chance it'll add quality time to his life. I obviously want him to do it regardless, but I don't want ro be thinking he'll be fine if he won't and waste the little bit of good time we do have left. Any advice you can give me no matter what it is will be a major help. Fuck cancer.</t>
        </is>
      </c>
      <c r="D1752" t="n">
        <v>3</v>
      </c>
      <c r="E1752" t="n">
        <v>9</v>
      </c>
      <c r="F1752">
        <f>HYPERLINK("https://www.reddit.com/r/cancer/comments/bazbde/lung_cancergot_the_official_results_on_friday/")</f>
        <v/>
      </c>
      <c r="G1752" t="inlineStr">
        <is>
          <t>2019-04-08 14:19:32</t>
        </is>
      </c>
      <c r="H1752" t="inlineStr"/>
    </row>
    <row r="1753">
      <c r="A1753" t="inlineStr">
        <is>
          <t>bb0kk0</t>
        </is>
      </c>
      <c r="B1753" t="inlineStr">
        <is>
          <t>Thoughts from a Radiation Therapist</t>
        </is>
      </c>
      <c r="C1753" t="inlineStr">
        <is>
          <t>I’m a Radiation Therapist. I treated a young child today for the first time in my career. I just have to give my utmost love and respect to all the parents out there who have a child with cancer. Watching the parents hold back their sadness and be strong for their child brought me to tears. Even if you are feeling weakened by the experience, you are still the strongest people I know. I want you all to know how much we as Radiation Therapists care about you and the well being of your loved ones.</t>
        </is>
      </c>
      <c r="D1753" t="n">
        <v>95</v>
      </c>
      <c r="E1753" t="n">
        <v>53</v>
      </c>
      <c r="F1753">
        <f>HYPERLINK("https://www.reddit.com/r/cancer/comments/bb0kk0/thoughts_from_a_radiation_therapist/")</f>
        <v/>
      </c>
      <c r="G1753" t="inlineStr">
        <is>
          <t>2019-04-08 16:12:57</t>
        </is>
      </c>
      <c r="H1753" t="inlineStr"/>
    </row>
    <row r="1754">
      <c r="A1754" t="inlineStr">
        <is>
          <t>bb0pk9</t>
        </is>
      </c>
      <c r="B1754" t="inlineStr">
        <is>
          <t>What % of Ovarian tumors are benign?</t>
        </is>
      </c>
      <c r="C1754" t="inlineStr">
        <is>
          <t>So,
My mom has 3 tumors, the largest one being the size of a tennis ball. According to her they're in/near her ovaries. She isn't really telling me more than this but I'm wondering if it's possible to get some estimate as to the chances for whether this is benign or malignant? She's 47 years old. Thanks.</t>
        </is>
      </c>
      <c r="D1754" t="n">
        <v>2</v>
      </c>
      <c r="E1754" t="n">
        <v>1</v>
      </c>
      <c r="F1754">
        <f>HYPERLINK("https://www.reddit.com/r/cancer/comments/bb0pk9/what_of_ovarian_tumors_are_benign/")</f>
        <v/>
      </c>
      <c r="G1754" t="inlineStr">
        <is>
          <t>2019-04-08 16:25:59</t>
        </is>
      </c>
      <c r="H1754" t="inlineStr"/>
    </row>
    <row r="1755">
      <c r="A1755" t="inlineStr">
        <is>
          <t>bb0x7l</t>
        </is>
      </c>
      <c r="B1755" t="inlineStr">
        <is>
          <t>Post Testicular Cancer Sex Drive</t>
        </is>
      </c>
      <c r="C1755" t="inlineStr">
        <is>
          <t>My fiancee had testicular cancer for the 2nd time last year. We just passed his anniversary of finishing treatment. It has been pretty rough to say the least. He was 29 at his first diagnosis and 34 at his second. He has recovered from the surgeries and chemo. He gets Testosterone shots every 2 months which he is still adjusting to. He tells me he's all good with them now but i still see the mood swings, especially when he drinks. Another concern I have, and wanted some advice from either other partners or survivors, is our sex life. I was fully prepared for it to take a hit and to give him as much time that he needed. That was never an issue. My concern now, a year later, is his obsession with porn and lack of interest in sex with me. I have brought it up gently to him and he has said to me its a self esteem issue and how he sees himself now. He has prosthetics and tbh I love them. I have showed him so much intimacy and love and attention to that area to try and reassure him, but nothing has really changed. He is watching porn every day, numerous times a day. Pretty any second that I'm not around! We barely have sex anymore. I'm sick of initiating and going on about it and tbh its taken a toll on my own self esteem. Anyone else going through the same thing? And grt through something similar together? Any advice would be great. I love this man so much and i really dont want this to be the reason we fail, after everything we have been through!</t>
        </is>
      </c>
      <c r="D1755" t="n">
        <v>3</v>
      </c>
      <c r="E1755" t="n">
        <v>16</v>
      </c>
      <c r="F1755">
        <f>HYPERLINK("https://www.reddit.com/r/cancer/comments/bb0x7l/post_testicular_cancer_sex_drive/")</f>
        <v/>
      </c>
      <c r="G1755" t="inlineStr">
        <is>
          <t>2019-04-08 16:46:08</t>
        </is>
      </c>
      <c r="H1755" t="inlineStr"/>
    </row>
    <row r="1756">
      <c r="A1756" t="inlineStr">
        <is>
          <t>bb1yu9</t>
        </is>
      </c>
      <c r="B1756" t="inlineStr">
        <is>
          <t>Any Disability Benefits</t>
        </is>
      </c>
      <c r="C1756" t="inlineStr">
        <is>
          <t>had stage 1 a couple years ago as a teen. Had to withdraw from college,  its hard for me to go to school and work like i use to, have been on and off ever since. any hopes on receiving disability benefits years after being treated for cancer?</t>
        </is>
      </c>
      <c r="D1756" t="n">
        <v>0</v>
      </c>
      <c r="E1756" t="n">
        <v>2</v>
      </c>
      <c r="F1756">
        <f>HYPERLINK("https://www.reddit.com/r/cancer/comments/bb1yu9/any_disability_benefits/")</f>
        <v/>
      </c>
      <c r="G1756" t="inlineStr">
        <is>
          <t>2019-04-08 18:28:58</t>
        </is>
      </c>
      <c r="H1756" t="inlineStr"/>
    </row>
    <row r="1757">
      <c r="A1757" t="inlineStr">
        <is>
          <t>bb2b8k</t>
        </is>
      </c>
      <c r="B1757" t="inlineStr">
        <is>
          <t>Advice for mood swing/personality changes?</t>
        </is>
      </c>
      <c r="C1757" t="inlineStr">
        <is>
          <t>My dad was recently diagnosed with myeloma. Since starting chemo, being on morphine, and whatever drugs he's on, he's been acting angry and borderline mean. I'm trying really hard to overlook it and forgive and be patient since I know it's mostly the cancer mixed with his reality, but it's really hard. Does anyone have any advice and trying to look past that? I've never dealt with this before, so I'm not really sure what to think or do. Thank you</t>
        </is>
      </c>
      <c r="D1757" t="n">
        <v>2</v>
      </c>
      <c r="E1757" t="n">
        <v>7</v>
      </c>
      <c r="F1757">
        <f>HYPERLINK("https://www.reddit.com/r/cancer/comments/bb2b8k/advice_for_mood_swingpersonality_changes/")</f>
        <v/>
      </c>
      <c r="G1757" t="inlineStr">
        <is>
          <t>2019-04-08 19:03:44</t>
        </is>
      </c>
      <c r="H1757" t="inlineStr"/>
    </row>
    <row r="1758">
      <c r="A1758" t="inlineStr">
        <is>
          <t>bb79kw</t>
        </is>
      </c>
      <c r="B1758" t="inlineStr">
        <is>
          <t>It cost less money to just</t>
        </is>
      </c>
      <c r="C1758" t="inlineStr">
        <is>
          <t>Give up and let myself die. 
I feel it in my throat &amp;amp; I want to get it checked I don't want to know for certainty but I do want peace of mind. 
It costs without insurance $260 just to get an appointment for an Esophagus Endoscopic exam and then if I need further attention itll be $980 and after that if I need more done itll be more thousands of Dollars I do not have. 
So what do I do..?
If I have no Insurance and no savings?
Do I just die?</t>
        </is>
      </c>
      <c r="D1758" t="n">
        <v>4</v>
      </c>
      <c r="E1758" t="n">
        <v>23</v>
      </c>
      <c r="F1758">
        <f>HYPERLINK("https://www.reddit.com/r/cancer/comments/bb79kw/it_cost_less_money_to_just/")</f>
        <v/>
      </c>
      <c r="G1758" t="inlineStr">
        <is>
          <t>2019-04-09 05:20:58</t>
        </is>
      </c>
      <c r="H1758" t="inlineStr"/>
    </row>
    <row r="1759">
      <c r="A1759" t="inlineStr">
        <is>
          <t>bb7acn</t>
        </is>
      </c>
      <c r="B1759" t="inlineStr">
        <is>
          <t>ICU and Weird Best Friends</t>
        </is>
      </c>
      <c r="C1759" t="inlineStr">
        <is>
          <t>A little bit of humor and comedic relief. My first post and on mobile. Cross posted from r/teenagers 
Background (there needs to be a lot for this story): I was diagnosed with Acute Myeloid Leukemia at 17 and am 19 now (my last year of being a teen.) I first just had 7 months of inpatient chemotherapy but I relapsed and needed a bone marrow transplant. Which I received 5 hours away from where I live. I am actually day 47 inpatient today, day +40 post-transplant. Shortly after my transplant I had a rare complication known as VOD where the liver does not filter out fluids. It affected my liver, kidneys, and lungs. Because of this, I needed to be put on bipap and taken to the ICU. I would also like to stress I’ve heard all this second hand and remember none of it. 
One of my best friends is also a cancer survivor. She has been through 3 separate bone marrow transplants and has had a lot of weird things happen to her body. (I met her through one of my teachers but she lives up here and goes to the same hospital for over 10 years.) She is 23 but it is a childhood cancer so she’s treated here. She decided to visit me in ICU when my mom updated her about what was going on. She brought me a T-Rex to show me how strong I was. During her last bone marrow transplant she had to go far off to receive an experimental therapy known as CAR-T cell therapy. She will need monthly infusions for this for a long time. For this, she has a port. 
As she was visiting, she wore a white shirt. This is when the weird thing happened. In order to get anything in or out of a port, it needs to be accessed with a long needle that goes through the skin. She was here, however, strictly to visit and had not had her port accessed anytime around this. However, she quickly noticed that she felt something wet going down her chest.  My doctor was also in the room at the time, and warned her that she had blood gushing down her shirt. She pulled the shirt down and immediately applied pressure with a towel on the counter. My parents had to page my nurses to help her. Luckily the bleeding was controlled, she had a blood test to make sure she didn’t need a transfusion, and was then able to go home. She also told me she had laughed all the way through it and of course I did as well when she told me about it. 
Luckily I am out of ICU now. I had been one step from needing dialysis for my kidneys and they are almost completely healed now, as well as my liver. This is also the first night since ICU that I slept through the night and didn’t once need oxygen. I have a drug that has to be strictly monitored that ends Saturday so they said I can probably move into the Ronald McDonald House early next week.</t>
        </is>
      </c>
      <c r="D1759" t="n">
        <v>14</v>
      </c>
      <c r="E1759" t="n">
        <v>5</v>
      </c>
      <c r="F1759">
        <f>HYPERLINK("https://www.reddit.com/r/cancer/comments/bb7acn/icu_and_weird_best_friends/")</f>
        <v/>
      </c>
      <c r="G1759" t="inlineStr">
        <is>
          <t>2019-04-09 05:23:05</t>
        </is>
      </c>
      <c r="H1759" t="inlineStr"/>
    </row>
    <row r="1760">
      <c r="A1760" t="inlineStr">
        <is>
          <t>bb7uyy</t>
        </is>
      </c>
      <c r="B1760" t="inlineStr">
        <is>
          <t>Clinical Hematology</t>
        </is>
      </c>
      <c r="C1760" t="inlineStr">
        <is>
          <t>Find best [hematologist in Pune](https://www.oncolifehospitals.com/services/hematologist/) at Onco Life Hospital, Satara. Book appointments with expert Hematologists based on your medical condition. Choose from the top Hematologists in Pune with reference from years of experience, educational qualifications and availability. Clinical Haematology is branch of clinical medicine which deals with diagnosis and treatment of blood diseases. Haematology department at [Onco Life Hospital](https://www.oncolifehospitals.com/) offers wide range of services ranging.</t>
        </is>
      </c>
      <c r="D1760" t="n">
        <v>1</v>
      </c>
      <c r="E1760" t="n">
        <v>0</v>
      </c>
      <c r="F1760">
        <f>HYPERLINK("https://www.reddit.com/r/cancer/comments/bb7uyy/clinical_hematology/")</f>
        <v/>
      </c>
      <c r="G1760" t="inlineStr">
        <is>
          <t>2019-04-09 06:20:10</t>
        </is>
      </c>
      <c r="H1760" t="inlineStr"/>
    </row>
    <row r="1761">
      <c r="A1761" t="inlineStr">
        <is>
          <t>bb85cl</t>
        </is>
      </c>
      <c r="B1761" t="inlineStr">
        <is>
          <t>Apparently, there is such a thing as getting used to bad news and always feeling uneasy.</t>
        </is>
      </c>
      <c r="C1761" t="inlineStr">
        <is>
          <t>Yesterday, I learned that my request for a disability pension has been accepted. I also received a pretty hefty amount of retroactive pay for last year. 
I also had full hysterectomy last week that went very well. That was my last foreseeable major surgery, my ninth one in 4 years. 
The news about the disability pension and the end of foreseeable surgeries brought a sense of calm that I never really experienced since a really long time. Consequently, I was so lighthearted last night that it took me a long time to fall asleep. It's like my brain got used to always be under duress. It was missing something.</t>
        </is>
      </c>
      <c r="D1761" t="n">
        <v>59</v>
      </c>
      <c r="E1761" t="n">
        <v>14</v>
      </c>
      <c r="F1761">
        <f>HYPERLINK("https://www.reddit.com/r/cancer/comments/bb85cl/apparently_there_is_such_a_thing_as_getting_used/")</f>
        <v/>
      </c>
      <c r="G1761" t="inlineStr">
        <is>
          <t>2019-04-09 06:48:05</t>
        </is>
      </c>
      <c r="H1761" t="inlineStr"/>
    </row>
    <row r="1762">
      <c r="A1762" t="inlineStr">
        <is>
          <t>bb9f0u</t>
        </is>
      </c>
      <c r="B1762" t="inlineStr">
        <is>
          <t>4 Weeks clear of radiotherapy</t>
        </is>
      </c>
      <c r="C1762" t="inlineStr">
        <is>
          <t>Not sure why im posting here but oh well. so as you can tell  I am now a month clear of radiation and the worst conceivable gap year looks like its about to end Cancer is definitely not where I thought I would be at 20. A sarcoma growing on the median nerve which was the worst possible thing to get while doing a practical based college course. (sorry for my incoherent rambling)</t>
        </is>
      </c>
      <c r="D1762" t="n">
        <v>25</v>
      </c>
      <c r="E1762" t="n">
        <v>5</v>
      </c>
      <c r="F1762">
        <f>HYPERLINK("https://www.reddit.com/r/cancer/comments/bb9f0u/4_weeks_clear_of_radiotherapy/")</f>
        <v/>
      </c>
      <c r="G1762" t="inlineStr">
        <is>
          <t>2019-04-09 08:40:12</t>
        </is>
      </c>
      <c r="H1762" t="inlineStr"/>
    </row>
    <row r="1763">
      <c r="A1763" t="inlineStr">
        <is>
          <t>bbbl66</t>
        </is>
      </c>
      <c r="B1763" t="inlineStr">
        <is>
          <t>After years of coughing up brown phlegm, a doctor has shown serious concern and referred me to take a chest X-Ray</t>
        </is>
      </c>
      <c r="C1763" t="inlineStr">
        <is>
          <t>I smoked for around 8 years, vaped for a year and recently only smoked cannibals mixed with 1/4 of a cigarette once a day.
During my time as a smoker, I cough up brown phlegm quite regularly.
I’ve mentioned this to doctors many times over the years, and their reaction (pure dismal) gave me an assurance that it’s not much to worry about and simply caused by smoking.
Today I coughed some phlegm and there was a small speck of blood. I immediately visited a doctor (I don’t have a regular GP) and they seemed shocked that I had never had this seen to. They mentioned the C word, and told me I need a chest X Ray, which I’ll be attending tomorrow.
I’ve since coughed up more phlegm with a speck of blood and spent a lot of time reading cancer symptoms, and I just feel scared. The wait to find out answers feels horrible.</t>
        </is>
      </c>
      <c r="D1763" t="n">
        <v>2</v>
      </c>
      <c r="E1763" t="n">
        <v>0</v>
      </c>
      <c r="F1763">
        <f>HYPERLINK("https://www.reddit.com/r/cancer/comments/bbbl66/after_years_of_coughing_up_brown_phlegm_a_doctor/")</f>
        <v/>
      </c>
      <c r="G1763" t="inlineStr">
        <is>
          <t>2019-04-09 11:38:58</t>
        </is>
      </c>
      <c r="H1763" t="inlineStr"/>
    </row>
    <row r="1764">
      <c r="A1764" t="inlineStr">
        <is>
          <t>bbdels</t>
        </is>
      </c>
      <c r="B1764" t="inlineStr">
        <is>
          <t>diagnosed with terminal cancer</t>
        </is>
      </c>
      <c r="C1764" t="inlineStr">
        <is>
          <t>So I had a series of x-rays and MRIs and whatnot, and I've been diagnosed with metastatic osteosarcoma. I previously went through treatment, chemo, and surgery but three months later at my check up there were metastates in my lung, pelvis, and knee. My doctor said in this case it's very unlikely that more chemo will be useful so I'm officially a terminal patient with a maximum of one year to live. What supplements/drugs, etc. can I take to ease some of the symptoms as the tumors grow and slowly choke my vital organs to my death?</t>
        </is>
      </c>
      <c r="D1764" t="n">
        <v>94</v>
      </c>
      <c r="E1764" t="n">
        <v>48</v>
      </c>
      <c r="F1764">
        <f>HYPERLINK("https://www.reddit.com/r/cancer/comments/bbdels/diagnosed_with_terminal_cancer/")</f>
        <v/>
      </c>
      <c r="G1764" t="inlineStr">
        <is>
          <t>2019-04-09 14:08:04</t>
        </is>
      </c>
      <c r="H1764" t="inlineStr"/>
    </row>
    <row r="1765">
      <c r="A1765" t="inlineStr">
        <is>
          <t>bbevgq</t>
        </is>
      </c>
      <c r="B1765" t="inlineStr">
        <is>
          <t>My dads passing</t>
        </is>
      </c>
      <c r="C1765" t="inlineStr">
        <is>
          <t>A it of backstory my dad died a couple months ago from pc. I am an autistic 10 yo that is underweight (about 22 kg). So my dad he was diagnosed with pc in may 2018 and when I was a baby he did take me from my mother and neglect me but I was glad that he's one of the reasons that I'm alive. It's not the easiest losing a family member at such a young age that your own father is dead and won't come back.
And I'm posting this on holidays so it's a mix of good and bad feelings.</t>
        </is>
      </c>
      <c r="D1765" t="n">
        <v>7</v>
      </c>
      <c r="E1765" t="n">
        <v>2</v>
      </c>
      <c r="F1765">
        <f>HYPERLINK("https://www.reddit.com/r/cancer/comments/bbevgq/my_dads_passing/")</f>
        <v/>
      </c>
      <c r="G1765" t="inlineStr">
        <is>
          <t>2019-04-09 16:19:36</t>
        </is>
      </c>
      <c r="H1765" t="inlineStr"/>
    </row>
    <row r="1766">
      <c r="A1766" t="inlineStr">
        <is>
          <t>bbf502</t>
        </is>
      </c>
      <c r="B1766" t="inlineStr">
        <is>
          <t>Things are looking good for my Dad.</t>
        </is>
      </c>
      <c r="C1766" t="inlineStr">
        <is>
          <t>Was a wild ride with his chemo treatments, but the CT scan we had been waiting for was last week, and it showed the treatment is working and that after another session of chemo he will begin a 4 week break before surgery. Its not over yet, but this is great news, it seems to have really helped him mentally, he's mobile and eats a lot more and seems to be in really great spirits.</t>
        </is>
      </c>
      <c r="D1766" t="n">
        <v>17</v>
      </c>
      <c r="E1766" t="n">
        <v>2</v>
      </c>
      <c r="F1766">
        <f>HYPERLINK("https://www.reddit.com/r/cancer/comments/bbf502/things_are_looking_good_for_my_dad/")</f>
        <v/>
      </c>
      <c r="G1766" t="inlineStr">
        <is>
          <t>2019-04-09 16:45:10</t>
        </is>
      </c>
      <c r="H1766" t="inlineStr"/>
    </row>
    <row r="1767">
      <c r="A1767" t="inlineStr">
        <is>
          <t>bbie7o</t>
        </is>
      </c>
      <c r="B1767" t="inlineStr">
        <is>
          <t>Just listened to a terrifying voicemail. I had CT C/A/P this morning for my 3 month usual scan. My Dr wants to see me asap</t>
        </is>
      </c>
      <c r="C1767" t="inlineStr">
        <is>
          <t>I am stage 3b. I'm so scared that I'm now terminal. I just started feeling good for the first time since this all started. I just can't think of a reason for her to see me ASAP other than recurrence. I have rectal cancer and just had a clear colonoscopy with negative biopsies. This makes me think that it has spread. I'm so scared</t>
        </is>
      </c>
      <c r="D1767" t="n">
        <v>30</v>
      </c>
      <c r="E1767" t="n">
        <v>15</v>
      </c>
      <c r="F1767">
        <f>HYPERLINK("https://www.reddit.com/r/cancer/comments/bbie7o/just_listened_to_a_terrifying_voicemail_i_had_ct/")</f>
        <v/>
      </c>
      <c r="G1767" t="inlineStr">
        <is>
          <t>2019-04-09 22:40:41</t>
        </is>
      </c>
      <c r="H1767" t="inlineStr"/>
    </row>
    <row r="1768">
      <c r="A1768" t="inlineStr">
        <is>
          <t>bbiso3</t>
        </is>
      </c>
      <c r="B1768" t="inlineStr">
        <is>
          <t>Life style and Colorectal cancer</t>
        </is>
      </c>
      <c r="C1768" t="inlineStr">
        <is>
          <t>Health tips</t>
        </is>
      </c>
      <c r="D1768" t="n">
        <v>3</v>
      </c>
      <c r="E1768" t="n">
        <v>3</v>
      </c>
      <c r="F1768">
        <f>HYPERLINK("https://www.reddit.com/r/cancer/comments/bbiso3/life_style_and_colorectal_cancer/")</f>
        <v/>
      </c>
      <c r="G1768" t="inlineStr">
        <is>
          <t>2019-04-09 23:34:19</t>
        </is>
      </c>
      <c r="H1768" t="inlineStr"/>
    </row>
    <row r="1769">
      <c r="A1769" t="inlineStr">
        <is>
          <t>bbjr43</t>
        </is>
      </c>
      <c r="B1769" t="inlineStr">
        <is>
          <t>Treatment side effects</t>
        </is>
      </c>
      <c r="C1769" t="inlineStr">
        <is>
          <t>Hi everyone, this is the first time I post on and I was diagnosed with Hodgkin’s disease a couple years ago while I was a sophomore studying biomedical engineering at Purdue. I went to several forums and found tremendous support from other people’s stories. Especially when I found there are many members still active after five, ten and many years beyond. Because of my cancer history, I chose my senior project to study side effects caused by cancer treatments. I have a short survey here asking questions about side effects such as rash and hand foot syndrome and I really appreciate if anyone who has experienced or is experiencing such problems can do this surgery. It shouldn’t take more than 3 minutes to do it. Thank you all so much!!! https://qtrial2019q1az1.qualtrics.com/jfe/form/SV_dpAqqHnFxH2jSct</t>
        </is>
      </c>
      <c r="D1769" t="n">
        <v>1</v>
      </c>
      <c r="E1769" t="n">
        <v>0</v>
      </c>
      <c r="F1769">
        <f>HYPERLINK("https://www.reddit.com/r/cancer/comments/bbjr43/treatment_side_effects/")</f>
        <v/>
      </c>
      <c r="G1769" t="inlineStr">
        <is>
          <t>2019-04-10 01:55:31</t>
        </is>
      </c>
      <c r="H1769" t="inlineStr"/>
    </row>
    <row r="1770">
      <c r="A1770" t="inlineStr">
        <is>
          <t>bbkior</t>
        </is>
      </c>
      <c r="B1770" t="inlineStr">
        <is>
          <t>The closest cancer has ever been to me - a good friend of mine looses his mother to it</t>
        </is>
      </c>
      <c r="C1770" t="inlineStr">
        <is>
          <t>I have a friend. We met almost 10 years ago, as we both arrived in Germany. Me - from Ukraine, him - from Italy. 
In the past 10 years we went through a lot of drunk weird shit, but always kept contact despite both of us moving from place to place several times.
He let me stay in his place when I went to Italy, and in general the agreement is that any of us can crash at each others places any time.
Yesterday he wrote me that as I met his parents and said kind words to and about them, he informed me that his mother was facing the terminal stage of lung cancer, that consumed her in a very short term.
Apparently, she is currently on heavy sedatives and the count is on days if not hours. But she has a strong heart and does give up.
The dude is the most gentle intelligent dude I have ever met, though on the inside he is incredibly hot for girls and can be a total pain in the ass if he wants to. His parents are a genuine couple I had the pleasure to meet in sunny Genova. These facts make it almost unbearable for me to allow my friend to go through all of this shit.
He is currenty in the hospital beside her and will stay there for a couple more weeks to sort stuff out, and I can not even be there.
Is sucks big time.
Yeah, fuck cancer.</t>
        </is>
      </c>
      <c r="D1770" t="n">
        <v>7</v>
      </c>
      <c r="E1770" t="n">
        <v>1</v>
      </c>
      <c r="F1770">
        <f>HYPERLINK("https://www.reddit.com/r/cancer/comments/bbkior/the_closest_cancer_has_ever_been_to_me_a_good/")</f>
        <v/>
      </c>
      <c r="G1770" t="inlineStr">
        <is>
          <t>2019-04-10 03:43:52</t>
        </is>
      </c>
      <c r="H1770" t="inlineStr"/>
    </row>
    <row r="1771">
      <c r="A1771" t="inlineStr">
        <is>
          <t>bblpsv</t>
        </is>
      </c>
      <c r="B1771" t="inlineStr">
        <is>
          <t>Childhood NHL - Long term issues?</t>
        </is>
      </c>
      <c r="C1771" t="inlineStr">
        <is>
          <t>For background, I have a 5 year old son who has been getting chemo/steroids for Non-Hodgkin’s Lymphoma since the end of December. The vast majority of this time has been spent in hospital with only a few weeks of total time this year at home.
We are currently on the back of the fifth phase of treatment (out of seven). This time we have noticed that he has got quite down. We got him home on Sunday and he seems to be improving well. Unfortunately we have noticed that he has developed a few changes through the process, mainly a number of fears. He now says that he is scared of things sometimes and he never said anything like that before this process. It's heart-breaking to see him being scared at such a young age, but I have to admit I don't know when fears kick in (he is my eldest child).
I am hoping that this is a temporary thing brought on by him being stuck in hospital for so long, but I fear that this will leave a lasting impact on him. We are hoping he will not really remember it as he gets older, but I fear that it will stay with him as he grows. I don’t want it to, but at this stage I am not sure what to do about it.
I guess my actual question is to anyone out there who has been through this process... Does this sort of treatment and long term hospitalisation leave a lasting impact on someone this young? Will he be impacted by it as he grows or will he be able to leave it behind?</t>
        </is>
      </c>
      <c r="D1771" t="n">
        <v>14</v>
      </c>
      <c r="E1771" t="n">
        <v>10</v>
      </c>
      <c r="F1771">
        <f>HYPERLINK("https://www.reddit.com/r/cancer/comments/bblpsv/childhood_nhl_long_term_issues/")</f>
        <v/>
      </c>
      <c r="G1771" t="inlineStr">
        <is>
          <t>2019-04-10 05:59:32</t>
        </is>
      </c>
      <c r="H1771" t="inlineStr"/>
    </row>
    <row r="1772">
      <c r="A1772" t="inlineStr">
        <is>
          <t>bbm8yb</t>
        </is>
      </c>
      <c r="B1772" t="inlineStr">
        <is>
          <t>HI, I am cancer patient, and you don't need surgery or treatment at all</t>
        </is>
      </c>
      <c r="C1772" t="inlineStr">
        <is>
          <t xml:space="preserve">
I am newbie sorry to saying something dare in my first encounter.
Although I lost my two sides of thyroids for my experience, or so I can assure this. Because I knew how disease is created.
You can fix this disease by your holiness. 
Disease is might be result of your sin or sacrifice.
If it is due to sin, you have to make yourself holy. 
If you don't, you will die. Because creature is God's. And you are evil's. 
If it is due to sacrifice, you know how to revive your life. 
If there are not even hospitals you can find the medicines and treat yourself even without it.
If you are not sinner you will not be died by any accidents or diseases, 
Or if you happen to or have to die, you will be alive like Jesus.</t>
        </is>
      </c>
      <c r="D1772" t="n">
        <v>0</v>
      </c>
      <c r="E1772" t="n">
        <v>6</v>
      </c>
      <c r="F1772">
        <f>HYPERLINK("https://www.reddit.com/r/cancer/comments/bbm8yb/hi_i_am_cancer_patient_and_you_dont_need_surgery/")</f>
        <v/>
      </c>
      <c r="G1772" t="inlineStr">
        <is>
          <t>2019-04-10 06:49:59</t>
        </is>
      </c>
      <c r="H1772" t="inlineStr"/>
    </row>
    <row r="1773">
      <c r="A1773" t="inlineStr">
        <is>
          <t>bbmwq3</t>
        </is>
      </c>
      <c r="B1773" t="inlineStr">
        <is>
          <t>Inflammatory Breast Cancer experiences</t>
        </is>
      </c>
      <c r="C1773" t="inlineStr">
        <is>
          <t>Hello everyone. I've never posted here before and I've never posted about such a serious topic before. I'm sorry if this isn't an appropriate sub to do, if this isn't the place please redirect me.
I was wondering if anyone could share their experiences (whether firsthand or otherwise) of either having or knowing someone diagnosed with IBC. 
The reason I'm posting this, is that my best friend may be diagnosed with it. shes struggled with an uncomfortable, enlarged and inflammed breast for a very long time now. a few years. in addition to this she has a lot of arthritis-like symptoms. terrible joint pain, it takes her far longer to get up and moving than anyone else her age. (she's 25; I'm 26 for reference). 
doctors dismissed her symptoms for years, all tests came back negative for arthritis or joint issues of any kind. but she couldn't ignore her breast, the size difference really is drastic. she got an ultrasound done a few days ago. it didn't go well. 
the radiologist came back into the room with the nurse who did the test. (unfortunately I wasn't there for the ultrasound so I'm recounting her story.) he reviewed her older files regarding the pain she felt in her body and the warmth in her breast and discomfort. he did his own ultrasound right there and said what she's experiencing matched the signs of a very rare form of breast cancer, IBC.
 they're working on scheduling an MRI. and after that if they need to, a biopsy. it hasnt been confirmed but it makes so much sense. everything about it. it just happened so fast. i'm very scared. I'm barely holding it together here at work while i try and type this all out.
 she's my best friend. shes my whole world. I dont have any family. i lost my mother 3 years ago, i dont have a father, siblings. she's my one and only friend. i love her. to have something like this looming feels as though the earth is shattering. I've been trying to be strong around her like she is. she's fucking unbreakable. i've never seen so much life in one person. I want to be as strong as she is, i feel guilty for being the one who is so upset. I just really don't have any where else to turn, or anyone else to talk too. so I'm wondering if anyone here has stories they might be able to share, for hope or grounding or anything in between.
I'm on my cellphone so i do apologize for any typos.</t>
        </is>
      </c>
      <c r="D1773" t="n">
        <v>2</v>
      </c>
      <c r="E1773" t="n">
        <v>2</v>
      </c>
      <c r="F1773">
        <f>HYPERLINK("https://www.reddit.com/r/cancer/comments/bbmwq3/inflammatory_breast_cancer_experiences/")</f>
        <v/>
      </c>
      <c r="G1773" t="inlineStr">
        <is>
          <t>2019-04-10 07:50:10</t>
        </is>
      </c>
      <c r="H1773" t="inlineStr"/>
    </row>
    <row r="1774">
      <c r="A1774" t="inlineStr">
        <is>
          <t>bbotyi</t>
        </is>
      </c>
      <c r="B1774" t="inlineStr">
        <is>
          <t>It feels good to win one for a change</t>
        </is>
      </c>
      <c r="C1774" t="inlineStr">
        <is>
          <t>2 wks ago I received a gut wrenching phone call from my transplant onco  that none of my brothers were a match. Today I received another phone call from them, turns out they reviewed the samples in high resolution rather than low resolution...and one of them is a complete match. 
I think I can speak for most of us when I say this. IT FEELS SO FUCKING GOOD TO WIN ONE FOR A CHANGE! Ever since being diagnosed my life has plummeted not only for me but also for my family, and I’m just so happy to be celebrating with my family, it has been so long since we were all smiling like this. 
I am ready for this final endeavor, this final fucking obstacle that is approaching. I’m praying that this all goes well. 
FUCKKKKKKK CANCERRRRR!</t>
        </is>
      </c>
      <c r="D1774" t="n">
        <v>76</v>
      </c>
      <c r="E1774" t="n">
        <v>10</v>
      </c>
      <c r="F1774">
        <f>HYPERLINK("https://www.reddit.com/r/cancer/comments/bbotyi/it_feels_good_to_win_one_for_a_change/")</f>
        <v/>
      </c>
      <c r="G1774" t="inlineStr">
        <is>
          <t>2019-04-10 10:33:15</t>
        </is>
      </c>
      <c r="H1774" t="inlineStr"/>
    </row>
    <row r="1775">
      <c r="A1775" t="inlineStr">
        <is>
          <t>bbpjlk</t>
        </is>
      </c>
      <c r="B1775" t="inlineStr">
        <is>
          <t>Question about Ground Glass Opacities of the lung: Anyone on here who's had them, have they ever NOT been cancer?</t>
        </is>
      </c>
      <c r="C1775" t="inlineStr">
        <is>
          <t>I'm waiting on my mom's biopsy results.  She had an "abnormality" (as her oncologist put it) removed from her lung via wedge resection almost 2 weeks ago.  Biopsy results pending.  Might actually be getting them tomorrow. I've been trying to research what a ground glass opacity (GGO) actually is, and all I can find online are medical studies from places like Harvard, etc that doesn't really tell me YES or NO.  It basically says "it depends".  
Has anyone ever had one and it's NOT cancer? I'm so ridden with worry that it's cancer, and the waiting is excruciating.  
I'm not necessarily looking for someone to give me false hope, I'm just looking for more concrete info.
&amp;amp;#x200B;
Thanks!</t>
        </is>
      </c>
      <c r="D1775" t="n">
        <v>1</v>
      </c>
      <c r="E1775" t="n">
        <v>6</v>
      </c>
      <c r="F1775">
        <f>HYPERLINK("https://www.reddit.com/r/cancer/comments/bbpjlk/question_about_ground_glass_opacities_of_the_lung/")</f>
        <v/>
      </c>
      <c r="G1775" t="inlineStr">
        <is>
          <t>2019-04-10 11:31:09</t>
        </is>
      </c>
      <c r="H1775" t="inlineStr"/>
    </row>
    <row r="1776">
      <c r="A1776" t="inlineStr">
        <is>
          <t>bbqtgz</t>
        </is>
      </c>
      <c r="B1776" t="inlineStr">
        <is>
          <t>Will my hair ever thicken back up?</t>
        </is>
      </c>
      <c r="C1776" t="inlineStr">
        <is>
          <t>I've been off chemo (REPOCH) for a year and my hair is still as thin as it was a couple months after I went off chemo. Does anybody know if there's any chance that it will go back to the way it was before chemo? It used to be very thick and curly, now its thin and strawlike. I also seem to be balding although that could be male pattern. I'm 20 for context.</t>
        </is>
      </c>
      <c r="D1776" t="n">
        <v>6</v>
      </c>
      <c r="E1776" t="n">
        <v>8</v>
      </c>
      <c r="F1776">
        <f>HYPERLINK("https://www.reddit.com/r/cancer/comments/bbqtgz/will_my_hair_ever_thicken_back_up/")</f>
        <v/>
      </c>
      <c r="G1776" t="inlineStr">
        <is>
          <t>2019-04-10 13:17:46</t>
        </is>
      </c>
      <c r="H1776" t="inlineStr"/>
    </row>
    <row r="1777">
      <c r="A1777" t="inlineStr">
        <is>
          <t>bbr1rs</t>
        </is>
      </c>
      <c r="B1777" t="inlineStr">
        <is>
          <t>How to prepare for potentially losing control of my right arm and hand?</t>
        </is>
      </c>
      <c r="C1777" t="inlineStr">
        <is>
          <t>I have an aggressive brain tumor that is starting to affect my motor control of my right (dominant) arm. I already have trouble typing on a keyboard and holding utensils. There is a potential that I'll lose more, and I'm trying to prepare as much as I can while I still have the capability.
To anyone who has seen this situation: any advice?</t>
        </is>
      </c>
      <c r="D1777" t="n">
        <v>6</v>
      </c>
      <c r="E1777" t="n">
        <v>5</v>
      </c>
      <c r="F1777">
        <f>HYPERLINK("https://www.reddit.com/r/cancer/comments/bbr1rs/how_to_prepare_for_potentially_losing_control_of/")</f>
        <v/>
      </c>
      <c r="G1777" t="inlineStr">
        <is>
          <t>2019-04-10 13:37:59</t>
        </is>
      </c>
      <c r="H1777" t="inlineStr"/>
    </row>
    <row r="1778">
      <c r="A1778" t="inlineStr">
        <is>
          <t>bbr8fd</t>
        </is>
      </c>
      <c r="B1778" t="inlineStr">
        <is>
          <t>After finishing chemo, have you noticed your gastrointestinal system has gone all out of whack, or is it just me?</t>
        </is>
      </c>
      <c r="C1778" t="inlineStr">
        <is>
          <t>Seriously! 
I’ve dealt with h. Pylori, developing a fructose and gluten intolerance and now they’re thinking I may have Crohn’s disease! All this over the last 7 months
I finished chemo a little over a year ago and I can’t remember a time when my digestive system worked properly.</t>
        </is>
      </c>
      <c r="D1778" t="n">
        <v>7</v>
      </c>
      <c r="E1778" t="n">
        <v>12</v>
      </c>
      <c r="F1778">
        <f>HYPERLINK("https://www.reddit.com/r/cancer/comments/bbr8fd/after_finishing_chemo_have_you_noticed_your/")</f>
        <v/>
      </c>
      <c r="G1778" t="inlineStr">
        <is>
          <t>2019-04-10 13:54:12</t>
        </is>
      </c>
      <c r="H1778" t="inlineStr"/>
    </row>
    <row r="1779">
      <c r="A1779" t="inlineStr">
        <is>
          <t>bbrhs1</t>
        </is>
      </c>
      <c r="B1779" t="inlineStr">
        <is>
          <t>Need some inspiration?</t>
        </is>
      </c>
      <c r="C1779" t="inlineStr">
        <is>
          <t>"Quiet friend who has come so far,
feel how your breathing makes more space around you.
Let this darkness be a bell tower
and you the bell. As you ring,
what batters you becomes your strength.
Move back and forth into the change.
What is it like, such intensity of pain?
If the drink is bitter, turn yourself to wine.
In this uncontainable night,
be the mystery at the crossroads of your senses,
the meaning discovered there.
And if the world has ceased to hear you,
say to the silent earth: I flow.
To the rushing water, speak: I am."
- Rainer Maria Rilke, from Sonnets to Orpheus</t>
        </is>
      </c>
      <c r="D1779" t="n">
        <v>6</v>
      </c>
      <c r="E1779" t="n">
        <v>1</v>
      </c>
      <c r="F1779">
        <f>HYPERLINK("https://www.reddit.com/r/cancer/comments/bbrhs1/need_some_inspiration/")</f>
        <v/>
      </c>
      <c r="G1779" t="inlineStr">
        <is>
          <t>2019-04-10 14:16:12</t>
        </is>
      </c>
      <c r="H1779" t="inlineStr"/>
    </row>
    <row r="1780">
      <c r="A1780" t="inlineStr">
        <is>
          <t>bbrs1s</t>
        </is>
      </c>
      <c r="B1780" t="inlineStr">
        <is>
          <t>Going in for a brain scan...</t>
        </is>
      </c>
      <c r="C1780" t="inlineStr">
        <is>
          <t>My husband has been in remission for a year and 3 months now. But recently we noticed he has been having hearing issues and mumbling/slurring words. He called the doctors and they’re going to set up a brain scan for him next week. I am so so scared. The doctor even told us his cancer likes to spread to the brain. I just don’t know what to do. I’m worried beyond belief and it’s hard to take your mind off it.</t>
        </is>
      </c>
      <c r="D1780" t="n">
        <v>6</v>
      </c>
      <c r="E1780" t="n">
        <v>3</v>
      </c>
      <c r="F1780">
        <f>HYPERLINK("https://www.reddit.com/r/cancer/comments/bbrs1s/going_in_for_a_brain_scan/")</f>
        <v/>
      </c>
      <c r="G1780" t="inlineStr">
        <is>
          <t>2019-04-10 14:41:12</t>
        </is>
      </c>
      <c r="H1780" t="inlineStr"/>
    </row>
    <row r="1781">
      <c r="A1781" t="inlineStr">
        <is>
          <t>bbt0p2</t>
        </is>
      </c>
      <c r="B1781" t="inlineStr">
        <is>
          <t>Osteosarcoma</t>
        </is>
      </c>
      <c r="C1781" t="inlineStr">
        <is>
          <t>So I had an osteosarcoma in my left leg that grew to 22 cm (my wife likes to show people pictures of it after removal because it was a whopper). Post surgery I’m missing a lot of my quad muscle and I can’t walk without crutches.
I just wanted to see if anyone else on this sub has dealt with or is dealing with anything similar to this. I welcome advice/tips or just general discussion about osteosarcoma, the treatment and the associated challenges.</t>
        </is>
      </c>
      <c r="D1781" t="n">
        <v>4</v>
      </c>
      <c r="E1781" t="n">
        <v>8</v>
      </c>
      <c r="F1781">
        <f>HYPERLINK("https://www.reddit.com/r/cancer/comments/bbt0p2/osteosarcoma/")</f>
        <v/>
      </c>
      <c r="G1781" t="inlineStr">
        <is>
          <t>2019-04-10 16:29:48</t>
        </is>
      </c>
      <c r="H1781" t="inlineStr"/>
    </row>
    <row r="1782">
      <c r="A1782" t="inlineStr">
        <is>
          <t>bbt7ip</t>
        </is>
      </c>
      <c r="B1782" t="inlineStr">
        <is>
          <t>What do I need to know, ask, research about this type of lung cancer?</t>
        </is>
      </c>
      <c r="C1782" t="inlineStr">
        <is>
          <t>Hi Everyone,   
Thanks for taking the time to read my post and offer suggestions and recommendations. A close friend was diagnosed today with well differentiated, squamous cell carcinoma, favor, invasive. I want to know what I need to know, ask, and research about this type of lung cancer. I already know that surgery is not an option due to pulmonary disease, which leaves chemo and radiation. However, I want to know everything that exists in this type of cancer. My friend is getting a PET scan tomorrow which will tell if the disease is elsewhere, which I pray it is not because they are already talking about this being a quick, life-ending diagnosis.</t>
        </is>
      </c>
      <c r="D1782" t="n">
        <v>7</v>
      </c>
      <c r="E1782" t="n">
        <v>4</v>
      </c>
      <c r="F1782">
        <f>HYPERLINK("https://www.reddit.com/r/cancer/comments/bbt7ip/what_do_i_need_to_know_ask_research_about_this/")</f>
        <v/>
      </c>
      <c r="G1782" t="inlineStr">
        <is>
          <t>2019-04-10 16:47:43</t>
        </is>
      </c>
      <c r="H1782" t="inlineStr"/>
    </row>
    <row r="1783">
      <c r="A1783" t="inlineStr">
        <is>
          <t>bbu86l</t>
        </is>
      </c>
      <c r="B1783" t="inlineStr">
        <is>
          <t>Acute Lymphoblastic Leukemia</t>
        </is>
      </c>
      <c r="C1783" t="inlineStr">
        <is>
          <t>My dad was diagnosed with ALL on the 16th of February 2019... after an aggressive 6 weeks of treatment, unfortunately he lost the battle. To all those fighting this dreadful thing called cancer, please keep strong and keep fighting. #CancerSucks #AcuteLymphoblasticLeukemia #ALL</t>
        </is>
      </c>
      <c r="D1783" t="n">
        <v>5</v>
      </c>
      <c r="E1783" t="n">
        <v>5</v>
      </c>
      <c r="F1783">
        <f>HYPERLINK("https://www.reddit.com/r/cancer/comments/bbu86l/acute_lymphoblastic_leukemia/")</f>
        <v/>
      </c>
      <c r="G1783" t="inlineStr">
        <is>
          <t>2019-04-10 18:29:18</t>
        </is>
      </c>
      <c r="H1783" t="inlineStr"/>
    </row>
    <row r="1784">
      <c r="A1784" t="inlineStr">
        <is>
          <t>bbuddi</t>
        </is>
      </c>
      <c r="B1784" t="inlineStr">
        <is>
          <t>Movie tickets ok as gift?</t>
        </is>
      </c>
      <c r="C1784" t="inlineStr">
        <is>
          <t>My elderly neighbor has had COPD and is hooked up to an oxygen tank. I just recently found out that he’s getting chemo as well. I dont know them very well, but we are always cordial with each other. 
I wanted to extend a deeper connection and get them a small gift/ my phone number just in case they ever need anything. I was thinking movie tickets because I read a comment about that on another post, but now I’m not sure if that’s an insensitive gift or not since he cant walk too far/has the oxygen tank - should I forgo that and get something else? 
And then I was thinking I would get them See’s candy chocolates but then I thought what if he can’t even eat them because of nausea, or what if he’s allergic to something.
Am i overthinking it? Any better suggestions? They are elderly folks and live just the two of them, and I’m not even sure if they have kids or family in the area since I never see any visitors</t>
        </is>
      </c>
      <c r="D1784" t="n">
        <v>3</v>
      </c>
      <c r="E1784" t="n">
        <v>12</v>
      </c>
      <c r="F1784">
        <f>HYPERLINK("https://www.reddit.com/r/cancer/comments/bbuddi/movie_tickets_ok_as_gift/")</f>
        <v/>
      </c>
      <c r="G1784" t="inlineStr">
        <is>
          <t>2019-04-10 18:44:04</t>
        </is>
      </c>
      <c r="H1784" t="inlineStr"/>
    </row>
    <row r="1785">
      <c r="A1785" t="inlineStr">
        <is>
          <t>bbv84x</t>
        </is>
      </c>
      <c r="B1785" t="inlineStr">
        <is>
          <t>My best friends (16) dad (55) has been diagnosed with stage 4 lung cancer</t>
        </is>
      </c>
      <c r="C1785" t="inlineStr">
        <is>
          <t xml:space="preserve">
I have been best friends with my friend Sandy since the first grade. I’ve known her family for years and they are the kindest most giving people. This morning my parents get a call from her mom telling them that my friends father has been diagnosed with stage four lung cancer. Tonight my friend told me. She said that they are waiting for results but he’s fairly sick and he has been in the hospital for weeks. 
I have noticed she’s seemed a little off late but I assumed it was the pressure of school. This friend doesn’t show much emotion and doesn’t talk about it often and I didn’t want to pry. But when she told me things clicked together. She told me she doesn’t want pity or special treatment which I understand completely. My heart just breaks with her and I want to help her. 
I lost my mom two years ago but under very different circumstances. And I want to be hopeful but I couldn’t help but do research. I’ve found that most people with lung cancer don’t make it past a year. I want to believe that he’s going to beat the curve and be okay but I’m preparing for the worst. She has a little brother whom I love so much who’s also at the same school. 
What are some subtle ways I can support them. I love them dearly but I don’t want to be overbearing or go against my friends wishes.
Please help me find out what I can do to be there for them?</t>
        </is>
      </c>
      <c r="D1785" t="n">
        <v>7</v>
      </c>
      <c r="E1785" t="n">
        <v>4</v>
      </c>
      <c r="F1785">
        <f>HYPERLINK("https://www.reddit.com/r/cancer/comments/bbv84x/my_best_friends_16_dad_55_has_been_diagnosed_with/")</f>
        <v/>
      </c>
      <c r="G1785" t="inlineStr">
        <is>
          <t>2019-04-10 20:14:19</t>
        </is>
      </c>
      <c r="H1785" t="inlineStr"/>
    </row>
    <row r="1786">
      <c r="A1786" t="inlineStr">
        <is>
          <t>bbvpbl</t>
        </is>
      </c>
      <c r="B1786" t="inlineStr">
        <is>
          <t>My mum has cancer and it's bad. Advice for helping her regain energy?</t>
        </is>
      </c>
      <c r="C1786" t="inlineStr">
        <is>
          <t>A lot is exhausting for her. The tumor is in her brain and effects her nervous system so she can't use half of her body. She was an extremely active person before. Anyway, the round of meds she's on ATM makes her very tired. This is on top of finding daily tasks v tiring. What can I do to help? It's really affecting her she loved to be involved in everything and now she can't. She's physically and emotionally drained. Any advice? Is there literally any way I can help?? She doesn't know that I know how bad it is so I can't talk about it with her. Any replies would be appreciated</t>
        </is>
      </c>
      <c r="D1786" t="n">
        <v>8</v>
      </c>
      <c r="E1786" t="n">
        <v>0</v>
      </c>
      <c r="F1786">
        <f>HYPERLINK("https://www.reddit.com/r/cancer/comments/bbvpbl/my_mum_has_cancer_and_its_bad_advice_for_helping/")</f>
        <v/>
      </c>
      <c r="G1786" t="inlineStr">
        <is>
          <t>2019-04-10 21:08:40</t>
        </is>
      </c>
      <c r="H1786" t="inlineStr"/>
    </row>
    <row r="1787">
      <c r="A1787" t="inlineStr">
        <is>
          <t>bbwerb</t>
        </is>
      </c>
      <c r="B1787" t="inlineStr">
        <is>
          <t>[Advice] Lots of new pains after surgery. Not sure how to follow up faster [Canada Healthcare]</t>
        </is>
      </c>
      <c r="C1787" t="inlineStr">
        <is>
          <t>Hello I've had lots of pain before and after surgery for Papillary Thyroid Cancer. This is gonna be poorly organized so bear with me. Just looking for advice on what I should do. 
Before the surgery I was having some minor aching in my bladder which may have been a UTI as well as some near constant aching in my left of center ribs / sternum area. Everytime I bring it up to the surgeon she says stuff like "It doesn't spread like that".
I also have a lot of pain on the bottom of the rib cage which is especially noticeable if I lay on those areas. 
After surgery I'm having a lot of severe tingling / electrical pain in my bladder / kidney area that also appears in my left and right thigh area near the back up the hipbone. 
Also I'm now getting a large amount of pain in my armpit near the back / underarm area. 
During recovery the anesthetic stopped my bladder from being controlled and I had to have a catheter installed twice. One to void 1050ml and then about 4 hours later 1250ml which was left in over night since I couldn't control it. There was some blood but that cleared up by the time I got home and was apparently expected. 
Tailbone pain is insane too. I can't go from sitting to standing without a severe amount of pain. This was there before surgery but I'm getting it while lying down now which is new as far as I can tell.
Bunch of aching in my jaw and neck but I just had my thyroid removed.
The surgeon said that my lymph nodes weren't swollen when she performed surgery but armpit pain apparently isn't a good sign after you take out some lymph nodes based on what I found on Google. 
It's incredibly hard to get in touch with my surgeon and family doctor. They rarely want anything to do with me and are extremely time consuming to meet with. I want to get an oncologist but I live in a really underfunded part of my province in Canada and we don't have many doctors and options here. 
Should I call up the oncologist and ask to meet them myself? I don't think they will do it without a referral but I'm losing my mind being alone on this. I just want to talk to a doctor and get more scans done. Doesn't even require much effort on behalf of these people to push things forward faster.
Sorry this came off as more of a rant than a straight up question. Any advice or insight would be appreciated.</t>
        </is>
      </c>
      <c r="D1787" t="n">
        <v>1</v>
      </c>
      <c r="E1787" t="n">
        <v>0</v>
      </c>
      <c r="F1787">
        <f>HYPERLINK("https://www.reddit.com/r/cancer/comments/bbwerb/advice_lots_of_new_pains_after_surgery_not_sure/")</f>
        <v/>
      </c>
      <c r="G1787" t="inlineStr">
        <is>
          <t>2019-04-10 23:03:03</t>
        </is>
      </c>
      <c r="H1787" t="inlineStr"/>
    </row>
    <row r="1788">
      <c r="A1788" t="inlineStr">
        <is>
          <t>bbxngy</t>
        </is>
      </c>
      <c r="B1788" t="inlineStr">
        <is>
          <t>My girlfriend of only a few months mother has been diagnosed with cancer and things do not look good. I have no idea what to do to help.</t>
        </is>
      </c>
      <c r="C1788" t="inlineStr">
        <is>
          <t>This girl and I have been friends for about two years now and officially have been dating for about three months. As of last Saturday night her mother of 66 has been diagnosed with metastasized cancer and things are not looking good. As of tonight has been the first real interaction I have had with her since I found out two days ago. I called her and I kept saying if there was anything I could do she should ask but in the end all she asked if I could print off her mothers last will and testament as she doesn't own a printer. 
&amp;amp;#x200B;
The thing is she is only 21 and has a sister who is 13. She is in school and works part time at a co-op. She is alone in this other than her uncle and aunt who have come down but her uncle will probably need to go soon. I am genuinely in the dark on what I can do to help. So far all I have been able to do is ask if there was anything, offer to meet with her, and see if she wanted me to make her some heat and eat meals. 
&amp;amp;#x200B;
Please I desperately need advice.</t>
        </is>
      </c>
      <c r="D1788" t="n">
        <v>32</v>
      </c>
      <c r="E1788" t="n">
        <v>15</v>
      </c>
      <c r="F1788">
        <f>HYPERLINK("https://www.reddit.com/r/cancer/comments/bbxngy/my_girlfriend_of_only_a_few_months_mother_has/")</f>
        <v/>
      </c>
      <c r="G1788" t="inlineStr">
        <is>
          <t>2019-04-11 02:06:40</t>
        </is>
      </c>
      <c r="H1788" t="inlineStr"/>
    </row>
    <row r="1789">
      <c r="A1789" t="inlineStr">
        <is>
          <t>bc1fqk</t>
        </is>
      </c>
      <c r="B1789" t="inlineStr">
        <is>
          <t>Sarcoma Help</t>
        </is>
      </c>
      <c r="C1789" t="inlineStr">
        <is>
          <t>Has anyone ever had sarcoma. I have a lump and a MRI next week to check for it. Im terrified i have it. Any advice? Will they have to amputate my leg?  What does a Sarcoma lump actullay feel like? Please help me.</t>
        </is>
      </c>
      <c r="D1789" t="n">
        <v>5</v>
      </c>
      <c r="E1789" t="n">
        <v>20</v>
      </c>
      <c r="F1789">
        <f>HYPERLINK("https://www.reddit.com/r/cancer/comments/bc1fqk/sarcoma_help/")</f>
        <v/>
      </c>
      <c r="G1789" t="inlineStr">
        <is>
          <t>2019-04-11 08:47:37</t>
        </is>
      </c>
      <c r="H1789" t="inlineStr"/>
    </row>
    <row r="1790">
      <c r="A1790" t="inlineStr">
        <is>
          <t>bc1ni2</t>
        </is>
      </c>
      <c r="B1790" t="inlineStr">
        <is>
          <t>6 Years!</t>
        </is>
      </c>
      <c r="C1790" t="inlineStr">
        <is>
          <t>Today officially marks 6 years that I have been cancer free. It's crazy to think that I was knocking on death’s door at 17 years old, but I made it through and I’m here today. I couldn't have done it all without the support of my family, friends, and the amazing doctors who treated me. They all kept me going and gave me the strength to keep fighting! I only hope that I can use the second chance I've been given to uplift others as so many people uplifted me!</t>
        </is>
      </c>
      <c r="D1790" t="n">
        <v>105</v>
      </c>
      <c r="E1790" t="n">
        <v>13</v>
      </c>
      <c r="F1790">
        <f>HYPERLINK("https://www.reddit.com/r/cancer/comments/bc1ni2/6_years/")</f>
        <v/>
      </c>
      <c r="G1790" t="inlineStr">
        <is>
          <t>2019-04-11 09:06:08</t>
        </is>
      </c>
      <c r="H1790" t="inlineStr"/>
    </row>
    <row r="1791">
      <c r="A1791" t="inlineStr">
        <is>
          <t>bc36yx</t>
        </is>
      </c>
      <c r="B1791" t="inlineStr">
        <is>
          <t>Need advice on chemo-related dry, peeling fingers</t>
        </is>
      </c>
      <c r="C1791" t="inlineStr">
        <is>
          <t>Hello all! Please let me know if this isn't the right sub, or if there's a better place to post this.
I've been getting chemo every other week, currently Folfiri, 5 rounds so far, and Folfox for about a year (20-ish rounds) before that. The skin on my fingers, especially thumbs, gets extremely dry &amp;amp; peels off, especially around the flex points, leaving me with very painful patches of raw skin. Once the skin grows back, the top layers turn into kind of like a hard shell, don't "stick" to the layer underneath, and peel again, with raw skin underneath again. My thumbs also get very sore, sensitive, and swollen about 2 days after treatment, whether they've peeled or not.
I've tried soaking my hands overnight with Aquaphor healing ointment &amp;amp; gloves, but that hasn't made a difference. I'm not very good about remembering to moisturize during the day, but I try my best, with Curel Ultra Healing.
Does anyone have any better tips for keeping my dry skin from peeling? Most specifically, does anyone have any advice on how I can get the skin to grow normally and "stick" together? Or is this just an unavoidable side-effect?</t>
        </is>
      </c>
      <c r="D1791" t="n">
        <v>5</v>
      </c>
      <c r="E1791" t="n">
        <v>9</v>
      </c>
      <c r="F1791">
        <f>HYPERLINK("https://www.reddit.com/r/cancer/comments/bc36yx/need_advice_on_chemorelated_dry_peeling_fingers/")</f>
        <v/>
      </c>
      <c r="G1791" t="inlineStr">
        <is>
          <t>2019-04-11 11:15:40</t>
        </is>
      </c>
      <c r="H1791" t="inlineStr"/>
    </row>
    <row r="1792">
      <c r="A1792" t="inlineStr">
        <is>
          <t>bc3mf0</t>
        </is>
      </c>
      <c r="B1792" t="inlineStr">
        <is>
          <t>Just angry and tired</t>
        </is>
      </c>
      <c r="C1792" t="inlineStr">
        <is>
          <t>So many issues on my aromatose inhibitor so I *was* taking a break. My Onc just called me and said I need to be on it due to my stage, recurrence risk, etc.
I am SOOO tired of C making the decisions for me!!! GAH!!
How do we not let this define us when it affects so damn much?!?!
Then he said I could come in and we can discuss switching med's, at 100 dollars a pop co pay. Hell No. I have been doing this dance for 3 yrs and I am tired of adjusting to the side effects!!
I have seen too many other on other med's having issues.
I am tired of issues. Tired of C and all that it took, changed.</t>
        </is>
      </c>
      <c r="D1792" t="n">
        <v>5</v>
      </c>
      <c r="E1792" t="n">
        <v>0</v>
      </c>
      <c r="F1792">
        <f>HYPERLINK("https://www.reddit.com/r/cancer/comments/bc3mf0/just_angry_and_tired/")</f>
        <v/>
      </c>
      <c r="G1792" t="inlineStr">
        <is>
          <t>2019-04-11 11:52:22</t>
        </is>
      </c>
      <c r="H1792" t="inlineStr"/>
    </row>
    <row r="1793">
      <c r="A1793" t="inlineStr">
        <is>
          <t>bc4uf3</t>
        </is>
      </c>
      <c r="B1793" t="inlineStr">
        <is>
          <t>How to comfort a person who has cancer online?</t>
        </is>
      </c>
      <c r="C1793" t="inlineStr">
        <is>
          <t>A person in my clan in Clash of Clans said that doctors found tumor in his chest. I am so sorry but have no idea how could I comfort him. Nobody wrote anyting about his disease yet so I would like to show him that I really care. 
Any advice would be appreciated 
Tf why am I crying.. I dont even know him</t>
        </is>
      </c>
      <c r="D1793" t="n">
        <v>4</v>
      </c>
      <c r="E1793" t="n">
        <v>3</v>
      </c>
      <c r="F1793">
        <f>HYPERLINK("https://www.reddit.com/r/cancer/comments/bc4uf3/how_to_comfort_a_person_who_has_cancer_online/")</f>
        <v/>
      </c>
      <c r="G1793" t="inlineStr">
        <is>
          <t>2019-04-11 13:36:51</t>
        </is>
      </c>
      <c r="H1793" t="inlineStr"/>
    </row>
    <row r="1794">
      <c r="A1794" t="inlineStr">
        <is>
          <t>bc51jy</t>
        </is>
      </c>
      <c r="B1794" t="inlineStr">
        <is>
          <t>I found out I have Hodgkins Lymphoma today</t>
        </is>
      </c>
      <c r="C1794" t="inlineStr">
        <is>
          <t>I’m 28 male and I found out I have lymphoma today. I have to get more test done to find out the severity and if it has spread. I’m obviously gonna get treatment and whatever they recommend me do but I would like to know what I can do on my own to help beat this. I already exercise pretty regularly but my diet could be better. What foods can I eat to help me beat this?</t>
        </is>
      </c>
      <c r="D1794" t="n">
        <v>8</v>
      </c>
      <c r="E1794" t="n">
        <v>19</v>
      </c>
      <c r="F1794">
        <f>HYPERLINK("https://www.reddit.com/r/cancer/comments/bc51jy/i_found_out_i_have_hodgkins_lymphoma_today/")</f>
        <v/>
      </c>
      <c r="G1794" t="inlineStr">
        <is>
          <t>2019-04-11 13:54:38</t>
        </is>
      </c>
      <c r="H1794" t="inlineStr"/>
    </row>
    <row r="1795">
      <c r="A1795" t="inlineStr">
        <is>
          <t>bc586r</t>
        </is>
      </c>
      <c r="B1795" t="inlineStr">
        <is>
          <t>Where to donate medical supplies?</t>
        </is>
      </c>
      <c r="C1795" t="inlineStr">
        <is>
          <t>Fortunately my wife has lost her battle with her metastatic renal cell carcinoma. She put up a good fight but she was ready. 
I now have a load of supplies. I was trying to find a way to donate them but doctors without borers doesn't take in kind donations so I was trying to find a place in San Diego where I can drop them off or if anyone can point me in the right direction too at least help someone else with these.
 Thank you. Good luck thank God speeds all those that are still fighting the disease.</t>
        </is>
      </c>
      <c r="D1795" t="n">
        <v>11</v>
      </c>
      <c r="E1795" t="n">
        <v>8</v>
      </c>
      <c r="F1795">
        <f>HYPERLINK("https://www.reddit.com/r/cancer/comments/bc586r/where_to_donate_medical_supplies/")</f>
        <v/>
      </c>
      <c r="G1795" t="inlineStr">
        <is>
          <t>2019-04-11 14:11:12</t>
        </is>
      </c>
      <c r="H1795" t="inlineStr"/>
    </row>
    <row r="1796">
      <c r="A1796" t="inlineStr">
        <is>
          <t>bc5lpk</t>
        </is>
      </c>
      <c r="B1796" t="inlineStr">
        <is>
          <t>I might have cancer, but it could also be nothing. My life has taken a nosedive, and I feel terrible</t>
        </is>
      </c>
      <c r="C1796" t="inlineStr">
        <is>
          <t>I'm up late and sad as all hell, so sorry for the less than upbeat first post. I have an appointment to get everything checked out, don't worry.
tl;dr: might have breast cancer, might not, and i'm freaking out over not knowing. looking for advice and general info on how treatment works in australia (both for breast cancer and other non-cancer issues that it could be)
&amp;amp;#x200B;
So. To summarise, i (19M) have giant arse lumps in my chest, like I'm talking &amp;gt;50% of my breast tissue (I'm trans) is semi hard to hard lumps. The rest of my breast tissue is super soft and malleable, like I can squish it down to almost nothing normally. Hell I can't even wear a binder because the lumps are hard enough my binder can't flatten them at all and i look like ive got lumpy man boobs. I never really bothered to check for signs or whatever, like a self exam or whatever its called, since I'm young and nobody in my family ever got cancer. Yeah, that's dumb, but I figured since I'm cutting them off soon anyway, what's the point? And I went from having shitty sacks of fat that are gonna cost heaps to remove, to having shitty possibly deadly sacks of fat that could cost even more to remove. So I'm pretty upset about it.
Every day I keep checking them to see if they're changing, and I'm just finding more concerning stuff. At first i thought "yeah, theres a lot, but theyre consistent in density and general shape, so thats a sign its normal? And i mean, its in both of em so can't be cancer, right?" but then i started noticing half of em are wrinkly like a damn walnut or something, half are perfectly smooth, some are harder than others, some are easier to move than others, and all sorts of stuff that I cant get out of my head. 
My missus said not to go googling things because i'll convince myself it's something bad. But like, what the hell do I do? If it's not cancer, how do I get rid of it? If it is, what do I do then? do they just cut it out or do i have to pay out the arse for chemo, or what? I'm young, disabled, and broke as shit, and I'd rather die than put my missus into debt over me. I dont have insurance, but in australia a lot of medical stuff is cheap or free because of medicare (apparently people pay for xrays? poor bastards) so is this like that where I only pay if i needed a special kind of surgery or chemo or however they treat cancer these days? Or no matter what is it gonna be like thirty grand to scoop out some weird lumps , then another 10 to give me a normal looking chest anyway? 
Look, since I noticed them, I thought it wasn't that bad, and aside from wishing i didnt have weird boobs (well, i already didnt want em, but you know what i mean) i didn't let it phase me. Last time i checked it was a couple of lumps that I assumed were clogged glands or just weird but normal tissue, but honestly right now im going through so many emotions and i don't know how to handle any of it. I made an appointment for the 16th (honestly was surprised, the gp i went for usually takes longer to see) so i guess i just gotta get over it and wait. I'm gonna be honest. I know jack shit about this whole thing, and the process. If anybody can offer some advice or whatever would help, I'm all ears.</t>
        </is>
      </c>
      <c r="D1796" t="n">
        <v>1</v>
      </c>
      <c r="E1796" t="n">
        <v>2</v>
      </c>
      <c r="F1796">
        <f>HYPERLINK("https://www.reddit.com/r/cancer/comments/bc5lpk/i_might_have_cancer_but_it_could_also_be_nothing/")</f>
        <v/>
      </c>
      <c r="G1796" t="inlineStr">
        <is>
          <t>2019-04-11 14:44:09</t>
        </is>
      </c>
      <c r="H1796" t="inlineStr"/>
    </row>
    <row r="1797">
      <c r="A1797" t="inlineStr">
        <is>
          <t>bc5ob6</t>
        </is>
      </c>
      <c r="B1797" t="inlineStr">
        <is>
          <t>Melanoma pericardial effusion</t>
        </is>
      </c>
      <c r="C1797" t="inlineStr">
        <is>
          <t>What we thought was lymphoma is melanoma pericardial effusion. Anyone deal with this ? Am terrified.</t>
        </is>
      </c>
      <c r="D1797" t="n">
        <v>4</v>
      </c>
      <c r="E1797" t="n">
        <v>0</v>
      </c>
      <c r="F1797">
        <f>HYPERLINK("https://www.reddit.com/r/cancer/comments/bc5ob6/melanoma_pericardial_effusion/")</f>
        <v/>
      </c>
      <c r="G1797" t="inlineStr">
        <is>
          <t>2019-04-11 14:50:34</t>
        </is>
      </c>
      <c r="H1797" t="inlineStr"/>
    </row>
    <row r="1798">
      <c r="A1798" t="inlineStr">
        <is>
          <t>bc6d51</t>
        </is>
      </c>
      <c r="B1798" t="inlineStr">
        <is>
          <t>BEEN AFFECTED BY CANCER? HELP US MAKE THIS MULTI-AWARD-WINNING 'BEAUTIFUL COMEDY' SCRIPT INTO A SHORT FILM ABOUT CANCER!</t>
        </is>
      </c>
      <c r="C1798" t="inlineStr">
        <is>
          <t>Hi, I'm Mark... a Multi-Award-Winning Indie Filmmaker and my script 'My Week with Maisy' a 'beautiful comedy' about cancer has to date won 9x Best Screenplay/Best Dialogue Awards. It went into Pre-Production in 2018..... and then I was diagnosed with Melanoma. I lost all the skin and some flesh on my nose to it.
I am 7 operations in and still have my sense of humour! But this project is so much more important to me now than ever before! Please help us get it made by pledging to our Kickstarter campaign and web site here:
[kck.st/2Up9D0f](http://kck.st/2Up9D0f)
[www.cleverlittlefilmsuk.com](http://www.cleverlittlefilmsuk.com/)
Whats it about??  
Mrs Foster, a middle-aged, retired Daily Mail reader who's cup is half empty, is starting chemotherapy and is understandably anxious. The last thing she needs is to have to share the treatment room with a 'know it all child' because of NHS budget cuts! Cue Maisy Jones.... at 7 years old, she is the youngest long term in-patient at the hospital..... but even though Maisy's diagnosis is terminal, she still sees her cup as half full! And through the course of 7 days, Mrs Foster realises she has such lot to learn from Maisy, about life, about herself and about Maisy's Dad!
My Week with Maisy is a beautiful reminder to look at what we have....rather than what we have not.
We have the brilliant BAFTA Nominated Lynda Baron onboard to play Mrs Foster and everyone that has read the script wants to be involved/help... we have interest from some amazing talent behind the camera too..... the types of folks that have been involved BAFTA/Oscar winning films!
Please help if you can.... share the link.... post it on facebook..... thank you..... I'm still going through my Cancer journey.... I have had to follow Maisy's words....my words and remember what I've got! A new nose!!!
Thank you for reading/listening/helping.
Mark
[kck.st/2Up9D0f](http://kck.st/2Up9D0f)
[www.cleverlittlefilmsuk.com](http://www.cleverlittlefilmsuk.com/)</t>
        </is>
      </c>
      <c r="D1798" t="n">
        <v>1</v>
      </c>
      <c r="E1798" t="n">
        <v>0</v>
      </c>
      <c r="F1798">
        <f>HYPERLINK("https://www.reddit.com/r/cancer/comments/bc6d51/been_affected_by_cancer_help_us_make_this/")</f>
        <v/>
      </c>
      <c r="G1798" t="inlineStr">
        <is>
          <t>2019-04-11 15:53:57</t>
        </is>
      </c>
      <c r="H1798" t="inlineStr"/>
    </row>
    <row r="1799">
      <c r="A1799" t="inlineStr">
        <is>
          <t>bc7f4q</t>
        </is>
      </c>
      <c r="B1799" t="inlineStr">
        <is>
          <t>Talking to someone who experienced cancer</t>
        </is>
      </c>
      <c r="C1799" t="inlineStr">
        <is>
          <t>Hey everyone, my first post here. My boyfriend of 3 years is a cancer survivor, and he went into remission just before I met him and we started dating him. I know a little about his experience from little anecdotes and stories, but never entire stories or even stories about how anything made him feel. I don’t know if he’s had an opportunity to heal emotionally, or if he even needs to. I know he avoids talking about it, and the stories I’ve heard have only come up in pretty casual conversation. 
So I’m asking other survivors of cancer, is it okay/appropriate to directly ask him if he’d like to talk about his experiences, either with me, another trusted family member or a professional? 
The thought of him bottling it up because it’s “over now” makes me quite sad because although I’ve never experienced cancer, I don’t think the emotions ever really go away. Any advice would be greatly appreciated.</t>
        </is>
      </c>
      <c r="D1799" t="n">
        <v>3</v>
      </c>
      <c r="E1799" t="n">
        <v>13</v>
      </c>
      <c r="F1799">
        <f>HYPERLINK("https://www.reddit.com/r/cancer/comments/bc7f4q/talking_to_someone_who_experienced_cancer/")</f>
        <v/>
      </c>
      <c r="G1799" t="inlineStr">
        <is>
          <t>2019-04-11 17:40:44</t>
        </is>
      </c>
      <c r="H1799" t="inlineStr"/>
    </row>
    <row r="1800">
      <c r="A1800" t="inlineStr">
        <is>
          <t>bc7y7y</t>
        </is>
      </c>
      <c r="B1800" t="inlineStr">
        <is>
          <t>My grandma has been diagnosed with Non Hodgkins Lymphoma</t>
        </is>
      </c>
      <c r="C1800" t="inlineStr">
        <is>
          <t>My grandmother is in her mid 60's and has been diagnosed with Non Hodgkins Lymphoma today. They still don't know the stage, but from her few MRIs that they have done it does not look good. There are spots on her lungs, a mass in her right hip (had a hip fracture with no history of a fall on that hip, got a partial hip replacement), left hip, right pelvis, and right lower back. For over a year she had had pain in her right hip and upper leg. The doctors kept giving her muscle relaxers, the first time it worked, then the pain came back after she was out of them, then she kept taking Tylenol and that was for a year, this year the pain in her right hip was unbearable and they gave her Gabapentin which did not touch the pain, then Norco, which worked, but was making her very tired. Because the Norco wasn't helping as much as it usually does for pain they did an MRI of her whole body and found the masses. A few days later they did one of just her right hip and found that the bone was broke and told her to go to the ER ASAP. She went to the ER and the surgeon even before surgery told us (her and I) that it had the characteristics of cancer. She has a family history of cancer, it's what killed her brother. She went to surgery and it went well, she was very loopy from the meds, and it took a week and a half for them to come to the conclusion today that it is Non Hodgkins Lymphoma. After her surgery a nurse came in to check on me and say wht they did the surgery, etc and I told her "It is cancer, the surgeon said so" and she brushed it off like "well we don't know yet". That pissed me off, I knew it was cancer when I read the MRI results. She is starting on a liquid medication this week (no clue what it is, she is too loopy to remember anything) and she will get more imaging done. I don't know what to say or what to do. My anxiety has been through the roof with little sleep and lots of panic attacks. The other people in this house make fun of me for going to the ER for panic attacks, but they do not know how much this is weighing on my mind, my grandmother is like the mother I never had, she is my everything. Out of all the things she could pass away from I was hoping it would be age, but it might just be this Cancer. I had to rant. This is eating away at me, I told my doctor I am having a mental breakdown and need help, but it is like screaming at a rock, no response. I have therapy tomorrow for my mental health, but seriously if I could I would spend every night with her there at the ER rehabilitation center, but I have things to do. I feel guilty that I am not there for her.</t>
        </is>
      </c>
      <c r="D1800" t="n">
        <v>8</v>
      </c>
      <c r="E1800" t="n">
        <v>0</v>
      </c>
      <c r="F1800">
        <f>HYPERLINK("https://www.reddit.com/r/cancer/comments/bc7y7y/my_grandma_has_been_diagnosed_with_non_hodgkins/")</f>
        <v/>
      </c>
      <c r="G1800" t="inlineStr">
        <is>
          <t>2019-04-11 18:35:43</t>
        </is>
      </c>
      <c r="H1800" t="inlineStr"/>
    </row>
    <row r="1801">
      <c r="A1801" t="inlineStr">
        <is>
          <t>bc810w</t>
        </is>
      </c>
      <c r="B1801" t="inlineStr">
        <is>
          <t>My liver tumor is growing. Have an MRI coming, need advice</t>
        </is>
      </c>
      <c r="C1801" t="inlineStr">
        <is>
          <t>Ultrasound if youre curious
https://m.imgur.com/8CgdBs6
So yea, it grew and seemed to change quite a bit. 
Ive lost 30lbs and get horrible aches everywhere from my fingers to my toes.. among other symptoms.
My doctor said it should be about a month until I get my MRI. Should I just pay for a private one and do it faster? 
The tumor didnt grow that much but I’m scared as hell. Im only 32 and don’t want to be dealing with this right now. 
I dont have a TON of money but I have enough savings to afford the MRI ($1500-$2500). Is it worth it? To save a month?
 I dont even know if it’ll be a month, could be a week.. or 2 months. But he said with the referral from radiology doctor it should be within a month.</t>
        </is>
      </c>
      <c r="D1801" t="n">
        <v>4</v>
      </c>
      <c r="E1801" t="n">
        <v>6</v>
      </c>
      <c r="F1801">
        <f>HYPERLINK("https://www.reddit.com/r/cancer/comments/bc810w/my_liver_tumor_is_growing_have_an_mri_coming_need/")</f>
        <v/>
      </c>
      <c r="G1801" t="inlineStr">
        <is>
          <t>2019-04-11 18:43:47</t>
        </is>
      </c>
      <c r="H1801" t="inlineStr"/>
    </row>
    <row r="1802">
      <c r="A1802" t="inlineStr">
        <is>
          <t>bc8g9o</t>
        </is>
      </c>
      <c r="B1802" t="inlineStr">
        <is>
          <t>Breast Lump. Cyst or cancer?</t>
        </is>
      </c>
      <c r="C1802" t="inlineStr">
        <is>
          <t>My girlfriend is panicking. She visited her doctor about 6 months ago and had a breast exam. The doctor discovered a lump on one her breasts and he said it was nothing to worry about and it is probably a cyst. Last night she was complaining that the lump has been hurting. She no longer has health insurance and we have no clue when we will have the money for further examination by a medical professional. We really need to know how to tell a benign lump from a malignant one.</t>
        </is>
      </c>
      <c r="D1802" t="n">
        <v>0</v>
      </c>
      <c r="E1802" t="n">
        <v>6</v>
      </c>
      <c r="F1802">
        <f>HYPERLINK("https://www.reddit.com/r/cancer/comments/bc8g9o/breast_lump_cyst_or_cancer/")</f>
        <v/>
      </c>
      <c r="G1802" t="inlineStr">
        <is>
          <t>2019-04-11 19:27:06</t>
        </is>
      </c>
      <c r="H1802" t="inlineStr"/>
    </row>
    <row r="1803">
      <c r="A1803" t="inlineStr">
        <is>
          <t>bc9sb9</t>
        </is>
      </c>
      <c r="B1803" t="inlineStr">
        <is>
          <t>Mass in my left cheek</t>
        </is>
      </c>
      <c r="C1803" t="inlineStr">
        <is>
          <t>Hello everyone... Recently, one of my salivary glands developed a pretty large tumor. I'd say the size of a large marble. I'm only twenty years old, and I've recently and thankfully discovered its benign... However, my ENT delivered the results and had I waited 3-10 years it could've been a cancer that would have easily killed me. So... Now I'm experiencing I can only really explain as 'mortality shock' like I've just come to realize that could've been a cancerous tumor and it could've taken my life from me like nothing... The surgery to get it removed is scheduled on my birthday. But I've been kind of out of it. I guess I just really want to change who I am, what I stand for and how can I take measures to attempt to prevent future tumors? I understand I can't control them completely.</t>
        </is>
      </c>
      <c r="D1803" t="n">
        <v>0</v>
      </c>
      <c r="E1803" t="n">
        <v>7</v>
      </c>
      <c r="F1803">
        <f>HYPERLINK("https://www.reddit.com/r/cancer/comments/bc9sb9/mass_in_my_left_cheek/")</f>
        <v/>
      </c>
      <c r="G1803" t="inlineStr">
        <is>
          <t>2019-04-11 22:06:55</t>
        </is>
      </c>
      <c r="H1803" t="inlineStr"/>
    </row>
    <row r="1804">
      <c r="A1804" t="inlineStr">
        <is>
          <t>bcb5rv</t>
        </is>
      </c>
      <c r="B1804" t="inlineStr">
        <is>
          <t>Cancer Patient Diet</t>
        </is>
      </c>
      <c r="C1804" t="inlineStr">
        <is>
          <t>This diet, if strictly followed can work wonders for a cancer patient. It is a balanced diet that is enough to fuel the human body for proper functioning. There are different foods under all the three categories. 
[Life Supporting Chart for Cancer Patient](https://www.planetayurveda.com/library/life-supporting-diet-chart-for-cancer-patients)
&amp;amp;#x200B;
https://i.redd.it/ybulw0hfnsr21.jpg</t>
        </is>
      </c>
      <c r="D1804" t="n">
        <v>0</v>
      </c>
      <c r="E1804" t="n">
        <v>0</v>
      </c>
      <c r="F1804">
        <f>HYPERLINK("https://www.reddit.com/r/cancer/comments/bcb5rv/cancer_patient_diet/")</f>
        <v/>
      </c>
      <c r="G1804" t="inlineStr">
        <is>
          <t>2019-04-12 01:28:27</t>
        </is>
      </c>
      <c r="H1804" t="inlineStr"/>
    </row>
    <row r="1805">
      <c r="A1805" t="inlineStr">
        <is>
          <t>bccthw</t>
        </is>
      </c>
      <c r="B1805" t="inlineStr">
        <is>
          <t>Good Morning you beautiful people</t>
        </is>
      </c>
      <c r="C1805" t="inlineStr">
        <is>
          <t>Today is my moms colon cancer removal! They’re hoping it should be a successful removal, If everyone can send a prayer to my mom Nancy today that would be highly appreciated! Thank you all so much and all the beautiful support this subreddit shows for one another. Every day when I meditate I send prayers to you all! Keep kicking ass everyone!</t>
        </is>
      </c>
      <c r="D1805" t="n">
        <v>78</v>
      </c>
      <c r="E1805" t="n">
        <v>39</v>
      </c>
      <c r="F1805">
        <f>HYPERLINK("https://www.reddit.com/r/cancer/comments/bccthw/good_morning_you_beautiful_people/")</f>
        <v/>
      </c>
      <c r="G1805" t="inlineStr">
        <is>
          <t>2019-04-12 05:10:50</t>
        </is>
      </c>
      <c r="H1805" t="inlineStr"/>
    </row>
    <row r="1806">
      <c r="A1806" t="inlineStr">
        <is>
          <t>bcd87m</t>
        </is>
      </c>
      <c r="B1806" t="inlineStr">
        <is>
          <t>Cancer free for 6 months and now body hair mysteriously stopped growing?</t>
        </is>
      </c>
      <c r="C1806" t="inlineStr">
        <is>
          <t>I have been in remission from Hodgkins Lymphoma for about 6 months now. I lost all my hair from chemo, and it’s been growing back. My body hair was growing at massive rates. Randomly this week I went to shave and noticed that I had no pubic or armpit hair after going an entire week without shaving. Could this be a late chemo effect or a sign of it coming back? Anyone experience this?</t>
        </is>
      </c>
      <c r="D1806" t="n">
        <v>2</v>
      </c>
      <c r="E1806" t="n">
        <v>1</v>
      </c>
      <c r="F1806">
        <f>HYPERLINK("https://www.reddit.com/r/cancer/comments/bcd87m/cancer_free_for_6_months_and_now_body_hair/")</f>
        <v/>
      </c>
      <c r="G1806" t="inlineStr">
        <is>
          <t>2019-04-12 05:54:34</t>
        </is>
      </c>
      <c r="H1806" t="inlineStr"/>
    </row>
    <row r="1807">
      <c r="A1807" t="inlineStr">
        <is>
          <t>bcdp2s</t>
        </is>
      </c>
      <c r="B1807" t="inlineStr">
        <is>
          <t>Mom has grim prognosis after brain cancer diagnosis</t>
        </is>
      </c>
      <c r="C1807" t="inlineStr">
        <is>
          <t>She's very adamant that my family should keep living our lives, and be as happy as possible. I think she has a few years at most. Right now all this information is just sinking in for all of us, and while I don't think she's in denial, she doesn't want to discuss details. I want to respect her wishes, but at the same time, I feel like it's more important than ever to tell her that I love her and I'm sorry for all the mistakes I've made in our relationship. Any ideas as to how I can make my mom happy without adding to her burden?</t>
        </is>
      </c>
      <c r="D1807" t="n">
        <v>8</v>
      </c>
      <c r="E1807" t="n">
        <v>6</v>
      </c>
      <c r="F1807">
        <f>HYPERLINK("https://www.reddit.com/r/cancer/comments/bcdp2s/mom_has_grim_prognosis_after_brain_cancer/")</f>
        <v/>
      </c>
      <c r="G1807" t="inlineStr">
        <is>
          <t>2019-04-12 06:41:09</t>
        </is>
      </c>
      <c r="H1807" t="inlineStr"/>
    </row>
    <row r="1808">
      <c r="A1808" t="inlineStr">
        <is>
          <t>bcg1hh</t>
        </is>
      </c>
      <c r="B1808" t="inlineStr">
        <is>
          <t>Thought it was lymphoma, melanoma is back</t>
        </is>
      </c>
      <c r="C1808" t="inlineStr">
        <is>
          <t>I was very symptomatic of lymphoma, pericardial effusion, a few large lymph nodes, night sweats, weight loss. Tested the pericardial effusion and it is my melanoma coming back. We are working on the drain, trying #3 reposition today. Had a fnb that ended up puncturing a lung so had a chest tube, had a lymph node on my neck out, and have been in the hospital for a week now. I am just a mess. Hoping to start treatment when I can get that effusion gone. Anyone have anything similar? Outlook seems to be looking up with immunotherapy. Cat scan was otherwise clean but of course need to have the pet scan. My mind is just reeling.</t>
        </is>
      </c>
      <c r="D1808" t="n">
        <v>4</v>
      </c>
      <c r="E1808" t="n">
        <v>2</v>
      </c>
      <c r="F1808">
        <f>HYPERLINK("https://www.reddit.com/r/cancer/comments/bcg1hh/thought_it_was_lymphoma_melanoma_is_back/")</f>
        <v/>
      </c>
      <c r="G1808" t="inlineStr">
        <is>
          <t>2019-04-12 10:09:12</t>
        </is>
      </c>
      <c r="H1808" t="inlineStr"/>
    </row>
    <row r="1809">
      <c r="A1809" t="inlineStr">
        <is>
          <t>bcg3zb</t>
        </is>
      </c>
      <c r="B1809" t="inlineStr">
        <is>
          <t>Mom's cancer diagnosis</t>
        </is>
      </c>
      <c r="C1809" t="inlineStr">
        <is>
          <t>She's 57. Had ovarian cancer at my age [28]. Received another diagnosis of ovarian cancer a couple months back. Had a full hysterectomy. Recovered the past few weeks. Now they're saying she has some kind of leukemia. She goes to see another specialist in two weeks. She wants to treat it holistically. I think I that's idiotic. She doesn't even know what KIND of leukemia it it yet. I just found out about this 15 minutes ago. 
Has anyone been through anything similar?</t>
        </is>
      </c>
      <c r="D1809" t="n">
        <v>0</v>
      </c>
      <c r="E1809" t="n">
        <v>0</v>
      </c>
      <c r="F1809">
        <f>HYPERLINK("https://www.reddit.com/r/cancer/comments/bcg3zb/moms_cancer_diagnosis/")</f>
        <v/>
      </c>
      <c r="G1809" t="inlineStr">
        <is>
          <t>2019-04-12 10:14:46</t>
        </is>
      </c>
      <c r="H1809" t="inlineStr"/>
    </row>
    <row r="1810">
      <c r="A1810" t="inlineStr">
        <is>
          <t>bch1ci</t>
        </is>
      </c>
      <c r="B1810" t="inlineStr">
        <is>
          <t>It’s not dying that scares me anymore</t>
        </is>
      </c>
      <c r="C1810" t="inlineStr">
        <is>
          <t>It’s being alone.
I’m 33 yrs old male and live in the U.K. 
I’ll try to keep this short. I have stage 4 melanoma and so far the oral chemotherapy is working. Tumours in brain and lungs have shrunk. The drugs can stop working after a certain period tho, the drugs are new so my oncologist is not sure how long for.
“I’m lucky” that the tremitinib and dabrafenib? is working for me. 
I go to work I lift, have friends and a social life tho not great. Met a few girls from tinder and one night stands. These interactions feel shallow.
I just want a relationship and the reality is I’ll not have one with the cancer women will run a mile, especially someone looking for longevity.
I’m infatuated with a girl from work who i think finds me attractive but of course “the cancer” i don’t see the point asking her out.
She knows I like her romantically.
Death I can accept but dying alone depresses the hell out of me.
I’m not selfish to lie to someone or take advantage of a vulnerable woman either.
Anyone else feels the same or can relate?</t>
        </is>
      </c>
      <c r="D1810" t="n">
        <v>20</v>
      </c>
      <c r="E1810" t="n">
        <v>17</v>
      </c>
      <c r="F1810">
        <f>HYPERLINK("https://www.reddit.com/r/cancer/comments/bch1ci/its_not_dying_that_scares_me_anymore/")</f>
        <v/>
      </c>
      <c r="G1810" t="inlineStr">
        <is>
          <t>2019-04-12 11:30:13</t>
        </is>
      </c>
      <c r="H1810" t="inlineStr"/>
    </row>
    <row r="1811">
      <c r="A1811" t="inlineStr">
        <is>
          <t>bci6mg</t>
        </is>
      </c>
      <c r="B1811" t="inlineStr">
        <is>
          <t>CBD oil recommendation - NYS</t>
        </is>
      </c>
      <c r="C1811" t="inlineStr">
        <is>
          <t>Dad is battling IV glioblastoma and the Temodar is kicking his ass. Some articles/posts I've read have suggested CBD oil, which is now (thankfully) legal in his state. But I have no idea what to get for him and am hoping for recommendations. He does not want to feel any kind of high, he just wants the nausea to go away, and maybe some help with appetite. He has tried some cheaper CBD in the past for restless leg syndrome and it didn't really help.</t>
        </is>
      </c>
      <c r="D1811" t="n">
        <v>3</v>
      </c>
      <c r="E1811" t="n">
        <v>7</v>
      </c>
      <c r="F1811">
        <f>HYPERLINK("https://www.reddit.com/r/cancer/comments/bci6mg/cbd_oil_recommendation_nys/")</f>
        <v/>
      </c>
      <c r="G1811" t="inlineStr">
        <is>
          <t>2019-04-12 13:07:58</t>
        </is>
      </c>
      <c r="H1811" t="inlineStr"/>
    </row>
    <row r="1812">
      <c r="A1812" t="inlineStr">
        <is>
          <t>bci7ae</t>
        </is>
      </c>
      <c r="B1812" t="inlineStr">
        <is>
          <t>How bad is it?</t>
        </is>
      </c>
      <c r="C1812" t="inlineStr">
        <is>
          <t>My teammate / best friend (19, M) had testicular cancer and had a surgery about two weeks ago to remove the testicle and the cancer.
He got back from an appointment today and said they found it in the lymph nodes around his stomach. He has to do chemo now
How bad is this? I've looked around at gastric lymphoma and can't find any kind of survival rate or prognosis
Fuck cancer. He's 19 has the world in his hand this isn't supposed to fucking happen</t>
        </is>
      </c>
      <c r="D1812" t="n">
        <v>4</v>
      </c>
      <c r="E1812" t="n">
        <v>7</v>
      </c>
      <c r="F1812">
        <f>HYPERLINK("https://www.reddit.com/r/cancer/comments/bci7ae/how_bad_is_it/")</f>
        <v/>
      </c>
      <c r="G1812" t="inlineStr">
        <is>
          <t>2019-04-12 13:09:29</t>
        </is>
      </c>
      <c r="H1812" t="inlineStr"/>
    </row>
    <row r="1813">
      <c r="A1813" t="inlineStr">
        <is>
          <t>bci9ay</t>
        </is>
      </c>
      <c r="B1813" t="inlineStr">
        <is>
          <t>So many process before tumor surgery</t>
        </is>
      </c>
      <c r="C1813" t="inlineStr">
        <is>
          <t>Not sure if they only like money... been almost 2 months from constantly getting check up like pet scan,ct scan blood test. Bone density test. And last time they said they found something in my mom's brain so they had to send her to other hospital and they didn't find anything after they do ct scan again.</t>
        </is>
      </c>
      <c r="D1813" t="n">
        <v>3</v>
      </c>
      <c r="E1813" t="n">
        <v>1</v>
      </c>
      <c r="F1813">
        <f>HYPERLINK("https://www.reddit.com/r/cancer/comments/bci9ay/so_many_process_before_tumor_surgery/")</f>
        <v/>
      </c>
      <c r="G1813" t="inlineStr">
        <is>
          <t>2019-04-12 13:14:36</t>
        </is>
      </c>
      <c r="H1813" t="inlineStr"/>
    </row>
    <row r="1814">
      <c r="A1814" t="inlineStr">
        <is>
          <t>bciict</t>
        </is>
      </c>
      <c r="B1814" t="inlineStr">
        <is>
          <t>My mom- ovarian cancer and leukemia??</t>
        </is>
      </c>
      <c r="C1814" t="inlineStr">
        <is>
          <t>Hi all.
My mom (57) was diagnosed with ovarian cancer a few months ago for the second time. The first time was at my age (28). She underwent a complete hysterectomy last month. They biopsied the tumor and apparently from that they diagnosed her with leukemia? They sent it off to Harvard to confirm.
I just found out about the leukemia today. I'm shocked and confused. Has anyone heard of anything like this before?</t>
        </is>
      </c>
      <c r="D1814" t="n">
        <v>1</v>
      </c>
      <c r="E1814" t="n">
        <v>0</v>
      </c>
      <c r="F1814">
        <f>HYPERLINK("https://www.reddit.com/r/cancer/comments/bciict/my_mom_ovarian_cancer_and_leukemia/")</f>
        <v/>
      </c>
      <c r="G1814" t="inlineStr">
        <is>
          <t>2019-04-12 13:36:42</t>
        </is>
      </c>
      <c r="H1814" t="inlineStr"/>
    </row>
    <row r="1815">
      <c r="A1815" t="inlineStr">
        <is>
          <t>bciy35</t>
        </is>
      </c>
      <c r="B1815" t="inlineStr">
        <is>
          <t>Platelet resistance</t>
        </is>
      </c>
      <c r="C1815" t="inlineStr">
        <is>
          <t>Hi, my husband recently received a BMT from a related donor. They have since realized he has a resistance to platelet transfusions. No matter how many bags they give him his platelet counts never rise. He is currently at a 10 and has received 2 bags of platelets at the hospital which did nothing but drop him further (he was at a 12 before they started) 
Has anyone experienced this? The Dr says sometimes this happens and the only thing to do is wait until engraftment happens and he hopefully starts producing his own platelets? Regardless they keep giving him platelets to no effect. Anyone have any advice?</t>
        </is>
      </c>
      <c r="D1815" t="n">
        <v>3</v>
      </c>
      <c r="E1815" t="n">
        <v>10</v>
      </c>
      <c r="F1815">
        <f>HYPERLINK("https://www.reddit.com/r/cancer/comments/bciy35/platelet_resistance/")</f>
        <v/>
      </c>
      <c r="G1815" t="inlineStr">
        <is>
          <t>2019-04-12 14:16:11</t>
        </is>
      </c>
      <c r="H1815" t="inlineStr"/>
    </row>
    <row r="1816">
      <c r="A1816" t="inlineStr">
        <is>
          <t>bcjjo4</t>
        </is>
      </c>
      <c r="B1816" t="inlineStr">
        <is>
          <t>Mom will receive a diagnosis of ALL or AML soon. Wants to "cure it holistically."</t>
        </is>
      </c>
      <c r="C1816" t="inlineStr">
        <is>
          <t>Pretty much what the title says. She's 57. Apparently they found it after a biopsy when she had a full hysterectomy after finding tumors in her ovary/cervix.
I've been reading up on it. Can it really be deadly after a few months of no medical treatment? She has an appointment with a specialist in two weeks, then we will know more.
I'm scared.</t>
        </is>
      </c>
      <c r="D1816" t="n">
        <v>3</v>
      </c>
      <c r="E1816" t="n">
        <v>33</v>
      </c>
      <c r="F1816">
        <f>HYPERLINK("https://www.reddit.com/r/cancer/comments/bcjjo4/mom_will_receive_a_diagnosis_of_all_or_aml_soon/")</f>
        <v/>
      </c>
      <c r="G1816" t="inlineStr">
        <is>
          <t>2019-04-12 15:11:42</t>
        </is>
      </c>
      <c r="H1816" t="inlineStr"/>
    </row>
    <row r="1817">
      <c r="A1817" t="inlineStr">
        <is>
          <t>bcjr6z</t>
        </is>
      </c>
      <c r="B1817" t="inlineStr">
        <is>
          <t>I’m 22 and starting radiation and oral chemo in two weeks. Does anyone have any advice or info they wish they had known?</t>
        </is>
      </c>
      <c r="C1817" t="inlineStr">
        <is>
          <t>I have a Grade 3 glioma in my right temporal lobe and just had neurosurgery two weeks ago. I’ll be doing daily radiation and oral chemo for 6 weeks and then 6 months of oral chemo alone. My radiologist said my symptoms will be fatigue, swelling, hair loss where the beam goes in, a sunburn equivalent, and of course nausea. Then I went and saw my dentist and they said radiation can sometimes destroy your salivary glands and you can get dry mouth. Are there any other symptoms you’ve experienced?</t>
        </is>
      </c>
      <c r="D1817" t="n">
        <v>8</v>
      </c>
      <c r="E1817" t="n">
        <v>25</v>
      </c>
      <c r="F1817">
        <f>HYPERLINK("https://www.reddit.com/r/cancer/comments/bcjr6z/im_22_and_starting_radiation_and_oral_chemo_in/")</f>
        <v/>
      </c>
      <c r="G1817" t="inlineStr">
        <is>
          <t>2019-04-12 15:31:33</t>
        </is>
      </c>
      <c r="H1817" t="inlineStr"/>
    </row>
    <row r="1818">
      <c r="A1818" t="inlineStr">
        <is>
          <t>bcl655</t>
        </is>
      </c>
      <c r="B1818" t="inlineStr">
        <is>
          <t>Looking for information please!</t>
        </is>
      </c>
      <c r="C1818" t="inlineStr">
        <is>
          <t>My aunt was just diagnosed with anaplastic astrocytoma the “wild version”.  Does anyone know of any survivors of this and any recommendations on treatments or things that she or we can do to help her survive as long as possible? Any information is greatly appreciated.</t>
        </is>
      </c>
      <c r="D1818" t="n">
        <v>3</v>
      </c>
      <c r="E1818" t="n">
        <v>6</v>
      </c>
      <c r="F1818">
        <f>HYPERLINK("https://www.reddit.com/r/cancer/comments/bcl655/looking_for_information_please/")</f>
        <v/>
      </c>
      <c r="G1818" t="inlineStr">
        <is>
          <t>2019-04-12 17:58:29</t>
        </is>
      </c>
      <c r="H1818" t="inlineStr"/>
    </row>
    <row r="1819">
      <c r="A1819" t="inlineStr">
        <is>
          <t>bclzzl</t>
        </is>
      </c>
      <c r="B1819" t="inlineStr">
        <is>
          <t>Gifts?</t>
        </is>
      </c>
      <c r="C1819" t="inlineStr">
        <is>
          <t>One of my close friends just was diagnosed with Hodgkin’s lymphoma and will be starting chemo soon. She lives several hundred miles away, and I unfortunately can’t visit her because I am home with a newborn baby. What are some thoughtful gifts that I can send? I am thinking things that will make her life a little bit easier and more comfortable. Maybe something cozy that she can wear during the chemo infusion that won’t block access to her port? Some food that will be comforting even if she is nauseous? Something else? I’d love ideas for things that actually will be nice for her to have. Thank you so much in advance!</t>
        </is>
      </c>
      <c r="D1819" t="n">
        <v>2</v>
      </c>
      <c r="E1819" t="n">
        <v>8</v>
      </c>
      <c r="F1819">
        <f>HYPERLINK("https://www.reddit.com/r/cancer/comments/bclzzl/gifts/")</f>
        <v/>
      </c>
      <c r="G1819" t="inlineStr">
        <is>
          <t>2019-04-12 19:32:59</t>
        </is>
      </c>
      <c r="H1819" t="inlineStr"/>
    </row>
    <row r="1820">
      <c r="A1820" t="inlineStr">
        <is>
          <t>bcmaiz</t>
        </is>
      </c>
      <c r="B1820" t="inlineStr">
        <is>
          <t>Looking for How People Feel and Experiences after a Cancer Diagnosis Relating to Family Dynamics. This is Really Hard and I Don't Know How to React.</t>
        </is>
      </c>
      <c r="C1820" t="inlineStr">
        <is>
          <t>I am pretty much posting here because I don't really know what to do. If this is the wrong place to post this please remove it, ect. I am really sad and confused, and I want to help my Mom but I just don't know what to do.
I always considered my Mom and I to have an extremely close relationship. That was until her cancer diagnosis. She is very vocal about her complaints but it seems like no matter what I do I can't make her happy (and I know that I can't control a person's emotions, I get that.) She is always talking about how she never gets to see me but we see each other about three times a week. There are always other family members around and even when there is not it doesn't seem like we really get to talk to one another. Ex: She likes to watch movies and I need to study ect. There is talk about her moving to my town but I am not sure if anything will ever come of it. She is always talking about how she is isolated.
She wad diagnosed with renal cancer  at the beginning of this month. we know for a fact it's in the left kidney but are still waiting for biopsy results for the right kidney. Ever since then she has been really needy and gets really upset when things don't go her way. Ex: She wanted the lights to be dimmed after her biopsy which they did on the left kidney when she was the only one in the room, but when they did it on her right kidney there were three other patients in the room so they didn't dim the lights. She thought the nurse was being mean to her and almost started a fight because they were out of no-fall socks at the nurse's station. She told me if my nurse aunt was there she would have gotten results. She got angry because I got her a Sara Lee's chocolate pie slice instead of a Hershey one. My aunt that my Mom doesn't like was there and we were talking about travel and recipes. My Mom said she felt left out and yelled at me later that night for being rude and not letting her sleep. I do think she was right on this one but I thought she was enjoying the conversation.  Later that night I had plans with a friend to go get a beef wellington for the first time and went to go hang out with him. My Mom got mad because I left after we got to my Grandmother's. My Grandmother is 90 and is more or less taking care of my Mom, they have a weird love hate relationship which is getting even weirder because my grandmother is showing emotion, which she never does!
Today we were supposed to go eat and I came in and they were eating a tv dinner. When I reminded them about eating out my Grandmother started talking about the tv dinner and they changed their mind. I felt really rejected because I wanted to take my Mom out because she said she was jealous of my aunt getting to go to restaurants all the time and she keeps implying that I'm too good for her in a really passive aggressive way. I felt like I was going to cry so even though it was really fake I gave a smile, gave them both a hug, and left. When we talked later my Mom said that she thought I was going to stay until the night so we could get dinner then. I live an hour away from my Grandmother and my college is an hour away. I just got done with 6 hours of labs and I had to go home for a pig dissection, at most I could have stayed two hours. 
My Mom later said in the call the she needed to do things for herself now (I agree), and that I needed to stop blaming her, and that I just wanted all the attention on me, and that I never make time for her or make her a priority, and all I thought about was myself. We actually got into a screaming match and I felt like she was manipulating me to feel like she was in control (I am normally a VERY controlled person, to get into a screaming match is not like me at all and the last time we did was ten years ago). I ended up screaming to her that I was struggling and I just wanted us to spend time together since it seems that despite seeing each other so much that we never do. I ended up yelling at her that "well it's all good because hopefully I'll die first and you can watch me being lowered into the ground" and I hung up. It was not my finest moment.
She refuses to stay at my house because I have to work but she doesn't want me to quit work because I have FMLA in place. She will drive an hour and a half to go to my grandmother's house but she won't drive the same distance to see me even though we have an extra room, more food, and a better entertainment system. I go to all of her appointments with her. I drive an hour to three hours each week to see her per trip. I work full time, I go to school and my classes are part time anatomy, I volunteer, and I am so tired. I have started having really bad panic attacks and I have endless thoughts of "You're worthless, You're just making everything worse, ect." I'm starting to have crying spells as well. 
We have never been this way. My Mom was always the person I could count on to have in my corner. She is a wonderful Mom and has always put me first and I have always tried to put her first. It feels like no matter what I do it is never good enough, polite enough, giving enough. I feel like I have to choose between my job and my relationship with my Mom. If that's the case I will choose my Mom and quit my job, my roommate and I are already working something out for if I need to quit in a few months. I always thought that if my Mom did get sick it would be us against the world but it seems like I can never get her alone and I am disposable. 
My Mom was also raised in an emotionally abusive environment and I feel like she is starting to mimic her raising onto me even though I am already grown. I really do not want to have to do the slow fade to protect my sanity. I don't want to stay and let her bully me in the name of "love" either. I want to stay with my Mom and be with her while she is going through cancer. I want to repair our relationship because a part of me wonders if this is how she has always thought of me, and that is not the most appealing thought to have.
I am asking people who have cancer did you flip out on the people you love? Does it ever get any better? Is it a normal part of getting diagnoses? What can I do to show my Mom that I do love her. I am doing everything I can but I am so burned out and tired. Was my Mom always like this but I was too close to see it? I am so confused and hurt and I just want to be there for my Mom. Thank you for reading, sorry about the long spiel. I may cross post this on r/relationship, think that's a good idea? Thanks again!</t>
        </is>
      </c>
      <c r="D1820" t="n">
        <v>5</v>
      </c>
      <c r="E1820" t="n">
        <v>15</v>
      </c>
      <c r="F1820">
        <f>HYPERLINK("https://www.reddit.com/r/cancer/comments/bcmaiz/looking_for_how_people_feel_and_experiences_after/")</f>
        <v/>
      </c>
      <c r="G1820" t="inlineStr">
        <is>
          <t>2019-04-12 20:08:10</t>
        </is>
      </c>
      <c r="H1820" t="inlineStr"/>
    </row>
    <row r="1821">
      <c r="A1821" t="inlineStr">
        <is>
          <t>bcogaf</t>
        </is>
      </c>
      <c r="B1821" t="inlineStr">
        <is>
          <t>Any doctors who can help me understand more about advanced ovarian cancer and related complications?</t>
        </is>
      </c>
      <c r="C1821" t="inlineStr">
        <is>
          <t>Long story short my dad has been supporting his wife through a 10+-year-long survival of ovarian cancer, filled with remissions. Unfortunately, last year the cancer came back far more advanced than before, and for the first time in my life I saw the physical effects of advanced ovarian cancer (outside of hair loss from chemo).
There have been bouts at the ICU due in large part to breathing complications. Despite a positive response to initial chemo treatments, the side effects (pain, appetite, digestive problems, breathing difficulty due to liquid secretion in lungs...) proved too strong and forced us to stop treatment.
After successful extubation  in the first icu bout, during this second icu visit, extubation proved unsuccessful and we’re now preparing ourselves for a tracheostomy before resuming chemo treatment.
Has anyone gone through this or something similar? Im really hoping to see a silver lining in this failed extubation, and that the tracheostomy will help the body build stength and gain weight by assisting a failed respiratory system. Anyone know of any miracles after a patient has reached this advanced stage of ovarian cancer? Any hope will help, thanks</t>
        </is>
      </c>
      <c r="D1821" t="n">
        <v>23</v>
      </c>
      <c r="E1821" t="n">
        <v>9</v>
      </c>
      <c r="F1821">
        <f>HYPERLINK("https://www.reddit.com/r/cancer/comments/bcogaf/any_doctors_who_can_help_me_understand_more_about/")</f>
        <v/>
      </c>
      <c r="G1821" t="inlineStr">
        <is>
          <t>2019-04-13 01:24:48</t>
        </is>
      </c>
      <c r="H1821" t="inlineStr"/>
    </row>
    <row r="1822">
      <c r="A1822" t="inlineStr">
        <is>
          <t>bcq2gl</t>
        </is>
      </c>
      <c r="B1822" t="inlineStr">
        <is>
          <t>I have been diagnosed with Leucemia when i was seven.</t>
        </is>
      </c>
      <c r="C1822" t="inlineStr">
        <is>
          <t>So first, sorry if you don't understand something because English is not my first lenguage. 
 So we begin, when i was seven, i had a "thing" on my neck that wasn't supposed to be like that, and for that reason, we went to the hospital to ask what could it be, and yes, it was cancer. I wasn't understanding why my mother was crying because i wasn't told what it was, i were "put on a hospital bed for some time" (i don't know the right word lol)
for 17 days. My mother told me about the Leucemia before the first day. So i started quimo for around 7 months, i remember crying because i couldn't see my friends. Then they put me a cateter (dk if they call it like that on english) to cure me faster and it did,because 5 months later i finished quimo :D. I didn't need the cateter anymore. But i still got to take blood exams. (I just finished the 5 years of exams since the diagnosis) and, 1 year later i was totally cured, i'm a 12years old kid now, sometimes happy, sometimes sad, because of my age lmao. (Sorry for bad grammar or English lol)</t>
        </is>
      </c>
      <c r="D1822" t="n">
        <v>17</v>
      </c>
      <c r="E1822" t="n">
        <v>6</v>
      </c>
      <c r="F1822">
        <f>HYPERLINK("https://www.reddit.com/r/cancer/comments/bcq2gl/i_have_been_diagnosed_with_leucemia_when_i_was/")</f>
        <v/>
      </c>
      <c r="G1822" t="inlineStr">
        <is>
          <t>2019-04-13 05:38:46</t>
        </is>
      </c>
      <c r="H1822" t="inlineStr"/>
    </row>
    <row r="1823">
      <c r="A1823" t="inlineStr">
        <is>
          <t>bcqe0n</t>
        </is>
      </c>
      <c r="B1823" t="inlineStr">
        <is>
          <t>3 months in update</t>
        </is>
      </c>
      <c r="C1823" t="inlineStr">
        <is>
          <t>So as some of you may remember in January I was diagnosed with testicular cancer for a 2nd time. 1st time in the left testicle when I was 18 and again in right at 29 (They are different cancers, not a resurgence or a reoccurrence). After the second orchiectomy they did some scans and found inflammation of the lymph nodes in my chest. Long story short I come to find out the inflammation is a (or what they believe) Teratoma left over from 10 years ago. I go in to have surgery on Tues with a cardiothoracic surgeon to find out for sure what's going on in my lungs. After that we will return to the new testicular cancer and deal with that. 
It's just insane how this year has played out. Go from thinking it was just another round of testicular cancer, to finding out there was this tumor slowing moving up my lymphatic system without my knowledge. We hope the teratoma is just that, and doesnt contain other cancer cells so they can just take it out. There is a possibility its entwined itself with the blood vessels or the lungs themselves, and that scares me. I'm trying to take things one appointment at a time and be as positive as possible. I'm not going to lie though, it can be pretty rough sometimes, but I'm trying. 
I will update again after I find out more on Tues. 
Thanks for reading</t>
        </is>
      </c>
      <c r="D1823" t="n">
        <v>7</v>
      </c>
      <c r="E1823" t="n">
        <v>1</v>
      </c>
      <c r="F1823">
        <f>HYPERLINK("https://www.reddit.com/r/cancer/comments/bcqe0n/3_months_in_update/")</f>
        <v/>
      </c>
      <c r="G1823" t="inlineStr">
        <is>
          <t>2019-04-13 06:18:18</t>
        </is>
      </c>
      <c r="H1823" t="inlineStr"/>
    </row>
    <row r="1824">
      <c r="A1824" t="inlineStr">
        <is>
          <t>bcr5p0</t>
        </is>
      </c>
      <c r="B1824" t="inlineStr">
        <is>
          <t>Fark you cancer!!</t>
        </is>
      </c>
      <c r="C1824" t="inlineStr">
        <is>
          <t>My mom has been diagnosed with stage 4 advanced nose/throat cancer and it has spread. It has impeded her speech ability and ability to eat. This gets her frustrated as she won’t able to communicate what she wants.
She is currently in hospital. Doctor has prescribed morphine for her headache and general pain. I felt so hopeless that I can do anything for her. Part of her she wants to fight it and part of her wants to end it. She is her late 70s. They will beginning palliative car Monday. 
Go check every year so you can catch early 
Sorry for the rant.</t>
        </is>
      </c>
      <c r="D1824" t="n">
        <v>6</v>
      </c>
      <c r="E1824" t="n">
        <v>7</v>
      </c>
      <c r="F1824">
        <f>HYPERLINK("https://www.reddit.com/r/cancer/comments/bcr5p0/fark_you_cancer/")</f>
        <v/>
      </c>
      <c r="G1824" t="inlineStr">
        <is>
          <t>2019-04-13 07:41:20</t>
        </is>
      </c>
      <c r="H1824" t="inlineStr"/>
    </row>
    <row r="1825">
      <c r="A1825" t="inlineStr">
        <is>
          <t>bcrmw4</t>
        </is>
      </c>
      <c r="B1825" t="inlineStr">
        <is>
          <t>Pet scan</t>
        </is>
      </c>
      <c r="C1825" t="inlineStr">
        <is>
          <t>1. 1.7 cm solid nodule within the left lateral basilar segment of the left lower lobe with pleural extension, max SUV 1.97 at 60 minutes and 2.23 at 120 minutes which is 12% increased which mitigates the likelihood malignancy. Findings are not typical of malignancy
I’m 28 and feel completely healthy</t>
        </is>
      </c>
      <c r="D1825" t="n">
        <v>0</v>
      </c>
      <c r="E1825" t="n">
        <v>3</v>
      </c>
      <c r="F1825">
        <f>HYPERLINK("https://www.reddit.com/r/cancer/comments/bcrmw4/pet_scan/")</f>
        <v/>
      </c>
      <c r="G1825" t="inlineStr">
        <is>
          <t>2019-04-13 08:27:54</t>
        </is>
      </c>
      <c r="H1825" t="inlineStr"/>
    </row>
    <row r="1826">
      <c r="A1826" t="inlineStr">
        <is>
          <t>bcsds2</t>
        </is>
      </c>
      <c r="B1826" t="inlineStr">
        <is>
          <t>Everyone who went through cancer and survived (or are currently battling cancer)</t>
        </is>
      </c>
      <c r="C1826" t="inlineStr">
        <is>
          <t>Did it ever seem like you would rather die than go through whatever pain the doctor is doing to save you?</t>
        </is>
      </c>
      <c r="D1826" t="n">
        <v>45</v>
      </c>
      <c r="E1826" t="n">
        <v>84</v>
      </c>
      <c r="F1826">
        <f>HYPERLINK("https://www.reddit.com/r/cancer/comments/bcsds2/everyone_who_went_through_cancer_and_survived_or/")</f>
        <v/>
      </c>
      <c r="G1826" t="inlineStr">
        <is>
          <t>2019-04-13 09:39:35</t>
        </is>
      </c>
      <c r="H1826" t="inlineStr"/>
    </row>
    <row r="1827">
      <c r="A1827" t="inlineStr">
        <is>
          <t>bct8fv</t>
        </is>
      </c>
      <c r="B1827" t="inlineStr">
        <is>
          <t>Dad just got diagnosed with terminal cancer</t>
        </is>
      </c>
      <c r="C1827" t="inlineStr">
        <is>
          <t>I don’t really know if what I’m about to say makes complete sense and my mind and body just feel as though they are shutting down on me but I will do my best. A few months ago my dad (47) began having knee pain and swelling in one of his knees. None of us really thought anything of it and thought it was muscle related as he plays football once a week. Fast forward to two weeks ago and he’s had blood test, x rays, scans etc. No one ever mentioned cancer as a possibility and I never thought about it until two weeks ago when he told me he had had a biopsy done on his knee. He lives about half hour from me with his wife and three year old daughter so I don’t see him that often. I am f/24. I then started to fear it could be cancer as I know that’s often why people have biopsies. On Monday just gone, he got his results, he has sarcoma. I had never heard of sarcoma and neither had he. He told me they want to keep him in hospital, run more tests but then they would just remove it, give him radiotherapy and it would be over with, so I was worried but wasn’t too worried at this point. Then I was told he would have his tests results on Friday, which was  yesterday. I honestly didn’t think it would of spread or anything like that, no one had given me that indication and He didn’t seem too worried. Fast forward to last night and I have a call from my cousin telling me my auntie was on her way over. We had all been waiting for him to give us news on what the doctors has said and when I heard my aunt was coming here I knew it wouldn’t be good. I forced my cousin via phone call to tell me what she knew as I couldn’t stand the wait for my aunt to get here, she told me that the results showed it had spread to his chest but that’s all she knew. I knew it was bad at that point but in my head I thought ok, it’s spread but they can take out the knee tumour, give him radiotherapy and he’ll be fine. He’s never been ill in his life before this or had any health problems, I should add. Then my aunt gets here and tells me that it’s spread and that they told him there is no cure and that he is terminal. I broke, there and then, there has never been a worse moment in my life. I rang my boyfriend to get home quickly as he was out, and he was back in 15 minutes,my aunt then left to tell my brother the news and I just broke down screaming and crying, can’t sleep I can’t eat and in general just can function or get my head round things at all. This time last week he was fine and there was nothing wrong, now in less then a week so many lives have been turned upside down. He has a three year old with his wife, he has two other children in their twenties, that’s me and my brother. All I keep saying is that it’s so unfair and cruel and so out of the blue. The doctors told him it’s just a case of bad luck and that the cancer was probably growing even before his knee pain started and it is fast spreading so there is probably nothing that could of stopped it. I am so broken and my dad (I saw him earlier) is trying to be strong and has a “it is what it is” mentality about the whole thing. They don’t know how long he has left and they need to run more tests but they haven’t put any sort of a Time on it, I think I would rather have a time then play this waiting game. I don’t know what else to say, if anyone has any advice on what I should do or how I cope with this please let me know. No one in  my family has had cancer before this and it’s just been so out of the blue. I feel like I’m drowning. 
Thanks for reading.</t>
        </is>
      </c>
      <c r="D1827" t="n">
        <v>11</v>
      </c>
      <c r="E1827" t="n">
        <v>13</v>
      </c>
      <c r="F1827">
        <f>HYPERLINK("https://www.reddit.com/r/cancer/comments/bct8fv/dad_just_got_diagnosed_with_terminal_cancer/")</f>
        <v/>
      </c>
      <c r="G1827" t="inlineStr">
        <is>
          <t>2019-04-13 11:00:07</t>
        </is>
      </c>
      <c r="H1827" t="inlineStr"/>
    </row>
    <row r="1828">
      <c r="A1828" t="inlineStr">
        <is>
          <t>bcuhv3</t>
        </is>
      </c>
      <c r="B1828" t="inlineStr">
        <is>
          <t>Survival Rates for Cancers that older people get skewed towards younger people</t>
        </is>
      </c>
      <c r="C1828" t="inlineStr">
        <is>
          <t>I wanted to ask all researchers, or patients out there how to skew survival rates for cancers that are usually for older people for a younger patient? When the American Cancer Society, or any other publication publish survival rates are they using age statistics?
&amp;amp;#x200B;
The reason I ask is because I was diagnosed with salivary gland cancer which on average happens to 65 year olds. I am 26. I cannot figure out a way to skew a survival rate for myself. I am a person who needs a number to keep the fight going, something to hold on to.</t>
        </is>
      </c>
      <c r="D1828" t="n">
        <v>1</v>
      </c>
      <c r="E1828" t="n">
        <v>0</v>
      </c>
      <c r="F1828">
        <f>HYPERLINK("https://www.reddit.com/r/cancer/comments/bcuhv3/survival_rates_for_cancers_that_older_people_get/")</f>
        <v/>
      </c>
      <c r="G1828" t="inlineStr">
        <is>
          <t>2019-04-13 12:54:23</t>
        </is>
      </c>
      <c r="H1828" t="inlineStr"/>
    </row>
    <row r="1829">
      <c r="A1829" t="inlineStr">
        <is>
          <t>bcw5yu</t>
        </is>
      </c>
      <c r="B1829" t="inlineStr">
        <is>
          <t>Doc didn’t taper me off prednisone and now I’m sitting in horrible pain</t>
        </is>
      </c>
      <c r="C1829" t="inlineStr">
        <is>
          <t>So I had surgery on 4/1 and 4/2.  4/1 was a balloon occlusion test and 4/2 was for biopsy mapping of my sphenoid sinus.  I’d been on prednisone for 7 weeks due to inflammation on my optic nerve that has caused vision loss.  I was on 2000mg/day for 5 days and then 80mg since.  My discharge orders were “continue 80mg/day for 11 days.”  I stopped taking them yesterday.  Last night I started getting terrible pains in my whole body and couldn’t walk.  It happened nearly instantly when my wife and I were on a walk.  I’m nearly falling over from the pain in my hips.  Shoulders, back, neck, knees, wrists all hurt.  Face is tingling.  Tinnitus is worse than ever.  My brother in law is a doctor and said, “You can’t just stop taking prednisone after that high of a dose for that long!”  I want to murder my surgeon.
Sorry for the complaint but nobody else I’m sitting with right now can understand and I haven’t posted in this sub in a long time.
I pray you all are having a better day than I.  I started back on the steroids and hope to feel somewhat better by the evening.</t>
        </is>
      </c>
      <c r="D1829" t="n">
        <v>8</v>
      </c>
      <c r="E1829" t="n">
        <v>14</v>
      </c>
      <c r="F1829">
        <f>HYPERLINK("https://www.reddit.com/r/cancer/comments/bcw5yu/doc_didnt_taper_me_off_prednisone_and_now_im/")</f>
        <v/>
      </c>
      <c r="G1829" t="inlineStr">
        <is>
          <t>2019-04-13 15:36:17</t>
        </is>
      </c>
      <c r="H1829" t="inlineStr"/>
    </row>
    <row r="1830">
      <c r="A1830" t="inlineStr">
        <is>
          <t>bcwm97</t>
        </is>
      </c>
      <c r="B1830" t="inlineStr">
        <is>
          <t>My mother just started chemo and today I did her haircut.</t>
        </is>
      </c>
      <c r="C1830" t="inlineStr">
        <is>
          <t>Today was the day I felt really bad. My parents dont spend a lot time together and I am scared my father would now even spend less, because of her hair loss (I hope not tho). I felt really bad when I was doing her hair and she was holding really hard not to cry in front of me. I want to make her really happy right now and I want to ask people who have survived or still battling cancer right now, what can be the present that would make her feel better or be happier.</t>
        </is>
      </c>
      <c r="D1830" t="n">
        <v>3</v>
      </c>
      <c r="E1830" t="n">
        <v>4</v>
      </c>
      <c r="F1830">
        <f>HYPERLINK("https://www.reddit.com/r/cancer/comments/bcwm97/my_mother_just_started_chemo_and_today_i_did_her/")</f>
        <v/>
      </c>
      <c r="G1830" t="inlineStr">
        <is>
          <t>2019-04-13 16:21:39</t>
        </is>
      </c>
      <c r="H1830" t="inlineStr"/>
    </row>
    <row r="1831">
      <c r="A1831" t="inlineStr">
        <is>
          <t>bcxav5</t>
        </is>
      </c>
      <c r="B1831" t="inlineStr">
        <is>
          <t>Has anyone used Reduced Glutathione as an antioxidant supplement to help alleviate chemo side effects?</t>
        </is>
      </c>
      <c r="C1831" t="inlineStr">
        <is>
          <t>Learned about Reduced Glutathione in course. It’s apparently suppose to be a great antioxidant particularly with heavy metals. Cisplatin, one of the chemo drugs my dad is on, contains platinum and I thought it might help a little bit. I know most supplements help minimally but I thought I would see if anyone had experience taking it.</t>
        </is>
      </c>
      <c r="D1831" t="n">
        <v>1</v>
      </c>
      <c r="E1831" t="n">
        <v>3</v>
      </c>
      <c r="F1831">
        <f>HYPERLINK("https://www.reddit.com/r/cancer/comments/bcxav5/has_anyone_used_reduced_glutathione_as_an/")</f>
        <v/>
      </c>
      <c r="G1831" t="inlineStr">
        <is>
          <t>2019-04-13 17:35:42</t>
        </is>
      </c>
      <c r="H1831" t="inlineStr"/>
    </row>
    <row r="1832">
      <c r="A1832" t="inlineStr">
        <is>
          <t>bcxn25</t>
        </is>
      </c>
      <c r="B1832" t="inlineStr">
        <is>
          <t>Pain in the end stages of cancer</t>
        </is>
      </c>
      <c r="C1832" t="inlineStr">
        <is>
          <t>I'm just wondering what I should do, I have stomach  cancer and in such a great deal of pain kinda just want it to be over . At 24 years old life finally took it's toll on me should I go through with the chemo or just ride it out till I die ? I mean it would only be 3 or 4 months tops before I'm gone , what path did you guys choose ? I mean i value life but i highly dought  I'd suffer the treatment anyways because i weighed 160 lbs and now only 94 lbs and declining :(</t>
        </is>
      </c>
      <c r="D1832" t="n">
        <v>11</v>
      </c>
      <c r="E1832" t="n">
        <v>20</v>
      </c>
      <c r="F1832">
        <f>HYPERLINK("https://www.reddit.com/r/cancer/comments/bcxn25/pain_in_the_end_stages_of_cancer/")</f>
        <v/>
      </c>
      <c r="G1832" t="inlineStr">
        <is>
          <t>2019-04-13 18:14:03</t>
        </is>
      </c>
      <c r="H1832" t="inlineStr"/>
    </row>
    <row r="1833">
      <c r="A1833" t="inlineStr">
        <is>
          <t>bcymx5</t>
        </is>
      </c>
      <c r="B1833" t="inlineStr">
        <is>
          <t>OMFG Seriously?</t>
        </is>
      </c>
      <c r="C1833" t="inlineStr">
        <is>
          <t>I need more tests and I hit critical mass for all of this ages ago.
I can't even look at my patient portal because I see all the tests I've had and doctors I've seen and then I feel like a hypochondriac even though cancer.</t>
        </is>
      </c>
      <c r="D1833" t="n">
        <v>21</v>
      </c>
      <c r="E1833" t="n">
        <v>12</v>
      </c>
      <c r="F1833">
        <f>HYPERLINK("https://www.reddit.com/r/cancer/comments/bcymx5/omfg_seriously/")</f>
        <v/>
      </c>
      <c r="G1833" t="inlineStr">
        <is>
          <t>2019-04-13 20:12:53</t>
        </is>
      </c>
      <c r="H1833" t="inlineStr"/>
    </row>
    <row r="1834">
      <c r="A1834" t="inlineStr">
        <is>
          <t>bczcyy</t>
        </is>
      </c>
      <c r="B1834" t="inlineStr">
        <is>
          <t>I have a question</t>
        </is>
      </c>
      <c r="C1834" t="inlineStr">
        <is>
          <t>I’ve been having head aches dizziness spasms pressure in the head cloudiness hard to think twitches fatigue drowsiness hard to sleep and bulging in the eye and some other stuff like always feeling like i need to throw up I looked up the symptoms and I might be jumping to conclusions but I could have a brain tumor is this likely should I go see a doctor this has been going on for almost two weeks</t>
        </is>
      </c>
      <c r="D1834" t="n">
        <v>1</v>
      </c>
      <c r="E1834" t="n">
        <v>3</v>
      </c>
      <c r="F1834">
        <f>HYPERLINK("https://www.reddit.com/r/cancer/comments/bczcyy/i_have_a_question/")</f>
        <v/>
      </c>
      <c r="G1834" t="inlineStr">
        <is>
          <t>2019-04-13 21:48:26</t>
        </is>
      </c>
      <c r="H1834" t="inlineStr"/>
    </row>
    <row r="1835">
      <c r="A1835" t="inlineStr">
        <is>
          <t>bd07js</t>
        </is>
      </c>
      <c r="B1835" t="inlineStr">
        <is>
          <t>Help needed, rare form of Ovarian Cancer</t>
        </is>
      </c>
      <c r="C1835" t="inlineStr">
        <is>
          <t>This post is in search to get some answers for a friend's sister who is suffering from a rare form of ovarian cancer. She is just 21 years old and her family has no clear answer or solution to this. They have done all kinds of test possible here in India, but with no luck here. I am hoping I find someone who can help them get out of this. Some experts from US are looking into this case as well but I am here on reddit just to get some more information that can help. (knowing the reddit community) 
&amp;amp;#x200B;
What am I looking for?
1. Connect us with some doctors/experts in this field who can help a friend in need (Any country) as there is no clear understanding of this case at the moment here
2. References to articles that can help us understand
&amp;amp;#x200B;
**Case Summary to date:**
* Admitted for cough, fever and breathlessness for 1 week on 24/02/2019
   * CT chest done on 25.02.2019 suggestive of right hilar and posterior necrotic mediastinal nodes with right middle lobe collapse &amp;amp; consolidation
   * Moderate right pleural effusion
* USG guided aspiration of the pleural fluid done, which was negative for Koch's on Gene expert and AFB culture study
* CT guided biopsy of the subcarinal lymph node done
   * HPE(Hinduja Hospital) - Possible primary thymic tumor
   * IHC profile is not that of lymphoma disorder or germ cell tumor
* PET scan was done on 16/03/2019
   * Report consistent with hypermetabolic conglomerate and discrete mediastinal adenopathy in keeping with nodal metastases.
   * Mild right pleural effusion
   * Hypermetabolic lesion in the right ovary (?drop metastasis)
   * No other active disease identified elsewhere in the body (PET report attached)
* Repeat CT guided biopsy of the right ovarian lesion was done on 13/03/2019
   * Report sent for Dr. Anita Borges opinion
   * HPE Report-High grade poorly differentiated carcinoma involving the subcarinal lymph node and ovary (both lesions of the same morphology)
   * On the upper side suggested upper gastrointestinal tract or pancreaticobiliary tree including the gall bladder for possible primary)
* Patient admitted to TMH (Tata Memorial Hospital, Mumbai) under Dr. Sudip Gupta on 28/03/2018 for further evaluation and chemotherapy
&amp;amp;#x200B;
I will keep updating this post with the progress of this case so that it remains accurate. Please share this with people who may have an idea or can help us/them navigate through this tough times better. 
&amp;amp;#x200B;
I'm not sure if I should attach the reports or link them here, can someone let me know in comments whether I can attach them here directly? For now, I can share all the medical reports if required via 'Messages' on reddit.
&amp;amp;#x200B;
PS: I don't have the best understanding of medicine and the terminologies. Apologies for that.
&amp;amp;#x200B;
**Hoping that the reddit community comes together and helps them get out of this.**</t>
        </is>
      </c>
      <c r="D1835" t="n">
        <v>2</v>
      </c>
      <c r="E1835" t="n">
        <v>0</v>
      </c>
      <c r="F1835">
        <f>HYPERLINK("https://www.reddit.com/r/cancer/comments/bd07js/help_needed_rare_form_of_ovarian_cancer/")</f>
        <v/>
      </c>
      <c r="G1835" t="inlineStr">
        <is>
          <t>2019-04-13 23:53:56</t>
        </is>
      </c>
      <c r="H1835" t="inlineStr"/>
    </row>
    <row r="1836">
      <c r="A1836" t="inlineStr">
        <is>
          <t>bd09s2</t>
        </is>
      </c>
      <c r="B1836" t="inlineStr">
        <is>
          <t>Help needed, rare form of Ovarian Cancer [F/21]</t>
        </is>
      </c>
      <c r="C1836" t="inlineStr">
        <is>
          <t xml:space="preserve"> 
This post is in search to get some answers for a friend's sister who is suffering from a rare form of ovarian cancer. She is just **21 years old** and the **primary is still unknown**. They have done all kinds of test possible here in India, but with no luck here. I am hoping I find someone who can help them get out of this. Some experts from US are looking into this case as well but I am here on reddit just to get some more information that can help. (knowing the reddit community)
What am I looking for?
1. Connect us with some doctors/experts in this field who can help a friend in need (Any country) as there is no clear understanding of this case at the moment here
2. References to articles that can help us understand
**Case Summary to date:** Metastates are in the lung and ovaries
* Admitted for cough, fever and breathlessness for 1 week on 24/02/2019  
   * CT chest done on 25.02.2019 suggestive of right hilar and posterior necrotic mediastinal nodes with right middle lobe collapse &amp;amp; consolidation
   * Moderate right pleural effusion
* USG guided aspiration of the pleural fluid done, which was negative for Koch's on Gene expert and AFB culture study
* CT guided biopsy of the subcarinal lymph node done  
   * HPE(Hinduja Hospital) - Possible primary thymic tumor
   * IHC profile is not that of lymphoma disorder or germ cell tumor
* PET scan was done on 16/03/2019  
   * Report consistent with hypermetabolic conglomerate and discrete mediastinal adenopathy in keeping with nodal metastases.
   * Mild right pleural effusion
   * Hypermetabolic lesion in the right ovary (?drop metastasis)
   * No other active disease identified elsewhere in the body (PET report attached)
* Repeat CT guided biopsy of the right ovarian lesion was done on 13/03/2019  
   * Report sent for Dr. Anita Borges opinion
   * HPE Report-High grade poorly differentiated carcinoma involving the subcarinal lymph node and ovary (both lesions of the same morphology)
   * On the upper side suggested upper gastrointestinal tract or pancreaticobiliary tree including the gall bladder for possible primary)
* Patient admitted to TMH (Tata Memorial Hospital, Mumbai) under Dr. Sudip Gupta on 28/03/2018 for further evaluation and chemotherapy
I will keep updating this post with the progress of this case so that it remains accurate. Please share this with people who may have an idea or can help us/them navigate through this tough times better.
I'm not sure if I should attach the reports or link them here, can someone let me know in comments whether I can attach them here directly? For now, I can share all the medical reports if required via 'Messages' on reddit.
PS: I don't have the best understanding of medicine and the terminologies. Apologies for that.
**Hoping that the reddit community comes together and helps them get out of this.**</t>
        </is>
      </c>
      <c r="D1836" t="n">
        <v>8</v>
      </c>
      <c r="E1836" t="n">
        <v>3</v>
      </c>
      <c r="F1836">
        <f>HYPERLINK("https://www.reddit.com/r/cancer/comments/bd09s2/help_needed_rare_form_of_ovarian_cancer_f21/")</f>
        <v/>
      </c>
      <c r="G1836" t="inlineStr">
        <is>
          <t>2019-04-14 00:04:11</t>
        </is>
      </c>
      <c r="H1836" t="inlineStr"/>
    </row>
    <row r="1837">
      <c r="A1837" t="inlineStr">
        <is>
          <t>bd09xc</t>
        </is>
      </c>
      <c r="B1837" t="inlineStr">
        <is>
          <t>I will host and take care of my best friend after surgery. Stage IV ovarian cancer.</t>
        </is>
      </c>
      <c r="C1837" t="inlineStr">
        <is>
          <t>My friend has no direct family, both parents died, she doesn't want to spend the recovery days with her aunt.   So here I am, preparing a guest room for a recovering patient that will go through a complete removal surgery and will stay with me for 3 weeks.  What should I expect?  What recommendations for care givers?  What should I prepare for a good comfort?  What crisis should I expect will happen? There's a chef at home,  so the menu can be really good as per doctor's advise.  Can she take some sun at the balcony? Can I take her for walks to the park?  Comments appreciated.</t>
        </is>
      </c>
      <c r="D1837" t="n">
        <v>30</v>
      </c>
      <c r="E1837" t="n">
        <v>35</v>
      </c>
      <c r="F1837">
        <f>HYPERLINK("https://www.reddit.com/r/cancer/comments/bd09xc/i_will_host_and_take_care_of_my_best_friend_after/")</f>
        <v/>
      </c>
      <c r="G1837" t="inlineStr">
        <is>
          <t>2019-04-14 00:04:53</t>
        </is>
      </c>
      <c r="H1837" t="inlineStr"/>
    </row>
    <row r="1838">
      <c r="A1838" t="inlineStr">
        <is>
          <t>bd1yo9</t>
        </is>
      </c>
      <c r="B1838" t="inlineStr">
        <is>
          <t>Received Diagnosis or Undergo Treatment? Please Contribute to our Research.</t>
        </is>
      </c>
      <c r="C1838" t="inlineStr">
        <is>
          <t>We are currently looking for people to take part in our research study at the University of Chester, UK, on daily functioning and psychological wellbeing in cancer patients.
Receiving a cancer diagnosis and all that comes after this can often be a distressing, worrying and confusing time. Our aim is to investigate how cancer has affected your daily functioning and emotional wellbeing. We are particularly interested in how this then affects decisions you make about your treatment. Our goal is to help others that might find themselves in your position in the future. To do this, we need your help.
Anyone who is over 16 years of age and been diagnosed with any type of cancer can take part.Unfortunately, this study isn't suitable for cancer survivors who completed their treatments. If you decide to take part, you will be asked to complete an online questionnaire that will take around 30 minutes to complete. You will be also asked whether you would like to participate in a phone or Skype interview at a later date, but you don’t have to agree to this to take part in the questionnaire study. While we hope that taking part will be a positive experience for you, we also understand that answering questions about your illness may be upsetting. You can always stop the questionnaire at any time. All your answers and data will be anonymous.
If you would like to take part, please click the following link. This will take you to the survey and study information sheet.
Link: [https://chester.onlinesurveys.ac.uk/reddit](https://chester.onlinesurveys.ac.uk/reddit)
Thank you,
David Budzynski, BSc (Hons)
MRes student conducting the research</t>
        </is>
      </c>
      <c r="D1838" t="n">
        <v>2</v>
      </c>
      <c r="E1838" t="n">
        <v>5</v>
      </c>
      <c r="F1838">
        <f>HYPERLINK("https://www.reddit.com/r/cancer/comments/bd1yo9/received_diagnosis_or_undergo_treatment_please/")</f>
        <v/>
      </c>
      <c r="G1838" t="inlineStr">
        <is>
          <t>2019-04-14 04:46:46</t>
        </is>
      </c>
      <c r="H1838" t="inlineStr"/>
    </row>
    <row r="1839">
      <c r="A1839" t="inlineStr">
        <is>
          <t>bd254d</t>
        </is>
      </c>
      <c r="B1839" t="inlineStr">
        <is>
          <t>Pancreatic cancer spread to the liver, 79 years old</t>
        </is>
      </c>
      <c r="C1839" t="inlineStr">
        <is>
          <t>I don't know if this is the right subreddit to ask this but I'm honestly desperate for a single thread of hope. My grandfather has been diagnosed with pancreatic cancer and it spread to his liver, the tumor is 25mm big and 3.5 years old, he's 79 and he'd been very healthy before it blocked his bile duct and he had to open it through a tube after experiencing fatigue lack of appetite and jaundice. All doctors say there is no hope and he has a max of 6 months to live. I know we're beyond seeking a cure but we're just looking for ways to slow the process down and maybe give him just a bit more time with us. Again I apologize if this is the wrong subreddit but I'm hoping for the existence of some sort of therapy that not many people know about that we might be able to go for. Thank you so much.</t>
        </is>
      </c>
      <c r="D1839" t="n">
        <v>6</v>
      </c>
      <c r="E1839" t="n">
        <v>10</v>
      </c>
      <c r="F1839">
        <f>HYPERLINK("https://www.reddit.com/r/cancer/comments/bd254d/pancreatic_cancer_spread_to_the_liver_79_years_old/")</f>
        <v/>
      </c>
      <c r="G1839" t="inlineStr">
        <is>
          <t>2019-04-14 05:12:06</t>
        </is>
      </c>
      <c r="H1839" t="inlineStr"/>
    </row>
    <row r="1840">
      <c r="A1840" t="inlineStr">
        <is>
          <t>bd379m</t>
        </is>
      </c>
      <c r="B1840" t="inlineStr">
        <is>
          <t>Myeloid Sarcoma with AML</t>
        </is>
      </c>
      <c r="C1840" t="inlineStr">
        <is>
          <t>Hi all. I posted a few days ago about my mom. Turns out she has myeloid sarcoma with AML. This was found in her reproductive system (right ovary, cervix, uterus, a fallopian tube).
From what I understand this is a very rare condition. There isn't much research. She still has to wait until the 23rd to see a specialist.
Has anyone been diagnosed with this?</t>
        </is>
      </c>
      <c r="D1840" t="n">
        <v>11</v>
      </c>
      <c r="E1840" t="n">
        <v>12</v>
      </c>
      <c r="F1840">
        <f>HYPERLINK("https://www.reddit.com/r/cancer/comments/bd379m/myeloid_sarcoma_with_aml/")</f>
        <v/>
      </c>
      <c r="G1840" t="inlineStr">
        <is>
          <t>2019-04-14 07:20:24</t>
        </is>
      </c>
      <c r="H1840" t="inlineStr"/>
    </row>
    <row r="1841">
      <c r="A1841" t="inlineStr">
        <is>
          <t>bd3iz4</t>
        </is>
      </c>
      <c r="B1841" t="inlineStr">
        <is>
          <t>Kidney Cancer - Radical nephrectomy post-op</t>
        </is>
      </c>
      <c r="C1841" t="inlineStr">
        <is>
          <t>My best friend is having a radical nephrectomy on Wednesday.   I live a long way from her and would like to send something to help her in recovery.   Can anyone tell me what sort of clothing is comfortable enough in the first few weeks?  Or, can you please help me with ideas as to what I can do.  The cancer was just discovered on this past Thursday and she is feeling overwhelmed (as am I).</t>
        </is>
      </c>
      <c r="D1841" t="n">
        <v>3</v>
      </c>
      <c r="E1841" t="n">
        <v>9</v>
      </c>
      <c r="F1841">
        <f>HYPERLINK("https://www.reddit.com/r/cancer/comments/bd3iz4/kidney_cancer_radical_nephrectomy_postop/")</f>
        <v/>
      </c>
      <c r="G1841" t="inlineStr">
        <is>
          <t>2019-04-14 07:54:06</t>
        </is>
      </c>
      <c r="H1841" t="inlineStr"/>
    </row>
    <row r="1842">
      <c r="A1842" t="inlineStr">
        <is>
          <t>bd6ir6</t>
        </is>
      </c>
      <c r="B1842" t="inlineStr">
        <is>
          <t>How important is age to a survival rate?</t>
        </is>
      </c>
      <c r="C1842" t="inlineStr">
        <is>
          <t>I have just been diagnosed with an extremely rare salivary gland cancer that occurs for men that are usually 65. I am 26.  
When they account for survival rates for ACS or cancer.net do they skew the results for account all ages?
In all honesty, for an aggressive cancer is being young a positive or negative thing, as I am hearing both sides of the coin 
Thank you,</t>
        </is>
      </c>
      <c r="D1842" t="n">
        <v>35</v>
      </c>
      <c r="E1842" t="n">
        <v>23</v>
      </c>
      <c r="F1842">
        <f>HYPERLINK("https://www.reddit.com/r/cancer/comments/bd6ir6/how_important_is_age_to_a_survival_rate/")</f>
        <v/>
      </c>
      <c r="G1842" t="inlineStr">
        <is>
          <t>2019-04-14 12:28:31</t>
        </is>
      </c>
      <c r="H1842" t="inlineStr"/>
    </row>
    <row r="1843">
      <c r="A1843" t="inlineStr">
        <is>
          <t>bd6uyl</t>
        </is>
      </c>
      <c r="B1843" t="inlineStr">
        <is>
          <t>Anyone get super nauseated on Folfox?</t>
        </is>
      </c>
      <c r="C1843" t="inlineStr">
        <is>
          <t>5FU was no big deal. Radiation was tough. Surgery did not tickle. But HOLY FUCK FOLFOX IS BAD. 
How do you eat? Sleep? Help plz.</t>
        </is>
      </c>
      <c r="D1843" t="n">
        <v>2</v>
      </c>
      <c r="E1843" t="n">
        <v>6</v>
      </c>
      <c r="F1843">
        <f>HYPERLINK("https://www.reddit.com/r/cancer/comments/bd6uyl/anyone_get_super_nauseated_on_folfox/")</f>
        <v/>
      </c>
      <c r="G1843" t="inlineStr">
        <is>
          <t>2019-04-14 12:59:17</t>
        </is>
      </c>
      <c r="H1843" t="inlineStr"/>
    </row>
    <row r="1844">
      <c r="A1844" t="inlineStr">
        <is>
          <t>bd6vsq</t>
        </is>
      </c>
      <c r="B1844" t="inlineStr">
        <is>
          <t>I feel my lymph node starting to come back</t>
        </is>
      </c>
      <c r="C1844" t="inlineStr">
        <is>
          <t>For context I’m 13 and about a year and a half ago I was diagnosed with stage 3 hadgekins lymphoma. I went through 4 rounds of chemo and 30 days of radiation. The lymph nodes were on my neck and at the end of treatment they were gone. 
Fast forward to yesterday i felt a little bump on my neck where the lymph nodes used to be. It is very small so I might wait to tell my doctor until April 25 when I go back. I probably should tell my parents now but I hate talking about my medical issues to anyone not on the Internet.  
Should I just tell them now or since I just noticed it yesterday and it’s only like 3mm should I wait until my appointment on the 25th.</t>
        </is>
      </c>
      <c r="D1844" t="n">
        <v>6</v>
      </c>
      <c r="E1844" t="n">
        <v>5</v>
      </c>
      <c r="F1844">
        <f>HYPERLINK("https://www.reddit.com/r/cancer/comments/bd6vsq/i_feel_my_lymph_node_starting_to_come_back/")</f>
        <v/>
      </c>
      <c r="G1844" t="inlineStr">
        <is>
          <t>2019-04-14 13:01:20</t>
        </is>
      </c>
      <c r="H1844" t="inlineStr"/>
    </row>
    <row r="1845">
      <c r="A1845" t="inlineStr">
        <is>
          <t>bd79ma</t>
        </is>
      </c>
      <c r="B1845" t="inlineStr">
        <is>
          <t>Feel like a freak?</t>
        </is>
      </c>
      <c r="C1845" t="inlineStr">
        <is>
          <t>I am currently going through breast reconstruction surgery due to cancer. I have had 6 failed attempts so far where skin from my back was used to make a breast, didn’t work so tried skin from stomach to create this latest attempt.  Due to having severe endometriosis I also had a full hysterectomy in my 20s.  I also broke both arms and needed approximately 20 reconstruction surgeries to get bones to heal. There is still a huge hole in one wrist but surgeries were doing more damage so itIs what it is.  Needless to say my body is a freaking mess omg surgery scars everywhere.  I feel like a freak of nature and cannot imagine anyone ever being attracted to me ever again. How the hell can I fix this? I’m super depressed and don’t really see the light at the end of the tunnel. Is it possible to reprogram my brain? So lost and confused 🤷‍♂️</t>
        </is>
      </c>
      <c r="D1845" t="n">
        <v>12</v>
      </c>
      <c r="E1845" t="n">
        <v>7</v>
      </c>
      <c r="F1845">
        <f>HYPERLINK("https://www.reddit.com/r/cancer/comments/bd79ma/feel_like_a_freak/")</f>
        <v/>
      </c>
      <c r="G1845" t="inlineStr">
        <is>
          <t>2019-04-14 13:36:36</t>
        </is>
      </c>
      <c r="H1845" t="inlineStr"/>
    </row>
    <row r="1846">
      <c r="A1846" t="inlineStr">
        <is>
          <t>bd79ri</t>
        </is>
      </c>
      <c r="B1846" t="inlineStr">
        <is>
          <t>My dad is having a good 2 weeks and im so proud of him</t>
        </is>
      </c>
      <c r="C1846" t="inlineStr">
        <is>
          <t>He's been fighting stage 4 cancer since December and since then its been a horrific journey. I moved home to help and am just at a loss as to what i should even be doing to help sometimes. He's in and our of hospital all the time, sometimes for over a week because the chemo fucks him so much. But the last 2 chemo sessions hes had havent sent him spiralling and im so proud of him. He's so strong! Such a badass, the good days are just so good and we're all learning to deal with the bad.</t>
        </is>
      </c>
      <c r="D1846" t="n">
        <v>1</v>
      </c>
      <c r="E1846" t="n">
        <v>1</v>
      </c>
      <c r="F1846">
        <f>HYPERLINK("https://www.reddit.com/r/cancer/comments/bd79ri/my_dad_is_having_a_good_2_weeks_and_im_so_proud/")</f>
        <v/>
      </c>
      <c r="G1846" t="inlineStr">
        <is>
          <t>2019-04-14 13:37:00</t>
        </is>
      </c>
      <c r="H1846" t="inlineStr"/>
    </row>
    <row r="1847">
      <c r="A1847" t="inlineStr">
        <is>
          <t>bd7pfc</t>
        </is>
      </c>
      <c r="B1847" t="inlineStr">
        <is>
          <t>Misdiagnosed Colon Cancer?</t>
        </is>
      </c>
      <c r="C1847" t="inlineStr">
        <is>
          <t>About 8 months ago, I had a FIT test that came back positive. I also had a lot of symptoms such as narrowing stool, persistent diarrhea as well as being very gassy all the time. I was referred to a specialist who proceeded to perform a colonoscopy. The diagnosis came back as internal hemorrhoids. He also told me I was cleared from ulcerative colitis.
I was super relieved, however, fast forward to today, I've still been having these symptoms. I've actually noticed that the caliber of my stool had became extremely thin. I haven't had a solid stool ever since the diagnosis (while it's not watery but it doesn't hold its shape).
My question is, how accurate is colonoscopy? Is it possible that the doctor misdiagnosed my condition? Should I get a 2nd opinion and go for another colonoscopy?
A little background about myself, I'm in my mid 20s, don't smoke, rarely drinks, exercise regularly, my diet consist of high fiber content (I've been more mindful of that since I've been getting these symptoms 8 months ago)</t>
        </is>
      </c>
      <c r="D1847" t="n">
        <v>1</v>
      </c>
      <c r="E1847" t="n">
        <v>0</v>
      </c>
      <c r="F1847">
        <f>HYPERLINK("https://www.reddit.com/r/cancer/comments/bd7pfc/misdiagnosed_colon_cancer/")</f>
        <v/>
      </c>
      <c r="G1847" t="inlineStr">
        <is>
          <t>2019-04-14 14:15:33</t>
        </is>
      </c>
      <c r="H1847" t="inlineStr"/>
    </row>
    <row r="1848">
      <c r="A1848" t="inlineStr">
        <is>
          <t>bddvnq</t>
        </is>
      </c>
      <c r="B1848" t="inlineStr">
        <is>
          <t>F*ck really</t>
        </is>
      </c>
      <c r="C1848" t="inlineStr">
        <is>
          <t>I just made one year remission.  I am normally quite positive about dealing with my "all things cancer" stuff.  Just started feeling good about my life in general then all kinds of weird pains started happening.  Pains in places that I didn't even feel pain in when I had surgery and radiation.  They happened suddenly and have not resolved on their own and enough time has gone by to be concerned.  So an ultrasound is scheduled and I can't believe I'm back here again so soon. Trying to be positive and not jump to conclusions since it could be anything.  Not going to lie, starting to feel scared.</t>
        </is>
      </c>
      <c r="D1848" t="n">
        <v>55</v>
      </c>
      <c r="E1848" t="n">
        <v>11</v>
      </c>
      <c r="F1848">
        <f>HYPERLINK("https://www.reddit.com/r/cancer/comments/bddvnq/fck_really/")</f>
        <v/>
      </c>
      <c r="G1848" t="inlineStr">
        <is>
          <t>2019-04-15 02:14:48</t>
        </is>
      </c>
      <c r="H1848" t="inlineStr"/>
    </row>
    <row r="1849">
      <c r="A1849" t="inlineStr">
        <is>
          <t>bdepgb</t>
        </is>
      </c>
      <c r="B1849" t="inlineStr">
        <is>
          <t>When touching my throat I feel a lump like when its swallen</t>
        </is>
      </c>
      <c r="C1849" t="inlineStr">
        <is>
          <t>But it's only on one side</t>
        </is>
      </c>
      <c r="D1849" t="n">
        <v>0</v>
      </c>
      <c r="E1849" t="n">
        <v>2</v>
      </c>
      <c r="F1849">
        <f>HYPERLINK("https://www.reddit.com/r/cancer/comments/bdepgb/when_touching_my_throat_i_feel_a_lump_like_when/")</f>
        <v/>
      </c>
      <c r="G1849" t="inlineStr">
        <is>
          <t>2019-04-15 04:09:27</t>
        </is>
      </c>
      <c r="H1849" t="inlineStr"/>
    </row>
    <row r="1850">
      <c r="A1850" t="inlineStr">
        <is>
          <t>bdf6l6</t>
        </is>
      </c>
      <c r="B1850" t="inlineStr">
        <is>
          <t>Cancer Survivor Blog</t>
        </is>
      </c>
      <c r="C1850" t="inlineStr">
        <is>
          <t>This girl I came across recently shares her cancer journey living with rare, untreatable cancer. She loves a holistically healthy lifestyle and shares everything she's learning with the community [https://jessicaolson.squarespace.com/](https://jessicaolson.squarespace.com/config/)</t>
        </is>
      </c>
      <c r="D1850" t="n">
        <v>1</v>
      </c>
      <c r="E1850" t="n">
        <v>0</v>
      </c>
      <c r="F1850">
        <f>HYPERLINK("https://www.reddit.com/r/cancer/comments/bdf6l6/cancer_survivor_blog/")</f>
        <v/>
      </c>
      <c r="G1850" t="inlineStr">
        <is>
          <t>2019-04-15 05:07:03</t>
        </is>
      </c>
      <c r="H1850" t="inlineStr"/>
    </row>
    <row r="1851">
      <c r="A1851" t="inlineStr">
        <is>
          <t>bdg45q</t>
        </is>
      </c>
      <c r="B1851" t="inlineStr">
        <is>
          <t>Struggling</t>
        </is>
      </c>
      <c r="C1851" t="inlineStr">
        <is>
          <t>My dad has terminal cancer. He lives overseas and we mostly communicate via messenger or phone calls. He knows we (my brother and I) are flying to visit him in May, but he hasn’t been responding to messages and I honestly don’t even know if he knows the exact dates were coming now. 
It’s so hard to not know. I’ve been kind of avoiding calling lately and I know I’m a coward for it. 
Radiation ruined his esophagus so he is still stuck on a tube feeding, and the cancer came back in his neck lymph node in an inoperable spot. He started a clinical chemo trial that’s taken a lot out of him, he’s on a lot of pain meds.
I’m scared. A year  back when I visited last, he could still eat, was going to start radiation for the first Tumor in his throat, and by now would be well on the way to recovery. He’s gone through so much.. 
I know once we get there it will be less scary. But no news from him is generally not good news. 
This just sucks.</t>
        </is>
      </c>
      <c r="D1851" t="n">
        <v>4</v>
      </c>
      <c r="E1851" t="n">
        <v>3</v>
      </c>
      <c r="F1851">
        <f>HYPERLINK("https://www.reddit.com/r/cancer/comments/bdg45q/struggling/")</f>
        <v/>
      </c>
      <c r="G1851" t="inlineStr">
        <is>
          <t>2019-04-15 06:41:49</t>
        </is>
      </c>
      <c r="H1851" t="inlineStr"/>
    </row>
    <row r="1852">
      <c r="A1852" t="inlineStr">
        <is>
          <t>bdgd7j</t>
        </is>
      </c>
      <c r="B1852" t="inlineStr">
        <is>
          <t>Ever feel like you've been cursed?</t>
        </is>
      </c>
      <c r="C1852" t="inlineStr">
        <is>
          <t>I was diagnosed with pancreatic cancer in August last year. I got lucky and was able to have surgery to remove it.  
I'm coming up on my first scan since the surgery and I'm really afraid of getting bad news. I just can't handle it right now. I really can't. My blood work came back all fucked up showing issues with my liver recently and that's not a good sign. The scan is April 30th.   
And this is just the way my life is. Ever since I moved out of the city and into a rural area, my life has been a living hell. It started with watching my grandfather die slowly and painfully, then my mother disowned me while I was taking care of my grandmother who was suffering from late stage alzheimer's. Then my boyfriend's father suddenly died from a heart attack. Then I started getting really sick but I ignored it and kept working shitty fast food management jobs.  
I flip flopped jobs for a while not realizing how sick I was. I descended so slowly into madness I couldn't even tell I had lost my mind. It was sleep apnea. I was very sleep deprived. I hallucinated. I was paranoid. I was always irritable. I had irregular heartbeats.  
Then I got treatment and the clouds parted for a moment and I felt okay for the first time in a while. Then I was diagnosed with cancer. Then I got Whipple which was nothing short of traumatizing. It was a very long recovery, about 5 months.   
As soon as I started getting better my relationship of 11 years started to crumble. Then just over this weekend something attacked and killed my beloved cat I've had for 13 years. Brutally killed. That animal was my only steady source of unconditional love and affection. Laugh if you want to, but finding his little battered body laying on the cold wet ground in the dark destroyed me worse than cancer ever could because I can't fix this. He's dead and it's my fault for letting him outside.  
I just feel dead inside. I'm getting really tired of hoping things will get better because there's a clear pattern emerging here. If I were superstitious, I'd say this hollow is cursed. But since I'm not, I believe this is they way a lot of people's lives are. It's just one pile of bullshit after the next with no break in between. Nature has no mercy. What's your story?</t>
        </is>
      </c>
      <c r="D1852" t="n">
        <v>13</v>
      </c>
      <c r="E1852" t="n">
        <v>6</v>
      </c>
      <c r="F1852">
        <f>HYPERLINK("https://www.reddit.com/r/cancer/comments/bdgd7j/ever_feel_like_youve_been_cursed/")</f>
        <v/>
      </c>
      <c r="G1852" t="inlineStr">
        <is>
          <t>2019-04-15 07:06:00</t>
        </is>
      </c>
      <c r="H1852" t="inlineStr"/>
    </row>
    <row r="1853">
      <c r="A1853" t="inlineStr">
        <is>
          <t>bdhoc3</t>
        </is>
      </c>
      <c r="B1853" t="inlineStr">
        <is>
          <t>First Time Poster</t>
        </is>
      </c>
      <c r="C1853" t="inlineStr">
        <is>
          <t>In January doctors confirmed my dad has Pancreatic Cancer. It came as a shock to me to as we never expect our dad's to get sick, let alone have the option of dying at such a young age. He's 55, lives a decently active lifestyle and eats okay. I feel so guilty as I haven't spent nearly enough time with him in my adult life so I want to show him that I am here for him in his time of need. 
Fast forward to now and he is just about to receive his 7th dose of chemo. The cancer has not spread so he is technically stage III. They want to shrink it a bit before they do any surgery so he has his 7th and 8th chemo visit and then doctors will decide what to do next. Most likely it will be radiation. 
I'm really terrified of losing my dad right now as I know pancreatic cancer is one of the worst. He has lost about 50lbs over the last few months and had his gallbladder removed do to complications of the cancer back in November. He was on the Keito diet for a while but he has lost so much weight. 
What I am asking for is just info on what I can do to help him. Maybe some positive stories to lift me up. What can he eat to help him gain weight? I've read that Cancer does better with sugar so that's why the Keito diet is always pushed with cancer patients.</t>
        </is>
      </c>
      <c r="D1853" t="n">
        <v>1</v>
      </c>
      <c r="E1853" t="n">
        <v>8</v>
      </c>
      <c r="F1853">
        <f>HYPERLINK("https://www.reddit.com/r/cancer/comments/bdhoc3/first_time_poster/")</f>
        <v/>
      </c>
      <c r="G1853" t="inlineStr">
        <is>
          <t>2019-04-15 08:59:34</t>
        </is>
      </c>
      <c r="H1853" t="inlineStr"/>
    </row>
    <row r="1854">
      <c r="A1854" t="inlineStr">
        <is>
          <t>bdhpzd</t>
        </is>
      </c>
      <c r="B1854" t="inlineStr">
        <is>
          <t>Opdivo/yervoy for melanoma</t>
        </is>
      </c>
      <c r="C1854" t="inlineStr">
        <is>
          <t>This will be my combo once I escape the hospital, anyone have any experience with this combo? Thank you!</t>
        </is>
      </c>
      <c r="D1854" t="n">
        <v>2</v>
      </c>
      <c r="E1854" t="n">
        <v>8</v>
      </c>
      <c r="F1854">
        <f>HYPERLINK("https://www.reddit.com/r/cancer/comments/bdhpzd/opdivoyervoy_for_melanoma/")</f>
        <v/>
      </c>
      <c r="G1854" t="inlineStr">
        <is>
          <t>2019-04-15 09:02:53</t>
        </is>
      </c>
      <c r="H1854" t="inlineStr"/>
    </row>
    <row r="1855">
      <c r="A1855" t="inlineStr">
        <is>
          <t>bdjliw</t>
        </is>
      </c>
      <c r="B1855" t="inlineStr">
        <is>
          <t>Well crap.....</t>
        </is>
      </c>
      <c r="C1855" t="inlineStr">
        <is>
          <t>Well I got the results back on my colonoscopy,  there is no cancer but over 50 or so polyps, my doc only removed three. So next up is an endoscopy to look for even more polyps. This is after I have my thyroid removed due to thyroid cancer. After the endoscopy the game plan is to remove my colon and rectum leaving me with a bag or a j pouch (unlikely but hopefully)... FML I'm 23 and now I'm looking into getting my tubes tied since this is all because of FAP on my father's side (he died at 46 with stage 4 colon cancer, found it when he was 35). I honestly don't know if I could live with an colostomy bag for the rest of my life...</t>
        </is>
      </c>
      <c r="D1855" t="n">
        <v>33</v>
      </c>
      <c r="E1855" t="n">
        <v>17</v>
      </c>
      <c r="F1855">
        <f>HYPERLINK("https://www.reddit.com/r/cancer/comments/bdjliw/well_crap/")</f>
        <v/>
      </c>
      <c r="G1855" t="inlineStr">
        <is>
          <t>2019-04-15 11:33:11</t>
        </is>
      </c>
      <c r="H1855" t="inlineStr"/>
    </row>
    <row r="1856">
      <c r="A1856" t="inlineStr">
        <is>
          <t>bdjwsx</t>
        </is>
      </c>
      <c r="B1856" t="inlineStr">
        <is>
          <t>Does cancer in early life mean cancer later on?</t>
        </is>
      </c>
      <c r="C1856" t="inlineStr">
        <is>
          <t>I’m in my mid-20s and I’ve just been diagnosed with seminoma. The tumor is huge but my prognosis is excellent and it didn’t originate in my scrotum, which is nice to say the least. I’ll be starting chemo and after a few rounds I should be good to go. 
What worries me is that if I have cancer now, I’ll definitely have cancer again in a few years. I’ve been lurking here a couple of times and a lot of comments I read are about “the first time I had cancer” or “here we go again”, etc. 
Is it normally the case that if you have cancer in early life you’ll have it again?</t>
        </is>
      </c>
      <c r="D1856" t="n">
        <v>3</v>
      </c>
      <c r="E1856" t="n">
        <v>5</v>
      </c>
      <c r="F1856">
        <f>HYPERLINK("https://www.reddit.com/r/cancer/comments/bdjwsx/does_cancer_in_early_life_mean_cancer_later_on/")</f>
        <v/>
      </c>
      <c r="G1856" t="inlineStr">
        <is>
          <t>2019-04-15 11:57:48</t>
        </is>
      </c>
      <c r="H1856" t="inlineStr"/>
    </row>
    <row r="1857">
      <c r="A1857" t="inlineStr">
        <is>
          <t>bdk1h5</t>
        </is>
      </c>
      <c r="B1857" t="inlineStr">
        <is>
          <t>Helpful apps/websites for family? Newly diagnosed lung cancer</t>
        </is>
      </c>
      <c r="C1857" t="inlineStr">
        <is>
          <t>Hey folks. My stepdad had a biopsy today on a 3x4cm lung mass and affected lymph node. Still waiting on the official "C word" diagnosis today, but his doctors are fairly certain this is it. (PET scan and MRIs pending)
Our family is ready to rally and do whatever we can to support my mom and stepdad through this. My mom has a tendency to send out large group texts with updates, but this gets very distracting during work and whatnot. Are there any apps that can help us organize? Ideally I'd like multiple (10+) people to be able to access the info, a calendar with appointments (so we know what's going on when), and maybe a place to put updates/messages. I read a bit about CaringBridge, but haven't found much else that allows you to update a group of people. Any suggestions?</t>
        </is>
      </c>
      <c r="D1857" t="n">
        <v>3</v>
      </c>
      <c r="E1857" t="n">
        <v>5</v>
      </c>
      <c r="F1857">
        <f>HYPERLINK("https://www.reddit.com/r/cancer/comments/bdk1h5/helpful_appswebsites_for_family_newly_diagnosed/")</f>
        <v/>
      </c>
      <c r="G1857" t="inlineStr">
        <is>
          <t>2019-04-15 12:07:58</t>
        </is>
      </c>
      <c r="H1857" t="inlineStr"/>
    </row>
    <row r="1858">
      <c r="A1858" t="inlineStr">
        <is>
          <t>bdlcau</t>
        </is>
      </c>
      <c r="B1858" t="inlineStr">
        <is>
          <t>My mom has chronic cancer</t>
        </is>
      </c>
      <c r="C1858" t="inlineStr">
        <is>
          <t>When I was 14 my mom was diagnosed with stage II ovarian cancer and had one major surgery to remove her ovaries as a result. It’s been almost 4 years since then and the cancer has recurred twice since. I’m 17 and absolutely terrified. The doctors say her condition is stable and both times they caught it returning it was due to a blood marker being slightly raised. It hasn’t metastasised, thank god, but the first recurrence did occur in a lymph node. I don’t think she has been restaged. Last Friday she told me that the doctors found another blood inflammation and that she had to start treatment again as a result (immunotherapy). It’s so heartbreaking to see her have to go through this again. As thankful as I am for the recurrences being so minor, I’m so terrified on losing my mother. I have no idea how long someone can actually live with reoccurring cancer. I’m so close to her. I have no siblings and my father and I can barely maintain a conversation. I’m going to be completely alone if she dies. I just want her to be able to be at my wedding one day and meet her grandkids. What makes it worse is the underlying fear of developing OC myself. I don’t have the BRCA gene or any mutations of that sort but I’m still really concerned. How do I cope with all of this?</t>
        </is>
      </c>
      <c r="D1858" t="n">
        <v>1</v>
      </c>
      <c r="E1858" t="n">
        <v>1</v>
      </c>
      <c r="F1858">
        <f>HYPERLINK("https://www.reddit.com/r/cancer/comments/bdlcau/my_mom_has_chronic_cancer/")</f>
        <v/>
      </c>
      <c r="G1858" t="inlineStr">
        <is>
          <t>2019-04-15 14:13:32</t>
        </is>
      </c>
      <c r="H1858" t="inlineStr"/>
    </row>
    <row r="1859">
      <c r="A1859" t="inlineStr">
        <is>
          <t>bdmg29</t>
        </is>
      </c>
      <c r="B1859" t="inlineStr">
        <is>
          <t>My mom.</t>
        </is>
      </c>
      <c r="C1859" t="inlineStr">
        <is>
          <t>I'm not sure if this is the right place to be but idk what else to do aside from dive deeper into a bottle. Ik, "don't do that, she needs you, your better than that, etc." I've heard it all before but right now that's all I want to do. Ik its selfish and it's not what she wants. I feel like such a piece of shit for even thinking about how I feel.
I know nothing about cancer aside from a few horror stories and what little I managed to force myself to Google. An hour ago I found out my mom has kidney cancer. From what I remember she said no chemo is needed and that it was caught pretty early but idk. I panicked, I couldn't even cry. Is that normal or am I just fucked up? When she told me she was getting the biopsy I cried like a baby but now nothing.
I'm not sure what to do, and even if I did idk if I have the will to do anything other than go through the motions. My mom is my only friend. I'm not saying that like if it came down to it I trust her the most (though I do). I mean I literally have no friends. I've struggled since high school but that's a different story and I don't want to make this about me.
I cant help but laugh at how hypocritical I sound reading this over. I've mentioned myself more than my mom who is the one who has to fight this. I thought I could handle this, that I was an adult. But all I can seem to do is distract myself and hide from it. I feel like such a whiny brat looking for attention. Idk what to do.</t>
        </is>
      </c>
      <c r="D1859" t="n">
        <v>1</v>
      </c>
      <c r="E1859" t="n">
        <v>0</v>
      </c>
      <c r="F1859">
        <f>HYPERLINK("https://www.reddit.com/r/cancer/comments/bdmg29/my_mom/")</f>
        <v/>
      </c>
      <c r="G1859" t="inlineStr">
        <is>
          <t>2019-04-15 15:50:19</t>
        </is>
      </c>
      <c r="H1859" t="inlineStr"/>
    </row>
    <row r="1860">
      <c r="A1860" t="inlineStr">
        <is>
          <t>bdnqyh</t>
        </is>
      </c>
      <c r="B1860" t="inlineStr">
        <is>
          <t>i think i might have throat cancer, what do i do??</t>
        </is>
      </c>
      <c r="C1860" t="inlineStr">
        <is>
          <t>18 year old male. i’m not sure if i’m just freaking out over nothing but i’ve had a persistent sore throat for almost 2 months now. it is difficult to swallow. i went to the doctor and they looked at me and said i was fine, it was probably just allergies. he gave me medicine to take, which has not helped at all. pollen season is almost over, and my throat soreness has still not gone away. i told my parents and they said to keep taking medicine and wait til all the pollen is gone. if it doesn’t go away, what should i do? if i go back to the urgent care doctor he will just tell me the same thing, and i don’t want to alarm my parents by telling them i’m worries i have cancer. am i overreacting? because if it is cancer i want to take care of it as soon as possible.</t>
        </is>
      </c>
      <c r="D1860" t="n">
        <v>0</v>
      </c>
      <c r="E1860" t="n">
        <v>2</v>
      </c>
      <c r="F1860">
        <f>HYPERLINK("https://www.reddit.com/r/cancer/comments/bdnqyh/i_think_i_might_have_throat_cancer_what_do_i_do/")</f>
        <v/>
      </c>
      <c r="G1860" t="inlineStr">
        <is>
          <t>2019-04-15 17:57:28</t>
        </is>
      </c>
      <c r="H1860" t="inlineStr"/>
    </row>
    <row r="1861">
      <c r="A1861" t="inlineStr">
        <is>
          <t>bdnyq5</t>
        </is>
      </c>
      <c r="B1861" t="inlineStr">
        <is>
          <t>First time I've cried</t>
        </is>
      </c>
      <c r="C1861" t="inlineStr">
        <is>
          <t>I was diagnosed with rectal cancer back in November 2018. Things have only gotten worse from a clinical stage of 2b to a pathology report of 3c. I've always been kind of a stoic guy. But tonight I cried my eyes out for the first time. I'm  overwhelmed. Bless all you going through this shit.</t>
        </is>
      </c>
      <c r="D1861" t="n">
        <v>83</v>
      </c>
      <c r="E1861" t="n">
        <v>32</v>
      </c>
      <c r="F1861">
        <f>HYPERLINK("https://www.reddit.com/r/cancer/comments/bdnyq5/first_time_ive_cried/")</f>
        <v/>
      </c>
      <c r="G1861" t="inlineStr">
        <is>
          <t>2019-04-15 18:18:33</t>
        </is>
      </c>
      <c r="H1861" t="inlineStr"/>
    </row>
    <row r="1862">
      <c r="A1862" t="inlineStr">
        <is>
          <t>bdofuw</t>
        </is>
      </c>
      <c r="B1862" t="inlineStr">
        <is>
          <t>Advice on what to give someone going through chemo</t>
        </is>
      </c>
      <c r="C1862" t="inlineStr">
        <is>
          <t>Hi, I'm looking for advice on good little gifts to send to my boyfriend's stepmom who is going through chemo. 
She had breast cancer about 4 years ago, and unfortunately we recently (about a month ago) found out the cancer returned quite aggressively. She's been going through chemo for a few weeks now and lost her hair. She has a really good job and they're pretty wealthy, so I don't want to get her something  that she could easily buy for herself; I'd rather get (or make--I can be pretty crafty) something thoughtful.
She lives in California and I live in Illinois, so whatever I'd send would have to be mailable!
If anyone has good examples of gifts they've given or received, I would be so grateful to hear them.</t>
        </is>
      </c>
      <c r="D1862" t="n">
        <v>1</v>
      </c>
      <c r="E1862" t="n">
        <v>4</v>
      </c>
      <c r="F1862">
        <f>HYPERLINK("https://www.reddit.com/r/cancer/comments/bdofuw/advice_on_what_to_give_someone_going_through_chemo/")</f>
        <v/>
      </c>
      <c r="G1862" t="inlineStr">
        <is>
          <t>2019-04-15 19:06:51</t>
        </is>
      </c>
      <c r="H1862" t="inlineStr"/>
    </row>
    <row r="1863">
      <c r="A1863" t="inlineStr">
        <is>
          <t>bdowep</t>
        </is>
      </c>
      <c r="B1863" t="inlineStr">
        <is>
          <t>How reliable are PET scans? Looking for any shred of hope.</t>
        </is>
      </c>
      <c r="C1863" t="inlineStr">
        <is>
          <t>Hi everyone.
16 months ago my mother was diagnosed with two simultaneous forms of rare endometrial cancer - clear cell and endometroid. Luckily it was stage 1a, radical hysterectomy and radiation followed. Unfortunately their was an error in the surgery and she suffered from internal bleeding, followed by clotting, and infection, and then a secondary C-DIFF infection which left her convalescing for 6 months.
In the process of healing her various hematoma, they discovered a node in her lung. One year to the day from the hysterectomy she had a lobectomy to remove an unrelated adenocarcinoma. 
Great luck, huh?
And as luck would have it that surgery was also botched and she has had complications. 
Prior to the lung surgery she had a PET scan. Nothing showed up. Not even the node in her lung which turned out to be cancer, but we were told it was too small. So, we felt comforted that hopefully this would be the end and no other tumors were out there. 
Well, since my mother’s last surgery she’s been feeling unwell. Belly distention, nausea, difficulty using the toilet. It’s gotten worse to the point she was having severe abdominal pain. She told her oncologist and she ordered a CT scan which apparently has shown abnormalities in her pelvis. We don’t know what these abnormalities are... we are talking with the doctor tomorrow, but we don’t have a good feeling about it based on how cagey the oncologist is being and that she said she had to “consult research” and get input from the gynecological oncology department. We were told initially that a recurrence of the endometrial confer in her case would likely prove terminal... so I’ve of course spent the entire night sobbing. 
Anyway... I keep coming back to the PET scan that was done just in January, so exactly three months ago. How good are PET scans at picking up cancers in the pelvis? I understand they may not pick up small cancers, but if there are tumors that are now visible on a CT scan that would lead me to believe if it is cancer it’s grown really, really quickly. In which case... I may just fall apart. 
I know none of you can read the future or give me comfort, and I’m NOT asking for you to tell me if this is cancer.... just curious if anyone has had a PET miss cancer? Are there types of cancer a PET won’t pick up but a CT scan will?</t>
        </is>
      </c>
      <c r="D1863" t="n">
        <v>1</v>
      </c>
      <c r="E1863" t="n">
        <v>5</v>
      </c>
      <c r="F1863">
        <f>HYPERLINK("https://www.reddit.com/r/cancer/comments/bdowep/how_reliable_are_pet_scans_looking_for_any_shred/")</f>
        <v/>
      </c>
      <c r="G1863" t="inlineStr">
        <is>
          <t>2019-04-15 19:55:14</t>
        </is>
      </c>
      <c r="H1863" t="inlineStr"/>
    </row>
    <row r="1864">
      <c r="A1864" t="inlineStr">
        <is>
          <t>bdpfdl</t>
        </is>
      </c>
      <c r="B1864" t="inlineStr">
        <is>
          <t>Toxic positivity regarding cancer</t>
        </is>
      </c>
      <c r="C1864" t="inlineStr">
        <is>
          <t>My dad has cancer, not me, but I get sick of the “just stay positive!” people. Everyone keeps asking how he’s doing and I feel a lot of pressure to say something “positive” because people get uncomfortable. But fuck that shit. He’s not on any treatments, he has brain and bone mets and has stage 4 cancer and this is the end stages. I don’t really have a lot of positive news to give them. It’s a good day if his pain is managed and he is able to eat more than a few bites of food. 
It feels like I’m supposed to be performing this positive attitude. Everyone keeps being like “I bet he was soooo glad to see (my newborn son)!!!!!” He barely even knows who my son is. I don’t even think he comprehends that it’s his grandchild. But I just smile and nod because god forbid they get uncomfortable with the idea of someone being sick and/or dying. 
Does anyone else feel like people expect a performance of positivity?</t>
        </is>
      </c>
      <c r="D1864" t="n">
        <v>1</v>
      </c>
      <c r="E1864" t="n">
        <v>1</v>
      </c>
      <c r="F1864">
        <f>HYPERLINK("https://www.reddit.com/r/cancer/comments/bdpfdl/toxic_positivity_regarding_cancer/")</f>
        <v/>
      </c>
      <c r="G1864" t="inlineStr">
        <is>
          <t>2019-04-15 20:55:05</t>
        </is>
      </c>
      <c r="H1864" t="inlineStr"/>
    </row>
    <row r="1865">
      <c r="A1865" t="inlineStr">
        <is>
          <t>bdqmof</t>
        </is>
      </c>
      <c r="B1865" t="inlineStr">
        <is>
          <t>Could anyone share their path to diagnosis for colon cancer?</t>
        </is>
      </c>
      <c r="C1865" t="inlineStr">
        <is>
          <t>I lost my mum to pancreatic cancer last summer, she was only 50. I’m 25. I was told due to her age there could be a genetic component (which apparently can make you more likely to develop various cancers, not just PC) so I should be very aware of any possible symptoms. I know I’m likely just paranoid because of this now but for the last few months I’ve had some unusual symptoms which continually point to possible colon cancer. Is anyone willing to share what it was that finally pushed them to see a doctor and was either diagnosed with colon cancer or had it ruled out?</t>
        </is>
      </c>
      <c r="D1865" t="n">
        <v>1</v>
      </c>
      <c r="E1865" t="n">
        <v>8</v>
      </c>
      <c r="F1865">
        <f>HYPERLINK("https://www.reddit.com/r/cancer/comments/bdqmof/could_anyone_share_their_path_to_diagnosis_for/")</f>
        <v/>
      </c>
      <c r="G1865" t="inlineStr">
        <is>
          <t>2019-04-15 23:30:08</t>
        </is>
      </c>
      <c r="H1865" t="inlineStr"/>
    </row>
    <row r="1866">
      <c r="A1866" t="inlineStr">
        <is>
          <t>bdqp7p</t>
        </is>
      </c>
      <c r="B1866" t="inlineStr">
        <is>
          <t>How cancer has taken everything from me. 36 stage IV running out the clock bout to lose a leg for fun too (vent)</t>
        </is>
      </c>
      <c r="C1866" t="inlineStr">
        <is>
          <t>I used to be a business owner. 36 years old.......A father a husband. A person. Now I am just this...thing. I have recently had to transistion to a wheelchair in anticipation of my upcoming surgery. I have failed 4 lines and had to interrupt my 5th (immunotherapy) 6 if you count the SBRT I fought the insurance to a state level appeal to get. It worked to well as I am now alive 5 months after they issued their hospice/BSC decision. I won't even get into detail with the failures and treatment mistakes involved in my journey from my whoops excision by a doc who watched a thing grow to 25cm from 5cm in my leg in 3 months and just hacked it up to false margins after resection. Wife and I broke under the stress. Recently reconciled but I am not dying in front of my 9 year old so I did not move back in.
&amp;amp;#x200B;
 I was out there raising awareness and travelling the country making lemons out of lemonade. then it came back in my leg. Took that one positive outlet from me. Left me bed ridden first, cane, then crutches then walker, now wheel chair
&amp;amp;#x200B;
I had re-irradiation and now my leg is literally beginning to fracture and bleed with irreversible non healing wounds  I have been cared for at top centers for sarcoma since Dec 2017 Dx
I am 36 years old and I am in unbearable pain at least 1/3rd of the day. on 90mg of Oxy 3x a day..pain is intractable, nothign controls it at times. Also on gabapentin. constant pain at 3-4 and sometimes at 8-10. I was going to move west to pursue death with dignity but I needed to train my wife to run the business and dig it out of debt so I stayed. Now I have waited to long. Though I did accomplish my goals and my family should be set in several ways maybe better then I could have set them up if I was around.
&amp;amp;#x200B;
I have STS Sarcoma. I have a malformed giant tumor over 36cm in height in my leg, I have stage IV to the lungs but still asyptomatic and growing slower then they expected. So they let me leg get this wild assuming I wouldn't be here. Yet here I am dragging a dead 30lb leg that is literally sapping all of my calories. Now even though I have 6 months or less left I have to get my leg ripped off or risk pain a uncontrollable outside of a sedative condition is a risk, I was gonna head west but figure 2 months to get someone to write the script for assisted death meds and hook up with hospice, new insurance etc my leg probably wouldnt make it and would have to get ripped off anyway when these cuts get infected or it fungates worst. Leg doesn't work. Is in constant pain, feels like its gonna burst. Tumors everywhere. Nightmare. 
&amp;amp;#x200B;
I will miss the avengers movie too even though I have seen everyone. I probably will die in the hospital. I do have to say I have bright spots, just found a handicapped friendly building to live in, have a care taker/signifcant other I have been with for a couple years that wants to take care of me, assisted death just legalized in my state though it don't start till august maybe I will make it and beat the worst yet. I wanted death with dignity so bad, to rob cancer of its final prize. Getting my family set was worth it though now I am getting a hemipelvectomy/hindquarter amputation for palliation...Then moving into the hospice program once and if I get out of this hospital.</t>
        </is>
      </c>
      <c r="D1866" t="n">
        <v>1</v>
      </c>
      <c r="E1866" t="n">
        <v>0</v>
      </c>
      <c r="F1866">
        <f>HYPERLINK("https://www.reddit.com/r/cancer/comments/bdqp7p/how_cancer_has_taken_everything_from_me_36_stage/")</f>
        <v/>
      </c>
      <c r="G1866" t="inlineStr">
        <is>
          <t>2019-04-15 23:39:36</t>
        </is>
      </c>
      <c r="H1866" t="inlineStr"/>
    </row>
    <row r="1867">
      <c r="A1867" t="inlineStr">
        <is>
          <t>bdqvtl</t>
        </is>
      </c>
      <c r="B1867" t="inlineStr">
        <is>
          <t>F*ck cancer</t>
        </is>
      </c>
      <c r="C1867" t="inlineStr">
        <is>
          <t>Last Tuesday my dad lost his fight against brain cancer. He was a rock, a fount of wisdom and full of humor; always ready to laugh. My mother has been caring for him with my help. It’s been a long road and a struggle for all of us. I’m feeling grief at the loss but relief that his pain is over and we are free to get our lives back together. Just want to put out a note of encouragement, be strong and be ready to love and support people going through le worst. 
Much aloha</t>
        </is>
      </c>
      <c r="D1867" t="n">
        <v>8</v>
      </c>
      <c r="E1867" t="n">
        <v>10</v>
      </c>
      <c r="F1867">
        <f>HYPERLINK("https://www.reddit.com/r/cancer/comments/bdqvtl/fck_cancer/")</f>
        <v/>
      </c>
      <c r="G1867" t="inlineStr">
        <is>
          <t>2019-04-16 00:04:46</t>
        </is>
      </c>
      <c r="H1867" t="inlineStr"/>
    </row>
    <row r="1868">
      <c r="A1868" t="inlineStr">
        <is>
          <t>bdru8t</t>
        </is>
      </c>
      <c r="B1868" t="inlineStr">
        <is>
          <t>Ideas for child fighting cancer</t>
        </is>
      </c>
      <c r="C1868" t="inlineStr">
        <is>
          <t>My friends son was just dx with childhood cancer.  What can I do to help.  The kiddo is starting infusion chemo. What can I send the family to help?</t>
        </is>
      </c>
      <c r="D1868" t="n">
        <v>1</v>
      </c>
      <c r="E1868" t="n">
        <v>5</v>
      </c>
      <c r="F1868">
        <f>HYPERLINK("https://www.reddit.com/r/cancer/comments/bdru8t/ideas_for_child_fighting_cancer/")</f>
        <v/>
      </c>
      <c r="G1868" t="inlineStr">
        <is>
          <t>2019-04-16 02:23:06</t>
        </is>
      </c>
      <c r="H1868" t="inlineStr"/>
    </row>
    <row r="1869">
      <c r="A1869" t="inlineStr">
        <is>
          <t>bdtqnn</t>
        </is>
      </c>
      <c r="B1869" t="inlineStr">
        <is>
          <t>Just learned: Renal Cell Carcinoma</t>
        </is>
      </c>
      <c r="C1869" t="inlineStr">
        <is>
          <t>I just learned (yesterday) that I likely have renal cell carcinoma, a tumor on my kidney.  I don't know much more than that; next doc visit is in 4 weeks.  We likely caught it early.  
I'm curious if anyone has advice or experience with this.  Thanks.</t>
        </is>
      </c>
      <c r="D1869" t="n">
        <v>3</v>
      </c>
      <c r="E1869" t="n">
        <v>8</v>
      </c>
      <c r="F1869">
        <f>HYPERLINK("https://www.reddit.com/r/cancer/comments/bdtqnn/just_learned_renal_cell_carcinoma/")</f>
        <v/>
      </c>
      <c r="G1869" t="inlineStr">
        <is>
          <t>2019-04-16 06:08:17</t>
        </is>
      </c>
      <c r="H1869" t="inlineStr"/>
    </row>
    <row r="1870">
      <c r="A1870" t="inlineStr">
        <is>
          <t>bdtrn4</t>
        </is>
      </c>
      <c r="B1870" t="inlineStr">
        <is>
          <t>At which point does one shave their head?</t>
        </is>
      </c>
      <c r="C1870" t="inlineStr">
        <is>
          <t>My hair before cancer was quite long (waist length) and thick. After 4 treatments I've lost about 3/4 of the thickness and my scalp is starting to show through pretty easily. So much so that wearing my hair up shows big parts if my scalp. I don't have any large bald spots so far, but I'm sure that time will come before long. At this stage I wear my hair up as to avoid finding annoying fallen hairs inside my shirts and all over my clothes.
I know there's probably an individual preference for when one decides to shave it. But I'd love to hear from those who decided to do the big chop.</t>
        </is>
      </c>
      <c r="D1870" t="n">
        <v>5</v>
      </c>
      <c r="E1870" t="n">
        <v>36</v>
      </c>
      <c r="F1870">
        <f>HYPERLINK("https://www.reddit.com/r/cancer/comments/bdtrn4/at_which_point_does_one_shave_their_head/")</f>
        <v/>
      </c>
      <c r="G1870" t="inlineStr">
        <is>
          <t>2019-04-16 06:10:54</t>
        </is>
      </c>
      <c r="H1870" t="inlineStr"/>
    </row>
    <row r="1871">
      <c r="A1871" t="inlineStr">
        <is>
          <t>bdufxj</t>
        </is>
      </c>
      <c r="B1871" t="inlineStr">
        <is>
          <t>3 years free!</t>
        </is>
      </c>
      <c r="C1871" t="inlineStr">
        <is>
          <t>I am 3 years cancer free today! I was diagnosed with melanoma when I was 19 and luckily the doctor caught it before it was able to spread to my lymph nodes. Melanoma is usually very treatable but it’s still terrifying, I have had spots removed over these 3 years but luckily they’ve all be false alarms. 
It’s still always in the back of my mind that it’s going to comeback because unfortunately I believe it’s genetic. All I can do is pray and trust.</t>
        </is>
      </c>
      <c r="D1871" t="n">
        <v>92</v>
      </c>
      <c r="E1871" t="n">
        <v>12</v>
      </c>
      <c r="F1871">
        <f>HYPERLINK("https://www.reddit.com/r/cancer/comments/bdufxj/3_years_free/")</f>
        <v/>
      </c>
      <c r="G1871" t="inlineStr">
        <is>
          <t>2019-04-16 07:15:25</t>
        </is>
      </c>
      <c r="H1871" t="inlineStr"/>
    </row>
    <row r="1872">
      <c r="A1872" t="inlineStr">
        <is>
          <t>bduv1r</t>
        </is>
      </c>
      <c r="B1872" t="inlineStr">
        <is>
          <t>Today is my parent’s wedding anniversary, but dad isn’t here for it.</t>
        </is>
      </c>
      <c r="C1872" t="inlineStr">
        <is>
          <t>My dad passed from Pancreatic cancer Oct. 26, 2018. He had approximately 7 weeks from diagnosis to his death. Today is my parent’s wedding anniversary and Saturday is dad’s birthday. I know my mom’s heart is breaking more than anyone else’s today. I honestly didn’t think that today would bug me so much but here I am crying. I guess I’m more sad for my mom than anything and just wish there was something I could do for her to make this easier. I didn’t post a ton when this was happening but when I did this sub was helpful. Fuck cancer.</t>
        </is>
      </c>
      <c r="D1872" t="n">
        <v>14</v>
      </c>
      <c r="E1872" t="n">
        <v>6</v>
      </c>
      <c r="F1872">
        <f>HYPERLINK("https://www.reddit.com/r/cancer/comments/bduv1r/today_is_my_parents_wedding_anniversary_but_dad/")</f>
        <v/>
      </c>
      <c r="G1872" t="inlineStr">
        <is>
          <t>2019-04-16 07:55:12</t>
        </is>
      </c>
      <c r="H1872" t="inlineStr"/>
    </row>
    <row r="1873">
      <c r="A1873" t="inlineStr">
        <is>
          <t>bduv9m</t>
        </is>
      </c>
      <c r="B1873" t="inlineStr">
        <is>
          <t>Stand Up For Cancer</t>
        </is>
      </c>
      <c r="C1873" t="inlineStr">
        <is>
          <t>My fraternity and I are raising money to directly help the American Cancer society today. As someone effected by it I wanted to reach out and ask for a donation. Thanks![Stand Up](https://www.crowdrise.com/o/en/campaign/stand-up-against-cancer4/matthewhawryluk)</t>
        </is>
      </c>
      <c r="D1873" t="n">
        <v>1</v>
      </c>
      <c r="E1873" t="n">
        <v>3</v>
      </c>
      <c r="F1873">
        <f>HYPERLINK("https://www.reddit.com/r/cancer/comments/bduv9m/stand_up_for_cancer/")</f>
        <v/>
      </c>
      <c r="G1873" t="inlineStr">
        <is>
          <t>2019-04-16 07:55:43</t>
        </is>
      </c>
      <c r="H1873" t="inlineStr"/>
    </row>
    <row r="1874">
      <c r="A1874" t="inlineStr">
        <is>
          <t>bdv06l</t>
        </is>
      </c>
      <c r="B1874" t="inlineStr">
        <is>
          <t>Going in to an Oral Cancer Screening I think its called a Barium Wash.</t>
        </is>
      </c>
      <c r="C1874" t="inlineStr">
        <is>
          <t>This will be the Update to my initial post where I was unsure if I should get tested or just allow time to take its course but I owe it to my wife and my Mother to know for certain. 
Ill be going in and Ill update with the news. 
The first time going in where I think the new may not be good, I cant get this sinking feeling in my stomach. I hope I don't cry during the process I don't deserve to cry for my actions and mistakes, but all I feel like doing is crying and screaming at my past self.</t>
        </is>
      </c>
      <c r="D1874" t="n">
        <v>2</v>
      </c>
      <c r="E1874" t="n">
        <v>9</v>
      </c>
      <c r="F1874">
        <f>HYPERLINK("https://www.reddit.com/r/cancer/comments/bdv06l/going_in_to_an_oral_cancer_screening_i_think_its/")</f>
        <v/>
      </c>
      <c r="G1874" t="inlineStr">
        <is>
          <t>2019-04-16 08:07:35</t>
        </is>
      </c>
      <c r="H1874" t="inlineStr"/>
    </row>
    <row r="1875">
      <c r="A1875" t="inlineStr">
        <is>
          <t>bdw631</t>
        </is>
      </c>
      <c r="B1875" t="inlineStr">
        <is>
          <t>Has anyone successfully conceived after chemo/radiation?</t>
        </is>
      </c>
      <c r="C1875" t="inlineStr">
        <is>
          <t>My (31/F) wife (also 31/F) went through treatment for Non-Hodgkins Lymphoma. Treatment included 6 rounds of R-CHOP and 20 radiation treatments to her chest. She has been in remission for 1.5 years. 
The effects of cancer hit her quick and preserving eggs was not an option before starting treatment. Her period returned after treatment so we were optimistic. We followed up with a fertility center and things went accordingly to planned. She became pregnant after the first insemination. Unfortunately, we lost the baby at 12 weeks. 
The miscarriage required surgery and left her hospitalized for 2 days. 
Before beginning the fertility visits, we agreed to try 3 rounds of insemination.  If they did not result in the birth of a child, we would pursue adoption. 
My concern is that each insemination could result in hospitalization and have a poor effect on her health. I’m worried that we may be putting undue stress on her body, physically and emotionally. 
Has anyone had a similar experience with more positive results?</t>
        </is>
      </c>
      <c r="D1875" t="n">
        <v>1</v>
      </c>
      <c r="E1875" t="n">
        <v>3</v>
      </c>
      <c r="F1875">
        <f>HYPERLINK("https://www.reddit.com/r/cancer/comments/bdw631/has_anyone_successfully_conceived_after/")</f>
        <v/>
      </c>
      <c r="G1875" t="inlineStr">
        <is>
          <t>2019-04-16 09:46:13</t>
        </is>
      </c>
      <c r="H1875" t="inlineStr"/>
    </row>
    <row r="1876">
      <c r="A1876" t="inlineStr">
        <is>
          <t>bdwmnr</t>
        </is>
      </c>
      <c r="B1876" t="inlineStr">
        <is>
          <t>Mom is very dizzy and falling</t>
        </is>
      </c>
      <c r="C1876" t="inlineStr">
        <is>
          <t>Stage 4 rectal melanoma with mets to lungs, liver, gallbladder, pancreas, adrenal gland. 
I'm not sure if she's so dizzy because she refuses to eat because she doesn't want to throw up anymore, or because something is going on with her brain. 
She has horrible diarrhea and has to rush to the bathroom and is frequently falling off the toilet. She refuses to let me or anyone else help. 
I am so scared I'm going to be out of the house and she will fall and severely hurt herself.
Advice?</t>
        </is>
      </c>
      <c r="D1876" t="n">
        <v>1</v>
      </c>
      <c r="E1876" t="n">
        <v>2</v>
      </c>
      <c r="F1876">
        <f>HYPERLINK("https://www.reddit.com/r/cancer/comments/bdwmnr/mom_is_very_dizzy_and_falling/")</f>
        <v/>
      </c>
      <c r="G1876" t="inlineStr">
        <is>
          <t>2019-04-16 10:24:44</t>
        </is>
      </c>
      <c r="H1876" t="inlineStr"/>
    </row>
    <row r="1877">
      <c r="A1877" t="inlineStr">
        <is>
          <t>bdwv32</t>
        </is>
      </c>
      <c r="B1877" t="inlineStr">
        <is>
          <t>An Old Friend - Stage IV - Should I Visit?</t>
        </is>
      </c>
      <c r="C1877" t="inlineStr">
        <is>
          <t>Nearly two years ago, someone who was once a big part of my life was diagnosed with stage 4 cancer. This young woman is someone I dated as a youth and for some parts of my life I felt that we would be together for the long haul. That was nearly 20 years ago now. I since have had little contact with her. I pleased to say that she married a man who appears to be her soulmate, has 3 kids who (from social media) appear to be doing great despite this illness.   
We are friends on social media and I've had direct conversations with her, told her how important she was in my life, and how happy I am that she is leading a full happy life. To be honest, I have been watching her journey from some distance. She is very open to talking about the disease, her journey, the great parts of her life, and her fears. If anything, I feel that social media has given me (and surely others) a closer view of her journey than could have happened in any prior era.  
My question is this: Should I try to visit my friend? I would like to see her and to have a face-to-face conversation, but I'm not sure that's what she or her family need. I know that should the worst happen, I would attend any service for her that would be open to me. I don't want to wait until she's either too sick or otherwise unable to have a visit from someone who only has fond memories of a wonderful person.
&amp;amp;#x200B;
I hope that this post will be met with thoughtful replies.</t>
        </is>
      </c>
      <c r="D1877" t="n">
        <v>10</v>
      </c>
      <c r="E1877" t="n">
        <v>11</v>
      </c>
      <c r="F1877">
        <f>HYPERLINK("https://www.reddit.com/r/cancer/comments/bdwv32/an_old_friend_stage_iv_should_i_visit/")</f>
        <v/>
      </c>
      <c r="G1877" t="inlineStr">
        <is>
          <t>2019-04-16 10:44:53</t>
        </is>
      </c>
      <c r="H1877" t="inlineStr"/>
    </row>
    <row r="1878">
      <c r="A1878" t="inlineStr">
        <is>
          <t>bdx0o4</t>
        </is>
      </c>
      <c r="B1878" t="inlineStr">
        <is>
          <t>Global Challenge Idea Showcase and Competition on May 15</t>
        </is>
      </c>
      <c r="C1878" t="inlineStr">
        <is>
          <t>Ten finalists have been selected in the Global Challenge to Prevent Breast Cancer, sponsored by the California Breast Cancer Research  Program (CBCRP) to surface transformative primary prevention breast  cancer research ideas. On May 15, the finalists will present their  cutting-edge research ideas before a live audience in San Francisco at  the Idea Showcase and Competition. A Selection Committee of respected  researchers and advocates will judge the presentations and choose two  Grand Prize winners at the event. CBCRP will also present an Audience  Choice Award — we need your vote! To register for this exciting event or  to view the livestream, go to [topreventbreastcancer.eventbrite.com](https://topreventbreastcancer.eventbrite.com). To learn more about the challenge, go to [ToPreventBreastCancer.org](http://ToPreventBreastCancer.org).</t>
        </is>
      </c>
      <c r="D1878" t="n">
        <v>1</v>
      </c>
      <c r="E1878" t="n">
        <v>0</v>
      </c>
      <c r="F1878">
        <f>HYPERLINK("https://www.reddit.com/r/cancer/comments/bdx0o4/global_challenge_idea_showcase_and_competition_on/")</f>
        <v/>
      </c>
      <c r="G1878" t="inlineStr">
        <is>
          <t>2019-04-16 10:58:12</t>
        </is>
      </c>
      <c r="H1878" t="inlineStr"/>
    </row>
    <row r="1879">
      <c r="A1879" t="inlineStr">
        <is>
          <t>bdxsos</t>
        </is>
      </c>
      <c r="B1879" t="inlineStr">
        <is>
          <t>Cancer blood</t>
        </is>
      </c>
      <c r="C1879" t="inlineStr">
        <is>
          <t>If someone with cancer while serving you food accidentally gets some of his blood in your food and you eat it, is there change you could get the cancer?</t>
        </is>
      </c>
      <c r="D1879" t="n">
        <v>0</v>
      </c>
      <c r="E1879" t="n">
        <v>10</v>
      </c>
      <c r="F1879">
        <f>HYPERLINK("https://www.reddit.com/r/cancer/comments/bdxsos/cancer_blood/")</f>
        <v/>
      </c>
      <c r="G1879" t="inlineStr">
        <is>
          <t>2019-04-16 12:04:33</t>
        </is>
      </c>
      <c r="H1879" t="inlineStr"/>
    </row>
    <row r="1880">
      <c r="A1880" t="inlineStr">
        <is>
          <t>bdxuu5</t>
        </is>
      </c>
      <c r="B1880" t="inlineStr">
        <is>
          <t>Chemo and tattoos</t>
        </is>
      </c>
      <c r="C1880" t="inlineStr">
        <is>
          <t>Probably been asked a lot, so sorry for the repost. 
Just wondering what your stories for chemo and tattoos are. Iv got skin cancer and I have a multiple tattoos most worried about my two selves one is black and grey and the other is full colour. 
What effect if any did the chemo have on your tattoos 
Thanks</t>
        </is>
      </c>
      <c r="D1880" t="n">
        <v>1</v>
      </c>
      <c r="E1880" t="n">
        <v>8</v>
      </c>
      <c r="F1880">
        <f>HYPERLINK("https://www.reddit.com/r/cancer/comments/bdxuu5/chemo_and_tattoos/")</f>
        <v/>
      </c>
      <c r="G1880" t="inlineStr">
        <is>
          <t>2019-04-16 12:09:23</t>
        </is>
      </c>
      <c r="H1880" t="inlineStr"/>
    </row>
    <row r="1881">
      <c r="A1881" t="inlineStr">
        <is>
          <t>bdyywk</t>
        </is>
      </c>
      <c r="B1881" t="inlineStr">
        <is>
          <t>Mom just finished her mastectomy and lymph removal. She's feeling bummed, what can i do?</t>
        </is>
      </c>
      <c r="C1881" t="inlineStr">
        <is>
          <t>She is cancer free and will be doing radiation. She is also in a research study and will continuously be monitored for the rest of her life. However she's feeling bummed out about everything and I don't know how I can make her feel better. Any tips? (I'm a daughter if that helps)</t>
        </is>
      </c>
      <c r="D1881" t="n">
        <v>1</v>
      </c>
      <c r="E1881" t="n">
        <v>1</v>
      </c>
      <c r="F1881">
        <f>HYPERLINK("https://www.reddit.com/r/cancer/comments/bdyywk/mom_just_finished_her_mastectomy_and_lymph/")</f>
        <v/>
      </c>
      <c r="G1881" t="inlineStr">
        <is>
          <t>2019-04-16 13:45:19</t>
        </is>
      </c>
      <c r="H1881" t="inlineStr"/>
    </row>
    <row r="1882">
      <c r="A1882" t="inlineStr">
        <is>
          <t>bdzn9g</t>
        </is>
      </c>
      <c r="B1882" t="inlineStr">
        <is>
          <t>ALL Hairloss</t>
        </is>
      </c>
      <c r="C1882" t="inlineStr">
        <is>
          <t>Hey gang! I see every now and then some sad posts about people who are having trouble parting ways with their hair. I feel it. Just wanted to bring something positive (&amp;amp; hopefully some laughs) to the table....ITS SUMMER!!! 
As an Hispanic woman this is freaking exciting for me. My armpit hair is like peach fuzz 🤤  if anyone here lives in the So-Cal area and owns a pool pleeeeeeeese do not hesitate to hit me up, I’ll be on my way ASAP 🚗 💨
Also, anyone diagnosed with ALL experience full body hairloss?</t>
        </is>
      </c>
      <c r="D1882" t="n">
        <v>21</v>
      </c>
      <c r="E1882" t="n">
        <v>9</v>
      </c>
      <c r="F1882">
        <f>HYPERLINK("https://www.reddit.com/r/cancer/comments/bdzn9g/all_hairloss/")</f>
        <v/>
      </c>
      <c r="G1882" t="inlineStr">
        <is>
          <t>2019-04-16 14:44:25</t>
        </is>
      </c>
      <c r="H1882" t="inlineStr"/>
    </row>
    <row r="1883">
      <c r="A1883" t="inlineStr">
        <is>
          <t>be0ai6</t>
        </is>
      </c>
      <c r="B1883" t="inlineStr">
        <is>
          <t>Its 6 months to a year now for my mom</t>
        </is>
      </c>
      <c r="C1883" t="inlineStr">
        <is>
          <t>We just found out today and I don’t really have anyone to just tell, so I am posting here to kinda just shout into the void. The liquid around her heart and lungs is cancerous. They cant do anything more because her body is too weak. He said she needs to just rest for 6 months and if she gets stronger in that time we can go back on sutent. Until then there are just no other options. She has to rest and ‘at least its slow growing’. I just am so angry and scared and heartbroken and all of these emotions. He has a little hope still...but its not too good.
I guess for the first time Im coming to terms with the fact that my mom doesn’t just have cancer, but shes dying from cancer.</t>
        </is>
      </c>
      <c r="D1883" t="n">
        <v>12</v>
      </c>
      <c r="E1883" t="n">
        <v>4</v>
      </c>
      <c r="F1883">
        <f>HYPERLINK("https://www.reddit.com/r/cancer/comments/be0ai6/its_6_months_to_a_year_now_for_my_mom/")</f>
        <v/>
      </c>
      <c r="G1883" t="inlineStr">
        <is>
          <t>2019-04-16 15:43:09</t>
        </is>
      </c>
      <c r="H1883" t="inlineStr"/>
    </row>
    <row r="1884">
      <c r="A1884" t="inlineStr">
        <is>
          <t>be0hx0</t>
        </is>
      </c>
      <c r="B1884" t="inlineStr">
        <is>
          <t>Hospice, How does it work?</t>
        </is>
      </c>
      <c r="C1884" t="inlineStr">
        <is>
          <t>So I'm in remission from AML, but I have a very complicated version I suppose of GVHD.  I don't display typically.  I had grade skin 4 rash which should have meant massive organ failure and death but no organ involvement.  I'm still on suppressant medication which my body refuses to maintain therapeutic doses.  Jakfafi and Tacro, Lung function declines each visit I can't even complete a pulmonary function test.  This Thursday will likely result in a biopsy and back on prednisone which is not my friend.  I immediately become diabetic and my teeth are utterly sensitive to cold.  I have to drink hot water, microwave salads, no sugar or carbs in any form.  Took almost a year to get off of last time.  They put me back on fluconaazole as an anti-fungal but it's the least protective.  Vori gave me neurotoxicity which nearly killed me put my tacro level at 40.  Fucked up my kidneys, potassium level and q wave.  The other option is Cresesmba which is not given unless you are admitted and dying of pneumonia.
I'm developing increasing signs and symptoms of neuropathy.  Which can't actually be cured.  I lost my place because of black mold and now get to live with my parents for life.  I do have the option of stopping treatment and I'm very close to making that decision.  For me it's a quality of life issue, not quantity.  This isn't one
To my knowledge they just dose you with morphine and basically let you starve to death.  Problem ia I'm immune to opioid class drugs and benzos.  Fentantyl is like water.  Ketamine can put me out but I don't know if they give that.  So can someone explain how hospice works?</t>
        </is>
      </c>
      <c r="D1884" t="n">
        <v>3</v>
      </c>
      <c r="E1884" t="n">
        <v>8</v>
      </c>
      <c r="F1884">
        <f>HYPERLINK("https://www.reddit.com/r/cancer/comments/be0hx0/hospice_how_does_it_work/")</f>
        <v/>
      </c>
      <c r="G1884" t="inlineStr">
        <is>
          <t>2019-04-16 16:03:04</t>
        </is>
      </c>
      <c r="H1884" t="inlineStr"/>
    </row>
    <row r="1885">
      <c r="A1885" t="inlineStr">
        <is>
          <t>be0nd3</t>
        </is>
      </c>
      <c r="B1885" t="inlineStr">
        <is>
          <t>Telling my dad with cancer things</t>
        </is>
      </c>
      <c r="C1885" t="inlineStr">
        <is>
          <t>I have the hardest time telling my dad something cant be done. For example he asked to get a app on his kindle and it’s not available on there and I just get awful telling him that. Why do I feel like a terrible person when telling my dad things like that. I’m afraid to talk to him sometimes because I don’t want to disappoint him more. I just need help with figuring out a way of looking at things like this differently</t>
        </is>
      </c>
      <c r="D1885" t="n">
        <v>10</v>
      </c>
      <c r="E1885" t="n">
        <v>5</v>
      </c>
      <c r="F1885">
        <f>HYPERLINK("https://www.reddit.com/r/cancer/comments/be0nd3/telling_my_dad_with_cancer_things/")</f>
        <v/>
      </c>
      <c r="G1885" t="inlineStr">
        <is>
          <t>2019-04-16 16:17:46</t>
        </is>
      </c>
      <c r="H1885" t="inlineStr"/>
    </row>
    <row r="1886">
      <c r="A1886" t="inlineStr">
        <is>
          <t>be0xhm</t>
        </is>
      </c>
      <c r="B1886" t="inlineStr">
        <is>
          <t>Lasted to retirement</t>
        </is>
      </c>
      <c r="C1886" t="inlineStr">
        <is>
          <t>Made it to 6 years clean on Valentine’s day. Decided to retire at 66 that month. I made it through two surgeries and 60 grays of radiation in a golf ball sized volume in my head. During the 6 weeks of radiation, I was on nearly 3 grams/day of gabapentin. I also rode 75 miles/week, if only out of sheer terror. The riding helped me expel the crud from surgery/radiation. My immune system was also revved up, helping me stay clean. Age and cumulative impact of radiation now make cycling tough. I really want to do more miles. My consolation is the line, “The older we get, the faster we were.” Happy to be here, just wishing I could do more bike time.</t>
        </is>
      </c>
      <c r="D1886" t="n">
        <v>33</v>
      </c>
      <c r="E1886" t="n">
        <v>5</v>
      </c>
      <c r="F1886">
        <f>HYPERLINK("https://www.reddit.com/r/cancer/comments/be0xhm/lasted_to_retirement/")</f>
        <v/>
      </c>
      <c r="G1886" t="inlineStr">
        <is>
          <t>2019-04-16 16:45:07</t>
        </is>
      </c>
      <c r="H1886" t="inlineStr"/>
    </row>
    <row r="1887">
      <c r="A1887" t="inlineStr">
        <is>
          <t>be14dd</t>
        </is>
      </c>
      <c r="B1887" t="inlineStr">
        <is>
          <t>Hair loss and “regrowth” aftertastes TBI radiotherapy.</t>
        </is>
      </c>
      <c r="C1887" t="inlineStr">
        <is>
          <t>Hi guys, next week I’m undergoing stem cell transplant and as conditioning for it I’m receiving chemotherapy and TBI (radiotherapy). My question is, how long does it take for hair to start falling out after TBI and when do they usually start regrowing. I’ve never had radio, and usually 2-3 weeks after last dose of chemo my hair started to regrow. It would be great if those of you guys who had TBI could leave me some feedback. Thanks!</t>
        </is>
      </c>
      <c r="D1887" t="n">
        <v>1</v>
      </c>
      <c r="E1887" t="n">
        <v>0</v>
      </c>
      <c r="F1887">
        <f>HYPERLINK("https://www.reddit.com/r/cancer/comments/be14dd/hair_loss_and_regrowth_aftertastes_tbi/")</f>
        <v/>
      </c>
      <c r="G1887" t="inlineStr">
        <is>
          <t>2019-04-16 17:04:04</t>
        </is>
      </c>
      <c r="H1887" t="inlineStr"/>
    </row>
    <row r="1888">
      <c r="A1888" t="inlineStr">
        <is>
          <t>be1jm0</t>
        </is>
      </c>
      <c r="B1888" t="inlineStr">
        <is>
          <t>ESA while in Remission</t>
        </is>
      </c>
      <c r="C1888" t="inlineStr">
        <is>
          <t>Not too sure if this would be the place to ask but I’m currently in remission and I’ve had my dog, a cockapoo specifically, since I have completed treatment. My dog has provided emotional support for me during mental break downs, anxiety attacks induced by scanxiety and any type of stress I’ve endured. Would my situation allow for my dog to qualify as an ESA?</t>
        </is>
      </c>
      <c r="D1888" t="n">
        <v>3</v>
      </c>
      <c r="E1888" t="n">
        <v>1</v>
      </c>
      <c r="F1888">
        <f>HYPERLINK("https://www.reddit.com/r/cancer/comments/be1jm0/esa_while_in_remission/")</f>
        <v/>
      </c>
      <c r="G1888" t="inlineStr">
        <is>
          <t>2019-04-16 17:45:53</t>
        </is>
      </c>
      <c r="H1888" t="inlineStr"/>
    </row>
    <row r="1889">
      <c r="A1889" t="inlineStr">
        <is>
          <t>be260s</t>
        </is>
      </c>
      <c r="B1889" t="inlineStr">
        <is>
          <t>Did anyone else go to CancerCon?</t>
        </is>
      </c>
      <c r="C1889" t="inlineStr">
        <is>
          <t>I spent most of last week in Denver attending [CancerCon](https://stupidcancer.org/events/cancercon/).  It was a 4 day convention all for Adolescent and Young Adult Cancer.  
I had a magical time.  Being around other people who are going through what you are is invaluable.
Community is greater than isolation</t>
        </is>
      </c>
      <c r="D1889" t="n">
        <v>9</v>
      </c>
      <c r="E1889" t="n">
        <v>8</v>
      </c>
      <c r="F1889">
        <f>HYPERLINK("https://www.reddit.com/r/cancer/comments/be260s/did_anyone_else_go_to_cancercon/")</f>
        <v/>
      </c>
      <c r="G1889" t="inlineStr">
        <is>
          <t>2019-04-16 18:47:56</t>
        </is>
      </c>
      <c r="H1889" t="inlineStr"/>
    </row>
    <row r="1890">
      <c r="A1890" t="inlineStr">
        <is>
          <t>be2xnp</t>
        </is>
      </c>
      <c r="B1890" t="inlineStr">
        <is>
          <t>Can I still be intimate, kiss and touch my partner that has just had chemotherapy</t>
        </is>
      </c>
      <c r="C1890" t="inlineStr">
        <is>
          <t>My partner has just had her first round of treatment, she will have it 5 days a week for 54 weeks - with a few breaks in the middle.
We are just wondering to what extent can we be intimate, if we can kiss, and if we can touch? If so is there a certain amount of time after the chemotherapy has been put in that we cannot be in contact?
Thankyou in advance</t>
        </is>
      </c>
      <c r="D1890" t="n">
        <v>4</v>
      </c>
      <c r="E1890" t="n">
        <v>12</v>
      </c>
      <c r="F1890">
        <f>HYPERLINK("https://www.reddit.com/r/cancer/comments/be2xnp/can_i_still_be_intimate_kiss_and_touch_my_partner/")</f>
        <v/>
      </c>
      <c r="G1890" t="inlineStr">
        <is>
          <t>2019-04-16 20:07:28</t>
        </is>
      </c>
      <c r="H1890" t="inlineStr"/>
    </row>
    <row r="1891">
      <c r="A1891" t="inlineStr">
        <is>
          <t>be3e8l</t>
        </is>
      </c>
      <c r="B1891" t="inlineStr">
        <is>
          <t>Anyone with advice on sentinel lymph node biopsy?</t>
        </is>
      </c>
      <c r="C1891" t="inlineStr">
        <is>
          <t>Hey all, new here (unfortunately). I just had a wide excision of what is likely melanoma on my scalp, and now that that’s healed, I’m going to have to have a sentinel lymph node biopsy to make sure it hasn’t spread. I’ve looked up the procedure and I understand how it works, but does anyone have any experience with it? I’m curious about pain levels, patient experience, things like that. My doctor said I’d have to sit around for eight hours while the dye reached my lymph nodes, and that I could be back in school (I’m 21, graduating college in a month) the next day- does that sound right to y’all? Thanks, and I hope you’re all doing well.</t>
        </is>
      </c>
      <c r="D1891" t="n">
        <v>11</v>
      </c>
      <c r="E1891" t="n">
        <v>3</v>
      </c>
      <c r="F1891">
        <f>HYPERLINK("https://www.reddit.com/r/cancer/comments/be3e8l/anyone_with_advice_on_sentinel_lymph_node_biopsy/")</f>
        <v/>
      </c>
      <c r="G1891" t="inlineStr">
        <is>
          <t>2019-04-16 21:00:15</t>
        </is>
      </c>
      <c r="H1891" t="inlineStr"/>
    </row>
    <row r="1892">
      <c r="A1892" t="inlineStr">
        <is>
          <t>be4twi</t>
        </is>
      </c>
      <c r="B1892" t="inlineStr">
        <is>
          <t>My uncle is dying of liver cancer how do i stop it?</t>
        </is>
      </c>
      <c r="C1892" t="inlineStr">
        <is>
          <t>Today is the 1st year anniversary since he got diagnosed, i've lose hope on immunetherapy on saving him. Last scan shows the tumor had spread from the liver to adrenal glands. 
The ascites is getting very bad, and he's in a lot of pain.</t>
        </is>
      </c>
      <c r="D1892" t="n">
        <v>9</v>
      </c>
      <c r="E1892" t="n">
        <v>5</v>
      </c>
      <c r="F1892">
        <f>HYPERLINK("https://www.reddit.com/r/cancer/comments/be4twi/my_uncle_is_dying_of_liver_cancer_how_do_i_stop_it/")</f>
        <v/>
      </c>
      <c r="G1892" t="inlineStr">
        <is>
          <t>2019-04-17 00:07:08</t>
        </is>
      </c>
      <c r="H1892" t="inlineStr"/>
    </row>
    <row r="1893">
      <c r="A1893" t="inlineStr">
        <is>
          <t>be5fms</t>
        </is>
      </c>
      <c r="B1893" t="inlineStr">
        <is>
          <t>Machine learning methods used to detect cervical cancer</t>
        </is>
      </c>
      <c r="C1893" t="inlineStr">
        <is>
          <t>The cervical biopsy can detect pre-cancer cells or cervical cancer. But, the procedure is invasive and usually performed under local or full anesthesia. The research trying to find the ways to avoid it it not necessary: [How technology can improve the medicine: machine learning methods used to detect cervical cancer](https://dlabs.pl/blog/article/how-technology-can-improve-the-medicine-machine-learning-methods-used-to-detect-cervical-cancer)
The task of the algorithm is to support the doctor’s decision on a biopsy based on historical data of all of their patients and their cases - to reduce the risk of recommending a biopsy for a person who really does not need it.</t>
        </is>
      </c>
      <c r="D1893" t="n">
        <v>1</v>
      </c>
      <c r="E1893" t="n">
        <v>0</v>
      </c>
      <c r="F1893">
        <f>HYPERLINK("https://www.reddit.com/r/cancer/comments/be5fms/machine_learning_methods_used_to_detect_cervical/")</f>
        <v/>
      </c>
      <c r="G1893" t="inlineStr">
        <is>
          <t>2019-04-17 01:41:57</t>
        </is>
      </c>
      <c r="H1893" t="inlineStr"/>
    </row>
    <row r="1894">
      <c r="A1894" t="inlineStr">
        <is>
          <t>be6ucu</t>
        </is>
      </c>
      <c r="B1894" t="inlineStr">
        <is>
          <t>Anyone here get a vasectomy after their treament?</t>
        </is>
      </c>
      <c r="C1894" t="inlineStr">
        <is>
          <t>Hello, I don't usually post here, but I've just received my bone marrow transplant a few days ago, and with that came radiation and chemotherapy.
Needless to say, that'll have left me sterile with a bunch of mutated swimmers who if they were to make it to the egg, would not lead to a healthy pregnancy. 
So I wondered if anyone just says 'fuck it' and gets a vasectomy, for the peace of mind and to be able to have sex without a condom in the way (provided their partner has no STD)?
I already had sperm banking done so I'm safe with regards to having children later, but if anyone has any insight that'd be much appreciated. 
Thanks, 
PS: I'm 19 if that helps.
Also if you could help with any unintended side effects you didn't expect from a vasectomy.</t>
        </is>
      </c>
      <c r="D1894" t="n">
        <v>14</v>
      </c>
      <c r="E1894" t="n">
        <v>3</v>
      </c>
      <c r="F1894">
        <f>HYPERLINK("https://www.reddit.com/r/cancer/comments/be6ucu/anyone_here_get_a_vasectomy_after_their_treament/")</f>
        <v/>
      </c>
      <c r="G1894" t="inlineStr">
        <is>
          <t>2019-04-17 04:51:34</t>
        </is>
      </c>
      <c r="H1894" t="inlineStr"/>
    </row>
    <row r="1895">
      <c r="A1895" t="inlineStr">
        <is>
          <t>be8dhx</t>
        </is>
      </c>
      <c r="B1895" t="inlineStr">
        <is>
          <t>What can I get my girlfriend to distract her while undergoing chemotherapy?</t>
        </is>
      </c>
      <c r="C1895" t="inlineStr">
        <is>
          <t>Hello,
&amp;amp;#x200B;
My 26 year old girlfriend of many years unfortunately is undergoing chemotherapy. I am trying to think of way to distract her, i.e. podcasts, stress balls, adult colouring books etc.
&amp;amp;#x200B;
Does anyone have any other ideas?
&amp;amp;#x200B;
Thanks you in advance</t>
        </is>
      </c>
      <c r="D1895" t="n">
        <v>14</v>
      </c>
      <c r="E1895" t="n">
        <v>21</v>
      </c>
      <c r="F1895">
        <f>HYPERLINK("https://www.reddit.com/r/cancer/comments/be8dhx/what_can_i_get_my_girlfriend_to_distract_her/")</f>
        <v/>
      </c>
      <c r="G1895" t="inlineStr">
        <is>
          <t>2019-04-17 07:21:04</t>
        </is>
      </c>
      <c r="H1895" t="inlineStr"/>
    </row>
    <row r="1896">
      <c r="A1896" t="inlineStr">
        <is>
          <t>be9vmk</t>
        </is>
      </c>
      <c r="B1896" t="inlineStr">
        <is>
          <t>my mom is getting worse - sorry for posting so frequently.</t>
        </is>
      </c>
      <c r="C1896" t="inlineStr">
        <is>
          <t>this is like my 3rd post in 2 weeks, so i'm sorry for that.
this week i feel like my mom is getting worse and i need to start preparing. on  monday night she was very agitated and belligerent with the nurses, but still very confused. when my dad when to visit her yesterday, the nurses told him that later in the night after i'd left she began shaking the bed rails and yelling.
yesterday i left work early because my dad told me he didn't think she had much longer. so i went to see her. she could barely stay awake, was talking gibberish, and at some points i wasn't sure that she knew i was there, or who i was. her hands were cold and she kept saying she was cold too.
i feel like a bad daughter because i don't make it in to see her every single day. i feel guilty because i need time for myself and mentally i'm not okay right now. i'm so close to losing it with all the stress i have.
my dad and i had to start having serious discussions last night- are we going to sell the house, how will we afford the mortgage, what will happen to our cats, etc. i'm scared and i'm not ready.</t>
        </is>
      </c>
      <c r="D1896" t="n">
        <v>12</v>
      </c>
      <c r="E1896" t="n">
        <v>4</v>
      </c>
      <c r="F1896">
        <f>HYPERLINK("https://www.reddit.com/r/cancer/comments/be9vmk/my_mom_is_getting_worse_sorry_for_posting_so/")</f>
        <v/>
      </c>
      <c r="G1896" t="inlineStr">
        <is>
          <t>2019-04-17 09:31:28</t>
        </is>
      </c>
      <c r="H1896" t="inlineStr"/>
    </row>
    <row r="1897">
      <c r="A1897" t="inlineStr">
        <is>
          <t>be9y7c</t>
        </is>
      </c>
      <c r="B1897" t="inlineStr">
        <is>
          <t>"Soft tissue sarcoma" and radiation.</t>
        </is>
      </c>
      <c r="C1897" t="inlineStr">
        <is>
          <t>My stepdad was told by his doctor that they'll only need to do radiation, after being told by another doctor that he needs surgery because of the tumor being in his jaw muscle. Now reading online, it does say surgery is needed to remove what I guess this is referred to as "soft tissue sarcoma." But she said no surgery. Now my mother is worried that they're withholding details.
&amp;amp;#x200B;
Any insight? He has stage lV throat cancer, just to add. This is all so very confusing.</t>
        </is>
      </c>
      <c r="D1897" t="n">
        <v>4</v>
      </c>
      <c r="E1897" t="n">
        <v>6</v>
      </c>
      <c r="F1897">
        <f>HYPERLINK("https://www.reddit.com/r/cancer/comments/be9y7c/soft_tissue_sarcoma_and_radiation/")</f>
        <v/>
      </c>
      <c r="G1897" t="inlineStr">
        <is>
          <t>2019-04-17 09:37:48</t>
        </is>
      </c>
      <c r="H1897" t="inlineStr"/>
    </row>
    <row r="1898">
      <c r="A1898" t="inlineStr">
        <is>
          <t>beaq9c</t>
        </is>
      </c>
      <c r="B1898" t="inlineStr">
        <is>
          <t>I just got back from Mass. General. Im officially 3 years cancer free!</t>
        </is>
      </c>
      <c r="C1898" t="inlineStr">
        <is>
          <t>Not much else to say, but, thanks to the doctors at MGH, as well as my doctor's in CT.  Without them, I wouldn't be able to make this post.</t>
        </is>
      </c>
      <c r="D1898" t="n">
        <v>120</v>
      </c>
      <c r="E1898" t="n">
        <v>19</v>
      </c>
      <c r="F1898">
        <f>HYPERLINK("https://www.reddit.com/r/cancer/comments/beaq9c/i_just_got_back_from_mass_general_im_officially_3/")</f>
        <v/>
      </c>
      <c r="G1898" t="inlineStr">
        <is>
          <t>2019-04-17 10:43:51</t>
        </is>
      </c>
      <c r="H1898" t="inlineStr"/>
    </row>
    <row r="1899">
      <c r="A1899" t="inlineStr">
        <is>
          <t>beb67v</t>
        </is>
      </c>
      <c r="B1899" t="inlineStr">
        <is>
          <t>How did you guys deal with finding your parents have cancer?</t>
        </is>
      </c>
      <c r="C1899" t="inlineStr">
        <is>
          <t>My dad's been diagnosed with stage 2 liver cancer. I don't know what to do</t>
        </is>
      </c>
      <c r="D1899" t="n">
        <v>1</v>
      </c>
      <c r="E1899" t="n">
        <v>2</v>
      </c>
      <c r="F1899">
        <f>HYPERLINK("https://www.reddit.com/r/cancer/comments/beb67v/how_did_you_guys_deal_with_finding_your_parents/")</f>
        <v/>
      </c>
      <c r="G1899" t="inlineStr">
        <is>
          <t>2019-04-17 11:21:53</t>
        </is>
      </c>
      <c r="H1899" t="inlineStr"/>
    </row>
    <row r="1900">
      <c r="A1900" t="inlineStr">
        <is>
          <t>beb6si</t>
        </is>
      </c>
      <c r="B1900" t="inlineStr">
        <is>
          <t>Anyone have experience with BK Virus?</t>
        </is>
      </c>
      <c r="C1900" t="inlineStr">
        <is>
          <t>I’m 2 years post allogeneic stem cell transplant, just got hit with BK Virus for the first time somehow?!
If you’ve experienced it, my main question is how long did it take you to flush out/stop having such harsh symptoms? Really any info on your experience would help, my team just says ‘drink lots of water and cranberry’ and doesn’t seem to have any more info. I’m miserable and desperate.</t>
        </is>
      </c>
      <c r="D1900" t="n">
        <v>3</v>
      </c>
      <c r="E1900" t="n">
        <v>7</v>
      </c>
      <c r="F1900">
        <f>HYPERLINK("https://www.reddit.com/r/cancer/comments/beb6si/anyone_have_experience_with_bk_virus/")</f>
        <v/>
      </c>
      <c r="G1900" t="inlineStr">
        <is>
          <t>2019-04-17 11:23:14</t>
        </is>
      </c>
      <c r="H1900" t="inlineStr"/>
    </row>
    <row r="1901">
      <c r="A1901" t="inlineStr">
        <is>
          <t>bebj00</t>
        </is>
      </c>
      <c r="B1901" t="inlineStr">
        <is>
          <t>Sick Tunes for when you're sick?`</t>
        </is>
      </c>
      <c r="C1901" t="inlineStr">
        <is>
          <t>Hey y'all. Dad and I are spending *a lot* of time in the car together going back and forth to radiation (about 3.5 hours round trip). I would love to know what your favorite songs are that make you feel happy, enthusiastic, silly, or just high on life. I plan to turn these into a playlist to make the ride just a little bit easier! One song that instantly makes me feel better is "Close to you" by The Carpenters....My dad is 63 so a preference towards songs he might know, but he also appreciates good music in general so bring it on!</t>
        </is>
      </c>
      <c r="D1901" t="n">
        <v>5</v>
      </c>
      <c r="E1901" t="n">
        <v>7</v>
      </c>
      <c r="F1901">
        <f>HYPERLINK("https://www.reddit.com/r/cancer/comments/bebj00/sick_tunes_for_when_youre_sick/")</f>
        <v/>
      </c>
      <c r="G1901" t="inlineStr">
        <is>
          <t>2019-04-17 11:52:28</t>
        </is>
      </c>
      <c r="H1901" t="inlineStr"/>
    </row>
    <row r="1902">
      <c r="A1902" t="inlineStr">
        <is>
          <t>becadq</t>
        </is>
      </c>
      <c r="B1902" t="inlineStr">
        <is>
          <t>Is pork bad for the liver?</t>
        </is>
      </c>
      <c r="C1902" t="inlineStr">
        <is>
          <t>My uncle with liver cancer is avoiding pork after reading it is toxic to the liver. Is this true? His liver cancer has shrinked in size, we're not sure what is making it turn around, he is in chemo and following all the latest research on his type of cancer. He is doing well for the time being and has stopped stuttering, bless him.</t>
        </is>
      </c>
      <c r="D1902" t="n">
        <v>3</v>
      </c>
      <c r="E1902" t="n">
        <v>5</v>
      </c>
      <c r="F1902">
        <f>HYPERLINK("https://www.reddit.com/r/cancer/comments/becadq/is_pork_bad_for_the_liver/")</f>
        <v/>
      </c>
      <c r="G1902" t="inlineStr">
        <is>
          <t>2019-04-17 12:58:38</t>
        </is>
      </c>
      <c r="H1902" t="inlineStr"/>
    </row>
    <row r="1903">
      <c r="A1903" t="inlineStr">
        <is>
          <t>becljx</t>
        </is>
      </c>
      <c r="B1903" t="inlineStr">
        <is>
          <t>Mom is diagnosed with tumor on her lung membran</t>
        </is>
      </c>
      <c r="C1903" t="inlineStr">
        <is>
          <t>First of all, english is not my first language so feel free to ask me if you dont understand a sentence.
Briefly, my mom had pain on her left chest like under her armpit. After x-ray doctor said they see an object and they need to cut a piece in order to examine whether is it a tumor or not. After their examination they decided that she would need a surgery. After the surgery they said she does not need a second surgery but she needs to start chemotherapy for 5 months every ə week. 
Tl;dr: what are your experiences with chemotherapy? How can she recover faster ? İs there anything we seriously need to be prepared? 
Your answers mean so much to me fellow redditors. I dont know what to do or what's going to happen.</t>
        </is>
      </c>
      <c r="D1903" t="n">
        <v>7</v>
      </c>
      <c r="E1903" t="n">
        <v>0</v>
      </c>
      <c r="F1903">
        <f>HYPERLINK("https://www.reddit.com/r/cancer/comments/becljx/mom_is_diagnosed_with_tumor_on_her_lung_membran/")</f>
        <v/>
      </c>
      <c r="G1903" t="inlineStr">
        <is>
          <t>2019-04-17 13:25:48</t>
        </is>
      </c>
      <c r="H1903" t="inlineStr"/>
    </row>
    <row r="1904">
      <c r="A1904" t="inlineStr">
        <is>
          <t>bee4r7</t>
        </is>
      </c>
      <c r="B1904" t="inlineStr">
        <is>
          <t>Questions about medicine and cancer risk</t>
        </is>
      </c>
      <c r="C1904" t="inlineStr">
        <is>
          <t>Ok, here is the problem:  I have a history of hyperplasia and uterine polyps. So far, nothing has been cancerous. However, I am at higher risk for cancer because I have PCOS and an Aunt that died of uterine cancer. My doctor has suggested an IUD or progesterone  pills to keep my uterine lining thin and lessen my risk for cancer.  But my sister had breast cancer and told me that progesterone ups your chances for breast cancer. My breasts already look “suspicious”. My doctors know this and still told me to take the medicine or maybe have a hysterectomy - which comes with a whole set of other problems. I don’t have cancer and I don’t want to get it. Every answer the doctors give me sound dangerous, as does doing nothing at all. Any opinions?</t>
        </is>
      </c>
      <c r="D1904" t="n">
        <v>1</v>
      </c>
      <c r="E1904" t="n">
        <v>0</v>
      </c>
      <c r="F1904">
        <f>HYPERLINK("https://www.reddit.com/r/cancer/comments/bee4r7/questions_about_medicine_and_cancer_risk/")</f>
        <v/>
      </c>
      <c r="G1904" t="inlineStr">
        <is>
          <t>2019-04-17 15:43:39</t>
        </is>
      </c>
      <c r="H1904" t="inlineStr"/>
    </row>
    <row r="1905">
      <c r="A1905" t="inlineStr">
        <is>
          <t>bee5fd</t>
        </is>
      </c>
      <c r="B1905" t="inlineStr">
        <is>
          <t>How do I communicate that it's time to give up independence?</t>
        </is>
      </c>
      <c r="C1905" t="inlineStr">
        <is>
          <t>My father has stage 4 cancer and I just had to have a very difficult, firm and heartbreaking conversation with him where I had to lay out every piece of evidence (the final straw being the doctor telling him) as to why he can no longer drive. As he feels this is the last vestige of independence he has in his life, it was like watching something die inside him, and it feels like I killed that thing.
Last night he got lost on the way home from his doctors appointment, pulled into an alley and passed out in his car with a dead phone. Luckily a good Samaritan found him and got him to a hotel and we finally could reach him this morning. 
Yet even after the doctor told him today he shouldn't drive anymore he said that was a decision he'd make for himself. So for the safety of himself and others I had to be firm and inform him it was no longer a choice. I'm sitting here heartbroken for him and feeling like I just stabbed him with a knife.
What would have made this easier? Is there some "code word" we should establish when he's the only one who doesn't know it's time for palliative care? What did you do, or your family and friends do for you to make this easier?
This is a legitimate question for next steps but I also think I just needed to share this with someone. My apologies if that's not appropriate here.</t>
        </is>
      </c>
      <c r="D1905" t="n">
        <v>8</v>
      </c>
      <c r="E1905" t="n">
        <v>2</v>
      </c>
      <c r="F1905">
        <f>HYPERLINK("https://www.reddit.com/r/cancer/comments/bee5fd/how_do_i_communicate_that_its_time_to_give_up/")</f>
        <v/>
      </c>
      <c r="G1905" t="inlineStr">
        <is>
          <t>2019-04-17 15:45:22</t>
        </is>
      </c>
      <c r="H1905" t="inlineStr"/>
    </row>
    <row r="1906">
      <c r="A1906" t="inlineStr">
        <is>
          <t>bee7c6</t>
        </is>
      </c>
      <c r="B1906" t="inlineStr">
        <is>
          <t>My boyfriend (19)was just diagnosed with a stage 4 sarcoma</t>
        </is>
      </c>
      <c r="C1906" t="inlineStr">
        <is>
          <t>We don't know exactly what kind of sarcoma it is yet (we should know Wednesday) but it's metastasized to his lungs. I don't know what to do or where to go from here. 
The Drs are saying he has a good chance but part of me thinks they're just trying not to scare us.</t>
        </is>
      </c>
      <c r="D1906" t="n">
        <v>13</v>
      </c>
      <c r="E1906" t="n">
        <v>12</v>
      </c>
      <c r="F1906">
        <f>HYPERLINK("https://www.reddit.com/r/cancer/comments/bee7c6/my_boyfriend_19was_just_diagnosed_with_a_stage_4/")</f>
        <v/>
      </c>
      <c r="G1906" t="inlineStr">
        <is>
          <t>2019-04-17 15:50:59</t>
        </is>
      </c>
      <c r="H1906" t="inlineStr"/>
    </row>
    <row r="1907">
      <c r="A1907" t="inlineStr">
        <is>
          <t>befoii</t>
        </is>
      </c>
      <c r="B1907" t="inlineStr">
        <is>
          <t>Can the skin weep in areas where there is no edema? (Question about father [73] in hospice, with pancreatic cancer)</t>
        </is>
      </c>
      <c r="C1907" t="inlineStr">
        <is>
          <t>Quick recap: Dad started hospice this week. He’s had terrible edema in the legs from the time he started chemo. Once the disease advanced, he developed abdominal ascites. Now I’m noticing significant weeping from the skin on his upper arms. His arms are super skinny, and no swelling is visible. Yet there is so much fluid seeping that his shirt gets soaked every couple of hours. What is going on?
If this is helpful, the hospice nurse did mention mottling of the skin, and his extremities are very cold. These are both signs of active dying. But I can’t find a lot of information about weeping without swelling. Does anyone have experience or information about this? Thanks in advance.</t>
        </is>
      </c>
      <c r="D1907" t="n">
        <v>4</v>
      </c>
      <c r="E1907" t="n">
        <v>2</v>
      </c>
      <c r="F1907">
        <f>HYPERLINK("https://www.reddit.com/r/cancer/comments/befoii/can_the_skin_weep_in_areas_where_there_is_no/")</f>
        <v/>
      </c>
      <c r="G1907" t="inlineStr">
        <is>
          <t>2019-04-17 18:19:54</t>
        </is>
      </c>
      <c r="H1907" t="inlineStr"/>
    </row>
    <row r="1908">
      <c r="A1908" t="inlineStr">
        <is>
          <t>befqq5</t>
        </is>
      </c>
      <c r="B1908" t="inlineStr">
        <is>
          <t>Is this what I think it is?</t>
        </is>
      </c>
      <c r="C1908" t="inlineStr">
        <is>
          <t>For the past month or so, my partners stoops have been very small or very thin. He’s had back aches, stomach pains and testicle pains also. We went for a scan and it came back clear, but now doctor has referred him to a urologist. She didn’t say much at all when we were there so we didn’t think much of it. My partner looks like he’s lost weight now and his back feels sore to touch as well as pelvic pain. I’m scared that this is colon cancer/bowel cancer/ something bad. We’ve been waiting for the referral letter for about 3 weeks now.
I have no idea what’s going on I feel so scared and have no idea what to do ❤️</t>
        </is>
      </c>
      <c r="D1908" t="n">
        <v>3</v>
      </c>
      <c r="E1908" t="n">
        <v>7</v>
      </c>
      <c r="F1908">
        <f>HYPERLINK("https://www.reddit.com/r/cancer/comments/befqq5/is_this_what_i_think_it_is/")</f>
        <v/>
      </c>
      <c r="G1908" t="inlineStr">
        <is>
          <t>2019-04-17 18:26:17</t>
        </is>
      </c>
      <c r="H1908" t="inlineStr"/>
    </row>
    <row r="1909">
      <c r="A1909" t="inlineStr">
        <is>
          <t>begr96</t>
        </is>
      </c>
      <c r="B1909" t="inlineStr">
        <is>
          <t>Third time a charm?</t>
        </is>
      </c>
      <c r="C1909" t="inlineStr">
        <is>
          <t>Diagnosed with DCIS stage 0 on March 4th. Treatment seemed straightforward, lumpectomy, radiation, tamoxifin. 
Now it's April 17th and I'm going for a THIRD surgery, second re-exision.  
Taking any and all prayers, good vibes, traditional dances, rubs of lucky rabbits' feet...basically anything short of sacrificing a virgin... because of the margins aren't clear this time, off it comes.</t>
        </is>
      </c>
      <c r="D1909" t="n">
        <v>9</v>
      </c>
      <c r="E1909" t="n">
        <v>3</v>
      </c>
      <c r="F1909">
        <f>HYPERLINK("https://www.reddit.com/r/cancer/comments/begr96/third_time_a_charm/")</f>
        <v/>
      </c>
      <c r="G1909" t="inlineStr">
        <is>
          <t>2019-04-17 20:13:04</t>
        </is>
      </c>
      <c r="H1909" t="inlineStr"/>
    </row>
    <row r="1910">
      <c r="A1910" t="inlineStr">
        <is>
          <t>behyh7</t>
        </is>
      </c>
      <c r="B1910" t="inlineStr">
        <is>
          <t>Lost my dad yesterday</t>
        </is>
      </c>
      <c r="C1910" t="inlineStr">
        <is>
          <t>About one month ago my father was diagnosed with stage 4 stomach cancer. My brother and I were told about it two weeks ago. He was estimated to have 12-18mo to live.
He had lost over 80lbs in the past few months, hasn't been able to eat much. He had recently had his first round of chemo with the second scheduled for a week from now.
On Monday he was actually doing better. He had more energy and was even able to eat a bit. It was a pretty good day compared to the rest lately. He was fairly pleased with himself.
Then he went to bed in the early hours of Wednesday morning. And he never woke up. My mom found him not breathing, body already stiff and cold. He was 68. 
He will not see his granddaughter graduate high school, or even start it (6th grade currently). He won't see any other milestones. He still had goals. He knew he didn't have time to see them all through, but had recruited me and my brother to help him get some done at least. But that was when we thought we had another year or so. 
Then, so suddenly, he was gone and I don't have a dad anymore. 
He was far from perfect. But he loved me and was always there for me. I was lucky to have him for a father and I don't know what to do now. I don't know how to step into his shoes and not need my dad anymore. There was still so much I could have learned from him, or should have when I still had the chance. I hope he knew how much he was loved; I know I didn't say it enough.</t>
        </is>
      </c>
      <c r="D1910" t="n">
        <v>13</v>
      </c>
      <c r="E1910" t="n">
        <v>11</v>
      </c>
      <c r="F1910">
        <f>HYPERLINK("https://www.reddit.com/r/cancer/comments/behyh7/lost_my_dad_yesterday/")</f>
        <v/>
      </c>
      <c r="G1910" t="inlineStr">
        <is>
          <t>2019-04-17 22:40:34</t>
        </is>
      </c>
      <c r="H1910" t="inlineStr"/>
    </row>
    <row r="1911">
      <c r="A1911" t="inlineStr">
        <is>
          <t>bel69v</t>
        </is>
      </c>
      <c r="B1911" t="inlineStr">
        <is>
          <t>19 years old and cancer</t>
        </is>
      </c>
      <c r="C1911" t="inlineStr">
        <is>
          <t>i have nasopharyngeal cancer. stage 4. im feeling weaker day by day. im months away from death . im trying to reprogram my brain into thinking death is a natural part of life and i have nothing to fear. but its so hard and im so young. do any of you have the same type of thinking. i know everyone is like lets battle and beat that shit. but now i just feel numb. i feel like nothing will make me happy because all i could think about is death. do any of you have little time left? how you cope with death?</t>
        </is>
      </c>
      <c r="D1911" t="n">
        <v>78</v>
      </c>
      <c r="E1911" t="n">
        <v>37</v>
      </c>
      <c r="F1911">
        <f>HYPERLINK("https://www.reddit.com/r/cancer/comments/bel69v/19_years_old_and_cancer/")</f>
        <v/>
      </c>
      <c r="G1911" t="inlineStr">
        <is>
          <t>2019-04-18 05:51:01</t>
        </is>
      </c>
      <c r="H1911" t="inlineStr"/>
    </row>
    <row r="1912">
      <c r="A1912" t="inlineStr">
        <is>
          <t>bemapy</t>
        </is>
      </c>
      <c r="B1912" t="inlineStr">
        <is>
          <t>How to get over the fear of a possible relapse</t>
        </is>
      </c>
      <c r="C1912" t="inlineStr">
        <is>
          <t>I'm a 22 year old male that has recently finished treatment for AML Leukemia. All went well and there are no more cancer cells left. I had a low risk sub type NPM1 with FLT3 negative. My question is how do I get over the fear of a relapse is this something I talk to the doctor about or is it something that gets easier with time.</t>
        </is>
      </c>
      <c r="D1912" t="n">
        <v>6</v>
      </c>
      <c r="E1912" t="n">
        <v>5</v>
      </c>
      <c r="F1912">
        <f>HYPERLINK("https://www.reddit.com/r/cancer/comments/bemapy/how_to_get_over_the_fear_of_a_possible_relapse/")</f>
        <v/>
      </c>
      <c r="G1912" t="inlineStr">
        <is>
          <t>2019-04-18 07:37:35</t>
        </is>
      </c>
      <c r="H1912" t="inlineStr"/>
    </row>
    <row r="1913">
      <c r="A1913" t="inlineStr">
        <is>
          <t>bemgwc</t>
        </is>
      </c>
      <c r="B1913" t="inlineStr">
        <is>
          <t>Info about TBI and AutoHSCT!</t>
        </is>
      </c>
      <c r="C1913" t="inlineStr">
        <is>
          <t>Hi guys, next week I'll have my **AutoHSCT** done as I was diagnosed with acute lymphoblastic leukemia, the treatment went well and this is the last stage. However, I've never had radiotherapy and I heard that TBI may cause a lot of nasty long term side effects. My question is, how you guys went thru TBI, how long does it take in **AutoHSCT** to recover after the radiotherapy (I mean how many days in hospital although I know it is really individual) and did your hair regrow on your head/body and after it and how long did it take (I heard that longer than after chemotherapy). Thanks in advance guys, I want to be mentally prepared for it!</t>
        </is>
      </c>
      <c r="D1913" t="n">
        <v>7</v>
      </c>
      <c r="E1913" t="n">
        <v>0</v>
      </c>
      <c r="F1913">
        <f>HYPERLINK("https://www.reddit.com/r/cancer/comments/bemgwc/info_about_tbi_and_autohsct/")</f>
        <v/>
      </c>
      <c r="G1913" t="inlineStr">
        <is>
          <t>2019-04-18 07:52:36</t>
        </is>
      </c>
      <c r="H1913" t="inlineStr"/>
    </row>
    <row r="1914">
      <c r="A1914" t="inlineStr">
        <is>
          <t>ben5r0</t>
        </is>
      </c>
      <c r="B1914" t="inlineStr">
        <is>
          <t>Low Magnesium Levels again...</t>
        </is>
      </c>
      <c r="C1914" t="inlineStr">
        <is>
          <t>Argh - lying here trying to sleep but both legs are cramping up.  Magnesium levels are low yet again/still - only just above the point where it's considered critically low and have dropped since my last blood test 3 weeks ago.  
Hopefully one of my doctors will have come to the conclusion that I need an infusion of Mg ~~tomorrow~~ later today when I go in for my immunotherapy treatment....otherwise I'll be having a fun discussion with whichever junior doctor got stuck with the good friday shift in the chemo day suite.
If only all we had to deal with was the cancer - but no we also get all these weird and wonderful side-effects from the treatments that we hope are saving (or at least extending) our lives.</t>
        </is>
      </c>
      <c r="D1914" t="n">
        <v>11</v>
      </c>
      <c r="E1914" t="n">
        <v>8</v>
      </c>
      <c r="F1914">
        <f>HYPERLINK("https://www.reddit.com/r/cancer/comments/ben5r0/low_magnesium_levels_again/")</f>
        <v/>
      </c>
      <c r="G1914" t="inlineStr">
        <is>
          <t>2019-04-18 08:51:49</t>
        </is>
      </c>
      <c r="H1914" t="inlineStr"/>
    </row>
    <row r="1915">
      <c r="A1915" t="inlineStr">
        <is>
          <t>bennoq</t>
        </is>
      </c>
      <c r="B1915" t="inlineStr">
        <is>
          <t>Plant Alkaloid has Cytotoxic effects against a Panel of Cancer Cells.</t>
        </is>
      </c>
      <c r="C1915" t="inlineStr">
        <is>
          <t>Specifically discussing Cathinones, Cathin-6-one. Several articles all describe the same effects as listed below. Cathin-6-one is also, (weakly,) to the benzodiazepine receptors. I carefully analyzed the bioassay, (biological assessment,) and couldn't find any negative effects on humans, but I urge anyone interested to take a look also. Let me also clarify that I'm not saying this is a cureall, but this molecule does show promise. As a side note, I researched viable, or renewable sources of Cathin-6-one, and I have access to [Ailanthus Altissima,](https://plants.usda.gov/core/profile?symbol=aial) or Tree of Heaven. Lastly, I'm not liable for what you choose to, or not to do. This is meant to be informational, share the wealth of knowledge, and pray I can help others with this. 
For further information on the Cathin-6-One molecule, I've linked the [PubChem Page,](https://pubchem.ncbi.nlm.nih.gov/compound/Canthin-6-one) the bioassay can be downloaded and viewed via Microsoft Excel if you have access to that.
"RESULTS: Among the human lineages tested, Kasumi-1 was the most sensitive to canthin-6-one. Canthin-6-one induced cell death with apoptotic (caspase activation, decrease of mitochondrial potential) and necrotic (lysosomal permeabilization, double labeling of annexin V/propidium iodide) characteristics. Moreover, canthin-6-one induced cell cycle arrest at G0/G1 (7μM) and G2 (45μM) evidenced by DNA content, BrdU incorporation and cyclin B1/histone 3 quantification. Canthin-6-one also promoted differentiation of Kasumi-1, evidenced by an increase in the expression of myeloid markers (CD11b and CD15) and the transcription factor PU.1. Furthermore, a reduction of the leukemic stem cell population and clonogenic capability of stem cells were observed."
[Link to Gov paper](https://www.ncbi.nlm.nih.gov/m/pubmed/28161479/)
"Canthinones are natural substances with a wide range of biological activities, including antipyretic, antiparasitic, and antimicrobial. Antiproliferative and/or cytotoxic effects of canthinones on cancer cells have also been described, although their mechanism of action remains ill defined."
"To gain better insight into this mechanism, the antiproliferative effect of a commercially available canthin-6-one (1) was examined dose-dependently on six cancer cell lines (human prostate, PC-3; human colon, HT-29; human lymphocyte, Jurkat; human cervix, HeLa; rat glioma, C6; and mouse embryonic fibroblasts, NIH-3T3). Cytotoxic effects of 1 were investigated on the same cancer cell lines by procaspase-3 cleavage and on normal human skin fibroblasts. Strong antiproliferative effects of the compound were observed in all cell lines, whereas cytotoxic effects were very dependent on cell type. A better definition of the mechanism of action of 1 was obtained on PC-3 cells, by showing that it decreases BrdU incorporation into DNA by 60% to 80% and mitotic spindle formation by 70% and that it causes a 2-fold accumulation of cells in the G2/M phase of the cell cycle. Together, the data suggest that the primary effect of canthin-6-one (1) is antiproliferative, possibly by interfering with the G2/M transition. Proapoptotic effects might result from this disturbance of the cell cycle."
[Link to A. Chemical Society.](https://pubs.acs.org/doi/abs/10.1021/np500516v)
Another government published article states that Canthin-6-one has also been shown [to be an effective treatment](https://www.ncbi.nlm.nih.gov/m/pubmed/21134431/) against Chagas disease.
The are so many alkaloids, terpenes, flavinoids, etc. Several of these are very effective in treatments for cancer, diseases, illness, STDs. We still extract molecules from plants for modern medicine- there's only less people doing it, and even less who are informed.
*TLDR; Cathin-6-one is found in plants, like Tree of Heaven. It kills off cancerous cells by affecting their ability to function normally. Sharing the information, hope I can help people. Thank you.*</t>
        </is>
      </c>
      <c r="D1915" t="n">
        <v>7</v>
      </c>
      <c r="E1915" t="n">
        <v>0</v>
      </c>
      <c r="F1915">
        <f>HYPERLINK("https://www.reddit.com/r/cancer/comments/bennoq/plant_alkaloid_has_cytotoxic_effects_against_a/")</f>
        <v/>
      </c>
      <c r="G1915" t="inlineStr">
        <is>
          <t>2019-04-18 09:34:34</t>
        </is>
      </c>
      <c r="H1915" t="inlineStr"/>
    </row>
    <row r="1916">
      <c r="A1916" t="inlineStr">
        <is>
          <t>benu3i</t>
        </is>
      </c>
      <c r="B1916" t="inlineStr">
        <is>
          <t>My Aunt has been diagnosed terminal</t>
        </is>
      </c>
      <c r="C1916" t="inlineStr">
        <is>
          <t>Here seems like maybe the best place to look for advice on coping. I'm very close to my Aunt. Growing up I hung on her every word. My mom moved to be close to her a little over a year ago, and she called me last night to tell me my aunt was given 4-6 months to live. She lives 2 time zones away, so I'll be able to afford to visit maybe once if it is decided that the funeral will be here where tje rest of the family lives instead of where she lives currently. It just keeps hitting me at random times throughout the day making it hard to hold it together. I have no clue how to cope. Advice?</t>
        </is>
      </c>
      <c r="D1916" t="n">
        <v>12</v>
      </c>
      <c r="E1916" t="n">
        <v>4</v>
      </c>
      <c r="F1916">
        <f>HYPERLINK("https://www.reddit.com/r/cancer/comments/benu3i/my_aunt_has_been_diagnosed_terminal/")</f>
        <v/>
      </c>
      <c r="G1916" t="inlineStr">
        <is>
          <t>2019-04-18 09:49:45</t>
        </is>
      </c>
      <c r="H1916" t="inlineStr"/>
    </row>
    <row r="1917">
      <c r="A1917" t="inlineStr">
        <is>
          <t>benv3f</t>
        </is>
      </c>
      <c r="B1917" t="inlineStr">
        <is>
          <t>We need your help! We are studying the effects of chemotherapy on cognitive functioning in women with breast cancer and women without a history of cancer.</t>
        </is>
      </c>
      <c r="C1917" t="inlineStr">
        <is>
          <t>Hello r/cancer 
Since 2004, our lab at the University of Colorado Denver (UCD) has been studying the effects of cancer chemotherapy on the brain, and on cognitive abilities such as memory and concentration. As you may know firsthand or from others, chemo brain can have significant negative effects on quality of life, but we still don't really understand what causes it, and more importantly, how to treat and prevent chemo brain. We would like to continue to learn more about the factors that are associated with the experience of chemo brain symptoms.
Please help us with a with a study of the effects of chemotherapy on cognitive functioning. We need the participation of women between the ages of 35 and 85 years, both with and without breast cancer. Participation will be completely anonymous; we’ll request no information that could identify you, including IP addresses. The survey focuses on basic information (age, education, diagnosis, medications), and on factors that influence quality of life, memory, concentration, mood, and pain. The survey should take between 20 and 30 minutes. You can access the survey here: [https://ucdenver.co1.qualtrics.com/jfe/form/SV\_d42rhSHVfT80mTr](https://ucdenver.co1.qualtrics.com/jfe/form/SV_d42rhSHVfT80mTr)
Thank you for your help!</t>
        </is>
      </c>
      <c r="D1917" t="n">
        <v>8</v>
      </c>
      <c r="E1917" t="n">
        <v>9</v>
      </c>
      <c r="F1917">
        <f>HYPERLINK("https://www.reddit.com/r/cancer/comments/benv3f/we_need_your_help_we_are_studying_the_effects_of/")</f>
        <v/>
      </c>
      <c r="G1917" t="inlineStr">
        <is>
          <t>2019-04-18 09:52:09</t>
        </is>
      </c>
      <c r="H1917" t="inlineStr"/>
    </row>
    <row r="1918">
      <c r="A1918" t="inlineStr">
        <is>
          <t>beo2og</t>
        </is>
      </c>
      <c r="B1918" t="inlineStr">
        <is>
          <t>Can anyone talk to me about osteoporosis?</t>
        </is>
      </c>
      <c r="C1918" t="inlineStr">
        <is>
          <t>Just learnt I have it will have a scan soon to find out the extent of it. It's because of my hormone treatment after breast cancer (tamoxifen pills and lucrin injections). I'd like to know how it's affected your life and if you have to stop doing certain things?</t>
        </is>
      </c>
      <c r="D1918" t="n">
        <v>4</v>
      </c>
      <c r="E1918" t="n">
        <v>3</v>
      </c>
      <c r="F1918">
        <f>HYPERLINK("https://www.reddit.com/r/cancer/comments/beo2og/can_anyone_talk_to_me_about_osteoporosis/")</f>
        <v/>
      </c>
      <c r="G1918" t="inlineStr">
        <is>
          <t>2019-04-18 10:10:06</t>
        </is>
      </c>
      <c r="H1918" t="inlineStr"/>
    </row>
    <row r="1919">
      <c r="A1919" t="inlineStr">
        <is>
          <t>bepw6p</t>
        </is>
      </c>
      <c r="B1919" t="inlineStr">
        <is>
          <t>Anyone know anything that helps with hand/foot syndrome?</t>
        </is>
      </c>
      <c r="C1919" t="inlineStr">
        <is>
          <t>My mom is undergoing chemo for ovarian cancer and the meds are really fucking up her hands and feet. She gets burning pain and can barely use her hands. I stay at the house a lot to basically be her hands for a lot of things.
The point is, does anyone know anything we can do to help her with the pain, itching, scaling, blisters, and burning on her hands and feet? She uses lotion, wears moisturizing night gloves/socks, wears weight lifting gloves for padding.
Thank you for your time, help, and consideration. We wish you the best and hope you are well.</t>
        </is>
      </c>
      <c r="D1919" t="n">
        <v>5</v>
      </c>
      <c r="E1919" t="n">
        <v>16</v>
      </c>
      <c r="F1919">
        <f>HYPERLINK("https://www.reddit.com/r/cancer/comments/bepw6p/anyone_know_anything_that_helps_with_handfoot/")</f>
        <v/>
      </c>
      <c r="G1919" t="inlineStr">
        <is>
          <t>2019-04-18 12:49:37</t>
        </is>
      </c>
      <c r="H1919" t="inlineStr"/>
    </row>
    <row r="1920">
      <c r="A1920" t="inlineStr">
        <is>
          <t>bepzxe</t>
        </is>
      </c>
      <c r="B1920" t="inlineStr">
        <is>
          <t>Just found out my almost 2 year old daughter has an externally rare form of skin cancer.</t>
        </is>
      </c>
      <c r="C1920" t="inlineStr">
        <is>
          <t>I’m in absolute disbelief. I can’t believe that this is happening. My daughter has had a strange skin condition almost her whole life. She has these small bumps on her head,back,neck and hips. We finally decided to take her to a dermatologist 2 weeks ago and they gave us some different medicines to see if we could get them to go away. We couldn’t so they decided to do a biopsy a week ago and we just found out that it’s an externally rare skin cancer. So rare that the doctors aren’t even sure how to treat it. We have to take her in to get some blood samples and an MRI. I’m in shock. I just can’t believe that something like this could happen to a toddler. A FUCKING TODDLER. We won’t even be able to explain to her what’s happening and why it’s happening. It’s impossible for her to understand. I’m so scared that it’s going to get worse.
 FUCK CANCER.</t>
        </is>
      </c>
      <c r="D1920" t="n">
        <v>65</v>
      </c>
      <c r="E1920" t="n">
        <v>23</v>
      </c>
      <c r="F1920">
        <f>HYPERLINK("https://www.reddit.com/r/cancer/comments/bepzxe/just_found_out_my_almost_2_year_old_daughter_has/")</f>
        <v/>
      </c>
      <c r="G1920" t="inlineStr">
        <is>
          <t>2019-04-18 12:58:50</t>
        </is>
      </c>
      <c r="H1920" t="inlineStr"/>
    </row>
    <row r="1921">
      <c r="A1921" t="inlineStr">
        <is>
          <t>ber8ei</t>
        </is>
      </c>
      <c r="B1921" t="inlineStr">
        <is>
          <t>I'm so upset with my Step dad's doctors. They removed his lung while not being sure if the lung cancer had spread, and it turns out it did. Now what's going to happen?</t>
        </is>
      </c>
      <c r="C1921" t="inlineStr">
        <is>
          <t>He has squamous cell carcinoma. A month and a half ago it didn't show up on X-ray. A few weeks ago, it showed up as a 2cm nodule on an MRI. About a week ago it showed as a golf ball sized mass on his PET scan and the size was confirmed during biospy. 
The PET scan showed a spot in a lymph node and a spot on his spine. Initially told it was the cancer. Then, the biospy came back that it wasn't. We were all extremely relieved. They said it wasn't cancer in his lymph node but that they needed to do further testing to find out what it is but that it was non cancerous. Since it hadnt spread the plan was to take out 2/3 of his lung. He went to Pre surgery, and when they arrived he was pulled to the side and informed that further testing showed that the lymph node WAS cancerous, and that there was nother lymph node that came up as suspicious in the PET scan. The surgery was cancled and we were told chemo and radiation was the only option. They decided to remove the lymph node. They removed it as well as biospied multiple other lymphnodes around it, and miraculously the doctor said after he took it out he sectioned it out and saw no sign of cancer. He said it would need to be sent to a lab to confirmed. Monday we recieved the news that the lab confirmed... It wasnt cancerous. So the surgery was rescheduled for this morning to remove part of his lung and the mass in it. 
The surgery started at 8am and was to take 1.5 to 2 hours. Almost 8 hours later and they finally finished. They said that the cancer was much larger and more "involved." They ended up removing the entire lung and i dont even know what else, and they still werent able to get it all. Apparently they had to keep cutting to test the tissue to make sure they got it all TEN times. They found the cancer in the lymph nodes, and I'm not sure if it was anywhere else too. But it had spread. All i can say is WHAT THE FUCK. We were told repeatedly that there was no way they would do the surgery if the cancer had metastasized to the lymph nodes. They went back and forth with whether it had spread so many times, end up doing the surgery, and now theyre saying it HAS spread. How did they get it wrong so many times? Arent biopsies pretty clear cut? I dont understand how this could happen unless it's just growing at an extremely quick rate. We were just given the all clear for surgery on tuesday which is when the surgery was scheduled, and two days later and it's grown and spread. 
Now theyre saying he'll start chemo in 2-4 weeks or as soon as he is healed from surgery. My question is, what is going to be the damage of having done the surgery even though the cancer had spread? What is the reason that once lung cancer mettastisizes they don't operate? If it's growing this fast, what is going to happen in the four weeks he has to wait to start chemo? I'm sorry this is so long. I really feel like the doctors have no idea what the hell they're doing if they cant even figure out if the cancer is in the lymph nodes. We were told so many conflicting things about the lymph nodes that just kept changing. How do they screw that up so bad, and what's going to happen since they did a surgery that they never wouldve or shouldve done? I'm sorry if this is all over the place I just got the news so I'm still processing. He's just been moved to the ICU and they gave him an epidural which he'll have for 3 days but it hasnt fully kicked in yet and he's coming out of anesthesia and just keeps saying "terrible pain" over and over again.</t>
        </is>
      </c>
      <c r="D1921" t="n">
        <v>12</v>
      </c>
      <c r="E1921" t="n">
        <v>14</v>
      </c>
      <c r="F1921">
        <f>HYPERLINK("https://www.reddit.com/r/cancer/comments/ber8ei/im_so_upset_with_my_step_dads_doctors_they/")</f>
        <v/>
      </c>
      <c r="G1921" t="inlineStr">
        <is>
          <t>2019-04-18 14:51:34</t>
        </is>
      </c>
      <c r="H1921" t="inlineStr"/>
    </row>
    <row r="1922">
      <c r="A1922" t="inlineStr">
        <is>
          <t>bermuj</t>
        </is>
      </c>
      <c r="B1922" t="inlineStr">
        <is>
          <t>Time to heal from bone marrow biopsy</t>
        </is>
      </c>
      <c r="C1922" t="inlineStr">
        <is>
          <t>Hey all!
I got a bone marrow biopsy a week ago and I’m starting to feel some pain and discomfort in my back and leg where they did the procedure. I do have a history of back pain around that area but since starting chemo I’ve been pretty good with any pain. Anyone know how long it takes to heal from a BM biopsy? Is this normal to have pain a week later? Overall thoughts?</t>
        </is>
      </c>
      <c r="D1922" t="n">
        <v>3</v>
      </c>
      <c r="E1922" t="n">
        <v>6</v>
      </c>
      <c r="F1922">
        <f>HYPERLINK("https://www.reddit.com/r/cancer/comments/bermuj/time_to_heal_from_bone_marrow_biopsy/")</f>
        <v/>
      </c>
      <c r="G1922" t="inlineStr">
        <is>
          <t>2019-04-18 15:27:16</t>
        </is>
      </c>
      <c r="H1922" t="inlineStr"/>
    </row>
    <row r="1923">
      <c r="A1923" t="inlineStr">
        <is>
          <t>besyv3</t>
        </is>
      </c>
      <c r="B1923" t="inlineStr">
        <is>
          <t>I have stage four hodgekins lymphoma, had my first dose of chemo yesterday (AAVD). Am feeling like hell mentally and physically. Any recommendations?</t>
        </is>
      </c>
      <c r="C1923" t="inlineStr">
        <is>
          <t>I’ve posted before and got some really helpful tips about what to expect from the chemo. While some of the more intense and possibly dangerous side effects (ie. heart toxicity) have not happened yet as it’s way too soon I have been dealing with debilitating nausea despite taking two different kinds of meds 3x a day each. I have been panicking a bit because I was told I will only feel worse and worse from here on out. Especially when I have to start giving myself at home injections to beef up my bone marrow productions. And that this week will be the best I’ll feel for the 6 months to a year of chemo/possible radiation. I feel truly awful and I can’t imagine how I’m going to survive if this is it “at its best”. I also will be shaving my head within a few days and that has been nearly impossible  to even think about without crying. I have a beautiful wig. This whole year long journey to diagnosis has been hell and losing my hair on top of it feels like some cruel cosmic icing on the cake. I’ve been on a very high dose of prednisone for about 13 months now so my face is extremely swollen almost beyond recognition. Losing my hair is just really hard when I already don’t feel like myself. What do you all recommend? Any words of comfort right now from people that “get it” would be so appreciated. My family and friends have been so incredible. I don’t want them to see how much I’m struggling because they have already been so heartbroken and upset over this. I don’t want to add on to that. I don’t think my mom has stopped crying in the past month.</t>
        </is>
      </c>
      <c r="D1923" t="n">
        <v>19</v>
      </c>
      <c r="E1923" t="n">
        <v>39</v>
      </c>
      <c r="F1923">
        <f>HYPERLINK("https://www.reddit.com/r/cancer/comments/besyv3/i_have_stage_four_hodgekins_lymphoma_had_my_first/")</f>
        <v/>
      </c>
      <c r="G1923" t="inlineStr">
        <is>
          <t>2019-04-18 17:32:16</t>
        </is>
      </c>
      <c r="H1923" t="inlineStr"/>
    </row>
    <row r="1924">
      <c r="A1924" t="inlineStr">
        <is>
          <t>beszcf</t>
        </is>
      </c>
      <c r="B1924" t="inlineStr">
        <is>
          <t>i have no remorse for my killings</t>
        </is>
      </c>
      <c r="C1924" t="inlineStr">
        <is>
          <t>I will see it will call her I don't wanna come on my house for you are you want u get it was in your house I was like the last night. I wanna be cremated.</t>
        </is>
      </c>
      <c r="D1924" t="n">
        <v>0</v>
      </c>
      <c r="E1924" t="n">
        <v>0</v>
      </c>
      <c r="F1924">
        <f>HYPERLINK("https://www.reddit.com/r/cancer/comments/beszcf/i_have_no_remorse_for_my_killings/")</f>
        <v/>
      </c>
      <c r="G1924" t="inlineStr">
        <is>
          <t>2019-04-18 17:33:35</t>
        </is>
      </c>
      <c r="H1924" t="inlineStr"/>
    </row>
    <row r="1925">
      <c r="A1925" t="inlineStr">
        <is>
          <t>betor6</t>
        </is>
      </c>
      <c r="B1925" t="inlineStr">
        <is>
          <t>I will always miss you</t>
        </is>
      </c>
      <c r="C1925" t="inlineStr">
        <is>
          <t>Last night at 8 pm I lost my dad to cancer. 
It doesn’t feel real.
I can’t believe he’s gone.
I watched him take his last breaths and held him until he left this world. 
His last grand gesture was donating his eyes, and allowing someone else to be able to see again. 
You’re in a better place now dad, where there is no more suffering. And even in your last moments, you gave someone a piece of yourself, and you never ceased to amaze me.
I’m so sorry pops. 
You are my hero, and you will always be my hero. 
You were still so young. 
And your heart was made of gold.
I will always love you. 
And I will always miss you.</t>
        </is>
      </c>
      <c r="D1925" t="n">
        <v>81</v>
      </c>
      <c r="E1925" t="n">
        <v>27</v>
      </c>
      <c r="F1925">
        <f>HYPERLINK("https://www.reddit.com/r/cancer/comments/betor6/i_will_always_miss_you/")</f>
        <v/>
      </c>
      <c r="G1925" t="inlineStr">
        <is>
          <t>2019-04-18 18:46:42</t>
        </is>
      </c>
      <c r="H1925" t="inlineStr"/>
    </row>
    <row r="1926">
      <c r="A1926" t="inlineStr">
        <is>
          <t>bets3u</t>
        </is>
      </c>
      <c r="B1926" t="inlineStr">
        <is>
          <t>Progression of Mother's cancer</t>
        </is>
      </c>
      <c r="C1926" t="inlineStr">
        <is>
          <t>I've been away from home for more than 6 months already and every time I come to visit my heart shatters a little. Cancer has spread to all parts of her body but her lungs and bones; more than 1 year of the initial breast cancer biopsy.
A few months ago there's been a metastasis and brain tumours started appearing, and around that was when I started losing hope. She is but a shell of a woman, she can barely eat, walk, use her phone or even talk at this point. She's having multiple cerebral radiation therapies that I feel won't work.
Before that, I could gladly stay and support her. After the metastasis and the resumption of the treatment her psychosynthesis has all been fucked up and it pains me to even be near her at this point.
As awful as this sounds, I feel her time will soon be up, and I can no longer cry to the thoughts of her passing. My father works tirelessly to support her and myself in my studies and so when she's alone and no one is looking after her she could just.. fall over and collapse.</t>
        </is>
      </c>
      <c r="D1926" t="n">
        <v>3</v>
      </c>
      <c r="E1926" t="n">
        <v>6</v>
      </c>
      <c r="F1926">
        <f>HYPERLINK("https://www.reddit.com/r/cancer/comments/bets3u/progression_of_mothers_cancer/")</f>
        <v/>
      </c>
      <c r="G1926" t="inlineStr">
        <is>
          <t>2019-04-18 18:56:50</t>
        </is>
      </c>
      <c r="H1926" t="inlineStr"/>
    </row>
    <row r="1927">
      <c r="A1927" t="inlineStr">
        <is>
          <t>bev405</t>
        </is>
      </c>
      <c r="B1927" t="inlineStr">
        <is>
          <t>Hair thinning on AIs</t>
        </is>
      </c>
      <c r="C1927" t="inlineStr">
        <is>
          <t>Has anyone else who is on hormone-blocking  medicines experienced significant hair thinning? My hair is probably 50% of what it used to be. I'm wondering if it will grow back once I am off the aromatase inhibitor I am on or if it is permanent.  Don't get me wrong, I am very happy to be taking this medicine, but I can't seem to get a straight answer from any docs. Has anyone had this experience? It seemed to grow back well after chemo, but has been slowly thinning since. Thanks all!</t>
        </is>
      </c>
      <c r="D1927" t="n">
        <v>3</v>
      </c>
      <c r="E1927" t="n">
        <v>0</v>
      </c>
      <c r="F1927">
        <f>HYPERLINK("https://www.reddit.com/r/cancer/comments/bev405/hair_thinning_on_ais/")</f>
        <v/>
      </c>
      <c r="G1927" t="inlineStr">
        <is>
          <t>2019-04-18 21:26:15</t>
        </is>
      </c>
      <c r="H1927" t="inlineStr"/>
    </row>
    <row r="1928">
      <c r="A1928" t="inlineStr">
        <is>
          <t>bev4ov</t>
        </is>
      </c>
      <c r="B1928" t="inlineStr">
        <is>
          <t>We all know it’s coming we’re all just waiting for the asteroid to hit</t>
        </is>
      </c>
      <c r="C1928" t="inlineStr">
        <is>
          <t>23 days that’s all it took for a healthy man to go from a stomach ache to having less than 2 months left.
 It started when he went to the doctor he drove himself came back even got groceries on the way home my grandfather walked in and casually announced to me and my cousin “I have cancer”.  A week later he got his port and was starting his chemo in 6 days they said his kidneys were to week they couldn’t do it. 4 days later his stomach was so bloated with fluid he couldn’t eat so they were taking him to get it drained they got there and there was no fluid it was all cancer. Now he’s laying in my grandparents living room he can’t get up he’s basically living off of ice cream because he immediately vomits anything solid. 
It’s weird though I don’t feel sad it’s more like anger. Is it bad to want it to be over with already? 
We all know he’s gonna be gone in two months at best. I just don’t want everyone to keep being so depressed anymore.</t>
        </is>
      </c>
      <c r="D1928" t="n">
        <v>6</v>
      </c>
      <c r="E1928" t="n">
        <v>5</v>
      </c>
      <c r="F1928">
        <f>HYPERLINK("https://www.reddit.com/r/cancer/comments/bev4ov/we_all_know_its_coming_were_all_just_waiting_for/")</f>
        <v/>
      </c>
      <c r="G1928" t="inlineStr">
        <is>
          <t>2019-04-18 21:28:30</t>
        </is>
      </c>
      <c r="H1928" t="inlineStr"/>
    </row>
    <row r="1929">
      <c r="A1929" t="inlineStr">
        <is>
          <t>bevrbe</t>
        </is>
      </c>
      <c r="B1929" t="inlineStr">
        <is>
          <t>age 20, duodenal ulcer + distended gallbladder with sludge</t>
        </is>
      </c>
      <c r="C1929" t="inlineStr">
        <is>
          <t xml:space="preserve"> 
* Age 20
* Sex m
* Height 5'7
* Weight 158 - 133 in 2 years i believe
* Race white
* Duration of complaint: these symptoms started a year ago i think? only now noticed something new
* Location (Geographic and on body) gallbladder + pancreas + duodenum
* Any existing relevant medical issues (if any) none known, perhaps celiac?
* Current medications (if any) PPI nexium
* Include a photo if relevant (skin condition for example) n/a
ct scan at ER clean, blood test at ER clean, then they did an upper GI ultra sound, and two xrays, called me ,and said i have a distended gallblader with sludge aswell a a duodenal ulcer, I've had pale diarhea, and constapation alot recently, sometimes my stool are regular color, i experience indegestion, back pain bottom left near pancreas area, i've had pain where the gallbladder is, and pain under my stomache where the pancreas is aswell (doctors said my pancreas was fine by the way, could a duodenal ulcer be confused for cancer?)
Could it be ampullary cancer? duodenum ulcers are confused for it, coud celiac cause these things? i may or may not have it as i get corner mouth sores, mouth sores, dark circles around eyes, muscle twitch, stattoreah, feel tired, hazy mind at times, adhd like symptoms, depression especially lately, random pains, ridged fingernails, ridged teeth that are transparant in areas, right eyelid drooping, oily face, acne around body etc. very similar symptoms, could i just be freaking out?
when working i stand for 8 hours a day and get intense shoulder pains either left or right, mostly left, stomache pains, more so than sitting
Have had Stomache pains and lower+upper ab/chest pains most of my life, when i was a kid i'd get this weird tingling that goes from my head through my body, get them sometimes now.
What could cause duodenal ulceration and distended gallbladder with sludge? very very scared!
edit\* known for anxiety, but these symptoms are alarming to me.</t>
        </is>
      </c>
      <c r="D1929" t="n">
        <v>0</v>
      </c>
      <c r="E1929" t="n">
        <v>2</v>
      </c>
      <c r="F1929">
        <f>HYPERLINK("https://www.reddit.com/r/cancer/comments/bevrbe/age_20_duodenal_ulcer_distended_gallbladder_with/")</f>
        <v/>
      </c>
      <c r="G1929" t="inlineStr">
        <is>
          <t>2019-04-18 22:52:56</t>
        </is>
      </c>
      <c r="H1929" t="inlineStr"/>
    </row>
    <row r="1930">
      <c r="A1930" t="inlineStr">
        <is>
          <t>bey7x0</t>
        </is>
      </c>
      <c r="B1930" t="inlineStr">
        <is>
          <t>My father, tbc metastatic pancreas cancer</t>
        </is>
      </c>
      <c r="C1930" t="inlineStr">
        <is>
          <t>We got the news out of nowhere. He has numerous spots, one 3 cm big and it has spread to the liver. He entered the hospital and we are waiting for the biopsy on Tuesday, when they open. They won't try to resect and might not put a valve on the duct, which tells me it's already late.
This is the first cancer in my family.
Any word of help, tip, anything.</t>
        </is>
      </c>
      <c r="D1930" t="n">
        <v>2</v>
      </c>
      <c r="E1930" t="n">
        <v>8</v>
      </c>
      <c r="F1930">
        <f>HYPERLINK("https://www.reddit.com/r/cancer/comments/bey7x0/my_father_tbc_metastatic_pancreas_cancer/")</f>
        <v/>
      </c>
      <c r="G1930" t="inlineStr">
        <is>
          <t>2019-04-19 04:51:13</t>
        </is>
      </c>
      <c r="H1930" t="inlineStr"/>
    </row>
    <row r="1931">
      <c r="A1931" t="inlineStr">
        <is>
          <t>bf0i2w</t>
        </is>
      </c>
      <c r="B1931" t="inlineStr">
        <is>
          <t>Anyone taken Sandostatin?</t>
        </is>
      </c>
      <c r="C1931" t="inlineStr">
        <is>
          <t>I appear to have liver metastasis from a pancreatic neuroendocrine tumor.  My doctors are waiting on results of one more test but said I likely will be put on Sandostatin/Octreotide.  Anyone have any experience with this medication.  How bad were the side effects?</t>
        </is>
      </c>
      <c r="D1931" t="n">
        <v>1</v>
      </c>
      <c r="E1931" t="n">
        <v>2</v>
      </c>
      <c r="F1931">
        <f>HYPERLINK("https://www.reddit.com/r/cancer/comments/bf0i2w/anyone_taken_sandostatin/")</f>
        <v/>
      </c>
      <c r="G1931" t="inlineStr">
        <is>
          <t>2019-04-19 08:35:50</t>
        </is>
      </c>
      <c r="H1931" t="inlineStr"/>
    </row>
    <row r="1932">
      <c r="A1932" t="inlineStr">
        <is>
          <t>bf22z9</t>
        </is>
      </c>
      <c r="B1932" t="inlineStr">
        <is>
          <t>[advice] Reciepes to make for my mom</t>
        </is>
      </c>
      <c r="C1932" t="inlineStr">
        <is>
          <t>Hi everyone!
I'm looking for simple recipes and recommendations for small meals I can make for my mom.
Since she has started chemo her taste buds have definitely changed. 
She likes noodles with lots of lemon on them. Or congee with lots of lemon. 
Things she use to like eating now have a bitter taste to them.
However I want to get creative so she does not get bored of what she eats. There was a time she refused to eat eggs in the morning simply because "I always have them" my aunt didn't get the message and continued to make her eggs until I had to tell her to stop. 
Talking about food with her, asking what she wants makes her uncomfortable. She gets a bit nervous then dizzy when I ask her what would she like to eat. Even when she is talking to a dietian at the cancer ward, she's like a little shy girl. It's odd to see since my mom is a very approachable person. 
So if maybe I already had a few simple recipes on hand she can just provide me a simple yes or no answer.
Thanks again!</t>
        </is>
      </c>
      <c r="D1932" t="n">
        <v>12</v>
      </c>
      <c r="E1932" t="n">
        <v>14</v>
      </c>
      <c r="F1932">
        <f>HYPERLINK("https://www.reddit.com/r/cancer/comments/bf22z9/advice_reciepes_to_make_for_my_mom/")</f>
        <v/>
      </c>
      <c r="G1932" t="inlineStr">
        <is>
          <t>2019-04-19 10:49:47</t>
        </is>
      </c>
      <c r="H1932" t="inlineStr"/>
    </row>
    <row r="1933">
      <c r="A1933" t="inlineStr">
        <is>
          <t>bf2fkv</t>
        </is>
      </c>
      <c r="B1933" t="inlineStr">
        <is>
          <t>Lung GVHD Complication</t>
        </is>
      </c>
      <c r="C1933" t="inlineStr">
        <is>
          <t>So I acquired GVHD after a BMT.  Started with skin and went to eyes and now lung though the degree of which is unknown.  I get some magic super high def CT scan on Monday.  What is known my lung function is steadily decreasing.  It used to shoot right up to 100% when they do that idiotic finger thing, now I'm lucky if it stays at around 94%  I had tried to do a traditional pulmonary function test and could not even complete the test, gasping for air/coughing
So onco sent me to pulmonary and they did this sort of portable version that's shorter and gives a printout.  Some long medical bullshit name but it boils down to my lung no long physically function as they should, they fail to inhale and exhale as they would in a normal person 
It was said it can turn your lungs to collagen?  Which I don't really understand and it sound really good.  Can someone smart explain this if one of the oncos are here or all of them?</t>
        </is>
      </c>
      <c r="D1933" t="n">
        <v>7</v>
      </c>
      <c r="E1933" t="n">
        <v>2</v>
      </c>
      <c r="F1933">
        <f>HYPERLINK("https://www.reddit.com/r/cancer/comments/bf2fkv/lung_gvhd_complication/")</f>
        <v/>
      </c>
      <c r="G1933" t="inlineStr">
        <is>
          <t>2019-04-19 11:20:02</t>
        </is>
      </c>
      <c r="H1933" t="inlineStr"/>
    </row>
    <row r="1934">
      <c r="A1934" t="inlineStr">
        <is>
          <t>bf2m7e</t>
        </is>
      </c>
      <c r="B1934" t="inlineStr">
        <is>
          <t>Stage 3 Cancer survivor, AMA.</t>
        </is>
      </c>
      <c r="C1934" t="inlineStr">
        <is>
          <t>Hi everyone, I was diagnosed when I was 14 with Rhabdomyosarcoma. I'm 25 this year and cancer free. If you need any advise or help with the treatment/recovery process, feel free to ask and I'll help however I can.
Being diagnosed at such age, I was depressed initially and had a really hard time. So if you know of a young child or teenager going through treatment, I'm more than happy to help them feel comfortable and will gladly answer any questions that can help them. 
Sending love and prayers to all those currently going through treatment :)</t>
        </is>
      </c>
      <c r="D1934" t="n">
        <v>21</v>
      </c>
      <c r="E1934" t="n">
        <v>16</v>
      </c>
      <c r="F1934">
        <f>HYPERLINK("https://www.reddit.com/r/cancer/comments/bf2m7e/stage_3_cancer_survivor_ama/")</f>
        <v/>
      </c>
      <c r="G1934" t="inlineStr">
        <is>
          <t>2019-04-19 11:35:46</t>
        </is>
      </c>
      <c r="H1934" t="inlineStr"/>
    </row>
    <row r="1935">
      <c r="A1935" t="inlineStr">
        <is>
          <t>bf3ixq</t>
        </is>
      </c>
      <c r="B1935" t="inlineStr">
        <is>
          <t>Carboplatin chemotherapy for Carcinoid tumors</t>
        </is>
      </c>
      <c r="C1935" t="inlineStr">
        <is>
          <t>My boyfriend is starting Carboplatin next Wednesday. He will be having this chemo for 3 days a week for 3 weeks along with Sandostatin. After this I believe the plan is to be on Everolimus. Are there any others here who had this chemo or the Everolimus? His Sandostatin did not work for him.. He has18+ tumors on his liver that have grown in the past 6 months since being on the Sandostatin and the symptoms and growth are not that of the normal carcionoid the oncologist states. Just wondering if any others here had any thoughts on what to expect, etc.. Thank you..</t>
        </is>
      </c>
      <c r="D1935" t="n">
        <v>1</v>
      </c>
      <c r="E1935" t="n">
        <v>1</v>
      </c>
      <c r="F1935">
        <f>HYPERLINK("https://www.reddit.com/r/cancer/comments/bf3ixq/carboplatin_chemotherapy_for_carcinoid_tumors/")</f>
        <v/>
      </c>
      <c r="G1935" t="inlineStr">
        <is>
          <t>2019-04-19 12:54:44</t>
        </is>
      </c>
      <c r="H1935" t="inlineStr"/>
    </row>
    <row r="1936">
      <c r="A1936" t="inlineStr">
        <is>
          <t>bf3ue7</t>
        </is>
      </c>
      <c r="B1936" t="inlineStr">
        <is>
          <t>What are good fruits/ veggies that help with platelet counts?</t>
        </is>
      </c>
      <c r="C1936" t="inlineStr">
        <is>
          <t>I am currently on Avastin  as a maintenance every three weeks, and one of the side effects can be low platelet counts. My counts got a little low, so I started making smoothies with spinach, berries, bananas, and yogurt. These are working great, but the spinach gets a little boring ( I always use more spinach than any other ingredient so I can get the iron ). So I am looking for other ideas to sometimes take the place of spinach.</t>
        </is>
      </c>
      <c r="D1936" t="n">
        <v>2</v>
      </c>
      <c r="E1936" t="n">
        <v>2</v>
      </c>
      <c r="F1936">
        <f>HYPERLINK("https://www.reddit.com/r/cancer/comments/bf3ue7/what_are_good_fruits_veggies_that_help_with/")</f>
        <v/>
      </c>
      <c r="G1936" t="inlineStr">
        <is>
          <t>2019-04-19 13:22:43</t>
        </is>
      </c>
      <c r="H1936" t="inlineStr"/>
    </row>
    <row r="1937">
      <c r="A1937" t="inlineStr">
        <is>
          <t>bf43w5</t>
        </is>
      </c>
      <c r="B1937" t="inlineStr">
        <is>
          <t>The worst advice you got on how to cure your cancer</t>
        </is>
      </c>
      <c r="C1937" t="inlineStr">
        <is>
          <t>Just for funsies, and to blow off steam, lets have a thread of utterly stupid advice.
I'll start!
I was told to absolutely not do chemo because that's poison. Instead I should grind up apricot kernels and apple seeds and eat those to heal my cancer. Which as you may know, are actually poisonous.</t>
        </is>
      </c>
      <c r="D1937" t="n">
        <v>86</v>
      </c>
      <c r="E1937" t="n">
        <v>150</v>
      </c>
      <c r="F1937">
        <f>HYPERLINK("https://www.reddit.com/r/cancer/comments/bf43w5/the_worst_advice_you_got_on_how_to_cure_your/")</f>
        <v/>
      </c>
      <c r="G1937" t="inlineStr">
        <is>
          <t>2019-04-19 13:46:19</t>
        </is>
      </c>
      <c r="H1937" t="inlineStr"/>
    </row>
    <row r="1938">
      <c r="A1938" t="inlineStr">
        <is>
          <t>bf4xzs</t>
        </is>
      </c>
      <c r="B1938" t="inlineStr">
        <is>
          <t>Melanoma growing back over my scar?</t>
        </is>
      </c>
      <c r="C1938" t="inlineStr">
        <is>
          <t>[Black spot #1 ](https://imgur.com/a/CNyeq5B)
[Black spot #2 ](https://imgur.com/a/BCKcEB4)
[Red spot #1](https://i.imgur.com/MNr6Eun.jpg) 
[Red spot #2](https://i.imgur.com/3CuQu6e.jpg) 
[Red spot #3](https://i.imgur.com/TFDgQkV.jpg) 
[Red spot #4](https://imgur.com/a/OpN2enM) 
[Red spot #5](https://i.imgur.com/roH4yBd.jpg) 
I had a Melanoma stage 1a removed from my left arm in August of 2017 via Wide Local Excision. They said they cleared the margins. This has been growing on my arm the last couple of weeks, pretty much legitimately right where the Melanoma was on my arm previously.
It started off as a different colored pink pigment with raised white borders. The crater wasn't raised, and it definitely wasn't a pimple. I barely picked it and it bled like crazy. It turned into the black spot that you see in the photos and it matched the texture of my scar. The black part fell off and now I'm left with this reddish/yellowish spot. The crater isn't raised but the surrounding area is. 
My dermatologist appointment is in 2.5 weeks but I'm freaking out that my Melanoma has been growing back this entire time and spreading. I've had a lot of issues lately and felt like something was drastically wrong with me, and then this popped up. I might just be anxious and this all may be unwarranted/my issues are unrelated, but I didn't like the timing.
Does anyone have any experience with this?
Thank you for your time.</t>
        </is>
      </c>
      <c r="D1938" t="n">
        <v>2</v>
      </c>
      <c r="E1938" t="n">
        <v>3</v>
      </c>
      <c r="F1938">
        <f>HYPERLINK("https://www.reddit.com/r/cancer/comments/bf4xzs/melanoma_growing_back_over_my_scar/")</f>
        <v/>
      </c>
      <c r="G1938" t="inlineStr">
        <is>
          <t>2019-04-19 15:03:43</t>
        </is>
      </c>
      <c r="H1938" t="inlineStr"/>
    </row>
    <row r="1939">
      <c r="A1939" t="inlineStr">
        <is>
          <t>bf60x1</t>
        </is>
      </c>
      <c r="B1939" t="inlineStr">
        <is>
          <t>Update on Mom with renal cancer and family members reactions. How do you all afford a cancer diagnosis? Most likely will have to quit job.</t>
        </is>
      </c>
      <c r="C1939" t="inlineStr">
        <is>
          <t>We went to the treatment consultation today with the urologist. The right kidney also has cancer with a T1b rating, left kidney has a T1a rating (hope I am not getting the ratings wrong). Mom had a little bit of a meltdown on the way to the doctor because she was worried she didn't look good enough. We got in very quickly compared to last time. I was actually pretty impressed by her. My grandmother has her on a no processed sugar diet, with grass fed beef, and lot of dandelion and peppermint tea. She looked really healthy compared to the last time I saw her. This kind of puts a kink in the massive chocolate cake I was going to make for Mother's day but I will take it! Especially since she does look so well. 
The doctor wants to do a partial nephrectomy with laparoscopic on the left kidney. It will be scheduled next month and she will have a month recovery after, after that they will be focused on the right kidney because the doctor is worried that he will have to remove the whole right kidney because of tumor placements. My nurse aunt was on the phone the whole time and my Mother was very calm throughout the procedure. I called my aunt that my Mom has problems with to let her know what is going on. I told her that only Nana and I were going to be in the hospital and she told me that was ok. She said (kindly) that she was on the fringes on this and that she couldn't handle being the good guy one minute and the bad guy the next, and while she loved her sister she didn't necessarily like her. I also got the feeling that she worried about my Grandmother taking care of my Mom since she was so old and she said that my Grandmother sounds different. She wants me to take my Mom for a few days so my grandmother can rest. I have already offered this but have been turned down multiple times. 
I will also be putting in my two weeks notice for my job in May before my Mom goes into surgery. I really have no idea how I am going to handle this financially. I have $1000 in my 401k that I can take with me when I leave, I have another $1000 fund, and my roommate said he can cover everything else except my car insurance, gas for car, food, ect. I am still applying to the respiratory program but I found another program "Biomedical tech" that has a more flexible schedule that is mostly online, worst comes to worst I can take out school loans and use them (I hate I am even considering that). 
I have actually read by accident (I was looking for recipes) that a no processed sugar diet can help cancer, I think if nothing else it's very healthy. I was really proud of my Mom today. Question: How the heck did you all afford cancer in the "before the government takes it seriously" stages. My Mom is already on a disability but that's not going to help my finances. I want to take a part time job but I don't know when she will or won't get sick. The logistics of this have really been stumping us and it's going to become an issue before long. Any suggestions? Thank you for listening. Writing this is actually helpful to me and kind of put my mind at ease and help me process. Thank you.</t>
        </is>
      </c>
      <c r="D1939" t="n">
        <v>2</v>
      </c>
      <c r="E1939" t="n">
        <v>3</v>
      </c>
      <c r="F1939">
        <f>HYPERLINK("https://www.reddit.com/r/cancer/comments/bf60x1/update_on_mom_with_renal_cancer_and_family/")</f>
        <v/>
      </c>
      <c r="G1939" t="inlineStr">
        <is>
          <t>2019-04-19 16:49:14</t>
        </is>
      </c>
      <c r="H1939" t="inlineStr"/>
    </row>
    <row r="1940">
      <c r="A1940" t="inlineStr">
        <is>
          <t>bf63c6</t>
        </is>
      </c>
      <c r="B1940" t="inlineStr">
        <is>
          <t>Sister has stage IV breast cancer</t>
        </is>
      </c>
      <c r="C1940" t="inlineStr">
        <is>
          <t>I need a place to talk, because I'm trying to be strong for my family. My 38 year old half sister has a strong family history of breast cancer. she got yearly mammograms starting at 27. In 2017 after a cleared mammogram, her doctor suggested to go every 2 years instead of every year, so she didn't get a mammogram in 2018.
Fast forward to now. In a span of three weeks, she found a lump in her breast and got diagnosed with stage IV breast cancer with bone mets (L1 spine and hip) and was given 5-10 years to live. I'm in shock and still taking all of it in. I'm sorry if this information can easily be found but I just don't have the capacity to Google anything right now. Her doctor recommended hormonal therapy, and none of the other treatments. Why wouldn't other treatments work? Wouldn't you want to try anything possible to stop it? I'm not very versed in this disease and I was hoping I never needed to be. How is she going to feel? Will treatment make her sick? How much pain will she be in? She has a 5 and 6 year old. How is she going to tell them the news?</t>
        </is>
      </c>
      <c r="D1940" t="n">
        <v>1</v>
      </c>
      <c r="E1940" t="n">
        <v>0</v>
      </c>
      <c r="F1940">
        <f>HYPERLINK("https://www.reddit.com/r/cancer/comments/bf63c6/sister_has_stage_iv_breast_cancer/")</f>
        <v/>
      </c>
      <c r="G1940" t="inlineStr">
        <is>
          <t>2019-04-19 16:56:22</t>
        </is>
      </c>
      <c r="H1940" t="inlineStr"/>
    </row>
    <row r="1941">
      <c r="A1941" t="inlineStr">
        <is>
          <t>bf661p</t>
        </is>
      </c>
      <c r="B1941" t="inlineStr">
        <is>
          <t>Brother had Leukemia, not sure if I am also at risk</t>
        </is>
      </c>
      <c r="C1941" t="inlineStr">
        <is>
          <t>My brother was diagnosed with Leukemia when he was 11 years old, he had his genome sequenced to see if it was genetic and found that it was not. The doctors speculate that it was most likely environmental and a friend that he went to elementary school with was also diagnosed with Leukemia around the same time. I've recently been showing signs in my blood work of a decreased white blood cell count and my doctors are becoming concerned. Has anyone heard of something like this?</t>
        </is>
      </c>
      <c r="D1941" t="n">
        <v>2</v>
      </c>
      <c r="E1941" t="n">
        <v>1</v>
      </c>
      <c r="F1941">
        <f>HYPERLINK("https://www.reddit.com/r/cancer/comments/bf661p/brother_had_leukemia_not_sure_if_i_am_also_at_risk/")</f>
        <v/>
      </c>
      <c r="G1941" t="inlineStr">
        <is>
          <t>2019-04-19 17:04:09</t>
        </is>
      </c>
      <c r="H1941" t="inlineStr"/>
    </row>
    <row r="1942">
      <c r="A1942" t="inlineStr">
        <is>
          <t>bf6bux</t>
        </is>
      </c>
      <c r="B1942" t="inlineStr">
        <is>
          <t>Today it's been 1 year since my Mom died from cancer.</t>
        </is>
      </c>
      <c r="C1942" t="inlineStr">
        <is>
          <t>It feels like yesterday, and I wasn't doing too good a couple of months ago. But I made a decision to stop dwelling on her dying and remember her life! She passed away 8 months after being diagnosed with Stage 4 Lung Cancer with mets, but she was alive 71 years! It helped get me past those sad couple months and I miss her so much! BUT I am learning to live without her, physically, but she's with me every day of my life in spirit and in memories. Love you Momma!</t>
        </is>
      </c>
      <c r="D1942" t="n">
        <v>24</v>
      </c>
      <c r="E1942" t="n">
        <v>10</v>
      </c>
      <c r="F1942">
        <f>HYPERLINK("https://www.reddit.com/r/cancer/comments/bf6bux/today_its_been_1_year_since_my_mom_died_from/")</f>
        <v/>
      </c>
      <c r="G1942" t="inlineStr">
        <is>
          <t>2019-04-19 17:20:54</t>
        </is>
      </c>
      <c r="H1942" t="inlineStr"/>
    </row>
    <row r="1943">
      <c r="A1943" t="inlineStr">
        <is>
          <t>bf850p</t>
        </is>
      </c>
      <c r="B1943" t="inlineStr">
        <is>
          <t>Cancer cells</t>
        </is>
      </c>
      <c r="C1943" t="inlineStr">
        <is>
          <t>If you leave some blood from someone with cancer on a table surface, how long will the cancer cells survive in the blood?</t>
        </is>
      </c>
      <c r="D1943" t="n">
        <v>0</v>
      </c>
      <c r="E1943" t="n">
        <v>6</v>
      </c>
      <c r="F1943">
        <f>HYPERLINK("https://www.reddit.com/r/cancer/comments/bf850p/cancer_cells/")</f>
        <v/>
      </c>
      <c r="G1943" t="inlineStr">
        <is>
          <t>2019-04-19 20:48:37</t>
        </is>
      </c>
      <c r="H1943" t="inlineStr"/>
    </row>
    <row r="1944">
      <c r="A1944" t="inlineStr">
        <is>
          <t>bfcjxk</t>
        </is>
      </c>
      <c r="B1944" t="inlineStr">
        <is>
          <t>Creative ways to cover port?</t>
        </is>
      </c>
      <c r="C1944" t="inlineStr">
        <is>
          <t>So my cousin is getting married in a couple weeks andits a black tie dress code. I found this gown I love but you can see my port (right chest) and I'd rather not have it all out for everyone to see.  My hair isn't quite long enough to hide it so should I put a cute little bandaid over it or something? Anyone else have some ways to cover it?</t>
        </is>
      </c>
      <c r="D1944" t="n">
        <v>3</v>
      </c>
      <c r="E1944" t="n">
        <v>17</v>
      </c>
      <c r="F1944">
        <f>HYPERLINK("https://www.reddit.com/r/cancer/comments/bfcjxk/creative_ways_to_cover_port/")</f>
        <v/>
      </c>
      <c r="G1944" t="inlineStr">
        <is>
          <t>2019-04-20 07:08:24</t>
        </is>
      </c>
      <c r="H1944" t="inlineStr"/>
    </row>
    <row r="1945">
      <c r="A1945" t="inlineStr">
        <is>
          <t>bfeqfk</t>
        </is>
      </c>
      <c r="B1945" t="inlineStr">
        <is>
          <t>Grandfather has cancer again at age 85. Doctors won’t treat him with chemo or operate.</t>
        </is>
      </c>
      <c r="C1945" t="inlineStr">
        <is>
          <t>So long story short. My grandfather got diagnosed with stomach cancer a few years back. He beat it and thanks to the discovery of his cancer, my father’s cancer got discovered as well. (He beat it as well). 
I just got the news that they discovered a tumour in my grandfather’s airway(? Somewhere around that part.) He recently fell and broke his hip. His hip has healed but the doctor said he is too weak for chemo or an operation. So they won’t do anything. 
I have a hard time coming to terms with that. My grandfather’s dream was to live to age 100 since my great grandfather also lived to that age. I asked if he couldn’t get a second opinion but grandpa says he trusts his doctor. He seems heartbroken. He feels like the doctors have given up on him and that’s that. His doctor will also bring him the papers Monday that basically say that he can commit euthanasia when the pain becomes too much. (My grandpa isn’t in much pain right now)
I just... don’t know. Is there anything we can do? It’s just feels so damn unfair. They gave him a timeframe from around two months to a couple of years. I just want my grandfather to see me graduate. I just want to make him proud by getting my masters and showing him my finished project. I want him to be around for much longer. I want him to accomplish his dream. I just don’t to lose him.</t>
        </is>
      </c>
      <c r="D1945" t="n">
        <v>21</v>
      </c>
      <c r="E1945" t="n">
        <v>28</v>
      </c>
      <c r="F1945">
        <f>HYPERLINK("https://www.reddit.com/r/cancer/comments/bfeqfk/grandfather_has_cancer_again_at_age_85_doctors/")</f>
        <v/>
      </c>
      <c r="G1945" t="inlineStr">
        <is>
          <t>2019-04-20 10:29:31</t>
        </is>
      </c>
      <c r="H1945" t="inlineStr"/>
    </row>
    <row r="1946">
      <c r="A1946" t="inlineStr">
        <is>
          <t>bfffri</t>
        </is>
      </c>
      <c r="B1946" t="inlineStr">
        <is>
          <t>Is colon cancer curable?</t>
        </is>
      </c>
      <c r="C1946" t="inlineStr">
        <is>
          <t>My mom has every symptom of colon cancer, she just got back the blood test results and all and she has a relatively high calprotectin levels (120), blood in her stool, which may or may not be caused by constipation (been going on for a while too), and way too many cramps the last few weeks. 
she has a doctor visit next week let’s see how it goes. I haven’t told her about my findings but i’m getting paranoid and freaking out here. 
worst case scenario, is colon cancer treatable?</t>
        </is>
      </c>
      <c r="D1946" t="n">
        <v>0</v>
      </c>
      <c r="E1946" t="n">
        <v>18</v>
      </c>
      <c r="F1946">
        <f>HYPERLINK("https://www.reddit.com/r/cancer/comments/bfffri/is_colon_cancer_curable/")</f>
        <v/>
      </c>
      <c r="G1946" t="inlineStr">
        <is>
          <t>2019-04-20 11:31:39</t>
        </is>
      </c>
      <c r="H1946" t="inlineStr"/>
    </row>
    <row r="1947">
      <c r="A1947" t="inlineStr">
        <is>
          <t>bffz90</t>
        </is>
      </c>
      <c r="B1947" t="inlineStr">
        <is>
          <t>Found a lump 4 months ago - don’t have health insurance, don’t know what to do</t>
        </is>
      </c>
      <c r="C1947" t="inlineStr">
        <is>
          <t>Also poor. Age 28. Lump changes sizes depending on what I eat which is weird. It’s been larger and smaller, often changes within a day several times a week. Should I go to the ER? If they diagnose it while I don’t have insurance what will happen to me? My whole family is poor.</t>
        </is>
      </c>
      <c r="D1947" t="n">
        <v>3</v>
      </c>
      <c r="E1947" t="n">
        <v>16</v>
      </c>
      <c r="F1947">
        <f>HYPERLINK("https://www.reddit.com/r/cancer/comments/bffz90/found_a_lump_4_months_ago_dont_have_health/")</f>
        <v/>
      </c>
      <c r="G1947" t="inlineStr">
        <is>
          <t>2019-04-20 12:21:33</t>
        </is>
      </c>
      <c r="H1947" t="inlineStr"/>
    </row>
    <row r="1948">
      <c r="A1948" t="inlineStr">
        <is>
          <t>bfgcyu</t>
        </is>
      </c>
      <c r="B1948" t="inlineStr">
        <is>
          <t>Need some help</t>
        </is>
      </c>
      <c r="C1948" t="inlineStr">
        <is>
          <t>Hey guys. Some backstory: my mom was diagnosed with stage 4 colon cancer with met to her liver. She’s met with an oncologist and the prognosis seemed pretty grim as the cancer has spread a bit in her liver. My mom is now convinced that chemotherapy 1. Can cause more cancer, 2. Will lower the immune system 3. Will basically kill her. So she’s against doing it rn.
She has a friend that supposedly has amazing results from THC and diet and they have supposedly cured several people of their cancer. I think these things can have beneficial effects but isn’t it incredibly stupid to just not do chemo? The dr said it is most likely not curable so it is palliative care. But shouldn’t we at least try the chemo to see how her body responds? Can you guys help me convince my mom. It’s driving me crazy that she is just throwing a chance away</t>
        </is>
      </c>
      <c r="D1948" t="n">
        <v>2</v>
      </c>
      <c r="E1948" t="n">
        <v>14</v>
      </c>
      <c r="F1948">
        <f>HYPERLINK("https://www.reddit.com/r/cancer/comments/bfgcyu/need_some_help/")</f>
        <v/>
      </c>
      <c r="G1948" t="inlineStr">
        <is>
          <t>2019-04-20 12:57:11</t>
        </is>
      </c>
      <c r="H1948" t="inlineStr"/>
    </row>
    <row r="1949">
      <c r="A1949" t="inlineStr">
        <is>
          <t>bfh2mk</t>
        </is>
      </c>
      <c r="B1949" t="inlineStr">
        <is>
          <t>Just a quick question</t>
        </is>
      </c>
      <c r="C1949" t="inlineStr">
        <is>
          <t>How many people on this sub have been diagnosed, how many have had a close one, or just here. 
Thanks in advance.</t>
        </is>
      </c>
      <c r="D1949" t="n">
        <v>2</v>
      </c>
      <c r="E1949" t="n">
        <v>35</v>
      </c>
      <c r="F1949">
        <f>HYPERLINK("https://www.reddit.com/r/cancer/comments/bfh2mk/just_a_quick_question/")</f>
        <v/>
      </c>
      <c r="G1949" t="inlineStr">
        <is>
          <t>2019-04-20 14:04:38</t>
        </is>
      </c>
      <c r="H1949" t="inlineStr"/>
    </row>
    <row r="1950">
      <c r="A1950" t="inlineStr">
        <is>
          <t>bfh3uk</t>
        </is>
      </c>
      <c r="B1950" t="inlineStr">
        <is>
          <t>Handling denial of terminal cancer?</t>
        </is>
      </c>
      <c r="C1950" t="inlineStr">
        <is>
          <t>Hello all. I've posted here a few time before.
My step-mom has stage 4 ovarian cancer and we just received news that it's spread to her lungs as well. She's looking at weeks to live and her chemo hasn't done anything for her since before Christmas... Yet she continues insisting on receiving chemotherapy.
She's in denial of her death and believes that with continued chemotherapy she will completely heal and life will return to normal... Which is impossible at this point.
 It's been extremely distressing for all of my family when she talks about how she's going to get better when clearly that's not the case. On phone calls she's lying to her friends and family saying the doctor is optimistic about her outlook and joking that she'll be back at the bars with them this time next year. If we or her nurses try to bring up end of life care she gets angry and refuses to listen.
She will literally beg the doctor for more chemo. Last week she told him she could skip down the hall right now if it proved to him that the chemo was working. Most days she's bed bound. Our oncologist says if it's making her feel better he'll continue doing chemo, but he only sees her twenty mins a week and doesn't realize that she's lying about how she feels. 
We are running in circles to essentially provide home hospice. Me and my mom are on call for her 24/7 Bc she can't get out of bed without our help and there's been times she's needed to be in the hospital but refused to go because of her denial. 
 Everyone is losing Bc she won't admit she's dying. My mom and I are exhausted and can't get the medical support we need. Her friends and family won't get to say goodbye Bc she keeps telling them she's fine. And she has been doing horrible horrible chemo that hasn't stopped or slowed the tumors one bit...
Yesterday is what broke me. The doctor point blank told her that the chemo wasn't working and that there was only one more drug he'd even consider. She turned that around and told her mom the chemo was working so well they were going to put her on an even more aggressive chemo Bc she could  handle it and that way she could beat cancer even faster. 
Hearing her say that absolutely broke my heart... I don't know what to do anymore.</t>
        </is>
      </c>
      <c r="D1950" t="n">
        <v>12</v>
      </c>
      <c r="E1950" t="n">
        <v>11</v>
      </c>
      <c r="F1950">
        <f>HYPERLINK("https://www.reddit.com/r/cancer/comments/bfh3uk/handling_denial_of_terminal_cancer/")</f>
        <v/>
      </c>
      <c r="G1950" t="inlineStr">
        <is>
          <t>2019-04-20 14:08:01</t>
        </is>
      </c>
      <c r="H1950" t="inlineStr"/>
    </row>
    <row r="1951">
      <c r="A1951" t="inlineStr">
        <is>
          <t>bfhwqx</t>
        </is>
      </c>
      <c r="B1951" t="inlineStr">
        <is>
          <t>Stage iv and life goals</t>
        </is>
      </c>
      <c r="C1951" t="inlineStr">
        <is>
          <t>I have stage iv cancer. I am having a difficult time coming up with life goals. This is the first year I am unable to work. I do not see having a job in my future due to my health. I feel lost without having goals. Does anyone have any suggestions?</t>
        </is>
      </c>
      <c r="D1951" t="n">
        <v>1</v>
      </c>
      <c r="E1951" t="n">
        <v>6</v>
      </c>
      <c r="F1951">
        <f>HYPERLINK("https://www.reddit.com/r/cancer/comments/bfhwqx/stage_iv_and_life_goals/")</f>
        <v/>
      </c>
      <c r="G1951" t="inlineStr">
        <is>
          <t>2019-04-20 15:27:09</t>
        </is>
      </c>
      <c r="H1951" t="inlineStr"/>
    </row>
    <row r="1952">
      <c r="A1952" t="inlineStr">
        <is>
          <t>bfi4hx</t>
        </is>
      </c>
      <c r="B1952" t="inlineStr">
        <is>
          <t>The symptoms of cancer are consistent?</t>
        </is>
      </c>
      <c r="C1952" t="inlineStr">
        <is>
          <t>Does someone know if the symptoms produced by cancer are always present and get worse over time? I ask this because I'm worried about some throat symptoms I've been feeling (I'm 23 btw) and I'll go to see a doctor but while I'm waiting for next week to go, I just have that doubt in my mind. I've been having those symptoms from time to time for a around a year but I pass months without them as well. Thanks to anyone who will read and answer, and I'm sorry if this breaks rule 4 :(</t>
        </is>
      </c>
      <c r="D1952" t="n">
        <v>0</v>
      </c>
      <c r="E1952" t="n">
        <v>5</v>
      </c>
      <c r="F1952">
        <f>HYPERLINK("https://www.reddit.com/r/cancer/comments/bfi4hx/the_symptoms_of_cancer_are_consistent/")</f>
        <v/>
      </c>
      <c r="G1952" t="inlineStr">
        <is>
          <t>2019-04-20 15:49:24</t>
        </is>
      </c>
      <c r="H1952" t="inlineStr"/>
    </row>
    <row r="1953">
      <c r="A1953" t="inlineStr">
        <is>
          <t>bfimj3</t>
        </is>
      </c>
      <c r="B1953" t="inlineStr">
        <is>
          <t>Lump on tibia, unsure what it is</t>
        </is>
      </c>
      <c r="C1953" t="inlineStr">
        <is>
          <t>I noticed a lump maybe an inch or so in diameter on my tibia the other day while I was stretching. I visited a local walk in clinic the other day to get an actual medical opinion because of course google made my mind run wild(I was expecting something pretty reasonable- not “lipoma VS sarcoma”.) The nurse practitioner told me “don’t bother it and it won’t bother you, just watch it’s size. I will say it’s placement is strange, though I can’t really tell you what it is as we don’t have the equipment to do testing here.” But she never referred me to a different doctor to get a second opinion which I think is strange? Anyway, I have an appointment set up for next week to get it looked at... but in the mean time I was wondering if this sounds familiar to anyone? Am I overreacting? I know “is it cancer” questions are a no go but I’m absolutely losing my mind waiting. It’s completely painless unless I’m on my feet/running/walking a ton and then it gets pretty tender but not necessarily painful and it’s not visible at all. I’m not usually one to overreact when it comes to medical issues but I just have kind of a feeling about this one. Anyway- any opinions/advice are welcome. If this isn’t allowed I understand. TIA.</t>
        </is>
      </c>
      <c r="D1953" t="n">
        <v>1</v>
      </c>
      <c r="E1953" t="n">
        <v>0</v>
      </c>
      <c r="F1953">
        <f>HYPERLINK("https://www.reddit.com/r/cancer/comments/bfimj3/lump_on_tibia_unsure_what_it_is/")</f>
        <v/>
      </c>
      <c r="G1953" t="inlineStr">
        <is>
          <t>2019-04-20 16:42:24</t>
        </is>
      </c>
      <c r="H1953" t="inlineStr"/>
    </row>
    <row r="1954">
      <c r="A1954" t="inlineStr">
        <is>
          <t>bfisan</t>
        </is>
      </c>
      <c r="B1954" t="inlineStr">
        <is>
          <t>Patients: what is the best thing a doctor has said/done for you?</t>
        </is>
      </c>
      <c r="C1954" t="inlineStr">
        <is>
          <t>And what was the worst?
Any advice for a future doctor?</t>
        </is>
      </c>
      <c r="D1954" t="n">
        <v>3</v>
      </c>
      <c r="E1954" t="n">
        <v>14</v>
      </c>
      <c r="F1954">
        <f>HYPERLINK("https://www.reddit.com/r/cancer/comments/bfisan/patients_what_is_the_best_thing_a_doctor_has/")</f>
        <v/>
      </c>
      <c r="G1954" t="inlineStr">
        <is>
          <t>2019-04-20 16:58:39</t>
        </is>
      </c>
      <c r="H1954" t="inlineStr"/>
    </row>
    <row r="1955">
      <c r="A1955" t="inlineStr">
        <is>
          <t>bfj9de</t>
        </is>
      </c>
      <c r="B1955" t="inlineStr">
        <is>
          <t>My twin brother died last night</t>
        </is>
      </c>
      <c r="C1955" t="inlineStr">
        <is>
          <t>We were identical twin brothers. He was only 17 with so many dreams and aspirations. He died at 11:15pm last night and my entire world shattered. It’s hitting me hard now as I’m realizing I’m not going to get another hug, “I love you,” or even fighting with him for decades. We had a special bond and I was so close with him. I’m not really sure how to continue on. I’m not going to be able to share any of my future accomplishments with him and my heart is so broken today. I miss him so much.</t>
        </is>
      </c>
      <c r="D1955" t="n">
        <v>148</v>
      </c>
      <c r="E1955" t="n">
        <v>35</v>
      </c>
      <c r="F1955">
        <f>HYPERLINK("https://www.reddit.com/r/cancer/comments/bfj9de/my_twin_brother_died_last_night/")</f>
        <v/>
      </c>
      <c r="G1955" t="inlineStr">
        <is>
          <t>2019-04-20 17:49:41</t>
        </is>
      </c>
      <c r="H1955" t="inlineStr"/>
    </row>
    <row r="1956">
      <c r="A1956" t="inlineStr">
        <is>
          <t>bfjyg1</t>
        </is>
      </c>
      <c r="B1956" t="inlineStr">
        <is>
          <t>Don’t want much, just a small prayer</t>
        </is>
      </c>
      <c r="C1956" t="inlineStr">
        <is>
          <t>I was just informed my dad is suffering from prostate cancer. He didn’t tell me before because he wanted to get the details figured out before he tells me. He’s been the best dad I could ask for and has been an amazing role model my entire life.  He’s having his surgery soon and I don’t want much just a simple prayer to help my dad and my family get through this.</t>
        </is>
      </c>
      <c r="D1956" t="n">
        <v>3</v>
      </c>
      <c r="E1956" t="n">
        <v>11</v>
      </c>
      <c r="F1956">
        <f>HYPERLINK("https://www.reddit.com/r/cancer/comments/bfjyg1/dont_want_much_just_a_small_prayer/")</f>
        <v/>
      </c>
      <c r="G1956" t="inlineStr">
        <is>
          <t>2019-04-20 19:05:20</t>
        </is>
      </c>
      <c r="H1956" t="inlineStr"/>
    </row>
    <row r="1957">
      <c r="A1957" t="inlineStr">
        <is>
          <t>bfk4vg</t>
        </is>
      </c>
      <c r="B1957" t="inlineStr">
        <is>
          <t>What does the phase number of a trial mean?</t>
        </is>
      </c>
      <c r="C1957" t="inlineStr">
        <is>
          <t>For example, is a phase 4 trial testing a drug more certain to cure a participant compared to a  phase 1 or 2 study? What exactly does the phases mean?</t>
        </is>
      </c>
      <c r="D1957" t="n">
        <v>1</v>
      </c>
      <c r="E1957" t="n">
        <v>7</v>
      </c>
      <c r="F1957">
        <f>HYPERLINK("https://www.reddit.com/r/cancer/comments/bfk4vg/what_does_the_phase_number_of_a_trial_mean/")</f>
        <v/>
      </c>
      <c r="G1957" t="inlineStr">
        <is>
          <t>2019-04-20 19:25:03</t>
        </is>
      </c>
      <c r="H1957" t="inlineStr"/>
    </row>
    <row r="1958">
      <c r="A1958" t="inlineStr">
        <is>
          <t>bfl4mv</t>
        </is>
      </c>
      <c r="B1958" t="inlineStr">
        <is>
          <t>Dad has stage 4 lung cancer and his routine has drastically changed and I’m looking for activities to keep him busy</t>
        </is>
      </c>
      <c r="C1958" t="inlineStr">
        <is>
          <t>My dad just informed me about a month ago that he has been diagnosed with stage 4 lung cancer (non smoker). He only learned of this about a month or two prior to alerting me and since I’m not often around (about 2 hour drive) I didn’t see any signs coming. Well skipping most detail unless asked, he used to be a very active man as he is in construction and he also takes care of moving around do projects around the house and rarely ever sat down to do anything but watch tv and sleep.  
.
Well obviously his routine has changed and is in constant pain in the simplest of moving tasks. I can see he is a bit miserable just watching tv and I’m trying to  find things that may be of interest to him while sitting to avoid the constant thinking of the uncomfortable/pain feelings. I don’t want to pressure anything on him because there is no way I understand what’s it like. 
.
Sorry long story, I’m just curious what are things I can suggest for him to do. I appreciate any and all replies and really thank you for just glancing by :).</t>
        </is>
      </c>
      <c r="D1958" t="n">
        <v>5</v>
      </c>
      <c r="E1958" t="n">
        <v>11</v>
      </c>
      <c r="F1958">
        <f>HYPERLINK("https://www.reddit.com/r/cancer/comments/bfl4mv/dad_has_stage_4_lung_cancer_and_his_routine_has/")</f>
        <v/>
      </c>
      <c r="G1958" t="inlineStr">
        <is>
          <t>2019-04-20 21:23:30</t>
        </is>
      </c>
      <c r="H1958" t="inlineStr"/>
    </row>
    <row r="1959">
      <c r="A1959" t="inlineStr">
        <is>
          <t>bfl6v2</t>
        </is>
      </c>
      <c r="B1959" t="inlineStr">
        <is>
          <t>Brain tumor question</t>
        </is>
      </c>
      <c r="C1959" t="inlineStr">
        <is>
          <t>Hi all. I’m posting here because I would like to know the first symptoms those of you who have had a brain tumor experienced. I’m not trying to jump to conclusions, and I am sure it is probably nothing, but I’ve been feeling off lately. For several months there has been a strange sensation behind my eye. It doesn’t feel like there’s anything in my eye but rather as if something is pushing up against the back of my eye. I went to my optometrist who did several different tests and said that everything looked good, including my optic nerve (which is what I thought was being irritated). My optometrist said the pressure i was feeling was likely related to my astigmatism and thus changed my prescription. Fast forward a month and the sensation comes and goes but is not as noticeable so I chalk what I was feeling up to a change in my vision. Fast forward a couple more months and the pressure is back and is more intense. My eye hurts occasionally when I go out into the light. It almost feels as if it is bulging out. I feel as if I can’t focus clearly with both eyes sometimes. It’s a very odd barely there sort of feeling that I can’t even understand. I did some research about brain tumors and found that some could sit behind the eye and push up against it. Although if this were the case my optometrist would have noticed it during the examination right? I don’t know who to go to about it anymore. Has anyone experienced anything similar? I do plan on going to my general practitioner.</t>
        </is>
      </c>
      <c r="D1959" t="n">
        <v>1</v>
      </c>
      <c r="E1959" t="n">
        <v>2</v>
      </c>
      <c r="F1959">
        <f>HYPERLINK("https://www.reddit.com/r/cancer/comments/bfl6v2/brain_tumor_question/")</f>
        <v/>
      </c>
      <c r="G1959" t="inlineStr">
        <is>
          <t>2019-04-20 21:31:33</t>
        </is>
      </c>
      <c r="H1959" t="inlineStr"/>
    </row>
    <row r="1960">
      <c r="A1960" t="inlineStr">
        <is>
          <t>bfln8y</t>
        </is>
      </c>
      <c r="B1960" t="inlineStr">
        <is>
          <t>Worry of the week.</t>
        </is>
      </c>
      <c r="C1960" t="inlineStr">
        <is>
          <t>The type of cancer I had/have likes to spread to the brain and not a single one of the systemic therapies I have had cross the blood brain barrier.</t>
        </is>
      </c>
      <c r="D1960" t="n">
        <v>2</v>
      </c>
      <c r="E1960" t="n">
        <v>3</v>
      </c>
      <c r="F1960">
        <f>HYPERLINK("https://www.reddit.com/r/cancer/comments/bfln8y/worry_of_the_week/")</f>
        <v/>
      </c>
      <c r="G1960" t="inlineStr">
        <is>
          <t>2019-04-20 22:32:32</t>
        </is>
      </c>
      <c r="H1960" t="inlineStr"/>
    </row>
    <row r="1961">
      <c r="A1961" t="inlineStr">
        <is>
          <t>bfnhtn</t>
        </is>
      </c>
      <c r="B1961" t="inlineStr">
        <is>
          <t>How is your emotional state?</t>
        </is>
      </c>
      <c r="C1961" t="inlineStr">
        <is>
          <t>How is everyone’s emotional state?
I’m asking because I feel like a emotional/nervous reck. 
I’ve been in treatment for endometrial cancer almost 2 years. Had a radical hysterectomy plus 7 weeks ago.  Treatment has gone very well from a medical point of view. I may even be cancer free at this point and will know more at my next oncology appointment. 
I’m am super jumpy and nervous. I feel emotionally spent and drained of energy. I cry almost every day.  I feel like I’m walking on eggshells.  I exhausted from hurting and aching. 
Is this from being physically so sick?  Mental stress?  Am I being a baby?  
How do you all feel?  Is this normal?  Will it fade?</t>
        </is>
      </c>
      <c r="D1961" t="n">
        <v>4</v>
      </c>
      <c r="E1961" t="n">
        <v>10</v>
      </c>
      <c r="F1961">
        <f>HYPERLINK("https://www.reddit.com/r/cancer/comments/bfnhtn/how_is_your_emotional_state/")</f>
        <v/>
      </c>
      <c r="G1961" t="inlineStr">
        <is>
          <t>2019-04-21 03:29:45</t>
        </is>
      </c>
      <c r="H1961" t="inlineStr"/>
    </row>
    <row r="1962">
      <c r="A1962" t="inlineStr">
        <is>
          <t>bfp41x</t>
        </is>
      </c>
      <c r="B1962" t="inlineStr">
        <is>
          <t>Raised money after beating cancer</t>
        </is>
      </c>
      <c r="C1962" t="inlineStr">
        <is>
          <t>After successfully beating cancer this year at the age of 31.. I decided to give more back (I was never a selfish person anyway). 
This morning I finally completed my hike. I climbed the three peaks of Wales, England and Scotland 3x over in consecutive days. I slogged for it and I raised over £21,000 for cancer research UK...
I DID IT!!!!!! 😃😃😃</t>
        </is>
      </c>
      <c r="D1962" t="n">
        <v>94</v>
      </c>
      <c r="E1962" t="n">
        <v>10</v>
      </c>
      <c r="F1962">
        <f>HYPERLINK("https://www.reddit.com/r/cancer/comments/bfp41x/raised_money_after_beating_cancer/")</f>
        <v/>
      </c>
      <c r="G1962" t="inlineStr">
        <is>
          <t>2019-04-21 07:03:08</t>
        </is>
      </c>
      <c r="H1962" t="inlineStr"/>
    </row>
    <row r="1963">
      <c r="A1963" t="inlineStr">
        <is>
          <t>bfpxbt</t>
        </is>
      </c>
      <c r="B1963" t="inlineStr">
        <is>
          <t>What are some of the things you expected your family to do after your cancer treatment?</t>
        </is>
      </c>
      <c r="C1963" t="inlineStr">
        <is>
          <t>What did you like and dislike about their reaction? How did you want them to comfort you? What are the things that put you to ease after cancer shock?</t>
        </is>
      </c>
      <c r="D1963" t="n">
        <v>2</v>
      </c>
      <c r="E1963" t="n">
        <v>7</v>
      </c>
      <c r="F1963">
        <f>HYPERLINK("https://www.reddit.com/r/cancer/comments/bfpxbt/what_are_some_of_the_things_you_expected_your/")</f>
        <v/>
      </c>
      <c r="G1963" t="inlineStr">
        <is>
          <t>2019-04-21 08:25:01</t>
        </is>
      </c>
      <c r="H1963" t="inlineStr"/>
    </row>
    <row r="1964">
      <c r="A1964" t="inlineStr">
        <is>
          <t>bfq5gm</t>
        </is>
      </c>
      <c r="B1964" t="inlineStr">
        <is>
          <t>SBRT for HCC</t>
        </is>
      </c>
      <c r="C1964" t="inlineStr">
        <is>
          <t>Hi Everyone!
My father in law has been fighting liver cancer (HCC) for 2 years how.  Originally worked up for transplant but was considered not a candidate d/t age (73) and presenting AFP (&amp;gt;1500). TACE has been quite successful at necrotizing the tumors and keeping things at bay (s/p 7 txs).  Unfortunately he has developed a significant thrombus in his vena cava, an IVC filter was placed and he's on lovenox.  They want to hold off on additional TACEs for now. So he's moved on to SBRT for disease in the left lobe.  He had his sim last week and will start treatments next week.  Unfortunately, he's a stubborn old fool and didn't have any of the family go to his Rad Onc appt so we're going on his report of what the side effects and expected outcomes are.  I put a message in to the Rad Onc nurse on Monday but she didn't call me back till Friday afternoon and of course I missed the call.  He has his verification SIM on Tuesday and his first treatment on Wednesday.  He is insistent that he will be able to drive himself  (2 hour drive each way) for his first week of treatments as it takes time for the fatigue to start. Most of the family lives out of state and his wife doesn't drive long distances so we need to make arrangements for transportation ahead of time.   So what are people's experiences?  When did the fatigue set in?  GI side effects? Will he be up for such a long drive after the 1st and 2nd treatments? We are more than happy to make the trip and drive but he's being so stubborn we don't want to impose ourselves if he truly will be fine.  Hopefully I'll be able to touch base with the Rad Onc nurse on Monday but in case not I appreciate any feedback.  
I tried to search for related posts and didn't see any with relevant answers.  Feel free to point me to other posts if this has already been addressed. 
TL;DR Father in law starting SBRT for liver cancer, first treatment Wednesday.  When do side effects start?  Will he be able to drive? 
Thanks in Advance!</t>
        </is>
      </c>
      <c r="D1964" t="n">
        <v>5</v>
      </c>
      <c r="E1964" t="n">
        <v>4</v>
      </c>
      <c r="F1964">
        <f>HYPERLINK("https://www.reddit.com/r/cancer/comments/bfq5gm/sbrt_for_hcc/")</f>
        <v/>
      </c>
      <c r="G1964" t="inlineStr">
        <is>
          <t>2019-04-21 08:47:20</t>
        </is>
      </c>
      <c r="H1964" t="inlineStr"/>
    </row>
    <row r="1965">
      <c r="A1965" t="inlineStr">
        <is>
          <t>bfqd81</t>
        </is>
      </c>
      <c r="B1965" t="inlineStr">
        <is>
          <t>Gel Polish PSA!</t>
        </is>
      </c>
      <c r="C1965" t="inlineStr">
        <is>
          <t>I used to *love* gel mani/pedis--got them all the time, until I read about the high potential for skin cancer due to the UV curing process. It seems so obvious after learning about it, you're basically exposing your fingertips to tiny tanning beds at extremely close range. It is so easy to overlook, I did for *years*, but it is a very serious source of dangerous UV radiation that goes almost entirely unaddressed. 
***PLEASE ALSO KNOW that the LED bulbs give out the same spectrum and intensity of rays as any other type of UV bulb. I have had manicurists try and convince me the LEDs are "safe", *they are not*.
I hope this is an ok place for this post; I felt like it was important to try and get this message to as many people I could as quickly as I could because it took so long before I learned about this danger. Thanks for reading.</t>
        </is>
      </c>
      <c r="D1965" t="n">
        <v>0</v>
      </c>
      <c r="E1965" t="n">
        <v>4</v>
      </c>
      <c r="F1965">
        <f>HYPERLINK("https://www.reddit.com/r/cancer/comments/bfqd81/gel_polish_psa/")</f>
        <v/>
      </c>
      <c r="G1965" t="inlineStr">
        <is>
          <t>2019-04-21 09:07:31</t>
        </is>
      </c>
      <c r="H1965" t="inlineStr"/>
    </row>
    <row r="1966">
      <c r="A1966" t="inlineStr">
        <is>
          <t>bfqdjy</t>
        </is>
      </c>
      <c r="B1966" t="inlineStr">
        <is>
          <t>Turmeric capsules and cbd softgels for inflammation of the stomach</t>
        </is>
      </c>
      <c r="C1966" t="inlineStr">
        <is>
          <t>Cancers that originate in the stomach run in my family so I am taking precautions to avoid the same fate as my relatives. Some natural medicine I am willing to try has helped, turmeric capsules are specially potent to my acid reflux and cbd softgels working with sorts of inflammation in my body including my knees and stomach. I am willing to try these natural medicines but my relatives don't believe or are in too deep with their bodies inflammation. I just keep going no matter what the future holds for me.</t>
        </is>
      </c>
      <c r="D1966" t="n">
        <v>0</v>
      </c>
      <c r="E1966" t="n">
        <v>0</v>
      </c>
      <c r="F1966">
        <f>HYPERLINK("https://www.reddit.com/r/cancer/comments/bfqdjy/turmeric_capsules_and_cbd_softgels_for/")</f>
        <v/>
      </c>
      <c r="G1966" t="inlineStr">
        <is>
          <t>2019-04-21 09:08:22</t>
        </is>
      </c>
      <c r="H1966" t="inlineStr"/>
    </row>
    <row r="1967">
      <c r="A1967" t="inlineStr">
        <is>
          <t>bfqgjg</t>
        </is>
      </c>
      <c r="B1967" t="inlineStr">
        <is>
          <t>Thyroid Cancer - Low Iodine Diet - Frustrated At Mixed Information From "Reputable" Sources</t>
        </is>
      </c>
      <c r="C1967" t="inlineStr">
        <is>
          <t>Testicular, Thyroid, Lymph and Skin Cancer Survivor. My Endocrine Oncologist thinks there is a chance that the Thyroid Cancer may be coming back. I am on the Low Iodine Diet in preparation for the scan on at the end of the month. She gave me a book from the Thyroid Cancer Survivor's Association to help me know what I can and cannot eat in the 3 weeks prior to the radioactive iodine.
I have been doing the best I can since the 7th of April. No milk, cheese, seafood, processed or restaurant food, etc. Now that I am in the middle I am getting frustrated and have started really examining very closely what I can and cannot eat.
I am frustrated because of the different info from seemingly reputable sources.
My book from Thyroid Cancer Survivors Association says I can drink coke, (I even emailed my doctor to confirm that...) BUT The Memorial Sloan Kettering Cancer Center page says NO COKE. The American Thyroid Association says Coke is ok.
There are differences between the four sources (and other less reputable sites by ordinary people that may or may not be accurate) for a few of the foods I am trying to limit or eat or stay away from and it is just bothering me.
- Coke and Dr. Pepper
- Unsalted butter
- Thomas's English Muffins
- Double Stuff Oreos
I realize this is not world ending stuff after I typed it out here. Forgive my rant. I know a lot of other folks are dealing with really hard issues and this is nothing. At least I got it off my chest!</t>
        </is>
      </c>
      <c r="D1967" t="n">
        <v>7</v>
      </c>
      <c r="E1967" t="n">
        <v>9</v>
      </c>
      <c r="F1967">
        <f>HYPERLINK("https://www.reddit.com/r/cancer/comments/bfqgjg/thyroid_cancer_low_iodine_diet_frustrated_at/")</f>
        <v/>
      </c>
      <c r="G1967" t="inlineStr">
        <is>
          <t>2019-04-21 09:16:04</t>
        </is>
      </c>
      <c r="H1967" t="inlineStr"/>
    </row>
    <row r="1968">
      <c r="A1968" t="inlineStr">
        <is>
          <t>bfr7pg</t>
        </is>
      </c>
      <c r="B1968" t="inlineStr">
        <is>
          <t>Immunotherapy rash: Jesus take the wheel its everywhere!</t>
        </is>
      </c>
      <c r="C1968" t="inlineStr">
        <is>
          <t>So the day before yesterday I noticed a little rash spot on my side. NBD, I email the doc, I've had small hive reactions to random cosmetics before so he tells me to try a hydrocortisone creme and benadryl and tell him how it goes. Today I woke up and it is EVERYWHERE. My face and my back are the only places I don't have this rash and the only thing saving my back is a full back piece tattoo.  The rash is literally stopping about a half inch from the outline of my tattoo.  So clearly this is probably an immunotherapy response.  It doesn't itch terribly, thank god, but it is UNSIGHTLY as fuck. Anyway, he prescribed me some oral steroids so hopefully they help but I wanted to see if anyone else had dealt with this and how it went. I have a wedding (my cousin's) in a couple of weeks and its black tie and I'd really love to not look like I have the plague in an evening gown.</t>
        </is>
      </c>
      <c r="D1968" t="n">
        <v>9</v>
      </c>
      <c r="E1968" t="n">
        <v>5</v>
      </c>
      <c r="F1968">
        <f>HYPERLINK("https://www.reddit.com/r/cancer/comments/bfr7pg/immunotherapy_rash_jesus_take_the_wheel_its/")</f>
        <v/>
      </c>
      <c r="G1968" t="inlineStr">
        <is>
          <t>2019-04-21 10:24:09</t>
        </is>
      </c>
      <c r="H1968" t="inlineStr"/>
    </row>
    <row r="1969">
      <c r="A1969" t="inlineStr">
        <is>
          <t>bfur7d</t>
        </is>
      </c>
      <c r="B1969" t="inlineStr">
        <is>
          <t>Both parents diagnosed with terminal cancer.</t>
        </is>
      </c>
      <c r="C1969" t="inlineStr">
        <is>
          <t>The last 5 weeks have been a whirlwind. So many obstacles and surprises, I’ve barely had the chance to stop and digest everything.
As the title suggests, both of my parents have been diagnosed with terminal cancers in the space of a month.
Short story versions...
My Mum had been a bit under the weather for a little while. However, due to anxiety and depression issues following a breakdown a few years prior and her age (impending menopause), she excused a lot of her symptoms. She went to her GP as her health began to get worse and following a blood test was told to immediately go to hospital as she was severely anaemic. A rollercoaster ride and 5 days later, she was diagnosed with stage 4a cervical cancer. We have hit many blips since then including reoccurring anemia, leaky heart valve, allergic reaction to blood transfusion, heart infection, failing kidneys - to name a few! She has been back in hospital for a week now following a nephrostomy procedure and the above complications they’ve encountered since. The original plan was to give Mum high dose chemoradiotherapy but the feeling is now she won’t cope with that treatment and some chemotherapy will be administered instead. We don’t currently know how long Mum has. 
My parents are divorced and have been for 20+ years. Mum has two other children with her partner.
My Dad was diagnosed with esophageal cancer 18 months ago. He was given 3 months of chemotherapy, had an operation to remove part of his oesophagus and stomach followed by 3 more months of chemotherapy. Everything went really well and he was signed off by his oncologist and consultants. Due to an admin error, Dad was called in for a scan. He shouldn’t have had it. However it showed the cancer had come back, now in his lungs and liver. Again, untreatable. Dad has been told 1-2 years however was only told 2 weeks ago and won’t see the oncologist again until end of May as he (quite rightly) wants to keep to holiday commitments - so we should get a clearer picture of what’s happening then. 
Thanks for reading if you got this far. Just a therapeutic exercise for me. Still really not in touch with how I’m feeling, in crisis and firefighting mode.</t>
        </is>
      </c>
      <c r="D1969" t="n">
        <v>38</v>
      </c>
      <c r="E1969" t="n">
        <v>4</v>
      </c>
      <c r="F1969">
        <f>HYPERLINK("https://www.reddit.com/r/cancer/comments/bfur7d/both_parents_diagnosed_with_terminal_cancer/")</f>
        <v/>
      </c>
      <c r="G1969" t="inlineStr">
        <is>
          <t>2019-04-21 15:52:37</t>
        </is>
      </c>
      <c r="H1969" t="inlineStr"/>
    </row>
    <row r="1970">
      <c r="A1970" t="inlineStr">
        <is>
          <t>bfv53x</t>
        </is>
      </c>
      <c r="B1970" t="inlineStr">
        <is>
          <t>Anyone have hospital stay tips?</t>
        </is>
      </c>
      <c r="C1970" t="inlineStr">
        <is>
          <t>My husband has been in and out and I don't think this will be the last visit. Any tips on how to make these less miserable for either of us? Any suggestions for activities besides watching TV? He's on a lot of pain meds that make it hard to focus.</t>
        </is>
      </c>
      <c r="D1970" t="n">
        <v>4</v>
      </c>
      <c r="E1970" t="n">
        <v>19</v>
      </c>
      <c r="F1970">
        <f>HYPERLINK("https://www.reddit.com/r/cancer/comments/bfv53x/anyone_have_hospital_stay_tips/")</f>
        <v/>
      </c>
      <c r="G1970" t="inlineStr">
        <is>
          <t>2019-04-21 16:31:50</t>
        </is>
      </c>
      <c r="H1970" t="inlineStr"/>
    </row>
    <row r="1971">
      <c r="A1971" t="inlineStr">
        <is>
          <t>bfvbsx</t>
        </is>
      </c>
      <c r="B1971" t="inlineStr">
        <is>
          <t>I miss my mom</t>
        </is>
      </c>
      <c r="C1971" t="inlineStr">
        <is>
          <t>I miss her</t>
        </is>
      </c>
      <c r="D1971" t="n">
        <v>75</v>
      </c>
      <c r="E1971" t="n">
        <v>16</v>
      </c>
      <c r="F1971">
        <f>HYPERLINK("https://www.reddit.com/r/cancer/comments/bfvbsx/i_miss_my_mom/")</f>
        <v/>
      </c>
      <c r="G1971" t="inlineStr">
        <is>
          <t>2019-04-21 16:51:15</t>
        </is>
      </c>
      <c r="H1971" t="inlineStr"/>
    </row>
    <row r="1972">
      <c r="A1972" t="inlineStr">
        <is>
          <t>bfx0jz</t>
        </is>
      </c>
      <c r="B1972" t="inlineStr">
        <is>
          <t>Need some reassurance?</t>
        </is>
      </c>
      <c r="C1972" t="inlineStr">
        <is>
          <t>https://imgur.com/a/B291Jjb
My primary concern is ALS or cancer. 
Left thumb feels a bit less “meaty” than the right. 
I’ve experienced some aches in the past few weeks, it’s improving but I’ve felt aches in the fingers, palm, thumb, back of hand. Before I had a experienced twitching. It’s gone thank god cause I couldn’t afford EMG/further testing. AFAIK I’m not clinically weak. 
My initial worry was ALS re: the twitching, but it’s since stopped.  Unsure how this hand ache (has occurred in both hands) plays into the picture. 
And... At times have felt the ache just a little bit in the wrist/lower forearm.  An example of this ache is first thing in the morning the hand felt kinda achy I’d go to shower and squeeze the body wash and it’d ache. It was possible but it didn’t feel great. Then I’d scrub shampoo that also aches the hands. The good news is... That’s gone now after 2-3 weeks!  
I am a male, 22 years old, no current medications, 6’00” and weigh 185 pounds</t>
        </is>
      </c>
      <c r="D1972" t="n">
        <v>0</v>
      </c>
      <c r="E1972" t="n">
        <v>2</v>
      </c>
      <c r="F1972">
        <f>HYPERLINK("https://www.reddit.com/r/cancer/comments/bfx0jz/need_some_reassurance/")</f>
        <v/>
      </c>
      <c r="G1972" t="inlineStr">
        <is>
          <t>2019-04-21 19:46:26</t>
        </is>
      </c>
      <c r="H1972" t="inlineStr"/>
    </row>
    <row r="1973">
      <c r="A1973" t="inlineStr">
        <is>
          <t>bfxjja</t>
        </is>
      </c>
      <c r="B1973" t="inlineStr">
        <is>
          <t>Fertility after chemo</t>
        </is>
      </c>
      <c r="C1973" t="inlineStr">
        <is>
          <t>Hi everyone, I hope that you all had a nice, calm Easter today. I was wondering when should I get my sperm fertility tested. I had cytoxin and cisplatin chemo, and I made sure to go to a fertility bank before I started treatment. Because of the high rates of infertility from those chemos, I was wondering when would be a good time to get tested again? I’ve been in remission for a year and a couple months.</t>
        </is>
      </c>
      <c r="D1973" t="n">
        <v>5</v>
      </c>
      <c r="E1973" t="n">
        <v>2</v>
      </c>
      <c r="F1973">
        <f>HYPERLINK("https://www.reddit.com/r/cancer/comments/bfxjja/fertility_after_chemo/")</f>
        <v/>
      </c>
      <c r="G1973" t="inlineStr">
        <is>
          <t>2019-04-21 20:42:27</t>
        </is>
      </c>
      <c r="H1973" t="inlineStr"/>
    </row>
    <row r="1974">
      <c r="A1974" t="inlineStr">
        <is>
          <t>bfy6u4</t>
        </is>
      </c>
      <c r="B1974" t="inlineStr">
        <is>
          <t>ABVD FOR HL</t>
        </is>
      </c>
      <c r="C1974" t="inlineStr">
        <is>
          <t>just wanted to ask if anyone experienced dry cough with chest pain after 4 cycles of ABVD?</t>
        </is>
      </c>
      <c r="D1974" t="n">
        <v>3</v>
      </c>
      <c r="E1974" t="n">
        <v>6</v>
      </c>
      <c r="F1974">
        <f>HYPERLINK("https://www.reddit.com/r/cancer/comments/bfy6u4/abvd_for_hl/")</f>
        <v/>
      </c>
      <c r="G1974" t="inlineStr">
        <is>
          <t>2019-04-21 22:01:21</t>
        </is>
      </c>
      <c r="H1974" t="inlineStr"/>
    </row>
    <row r="1975">
      <c r="A1975" t="inlineStr">
        <is>
          <t>bfy8sy</t>
        </is>
      </c>
      <c r="B1975" t="inlineStr">
        <is>
          <t>Ok y’all now I’m worried</t>
        </is>
      </c>
      <c r="C1975" t="inlineStr">
        <is>
          <t>So I have been having very big signs of brain cancer and bad headaches very dizzy feels like the ground before me is moving legs feel heavy vision occasionally bad etc; like nauseous and fatigue and lots more but now I lit just hit me with double vision and more headaches. HELP</t>
        </is>
      </c>
      <c r="D1975" t="n">
        <v>0</v>
      </c>
      <c r="E1975" t="n">
        <v>4</v>
      </c>
      <c r="F1975">
        <f>HYPERLINK("https://www.reddit.com/r/cancer/comments/bfy8sy/ok_yall_now_im_worried/")</f>
        <v/>
      </c>
      <c r="G1975" t="inlineStr">
        <is>
          <t>2019-04-21 22:08:23</t>
        </is>
      </c>
      <c r="H1975" t="inlineStr"/>
    </row>
    <row r="1976">
      <c r="A1976" t="inlineStr">
        <is>
          <t>bg02a2</t>
        </is>
      </c>
      <c r="B1976" t="inlineStr">
        <is>
          <t>How to support my parents emotionally?</t>
        </is>
      </c>
      <c r="C1976" t="inlineStr">
        <is>
          <t>My dad is a brown man who programmed his entire career (indoor job), yet he got melanoma on his thumb. The doctors said it was “in situ” years ago and just shaved off most of his thumbnail/upper thumb. Well, now they’re saying it spread to his bone, and they have to amputate his thumb. He doesn’t want them to, so he’s getting a second opinion on how much to take off.
In addition, this time they found cancer cells on an armpit lymph node. Again, he doesn’t want them to remove this node because he fears the “fat arm” risk (due to fluid build up, I think).
His PET scan showed a suspect area on his scapula, but they’re gonna do an MRI to confirm. Docs say this is all unrelated to the melanoma.
I get a lot of telephone information (my parents don’t always understand what the docs say or my sisters don’t understand what my parents say), since I live far away. My parents have always been bad about relaying information about health issues (last time I heard about it from an uncle!).
My mom is upset, and my dad gets quiet and does a lot of research when he gets news like this. I don’t know what to say to either of them.
Part of me is like, “Dad, don’t be so vain! Amputate the thumb! I’ll make you a prosthetic with my art skills! Get the lymph node removed!” And part of me understands his fear and hesitating and desire for a second opinion.
What is the best way to support my parents when they go through this? It sounds like his cancer problems are getting worse. We have a lot of poor health history in the family. I still have two siblings in high school. I’m not sure if I just need to stay quiet and wait or if I should visit or if there’s some way I can encourage my father.</t>
        </is>
      </c>
      <c r="D1976" t="n">
        <v>7</v>
      </c>
      <c r="E1976" t="n">
        <v>5</v>
      </c>
      <c r="F1976">
        <f>HYPERLINK("https://www.reddit.com/r/cancer/comments/bg02a2/how_to_support_my_parents_emotionally/")</f>
        <v/>
      </c>
      <c r="G1976" t="inlineStr">
        <is>
          <t>2019-04-22 02:29:26</t>
        </is>
      </c>
      <c r="H1976" t="inlineStr"/>
    </row>
    <row r="1977">
      <c r="A1977" t="inlineStr">
        <is>
          <t>bg0alr</t>
        </is>
      </c>
      <c r="B1977" t="inlineStr">
        <is>
          <t>How do you get ready for a second round?</t>
        </is>
      </c>
      <c r="C1977" t="inlineStr">
        <is>
          <t>I'm not sure I want to fight this round, don't think I have what it takes. Do I have a choice? Can I not fight? How much pain am I expected to go through?
Shit feels like a storm inside. I don't know what to feel.</t>
        </is>
      </c>
      <c r="D1977" t="n">
        <v>1</v>
      </c>
      <c r="E1977" t="n">
        <v>0</v>
      </c>
      <c r="F1977">
        <f>HYPERLINK("https://www.reddit.com/r/cancer/comments/bg0alr/how_do_you_get_ready_for_a_second_round/")</f>
        <v/>
      </c>
      <c r="G1977" t="inlineStr">
        <is>
          <t>2019-04-22 03:02:14</t>
        </is>
      </c>
      <c r="H1977" t="inlineStr"/>
    </row>
    <row r="1978">
      <c r="A1978" t="inlineStr">
        <is>
          <t>bg2skg</t>
        </is>
      </c>
      <c r="B1978" t="inlineStr">
        <is>
          <t>How am I ever going to get through this</t>
        </is>
      </c>
      <c r="C1978" t="inlineStr">
        <is>
          <t>Mom diagnosed with late stage ovarian cancer after doctors ignored her symptoms for months. How do I be there for her without crumbling? How do I stop the anger I feel inside me about the doctors who missed it and the unfairness of the whole situation? I can barely go an hour without sobbing. Does it get easier? She is my best friend I would do anything to take her place.</t>
        </is>
      </c>
      <c r="D1978" t="n">
        <v>5</v>
      </c>
      <c r="E1978" t="n">
        <v>15</v>
      </c>
      <c r="F1978">
        <f>HYPERLINK("https://www.reddit.com/r/cancer/comments/bg2skg/how_am_i_ever_going_to_get_through_this/")</f>
        <v/>
      </c>
      <c r="G1978" t="inlineStr">
        <is>
          <t>2019-04-22 07:33:13</t>
        </is>
      </c>
      <c r="H1978" t="inlineStr"/>
    </row>
    <row r="1979">
      <c r="A1979" t="inlineStr">
        <is>
          <t>bg3et4</t>
        </is>
      </c>
      <c r="B1979" t="inlineStr">
        <is>
          <t>30/F/stage 3 colon cancer- I am searching for a primary care provider</t>
        </is>
      </c>
      <c r="C1979" t="inlineStr">
        <is>
          <t>I live in Fairbanks Alaska and have limited access to primary care providers and I was wondering if anyone else had some experience in the Fairbanks area. I am currently seeing my new oncologist on wed this week and I will be asking about a primary care provider along with many other questions. Any advice would be much appreciated!</t>
        </is>
      </c>
      <c r="D1979" t="n">
        <v>23</v>
      </c>
      <c r="E1979" t="n">
        <v>7</v>
      </c>
      <c r="F1979">
        <f>HYPERLINK("https://www.reddit.com/r/cancer/comments/bg3et4/30fstage_3_colon_cancer_i_am_searching_for_a/")</f>
        <v/>
      </c>
      <c r="G1979" t="inlineStr">
        <is>
          <t>2019-04-22 08:28:50</t>
        </is>
      </c>
      <c r="H1979" t="inlineStr"/>
    </row>
    <row r="1980">
      <c r="A1980" t="inlineStr">
        <is>
          <t>bg3f7s</t>
        </is>
      </c>
      <c r="B1980" t="inlineStr">
        <is>
          <t>Mother with terminal cancer angrily refusing even basic care now</t>
        </is>
      </c>
      <c r="C1980" t="inlineStr">
        <is>
          <t>Hi, throwaway in case this story is familiar to someone I know.
&amp;amp;#x200B;
My mother, 66, was diagnosed with stage 4 lung cancer in October of 2014. She sought palliative treatment and it has been relatively successful -- she's still here after nearly fives years. Lots of ups and downs during that time. Main thing is her personality changed drastically when she was diagnosed. She was a very kind, compassionate, loving mother. With the diagnosis brought extreme depression, anger, bitterness (towards her husband, our father, especially). And most importantly, she essentially gave up on living life.
&amp;amp;#x200B;
She has steadily declined in health and her reaction has steadily gotten worse. Aside from medical treatment, she has refused all other forms of help. Hospice "is where they take away all of your choices and pump you full of drugs to die." In-home care is a non-starter (I DON'T WANT A STRANGER IN MY HOUSE TELLING ME WHAT TO DO). any kind of mental healthcare is out of the question ("What the hell does some 20-year-old therapist know about death?"). "I can do it on my OWN!" is the same response we've gotten for five years. God help you if you discuss any of this behavior with her medical team. That has led to some monstrous, ugly fights about "going behind her back" and "trying to get her into hospice against her will".
&amp;amp;#x200B;
This attitude has caused no end to problems and grief for her and us, leading to things like a broken hip ("I DON'T NEED A WALKER!), among other serious and less serious issues. She goes through periods of general good health and then periods of being bedridden. The latter is what we're going through this weekend. She now has incontinence issues and absolutely refuses to get out of the bed so we can change her sheets. The reason? "I CAN DO IT MYSELF" "WHAT'S THE POINT I'M JUST GOING TO WET IT AGAIN", etc.
&amp;amp;#x200B;
This is just the same attitude we've put up with all along, but now it's a hygiene issue for her and us. I understand we probably should never have let it get to this point, but she's been so f\*cking hard-headed for five years that every appeal to reason and emotion ends with a screaming match about why we won't just let her die on her own terms (in this case, lying in her own filth).
&amp;amp;#x200B;
I live out of state. My sister and father live at home and have been the primary caregivers. They're at their wits end because every attempt to aid mom in any basic way is seen as interfering in her life choice to die in the worst way possible. Sometimes getting her to eat a piece of toast is a battle of will lasting hours. Her actions and motivations are irrational, but she is technically mentally there, so we can't commit her or get power of attorney. We're stuck with this terrible person who doesn't at all resemble the caring, loving woman we grew up with. We know she's in there, which is why we haven't given up on her.
&amp;amp;#x200B;
I can't find any advice anywhere on how to deal with a patient absolutely refuses even the most basic kind of help. It's against all reason that someone would hold onto life this long only to ensure that she lives it in the most uncomfortable, lonely, painful, and isolated way possible. Has anyone else been through something like this? Do you have any general advice on where to seek help? Can anyone offer advice about how to just get her out of bed so we can change the sheets without forcing her out?
&amp;amp;#x200B;
TL;DR: Stage 4 mother has fought every bit of emotional and physical support over the past five years, making an awful situation even harder for everyone. How do we deal with this?</t>
        </is>
      </c>
      <c r="D1980" t="n">
        <v>2</v>
      </c>
      <c r="E1980" t="n">
        <v>2</v>
      </c>
      <c r="F1980">
        <f>HYPERLINK("https://www.reddit.com/r/cancer/comments/bg3f7s/mother_with_terminal_cancer_angrily_refusing_even/")</f>
        <v/>
      </c>
      <c r="G1980" t="inlineStr">
        <is>
          <t>2019-04-22 08:29:52</t>
        </is>
      </c>
      <c r="H1980" t="inlineStr"/>
    </row>
    <row r="1981">
      <c r="A1981" t="inlineStr">
        <is>
          <t>bg3xrw</t>
        </is>
      </c>
      <c r="B1981" t="inlineStr">
        <is>
          <t>Really struggling with anticipatory grief and being a long distance care giver as an only child</t>
        </is>
      </c>
      <c r="C1981" t="inlineStr">
        <is>
          <t>Cancer dealt us a serious blow last week. My mother had three separate cancers in the past year, clear cell and endometroid cancer last January, and adenocarcinoma of the lung this January. Both stage one, so we were hopeful that the surgeries and follow up radiation would be curative.
But it’s back. Not only has the endometrial cancer recurred, but she’s developed peritoneal carcinomatosis which has a poor prognosis. I’ve spent literally the entire week sobbing. I fall asleep, but it’s the first thing I think about when I wake up and I just struggle with bouts of overwhelming sadness and grief throughout the day. 
It’s hard because I don’t live close by. I went home for the weekend, but leaving to come back was hard and not being there has been rough. I don’t know what I’ll do over the course of the next year, or however long we have left. I can afford to lose my job, but I will feel insanely guilty if my mother passes and I missed opportunities to spend time with her.
This is all compounded by the fact that I’m an only child and my parents are divorced. I don’t have other siblings to shoulder the burden. My step brother and his wife have been great about checking in and helping out, but it’s not the same.... My stepsister has been less helpful to my mother and has not once reached out to me to offer any support over the course of the last 18 months and this weekend over Easter she came in to the house and didn’t even say a word to me. I know some people deal differently with grief and I don’t want to assume she doesn’t care, but it’s hard knowing my mother and stepfather are there and are not getting the love and support they need. 
I’m also finding it impossible to function at work. I can’t concentrate. I break down with constant crying fits. I feel physically tired and heavy like this sadness has crawled up inside my bones. I fear that when my mother goes I will lose my step family too and I’ll be all alone. Of course I have my dad, too... and my stepfather says that won’t happen but it’s hard not to be scared and sad. My mother is so young (only 57). Never smoked, never drank. My husband and I have been trying to have kids for a while, and I was hoping if I did they would have a chance to know my mother... I just can’t imagine life without her. I feel so defeated.
I don’t know that I have a question for this sub... just... looking for others who have been in this situation I guess? How did you handle it?</t>
        </is>
      </c>
      <c r="D1981" t="n">
        <v>11</v>
      </c>
      <c r="E1981" t="n">
        <v>15</v>
      </c>
      <c r="F1981">
        <f>HYPERLINK("https://www.reddit.com/r/cancer/comments/bg3xrw/really_struggling_with_anticipatory_grief_and/")</f>
        <v/>
      </c>
      <c r="G1981" t="inlineStr">
        <is>
          <t>2019-04-22 09:13:36</t>
        </is>
      </c>
      <c r="H1981" t="inlineStr"/>
    </row>
    <row r="1982">
      <c r="A1982" t="inlineStr">
        <is>
          <t>bg4nm8</t>
        </is>
      </c>
      <c r="B1982" t="inlineStr">
        <is>
          <t>Tumor Found in My Breast at 28</t>
        </is>
      </c>
      <c r="C1982" t="inlineStr">
        <is>
          <t>Hey everyone! 
I hope this is the right place to post, please remove if this is not allowed. 
A few weeks ago when I got my birth control shot I noticed a lump in my breast with some discharge, sometimes bloody. 2 mammograms, 1 ultrasound, and 3 doctors visits later, they have confirmed there is a mass or tumor. ( this is a source of confusion for me, one doctor will call it a mass the other calls it a tumor) 
I have to get an MRI this week and a fine needle biopsy next week. My GP is great and doesn't sugar coat things. She told me she is worried and is glad I am getting this testing done as quickly as possible. 
I am not sure what to think right now. I feel like I should be more upset than I am. She did say no matter what it is I should have it removed. Has anyone who has had this done give me something to expect, from the fine needle biopsy and the removal? 
&amp;amp;#x200B;
Thank you all so much &amp;lt;3</t>
        </is>
      </c>
      <c r="D1982" t="n">
        <v>16</v>
      </c>
      <c r="E1982" t="n">
        <v>3</v>
      </c>
      <c r="F1982">
        <f>HYPERLINK("https://www.reddit.com/r/cancer/comments/bg4nm8/tumor_found_in_my_breast_at_28/")</f>
        <v/>
      </c>
      <c r="G1982" t="inlineStr">
        <is>
          <t>2019-04-22 10:14:32</t>
        </is>
      </c>
      <c r="H1982" t="inlineStr"/>
    </row>
    <row r="1983">
      <c r="A1983" t="inlineStr">
        <is>
          <t>bg5n5g</t>
        </is>
      </c>
      <c r="B1983" t="inlineStr">
        <is>
          <t>Any tips or suggestions on how to help my girlfriend (26) as she goes through chemotherapy?</t>
        </is>
      </c>
      <c r="C1983" t="inlineStr">
        <is>
          <t>Hello,
My girlfriend is undergoing chemotherapy for a few minutes. She is only 26, so this is especially difficult. Thankfully, she is in very good health and they caught the cancer early. I would never tell her this, but truthfully, I'm scared. I know she will be okay, as this isn't life threatening, but it's something I never thought we'd go through now and I don't know what I can do to help as her long-time boyfriend. 
&amp;amp;#x200B;
Obviously neither of us have gone through this before. From personal experience, does anyone have any tips or tricks? This could be during the chemotherapy, or after on an ordinary day. Anything is greatly appreciated.
&amp;amp;#x200B;
Thank you very much in advance.</t>
        </is>
      </c>
      <c r="D1983" t="n">
        <v>25</v>
      </c>
      <c r="E1983" t="n">
        <v>27</v>
      </c>
      <c r="F1983">
        <f>HYPERLINK("https://www.reddit.com/r/cancer/comments/bg5n5g/any_tips_or_suggestions_on_how_to_help_my/")</f>
        <v/>
      </c>
      <c r="G1983" t="inlineStr">
        <is>
          <t>2019-04-22 11:37:27</t>
        </is>
      </c>
      <c r="H1983" t="inlineStr"/>
    </row>
    <row r="1984">
      <c r="A1984" t="inlineStr">
        <is>
          <t>bg7q92</t>
        </is>
      </c>
      <c r="B1984" t="inlineStr">
        <is>
          <t>Choosing not to fight cancer.</t>
        </is>
      </c>
      <c r="C1984" t="inlineStr">
        <is>
          <t>If I go to the doctor and they find cancer and I choose not to treat it/fight it, do the life insurance companies void the life insurance?</t>
        </is>
      </c>
      <c r="D1984" t="n">
        <v>9</v>
      </c>
      <c r="E1984" t="n">
        <v>3</v>
      </c>
      <c r="F1984">
        <f>HYPERLINK("https://www.reddit.com/r/cancer/comments/bg7q92/choosing_not_to_fight_cancer/")</f>
        <v/>
      </c>
      <c r="G1984" t="inlineStr">
        <is>
          <t>2019-04-22 14:34:18</t>
        </is>
      </c>
      <c r="H1984" t="inlineStr"/>
    </row>
    <row r="1985">
      <c r="A1985" t="inlineStr">
        <is>
          <t>bg7znq</t>
        </is>
      </c>
      <c r="B1985" t="inlineStr">
        <is>
          <t>Looking for recommendations on where to find wigs and scarves/head wraps.</t>
        </is>
      </c>
      <c r="C1985" t="inlineStr">
        <is>
          <t>Hi, folks. My wife was recently diagnosed with triple-negative invasive ductal carcinoma and her chemo protocol is AC-T. She is guaranteed to lose her hair. We're trying to determine what her options are for this change, and where we can learn more about modern options to offset this side-effect.
Also, if anyone has experience or advice on Cold Cap therapy, we'd be interested in hearing that. Thank you all so much.</t>
        </is>
      </c>
      <c r="D1985" t="n">
        <v>5</v>
      </c>
      <c r="E1985" t="n">
        <v>7</v>
      </c>
      <c r="F1985">
        <f>HYPERLINK("https://www.reddit.com/r/cancer/comments/bg7znq/looking_for_recommendations_on_where_to_find_wigs/")</f>
        <v/>
      </c>
      <c r="G1985" t="inlineStr">
        <is>
          <t>2019-04-22 14:57:06</t>
        </is>
      </c>
      <c r="H1985" t="inlineStr"/>
    </row>
    <row r="1986">
      <c r="A1986" t="inlineStr">
        <is>
          <t>bg9i9o</t>
        </is>
      </c>
      <c r="B1986" t="inlineStr">
        <is>
          <t>I’m Choosing No More Treatment for 3C Metastatic Ovarian Cancer. This is my long story.</t>
        </is>
      </c>
      <c r="C1986" t="inlineStr">
        <is>
          <t>It’s back for the 3rd time in 5 yrs. And I’m BRCA positive with a ton of cancer in my family history. I’ve refused any more IV treatment but I did try the Rubraca chemo pill. I was told it’s a mild treatment. I didn’t like it. My body didn’t like it. I still had all the abdominal and bowel issues I would have had with IV treatment. And this time around it got it my head.  I got really down, depressed and angry. That was new for me because I’ve never shed a single tear over my situation and I’ve never had a “Woe is me “ moment. Not one time. I’ve always been positive. But there I was, stuck on the toilet, again, daily for the past month, watching the weather get prettier through the bathroom window. And I thought to myself “uh huh, nope not this time”. The third time isn’t a charm here. My Oncologist pretty much confirmed that with the BRCA gene and my family history this is what’ll kill me. So I’m taking control this time. No more treatment. I quit it three days ago and I already feel SO much better. Physically and mentally. I woke up today with a very clear head and full of energy. My prognosis is two yrs max. I’m so cool with that. I’ve never feared death. I’ve lived a good 52 yrs. I don’t want to live what I’ve got left sick all the time. Since my first diagnosis 4 1/2 yrs ago I’ve lost my Dad to lung cancer, my Mom to Ovarian Cancer, my best friend to CHF, and my Nanny, my last grandparent. I have my Step Dad and my Aunt near by and my neighbors who help me out. My brother and my close friends are 2 hours away. I see them at most 6 times a year. I live alone with 5 crazy cats. Most of my time is spent alone and Ive always liked it that way. And yep, I’m independent to a fault! As far as I’m concerned, when I can no longer keep my house clean and do my yard work and keep a small garden, well then I’m done, it’s time to go! 🤣 Hospice/Home Health has already been set up so all I have to do is call them when I’m ready. So I’m off to make some travel plans! Peace ☮️</t>
        </is>
      </c>
      <c r="D1986" t="n">
        <v>153</v>
      </c>
      <c r="E1986" t="n">
        <v>44</v>
      </c>
      <c r="F1986">
        <f>HYPERLINK("https://www.reddit.com/r/cancer/comments/bg9i9o/im_choosing_no_more_treatment_for_3c_metastatic/")</f>
        <v/>
      </c>
      <c r="G1986" t="inlineStr">
        <is>
          <t>2019-04-22 17:14:10</t>
        </is>
      </c>
      <c r="H1986" t="inlineStr"/>
    </row>
    <row r="1987">
      <c r="A1987" t="inlineStr">
        <is>
          <t>bga1fz</t>
        </is>
      </c>
      <c r="B1987" t="inlineStr">
        <is>
          <t>Can’t afford testing, not sure if it’s necessary...</t>
        </is>
      </c>
      <c r="C1987" t="inlineStr">
        <is>
          <t>My primary concern is ALS or cancer. 
I’ve experienced some aches in the past few weeks, it’s improving but I’ve felt aches in the fingers, palm, thumb, back of hand. Before I had a experienced twitching. It’s gone thank god cause I couldn’t afford EMG/further testing. AFAIK I’m not clinically weak. Also, in recent days I’ve felt a slight buzz (could be a fasculation) in the finger tips. 
My initial worry was ALS re: the twitching, but it’s since stopped.  Unsure how this hand ache (has occurred in both hands) plays into the picture. 
And... At times have felt the ache just a little bit in the wrist/lower forearm.  An example of this ache is first thing in the morning the hand felt kinda achy I’d go to shower and squeeze the body wash and it’d ache. It was possible but it didn’t feel great. Then I’d scrub shampoo that also aches the hands. 
I am a male, 22 years old, no current medications, 6’00” and weigh 185 pounds</t>
        </is>
      </c>
      <c r="D1987" t="n">
        <v>1</v>
      </c>
      <c r="E1987" t="n">
        <v>1</v>
      </c>
      <c r="F1987">
        <f>HYPERLINK("https://www.reddit.com/r/cancer/comments/bga1fz/cant_afford_testing_not_sure_if_its_necessary/")</f>
        <v/>
      </c>
      <c r="G1987" t="inlineStr">
        <is>
          <t>2019-04-22 18:06:37</t>
        </is>
      </c>
      <c r="H1987" t="inlineStr"/>
    </row>
    <row r="1988">
      <c r="A1988" t="inlineStr">
        <is>
          <t>bgac1b</t>
        </is>
      </c>
      <c r="B1988" t="inlineStr">
        <is>
          <t>His cough seems to be coming back... I’m concerned.</t>
        </is>
      </c>
      <c r="C1988" t="inlineStr">
        <is>
          <t>So my dad has stage II lung cancer. He was given chemotherapy once a month for 3 months. Slowly his cough became less and less prevalent, but never completely went away.
The doctors were originally planning on radiation therapy as well, due to saying the cancer in the lung was gone. They said they’d do a scan every few months to see if it’s returned. 
His next step was going to be a consultation for his colon cancer. 
But over the past few weeks, I’ve noticed his cough seems worse, and he even noticed it. I mentioned that he should call his dr., because it has been almost 2 months since they told him his lung was “clear”. 
He called this morning to set up an appointment and 2 times in a row, they didn’t pick up/hung up. I am beyond frustrated and stressed out right now. I am feeling angry because I feel as if he were to continue treatment as planned originally, with radiation therapy, that this wouldn’t have happened. 
Every time I hear him cough, I feel horrible inside. I know how it feels having a cough just because of a flu, I can’t imagine how he feels, coughing every day and night.. and not to mention, my brother pretty much never texts him to ask how he’s doing, yet he lives 15 minutes away. I feel so bad for him. 
And to top it all off, he still has to get a colon resection done from a cancerous polyp removed last summer (completely separate cancer, not metastasis).
He’s going to call them again tomorrow. I just needed to vent. I really hope it’s not bad news. Things felt sort of ok a few months ago, but now since he’s coughing so much again, I feel my stomach drop every time
I think about his condition. :/</t>
        </is>
      </c>
      <c r="D1988" t="n">
        <v>2</v>
      </c>
      <c r="E1988" t="n">
        <v>1</v>
      </c>
      <c r="F1988">
        <f>HYPERLINK("https://www.reddit.com/r/cancer/comments/bgac1b/his_cough_seems_to_be_coming_back_im_concerned/")</f>
        <v/>
      </c>
      <c r="G1988" t="inlineStr">
        <is>
          <t>2019-04-22 18:35:59</t>
        </is>
      </c>
      <c r="H1988" t="inlineStr"/>
    </row>
    <row r="1989">
      <c r="A1989" t="inlineStr">
        <is>
          <t>bgatps</t>
        </is>
      </c>
      <c r="B1989" t="inlineStr">
        <is>
          <t>What can I expect when I go through Chemotherapy?</t>
        </is>
      </c>
      <c r="C1989" t="inlineStr">
        <is>
          <t>I am 19 and was diagnosed with Stage II Hodgkin’s Lymphoma 2 weeks ago. Going in for my first round of Chemo tomorrow. They’re doing it over three days, giving me spirts of the medication over that period. What can I expect to feel like throughout this time and after they release me? Do you even notice a change?</t>
        </is>
      </c>
      <c r="D1989" t="n">
        <v>4</v>
      </c>
      <c r="E1989" t="n">
        <v>3</v>
      </c>
      <c r="F1989">
        <f>HYPERLINK("https://www.reddit.com/r/cancer/comments/bgatps/what_can_i_expect_when_i_go_through_chemotherapy/")</f>
        <v/>
      </c>
      <c r="G1989" t="inlineStr">
        <is>
          <t>2019-04-22 19:24:09</t>
        </is>
      </c>
      <c r="H1989" t="inlineStr"/>
    </row>
    <row r="1990">
      <c r="A1990" t="inlineStr">
        <is>
          <t>bgax7a</t>
        </is>
      </c>
      <c r="B1990" t="inlineStr">
        <is>
          <t>Why did I start to lose my hair after finishing chemo?</t>
        </is>
      </c>
      <c r="C1990" t="inlineStr">
        <is>
          <t>I was diagnosed with acute undifferentiated leukemia on April 2nd and started what my doctor called an "intense" 7 day chemo therapy regimen and was told I would start to lose my hair around the third day of chemo. But I didnt lose any hair by the third day or by the seventh, and being young and insecure (20f) I convinced myself that maybe i'd get lucky and not lose my hair. Well i started losing my hair almost a full week after finishing that round of chemo. It was coming out in large chunks and the thickness of my hair noticeably changing everyday. Its only been about five days I think since it started falling out and ive got large bald spots and am considering just shaving the rest off.
&amp;amp;#x200B;
I know that this is the least of my problems, but i think losing my hair made the disease real for me. I think if i had lost it while on chemo i would have accepted it, but now Im in remission and it just seems...unfair I guess. Anyone else with a similar experience? Or know why my hair waited to fall out?</t>
        </is>
      </c>
      <c r="D1990" t="n">
        <v>3</v>
      </c>
      <c r="E1990" t="n">
        <v>3</v>
      </c>
      <c r="F1990">
        <f>HYPERLINK("https://www.reddit.com/r/cancer/comments/bgax7a/why_did_i_start_to_lose_my_hair_after_finishing/")</f>
        <v/>
      </c>
      <c r="G1990" t="inlineStr">
        <is>
          <t>2019-04-22 19:33:48</t>
        </is>
      </c>
      <c r="H1990" t="inlineStr"/>
    </row>
    <row r="1991">
      <c r="A1991" t="inlineStr">
        <is>
          <t>bgb6f8</t>
        </is>
      </c>
      <c r="B1991" t="inlineStr">
        <is>
          <t>How do I get used to the deformed boob?</t>
        </is>
      </c>
      <c r="C1991" t="inlineStr">
        <is>
          <t>After a lumpectomy and two re-exisions, I took bandages off today and bawled when I looked in the mirror. The incision is three inches wide, there's a permanent dent, and an area that's hardened with scar tissue. I'm told there will be even more changes after radiation. I'm having a much more difficult time with this than I ever expected.</t>
        </is>
      </c>
      <c r="D1991" t="n">
        <v>3</v>
      </c>
      <c r="E1991" t="n">
        <v>10</v>
      </c>
      <c r="F1991">
        <f>HYPERLINK("https://www.reddit.com/r/cancer/comments/bgb6f8/how_do_i_get_used_to_the_deformed_boob/")</f>
        <v/>
      </c>
      <c r="G1991" t="inlineStr">
        <is>
          <t>2019-04-22 19:59:13</t>
        </is>
      </c>
      <c r="H1991" t="inlineStr"/>
    </row>
    <row r="1992">
      <c r="A1992" t="inlineStr">
        <is>
          <t>bgcao8</t>
        </is>
      </c>
      <c r="B1992" t="inlineStr">
        <is>
          <t>Worrying</t>
        </is>
      </c>
      <c r="C1992" t="inlineStr">
        <is>
          <t>Hello guys!! Its my first time here and I need some place to vent. I'm currently 19 living in Portugal and It was recently that I discovered the dangers of asbestos and I know I'm hypochondriac  and as one I started searching more about it and found its everywhere  and I  started to examine my house and it most likely contains some form asbestos and this wouldn't be a problem but as you know houses always have nails to put stuff and I read that doing this will cause the asbestos to be airborne besides my school had asbestos and I did go there for about 6 years and must certainly I was exposed there too and I'm scared of getting mesothelioma and I know it's rare and even more rarer at my age but seeing the things I was exposed I start to cry and I can't sleep right for about 3 days thinking about it and I absolutely bombard my parents to call someone to check the house to see if my worriyngs are justified but they seem to ignore it and don't care. I will never be at peace in my mind and I don't know what to do I want to get out of here asap but it's probably to late. I'm sorry if this is petty but I'm so afraid and lost because of this</t>
        </is>
      </c>
      <c r="D1992" t="n">
        <v>1</v>
      </c>
      <c r="E1992" t="n">
        <v>0</v>
      </c>
      <c r="F1992">
        <f>HYPERLINK("https://www.reddit.com/r/cancer/comments/bgcao8/worrying/")</f>
        <v/>
      </c>
      <c r="G1992" t="inlineStr">
        <is>
          <t>2019-04-22 21:56:03</t>
        </is>
      </c>
      <c r="H1992" t="inlineStr"/>
    </row>
    <row r="1993">
      <c r="A1993" t="inlineStr">
        <is>
          <t>bgdf6t</t>
        </is>
      </c>
      <c r="B1993" t="inlineStr">
        <is>
          <t>They might stop chemo for my mum</t>
        </is>
      </c>
      <c r="C1993" t="inlineStr">
        <is>
          <t>My mum has stage 3 ovarian cancer. Had ovaries removed this year and they got most of the cancer.
She still needs chemo but it’s not agreeing with her and she has no immune system and is in  hospital at the moment with a throat infection. 
She said her doctor may stop chemo because it always makes her so weak and sick. And they don’t want her to die from an infection.
It’s not 100% yet they will stop. I’m just in shock and don’t feel anything yet. I’m getting married in November and we will plan for a child ASAP. I want her there.
My dad died last year and I only have an aunt and uncle that leave far away and family overseas including my sister. So I’m doing most of the work. 
I don’t know what to do</t>
        </is>
      </c>
      <c r="D1993" t="n">
        <v>4</v>
      </c>
      <c r="E1993" t="n">
        <v>3</v>
      </c>
      <c r="F1993">
        <f>HYPERLINK("https://www.reddit.com/r/cancer/comments/bgdf6t/they_might_stop_chemo_for_my_mum/")</f>
        <v/>
      </c>
      <c r="G1993" t="inlineStr">
        <is>
          <t>2019-04-23 00:18:05</t>
        </is>
      </c>
      <c r="H1993" t="inlineStr"/>
    </row>
    <row r="1994">
      <c r="A1994" t="inlineStr">
        <is>
          <t>bgdvzk</t>
        </is>
      </c>
      <c r="B1994" t="inlineStr">
        <is>
          <t>How machine learning methods used to detect cervical cancer</t>
        </is>
      </c>
      <c r="C1994" t="inlineStr">
        <is>
          <t>The cervical biopsy is usually used to detect pre-cancer cells or cervical cancer. But, the procedure is invasive and usually performed under local or full anesthesia. The new research trying to find the ways to avoid it if not necessary by supporting the doctor’s decision on a biopsy based on historical data of all of their patients and their cases - to reduce the risk of recommending a biopsy for a person who really does not need it: [How technology can improve the medicine: machine learning methods used to detect cervical cancer](https://dlabs.pl/blog/article/how-technology-can-improve-the-medicine-machine-learning-methods-used-to-detect-cervical-cancer)
The results shows that it is possible to recommend a cervical biopsy to the patient based on historical data. The used method of machine learning works with 88% efficiency, which means that in 88 out of 100 cases, the algorithm correctly predicted the need for a biopsy.</t>
        </is>
      </c>
      <c r="D1994" t="n">
        <v>1</v>
      </c>
      <c r="E1994" t="n">
        <v>0</v>
      </c>
      <c r="F1994">
        <f>HYPERLINK("https://www.reddit.com/r/cancer/comments/bgdvzk/how_machine_learning_methods_used_to_detect/")</f>
        <v/>
      </c>
      <c r="G1994" t="inlineStr">
        <is>
          <t>2019-04-23 01:23:32</t>
        </is>
      </c>
      <c r="H1994" t="inlineStr"/>
    </row>
    <row r="1995">
      <c r="A1995" t="inlineStr">
        <is>
          <t>bgdzhs</t>
        </is>
      </c>
      <c r="B1995" t="inlineStr">
        <is>
          <t>How did you find out you had Colon Cancer?</t>
        </is>
      </c>
      <c r="C1995" t="inlineStr">
        <is>
          <t>What made you go to the doctors? How long did you wait before going to doctors?  
What symptoms did you have?  
May some higher power heal us all and live happy lives.</t>
        </is>
      </c>
      <c r="D1995" t="n">
        <v>0</v>
      </c>
      <c r="E1995" t="n">
        <v>1</v>
      </c>
      <c r="F1995">
        <f>HYPERLINK("https://www.reddit.com/r/cancer/comments/bgdzhs/how_did_you_find_out_you_had_colon_cancer/")</f>
        <v/>
      </c>
      <c r="G1995" t="inlineStr">
        <is>
          <t>2019-04-23 01:37:51</t>
        </is>
      </c>
      <c r="H1995" t="inlineStr"/>
    </row>
    <row r="1996">
      <c r="A1996" t="inlineStr">
        <is>
          <t>bgg9v6</t>
        </is>
      </c>
      <c r="B1996" t="inlineStr">
        <is>
          <t>Hardest to Survive?</t>
        </is>
      </c>
      <c r="C1996" t="inlineStr">
        <is>
          <t>Can't seem to find online anywhere. Does anyone know which Stage 1a cancers have the lowest 5 year survival rate? And lowest 10 year survival rate? From some research it seems like it would be lung, pancreas, or brain. But couldn't find anything specific about Stage 1. Writing fiction story and character has low survival probability cancer caught early.</t>
        </is>
      </c>
      <c r="D1996" t="n">
        <v>0</v>
      </c>
      <c r="E1996" t="n">
        <v>5</v>
      </c>
      <c r="F1996">
        <f>HYPERLINK("https://www.reddit.com/r/cancer/comments/bgg9v6/hardest_to_survive/")</f>
        <v/>
      </c>
      <c r="G1996" t="inlineStr">
        <is>
          <t>2019-04-23 06:18:03</t>
        </is>
      </c>
      <c r="H1996" t="inlineStr"/>
    </row>
    <row r="1997">
      <c r="A1997" t="inlineStr">
        <is>
          <t>bgh6wz</t>
        </is>
      </c>
      <c r="B1997" t="inlineStr">
        <is>
          <t>My mother was just diagnosed.</t>
        </is>
      </c>
      <c r="C1997" t="inlineStr">
        <is>
          <t>They found a tumor on her lower spine and said it had been there since 2012. She was sent to get a biopsy of it and it was sent off to Ohio to get it looked at by a specialist. She is 45 and was diagnosed with Extraskeletal Myxoid Chondrosarcoma this past weekend. I don't even know where to begin with dealing with this but I know I need to be strong for her. Advice would be much appreciated..</t>
        </is>
      </c>
      <c r="D1997" t="n">
        <v>4</v>
      </c>
      <c r="E1997" t="n">
        <v>1</v>
      </c>
      <c r="F1997">
        <f>HYPERLINK("https://www.reddit.com/r/cancer/comments/bgh6wz/my_mother_was_just_diagnosed/")</f>
        <v/>
      </c>
      <c r="G1997" t="inlineStr">
        <is>
          <t>2019-04-23 07:43:58</t>
        </is>
      </c>
      <c r="H1997" t="inlineStr"/>
    </row>
    <row r="1998">
      <c r="A1998" t="inlineStr">
        <is>
          <t>bgi4fm</t>
        </is>
      </c>
      <c r="B1998" t="inlineStr">
        <is>
          <t>Anyone taking Capecitabine 500 experiencing these side effects?</t>
        </is>
      </c>
      <c r="C1998" t="inlineStr">
        <is>
          <t>My husband is in remission from  4th stage nasopharyngeal cancer. He is taking Capecitabine 500 ..5 daily every other week. He has just started having problems with his feet, both feet. His feet hurt and he can barely stand on them. The bottom of his feet are red, hot and blisters are developing  on balls and heel of feet especially under his toes. Dr told us that it was a side effect and I wondered if anyone has experienced this? I’m soaking in Epsom salt soaks. Thank you for any answer.</t>
        </is>
      </c>
      <c r="D1998" t="n">
        <v>5</v>
      </c>
      <c r="E1998" t="n">
        <v>10</v>
      </c>
      <c r="F1998">
        <f>HYPERLINK("https://www.reddit.com/r/cancer/comments/bgi4fm/anyone_taking_capecitabine_500_experiencing_these/")</f>
        <v/>
      </c>
      <c r="G1998" t="inlineStr">
        <is>
          <t>2019-04-23 09:03:05</t>
        </is>
      </c>
      <c r="H1998" t="inlineStr"/>
    </row>
    <row r="1999">
      <c r="A1999" t="inlineStr">
        <is>
          <t>bgicv5</t>
        </is>
      </c>
      <c r="B1999" t="inlineStr">
        <is>
          <t>I feel guilty for not telling anyone that I had cancer</t>
        </is>
      </c>
      <c r="C1999" t="inlineStr">
        <is>
          <t>Hey guys! 
So I am almost 7 years cancer free, I was diagnosed with a rare form of ovarian cancer when I was only 18 years old... and I genuinely never ended up telling people. 
I was in college at the time and never wanted people to know. I lost all my hair, wore wigs, still pretended everything was fine. I didn’t want people to feel bad for me or pity me, I didn’t want to be treated differently... so I didn’t tell any classmates, only close family and close friends knew.
Even today, my coworkers and friends don’t know. I didn’t even tell my boyfriend until a couple months into our relationship. I just don’t really like talking about it.
But I am feeling super guilty because I have a lot of close friends in my life that I adore, and I feel bad that I didn’t tell them back then what I was going through. I feel like 7 years later it’s just kind of weird to bring it up, and I’d never want them to feel bad about me not telling them.
Just wonder if anyone else has been through this! I don’t know what to do. I feel like I should just never say anything to anyone.</t>
        </is>
      </c>
      <c r="D1999" t="n">
        <v>45</v>
      </c>
      <c r="E1999" t="n">
        <v>12</v>
      </c>
      <c r="F1999">
        <f>HYPERLINK("https://www.reddit.com/r/cancer/comments/bgicv5/i_feel_guilty_for_not_telling_anyone_that_i_had/")</f>
        <v/>
      </c>
      <c r="G1999" t="inlineStr">
        <is>
          <t>2019-04-23 09:22:31</t>
        </is>
      </c>
      <c r="H1999" t="inlineStr"/>
    </row>
    <row r="2000">
      <c r="A2000" t="inlineStr">
        <is>
          <t>bgiwg6</t>
        </is>
      </c>
      <c r="B2000" t="inlineStr">
        <is>
          <t>Online Support Groups for Cancer Patients</t>
        </is>
      </c>
      <c r="C2000" t="inlineStr">
        <is>
          <t xml:space="preserve"> 
Hey,
I'm a 3rd year radiotherapy and oncology student currently writing his dissertation. My topic is the evaluation of online support groups. A little background, I chose my degree because a cousin of mine (and a few other family members) underwent treatment for cancer and I felt like it was a way I could help other people in a similar predicament.If anyone out there would be kind enough as to fill out my survey about their experiences using an Online Support Group it would be a huge help.Thank you for your time and assistance.Ad
[https://www.surveymonkey.com/r/FW829WF](https://www.surveymonkey.com/r/FW829WF)
If you have any queries feel free to message me directly.
Edit: Some reports of trouble with the above link on other websites so here is a different one in case that happen here too.
[https://www.surveymonkey.com/r/GZJYZ6W](https://www.surveymonkey.com/r/GZJYZ6W)</t>
        </is>
      </c>
      <c r="D2000" t="n">
        <v>1</v>
      </c>
      <c r="E2000" t="n">
        <v>0</v>
      </c>
      <c r="F2000">
        <f>HYPERLINK("https://www.reddit.com/r/cancer/comments/bgiwg6/online_support_groups_for_cancer_patients/")</f>
        <v/>
      </c>
      <c r="G2000" t="inlineStr">
        <is>
          <t>2019-04-23 10:07:20</t>
        </is>
      </c>
      <c r="H2000" t="inlineStr"/>
    </row>
    <row r="2001">
      <c r="A2001" t="inlineStr">
        <is>
          <t>bgji0j</t>
        </is>
      </c>
      <c r="B2001" t="inlineStr">
        <is>
          <t>The day my told us the news</t>
        </is>
      </c>
      <c r="C2001" t="inlineStr">
        <is>
          <t>When he told us, I wasn't thinking about how my strong dad was going to be smash to oblivion but how it was the beginning of the end. I took it as him telling us that he will die.</t>
        </is>
      </c>
      <c r="D2001" t="n">
        <v>2</v>
      </c>
      <c r="E2001" t="n">
        <v>6</v>
      </c>
      <c r="F2001">
        <f>HYPERLINK("https://www.reddit.com/r/cancer/comments/bgji0j/the_day_my_told_us_the_news/")</f>
        <v/>
      </c>
      <c r="G2001" t="inlineStr">
        <is>
          <t>2019-04-23 10:57:21</t>
        </is>
      </c>
      <c r="H2001" t="inlineStr"/>
    </row>
    <row r="2002">
      <c r="A2002" t="inlineStr">
        <is>
          <t>bgjtns</t>
        </is>
      </c>
      <c r="B2002" t="inlineStr">
        <is>
          <t>A interesting discussion about how to use food to aid natural healing during Cancer</t>
        </is>
      </c>
      <c r="C2002" t="inlineStr">
        <is>
          <t>This was from a live show with a Dj and music producer named Zev Eisenberg. Around Minute 5 is when the talk to cancer and healing begins.</t>
        </is>
      </c>
      <c r="D2002" t="n">
        <v>0</v>
      </c>
      <c r="E2002" t="n">
        <v>0</v>
      </c>
      <c r="F2002">
        <f>HYPERLINK("https://www.reddit.com/r/cancer/comments/bgjtns/a_interesting_discussion_about_how_to_use_food_to/")</f>
        <v/>
      </c>
      <c r="G2002" t="inlineStr">
        <is>
          <t>2019-04-23 11:25:31</t>
        </is>
      </c>
      <c r="H2002" t="inlineStr"/>
    </row>
    <row r="2003">
      <c r="A2003" t="inlineStr">
        <is>
          <t>bglafx</t>
        </is>
      </c>
      <c r="B2003" t="inlineStr">
        <is>
          <t>Need Food Suggestions</t>
        </is>
      </c>
      <c r="C2003" t="inlineStr">
        <is>
          <t>I'm +12 days out from my autologous stem cell transplant for relapsed Hodgkin's Lymphoma. I remember losing some of my taste with ABVD chemo, but this time it's like my tongue only has a few bitter receptors left. I spent about a week being unable to eat after my transplant, and so I'm having to be careful with my diet while I try to stretch my stomach and strengthen my gut back in shape.
I've been trying the most flavourful but gentle foods to start with, but so far the best thing is a strong home-style apple juice. That's not overly nutritious or substantial to digest, so I'm looking for some suggestions.
Mr Christie's Arrowroot Cookies have been great but again, not much to digest.
Oranges are hurting too much to eat, and pad thai just tastes like water.
Anyone else go through this? What did you eat to get through recovery? How long did it last for you?</t>
        </is>
      </c>
      <c r="D2003" t="n">
        <v>3</v>
      </c>
      <c r="E2003" t="n">
        <v>3</v>
      </c>
      <c r="F2003">
        <f>HYPERLINK("https://www.reddit.com/r/cancer/comments/bglafx/need_food_suggestions/")</f>
        <v/>
      </c>
      <c r="G2003" t="inlineStr">
        <is>
          <t>2019-04-23 13:30:15</t>
        </is>
      </c>
      <c r="H2003" t="inlineStr"/>
    </row>
    <row r="2004">
      <c r="A2004" t="inlineStr">
        <is>
          <t>bglaya</t>
        </is>
      </c>
      <c r="B2004" t="inlineStr">
        <is>
          <t>Post Thyroidectomy Diet</t>
        </is>
      </c>
      <c r="C2004" t="inlineStr">
        <is>
          <t>I was recently diagnosed with Papillary Thyroid cancer and will soon have a complete Thyroidectomy and I’m wondering if anyone who has also had this done has any tips for a healthy diet to maintain a balance post-surgery?</t>
        </is>
      </c>
      <c r="D2004" t="n">
        <v>6</v>
      </c>
      <c r="E2004" t="n">
        <v>5</v>
      </c>
      <c r="F2004">
        <f>HYPERLINK("https://www.reddit.com/r/cancer/comments/bglaya/post_thyroidectomy_diet/")</f>
        <v/>
      </c>
      <c r="G2004" t="inlineStr">
        <is>
          <t>2019-04-23 13:31:28</t>
        </is>
      </c>
      <c r="H2004" t="inlineStr"/>
    </row>
    <row r="2005">
      <c r="A2005" t="inlineStr">
        <is>
          <t>bgnyru</t>
        </is>
      </c>
      <c r="B2005" t="inlineStr">
        <is>
          <t>Why do I get to live but others don't?</t>
        </is>
      </c>
      <c r="C2005" t="inlineStr">
        <is>
          <t>I was diagnosed with Stage 4b Hodgkins Lymphoma when I was 17 going on 18. After 6 rounds of chemo, I went into remission. While in treatment I had a horrible time- mouth sores, nerve pain, neutropenia, infections, rashes, night sweats... You name it I had it. 
I am now three years into my remission but I can't shake the feeling of guilt. A lot of people I met during treatment have died. I think about them all the time and I can't help but ask why me? Why do I get to live and they don't? People use the term survivor like somehow I'm better than the people who didn't make it, like they didn't fight hard enough but I did? Sometimes when people use the word survivor I feel dirty. I want to scream and tell them what they're saying is wrong.
I am so grateful to be alive, don't get me wrong. But I can't help but feel sometimes like I've taken someones place. 
Sometimes I'll daydream about someone else sitting in the same room as I did getting their diagnosis just like I did, who won't make it. Someone lying in the same hospital bed as I did who can't get out of bed just like I did, who won't make it. Why did I? 
It also makes me feel incredibly guilty if I don't 'live my life to the fullest' every single day because so many others don't get to, but somehow I did? I feel as if I have to do as much as possible every single day and if I have a lazy day I'm almost insulting the people who never got this other chance that I do. 
Does anyone else feel like this? Should I be feeling like this? Does this go away?</t>
        </is>
      </c>
      <c r="D2005" t="n">
        <v>28</v>
      </c>
      <c r="E2005" t="n">
        <v>32</v>
      </c>
      <c r="F2005">
        <f>HYPERLINK("https://www.reddit.com/r/cancer/comments/bgnyru/why_do_i_get_to_live_but_others_dont/")</f>
        <v/>
      </c>
      <c r="G2005" t="inlineStr">
        <is>
          <t>2019-04-23 17:32:26</t>
        </is>
      </c>
      <c r="H2005" t="inlineStr"/>
    </row>
    <row r="2006">
      <c r="A2006" t="inlineStr">
        <is>
          <t>bgo8bw</t>
        </is>
      </c>
      <c r="B2006" t="inlineStr">
        <is>
          <t>Endometrial cancer diagnosis and fears</t>
        </is>
      </c>
      <c r="C2006" t="inlineStr">
        <is>
          <t>I (32) was diagnosed with endometrial cancer on April 8th after being hospitalized for excessive blood loss. This far I’ve had 2 procedures to remove excess endometrial lining and a full D&amp;amp;C which led to the diagnosis. They’ve staged it at 1A for now (it will be officially staged when I have my hysterectomy) so I’m truly lucky overall that this should be completely treatable. However, I don’t see an oncologist until the 30th, and in the mean time I’m on hormone therapy proscribed by my ob/gyn to control the bleeding. The issue is that they have had to change my meds (from provera to megace) already because of terrible cramping and increased blood loss and it looks like the dose I’m on now isn’t going to be enough to keep it under control until I meet with the oncologist so I’m going to have to call my ob/gyn to see what the next step is tomorrow. I’m terrified that this means that the situation is worse than they believe it to be. When the cramping flares up it’s more than anything OTC can help with, and I’m pretty sure I shouldn’t be in this kind of pain. I just don’t know what to think, and this whole thing is terrifying. I’m trying to keep it together because we have kids in the house and they don’t need to deal with all of this but my anxiety is through the roof and the not knowing is killing me. I’m sorry if it’s not okay to post my fears on here, but my family is extremely overwhelmed with other events in our lives and I don’t really have anyone to tell that it won’t be a burden to.</t>
        </is>
      </c>
      <c r="D2006" t="n">
        <v>4</v>
      </c>
      <c r="E2006" t="n">
        <v>6</v>
      </c>
      <c r="F2006">
        <f>HYPERLINK("https://www.reddit.com/r/cancer/comments/bgo8bw/endometrial_cancer_diagnosis_and_fears/")</f>
        <v/>
      </c>
      <c r="G2006" t="inlineStr">
        <is>
          <t>2019-04-23 17:58:14</t>
        </is>
      </c>
      <c r="H2006" t="inlineStr"/>
    </row>
    <row r="2007">
      <c r="A2007" t="inlineStr">
        <is>
          <t>bgp09w</t>
        </is>
      </c>
      <c r="B2007" t="inlineStr">
        <is>
          <t>Can an employer fire an employee for undergoing cancer treatment?</t>
        </is>
      </c>
      <c r="C2007" t="inlineStr">
        <is>
          <t>My wife's coworkers are hinting to her that the boss is talking with lawyers about her being out for treatment. Is this legal? Can you be fired for going through chemo?</t>
        </is>
      </c>
      <c r="D2007" t="n">
        <v>3</v>
      </c>
      <c r="E2007" t="n">
        <v>8</v>
      </c>
      <c r="F2007">
        <f>HYPERLINK("https://www.reddit.com/r/cancer/comments/bgp09w/can_an_employer_fire_an_employee_for_undergoing/")</f>
        <v/>
      </c>
      <c r="G2007" t="inlineStr">
        <is>
          <t>2019-04-23 19:12:07</t>
        </is>
      </c>
      <c r="H2007" t="inlineStr"/>
    </row>
    <row r="2008">
      <c r="A2008" t="inlineStr">
        <is>
          <t>bgpeht</t>
        </is>
      </c>
      <c r="B2008" t="inlineStr">
        <is>
          <t>Stage 4 Colon Cancer, seeking advice</t>
        </is>
      </c>
      <c r="C2008" t="inlineStr">
        <is>
          <t>Long story short, Stage 4 Colon Cancer that spread to my lymph nodes and liver, and possibly lungs.
I live in Montana, and am seeking advice on resources, finances, ect... I am overwhelmed and not sure about anything. Currently I missed 3 weeks of work due to diagnosis and chemo treatments. My work may be getting shut down, so I'll lose my insurance and my income.
So I am at a loss on how I'll cover the costs of it and basic living. Will a new job (after the probabationary period to qualify for insurance) cover that or will it get lost as a "pre-existing condition"?</t>
        </is>
      </c>
      <c r="D2008" t="n">
        <v>18</v>
      </c>
      <c r="E2008" t="n">
        <v>13</v>
      </c>
      <c r="F2008">
        <f>HYPERLINK("https://www.reddit.com/r/cancer/comments/bgpeht/stage_4_colon_cancer_seeking_advice/")</f>
        <v/>
      </c>
      <c r="G2008" t="inlineStr">
        <is>
          <t>2019-04-23 19:50:38</t>
        </is>
      </c>
      <c r="H2008" t="inlineStr"/>
    </row>
    <row r="2009">
      <c r="A2009" t="inlineStr">
        <is>
          <t>bgq9uq</t>
        </is>
      </c>
      <c r="B2009" t="inlineStr">
        <is>
          <t>My hero, my sister.</t>
        </is>
      </c>
      <c r="C2009" t="inlineStr">
        <is>
          <t>Last Thursday my 38 year old big sister took her last breath. She left behind 2 teenage boys that she asked me to take care of. I promised her I would.
As I prepare for the service Friday by getting photographs together, and trying to write something to honor her with, I cannot help but reflect on the past 2.5 years that she fought this disease. This is her abbreviated story. The full story was much more arduous.
She had finally found her perfect match. They got pregnant, but she miscarried, and went to get checked up. They found abnormalities and sent off for more testing.
My sister told me she had cervical cancer in February of 2017. I remember the shock I felt sitting at her kitchen table. I was numb. Our family has never been close to cancer. I cried. I toughened up and told her to fight it and beat it. 
She had a radical hysterectomy and a great gynecological oncologist reported clear margins. Great, now sometime to recover and heal. My wife told them that she would carry a baby for them if she wanted to. We thought there was light at the end of the tunnel.
About a month after her surgery, she had severe abdominal pain and pain in her right side pelvic area. The cancer had returned with a vengance. It had spread to some outlying pelvic areas but had not metastasized. Radiation and chemo we're next.
She went 5 rounds, but there was a severe pain that would not go away and the tumor was blocking her utera. They gave her a nefrostomy bag to relive the backing up of her kidneys but could not operate due to arteries and other delicate organs, and radiation was too risky. So they continued to try chemos. She went through a couple of trials.
2018 was a year of fighting. She battled the cancer through chemo and radiation. She changer her activity and diet. She searched for holistic and alternative medicines. Everytime I saw her she was working on something new. During this time she continued to raise her boys and keep her spirits up. She refused to give up.
We held a benefit to help with travel costs and she was so grateful and did as much as she could to help. But late last year they found the tumor had grown slightly so they ended her participation in the trial.
Her pain was always unbearable. They would try to find drug combinations to keep the pain down, but allow her to stay awake. She slept, and slept. She got weak, she stopped eating. Her last image was taken and the radiologist said there was something in her bowels. I don't know if it was cancer or a blockage, but she went from being able to talk and text, to nothing. 
She is gone. Our family is devastated. We have all banded together and will get through this. Her memory will live on in the stories I tell. Her legacy will live on in the children she leaves behind. 
My broken heart aches for my parents. My mother stopped everything to be her caregiver til the end. She will not leave my sister's house, and I can't blame her. My father spent countless hours at my sister's bedside. He would work tirelessly on her home projects she felt had to be done before she passed. 
She had a heart of gold and would help all strays (animals or humans) and a competitor's drive.  My twin boys adored her and she fought long enough to meet my third child in January.
I love you Sis. Til we see each other again.
*My Sister, my hero.*
I've spent all day looking for
another day with you.
But another day would never
take away this blue.
Another year, maybe?
Then another two.
But if I can't have just one more day,
Our memories will have to do.</t>
        </is>
      </c>
      <c r="D2009" t="n">
        <v>97</v>
      </c>
      <c r="E2009" t="n">
        <v>43</v>
      </c>
      <c r="F2009">
        <f>HYPERLINK("https://www.reddit.com/r/cancer/comments/bgq9uq/my_hero_my_sister/")</f>
        <v/>
      </c>
      <c r="G2009" t="inlineStr">
        <is>
          <t>2019-04-23 21:22:47</t>
        </is>
      </c>
      <c r="H2009" t="inlineStr"/>
    </row>
    <row r="2010">
      <c r="A2010" t="inlineStr">
        <is>
          <t>bgqdtm</t>
        </is>
      </c>
      <c r="B2010" t="inlineStr">
        <is>
          <t>Skin Irritation/Redness/Rash After Chemo Treatments or Natural Remedies?</t>
        </is>
      </c>
      <c r="C2010" t="inlineStr">
        <is>
          <t>Hi everyone, my mom recently finished her chemo treatment successfully! And everything seems to be looking good, but she has very bad skin rashes or flakiness on her face. I was wondering if anyone has any suggestions to help her or any good products? Thanks!</t>
        </is>
      </c>
      <c r="D2010" t="n">
        <v>2</v>
      </c>
      <c r="E2010" t="n">
        <v>8</v>
      </c>
      <c r="F2010">
        <f>HYPERLINK("https://www.reddit.com/r/cancer/comments/bgqdtm/skin_irritationrednessrash_after_chemo_treatments/")</f>
        <v/>
      </c>
      <c r="G2010" t="inlineStr">
        <is>
          <t>2019-04-23 21:35:15</t>
        </is>
      </c>
      <c r="H2010" t="inlineStr"/>
    </row>
    <row r="2011">
      <c r="A2011" t="inlineStr">
        <is>
          <t>bgtn26</t>
        </is>
      </c>
      <c r="B2011" t="inlineStr">
        <is>
          <t>Family friend who offered to save dad’s life passed away from cancer last night.</t>
        </is>
      </c>
      <c r="C2011" t="inlineStr">
        <is>
          <t>My dad has been battling cancer for the last several years. When my dad was first diagnosed with kidney cancer a family friend was the first to offer his kidney if my dad were to need it after surgery. Luckily my dad didn’t need his kidney. A year or so after surgery that same friend was diagnosed with cancer. Our friend passed away last night and my dad is still alive and battling. You won’t ever be forgotten Ceaser.</t>
        </is>
      </c>
      <c r="D2011" t="n">
        <v>19</v>
      </c>
      <c r="E2011" t="n">
        <v>2</v>
      </c>
      <c r="F2011">
        <f>HYPERLINK("https://www.reddit.com/r/cancer/comments/bgtn26/family_friend_who_offered_to_save_dads_life/")</f>
        <v/>
      </c>
      <c r="G2011" t="inlineStr">
        <is>
          <t>2019-04-24 04:50:19</t>
        </is>
      </c>
      <c r="H2011" t="inlineStr"/>
    </row>
    <row r="2012">
      <c r="A2012" t="inlineStr">
        <is>
          <t>bgtys9</t>
        </is>
      </c>
      <c r="B2012" t="inlineStr">
        <is>
          <t>Guys. I need advice or something.</t>
        </is>
      </c>
      <c r="C2012" t="inlineStr">
        <is>
          <t>I'm in eighth grade. My close friend's sister, who is a friend of mine was diagnosed with bone cancer in her leg. She's going to the highschool I'm going to next year, and is only months older than me. I'm just at a loss at what to do. This is just so fucked. I don't know what to do. I want to help somehow, but I don't know how. This isn't fair, the fact that shit like this happens to good people. I'm scared. Scared for her, her brother, her family, and anyone else who gets a diagnosis like this literally every day. I'm scared for myself. There's nothing stopping something like this from happening to me one day. I just don't know. What the fuck do I do?</t>
        </is>
      </c>
      <c r="D2012" t="n">
        <v>8</v>
      </c>
      <c r="E2012" t="n">
        <v>5</v>
      </c>
      <c r="F2012">
        <f>HYPERLINK("https://www.reddit.com/r/cancer/comments/bgtys9/guys_i_need_advice_or_something/")</f>
        <v/>
      </c>
      <c r="G2012" t="inlineStr">
        <is>
          <t>2019-04-24 05:24:09</t>
        </is>
      </c>
      <c r="H2012" t="inlineStr"/>
    </row>
    <row r="2013">
      <c r="A2013" t="inlineStr">
        <is>
          <t>bgvvpb</t>
        </is>
      </c>
      <c r="B2013" t="inlineStr">
        <is>
          <t>Sometimes life is so unkind....</t>
        </is>
      </c>
      <c r="C2013" t="inlineStr">
        <is>
          <t>My mom got diagnosed with stage 4 stomach cancer last summer the end of June...ever since we have gotten nothing but bad news...took her to two major cancer centers for second opinions and they all came to the same conclusion that chemo would be her first line treatment...so after trying three different types of chemo and nothing working the cancer has spread even more...how can this be?  I just don't understand.  This nightmare started for us in 2017 my dad was diagnosed with stage 4 lung cancer and passed away within a month, then that year before Christmas my husband got diagnosed with prostate cancer, then my mom lost her brother in Oct 2018 to lung cancer, two weeks ago her sister passed away in her sleep and now yesterday we received the bad news nothing has worked her cancer marker has gone up from 965 to 2600 the past 2 months...How do people cope with so much all at once?  I just don't want her to suffer...</t>
        </is>
      </c>
      <c r="D2013" t="n">
        <v>8</v>
      </c>
      <c r="E2013" t="n">
        <v>6</v>
      </c>
      <c r="F2013">
        <f>HYPERLINK("https://www.reddit.com/r/cancer/comments/bgvvpb/sometimes_life_is_so_unkind/")</f>
        <v/>
      </c>
      <c r="G2013" t="inlineStr">
        <is>
          <t>2019-04-24 08:19:46</t>
        </is>
      </c>
      <c r="H2013" t="inlineStr"/>
    </row>
    <row r="2014">
      <c r="A2014" t="inlineStr">
        <is>
          <t>bgvw16</t>
        </is>
      </c>
      <c r="B2014" t="inlineStr">
        <is>
          <t>What to expect, bladder cancer...</t>
        </is>
      </c>
      <c r="C2014" t="inlineStr">
        <is>
          <t>3 years ago friend is diagnosed with colon and bladder cancer, we do chemo and immunotherapy for years- and then trial drug. Last week doctor tells us that while the colon cancer is gone, the bladder cancer remains and that unfortunately her liver can’t take any more immunotherapy so no more treatments. The cancer will now just do what it’s going to do.... any ideas on what we can expect next? People are often so vague</t>
        </is>
      </c>
      <c r="D2014" t="n">
        <v>3</v>
      </c>
      <c r="E2014" t="n">
        <v>0</v>
      </c>
      <c r="F2014">
        <f>HYPERLINK("https://www.reddit.com/r/cancer/comments/bgvw16/what_to_expect_bladder_cancer/")</f>
        <v/>
      </c>
      <c r="G2014" t="inlineStr">
        <is>
          <t>2019-04-24 08:20:30</t>
        </is>
      </c>
      <c r="H2014" t="inlineStr"/>
    </row>
    <row r="2015">
      <c r="A2015" t="inlineStr">
        <is>
          <t>bgwxja</t>
        </is>
      </c>
      <c r="B2015" t="inlineStr">
        <is>
          <t>My dad might not survive his cancer</t>
        </is>
      </c>
      <c r="C2015" t="inlineStr">
        <is>
          <t>My dad har been struggling with myeloma (cancer in plasma cells) for the last five years, and his health has been steadily getting worse and worse. After years of terrifying nights in the hospital, five cases of pneumonia and more instances of sepsis due to his immune system being wiped out by treatments, my mom and dad got terrible news today from our doctor. His cancer values have skyrocketed and his last treatment has not been effective. We now stand with but one choice left, which is a stem cell transplant with his chance of surviving being 75%. I know that this number seems high, but this procedure is just the beginning of our problems as he will be extremely weak and his body will break down during the weeks after IF he survives. This shouldnt come as a shock to me and my family, but we have all lived in a kind of fantasy world where we try to live our lives as if my father hasnt been dying these years. There is no cure for myeloma, and my fathers cancer has been particularly aggressive. i feel so bad, numb, hopeless and scared for me and my family's future. I have never had a job, and my whole world might and life might be fundamentally changed in the coming weeks. im so scared, and so angry at the total randomness that our lives are dictated by when it comes to these kind of diseases that have nothjing to do with bad habits or anything...
I try to think that loads of people have survived a loss of a parent, and can still smile somehow, but i really have no idea if thats ever gonna be a possibility for me if the wor~~~~st is to happen. i have a deep tendency for depression and introversion and i can just see myself go down a path of total isolation and darkness</t>
        </is>
      </c>
      <c r="D2015" t="n">
        <v>7</v>
      </c>
      <c r="E2015" t="n">
        <v>3</v>
      </c>
      <c r="F2015">
        <f>HYPERLINK("https://www.reddit.com/r/cancer/comments/bgwxja/my_dad_might_not_survive_his_cancer/")</f>
        <v/>
      </c>
      <c r="G2015" t="inlineStr">
        <is>
          <t>2019-04-24 09:47:05</t>
        </is>
      </c>
      <c r="H2015" t="inlineStr"/>
    </row>
    <row r="2016">
      <c r="A2016" t="inlineStr">
        <is>
          <t>bgxd4s</t>
        </is>
      </c>
      <c r="B2016" t="inlineStr">
        <is>
          <t>The beginning of the end</t>
        </is>
      </c>
      <c r="C2016" t="inlineStr">
        <is>
          <t>I(16M) found out a week ago that my mom has developed an advanced brain tumour  from her lung cancer and she probably won’t live for much longer. I knew it was going to happen but I really thought that she would live for at least another few months.  She can’t get out of bed and is in a lot of pain. We have lots of family around that have come to support us and I just feel myself breaking every time I enter her bedroom because she is only an empty shell of the person she once was. She can’t eat food without vomiting it all up and sleeps most of the day. 
I don’t have many people I feel I can turn to to talk about this with.
What should I be doing? I feel awful every time I see my mom because she is a) barely conscious and b) it just reminds me the inevitable is coming. 
Thanks for any advice in advance.</t>
        </is>
      </c>
      <c r="D2016" t="n">
        <v>47</v>
      </c>
      <c r="E2016" t="n">
        <v>22</v>
      </c>
      <c r="F2016">
        <f>HYPERLINK("https://www.reddit.com/r/cancer/comments/bgxd4s/the_beginning_of_the_end/")</f>
        <v/>
      </c>
      <c r="G2016" t="inlineStr">
        <is>
          <t>2019-04-24 10:22:38</t>
        </is>
      </c>
      <c r="H2016" t="inlineStr"/>
    </row>
    <row r="2017">
      <c r="A2017" t="inlineStr">
        <is>
          <t>bgy4be</t>
        </is>
      </c>
      <c r="B2017" t="inlineStr">
        <is>
          <t>I need advice about a possible cancer diagnosis and how to act around my mother, I’m scared.</t>
        </is>
      </c>
      <c r="C2017" t="inlineStr">
        <is>
          <t>My mother just told me that she went to the doctor today with vaginal bleeding complain (she is 51 and in menopause )  he told her that there is a thickening in her uterus and there js is a 10-15% chance of it being cancer.
I know it’s low chance but I’m freaking out. Doctor said it will take a week for results to come back and I’m not sure how to comfort her during this waiting process.
I’m 23 and financially independent but my brother is 16 and he doesn’t know. And my father’s coping mechanism is to think positive. He is very much focused on the 85% of it not being cancer.
So it feels like I’m the only one freaking out about it and I really don’t know how to act around my mother. Should I be normal? If I act extra nice would it make her panic also?
Normally I talk with my brother but now I cannot because my parents told me not to tell him.
Thank you so much for reading!</t>
        </is>
      </c>
      <c r="D2017" t="n">
        <v>6</v>
      </c>
      <c r="E2017" t="n">
        <v>4</v>
      </c>
      <c r="F2017">
        <f>HYPERLINK("https://www.reddit.com/r/cancer/comments/bgy4be/i_need_advice_about_a_possible_cancer_diagnosis/")</f>
        <v/>
      </c>
      <c r="G2017" t="inlineStr">
        <is>
          <t>2019-04-24 11:26:04</t>
        </is>
      </c>
      <c r="H2017" t="inlineStr"/>
    </row>
    <row r="2018">
      <c r="A2018" t="inlineStr">
        <is>
          <t>bgypp1</t>
        </is>
      </c>
      <c r="B2018" t="inlineStr">
        <is>
          <t>Those of you here with any form of brain cancer, what are/were your initial symptoms?</t>
        </is>
      </c>
      <c r="C2018" t="inlineStr">
        <is>
          <t>To preface this, yes I've spoken to my doctor and I have an MRI already scheduled. 
So I'm currently in remission for a completely different type of cancer but have brain cancer history in my family.  Recently I've been experiencing lots of neurological issues that are quite troubling and either different or more severe versions of anything I've seen from "chemo brain"
I'm talking slurred speech, very short bouts of dizziness, short term memory loss, motor skill drop outs, and chronic headaches.
I more so want clarity on whether I should prepare to hear the worst or if I'm just over-reacting as this is normal at the old age of 26.</t>
        </is>
      </c>
      <c r="D2018" t="n">
        <v>7</v>
      </c>
      <c r="E2018" t="n">
        <v>6</v>
      </c>
      <c r="F2018">
        <f>HYPERLINK("https://www.reddit.com/r/cancer/comments/bgypp1/those_of_you_here_with_any_form_of_brain_cancer/")</f>
        <v/>
      </c>
      <c r="G2018" t="inlineStr">
        <is>
          <t>2019-04-24 12:15:47</t>
        </is>
      </c>
      <c r="H2018" t="inlineStr"/>
    </row>
    <row r="2019">
      <c r="A2019" t="inlineStr">
        <is>
          <t>bgz2ae</t>
        </is>
      </c>
      <c r="B2019" t="inlineStr">
        <is>
          <t>Got a call today...</t>
        </is>
      </c>
      <c r="C2019" t="inlineStr">
        <is>
          <t xml:space="preserve"> 
Hi everyone,
I just got some not so great news from my  surgeon. My MRI results came in and it showed that the cancer is  spreading to my jaw. This has changed the surgery significantly. So my  surgery on April 30th is cancelled. That surgery was a simple 1/3 tongue  removal and neck dissection for the lymph nodes. Now it will be the  tongue removal and removing part of my jaw with reconstruction/plastic  surgery.
This totally caught me off guard and has devastated me very much. It  terrifies me so much. I am scared. All my confidence for this battle  has shrunken. It's like I am in a bad dream. And it's hit me hard. Very  hard.
There was some good  news in there. My lymph nodes show no sign of cancer being in them. So  that's a small victory that I'll take. I was not expecting this at all. I  mean it could have been worst and it could still get worst but I am  hoping it won't. I am not going to lay down and let this beat me. I know  I have to fight. I want to survive this. I need to survive this.
Any words of encouragement are greatly welcomed.</t>
        </is>
      </c>
      <c r="D2019" t="n">
        <v>62</v>
      </c>
      <c r="E2019" t="n">
        <v>22</v>
      </c>
      <c r="F2019">
        <f>HYPERLINK("https://www.reddit.com/r/cancer/comments/bgz2ae/got_a_call_today/")</f>
        <v/>
      </c>
      <c r="G2019" t="inlineStr">
        <is>
          <t>2019-04-24 12:45:05</t>
        </is>
      </c>
      <c r="H2019" t="inlineStr"/>
    </row>
    <row r="2020">
      <c r="A2020" t="inlineStr">
        <is>
          <t>bgznl2</t>
        </is>
      </c>
      <c r="B2020" t="inlineStr">
        <is>
          <t>I just got told I have cervical cancer.</t>
        </is>
      </c>
      <c r="C2020" t="inlineStr">
        <is>
          <t>I dk what to do. Two seconds before we were laughing and then the world flipped upside down. I have cancer I have cancer I have cancer I have cancer. Holy shit. I knew something was wrong. I’m thirty. I’m healthy. I’m a mom and realtor. I’m scared. I dk where to turn. I dk what to do. I’ve only told my family. They said it was early. I’m so scared. I’ve never seen so much pain as my husband hearing this news. My giant red neck husband who rode bulls and was in the army and is the strongest man I know broke today. 
I broke today. I have cancer today.</t>
        </is>
      </c>
      <c r="D2020" t="n">
        <v>19</v>
      </c>
      <c r="E2020" t="n">
        <v>17</v>
      </c>
      <c r="F2020">
        <f>HYPERLINK("https://www.reddit.com/r/cancer/comments/bgznl2/i_just_got_told_i_have_cervical_cancer/")</f>
        <v/>
      </c>
      <c r="G2020" t="inlineStr">
        <is>
          <t>2019-04-24 13:35:39</t>
        </is>
      </c>
      <c r="H2020" t="inlineStr"/>
    </row>
    <row r="2021">
      <c r="A2021" t="inlineStr">
        <is>
          <t>bh0hz4</t>
        </is>
      </c>
      <c r="B2021" t="inlineStr">
        <is>
          <t>Had a pelvic mass removed a few weeks ago; question regarding pathology (results linked)</t>
        </is>
      </c>
      <c r="C2021" t="inlineStr">
        <is>
          <t>http://imgur.com/1fPTbBr
I had a large pelvic mass, presumed ovarian cyst, removed early this month and my pathology results were just released to my online med chart account. While I have gathered the gist of it, most of my searches for specifics have turned up "may indicate presence of metastatic tumour" or "may be normal, abnormal, or malignant" and I'm left just as unsure as before what the verdict is. My follow up with my specialist isn't until May 9th, if anybody could shed some light on my results while I wait to see her it would be appreciated.</t>
        </is>
      </c>
      <c r="D2021" t="n">
        <v>8</v>
      </c>
      <c r="E2021" t="n">
        <v>7</v>
      </c>
      <c r="F2021">
        <f>HYPERLINK("https://www.reddit.com/r/cancer/comments/bh0hz4/had_a_pelvic_mass_removed_a_few_weeks_ago/")</f>
        <v/>
      </c>
      <c r="G2021" t="inlineStr">
        <is>
          <t>2019-04-24 14:49:22</t>
        </is>
      </c>
      <c r="H2021" t="inlineStr"/>
    </row>
    <row r="2022">
      <c r="A2022" t="inlineStr">
        <is>
          <t>bh1sfe</t>
        </is>
      </c>
      <c r="B2022" t="inlineStr">
        <is>
          <t>My mother just got told that shes has mets in her liver. I'm a mess.</t>
        </is>
      </c>
      <c r="C2022" t="inlineStr">
        <is>
          <t>I dont know if it's okay to post this but I have no idea what I'm doing.
My mother got diagnosed 6 years ago with occular melanoma.  We went through our grieving stages then. That cancer is an automatic death in most cases. She was recently called tumor free in her eye. I thought that was it. That things were going well. 
However we got a call yesterday. Her doctor called and said she had a probable metastatic lesion on her liver and that shes "stage 4". I'm devastated. The rest of my family is calm about it because "life moves on and staying miserable will only make it harder". They're all looking for the best hospital to take her to. But I'm in total disarray. I'm 20 years old. I haven't stopped pouring tears since yesterday afternoon. Everything was okay before yesterdat afternoon and now everything seems so bleak. I have to go to work tomorrow like this. And I can only imagine how terrified she is.</t>
        </is>
      </c>
      <c r="D2022" t="n">
        <v>7</v>
      </c>
      <c r="E2022" t="n">
        <v>5</v>
      </c>
      <c r="F2022">
        <f>HYPERLINK("https://www.reddit.com/r/cancer/comments/bh1sfe/my_mother_just_got_told_that_shes_has_mets_in_her/")</f>
        <v/>
      </c>
      <c r="G2022" t="inlineStr">
        <is>
          <t>2019-04-24 16:50:53</t>
        </is>
      </c>
      <c r="H2022" t="inlineStr"/>
    </row>
    <row r="2023">
      <c r="A2023" t="inlineStr">
        <is>
          <t>bh21bn</t>
        </is>
      </c>
      <c r="B2023" t="inlineStr">
        <is>
          <t>Self worth and survivors guilt and guidance</t>
        </is>
      </c>
      <c r="C2023" t="inlineStr">
        <is>
          <t>I’ve recently been struggling with self worth. I think it started with cancer I got when I was 18, sophomore in college I had to withdraw 4 years ago. no one would ever believe me if I told them. None of my friends know, I lie to girls about the scars. As I’m writing this I’ve come to think of survivors guilt. I’ve lost people I love to this. They suffered a long and painful death fighting it. Maybe this is the core of it? I’ve isolated myself and find things harder to do than before. Maybe it was the chemo, I don’t know. For the self worth part, I’m not where I want to be financially bc I can’t keep a job. And I’m not in a position to not have a job. I find myself financially supporting my mom half the time w the money I’m trying to save. So I come to think what even is my purpose. I want to find it. I want to do something about it. I know it’s not hard, I need to just apply myself to things.</t>
        </is>
      </c>
      <c r="D2023" t="n">
        <v>11</v>
      </c>
      <c r="E2023" t="n">
        <v>4</v>
      </c>
      <c r="F2023">
        <f>HYPERLINK("https://www.reddit.com/r/cancer/comments/bh21bn/self_worth_and_survivors_guilt_and_guidance/")</f>
        <v/>
      </c>
      <c r="G2023" t="inlineStr">
        <is>
          <t>2019-04-24 17:15:29</t>
        </is>
      </c>
      <c r="H2023" t="inlineStr"/>
    </row>
    <row r="2024">
      <c r="A2024" t="inlineStr">
        <is>
          <t>bh2czh</t>
        </is>
      </c>
      <c r="B2024" t="inlineStr">
        <is>
          <t>Malignant vs Benign</t>
        </is>
      </c>
      <c r="C2024" t="inlineStr">
        <is>
          <t>I had an FNA today and am waiting on results. The mass is below my ear and kind of behind my jaw, inside a lymph node. The surrounding lymphs are all swollen. The mass has grown very rapidly. Are these signs of both a benign and malignant tumor, or am I looking at a malignancy? I'll have the results in a few days, but damned if waiting isn't a bitch...</t>
        </is>
      </c>
      <c r="D2024" t="n">
        <v>1</v>
      </c>
      <c r="E2024" t="n">
        <v>0</v>
      </c>
      <c r="F2024">
        <f>HYPERLINK("https://www.reddit.com/r/cancer/comments/bh2czh/malignant_vs_benign/")</f>
        <v/>
      </c>
      <c r="G2024" t="inlineStr">
        <is>
          <t>2019-04-24 17:48:06</t>
        </is>
      </c>
      <c r="H2024" t="inlineStr"/>
    </row>
    <row r="2025">
      <c r="A2025" t="inlineStr">
        <is>
          <t>bh2lre</t>
        </is>
      </c>
      <c r="B2025" t="inlineStr">
        <is>
          <t>MOHS Consult tomorrow morning</t>
        </is>
      </c>
      <c r="C2025" t="inlineStr">
        <is>
          <t>I originally joined this thread for myself, but this is about my Dad.
He's 70 and always been in great shape... Until recently. In February, he had multiple TIAs, a pacemaker installed, and discovered a small brain aneurysm.
Early this month he was diagnosed with squamous cell carcinoma (skin, on his scalp/forehead) by his dermatologist. They had him come in 3 to 4 times for biopsies, "scraping," etc., and after that, decided he needs to see an oncologist. His dermatologist has given us very little information, and no staging.
Ironically, I am now having to take him to the same cancer center he's taken me to in the past.
Speaking to others I know who have had it, none were referred to oncology. Does this mean it's possibly metastasized? Or just standard course of treatment?
He's essentially medically illiterate and doesn't know the right questions to ask. This one is outside of my experience/knowledge, and unfortunately I've been too ill myself lately to research into it.
So, I suppose my questions are:
Is an onc referral normal for this if it's early stage?
What are the best questions to ask?
Thanks in advance everyone. 
(P.s. sorry about rambling, sick and stressed w cog dog rn 😕)</t>
        </is>
      </c>
      <c r="D2025" t="n">
        <v>5</v>
      </c>
      <c r="E2025" t="n">
        <v>3</v>
      </c>
      <c r="F2025">
        <f>HYPERLINK("https://www.reddit.com/r/cancer/comments/bh2lre/mohs_consult_tomorrow_morning/")</f>
        <v/>
      </c>
      <c r="G2025" t="inlineStr">
        <is>
          <t>2019-04-24 18:12:21</t>
        </is>
      </c>
      <c r="H2025" t="inlineStr"/>
    </row>
    <row r="2026">
      <c r="A2026" t="inlineStr">
        <is>
          <t>bh2qxu</t>
        </is>
      </c>
      <c r="B2026" t="inlineStr">
        <is>
          <t>To follow up on a previous post about my doctor needing to see me urgently after seeing my recent CT. I'm now stage 4</t>
        </is>
      </c>
      <c r="C2026" t="inlineStr">
        <is>
          <t>The good news is that, as far as we know, it's a single 2cm tumor in my right lobe. PET/CT somehow still got denied, but we're fighting for it. Plan is for 3 months of chemo. If it spreads during chemo, it's going to take me. I'm 34, an Army vet, a musician, a comedian, a dog lover, and succulent guru. I don't want to die, and I'm ready for any treatment or surgery they want. Can't dwell on the worst, but my God is it terrifying.</t>
        </is>
      </c>
      <c r="D2026" t="n">
        <v>89</v>
      </c>
      <c r="E2026" t="n">
        <v>40</v>
      </c>
      <c r="F2026">
        <f>HYPERLINK("https://www.reddit.com/r/cancer/comments/bh2qxu/to_follow_up_on_a_previous_post_about_my_doctor/")</f>
        <v/>
      </c>
      <c r="G2026" t="inlineStr">
        <is>
          <t>2019-04-24 18:27:16</t>
        </is>
      </c>
      <c r="H2026" t="inlineStr"/>
    </row>
    <row r="2027">
      <c r="A2027" t="inlineStr">
        <is>
          <t>bh38ca</t>
        </is>
      </c>
      <c r="B2027" t="inlineStr">
        <is>
          <t>Anyone know anything about Ports and TENS machine?</t>
        </is>
      </c>
      <c r="C2027" t="inlineStr">
        <is>
          <t>Anyone have any experience using TENS machine with a port? My mom uses Dr. Ho’s and absolutely loves it, but she’s going for her port tomorrow and isn’t sure if she’ll still be able to use it with the port? Thanks in advance!</t>
        </is>
      </c>
      <c r="D2027" t="n">
        <v>5</v>
      </c>
      <c r="E2027" t="n">
        <v>3</v>
      </c>
      <c r="F2027">
        <f>HYPERLINK("https://www.reddit.com/r/cancer/comments/bh38ca/anyone_know_anything_about_ports_and_tens_machine/")</f>
        <v/>
      </c>
      <c r="G2027" t="inlineStr">
        <is>
          <t>2019-04-24 19:15:31</t>
        </is>
      </c>
      <c r="H2027" t="inlineStr"/>
    </row>
    <row r="2028">
      <c r="A2028" t="inlineStr">
        <is>
          <t>bh3e6s</t>
        </is>
      </c>
      <c r="B2028" t="inlineStr">
        <is>
          <t>How can a person diagnosed with cancer donate bone marrow to them self?</t>
        </is>
      </c>
      <c r="C2028" t="inlineStr">
        <is>
          <t>A friend of mine was telling me about their relative who was diagnosed with bone cancer but was able to donate bone marrow to herself during her treatment.
&amp;amp;#x200B;
How would this be possible because then why wouldn't everyone do that?</t>
        </is>
      </c>
      <c r="D2028" t="n">
        <v>7</v>
      </c>
      <c r="E2028" t="n">
        <v>6</v>
      </c>
      <c r="F2028">
        <f>HYPERLINK("https://www.reddit.com/r/cancer/comments/bh3e6s/how_can_a_person_diagnosed_with_cancer_donate/")</f>
        <v/>
      </c>
      <c r="G2028" t="inlineStr">
        <is>
          <t>2019-04-24 19:31:57</t>
        </is>
      </c>
      <c r="H2028" t="inlineStr"/>
    </row>
    <row r="2029">
      <c r="A2029" t="inlineStr">
        <is>
          <t>bh3gd5</t>
        </is>
      </c>
      <c r="B2029" t="inlineStr">
        <is>
          <t>Today my mom told me she has breast cancer</t>
        </is>
      </c>
      <c r="C2029" t="inlineStr">
        <is>
          <t>Today my mom told me she has stage 1 breast cancer. It hasn’t spread to her lymph nodes and she has to schedule an appointment to have a partial mastectomy within the next two weeks. I’m not sure how long she’s known, but she did say she was wasn’t going to tell me at first. I think that’s in part because I have anxiety and went through a pretty dark period dealing with that last year. Both of my paternal grandparents died from different types of cancer and even though the prognosis for my mom is good I can’t help this distraught feeling I have. I know the primary thing is that I want to be strong for my mom and I will be. She also has my dad and my younger brother, but she hasn’t told my brother yet and asked me not to until she speaks to him first. What can I expect from here on out in terms of treatment and how do I support her?</t>
        </is>
      </c>
      <c r="D2029" t="n">
        <v>15</v>
      </c>
      <c r="E2029" t="n">
        <v>19</v>
      </c>
      <c r="F2029">
        <f>HYPERLINK("https://www.reddit.com/r/cancer/comments/bh3gd5/today_my_mom_told_me_she_has_breast_cancer/")</f>
        <v/>
      </c>
      <c r="G2029" t="inlineStr">
        <is>
          <t>2019-04-24 19:37:52</t>
        </is>
      </c>
      <c r="H2029" t="inlineStr"/>
    </row>
    <row r="2030">
      <c r="A2030" t="inlineStr">
        <is>
          <t>bh4iwp</t>
        </is>
      </c>
      <c r="B2030" t="inlineStr">
        <is>
          <t>Top 10 Cancer Causing Foods</t>
        </is>
      </c>
      <c r="C2030" t="inlineStr">
        <is>
          <t>Cancer is a deadly disease affecting the lives of many people in the world. Let's take a quick look into the foods which might increase the risk of cancer. Visit http://www.cancercareclinic.org/ for more info.</t>
        </is>
      </c>
      <c r="D2030" t="n">
        <v>0</v>
      </c>
      <c r="E2030" t="n">
        <v>5</v>
      </c>
      <c r="F2030">
        <f>HYPERLINK("https://www.reddit.com/r/cancer/comments/bh4iwp/top_10_cancer_causing_foods/")</f>
        <v/>
      </c>
      <c r="G2030" t="inlineStr">
        <is>
          <t>2019-04-24 21:36:15</t>
        </is>
      </c>
      <c r="H2030" t="inlineStr"/>
    </row>
    <row r="2031">
      <c r="A2031" t="inlineStr">
        <is>
          <t>bh4jiu</t>
        </is>
      </c>
      <c r="B2031" t="inlineStr">
        <is>
          <t>Abdominal mass removed, meeting with Doctor tomorrow for the first time</t>
        </is>
      </c>
      <c r="C2031" t="inlineStr">
        <is>
          <t>My appendix exploded last February, it was treated with antibiotics for a few days in the hospital and the off I went.
I had stomach problems consistently over the next year, and in early March I got a new doctor, who said there was a mass in my abdomen around the area my appendix was. Two weeks later i was in surgery.
I got the pathology in early April, and found out my appendix blew because of a mucosal adenocarcinoma, there were low grade cancer cells in the mass, along with 3 of the 9 lymph nodes removed. I meet with my doctor's at the cancer society for the first time in 12 hours, and I have no clue what kind of questions I should be asking. Any help or suggestions would be greatly appreciated.</t>
        </is>
      </c>
      <c r="D2031" t="n">
        <v>3</v>
      </c>
      <c r="E2031" t="n">
        <v>2</v>
      </c>
      <c r="F2031">
        <f>HYPERLINK("https://www.reddit.com/r/cancer/comments/bh4jiu/abdominal_mass_removed_meeting_with_doctor/")</f>
        <v/>
      </c>
      <c r="G2031" t="inlineStr">
        <is>
          <t>2019-04-24 21:38:28</t>
        </is>
      </c>
      <c r="H2031" t="inlineStr"/>
    </row>
    <row r="2032">
      <c r="A2032" t="inlineStr">
        <is>
          <t>bh4lzn</t>
        </is>
      </c>
      <c r="B2032" t="inlineStr">
        <is>
          <t>My wife (36F) had a recurrence of her Stage 1c ovarian cancer 2 months ago. Our son is 4 months old now. I (38M) am at a loss.</t>
        </is>
      </c>
      <c r="C2032" t="inlineStr">
        <is>
          <t>Title. Her doc did a second biopsy on her impacted lymph nodes. No restage due to recurrence. They determined the initial diagnosis was wrong. It wasn't a mucinous carcinoma but actually an adenocarcinoma. Never would have had our son if her gyn onc would have known. Her second biopsy showed she had the pd-1 marker with the l genetic mutation so she today completed her a second round of keytruda. She seems to be doing great but that fear that any day she may go is there. I am at a loss right now. Hopeful but realistic I guess.</t>
        </is>
      </c>
      <c r="D2032" t="n">
        <v>7</v>
      </c>
      <c r="E2032" t="n">
        <v>3</v>
      </c>
      <c r="F2032">
        <f>HYPERLINK("https://www.reddit.com/r/cancer/comments/bh4lzn/my_wife_36f_had_a_recurrence_of_her_stage_1c/")</f>
        <v/>
      </c>
      <c r="G2032" t="inlineStr">
        <is>
          <t>2019-04-24 21:46:45</t>
        </is>
      </c>
      <c r="H2032" t="inlineStr"/>
    </row>
    <row r="2033">
      <c r="A2033" t="inlineStr">
        <is>
          <t>bh5kmt</t>
        </is>
      </c>
      <c r="B2033" t="inlineStr">
        <is>
          <t>Doc seems to be too complacent with 'spot' on CT</t>
        </is>
      </c>
      <c r="C2033" t="inlineStr">
        <is>
          <t>Hey folks, my wife was diagnosed stage 3c OC in Jan of 2018.  Wen through surgery that didn't get everything, Carb/pac/bev and a trial of atezo for six months and found clear on scans.  10 months of maintenance chemo ends in a week.  Her last CT had a 'spot in small bowel loop that could be metastatic' and a note that it retrospect it may have been in previous CT as well.  No measurement or anything.  CA125 has been elevated from her low of 15 to 18 for last two tests.  I feel like the doc is just seeing the finish line coming up and happy to wait until end of May for next CT scan.
My wife has been a rock but this seems to have her a little nervous.  She said she had a pain in her lower abdomen yesterday, which could be in her head i don't know, but i just want more aggressive approach.  Any suggestions?  What about those remote second opinion options from various cancer centers?</t>
        </is>
      </c>
      <c r="D2033" t="n">
        <v>2</v>
      </c>
      <c r="E2033" t="n">
        <v>1</v>
      </c>
      <c r="F2033">
        <f>HYPERLINK("https://www.reddit.com/r/cancer/comments/bh5kmt/doc_seems_to_be_too_complacent_with_spot_on_ct/")</f>
        <v/>
      </c>
      <c r="G2033" t="inlineStr">
        <is>
          <t>2019-04-24 23:57:04</t>
        </is>
      </c>
      <c r="H2033" t="inlineStr"/>
    </row>
    <row r="2034">
      <c r="A2034" t="inlineStr">
        <is>
          <t>bh79wh</t>
        </is>
      </c>
      <c r="B2034" t="inlineStr">
        <is>
          <t>Just got a left hemipelvectomy/hindquarter. I 36 and have stage IV sarcoma with a projected 6 months left. This is day 2 in my recovery. I feel like I got hit by a truck</t>
        </is>
      </c>
      <c r="C2034" t="inlineStr">
        <is>
          <t>Feeling like it was a mistake, I asked so many questions and the real answers where in the one they skirted. I’m in a top facility and I have a top surgeon. They told me I’d be sitting up Day 1. No shot
I woke up from surgery with a neck IV an my face all taped up quite distressed. I’ve keep visitation minimal so far. 
I feel Bad but I don’t want be around anyone yet, try talking about me going home in 10-14 days right now I can’t get out of beds. No avengers for me unless I buy a bootleg which I won’t. (Principle)
So day consists of trying to clear my throat( I’m a smoker and before you get up in arms no connection between smoking and my  sarcoma cancer. The pressure form the cough makes it soooo much hardetng quicker,tricks for coughing? Also feel free to ask whatever you want. . If needed via PM. 
I have basically lost everything. 
Some of my early story is here 
Http://mysarcomacancerstory.com
Think I have one active client on here if so don’t worry about it your stuff only sold or sent back to you in the next two weeks.</t>
        </is>
      </c>
      <c r="D2034" t="n">
        <v>41</v>
      </c>
      <c r="E2034" t="n">
        <v>29</v>
      </c>
      <c r="F2034">
        <f>HYPERLINK("https://www.reddit.com/r/cancer/comments/bh79wh/just_got_a_left_hemipelvectomyhindquarter_i_36/")</f>
        <v/>
      </c>
      <c r="G2034" t="inlineStr">
        <is>
          <t>2019-04-25 04:02:40</t>
        </is>
      </c>
      <c r="H2034" t="inlineStr"/>
    </row>
    <row r="2035">
      <c r="A2035" t="inlineStr">
        <is>
          <t>bh7a85</t>
        </is>
      </c>
      <c r="B2035" t="inlineStr">
        <is>
          <t>Mother diagnosed today - don't really understand...</t>
        </is>
      </c>
      <c r="C2035" t="inlineStr">
        <is>
          <t>Mother 54, went to hospital yesterday. Apparently she has had an ulcer in her mouth for a few months and suddenly unable to open her jaw so went in. 
They ran some tests and she went for the results today. 
She just phoned me crying, it is cancer and in her jaw, her lymph nodes and spread to the chest.
I dont know what any of that means really, what stage, survival rate 5 years+, treatment, options.  
Confused...</t>
        </is>
      </c>
      <c r="D2035" t="n">
        <v>4</v>
      </c>
      <c r="E2035" t="n">
        <v>1</v>
      </c>
      <c r="F2035">
        <f>HYPERLINK("https://www.reddit.com/r/cancer/comments/bh7a85/mother_diagnosed_today_dont_really_understand/")</f>
        <v/>
      </c>
      <c r="G2035" t="inlineStr">
        <is>
          <t>2019-04-25 04:03:52</t>
        </is>
      </c>
      <c r="H2035" t="inlineStr"/>
    </row>
    <row r="2036">
      <c r="A2036" t="inlineStr">
        <is>
          <t>bh7pxh</t>
        </is>
      </c>
      <c r="B2036" t="inlineStr">
        <is>
          <t>Help with a friends panmcreatic cancer diagnosis</t>
        </is>
      </c>
      <c r="C2036" t="inlineStr">
        <is>
          <t>Hi.
A close friend of mine (male 42) has spent the past 1.5 years convinced has has pancreatic cancer. It started after he felt unwell and then self-diagnosed himself.  He's wealthy and has spent an ungodly amount of money travelling the world trying alternative therapies, even though all the pet scans and test results have returned negative.
What he has receiveed is a set of results from this organisation and CTC tests:
[https://www.rgcc-group.com/](https://www.rgcc-group.com/) 
And I have the document he sent with results, that, in conclusion states:
"The findings of the analysis are compatible for higher probability for pastrointestinal type of maliganancy and especially for carcinoma and less probable for other types".
He has been receiving high dose intravenous Vitamin C for some time to the extent that his veins are so damaged they can no longer administor it, so he's having a portacath fitted. All his own choices with no apparent confirmation from any medical professional. He's then heading to Malasia for Antisense therapoy and gcaf to reduce negalese (don't knoww what any of that means)? Each session there costs around £20k and in his mind he will just keep on spending until the money runs out.
Last year he asked me if I would "help him with some photoshop". Turns out he wanted me to create an image of one of his scans to make it look like he had pancreatic cancer to get into a clinical trial in Thailand or Mongolia. After even a brief search it was obvious the doctor running the trial was a quack and was widely discredited, but more than happy to receive £3k to send some pills.
He also flew to the Pancreatic Cancer World Conference at John Hopkins  last year from Hong Kong. But only lasted a day as not being a surgeon or professor was an obvious drawback...
He is convinced he knows more about cancer than trained medical professionals, including a large number of tests at the Royal Marsden hospital in London last year. He's seeing a clinical psychologist, which we thought was great news, but he recently told his sister that he knows the pshycologist will soon come around to seeing it his way.
He lives in Hong Kong. I live in London. I'm struggling with what to do as he may well have cancer but as everything is negative apart from the Greek clinic and he's in good health, then it just seems implausible.
Keen to get some advice and if there are oncologists on here that could read the obfuscated clinical results I have with names etc removed that would be really helpful.
Thanks</t>
        </is>
      </c>
      <c r="D2036" t="n">
        <v>4</v>
      </c>
      <c r="E2036" t="n">
        <v>3</v>
      </c>
      <c r="F2036">
        <f>HYPERLINK("https://www.reddit.com/r/cancer/comments/bh7pxh/help_with_a_friends_panmcreatic_cancer_diagnosis/")</f>
        <v/>
      </c>
      <c r="G2036" t="inlineStr">
        <is>
          <t>2019-04-25 04:55:08</t>
        </is>
      </c>
      <c r="H2036" t="inlineStr"/>
    </row>
    <row r="2037">
      <c r="A2037" t="inlineStr">
        <is>
          <t>bh7ygo</t>
        </is>
      </c>
      <c r="B2037" t="inlineStr">
        <is>
          <t>Returning to hospital</t>
        </is>
      </c>
      <c r="C2037" t="inlineStr">
        <is>
          <t>I'm not sure why but It feels very strange going back to hospital less than 6 weeks after radiotherapy ended even though it's just to discuss surgery. Sorry for incoherent rambling I just wanted to mention it. [m20]</t>
        </is>
      </c>
      <c r="D2037" t="n">
        <v>12</v>
      </c>
      <c r="E2037" t="n">
        <v>14</v>
      </c>
      <c r="F2037">
        <f>HYPERLINK("https://www.reddit.com/r/cancer/comments/bh7ygo/returning_to_hospital/")</f>
        <v/>
      </c>
      <c r="G2037" t="inlineStr">
        <is>
          <t>2019-04-25 05:20:32</t>
        </is>
      </c>
      <c r="H2037" t="inlineStr"/>
    </row>
    <row r="2038">
      <c r="A2038" t="inlineStr">
        <is>
          <t>bh8gi7</t>
        </is>
      </c>
      <c r="B2038" t="inlineStr">
        <is>
          <t>Cancer and Stimulants for Lack of Energy/Motivation</t>
        </is>
      </c>
      <c r="C2038" t="inlineStr">
        <is>
          <t>I have stage 3c Ovarian Cancer. I also have had severe anxiety and depression that was diagnosed sometime around middle school. The cancer has certainly not helped and I am having severe fatigue and lack of motivation. I want to enjoy my life, and I need to have energy to do things and just feel alive. It's difficult to do anything right now.
Both my palliative care and psychiatrist doctors have suggested a stimulant. I've tried almost all the antidepressants. They help my anxiety but that's it.
Does anyone have experience  taking stimulants for fatigue/ depression?</t>
        </is>
      </c>
      <c r="D2038" t="n">
        <v>12</v>
      </c>
      <c r="E2038" t="n">
        <v>6</v>
      </c>
      <c r="F2038">
        <f>HYPERLINK("https://www.reddit.com/r/cancer/comments/bh8gi7/cancer_and_stimulants_for_lack_of_energymotivation/")</f>
        <v/>
      </c>
      <c r="G2038" t="inlineStr">
        <is>
          <t>2019-04-25 06:11:27</t>
        </is>
      </c>
      <c r="H2038" t="inlineStr"/>
    </row>
    <row r="2039">
      <c r="A2039" t="inlineStr">
        <is>
          <t>bh8jvx</t>
        </is>
      </c>
      <c r="B2039" t="inlineStr">
        <is>
          <t>Boyfriend getting results today</t>
        </is>
      </c>
      <c r="C2039" t="inlineStr">
        <is>
          <t>My (58 f) boyfriend (51 m) is getting his results from his recent radiation therapy for a nonoperable glioblastoma mulitforme. This is his 2nd go-around with GBM; he was almost 5 years out from the 1st recurrence when it came back.  He has been in treatment 5 months. Please keep us in your thoughts. I’m scared.</t>
        </is>
      </c>
      <c r="D2039" t="n">
        <v>18</v>
      </c>
      <c r="E2039" t="n">
        <v>7</v>
      </c>
      <c r="F2039">
        <f>HYPERLINK("https://www.reddit.com/r/cancer/comments/bh8jvx/boyfriend_getting_results_today/")</f>
        <v/>
      </c>
      <c r="G2039" t="inlineStr">
        <is>
          <t>2019-04-25 06:20:44</t>
        </is>
      </c>
      <c r="H2039" t="inlineStr"/>
    </row>
    <row r="2040">
      <c r="A2040" t="inlineStr">
        <is>
          <t>bh95jz</t>
        </is>
      </c>
      <c r="B2040" t="inlineStr">
        <is>
          <t>Mastectomy vs lobectomy</t>
        </is>
      </c>
      <c r="C2040" t="inlineStr">
        <is>
          <t>Hello, my mother has been diagnosed with stage 1 breast cancer. 
They want her to choose which procedure they go forward with. 
Anyone have any experience with this decision that could share their reasons for making that choice?</t>
        </is>
      </c>
      <c r="D2040" t="n">
        <v>8</v>
      </c>
      <c r="E2040" t="n">
        <v>26</v>
      </c>
      <c r="F2040">
        <f>HYPERLINK("https://www.reddit.com/r/cancer/comments/bh95jz/mastectomy_vs_lobectomy/")</f>
        <v/>
      </c>
      <c r="G2040" t="inlineStr">
        <is>
          <t>2019-04-25 07:16:43</t>
        </is>
      </c>
      <c r="H2040" t="inlineStr"/>
    </row>
    <row r="2041">
      <c r="A2041" t="inlineStr">
        <is>
          <t>bhah9m</t>
        </is>
      </c>
      <c r="B2041" t="inlineStr">
        <is>
          <t>Anyone had/has Carcinoid/NET</t>
        </is>
      </c>
      <c r="C2041" t="inlineStr">
        <is>
          <t>Was diagnosed with pancreatic neuroendocrine cancer last year.  Had surgery and pretty much the last month has been tests confirming liver metastasis.  Spoke to both my surgical oncologist and medical oncologist at MD Anderson and I’m supposed to start Sandostatin (Octreotide) soon.  Wondering if anyone has or is going through this.  I’m only 34 so needless to say I’m also curious about how well and how long this treatment works.</t>
        </is>
      </c>
      <c r="D2041" t="n">
        <v>2</v>
      </c>
      <c r="E2041" t="n">
        <v>4</v>
      </c>
      <c r="F2041">
        <f>HYPERLINK("https://www.reddit.com/r/cancer/comments/bhah9m/anyone_hadhas_carcinoidnet/")</f>
        <v/>
      </c>
      <c r="G2041" t="inlineStr">
        <is>
          <t>2019-04-25 09:12:36</t>
        </is>
      </c>
      <c r="H2041" t="inlineStr"/>
    </row>
    <row r="2042">
      <c r="A2042" t="inlineStr">
        <is>
          <t>bhav45</t>
        </is>
      </c>
      <c r="B2042" t="inlineStr">
        <is>
          <t>Low energy/ lazy feeling in maintenance phase</t>
        </is>
      </c>
      <c r="C2042" t="inlineStr">
        <is>
          <t>I was diagnosed with ALL luekemia 2 years ago I'm currently at the end of "maintenance" so I'm on a pretty low dose of 6mp daily but I'm just always kind of tired/ lazy like 80% of the time. I'm wondering if it's from chemo or if it's just me though? I have one more month and then I'm completely off chemo I'm hoping to see my energy level go to normal. Thoughts  or let me know your experience</t>
        </is>
      </c>
      <c r="D2042" t="n">
        <v>1</v>
      </c>
      <c r="E2042" t="n">
        <v>0</v>
      </c>
      <c r="F2042">
        <f>HYPERLINK("https://www.reddit.com/r/cancer/comments/bhav45/low_energy_lazy_feeling_in_maintenance_phase/")</f>
        <v/>
      </c>
      <c r="G2042" t="inlineStr">
        <is>
          <t>2019-04-25 09:45:33</t>
        </is>
      </c>
      <c r="H2042" t="inlineStr"/>
    </row>
    <row r="2043">
      <c r="A2043" t="inlineStr">
        <is>
          <t>bhbnw4</t>
        </is>
      </c>
      <c r="B2043" t="inlineStr">
        <is>
          <t>Tonsil cancer screening at dentist revealed a growth</t>
        </is>
      </c>
      <c r="C2043" t="inlineStr">
        <is>
          <t>I am 22, and yesterday at the dentist after my cleaning they asked if I wanted to have a quick little test for oral cancer. I said yes, as you do. As the dentist tech was looking around with her blue light (I can't remember it's name but the healthy tissue looks dark and anything unhealthy lights up) and it was all good until she got to my tonsils. I have a growth thats been there a long time, it's pretty small. Under the light it was glowing white, and they refered me to a specialist. Looking into it I have the two main symptoms of tonsil cancer (one tonisl larger then the other, constant sore throat and a growth on one tonsil). I am going to see another doctor about this to see what I can do in the meantime before I can get my biopsy. 
I've told my partner and my best friend. I feel like I can't tell my family because my father has cancer as well and that is already tearing everyone apart. My little brother, who I take care of (he lives with me and not my parents) is already having a hard time. I guess I'm just here looking for some support, I don't know if I do have cancer for sure, but the cards certainly are adding up in that direction. I am thinking of looking for some local support groups. I don't want a therapist but a group of people going through the same thing I think would be therapeutic. Any online resources about this would be helpful.  
Thank you all, have a great day and take care of yourselves.</t>
        </is>
      </c>
      <c r="D2043" t="n">
        <v>17</v>
      </c>
      <c r="E2043" t="n">
        <v>4</v>
      </c>
      <c r="F2043">
        <f>HYPERLINK("https://www.reddit.com/r/cancer/comments/bhbnw4/tonsil_cancer_screening_at_dentist_revealed_a/")</f>
        <v/>
      </c>
      <c r="G2043" t="inlineStr">
        <is>
          <t>2019-04-25 10:53:15</t>
        </is>
      </c>
      <c r="H2043" t="inlineStr"/>
    </row>
    <row r="2044">
      <c r="A2044" t="inlineStr">
        <is>
          <t>bhc20r</t>
        </is>
      </c>
      <c r="B2044" t="inlineStr">
        <is>
          <t>The DCIS that wasn't.</t>
        </is>
      </c>
      <c r="C2044" t="inlineStr">
        <is>
          <t>I posted on here a few months back about having DCIS. It stemmed from a cyst that I've had forever. They did a needle biopsy that came back inconclusive (which left me with a lot of pain), so we did a stereotactic biopsy, which was classed as lobular carcinoma.  Well, I had my lumpectomy 3 weeks ago and I finally got my pathology reports back this week, and it turned out that, in addition to the LCIS, there's actual invasive cancer. I feel like I'm on a rollercoaster that i just want to get off of. 
At this point, I'm just waiting for an appointment with the radiation oncologist. I didn't think this would affect me emotionally, but it is. I've got a wonderful medical team who keep me informed but I guess I'm a bit nervous about radiation.</t>
        </is>
      </c>
      <c r="D2044" t="n">
        <v>9</v>
      </c>
      <c r="E2044" t="n">
        <v>7</v>
      </c>
      <c r="F2044">
        <f>HYPERLINK("https://www.reddit.com/r/cancer/comments/bhc20r/the_dcis_that_wasnt/")</f>
        <v/>
      </c>
      <c r="G2044" t="inlineStr">
        <is>
          <t>2019-04-25 11:27:13</t>
        </is>
      </c>
      <c r="H2044" t="inlineStr"/>
    </row>
    <row r="2045">
      <c r="A2045" t="inlineStr">
        <is>
          <t>bhd3fj</t>
        </is>
      </c>
      <c r="B2045" t="inlineStr">
        <is>
          <t>Last round of chemo!! But what comes next?</t>
        </is>
      </c>
      <c r="C2045" t="inlineStr">
        <is>
          <t>A little quick backstory on me so hopefully people can understand my uncertainty. 
I had surgery to remove my tumor, seminoma/testicular cancer. Then did a blood and ct scan and said I was in the clear. I later told them I had a swollen lymph node and asked if it was connected. Sure enough it was. So I was scheduled for chemo right away. Later to be told that they think it might have spread to my lungs, in order to be sure, I needed a PET scan. But my oncologist said what for, I was already scheduled for chemo. I agreed with my doctor, I mean what for? He obviously knows more about this than I do. 
8/9 weeks, 3 cycles of BEP, I’m done! I’m excited. No more needles, no more nausea, no more feeling like a stranger in my own body. It’s nothing but coming up from here. 
But can I really say that? Last time I was told I was in the clear I had to point something out. I’ve read one too many story about cancer spreading after chemo. I had a ct scan after surgery and they didn’t detect the lymph node. And when I think about it, I don’t appreciate how dismissive  my oncologist was about getting a PET scan. Now I want a full body scan. Brain, ct, pet, the works. 
I don’t know if I’m being dramatic, spent too much time on the internet. But when can I say I beat cancer? When can I tell my family I’m in the clear?</t>
        </is>
      </c>
      <c r="D2045" t="n">
        <v>40</v>
      </c>
      <c r="E2045" t="n">
        <v>24</v>
      </c>
      <c r="F2045">
        <f>HYPERLINK("https://www.reddit.com/r/cancer/comments/bhd3fj/last_round_of_chemo_but_what_comes_next/")</f>
        <v/>
      </c>
      <c r="G2045" t="inlineStr">
        <is>
          <t>2019-04-25 12:57:18</t>
        </is>
      </c>
      <c r="H2045" t="inlineStr"/>
    </row>
    <row r="2046">
      <c r="A2046" t="inlineStr">
        <is>
          <t>bhdstp</t>
        </is>
      </c>
      <c r="B2046" t="inlineStr">
        <is>
          <t>Remission weight gain</t>
        </is>
      </c>
      <c r="C2046" t="inlineStr">
        <is>
          <t>Im 21F and had stage 3B Hodgkin lymphoma last year. I’ve been in remission since March 2018 and finished chemo (12 rounds of AVD-Brentuximab) in July. I’m posting because while I was still undergoing chemo I had heard weight gain was a common consequence of remission from HL, but I haven’t heard anyone else’s experience with it.
When I started chemo, within a month I’d lost 25 pounds. I maybe gained 10 of that back but stayed below my previous weight throughout treatment, which made sense considering I wasn’t eating every other weekend. From the end of July to my last visit, which was in February, I’ve gained about 40 lbs, and have probably gained more since then.  While I’ve never been super skinny, my weight has always been really stable, and these 9 months after chemo have been really hard and surprising. I eat the same things in the same quantities I always had, but I’ve been just consistently putting on weight in a way that feels out of control. I was a size smaller for the time I was in treatment, so I bought some different clothes, and then immediately outgrew them and now some clothes I bought to accommodate my new, heavier weight are tight too, which just is really hard. I’ve tried to reassure myself that I know it’s a side effect of my body healing, and i think it’s really important to be body size accepting, but I need a place to be honest—it sucks, and I don’t feel good about my body. Cancer patients are also always depicted as being rail thin and losing weight, so gaining weight as a side effect of cancer has been especially hard. 
I’m going to talk to my onc about it at my next visit, but I thought I’d see if anyone had a similar experience or could empathize. It’s so hard to feel at home in my body now, and the year after cancer adapting to the new normal is already hard, and this isn’t exactly making it easier.</t>
        </is>
      </c>
      <c r="D2046" t="n">
        <v>13</v>
      </c>
      <c r="E2046" t="n">
        <v>17</v>
      </c>
      <c r="F2046">
        <f>HYPERLINK("https://www.reddit.com/r/cancer/comments/bhdstp/remission_weight_gain/")</f>
        <v/>
      </c>
      <c r="G2046" t="inlineStr">
        <is>
          <t>2019-04-25 13:58:08</t>
        </is>
      </c>
      <c r="H2046" t="inlineStr"/>
    </row>
    <row r="2047">
      <c r="A2047" t="inlineStr">
        <is>
          <t>bhevbz</t>
        </is>
      </c>
      <c r="B2047" t="inlineStr">
        <is>
          <t>Starting over? I guess?</t>
        </is>
      </c>
      <c r="C2047" t="inlineStr">
        <is>
          <t>Hey everyone, I am looking for advice on starting over. In August I was diagnosed with stage 4 Lymphoma. As of April 12, 2019 I was officially deemed cancer free. It didn’t come free though, I was tore down and beat up by chemo for months. It has taken not just a physical toll on me, but a very large mental one. I am just wondering how do I start over? How do I find my new normal? How do I start to feel whole again?</t>
        </is>
      </c>
      <c r="D2047" t="n">
        <v>18</v>
      </c>
      <c r="E2047" t="n">
        <v>21</v>
      </c>
      <c r="F2047">
        <f>HYPERLINK("https://www.reddit.com/r/cancer/comments/bhevbz/starting_over_i_guess/")</f>
        <v/>
      </c>
      <c r="G2047" t="inlineStr">
        <is>
          <t>2019-04-25 15:34:39</t>
        </is>
      </c>
      <c r="H2047" t="inlineStr"/>
    </row>
    <row r="2048">
      <c r="A2048" t="inlineStr">
        <is>
          <t>bhfekl</t>
        </is>
      </c>
      <c r="B2048" t="inlineStr">
        <is>
          <t>My sister is my person</t>
        </is>
      </c>
      <c r="C2048" t="inlineStr">
        <is>
          <t>My sister has been battling breast cancer for almost 2 years now. We started at a smaller hospital that initially diagnosed her with stage 3 triple negative breast cancer. They told us it was aggressive but they’d cure it. After rounds of chemo, then a mastectomy, then radiation, the cancer metastasized to her brain. We were now at stage 4. 
We switched to a more renowned hospital. More chemo. More radiation. Gamma knife. All of it. We had zero doubts in our mind, as rough as the road got, she’d be a breast cancer survivor. She’d be one of the 22% of women and men who survive stage 4 breast cancer. 
Monday, the doctor told us the the cancer had spread beyond the liver, the bones, the brain and wherever else it had spread to in the past 2 years, to the spinal and brain fluid. 
Leptomeningeal metastasis. Whatever the hell that is. Before this, her oncologist had lots of different options for us. But this.....this is it. The doctor who had kept our hope alive told us that it’s time to transition to hospice. Once diagnosed, you basically have 4-6 weeks to live. It is only seen in 3-5% of all cancer cases and it happened to our survivor. 
My sister is the smartest person I’ve ever known. She had just finished year 1 at a top 10 law school on a full ride scholarship when she was diagnosed. I remember the pride (and slight disappointment lol) I felt when she said Duke Law accepted her and offered her money but that wasn’t the school for her. I remember the pride I felt when after months of chemo treatments, she went to interview with some of the best firms in the world for a summer internship. I celebrated her wins and callbacks with her. I scoffed at the firms that just weren’t good enough with her. 
She graduated top of her class in undergrad. She would mostly likely be a lawyer for a top firm or somebody incredibly important......now she can’t tell me where she is. She confuses basic words or makes up new words. She can’t get her thoughts across. She’s in a state of delirium (another new word for me). 
My sister is my hero. I try so hard not to cry when I play along with her hallucinations. I can’t help myself from crying when I see my parents who were so incredibly proud of my sister and all of her accomplishments watch their child’s life come to an end in the most painful way possible. 
When she’s lucid, she tells me how scared she is and how she’s not ready to give up fighting. We were supposed to live long, successful lives. There is no more fight. I’ve spent hours looking up clinical trials. There are 11 recruiting right now for leptomeningeal mets and most of them exclude her for one reason or another. 
Whether anyone reads this or not, I just needed to get my thoughts out there. I talk to no one about this. Most people in my life have no idea what’s going on except for family. I don’t know how I’m going to listen to people talk about their siblings when I’m losing mine. How parents can talk about their children knowing my parents watched theirs deteriorate in the worst way. 
My sister is my person. I don’t know what’s next and I’m too scared to find out.</t>
        </is>
      </c>
      <c r="D2048" t="n">
        <v>85</v>
      </c>
      <c r="E2048" t="n">
        <v>25</v>
      </c>
      <c r="F2048">
        <f>HYPERLINK("https://www.reddit.com/r/cancer/comments/bhfekl/my_sister_is_my_person/")</f>
        <v/>
      </c>
      <c r="G2048" t="inlineStr">
        <is>
          <t>2019-04-25 16:25:51</t>
        </is>
      </c>
      <c r="H2048" t="inlineStr"/>
    </row>
    <row r="2049">
      <c r="A2049" t="inlineStr">
        <is>
          <t>bhfmor</t>
        </is>
      </c>
      <c r="B2049" t="inlineStr">
        <is>
          <t>Stage 4</t>
        </is>
      </c>
      <c r="C2049" t="inlineStr">
        <is>
          <t>So if you have stage 4 are you pretty much always fucked ? All my options seem terrible. I just don’t know if I can do any of them. I know alternative things get their eyes rolls but ... I feel like western medicine had nothing to offer me ? I don’t want to die ... but I also am not really willing to do things that make no sense to me ?</t>
        </is>
      </c>
      <c r="D2049" t="n">
        <v>3</v>
      </c>
      <c r="E2049" t="n">
        <v>21</v>
      </c>
      <c r="F2049">
        <f>HYPERLINK("https://www.reddit.com/r/cancer/comments/bhfmor/stage_4/")</f>
        <v/>
      </c>
      <c r="G2049" t="inlineStr">
        <is>
          <t>2019-04-25 16:48:18</t>
        </is>
      </c>
      <c r="H2049" t="inlineStr"/>
    </row>
    <row r="2050">
      <c r="A2050" t="inlineStr">
        <is>
          <t>bhgj89</t>
        </is>
      </c>
      <c r="B2050" t="inlineStr">
        <is>
          <t>What to say and talk about with my uncle who is on his deathbed?</t>
        </is>
      </c>
      <c r="C2050" t="inlineStr">
        <is>
          <t>Around the beginning of last year my uncle got diagnosed with cancer, with an life expectancy of around 6 months, it took us by surprise since he is on his 50's and has always been pretty healthy, details apart, he's been fighting it for more than 1 year since then whilst apparently getting better.
Thing is, he is not anymore, and as off last sunday, his condition worsened a lot and he is now on the hospital, with one week or two of life expectancy.
As one of the only relatives that live close to him, i'm planning to visit him tomorrow or saturday to talk to him and comfort my aunt, it's something i got to do for them.
If you guys who have been through this could help me with which topics i should talk with him i would be forever in your debt, just want to reassure him that he will be remembered...
(i'm sorry if the message itself wasn't very clear, english isn't my first language)</t>
        </is>
      </c>
      <c r="D2050" t="n">
        <v>3</v>
      </c>
      <c r="E2050" t="n">
        <v>1</v>
      </c>
      <c r="F2050">
        <f>HYPERLINK("https://www.reddit.com/r/cancer/comments/bhgj89/what_to_say_and_talk_about_with_my_uncle_who_is/")</f>
        <v/>
      </c>
      <c r="G2050" t="inlineStr">
        <is>
          <t>2019-04-25 18:22:37</t>
        </is>
      </c>
      <c r="H2050" t="inlineStr"/>
    </row>
    <row r="2051">
      <c r="A2051" t="inlineStr">
        <is>
          <t>bhjk85</t>
        </is>
      </c>
      <c r="B2051" t="inlineStr">
        <is>
          <t>I have myelodysplastic syndrome and no idea what to expect with treatment</t>
        </is>
      </c>
      <c r="C2051" t="inlineStr">
        <is>
          <t>So some back story, I’m a 22 year old male, 5 months from finishing 4 years AD Marine Corps. I was diagnosed with MDS back in February of this year. Since the beginning all I’ve heard from doctors is “you’re so young to have this” or “your case is a strange one”. 
I have no family history of cancer, up until a couple months before my diagnosis I was a healthy guy, ran sub 18 minute 3 miles, didn’t eat like utter crap, rarely drank, never smoked and rarely got sick. Now I get winded waking up a flight of stairs, and I have to wear a mask when I go outside because I’m neutropenic (I have a weak immune system), and am constantly getting transfused. Last night I went to the ER for petechiea (signs of bleeding beneath the skin) my platelets were at 11k (pretty normal for me lately) and my hemoglobin was at 6.5, I got 2 bags of PRCs and 1 bag of platelets, but I’ll be back in a week for at least another bag of platelets if not both. I also just started my first round of chemo, though it’s not chemo like you’d think, it’s very low dose stuff, Vidaza, and will hopefully help my blood counts improve. So far I’ve had several bone marrow biopsies and multiple transfusions. 
My treatment plan right now is the vidaza with transfusions until they find me a donor for a bone marrow transplant.
I decided to post on here because I’m so lost in all this crap. 
6 months ago I had no idea what MDS is, and now I have this obscure form of cancer that people 3 times my age normally get.
I’m just looking for some one who shares my disease and has been where I’m going and doesn’t mind talking about it.
Anyways, thanks for reading.</t>
        </is>
      </c>
      <c r="D2051" t="n">
        <v>17</v>
      </c>
      <c r="E2051" t="n">
        <v>28</v>
      </c>
      <c r="F2051">
        <f>HYPERLINK("https://www.reddit.com/r/cancer/comments/bhjk85/i_have_myelodysplastic_syndrome_and_no_idea_what/")</f>
        <v/>
      </c>
      <c r="G2051" t="inlineStr">
        <is>
          <t>2019-04-26 00:28:29</t>
        </is>
      </c>
      <c r="H2051" t="inlineStr"/>
    </row>
    <row r="2052">
      <c r="A2052" t="inlineStr">
        <is>
          <t>bhmcl7</t>
        </is>
      </c>
      <c r="B2052" t="inlineStr">
        <is>
          <t>Breasts are always cold after reconstruction with flap and implants.</t>
        </is>
      </c>
      <c r="C2052" t="inlineStr">
        <is>
          <t>Hello community! 
I had reconstructive surgery of my left breast with a Lat dorsi flap and implant two years ago. Previously, there was a failed attempt to reconstruct my breast with an abdominal flap. About 18 months ago, I had a lifting, removal of mammory tissue and insertion of an implant in my right breast.
Since then, my breasts, particularly my right breast, are always cold. It causes great pain on my right nipple. The only way I can remedy the situation is by applying a heating pad on my chest. I have to do it two or three times a day. 
I was wondering if any other of you experienced this as well. 
Thank you!</t>
        </is>
      </c>
      <c r="D2052" t="n">
        <v>3</v>
      </c>
      <c r="E2052" t="n">
        <v>10</v>
      </c>
      <c r="F2052">
        <f>HYPERLINK("https://www.reddit.com/r/cancer/comments/bhmcl7/breasts_are_always_cold_after_reconstruction_with/")</f>
        <v/>
      </c>
      <c r="G2052" t="inlineStr">
        <is>
          <t>2019-04-26 06:36:06</t>
        </is>
      </c>
      <c r="H2052" t="inlineStr"/>
    </row>
    <row r="2053">
      <c r="A2053" t="inlineStr">
        <is>
          <t>bhmedh</t>
        </is>
      </c>
      <c r="B2053" t="inlineStr">
        <is>
          <t>Received Diagnosis or Undergo Treatment? Please Contribute to our Research.</t>
        </is>
      </c>
      <c r="C2053" t="inlineStr">
        <is>
          <t>We are currently looking for people to take part in our research study at the University of Chester, UK, on daily functioning and psychological wellbeing in cancer patients.
Receiving a cancer diagnosis and all that comes after this can often be a distressing, worrying and confusing time. Our aim is to investigate how cancer has affected your daily functioning and emotional wellbeing. We are particularly interested in how this then affects decisions you make about your treatment. Our goal is to help others that might find themselves in your position in the future. To do this, we need your help.
Anyone who is over 16 years of age and been diagnosed with any type of cancer can take part.Unfortunately, this study isn't suitable for cancer survivors who completed their treatments. If you decide to take part, you will be asked to complete an online questionnaire that will take around 30 minutes to complete. You will be also asked whether you would like to participate in a phone or Skype interview at a later date, but you don’t have to agree to this to take part in the questionnaire study. While we hope that taking part will be a positive experience for you, we also understand that answering questions about your illness may be upsetting. You can always stop the questionnaire at any time. All your answers and data will be anonymous.
If you would like to take part, please click the following link. This will take you to the survey and study information sheet.
Link: [https://chester.onlinesurveys.ac.uk/reddit](https://chester.onlinesurveys.ac.uk/reddit)
Thank you,
David Budzynski, BSc (Hons)
MRes student conducting the research</t>
        </is>
      </c>
      <c r="D2053" t="n">
        <v>2</v>
      </c>
      <c r="E2053" t="n">
        <v>0</v>
      </c>
      <c r="F2053">
        <f>HYPERLINK("https://www.reddit.com/r/cancer/comments/bhmedh/received_diagnosis_or_undergo_treatment_please/")</f>
        <v/>
      </c>
      <c r="G2053" t="inlineStr">
        <is>
          <t>2019-04-26 06:40:56</t>
        </is>
      </c>
      <c r="H2053" t="inlineStr"/>
    </row>
    <row r="2054">
      <c r="A2054" t="inlineStr">
        <is>
          <t>bhnh4n</t>
        </is>
      </c>
      <c r="B2054" t="inlineStr">
        <is>
          <t>Meow</t>
        </is>
      </c>
      <c r="C2054" t="inlineStr">
        <is>
          <t>Skinhead cripple fucks</t>
        </is>
      </c>
      <c r="D2054" t="n">
        <v>0</v>
      </c>
      <c r="E2054" t="n">
        <v>0</v>
      </c>
      <c r="F2054">
        <f>HYPERLINK("https://www.reddit.com/r/cancer/comments/bhnh4n/meow/")</f>
        <v/>
      </c>
      <c r="G2054" t="inlineStr">
        <is>
          <t>2019-04-26 08:17:55</t>
        </is>
      </c>
      <c r="H2054" t="inlineStr"/>
    </row>
    <row r="2055">
      <c r="A2055" t="inlineStr">
        <is>
          <t>bhnrjm</t>
        </is>
      </c>
      <c r="B2055" t="inlineStr">
        <is>
          <t>My mom is officially in remission</t>
        </is>
      </c>
      <c r="C2055" t="inlineStr">
        <is>
          <t>My mom had stage 4 colon cancer with bone Mets and after today she is in remission.
I can’t imagine how hard it was for my mom.  I feel like I’m not going to be able to control my emotions today.
I just wanted to post this to give people hope. No matter how hard it looks, be there for them. The emotional part is the hardest it seems. There were times my mom wanted to give up. But we kept pushing her to fight and she got a huge boost of morale when she found out she was going to be a grandmother.
For everyone fighting or have a loved one going through it, don’t give up until it’s over. 
I posted here a while ago and received some kind advice. I’m hoping I can become helpful to others in the future.</t>
        </is>
      </c>
      <c r="D2055" t="n">
        <v>125</v>
      </c>
      <c r="E2055" t="n">
        <v>36</v>
      </c>
      <c r="F2055">
        <f>HYPERLINK("https://www.reddit.com/r/cancer/comments/bhnrjm/my_mom_is_officially_in_remission/")</f>
        <v/>
      </c>
      <c r="G2055" t="inlineStr">
        <is>
          <t>2019-04-26 08:43:06</t>
        </is>
      </c>
      <c r="H2055" t="inlineStr"/>
    </row>
    <row r="2056">
      <c r="A2056" t="inlineStr">
        <is>
          <t>bhoai8</t>
        </is>
      </c>
      <c r="B2056" t="inlineStr">
        <is>
          <t>First oncologist appt today</t>
        </is>
      </c>
      <c r="C2056" t="inlineStr">
        <is>
          <t>Was told I have cervical cancer by my OBGYN. I have my first appt in a few hours and are there any questions I should ask? Anything y’all walked away from wishing you asked?</t>
        </is>
      </c>
      <c r="D2056" t="n">
        <v>17</v>
      </c>
      <c r="E2056" t="n">
        <v>22</v>
      </c>
      <c r="F2056">
        <f>HYPERLINK("https://www.reddit.com/r/cancer/comments/bhoai8/first_oncologist_appt_today/")</f>
        <v/>
      </c>
      <c r="G2056" t="inlineStr">
        <is>
          <t>2019-04-26 09:28:19</t>
        </is>
      </c>
      <c r="H2056" t="inlineStr"/>
    </row>
    <row r="2057">
      <c r="A2057" t="inlineStr">
        <is>
          <t>bhp11f</t>
        </is>
      </c>
      <c r="B2057" t="inlineStr">
        <is>
          <t>Ifosfamide without methylene blue?</t>
        </is>
      </c>
      <c r="C2057" t="inlineStr">
        <is>
          <t>Has anyone here received ifosfamide without methylene blue as prophylaxis?
I just wonder because it seems like a terrible choice. I was one of the ones who received negative side effects from the chemo. For 12 hours, my muscles were locking up. Eyes, arms, torso, legs, chest. At its worst, I could barely breathe. 
About ten people weren't sure if I was having a stroke or seizure and repeatedly asked me if I wanted my family with me. As someone with anxiety, I had three full blown panic attacks during this time. They couldn't give me anything since it could mess with the readings. 
Sorry, I just core dumped everything.  I'm just wondering if anyone has come into contact with this chemo and it they gave you the methylene blue with it.</t>
        </is>
      </c>
      <c r="D2057" t="n">
        <v>2</v>
      </c>
      <c r="E2057" t="n">
        <v>4</v>
      </c>
      <c r="F2057">
        <f>HYPERLINK("https://www.reddit.com/r/cancer/comments/bhp11f/ifosfamide_without_methylene_blue/")</f>
        <v/>
      </c>
      <c r="G2057" t="inlineStr">
        <is>
          <t>2019-04-26 10:30:27</t>
        </is>
      </c>
      <c r="H2057" t="inlineStr"/>
    </row>
    <row r="2058">
      <c r="A2058" t="inlineStr">
        <is>
          <t>bhphnm</t>
        </is>
      </c>
      <c r="B2058" t="inlineStr">
        <is>
          <t>I dont wanna lose my father...</t>
        </is>
      </c>
      <c r="C2058" t="inlineStr">
        <is>
          <t>(sorry for my bad english)
So my dad has cancer in his stomach . He had problem swallowing food. Doctor told us we were in the stage where cancer can be cured. Can cancer really be cured if we in its early stages? What are doctors gonna do now? is he just gonna die?</t>
        </is>
      </c>
      <c r="D2058" t="n">
        <v>2</v>
      </c>
      <c r="E2058" t="n">
        <v>2</v>
      </c>
      <c r="F2058">
        <f>HYPERLINK("https://www.reddit.com/r/cancer/comments/bhphnm/i_dont_wanna_lose_my_father/")</f>
        <v/>
      </c>
      <c r="G2058" t="inlineStr">
        <is>
          <t>2019-04-26 11:09:46</t>
        </is>
      </c>
      <c r="H2058" t="inlineStr"/>
    </row>
    <row r="2059">
      <c r="A2059" t="inlineStr">
        <is>
          <t>bhpx84</t>
        </is>
      </c>
      <c r="B2059" t="inlineStr">
        <is>
          <t>Those who have lost a loved one, how did you cope?</t>
        </is>
      </c>
      <c r="C2059" t="inlineStr">
        <is>
          <t>On the 11th April I lost one of my best friends to cancer age 20. There’s so many aspects of grief, regret, guilt, not wanting to let go or say goodbye. I just keep saying to myself ‘what will I do without her?’. And the most I’m struggling with, the absolute unfairness of it all. If anything, I’d just like stories of those who have experienced something similar.</t>
        </is>
      </c>
      <c r="D2059" t="n">
        <v>4</v>
      </c>
      <c r="E2059" t="n">
        <v>3</v>
      </c>
      <c r="F2059">
        <f>HYPERLINK("https://www.reddit.com/r/cancer/comments/bhpx84/those_who_have_lost_a_loved_one_how_did_you_cope/")</f>
        <v/>
      </c>
      <c r="G2059" t="inlineStr">
        <is>
          <t>2019-04-26 11:47:30</t>
        </is>
      </c>
      <c r="H2059" t="inlineStr"/>
    </row>
    <row r="2060">
      <c r="A2060" t="inlineStr">
        <is>
          <t>bhqifa</t>
        </is>
      </c>
      <c r="B2060" t="inlineStr">
        <is>
          <t>Anyone with experience with Cisplatin chemo? (Preferably in younger patients)</t>
        </is>
      </c>
      <c r="C2060" t="inlineStr">
        <is>
          <t>Hi all,
I been diagnosed with a rare salivary cancer and I was given a choice to add cisplatin (weekly, 40mg/l, 280 total) to help the radiation work better. 
The most it will add is 5-10% more effectiveness. 
However the side effects include hearing loss, loss of kidney function, neuropathy, infertility, and nausea. 
Hearing loss and kidney function can be permanent and I don’t think it is worth the 10%
Any patients had this chemo reign and how were your side effects to it? 
Thank you,
A</t>
        </is>
      </c>
      <c r="D2060" t="n">
        <v>2</v>
      </c>
      <c r="E2060" t="n">
        <v>28</v>
      </c>
      <c r="F2060">
        <f>HYPERLINK("https://www.reddit.com/r/cancer/comments/bhqifa/anyone_with_experience_with_cisplatin_chemo/")</f>
        <v/>
      </c>
      <c r="G2060" t="inlineStr">
        <is>
          <t>2019-04-26 12:39:49</t>
        </is>
      </c>
      <c r="H2060" t="inlineStr"/>
    </row>
    <row r="2061">
      <c r="A2061" t="inlineStr">
        <is>
          <t>bhqm61</t>
        </is>
      </c>
      <c r="B2061" t="inlineStr">
        <is>
          <t>I’m struggling but determined</t>
        </is>
      </c>
      <c r="C2061" t="inlineStr">
        <is>
          <t>I’m having daily treatment at hospital and struggling because I have other conditions to deal with and the travel is really taking it’s toll but I am determined to ring that bell. I’m fortunate that whilst they refused an operation at first due to poor health, they eventually agreed to go ahead providing I was double tubed.  It’s a good job they did as another tumour was found at the chest wall during the operation that did not show on any scans!  I am so grateful for the good surgeon I had.  After treatment finishes I need to stay on drugs that will help prevent cancer for the next 10 years. I need to keep on fighting - and so do all of us ❤️</t>
        </is>
      </c>
      <c r="D2061" t="n">
        <v>9</v>
      </c>
      <c r="E2061" t="n">
        <v>3</v>
      </c>
      <c r="F2061">
        <f>HYPERLINK("https://www.reddit.com/r/cancer/comments/bhqm61/im_struggling_but_determined/")</f>
        <v/>
      </c>
      <c r="G2061" t="inlineStr">
        <is>
          <t>2019-04-26 12:48:57</t>
        </is>
      </c>
      <c r="H2061" t="inlineStr"/>
    </row>
    <row r="2062">
      <c r="A2062" t="inlineStr">
        <is>
          <t>bhqmlo</t>
        </is>
      </c>
      <c r="B2062" t="inlineStr">
        <is>
          <t>Facing a third surgery for recurrent testicular cancer pure chorio</t>
        </is>
      </c>
      <c r="C2062" t="inlineStr">
        <is>
          <t>For those unfamiliar I was diagnosed in October 2017 with Stage 3c pure choriocarcinoma mets was all in my lymph system sourced from a pebble sized tumor in my right testicle. I had a radical orchiectomy removing it followed by 4 x BEP. After I recovered I had a extensive RPLND that required removing my spleen, an adrenal gland and part of my pancreas. This was followed by two additional doses of EP. I had a complete response that persisted until my October 2018 follow up. The cancer had returned, but in a difficult to reach lymph node. The plan was tandem high dose chemotherapy followed by an autologous stem cell transplant. I had a complete response even after the first dose. But in late march my tumor marker was elevated so they elected to do a PET scan. Now my only decent option left is a second lymph node dissection in a tricky area. They won't know if they can remove it until they operate. The area is tricky and requires three surgeons to attempt so now I wait until June 25th because that's the earliest the experts in my area had an opening. Removal is basically a 50-50 cure rate numbers wise. 
&amp;amp;#x200B;
Hug your loved ones for me please.</t>
        </is>
      </c>
      <c r="D2062" t="n">
        <v>3</v>
      </c>
      <c r="E2062" t="n">
        <v>2</v>
      </c>
      <c r="F2062">
        <f>HYPERLINK("https://www.reddit.com/r/cancer/comments/bhqmlo/facing_a_third_surgery_for_recurrent_testicular/")</f>
        <v/>
      </c>
      <c r="G2062" t="inlineStr">
        <is>
          <t>2019-04-26 12:50:02</t>
        </is>
      </c>
      <c r="H2062" t="inlineStr"/>
    </row>
    <row r="2063">
      <c r="A2063" t="inlineStr">
        <is>
          <t>bhrgby</t>
        </is>
      </c>
      <c r="B2063" t="inlineStr">
        <is>
          <t>Given the "all clear" and starting again</t>
        </is>
      </c>
      <c r="C2063" t="inlineStr">
        <is>
          <t>So today I was given the all clear and now I am cancer free. I know I should be happy but I am experiencing some survivors guilt even though I haven't come away completely unscathed, one of the things I was told was that I will have another 3 surgeries and won't be able to persue the direction I wanted to take (at least not for a few years). I have decided to go into further education as I struggled with exams in school (NAT 5s aka GCSEs) mostly caused by my disability  (neurofibromatosis type 1) and now as I'm older and have been able mentally catch-up, it's not fun but it's a thing that I'll put up with. (say what you want)
Sorry about the venting/moaning I just wanted to say it somewhere. Happy to discuss. (M20)</t>
        </is>
      </c>
      <c r="D2063" t="n">
        <v>13</v>
      </c>
      <c r="E2063" t="n">
        <v>9</v>
      </c>
      <c r="F2063">
        <f>HYPERLINK("https://www.reddit.com/r/cancer/comments/bhrgby/given_the_all_clear_and_starting_again/")</f>
        <v/>
      </c>
      <c r="G2063" t="inlineStr">
        <is>
          <t>2019-04-26 14:05:59</t>
        </is>
      </c>
      <c r="H2063" t="inlineStr"/>
    </row>
    <row r="2064">
      <c r="A2064" t="inlineStr">
        <is>
          <t>bhu7x8</t>
        </is>
      </c>
      <c r="B2064" t="inlineStr">
        <is>
          <t>Is cancer treatment more succesful in USA compared to UK?</t>
        </is>
      </c>
      <c r="C2064" t="inlineStr">
        <is>
          <t>Nan lives in USA and has just been diagnosed with lung cancer, unsure what stage yet but my uncle and his wife are trying to convince her to come back to UK for free treatment on NHS. I think the NHS sucks and am wondering if paying for treatment in America is more succesful.</t>
        </is>
      </c>
      <c r="D2064" t="n">
        <v>7</v>
      </c>
      <c r="E2064" t="n">
        <v>11</v>
      </c>
      <c r="F2064">
        <f>HYPERLINK("https://www.reddit.com/r/cancer/comments/bhu7x8/is_cancer_treatment_more_succesful_in_usa/")</f>
        <v/>
      </c>
      <c r="G2064" t="inlineStr">
        <is>
          <t>2019-04-26 18:48:12</t>
        </is>
      </c>
      <c r="H2064" t="inlineStr"/>
    </row>
    <row r="2065">
      <c r="A2065" t="inlineStr">
        <is>
          <t>bhutwt</t>
        </is>
      </c>
      <c r="B2065" t="inlineStr">
        <is>
          <t>Dealing with an estranged parent’s cancer diagnosis. Advice?</t>
        </is>
      </c>
      <c r="C2065" t="inlineStr">
        <is>
          <t>Over the last decade or so, my mom has been living a hard life and making some poor health choices (excessive smoking and drinking in particular). Her doctors warned her quite a bit that her choices would lead to health complications if she did not change her lifestyle.
Unfortunately, she did not.
Recently, she was diagnosed with muscle invasive bladder cancer. Her oncologist is taking an aggressive approach to treatment and it may only increase her chances of survival by 10%.
Here’s the complication:
Without going into too many details, her alcoholism led to some abusive tendencies towards me that got out of hand. It got to be too much for me and I had to walk away from our relationship after my son was born to keep my sanity (and my energy) for my little one.
While I love her and have attempted to work things out with her multiple times (both with the use of professionals and otherwise), I have also spent thousands of dollars in counseling trying to cope with her verbal and emotional abuse and I am not interested in investing anymore energy into this relationship.
Frankly, it seems like beating my head against a wall. My past efforts have been fruitless and I have no reason to believe reconciliation would be any different this time around.
I find myself conflicted: In spite of everything, I want to be there to support her, but I do not want open myself up to more of her abuse.
I am angry. Sad. Guilty. Confused...
Anyone else here experienced something similar? Ideas on compassionate boundary setting? Providing support but keeping some healthy distance?
Thank you!</t>
        </is>
      </c>
      <c r="D2065" t="n">
        <v>4</v>
      </c>
      <c r="E2065" t="n">
        <v>4</v>
      </c>
      <c r="F2065">
        <f>HYPERLINK("https://www.reddit.com/r/cancer/comments/bhutwt/dealing_with_an_estranged_parents_cancer/")</f>
        <v/>
      </c>
      <c r="G2065" t="inlineStr">
        <is>
          <t>2019-04-26 19:59:57</t>
        </is>
      </c>
      <c r="H2065" t="inlineStr"/>
    </row>
    <row r="2066">
      <c r="A2066" t="inlineStr">
        <is>
          <t>bhv23n</t>
        </is>
      </c>
      <c r="B2066" t="inlineStr">
        <is>
          <t>Swollen feet?</t>
        </is>
      </c>
      <c r="C2066" t="inlineStr">
        <is>
          <t>My step dad is going through some pretty aggressive chemo for pancreatic cancer. He is on treatment 6 and has all of sudden gotten really swollen feet. Is this a side effect of chemo or is not related?</t>
        </is>
      </c>
      <c r="D2066" t="n">
        <v>8</v>
      </c>
      <c r="E2066" t="n">
        <v>6</v>
      </c>
      <c r="F2066">
        <f>HYPERLINK("https://www.reddit.com/r/cancer/comments/bhv23n/swollen_feet/")</f>
        <v/>
      </c>
      <c r="G2066" t="inlineStr">
        <is>
          <t>2019-04-26 20:27:55</t>
        </is>
      </c>
      <c r="H2066" t="inlineStr"/>
    </row>
    <row r="2067">
      <c r="A2067" t="inlineStr">
        <is>
          <t>bhytgr</t>
        </is>
      </c>
      <c r="B2067" t="inlineStr">
        <is>
          <t>Nail problems three years after taxotere</t>
        </is>
      </c>
      <c r="C2067" t="inlineStr">
        <is>
          <t>Hi,
I had a bunch of taxotere rounds three years ago and have been having nail problems on my toes ever since. Most nails are ok now but the nail on one of my big toes keeps separating from the nail bed. When it happens I just cut the nail off because otherwise dirt could get trapped underneath it. I am wondering if there's anything I can do to fix this?</t>
        </is>
      </c>
      <c r="D2067" t="n">
        <v>7</v>
      </c>
      <c r="E2067" t="n">
        <v>1</v>
      </c>
      <c r="F2067">
        <f>HYPERLINK("https://www.reddit.com/r/cancer/comments/bhytgr/nail_problems_three_years_after_taxotere/")</f>
        <v/>
      </c>
      <c r="G2067" t="inlineStr">
        <is>
          <t>2019-04-27 05:58:05</t>
        </is>
      </c>
      <c r="H2067" t="inlineStr"/>
    </row>
    <row r="2068">
      <c r="A2068" t="inlineStr">
        <is>
          <t>bhzqco</t>
        </is>
      </c>
      <c r="B2068" t="inlineStr">
        <is>
          <t>Thank you</t>
        </is>
      </c>
      <c r="C2068" t="inlineStr">
        <is>
          <t>My husband died a week ago from glioblastoma. I am unsubscribing because this feed is not good for my mental health right now. However, **I want to thank you all for sharing**.  It was helpful for me to see that others were going through the same things my family was dealing with.  Good luck and may the strength of God help you get through your struggle.</t>
        </is>
      </c>
      <c r="D2068" t="n">
        <v>142</v>
      </c>
      <c r="E2068" t="n">
        <v>19</v>
      </c>
      <c r="F2068">
        <f>HYPERLINK("https://www.reddit.com/r/cancer/comments/bhzqco/thank_you/")</f>
        <v/>
      </c>
      <c r="G2068" t="inlineStr">
        <is>
          <t>2019-04-27 07:43:43</t>
        </is>
      </c>
      <c r="H2068" t="inlineStr"/>
    </row>
    <row r="2069">
      <c r="A2069" t="inlineStr">
        <is>
          <t>bhzrzi</t>
        </is>
      </c>
      <c r="B2069" t="inlineStr">
        <is>
          <t>Any oncologist or expert PET scan readers here?</t>
        </is>
      </c>
      <c r="C2069" t="inlineStr">
        <is>
          <t>4th pet scan for a rare T-Cell lymphoma. I got the results online today but cant speak to my transplant Dr til tuesday. I have a few questions if anyone minds helping out.</t>
        </is>
      </c>
      <c r="D2069" t="n">
        <v>2</v>
      </c>
      <c r="E2069" t="n">
        <v>0</v>
      </c>
      <c r="F2069">
        <f>HYPERLINK("https://www.reddit.com/r/cancer/comments/bhzrzi/any_oncologist_or_expert_pet_scan_readers_here/")</f>
        <v/>
      </c>
      <c r="G2069" t="inlineStr">
        <is>
          <t>2019-04-27 07:48:32</t>
        </is>
      </c>
      <c r="H2069" t="inlineStr"/>
    </row>
    <row r="2070">
      <c r="A2070" t="inlineStr">
        <is>
          <t>bhzszo</t>
        </is>
      </c>
      <c r="B2070" t="inlineStr">
        <is>
          <t>My cancer</t>
        </is>
      </c>
      <c r="C2070" t="inlineStr">
        <is>
          <t>I have been diagnosed with stage 4 rectal cancer thats spread across my liver, lymph nodes. The oncologist and specialist's don't even want to commit to 2 months for me. I've been ill before. I have APS, anti phosphoid lipid syndrome. A blood clotting disorder,  a sleep disorder i use a blood thinner to control. As well as 2-3 other life taking problems. They don't see reason for digging in and fighting. I really need help and info on cannabis related cancer fighting. If somebody could turn me onto USEFUL information about this, I would be greatful.
Chris</t>
        </is>
      </c>
      <c r="D2070" t="n">
        <v>4</v>
      </c>
      <c r="E2070" t="n">
        <v>7</v>
      </c>
      <c r="F2070">
        <f>HYPERLINK("https://www.reddit.com/r/cancer/comments/bhzszo/my_cancer/")</f>
        <v/>
      </c>
      <c r="G2070" t="inlineStr">
        <is>
          <t>2019-04-27 07:51:24</t>
        </is>
      </c>
      <c r="H2070" t="inlineStr"/>
    </row>
    <row r="2071">
      <c r="A2071" t="inlineStr">
        <is>
          <t>bi2t1o</t>
        </is>
      </c>
      <c r="B2071" t="inlineStr">
        <is>
          <t>Suggestions for helping a college freshman survivor?</t>
        </is>
      </c>
      <c r="C2071" t="inlineStr">
        <is>
          <t>Hey y’all, I was given the opportunity to help someone in a very similar situation with me and many others in this server. She and I both struggle(d) to fit in with the rest of “normal” society. Although I believe I can help her with many of her issues, I would still like to hear everyone’s thought on what they did to feel comfortable when it comes to socializing with people. Any help is greatly appreciated.</t>
        </is>
      </c>
      <c r="D2071" t="n">
        <v>3</v>
      </c>
      <c r="E2071" t="n">
        <v>0</v>
      </c>
      <c r="F2071">
        <f>HYPERLINK("https://www.reddit.com/r/cancer/comments/bi2t1o/suggestions_for_helping_a_college_freshman/")</f>
        <v/>
      </c>
      <c r="G2071" t="inlineStr">
        <is>
          <t>2019-04-27 12:45:37</t>
        </is>
      </c>
      <c r="H2071" t="inlineStr"/>
    </row>
    <row r="2072">
      <c r="A2072" t="inlineStr">
        <is>
          <t>bi35u3</t>
        </is>
      </c>
      <c r="B2072" t="inlineStr">
        <is>
          <t>Starting Chemo tomorrow for T-LBL</t>
        </is>
      </c>
      <c r="C2072" t="inlineStr">
        <is>
          <t>I am 32 years old and was diagnosed with T-LBL (Precursor T cell Lymphoblastic Lymphoma) last month. I don't have B-symptoms such as fever, weight lose, breathing problems. I am health otherwise, just swollen lymph nodes in neck and scan show more nodes in chest and Gut. 
In december I start some vaccination that were needed by my office before travelling abroad and after a couple of week I had these swollen lymph nodes so I thought that it was from vaccinations, as it can happen, it did not go away the whole month, my GP said that is nothing and you don't have worry. I went abroad where a surgeon friend suggested a biopsy and there I got the news. 
I came back and stated full diagnosis process, they found no cancer in bone marrow, and in CNS,  yet it is limited to lymphatic system. 
I  am taking part in a GMALL study to improve GMALL protocol. 
Please share your experiences and how you survived the treatment. 
any survival tips will be appreciated. 
( I am in Germany)</t>
        </is>
      </c>
      <c r="D2072" t="n">
        <v>9</v>
      </c>
      <c r="E2072" t="n">
        <v>2</v>
      </c>
      <c r="F2072">
        <f>HYPERLINK("https://www.reddit.com/r/cancer/comments/bi35u3/starting_chemo_tomorrow_for_tlbl/")</f>
        <v/>
      </c>
      <c r="G2072" t="inlineStr">
        <is>
          <t>2019-04-27 13:21:04</t>
        </is>
      </c>
      <c r="H2072" t="inlineStr"/>
    </row>
    <row r="2073">
      <c r="A2073" t="inlineStr">
        <is>
          <t>bi3oat</t>
        </is>
      </c>
      <c r="B2073" t="inlineStr">
        <is>
          <t>Terminally ill grandfather</t>
        </is>
      </c>
      <c r="C2073" t="inlineStr">
        <is>
          <t>Hey everyone,
my name is Anonymous and I am 17 years old (almost 18). We found out my grandfather has cancer only 3 months ago. Yesterday, we received the scans after 2 rounds of hormone treatment. Thing aren't looking good. It has spread and he is in a lot of pain. I love him dearly and I have been visiting him in the hospital every day. He has a few weeks left. This hurts badly because he is gonna miss some major events in our lives. Here comes the big problem though: when I go to the hospital, I don't see my grandfather lying in the hospital bed. There is a thin, frail old man looking back at me without saying a single word. He has lost all hope and has given up. This hurts me so much. He has always been happy and healthy, and seeing him like this feels very unreal. I find it difficult to visit him lately. Cleaning his face, feeding him, talking to him. It doesn't feel right. It's like I'm talking to a stranger. The last words he spoke to me and the rest of my family were: just end it. He burst out in tears. There is no structure or whatsoever in this post but I really felt the need to share. I'm scared. Scared of whatever is gonna come our way. We are a close family and I'm sure we will get through this together but it hurts so bad to see my grandfather turning into someone he is not.
Thank you for reading</t>
        </is>
      </c>
      <c r="D2073" t="n">
        <v>8</v>
      </c>
      <c r="E2073" t="n">
        <v>9</v>
      </c>
      <c r="F2073">
        <f>HYPERLINK("https://www.reddit.com/r/cancer/comments/bi3oat/terminally_ill_grandfather/")</f>
        <v/>
      </c>
      <c r="G2073" t="inlineStr">
        <is>
          <t>2019-04-27 14:12:33</t>
        </is>
      </c>
      <c r="H2073" t="inlineStr"/>
    </row>
    <row r="2074">
      <c r="A2074" t="inlineStr">
        <is>
          <t>bi3okl</t>
        </is>
      </c>
      <c r="B2074" t="inlineStr">
        <is>
          <t>Swelling in hands and feet/calves after Lymphoma treatment?</t>
        </is>
      </c>
      <c r="C2074" t="inlineStr">
        <is>
          <t>Hey guys, F27, I just finished chemo 3 months ago and I’m having some pretty intense swelling in my hands and feet. I received 12 treatments of AVD + Birtuximab. I am still experiencing neuropathy in my finger tips and feet but this swelling makes it so much more uncomfortable. It usually is the worst after I try to work out. Any advice on how to deal with this? Is it normal? How long will it last? Any insight is appreciated!</t>
        </is>
      </c>
      <c r="D2074" t="n">
        <v>6</v>
      </c>
      <c r="E2074" t="n">
        <v>3</v>
      </c>
      <c r="F2074">
        <f>HYPERLINK("https://www.reddit.com/r/cancer/comments/bi3okl/swelling_in_hands_and_feetcalves_after_lymphoma/")</f>
        <v/>
      </c>
      <c r="G2074" t="inlineStr">
        <is>
          <t>2019-04-27 14:13:18</t>
        </is>
      </c>
      <c r="H2074" t="inlineStr"/>
    </row>
    <row r="2075">
      <c r="A2075" t="inlineStr">
        <is>
          <t>bi441g</t>
        </is>
      </c>
      <c r="B2075" t="inlineStr">
        <is>
          <t>My MIL has cancer but is barely treating it. Wondering if anyone has guesses as to what her status may be.</t>
        </is>
      </c>
      <c r="C2075" t="inlineStr">
        <is>
          <t>My mother-in-law (wife's mom) was diagnosed with stage 2 breast cancer about 2 years ago. Shortly after, she informed us that radiation, chemo, and surgery were all off the table. Her first move was to use blood root to draw out the cancer, which eventually she stopped because it was too painful (it did in fact open her skin, and she claims some of the cancer came out). She also took Protandim during this time. I believe after she stopped the blood root she started on grapeseed oil extract, but I don't know for how long. We found out later about 6 months ago that she really wasn't doing well, and she was starting to develop lymphedema. She decided she was going to go to Oasis of Hope in Tijuana. She went there the last 2 weeks of December of 2018. She was feeling very confident when she came back, and she said they made her vaccines and did some hot water immersion, amongst other things. It was pretty much radio silence from January thru a couple weeks before Easter. Apparently she was feeling much worse and went back to Oasis of Hope for a week. When we were home for the holidays, she looked ill. Definitely down about 30 pounds, very pale, severe lymphedema (everything I looked up suggested it was literally as bad as it can get; her right arm is 3x its normal size). She has an odor, which she admits too. She couldn't come to her granddaughter's third birthday party today because she felt so weak and tired. Here was a text she sent us, verbatim: "I was a little discouraged yesterday about how my tumors looked but today they looked like they were separating so I am encouraged. I had a lot of liquid come off so that might be one reason why I may not go to the party tomorrow. I have an odor too." 
None of us know what this means or how to take it. She says all the time about how she just needs to rest and she can tell she's getting better, but she's clearly worse every time we see her. She hasn't had a PET scan since her diagnosis. She refuses to. She also does not have an oncologist, and the only doctor she's seen is at Oasis of Hope. She is seeing a doctor soon stateside, but I looked at their website and they only do complimentary treatments (vitamins, pain management, etc.). 
Based on the description, could anyone guess where the cancer is at in its progression? Any thoughts on how we could better encourage her/convince her to get medical help? She's very resistant to everything we say.
Thanks for taking the time to read.</t>
        </is>
      </c>
      <c r="D2075" t="n">
        <v>3</v>
      </c>
      <c r="E2075" t="n">
        <v>14</v>
      </c>
      <c r="F2075">
        <f>HYPERLINK("https://www.reddit.com/r/cancer/comments/bi441g/my_mil_has_cancer_but_is_barely_treating_it/")</f>
        <v/>
      </c>
      <c r="G2075" t="inlineStr">
        <is>
          <t>2019-04-27 14:56:16</t>
        </is>
      </c>
      <c r="H2075" t="inlineStr"/>
    </row>
    <row r="2076">
      <c r="A2076" t="inlineStr">
        <is>
          <t>bi57fb</t>
        </is>
      </c>
      <c r="B2076" t="inlineStr">
        <is>
          <t>My chemo nausea and vomiting cure - Zyprexa</t>
        </is>
      </c>
      <c r="C2076" t="inlineStr">
        <is>
          <t>Just wanted to share my experience. I am on cisplatin and doxorubicin for part of my chemo cycle. I had experienced really bad nausea and vomiting my first round, to the point I went to the ER three times post chemo. This despite all the Frontline drugs. The third ER Dr spent a lot of time consulting with oncology and pharmacy and tried several drugs over the course of a few hours. Finally  landed on an old mood drug called Zyprexa.
This drug has completely changed my treatment. Vomiting is gone. Nausea under control. Appetite ravishing and gaining weight.
I hope this helps someone else out there that had the same problems I did.</t>
        </is>
      </c>
      <c r="D2076" t="n">
        <v>18</v>
      </c>
      <c r="E2076" t="n">
        <v>10</v>
      </c>
      <c r="F2076">
        <f>HYPERLINK("https://www.reddit.com/r/cancer/comments/bi57fb/my_chemo_nausea_and_vomiting_cure_zyprexa/")</f>
        <v/>
      </c>
      <c r="G2076" t="inlineStr">
        <is>
          <t>2019-04-27 16:49:43</t>
        </is>
      </c>
      <c r="H2076" t="inlineStr"/>
    </row>
    <row r="2077">
      <c r="A2077" t="inlineStr">
        <is>
          <t>bi6ags</t>
        </is>
      </c>
      <c r="B2077" t="inlineStr">
        <is>
          <t>Blood in urine years after prostate radiation?</t>
        </is>
      </c>
      <c r="C2077" t="inlineStr">
        <is>
          <t>My dad has prostate cancer 2-3 years ago and completed treatment via traditional external radiation. He’s having some blood in his urine. His doctor said it’s normal following radiation, but his head is getting the best of him and he’s very anxious over it and thinks he has bladder cancer. I don’t blame him- it’s all scary.
Has anybody else experienced this?</t>
        </is>
      </c>
      <c r="D2077" t="n">
        <v>2</v>
      </c>
      <c r="E2077" t="n">
        <v>6</v>
      </c>
      <c r="F2077">
        <f>HYPERLINK("https://www.reddit.com/r/cancer/comments/bi6ags/blood_in_urine_years_after_prostate_radiation/")</f>
        <v/>
      </c>
      <c r="G2077" t="inlineStr">
        <is>
          <t>2019-04-27 18:51:48</t>
        </is>
      </c>
      <c r="H2077" t="inlineStr"/>
    </row>
    <row r="2078">
      <c r="A2078" t="inlineStr">
        <is>
          <t>bi6f9e</t>
        </is>
      </c>
      <c r="B2078" t="inlineStr">
        <is>
          <t>Has anyone had confirmed GVHD of the GI tract?</t>
        </is>
      </c>
      <c r="C2078" t="inlineStr">
        <is>
          <t>If so, what were your symptoms and how was it treated? I’m day +66 I have had severe abdominal cramping and diarrhea for a week now. They’ve ruled out c. diff. They might have to do a colonoscopy :(</t>
        </is>
      </c>
      <c r="D2078" t="n">
        <v>4</v>
      </c>
      <c r="E2078" t="n">
        <v>1</v>
      </c>
      <c r="F2078">
        <f>HYPERLINK("https://www.reddit.com/r/cancer/comments/bi6f9e/has_anyone_had_confirmed_gvhd_of_the_gi_tract/")</f>
        <v/>
      </c>
      <c r="G2078" t="inlineStr">
        <is>
          <t>2019-04-27 19:06:37</t>
        </is>
      </c>
      <c r="H2078" t="inlineStr"/>
    </row>
    <row r="2079">
      <c r="A2079" t="inlineStr">
        <is>
          <t>bi74nl</t>
        </is>
      </c>
      <c r="B2079" t="inlineStr">
        <is>
          <t>Does MD Anderson treat some patients for free with Stage VI Colon Cancer?</t>
        </is>
      </c>
      <c r="C2079" t="inlineStr">
        <is>
          <t>Hi everyone,
Does MD Anderson treat some patients for free with Stage VI colon cancer?  Thank you</t>
        </is>
      </c>
      <c r="D2079" t="n">
        <v>2</v>
      </c>
      <c r="E2079" t="n">
        <v>3</v>
      </c>
      <c r="F2079">
        <f>HYPERLINK("https://www.reddit.com/r/cancer/comments/bi74nl/does_md_anderson_treat_some_patients_for_free/")</f>
        <v/>
      </c>
      <c r="G2079" t="inlineStr">
        <is>
          <t>2019-04-27 20:30:32</t>
        </is>
      </c>
      <c r="H2079" t="inlineStr"/>
    </row>
    <row r="2080">
      <c r="A2080" t="inlineStr">
        <is>
          <t>bi767h</t>
        </is>
      </c>
      <c r="B2080" t="inlineStr">
        <is>
          <t>Scared Soul... Need... Idk wtf I need..</t>
        </is>
      </c>
      <c r="C2080" t="inlineStr">
        <is>
          <t>No idea why I'm writing this. Hell this account started months ago as a throw away.  Blame laziness for not deleting it.... or even remembering the pwd to my primary act.  
Whiskey aside.. no words to describe the confusion or torment I feel. Spent better part of my life serving life. Not a real first responder. But, 4 years of Search and rescue.  Lost track of how many scenes I was the first there.  How many times I've been told "_______ wouldn't be here now if you weren't here first." 
And now Karma catches up to me. Surgery is two weeks out. Time to figure out if all of these tumors are real or benign.  Fk'd one way or another... Just how I feel when CTscan says Lungs are clean... but too many tumors to count everywhere else.  ...
Hard bumps here and there... thought it was me fighting a cold.  Now? I'm so scared and alone.  3 biological kids. Their mom is mostly MIA. My whole life to this point has been explaining how they're still loved. needed.  wanted.   How 4x being abandoned and I'm here means they'll never be alone. 
Thought I was on the right path... finding a woman who has been burned like me. Kids are close in age. Spent years building as one family.   
And now this. Are all of these fuckig things benign.??Will one... just one give me the finger?  
Cant talk to anyone else. Nobody else cares.  
2 weeks until the ultimate question is answered and I already feel like life is crushing the air from my lungs. I don't  know why I'm here.  nobody Will read this.  
If by some chance my girls read this. Know you Dad loves you. you're never alone.  I dont Know where I'll bre.... but I'll be with you. 
always 
As an IT guy... I hope the internet saves this.  know how backups and data retention work. 
Save this. Infinite retention.   .... Tell my girls they're never, ever. far from my heart.  no matter what form my heart takes.
Anyone whose bothered to read this far... I. sorry I've taken time from your life.  Just find a way to tell those you love what they mean to you..... it's all I ask</t>
        </is>
      </c>
      <c r="D2080" t="n">
        <v>21</v>
      </c>
      <c r="E2080" t="n">
        <v>10</v>
      </c>
      <c r="F2080">
        <f>HYPERLINK("https://www.reddit.com/r/cancer/comments/bi767h/scared_soul_need_idk_wtf_i_need/")</f>
        <v/>
      </c>
      <c r="G2080" t="inlineStr">
        <is>
          <t>2019-04-27 20:36:00</t>
        </is>
      </c>
      <c r="H2080" t="inlineStr"/>
    </row>
    <row r="2081">
      <c r="A2081" t="inlineStr">
        <is>
          <t>bi77p6</t>
        </is>
      </c>
      <c r="B2081" t="inlineStr">
        <is>
          <t>Never get a palliative amputation at a hospital that doesn’t have dedicated cancer staff.</t>
        </is>
      </c>
      <c r="C2081" t="inlineStr">
        <is>
          <t>What a night mare, good nursing team here. They just don’t understand that dosing me under where I’ve been on. Baseline isn’t good. I’m in so much pain. I need you got a figure if I was in enough pain with my leg off then clearly it was pretty serious. They are all shook cause they almost accidentally killed me last night and I have a iron clad DNR. The had me on a pca 250mg/8 hours plus 8mg/10 minutes, I told them i usually taken 120 in ER and 60 Ir oxy. It’s the weekends so none of the doctors will pickup or return calls they trying to get me to a 50IR every 3 hours: which is closer to to home routine effective for about 4 months except for the tumors beginning to rip out of my leg.,,
my plan calls for more then that: pain team thinks I have a month based on other statistics  my onco has no options but says I have 6 months plus based recent on recent scans of my lung  SbRT and slow Fl growth . 
Just needed this leg off and it ducks cause I’m terminal and not everyone understands the difference in needs between chronic cancer pains and other major surgeries. I think I advocate and present my situation very well. My goal is to be bed ridden 80% of the time. Wheelchair 20%. 
Imagine getting a doctor at a top institution being terminal giving them a rare 2ft and 24 lbs tumors to study and they can’t get my pain meds right?  Phantom pain is Fucking real top lmaoZ</t>
        </is>
      </c>
      <c r="D2081" t="n">
        <v>14</v>
      </c>
      <c r="E2081" t="n">
        <v>15</v>
      </c>
      <c r="F2081">
        <f>HYPERLINK("https://www.reddit.com/r/cancer/comments/bi77p6/never_get_a_palliative_amputation_at_a_hospital/")</f>
        <v/>
      </c>
      <c r="G2081" t="inlineStr">
        <is>
          <t>2019-04-27 20:41:28</t>
        </is>
      </c>
      <c r="H2081" t="inlineStr"/>
    </row>
    <row r="2082">
      <c r="A2082" t="inlineStr">
        <is>
          <t>bi7oh0</t>
        </is>
      </c>
      <c r="B2082" t="inlineStr">
        <is>
          <t>Neuropathy from Cisplatin</t>
        </is>
      </c>
      <c r="C2082" t="inlineStr">
        <is>
          <t>My wife had cancer in her kidney (surgery), bladder (BCG), and finally the ureter, which prompted chemotherapy using Cisplatin.  Her treatments ended in November, and I'm happy to say that she is cancer-free after her latest scope. We're keeping our fingers crossed that it remains this way.
&amp;amp;#x200B;
One issue she's had since her chemo, however, is pain, tingling, and cold sensations in her feet.  It's so bad that it keeps her from sleeping most nights.  I'm wondering if anyone familiar with this issue has had any success treating it.  We're trying acupuncture and compression socks at the moment, and we're hopeful.
&amp;amp;#x200B;
Thanks in advance for any feedback or advice.</t>
        </is>
      </c>
      <c r="D2082" t="n">
        <v>3</v>
      </c>
      <c r="E2082" t="n">
        <v>3</v>
      </c>
      <c r="F2082">
        <f>HYPERLINK("https://www.reddit.com/r/cancer/comments/bi7oh0/neuropathy_from_cisplatin/")</f>
        <v/>
      </c>
      <c r="G2082" t="inlineStr">
        <is>
          <t>2019-04-27 21:41:53</t>
        </is>
      </c>
      <c r="H2082" t="inlineStr"/>
    </row>
    <row r="2083">
      <c r="A2083" t="inlineStr">
        <is>
          <t>bi7rtf</t>
        </is>
      </c>
      <c r="B2083" t="inlineStr">
        <is>
          <t>My aunt has stage 4 ovarian cancer, she is taking chemo in pill form and she has vomiting and nausea. Does anybody know of anything she can take to reduce these symptoms?</t>
        </is>
      </c>
      <c r="C2083" t="inlineStr">
        <is>
          <t>Shes in bed feeling terrible as i type this and i dont know what to do. She hasnt eaten all day and she cant hold anything down. I dont want to give her another pill on top of everything she is already taking. Any advice? Thank you in advance</t>
        </is>
      </c>
      <c r="D2083" t="n">
        <v>9</v>
      </c>
      <c r="E2083" t="n">
        <v>14</v>
      </c>
      <c r="F2083">
        <f>HYPERLINK("https://www.reddit.com/r/cancer/comments/bi7rtf/my_aunt_has_stage_4_ovarian_cancer_she_is_taking/")</f>
        <v/>
      </c>
      <c r="G2083" t="inlineStr">
        <is>
          <t>2019-04-27 21:53:45</t>
        </is>
      </c>
      <c r="H2083" t="inlineStr"/>
    </row>
    <row r="2084">
      <c r="A2084" t="inlineStr">
        <is>
          <t>bi9iwk</t>
        </is>
      </c>
      <c r="B2084" t="inlineStr">
        <is>
          <t>Voice recording our meeting with the oncologist</t>
        </is>
      </c>
      <c r="C2084" t="inlineStr">
        <is>
          <t>On Friday I received the news I was both expecting and dreading.  I have a tumor on my pancreas that has spread to my liver and lymph nodes meaning surgery is not an opttion.  My wife was distraught, I was numb however we remembered a recommendation from a friend to record our conversation with the oncologist.
We asked his permission first and he was more than happy.  It was such a good decision because we remembered so little from the diagnosis, the chemo drugs and process, etc.  Once we had gathered ourselves, we listened to the recording and learned so much more.  I think we'll do the same for all the major meetings we have.</t>
        </is>
      </c>
      <c r="D2084" t="n">
        <v>89</v>
      </c>
      <c r="E2084" t="n">
        <v>37</v>
      </c>
      <c r="F2084">
        <f>HYPERLINK("https://www.reddit.com/r/cancer/comments/bi9iwk/voice_recording_our_meeting_with_the_oncologist/")</f>
        <v/>
      </c>
      <c r="G2084" t="inlineStr">
        <is>
          <t>2019-04-28 02:26:18</t>
        </is>
      </c>
      <c r="H2084" t="inlineStr"/>
    </row>
    <row r="2085">
      <c r="A2085" t="inlineStr">
        <is>
          <t>bi9tiu</t>
        </is>
      </c>
      <c r="B2085" t="inlineStr">
        <is>
          <t>Getting a port - how long after surgery can they start chemo?</t>
        </is>
      </c>
      <c r="C2085" t="inlineStr">
        <is>
          <t>I moved to another doctor and another treatment center. The doctor is going to start me on FOLFOX with a 24 hour pump. I do not have a port yet. How long do have to wait after getting a port to start chemo treatment. It has been two weeks since my last pills (Xelonda or whatever it is called)
Just want to know if they can start after the port install or if they will have a period of healing before they start the killing juice.</t>
        </is>
      </c>
      <c r="D2085" t="n">
        <v>2</v>
      </c>
      <c r="E2085" t="n">
        <v>14</v>
      </c>
      <c r="F2085">
        <f>HYPERLINK("https://www.reddit.com/r/cancer/comments/bi9tiu/getting_a_port_how_long_after_surgery_can_they/")</f>
        <v/>
      </c>
      <c r="G2085" t="inlineStr">
        <is>
          <t>2019-04-28 03:14:12</t>
        </is>
      </c>
      <c r="H2085" t="inlineStr"/>
    </row>
    <row r="2086">
      <c r="A2086" t="inlineStr">
        <is>
          <t>bi9tx1</t>
        </is>
      </c>
      <c r="B2086" t="inlineStr">
        <is>
          <t>How do people get cancer?</t>
        </is>
      </c>
      <c r="C2086" t="inlineStr">
        <is>
          <t>Like, just wear a condom or don’t have sex, it’s that easy lmao.</t>
        </is>
      </c>
      <c r="D2086" t="n">
        <v>0</v>
      </c>
      <c r="E2086" t="n">
        <v>2</v>
      </c>
      <c r="F2086">
        <f>HYPERLINK("https://www.reddit.com/r/cancer/comments/bi9tx1/how_do_people_get_cancer/")</f>
        <v/>
      </c>
      <c r="G2086" t="inlineStr">
        <is>
          <t>2019-04-28 03:15:51</t>
        </is>
      </c>
      <c r="H2086" t="inlineStr"/>
    </row>
    <row r="2087">
      <c r="A2087" t="inlineStr">
        <is>
          <t>bi9zu4</t>
        </is>
      </c>
      <c r="B2087" t="inlineStr">
        <is>
          <t>MIL only has a less than 1% survival rate—Stage 4 Lung cancer. Idk what to do.</t>
        </is>
      </c>
      <c r="C2087" t="inlineStr">
        <is>
          <t>I made a post almost two months ago about my MIL’s diagnosis but it fell on deaf ears. Maybe cause it was early in the AM which is ok.  
She’s 56. Had a seizure (which she has had plenty in the past), took her to University of Chicago, they did a bunch of tests and found lesions on her brain which were superficial on the the surface and tumor on her lung. Please note she has been smoking since she was about 12 years old. 
She has had cervical cancer in the early 90s which she beat and a breast cancer scare too. 
Since then, my MIL started and finished her radiation. Her chemo plan is 2 years long, 8 cycles she has to get it done every 3 weeks. When she went to get the port in, they said that it’s mainly for prolonging life and she does have less than 1% of beating it. They didn’t say how long she has. Her hair has been coming out. She has long blonde hair and has filled up a plastic shopping bag at this point. 
My husband is close to her. He’s the youngest out of the 3. I’m also 10 weeks pregnant and she is absolutely over the moon and excited. But since this news, I’m not as excited. I want her to be around for the birth, she wants to give the first post hospital bath. 
My husband went over to their house to visit after work and he’s basically said “it’s like they already gave up.” My MIL is not going to quit smoking. My FIL is a smoker too. 
I’ve joked with my husband, maybe we should swap out the cigarettes with pot. My MIL has always been supportive of marijuana as a whole. 
I’ve never been around someone with cancer. It’s all new. And I’m scared of what’s to come.</t>
        </is>
      </c>
      <c r="D2087" t="n">
        <v>4</v>
      </c>
      <c r="E2087" t="n">
        <v>8</v>
      </c>
      <c r="F2087">
        <f>HYPERLINK("https://www.reddit.com/r/cancer/comments/bi9zu4/mil_only_has_a_less_than_1_survival_ratestage_4/")</f>
        <v/>
      </c>
      <c r="G2087" t="inlineStr">
        <is>
          <t>2019-04-28 03:43:03</t>
        </is>
      </c>
      <c r="H2087" t="inlineStr"/>
    </row>
    <row r="2088">
      <c r="A2088" t="inlineStr">
        <is>
          <t>biabp5</t>
        </is>
      </c>
      <c r="B2088" t="inlineStr">
        <is>
          <t>Stage 4 stomach</t>
        </is>
      </c>
      <c r="C2088" t="inlineStr">
        <is>
          <t>My coworker recently was diagnosed with stage 4 stomach cancer and something about it also being in her lymph nodes. How do I approach this subject with her.</t>
        </is>
      </c>
      <c r="D2088" t="n">
        <v>2</v>
      </c>
      <c r="E2088" t="n">
        <v>3</v>
      </c>
      <c r="F2088">
        <f>HYPERLINK("https://www.reddit.com/r/cancer/comments/biabp5/stage_4_stomach/")</f>
        <v/>
      </c>
      <c r="G2088" t="inlineStr">
        <is>
          <t>2019-04-28 04:32:35</t>
        </is>
      </c>
      <c r="H2088" t="inlineStr"/>
    </row>
    <row r="2089">
      <c r="A2089" t="inlineStr">
        <is>
          <t>biby2b</t>
        </is>
      </c>
      <c r="B2089" t="inlineStr">
        <is>
          <t>How long did it take for neuropathies to go away?</t>
        </is>
      </c>
      <c r="C2089" t="inlineStr">
        <is>
          <t>Hey! I finished R-CHOP about a month ago and finish radiation tomorrow! I wanted to ask about how long it took for neuropathies to go away? In the last month, the spasms in my toes and fingers have started to occur less and less, but they are still there a bit. Does anyone have experience as to when they are like completely gone? Last time I spoke to the oncologist he didn’t give a time frame and I wanted to see if anyone else had some insight.</t>
        </is>
      </c>
      <c r="D2089" t="n">
        <v>2</v>
      </c>
      <c r="E2089" t="n">
        <v>3</v>
      </c>
      <c r="F2089">
        <f>HYPERLINK("https://www.reddit.com/r/cancer/comments/biby2b/how_long_did_it_take_for_neuropathies_to_go_away/")</f>
        <v/>
      </c>
      <c r="G2089" t="inlineStr">
        <is>
          <t>2019-04-28 07:45:57</t>
        </is>
      </c>
      <c r="H2089" t="inlineStr"/>
    </row>
    <row r="2090">
      <c r="A2090" t="inlineStr">
        <is>
          <t>bicv0c</t>
        </is>
      </c>
      <c r="B2090" t="inlineStr">
        <is>
          <t>Does the use of prescription drugs increase the risk of cancer?</t>
        </is>
      </c>
      <c r="C2090" t="inlineStr">
        <is>
          <t>Suppose someone takes prescription drugs somewhat regularly, (3x per week) for conditions related to mitigating high-blood pressure (Hydralazine)  or sexual dysfunction (like Viagra, Cialis, etc).  Can the continued consumption of such medication increase the risk of cancer in the patient?</t>
        </is>
      </c>
      <c r="D2090" t="n">
        <v>1</v>
      </c>
      <c r="E2090" t="n">
        <v>1</v>
      </c>
      <c r="F2090">
        <f>HYPERLINK("https://www.reddit.com/r/cancer/comments/bicv0c/does_the_use_of_prescription_drugs_increase_the/")</f>
        <v/>
      </c>
      <c r="G2090" t="inlineStr">
        <is>
          <t>2019-04-28 09:14:11</t>
        </is>
      </c>
      <c r="H2090" t="inlineStr"/>
    </row>
    <row r="2091">
      <c r="A2091" t="inlineStr">
        <is>
          <t>bie0bx</t>
        </is>
      </c>
      <c r="B2091" t="inlineStr">
        <is>
          <t>Stage IIIB Colorectal Cancer</t>
        </is>
      </c>
      <c r="C2091" t="inlineStr">
        <is>
          <t>Actually, it's a tumor at the rectosigmoid junction, so they're treating it as rectal cancer.
So far, it looks like I'm following a somewhat standard treatment plan for this...  Twenty eight days of chemo plus radiation, six to eight weeks break, then colon resection surgery with temporary ileostomy, three to six months of capecitabine + some-other-chemo-infusion-thing-I-don't-remember, then surgery to reverse the ileostomy.
I have nine radiation treatments remaining, and so far, so good.
Really, the only thing I'm still freaked out about is this ileostomy thing.  I'm still okay with everything else.
I was a caretaker for my mother while she had one, so I've been exposed to it from that point of view.  I helped change hers exactly one time.  My sister did most of the work.  I was more of an observer and that was eighteen years ago.  That's the limit of my exposure.
My wife insists on helping me with the maintenance of it, but I really don't want to have to expose her to that.  I remember it as some seriously next-level stuff.
Can anyone offer any comforting words of experience or wisdom for an old grump who isn't quite prepared to see this particular modification to their anatomy?</t>
        </is>
      </c>
      <c r="D2091" t="n">
        <v>6</v>
      </c>
      <c r="E2091" t="n">
        <v>14</v>
      </c>
      <c r="F2091">
        <f>HYPERLINK("https://www.reddit.com/r/cancer/comments/bie0bx/stage_iiib_colorectal_cancer/")</f>
        <v/>
      </c>
      <c r="G2091" t="inlineStr">
        <is>
          <t>2019-04-28 11:01:14</t>
        </is>
      </c>
      <c r="H2091" t="inlineStr"/>
    </row>
    <row r="2092">
      <c r="A2092" t="inlineStr">
        <is>
          <t>biedtq</t>
        </is>
      </c>
      <c r="B2092" t="inlineStr">
        <is>
          <t>Chemoradiation and esophageal cancer</t>
        </is>
      </c>
      <c r="C2092" t="inlineStr">
        <is>
          <t>Hi guys. I have a question regarding esophageal chemoradiation.
Question: What is the likelihood that chemoradiation makes the tumor go away? What are the next steps if it does not.
Context: My mother is in the early 50s, has a tumor that is too close to the aorta to operate. She is in the 5th week of chemo (there are 6) and nearing the last couple of radiations. Water does not get stuck anymore, but it hurts in the organ. Also she is super tired all the time.  Which i guess makes sense cause it must be a battle field with all the radiation being shot at it. The cancer has not spread at the time of the PET scan before treatment
I know that here 5 years survival chances are about 40-50%. Now I wanna know the chances that the tumor is completely gone in the first year. (So not the absolute survival chances). Also what are the next steps if it has not gone? Operation with the risk the the aorta is ruptured on the operation table???
&amp;amp;#x200B;
With kind regards,
Sven</t>
        </is>
      </c>
      <c r="D2092" t="n">
        <v>2</v>
      </c>
      <c r="E2092" t="n">
        <v>0</v>
      </c>
      <c r="F2092">
        <f>HYPERLINK("https://www.reddit.com/r/cancer/comments/biedtq/chemoradiation_and_esophageal_cancer/")</f>
        <v/>
      </c>
      <c r="G2092" t="inlineStr">
        <is>
          <t>2019-04-28 11:35:56</t>
        </is>
      </c>
      <c r="H2092" t="inlineStr"/>
    </row>
    <row r="2093">
      <c r="A2093" t="inlineStr">
        <is>
          <t>biei47</t>
        </is>
      </c>
      <c r="B2093" t="inlineStr">
        <is>
          <t>When do I tell my daughter she had cancer?</t>
        </is>
      </c>
      <c r="C2093" t="inlineStr">
        <is>
          <t>My daughter is 6 and had cancer diagnosed in utero. She was disease free by 15 mos and has remained so. We go yearly now to see her oncologist to “check her scar” (her large abdominal scar from having a tumor removed at 7 weeks old). Anyway, she can read now and I’m pretty sure she’s going to see some cancer words next time we go. I also have an older daughter, 10, who wasn’t aware of what was happening at the time (she was 4-5yo and spent a lot of time with her grandparents, plus her sister didn’t really look/seem sick other than some IVs we managed a home a few times). I think we need to tell her about this soon. How?</t>
        </is>
      </c>
      <c r="D2093" t="n">
        <v>15</v>
      </c>
      <c r="E2093" t="n">
        <v>5</v>
      </c>
      <c r="F2093">
        <f>HYPERLINK("https://www.reddit.com/r/cancer/comments/biei47/when_do_i_tell_my_daughter_she_had_cancer/")</f>
        <v/>
      </c>
      <c r="G2093" t="inlineStr">
        <is>
          <t>2019-04-28 11:46:50</t>
        </is>
      </c>
      <c r="H2093" t="inlineStr"/>
    </row>
    <row r="2094">
      <c r="A2094" t="inlineStr">
        <is>
          <t>bieqtq</t>
        </is>
      </c>
      <c r="B2094" t="inlineStr">
        <is>
          <t>What makes a good oncologist from a patient’s perspective?</t>
        </is>
      </c>
      <c r="C2094" t="inlineStr">
        <is>
          <t>Background: I am a medical student and interested in oncology. I don’t have a full scope of what that entails yet, but I value the level of responsibility and the unique longitudinal relationship with patients in their most existential and trying of times.</t>
        </is>
      </c>
      <c r="D2094" t="n">
        <v>45</v>
      </c>
      <c r="E2094" t="n">
        <v>49</v>
      </c>
      <c r="F2094">
        <f>HYPERLINK("https://www.reddit.com/r/cancer/comments/bieqtq/what_makes_a_good_oncologist_from_a_patients/")</f>
        <v/>
      </c>
      <c r="G2094" t="inlineStr">
        <is>
          <t>2019-04-28 12:09:00</t>
        </is>
      </c>
      <c r="H2094" t="inlineStr"/>
    </row>
    <row r="2095">
      <c r="A2095" t="inlineStr">
        <is>
          <t>bigf0e</t>
        </is>
      </c>
      <c r="B2095" t="inlineStr">
        <is>
          <t>Good workouts post Partial Mastectomy?</t>
        </is>
      </c>
      <c r="C2095" t="inlineStr">
        <is>
          <t>I’ve been doing reaaally well the past few weeks with keeping up on regular exercise everyday for 30 minutes a day and I’m really proud of myself and just feel GOOD when I do so. 
I am also having a large lump removed from my right breast early tomorrow morning. I know I’ll be sore and shouldn’t do too much movement with my arms which I will be avoiding. 
But I of course don’t want pause my workouts completely because again; I feel good, and I’m afraid that once I stop, it will be hard to get back into it again after I’m completely healed. 
Are there any good lower body or even abdominal workouts that don’t involve much or any activity in the arms or chest muscles? 
I love working out the booty as well! 
I tend to watch YouTube videos and follow along with those for my daily workouts so any links to a particular workout or suggestions of channels would be so appreciated.</t>
        </is>
      </c>
      <c r="D2095" t="n">
        <v>3</v>
      </c>
      <c r="E2095" t="n">
        <v>2</v>
      </c>
      <c r="F2095">
        <f>HYPERLINK("https://www.reddit.com/r/cancer/comments/bigf0e/good_workouts_post_partial_mastectomy/")</f>
        <v/>
      </c>
      <c r="G2095" t="inlineStr">
        <is>
          <t>2019-04-28 14:38:52</t>
        </is>
      </c>
      <c r="H2095" t="inlineStr"/>
    </row>
    <row r="2096">
      <c r="A2096" t="inlineStr">
        <is>
          <t>bigury</t>
        </is>
      </c>
      <c r="B2096" t="inlineStr">
        <is>
          <t>Long time for hair to grow back normally?</t>
        </is>
      </c>
      <c r="C2096" t="inlineStr">
        <is>
          <t>I finished my last round of DA-EPOCH-R for lymphoma about 1.5 years ago. I've tried using Rogaine foam (althogh probably not as often as I should have) for the past few months and my hair is still very, very thin. Was wondering if anyone had similar experience/tips for hair regrowth?</t>
        </is>
      </c>
      <c r="D2096" t="n">
        <v>1</v>
      </c>
      <c r="E2096" t="n">
        <v>3</v>
      </c>
      <c r="F2096">
        <f>HYPERLINK("https://www.reddit.com/r/cancer/comments/bigury/long_time_for_hair_to_grow_back_normally/")</f>
        <v/>
      </c>
      <c r="G2096" t="inlineStr">
        <is>
          <t>2019-04-28 15:21:59</t>
        </is>
      </c>
      <c r="H2096" t="inlineStr"/>
    </row>
    <row r="2097">
      <c r="A2097" t="inlineStr">
        <is>
          <t>bih3ue</t>
        </is>
      </c>
      <c r="B2097" t="inlineStr">
        <is>
          <t>gaining strength and weight</t>
        </is>
      </c>
      <c r="C2097" t="inlineStr">
        <is>
          <t>My mother is very sick and at this moment her health is not getting any better. She has dropped 20 pounds going from 110 to almost 90 in the last 2 weeks. Her chemotherapy is currently on hold, and she is on an experimental trial. She cannot hold down any food and doesn’t have the strength to leave bed. I have no idea what to do. 
I need to get her to eat but I know very little about healthy eating and what her body actually needs. Solid or liquid food is not working, she can’t hold it down. Is there any vitamins she can take to gain weight and health back and give her body the nutrients it needs? 
The doctors says her cancer won’t take her life this week, but she needs her strength back to keep fighting. It hurts me to see her like this. Any help, specifically nutritionist advice, would be greatly appreciated as I am new to this subject. Thank you.</t>
        </is>
      </c>
      <c r="D2097" t="n">
        <v>2</v>
      </c>
      <c r="E2097" t="n">
        <v>4</v>
      </c>
      <c r="F2097">
        <f>HYPERLINK("https://www.reddit.com/r/cancer/comments/bih3ue/gaining_strength_and_weight/")</f>
        <v/>
      </c>
      <c r="G2097" t="inlineStr">
        <is>
          <t>2019-04-28 15:47:27</t>
        </is>
      </c>
      <c r="H2097" t="inlineStr"/>
    </row>
    <row r="2098">
      <c r="A2098" t="inlineStr">
        <is>
          <t>bihjwn</t>
        </is>
      </c>
      <c r="B2098" t="inlineStr">
        <is>
          <t>My dad lost his eye and part of his nose to cancer earlier this week. Besides visiting as often as possible, what are some ways I can try to cheer him up?</t>
        </is>
      </c>
      <c r="C2098" t="inlineStr">
        <is>
          <t>I'm not sure if this is the best place for this, but my dad is understandably sad about losing his good eye and the bridge of his nose and being disfigured for lack of a better word. He doesn't really talk about it, just brings up things he is worried about and I tell him some potential solutions but the nurse said that when I or my other family members are not there he seems depressed and often mentions wanting his eye back. So basically, other than listening better instead of offering solutions and being there as much as possible, what can I do or what have you all found helpful when you were either the patient or the caretaker in this type of scenario?</t>
        </is>
      </c>
      <c r="D2098" t="n">
        <v>4</v>
      </c>
      <c r="E2098" t="n">
        <v>5</v>
      </c>
      <c r="F2098">
        <f>HYPERLINK("https://www.reddit.com/r/cancer/comments/bihjwn/my_dad_lost_his_eye_and_part_of_his_nose_to/")</f>
        <v/>
      </c>
      <c r="G2098" t="inlineStr">
        <is>
          <t>2019-04-28 16:33:45</t>
        </is>
      </c>
      <c r="H2098" t="inlineStr"/>
    </row>
    <row r="2099">
      <c r="A2099" t="inlineStr">
        <is>
          <t>bihthk</t>
        </is>
      </c>
      <c r="B2099" t="inlineStr">
        <is>
          <t>Big Shout-out to those who care for a loved one with Cancer.</t>
        </is>
      </c>
      <c r="C2099" t="inlineStr">
        <is>
          <t>I'm sure there are many here who are caring for someone with cancer. If your struggling to stay strong, reach out to someone you love or trust. Talk to them. Let them know you need help... Don't be afraid to reach out to support services available in your local area. Here in Australia, Cancer Council offers heaps of guidence for those who provide support. For me, having to put on a smile around my wife and kids is very difficult. Trying to be positive and yet at the same time trying to hide the stress is incredibly difficult. 
My situation is as follows... My wife has suspected Kidney Cancer. The tumor discovered is approx 8cm x 7cm round on the right kidney. She's only 38. Good health, doesn't smoke drink and all that nasty stuff. Absolutely devastating. We know very little about it as yet and we don't know if it's contained to the kidney or has spread. Waiting now for surgey to remove the kidney. We also have two young children.
For everyone here, stay strong... You're not alone.</t>
        </is>
      </c>
      <c r="D2099" t="n">
        <v>87</v>
      </c>
      <c r="E2099" t="n">
        <v>26</v>
      </c>
      <c r="F2099">
        <f>HYPERLINK("https://www.reddit.com/r/cancer/comments/bihthk/big_shoutout_to_those_who_care_for_a_loved_one/")</f>
        <v/>
      </c>
      <c r="G2099" t="inlineStr">
        <is>
          <t>2019-04-28 17:01:28</t>
        </is>
      </c>
      <c r="H2099" t="inlineStr"/>
    </row>
    <row r="2100">
      <c r="A2100" t="inlineStr">
        <is>
          <t>bij4pb</t>
        </is>
      </c>
      <c r="B2100" t="inlineStr">
        <is>
          <t>Relay For Life</t>
        </is>
      </c>
      <c r="C2100" t="inlineStr">
        <is>
          <t>If you would like to donate to the Canadian Cancer Society Click on the Link Below and DONATE!! Any donations are appreciated!!
[http://convio.cancer.ca/site/TR/RelayForLife/RFLY\_ON\_even\_?px=12936029&amp;amp;pg=personal&amp;amp;fr\_id=25107&amp;amp;s\_locale=en\_CA](http://convio.cancer.ca/site/TR/RelayForLife/RFLY_ON_even_?px=12936029&amp;amp;pg=personal&amp;amp;fr_id=25107&amp;amp;s_locale=en_CA)</t>
        </is>
      </c>
      <c r="D2100" t="n">
        <v>1</v>
      </c>
      <c r="E2100" t="n">
        <v>0</v>
      </c>
      <c r="F2100">
        <f>HYPERLINK("https://www.reddit.com/r/cancer/comments/bij4pb/relay_for_life/")</f>
        <v/>
      </c>
      <c r="G2100" t="inlineStr">
        <is>
          <t>2019-04-28 19:22:44</t>
        </is>
      </c>
      <c r="H2100" t="inlineStr"/>
    </row>
    <row r="2101">
      <c r="A2101" t="inlineStr">
        <is>
          <t>bik25b</t>
        </is>
      </c>
      <c r="B2101" t="inlineStr">
        <is>
          <t>How do I talk about my diagnosis?</t>
        </is>
      </c>
      <c r="C2101" t="inlineStr">
        <is>
          <t>A little over a year ago I was diagnosed with stage one melanoma. The year leading up to that I had been in the Dermatologist's office numerous times with a few small pre-cancerous spots and a non-melanoma cancer that wasn't an issue after excision. Luckily still at stage one, the Melanoma was removed and I was left with only a good sized chunk out of my tricep. Between initial diagnosis and the final tissue results however, there were 2 months where I really didn't know if I would be getting any worse news. I'm only in my mid 20's and a relatively healthy college student about to graduate, so this was a pretty sobering experience, but at the same time I wasn't really too discouraged and remained pretty positive throughout it. I listened to what my Dermatologist said and really trusted her that we had caught it early enough. 
The problem now is that I have absolutely no idea what my tone should be when talking about it with other people. When it comes up in conversation I always find myself quickly running down the list of "caught early, completely removed, regular checkups" as I get looks of concern. I totally get it, it's not the lightest topic, but making it clear that I'm completely ok while simultaneously not making light of the fact that I did have melanoma and was only really lucky is becoming a weird balancing act. I'll typically make a joke and say "well I guess that's what you get when you throw a pale Irish kid in Florida for 15 years", but now I'm wondering if I'm not taking it as serious as I should be. I also don't want to down play it to the point that people who talk to me think that anyone who has had a lower stage diagnosis is unaffected by it in any way.
I've thought about this for a while now but lately it has really started to press me because I'm also currently writing my personal statement for medical school applications and the diagnosis is what really got me interested in medicine. I was still in college while this happened and it was the first time that what I was studying really resonated with me on a personal level. I want to be able to properly communicate this without making it sound like I was actually sitting in the hospital trying to read textbooks while getting chemo, or that the entire experience was all just one big walk in the park either.
At the end of the day, I just don't know how to talk about it at all and would appreciate any advice.</t>
        </is>
      </c>
      <c r="D2101" t="n">
        <v>3</v>
      </c>
      <c r="E2101" t="n">
        <v>2</v>
      </c>
      <c r="F2101">
        <f>HYPERLINK("https://www.reddit.com/r/cancer/comments/bik25b/how_do_i_talk_about_my_diagnosis/")</f>
        <v/>
      </c>
      <c r="G2101" t="inlineStr">
        <is>
          <t>2019-04-28 20:41:41</t>
        </is>
      </c>
      <c r="H2101" t="inlineStr"/>
    </row>
    <row r="2102">
      <c r="A2102" t="inlineStr">
        <is>
          <t>bin0wc</t>
        </is>
      </c>
      <c r="B2102" t="inlineStr">
        <is>
          <t>My dad has been chewing and swallowing the dip for 40 years, I have questions.</t>
        </is>
      </c>
      <c r="C2102" t="inlineStr">
        <is>
          <t>My dad has been chewing sense I can remember. I can calculate it to at least 40 years. My family as tried to make him stop to the point where I would not talk to him unless he got help and it last about 6 months. 
My dad has a problem with his gut, he can’t hardly eat anything normal without throwing up. He went to the doctor around 6 months ago and they said he was fine. No one was there to validate that he saw a legitimate doctor.
Before that time he had refused to go to the doctor for years. My heart is broken.
I’m asking if someone chews tobacco for 40 years and swallows most of the product is he certain to have a stomach cancer? He blames his health problems on his gallbladder but I believe it’s from him swallowing tobacco for so many years. 
Please help me with any knowledge or advice</t>
        </is>
      </c>
      <c r="D2102" t="n">
        <v>2</v>
      </c>
      <c r="E2102" t="n">
        <v>1</v>
      </c>
      <c r="F2102">
        <f>HYPERLINK("https://www.reddit.com/r/cancer/comments/bin0wc/my_dad_has_been_chewing_and_swallowing_the_dip/")</f>
        <v/>
      </c>
      <c r="G2102" t="inlineStr">
        <is>
          <t>2019-04-29 01:16:42</t>
        </is>
      </c>
      <c r="H2102" t="inlineStr"/>
    </row>
    <row r="2103">
      <c r="A2103" t="inlineStr">
        <is>
          <t>bink5a</t>
        </is>
      </c>
      <c r="B2103" t="inlineStr">
        <is>
          <t>Hello guys, youre strong and you can do that. I ve got a question.</t>
        </is>
      </c>
      <c r="C2103" t="inlineStr">
        <is>
          <t>We have been to the moon, we have missions in space and still there is not A CURE for all types for cancer. I cant understand that it is the 2nd? Reason of deaths worldwide and there is still people suffering from Cancer. I have  heard many times that there have been found medicines that cure cancer but they do not make them public because pharmaceutical companies make tons of money from the current medicines. I cant believe that. What are your thoughts? Do you believe that in the short-future cancer will be curable and medicines will be accessible for everybody?</t>
        </is>
      </c>
      <c r="D2103" t="n">
        <v>1</v>
      </c>
      <c r="E2103" t="n">
        <v>8</v>
      </c>
      <c r="F2103">
        <f>HYPERLINK("https://www.reddit.com/r/cancer/comments/bink5a/hello_guys_youre_strong_and_you_can_do_that_i_ve/")</f>
        <v/>
      </c>
      <c r="G2103" t="inlineStr">
        <is>
          <t>2019-04-29 02:39:51</t>
        </is>
      </c>
      <c r="H2103" t="inlineStr"/>
    </row>
    <row r="2104">
      <c r="A2104" t="inlineStr">
        <is>
          <t>bip9wj</t>
        </is>
      </c>
      <c r="B2104" t="inlineStr">
        <is>
          <t>Experiences with Folfiri?</t>
        </is>
      </c>
      <c r="C2104" t="inlineStr">
        <is>
          <t>Hello wonderful /r/cancer community,
To give you some context, my wife was diagnosed with stage IV rectal cancer (liver metastases) in February 2018.
She received 8 rounds of Folfox (two of them with Panitumumab) and eigth rounds of Xeloda (Capecitabine) plus Bevacizumav.
The she developed a biliary obstruction (they still don't know if it's cancerous or a consequence of treatment), which caused two hospital stays (twenty-two days and a month). She's finally home. As expected, her health has deteriorated. She lost more than twenty pounds, she is now under a complex regimen of pain management (which brings its own side effects), etc.
Her oncologist is now proposing to start Folfiri as a second-line treatment. I don't know yet if he will try an add a monoclonal antibody again. He probably will.
I  am aware that ever case is different and each person responds differently to treatment, but I wanted to ask about your experiences with Folfiri, side effects you had and how you handled them, complications, and so on. 
Thank you so much for reading and taking time to respond.</t>
        </is>
      </c>
      <c r="D2104" t="n">
        <v>9</v>
      </c>
      <c r="E2104" t="n">
        <v>4</v>
      </c>
      <c r="F2104">
        <f>HYPERLINK("https://www.reddit.com/r/cancer/comments/bip9wj/experiences_with_folfiri/")</f>
        <v/>
      </c>
      <c r="G2104" t="inlineStr">
        <is>
          <t>2019-04-29 06:06:58</t>
        </is>
      </c>
      <c r="H2104" t="inlineStr"/>
    </row>
    <row r="2105">
      <c r="A2105" t="inlineStr">
        <is>
          <t>birimv</t>
        </is>
      </c>
      <c r="B2105" t="inlineStr">
        <is>
          <t>Post chemo f/u</t>
        </is>
      </c>
      <c r="C2105" t="inlineStr">
        <is>
          <t>Just had my 3 week follow up after finishing chemo.  My CT is clear and no other signs of cancer. I guess this makes me officially cancer free or in remission!</t>
        </is>
      </c>
      <c r="D2105" t="n">
        <v>92</v>
      </c>
      <c r="E2105" t="n">
        <v>26</v>
      </c>
      <c r="F2105">
        <f>HYPERLINK("https://www.reddit.com/r/cancer/comments/birimv/post_chemo_fu/")</f>
        <v/>
      </c>
      <c r="G2105" t="inlineStr">
        <is>
          <t>2019-04-29 09:31:30</t>
        </is>
      </c>
      <c r="H2105" t="inlineStr"/>
    </row>
    <row r="2106">
      <c r="A2106" t="inlineStr">
        <is>
          <t>birsvv</t>
        </is>
      </c>
      <c r="B2106" t="inlineStr">
        <is>
          <t>Weird dreams?</t>
        </is>
      </c>
      <c r="C2106" t="inlineStr">
        <is>
          <t>I’m a 24F with hodgkin’s lymphoma. I’ve had three chemo treatments thus far, and I’m curious to know if anyone else has weird dreams. I’ve always had weird/vivid dreams I remembered (even pre-cancer/chemo) but I feel like every night I’m tossing and turning and waking up with an odd dream memory. Has anyone else noticed this as a side effect? Maybe it’s just stress? Let me know if you have a similar situation! Thanks ❤️❤️</t>
        </is>
      </c>
      <c r="D2106" t="n">
        <v>6</v>
      </c>
      <c r="E2106" t="n">
        <v>5</v>
      </c>
      <c r="F2106">
        <f>HYPERLINK("https://www.reddit.com/r/cancer/comments/birsvv/weird_dreams/")</f>
        <v/>
      </c>
      <c r="G2106" t="inlineStr">
        <is>
          <t>2019-04-29 09:54:50</t>
        </is>
      </c>
      <c r="H2106" t="inlineStr"/>
    </row>
    <row r="2107">
      <c r="A2107" t="inlineStr">
        <is>
          <t>bis20b</t>
        </is>
      </c>
      <c r="B2107" t="inlineStr">
        <is>
          <t>Fatigue and it's effect on your lifestyle/job</t>
        </is>
      </c>
      <c r="C2107" t="inlineStr">
        <is>
          <t>Anyone have any tips on how they deal with the constant feeling of being tired from affecting their livelihood?</t>
        </is>
      </c>
      <c r="D2107" t="n">
        <v>3</v>
      </c>
      <c r="E2107" t="n">
        <v>11</v>
      </c>
      <c r="F2107">
        <f>HYPERLINK("https://www.reddit.com/r/cancer/comments/bis20b/fatigue_and_its_effect_on_your_lifestylejob/")</f>
        <v/>
      </c>
      <c r="G2107" t="inlineStr">
        <is>
          <t>2019-04-29 10:16:16</t>
        </is>
      </c>
      <c r="H2107" t="inlineStr"/>
    </row>
    <row r="2108">
      <c r="A2108" t="inlineStr">
        <is>
          <t>bitldk</t>
        </is>
      </c>
      <c r="B2108" t="inlineStr">
        <is>
          <t>Questions about results</t>
        </is>
      </c>
      <c r="C2108" t="inlineStr">
        <is>
          <t>I was given some super CT scan of my lungs.  Findings are thus
There are patchy areas of groundglass opacities and bronchiectasis greatest within the upper lobes. The heart size and pulmonary vasculature are normal. There are no infiltrates, interstitial lung disease, fibrosis, pleural effusions, mediastinal lymphadenopathy or noncalcified pulmonary nodules. The adrenal glands are normal. Mild degenerative changes are seen of the thoracic spine without underlying osseous lesion.
Why would they disagree with the radiologist..and why is my spine breaking?  The system does not allow me to message them so I cannot ask them this directly and I won't see them for 2 months</t>
        </is>
      </c>
      <c r="D2108" t="n">
        <v>1</v>
      </c>
      <c r="E2108" t="n">
        <v>1</v>
      </c>
      <c r="F2108">
        <f>HYPERLINK("https://www.reddit.com/r/cancer/comments/bitldk/questions_about_results/")</f>
        <v/>
      </c>
      <c r="G2108" t="inlineStr">
        <is>
          <t>2019-04-29 12:27:48</t>
        </is>
      </c>
      <c r="H2108" t="inlineStr"/>
    </row>
    <row r="2109">
      <c r="A2109" t="inlineStr">
        <is>
          <t>bitvee</t>
        </is>
      </c>
      <c r="B2109" t="inlineStr">
        <is>
          <t>Possible tonsil cancer - enlarged right tonsils with what assumes to be tonsil stones?</t>
        </is>
      </c>
      <c r="C2109" t="inlineStr">
        <is>
          <t>Last week I experienced a couple ways of a sore throat. Looked in the mirror and my tonsil was the size of a golf ball and had white specks spotted all over them. Convinced it could be strep but with no health insurance, I went to the CVS minute clinic. 
Came back negative for strep, and was told it was most likely viral tonsillitis and I have to wait it. Asked the doctor if it could be abscess and she said it doesn’t appear so. 
Almost a week later, no sore throat but I do have an ulcer on the side of my throat which is sore if I apply pressure. No lumps on neck, but right tonsil is still swollen with specks of white. 
I’m 21 with no health insurance and I’m starting get worried that I might have tonsil cancer because of the swelling in my right tonsil. I smoke cannabis and I drink about once a month, but not much more than that. If I had insurance I would gladly see a ENT specialist, but I can’t afford taking all these tests just for them to come back negative.
Also, my top wisdom teeth are coming in, so could this have anything to do with it? 
Any suggestions/recommendations would help helpful. I’ve provided a photo below.
  [Photo](https://imgur.com/a3pwT9G)</t>
        </is>
      </c>
      <c r="D2109" t="n">
        <v>0</v>
      </c>
      <c r="E2109" t="n">
        <v>1</v>
      </c>
      <c r="F2109">
        <f>HYPERLINK("https://www.reddit.com/r/cancer/comments/bitvee/possible_tonsil_cancer_enlarged_right_tonsils/")</f>
        <v/>
      </c>
      <c r="G2109" t="inlineStr">
        <is>
          <t>2019-04-29 12:51:48</t>
        </is>
      </c>
      <c r="H2109" t="inlineStr"/>
    </row>
    <row r="2110">
      <c r="A2110" t="inlineStr">
        <is>
          <t>biv0kw</t>
        </is>
      </c>
      <c r="B2110" t="inlineStr">
        <is>
          <t>My friend has stage 4 cancer and idk what to do</t>
        </is>
      </c>
      <c r="C2110" t="inlineStr">
        <is>
          <t>My friend has stage 4 cancer and it has spread to his brain. He has had chemo but now he is getting off of it because he says he rather enjoy a more quality life style. They said he has 2 years to live and I'm wondering if theres anything I can tell him to get better. Is there anyway to slow the cancer down or real treatment options?</t>
        </is>
      </c>
      <c r="D2110" t="n">
        <v>2</v>
      </c>
      <c r="E2110" t="n">
        <v>1</v>
      </c>
      <c r="F2110">
        <f>HYPERLINK("https://www.reddit.com/r/cancer/comments/biv0kw/my_friend_has_stage_4_cancer_and_idk_what_to_do/")</f>
        <v/>
      </c>
      <c r="G2110" t="inlineStr">
        <is>
          <t>2019-04-29 14:28:40</t>
        </is>
      </c>
      <c r="H2110" t="inlineStr"/>
    </row>
    <row r="2111">
      <c r="A2111" t="inlineStr">
        <is>
          <t>biv319</t>
        </is>
      </c>
      <c r="B2111" t="inlineStr">
        <is>
          <t>Mom’s chemo round 2</t>
        </is>
      </c>
      <c r="C2111" t="inlineStr">
        <is>
          <t>Hello! My mom is starting chemo again for clear cell ovarian cancer. She’ll be receiving cisplatin and irenotecan for Day 1 and then irenotecan days 8 &amp;amp; 15. Two week break, then both again, for 6 cycles total. I was wondering if anyone here is familiar with these drugs and can share their experiences. Thank you!</t>
        </is>
      </c>
      <c r="D2111" t="n">
        <v>2</v>
      </c>
      <c r="E2111" t="n">
        <v>0</v>
      </c>
      <c r="F2111">
        <f>HYPERLINK("https://www.reddit.com/r/cancer/comments/biv319/moms_chemo_round_2/")</f>
        <v/>
      </c>
      <c r="G2111" t="inlineStr">
        <is>
          <t>2019-04-29 14:34:55</t>
        </is>
      </c>
      <c r="H2111" t="inlineStr"/>
    </row>
    <row r="2112">
      <c r="A2112" t="inlineStr">
        <is>
          <t>bivnz0</t>
        </is>
      </c>
      <c r="B2112" t="inlineStr">
        <is>
          <t>Dealing w/ indifference after cancer?</t>
        </is>
      </c>
      <c r="C2112" t="inlineStr">
        <is>
          <t>I'm going to try to keep this short. I'm a 27 y/o male, 28 in 2 weeks (this is sort of relevant) and around this time last year I was diagnosed with Hodgkins and had to have some emergency surgeries, 5 months of chemo and about a month and a half of daily radiation. Right after I was "cleared" my girlfriend up and leaves. It was the hardest year of my life, like, by far. Anyway, the middle of May is my "cancerversary" and i've been honestly pretty depressed about it. I've been doing what I can to pick up the pieces and getting my life together by working out and eating right, getting a better job and things like that, and one of those things is trying to go on some dates.  
I'm not sure if it's that people in my age group are indifferent or what exactly, but has anyone been in a position in which it's appropriate to reveal that you (very recently) had cancer and been faced with a pure, unflinching stone face in response? This has happened to me more than a couple times now, and it's a hard thing to avoid talking about because I have a very visible scar across my neck. I'm not out here looking for people to feel sorry for me, it's not like that (a lot of the time, I really don't want to talk about it at all)--but I definitely value empathy and appreciate at least a glimpse of respect for, you know, not dying...or something? I feel like it's a "turn off" for some people, like it's either a bummer or they think it makes me weak or unhealthy, and that feeling has been building for a couple months and is now culminating in this post.  
Idk, am I alone in this? Do you have any comparable stories or feelings? Does anyone want to help me unpack this?</t>
        </is>
      </c>
      <c r="D2112" t="n">
        <v>19</v>
      </c>
      <c r="E2112" t="n">
        <v>14</v>
      </c>
      <c r="F2112">
        <f>HYPERLINK("https://www.reddit.com/r/cancer/comments/bivnz0/dealing_w_indifference_after_cancer/")</f>
        <v/>
      </c>
      <c r="G2112" t="inlineStr">
        <is>
          <t>2019-04-29 15:27:28</t>
        </is>
      </c>
      <c r="H2112" t="inlineStr"/>
    </row>
    <row r="2113">
      <c r="A2113" t="inlineStr">
        <is>
          <t>bixkmj</t>
        </is>
      </c>
      <c r="B2113" t="inlineStr">
        <is>
          <t>I can't stand my roommate</t>
        </is>
      </c>
      <c r="C2113" t="inlineStr">
        <is>
          <t>I am a 28 year old graduate student, and have been dealing with brain cancer for the past three years. I live in a house with two others, who both moved in two years ago. Overall, it's been fine, but in recent months, my one roommate has developed habits that have really started to piss me off. 
For instance, in the past month, he has started burning incense, which I've never liked, but can ordinarily tolerate. However, I have to do a round of chemo this week. Consequently, my nausea has kicked in. There are certain smells that provoke the nausea, particularly non-food smells that I don't like. As I'm writing this, I feel like I'm about to throw up. I mentioned it and asked him to hold off this week, but apparently that meant nothing. I hate asking for special treatment, but I would love to be able to lay in bed without being on the verge of throwing up. 
Sorry to whine. I've got one more month living with this person, and I cannot wait for it to be over.</t>
        </is>
      </c>
      <c r="D2113" t="n">
        <v>22</v>
      </c>
      <c r="E2113" t="n">
        <v>12</v>
      </c>
      <c r="F2113">
        <f>HYPERLINK("https://www.reddit.com/r/cancer/comments/bixkmj/i_cant_stand_my_roommate/")</f>
        <v/>
      </c>
      <c r="G2113" t="inlineStr">
        <is>
          <t>2019-04-29 18:36:48</t>
        </is>
      </c>
      <c r="H2113" t="inlineStr"/>
    </row>
    <row r="2114">
      <c r="A2114" t="inlineStr">
        <is>
          <t>bixkub</t>
        </is>
      </c>
      <c r="B2114" t="inlineStr">
        <is>
          <t>Chemo and getting good grades</t>
        </is>
      </c>
      <c r="C2114" t="inlineStr">
        <is>
          <t>I was just diagnosed with Nasopharyngeal Carcinoma and am scheduled to begin chemo and radiotherapy in 3 weeks. Unfortunately, that’s also when my summer classes begin. I am taking Organic Chemistry 2 and Biochemistry to finish my premed requirements. Ideally, I would drop the classes and take them later, but I’m set to ship out for the Army in the fall, so the next opportunity I would have to take classes might not be for another 6 years, at which point I’ll likely have forgotten all the previous material.
There are 5 lectures and 2 labs a week. Besides working out I have no other obligations, I should have plenty of time to devote to studying. Does anyone have experience taking similar classes during treatment? Is it possible prioritize treatment and still do well in class?</t>
        </is>
      </c>
      <c r="D2114" t="n">
        <v>2</v>
      </c>
      <c r="E2114" t="n">
        <v>4</v>
      </c>
      <c r="F2114">
        <f>HYPERLINK("https://www.reddit.com/r/cancer/comments/bixkub/chemo_and_getting_good_grades/")</f>
        <v/>
      </c>
      <c r="G2114" t="inlineStr">
        <is>
          <t>2019-04-29 18:37:26</t>
        </is>
      </c>
      <c r="H2114" t="inlineStr"/>
    </row>
    <row r="2115">
      <c r="A2115" t="inlineStr">
        <is>
          <t>biz91e</t>
        </is>
      </c>
      <c r="B2115" t="inlineStr">
        <is>
          <t>Thankful that doctors respect patient autonomy in the United States.</t>
        </is>
      </c>
      <c r="C2115" t="inlineStr">
        <is>
          <t>My grandmother, after having survived breast cancer in her middle age, suffered a second cancer that metastasized to her liver, to which she ultimately succumbed. She had lost her husband (my grandfather), an endocrinologist, years earlier. Sadly, her doctors decided that knowing her own diagnosis would cause too much distress. This created a climate of secrecy and confusion that divided her adult children and, in my opinion, did far more harm than good. My other grandmother received a cancer diagnosis at around the same time, and this experience left me (a young boy) devastated. I'm now happily in medical school and leaning towards a career in hematology/oncology.
&amp;amp;#x200B;
This happened in Belgium about 20 years ago. In the US, patient autonomy is a long-established principle and this kind of tragedy hasn't happen in decades, as far as I know. Belgium has also since undergone a shift in understanding of medical ethics, but there are plenty of places where patients are simply expected to sit and accept the treatment they are 'lucky' to receive.</t>
        </is>
      </c>
      <c r="D2115" t="n">
        <v>7</v>
      </c>
      <c r="E2115" t="n">
        <v>4</v>
      </c>
      <c r="F2115">
        <f>HYPERLINK("https://www.reddit.com/r/cancer/comments/biz91e/thankful_that_doctors_respect_patient_autonomy_in/")</f>
        <v/>
      </c>
      <c r="G2115" t="inlineStr">
        <is>
          <t>2019-04-29 21:38:58</t>
        </is>
      </c>
      <c r="H2115" t="inlineStr"/>
    </row>
    <row r="2116">
      <c r="A2116" t="inlineStr">
        <is>
          <t>bizfjm</t>
        </is>
      </c>
      <c r="B2116" t="inlineStr">
        <is>
          <t>Survivor’s Guilt after finishing Chemotherapy</t>
        </is>
      </c>
      <c r="C2116" t="inlineStr">
        <is>
          <t>Hi everyone! I just stumbled on this thread and I’m honestly touched by all the supportive and loving words poured out by all of you. It’s nice to see that people keep such a positive attitude in the face of such an ugly illness. 
As for myself, I am a 19M and I am just about finished with my chemotherapy treatments; I have one more this week and I will be done with them. While I know I should be happy that I beat it, I can’t help but think about all the other children my age and younger that are going through the same thing and may never see the end of it. 
Specifically I saw one little girl who couldn’t have been older than 3 with 4 nurses around and just as many doctors, obviously trying to resolve some grave issue. I’m usually a pretty stoic guy, but that broke me down to tears as I walked to my hospital room (all of my chemo treatments were done inpatient). That image will never leave my mind and I can’t help but think of it every time anyone says anything along the lines of, “Almost done man, eh?”
I just feel so terrible that I got lucky and I’ve made a few questionable choices in my life and children like the little girl I saw have done nothing wrong to anyone have to go through such awful things before they know how to drive.  I always feel like it should be me in tat bed instead of me walking past. 
If anyone has any advice as to how I can cope with this guilt that I feel, please feel free to pm me. Any guidance is greatly appreciated
Thanks, 
Dylan</t>
        </is>
      </c>
      <c r="D2116" t="n">
        <v>42</v>
      </c>
      <c r="E2116" t="n">
        <v>12</v>
      </c>
      <c r="F2116">
        <f>HYPERLINK("https://www.reddit.com/r/cancer/comments/bizfjm/survivors_guilt_after_finishing_chemotherapy/")</f>
        <v/>
      </c>
      <c r="G2116" t="inlineStr">
        <is>
          <t>2019-04-29 22:01:23</t>
        </is>
      </c>
      <c r="H2116" t="inlineStr"/>
    </row>
    <row r="2117">
      <c r="A2117" t="inlineStr">
        <is>
          <t>bj08em</t>
        </is>
      </c>
      <c r="B2117" t="inlineStr">
        <is>
          <t>Bringing Peace to Children With Cancer, One Fish at a Time</t>
        </is>
      </c>
      <c r="C2117" t="inlineStr">
        <is>
          <t>Jake Klopfenstein, a 13-year-old boy in Florida, knows one that thing all kids with cancer have in common: the sheer boredom of sitting around waiting for something to happen — for yet another test, scan or a round of chemo.
After watching a dear childhood friend named Ryan die from cancer, the boy who loves to fish had an epiphany. What if he could teach children with cancer to fish?
"He would say to me, 'Mom, Ryan didn't even get to go fishing. He was going through such a horrible battle with cancer and he didn't even get to go fishing and enjoy the last couple of years of his life,''' Jake's mom, Toni, recounted recently as she watched her son and other kids cast their lines on a sunny Saturday.
Read More:  [https://kids.dearjulius.com/2019/04/bringing-peace-to-children-with-cancer-one-fish-at-a-time.html](https://kids.dearjulius.com/2019/04/bringing-peace-to-children-with-cancer-one-fish-at-a-time.html)</t>
        </is>
      </c>
      <c r="D2117" t="n">
        <v>10</v>
      </c>
      <c r="E2117" t="n">
        <v>0</v>
      </c>
      <c r="F2117">
        <f>HYPERLINK("https://www.reddit.com/r/cancer/comments/bj08em/bringing_peace_to_children_with_cancer_one_fish/")</f>
        <v/>
      </c>
      <c r="G2117" t="inlineStr">
        <is>
          <t>2019-04-29 23:48:36</t>
        </is>
      </c>
      <c r="H2117" t="inlineStr"/>
    </row>
    <row r="2118">
      <c r="A2118" t="inlineStr">
        <is>
          <t>bj1skm</t>
        </is>
      </c>
      <c r="B2118" t="inlineStr">
        <is>
          <t>Pre-checkup anxiety</t>
        </is>
      </c>
      <c r="C2118" t="inlineStr">
        <is>
          <t>Hi, 
I have been diagnosed with a very rare kind of cancer ( only 140 cases worldwide) when i was 17 (in 2016) and underwent several surgeries after I relapsed and the cancer came back. 
My last surgery happened a year ago and the tissue they took out came back negative so it actually wasn't cancer but they still removed it.
I get a check up every 2 months (1 PET scan every 6 months) and on thursday it will be the day.
I am very anxious about it bc you don't get the results right away and i've been feeling a pain in my torso that i can't explain for several weeks now. 
Do you have any tipps on how to put up with this pre-check up anxiety?</t>
        </is>
      </c>
      <c r="D2118" t="n">
        <v>8</v>
      </c>
      <c r="E2118" t="n">
        <v>3</v>
      </c>
      <c r="F2118">
        <f>HYPERLINK("https://www.reddit.com/r/cancer/comments/bj1skm/precheckup_anxiety/")</f>
        <v/>
      </c>
      <c r="G2118" t="inlineStr">
        <is>
          <t>2019-04-30 03:38:39</t>
        </is>
      </c>
      <c r="H2118" t="inlineStr"/>
    </row>
    <row r="2119">
      <c r="A2119" t="inlineStr">
        <is>
          <t>bj38kr</t>
        </is>
      </c>
      <c r="B2119" t="inlineStr">
        <is>
          <t>Oesophagus cancer. Radiation and chemo complete. No more signs of cancer. Yet surgery anyway?</t>
        </is>
      </c>
      <c r="C2119" t="inlineStr">
        <is>
          <t xml:space="preserve"> I have a family member who at the age of 41 was diagnosed with oesophagus cancer at the start of this year. The diagnosis came as a shock given his relatively young age, there's no family history of cancer, he's never smoked, doesn't drink much, isn't overweight and exercises daily and is very fit.
Fortunately the cancer was detected very early (stage 1) as he had difficulty swallowing food (and I understand it's unusual for oesophagus cancer to have symptoms in the early stages). He was sent for 2 endoscopies with biopsies (which did not show malignancy), a CT scan (which was also fine) and a PET scan (which revealed something which they thought could be inflammation). Only after a 3rd endoscopy plus reconsideration of the PET scan did they finally diagnose adenocarcinoma in the distal oesophagus.
The treatment plan was 5 small rounds of chemo and 25 sessions of radiotherapy, followed by surgery to remove 4 inches of the oesophagus. So far the chemo and radiotherapy have been completed, and the surgery is scheduled to happen in a couple of weeks. Within 2 weeks of the chemo/radiation starting, the difficulties swallowing were fully resolved. And then just this week, another CT scan and endoscopy were done and there were no longer any visible signs of cancer. So the chemo/radiation seem to have been very effective.
Yet despite this, the doctors are saying that the surgery is still essential. This is really all about prevention of a reoccurrence, and surgery was always the plan (regardless of how effective the chemo/radiation were) as this apparently gives the best long term results, even if there are no longer any signs of cancer.
I'm the kind of person who is pretty trusting of the medical profession and particularly of medical science in general. And if the oncologists and surgeon all say that this is the best course of treatment, then I'm certainly not going to argue. They're the experts, they've dedicated their entire working lives to treating exactly this kind of cancer, and we live in a country that has pretty good medical care, so there's no reason to doubt their advice. And my understanding is that they only recommend surgery for the most treatable instances of cancer (so the fact that surgery is an option is actually a good sign).
But a small part of me wonders: if this same diagnosis happened in, say, the US, would the treatment plan be the same? Is the consensus of the American medical community also that the best treatment plan is to go through chemo/radiation and then surgery? Or is it possible that common US practice is to do only chemo/radiation, and then assess whether the surgery is still required (based on follow-up CT scans, endoscopies etc.)? How about in other countries that have excellent medical care?
Again, I'm 99.99% sure that going through with the surgery is the right course of action. But I just can't help but wonder if the treatment would be different elsewhere. According to the doctors, years ago they used to go straight to surgery, but in recent years chemo/radiation first and then surgery is what is thought to give the best long-term results. Is this the consensus in other countries as well?
Any insight into whether this treatment plan would be the same elsewhere would certainly be appreciated. Thanks very much for your time.</t>
        </is>
      </c>
      <c r="D2119" t="n">
        <v>1</v>
      </c>
      <c r="E2119" t="n">
        <v>0</v>
      </c>
      <c r="F2119">
        <f>HYPERLINK("https://www.reddit.com/r/cancer/comments/bj38kr/oesophagus_cancer_radiation_and_chemo_complete_no/")</f>
        <v/>
      </c>
      <c r="G2119" t="inlineStr">
        <is>
          <t>2019-04-30 06:21:48</t>
        </is>
      </c>
      <c r="H2119" t="inlineStr"/>
    </row>
    <row r="2120">
      <c r="A2120" t="inlineStr">
        <is>
          <t>bj41wk</t>
        </is>
      </c>
      <c r="B2120" t="inlineStr">
        <is>
          <t>Best thing for a cancer patient l?</t>
        </is>
      </c>
      <c r="C2120" t="inlineStr">
        <is>
          <t>Today my mom was diagnosed with stage 3 Brest cancer. As a son is there anything I can do?</t>
        </is>
      </c>
      <c r="D2120" t="n">
        <v>9</v>
      </c>
      <c r="E2120" t="n">
        <v>21</v>
      </c>
      <c r="F2120">
        <f>HYPERLINK("https://www.reddit.com/r/cancer/comments/bj41wk/best_thing_for_a_cancer_patient_l/")</f>
        <v/>
      </c>
      <c r="G2120" t="inlineStr">
        <is>
          <t>2019-04-30 07:37:30</t>
        </is>
      </c>
      <c r="H2120" t="inlineStr"/>
    </row>
    <row r="2121">
      <c r="A2121" t="inlineStr">
        <is>
          <t>bj49zu</t>
        </is>
      </c>
      <c r="B2121" t="inlineStr">
        <is>
          <t>Is there a way to fight medicare to get them to pay for Erbitux inpatient?</t>
        </is>
      </c>
      <c r="C2121" t="inlineStr">
        <is>
          <t>My elderly father in inpatient due to a large squamous mass on his jaw. he just started radiation and although the doctor also wants erbitux weekly, he cant start because apparently medicare only covers that as an OP drug. He may be IP for a few more weeks and it is enraging that he cant get the lifesaving drug he needs. This is in PA if that matters</t>
        </is>
      </c>
      <c r="D2121" t="n">
        <v>12</v>
      </c>
      <c r="E2121" t="n">
        <v>7</v>
      </c>
      <c r="F2121">
        <f>HYPERLINK("https://www.reddit.com/r/cancer/comments/bj49zu/is_there_a_way_to_fight_medicare_to_get_them_to/")</f>
        <v/>
      </c>
      <c r="G2121" t="inlineStr">
        <is>
          <t>2019-04-30 07:57:40</t>
        </is>
      </c>
      <c r="H2121" t="inlineStr"/>
    </row>
    <row r="2122">
      <c r="A2122" t="inlineStr">
        <is>
          <t>bj5nww</t>
        </is>
      </c>
      <c r="B2122" t="inlineStr">
        <is>
          <t>Vagina Too Tight Now</t>
        </is>
      </c>
      <c r="C2122" t="inlineStr">
        <is>
          <t>I’m 17 months into remission from non-Hodgkin lymphoma in my inguinal region (pelvis). I had 14 surgeries during that time along with chemotherapy and radiation (discontinued early due to severe reaction). I’m married and my husband and I never had problems having sex before. In fact, we were the rough, kinky type of people. Now, it takes me so long to get wet enough to even try penetration and then my vagina seems way too tight and it feels like I’m tearing when he tries penetration. Any recommendations on how to loosen up?</t>
        </is>
      </c>
      <c r="D2122" t="n">
        <v>4</v>
      </c>
      <c r="E2122" t="n">
        <v>13</v>
      </c>
      <c r="F2122">
        <f>HYPERLINK("https://www.reddit.com/r/cancer/comments/bj5nww/vagina_too_tight_now/")</f>
        <v/>
      </c>
      <c r="G2122" t="inlineStr">
        <is>
          <t>2019-04-30 09:56:28</t>
        </is>
      </c>
      <c r="H2122" t="inlineStr"/>
    </row>
    <row r="2123">
      <c r="A2123" t="inlineStr">
        <is>
          <t>bj6btg</t>
        </is>
      </c>
      <c r="B2123" t="inlineStr">
        <is>
          <t>Anyone have pericardial window surgery and drain here?</t>
        </is>
      </c>
      <c r="C2123" t="inlineStr">
        <is>
          <t>They want mine down to 30cc before they pull it. I've had it in 2.5 weeks and it's down to about 80cc. I am going crazy. It feels like it'll never slow up.</t>
        </is>
      </c>
      <c r="D2123" t="n">
        <v>8</v>
      </c>
      <c r="E2123" t="n">
        <v>3</v>
      </c>
      <c r="F2123">
        <f>HYPERLINK("https://www.reddit.com/r/cancer/comments/bj6btg/anyone_have_pericardial_window_surgery_and_drain/")</f>
        <v/>
      </c>
      <c r="G2123" t="inlineStr">
        <is>
          <t>2019-04-30 10:52:03</t>
        </is>
      </c>
      <c r="H2123" t="inlineStr"/>
    </row>
    <row r="2124">
      <c r="A2124" t="inlineStr">
        <is>
          <t>bj6m5k</t>
        </is>
      </c>
      <c r="B2124" t="inlineStr">
        <is>
          <t>Mother’s Day Gifts for someone battling cancer</t>
        </is>
      </c>
      <c r="C2124" t="inlineStr">
        <is>
          <t>So my mom was diagnosed with stage 4 bone and lung cancer about 2 months ago now (much more in her bones than in her lungs). She’s still pretty okay for the most part, but she can’t be up and about too much before her legs start hurting and things like lifting her arms (a lot of the cancer is in her shoulder) are becoming more and more difficult. She has always been someone that places a lot of importance on how she looks, so when she had to shave her head she took it really hard and now believes she looks like a dude. I know she wants to get her ears pierced, so we’ll be getting her nice earrings, but does anyone have any ideas on what else might help?
She doesn’t wear a lot of jewelry and basically wears t-shirts everyday. Any time she’s not asleep she’s just playing on her phone. I have a sister who is flying in from Arkansas this week and we’d really like to do something or get her something special that takes her minds off the negatives a little. Especially considering there’s a very real possibility that this could be her last mother’s day with us. 
Also, she lives with my grandma who takes care of her and my great-grandma (basically she’s a saint). Just as a bonus if anyone has any ideas of special things to do for her for Mother’s Day as well I’d be delighted to hear them. They both deserve the world right now.</t>
        </is>
      </c>
      <c r="D2124" t="n">
        <v>4</v>
      </c>
      <c r="E2124" t="n">
        <v>4</v>
      </c>
      <c r="F2124">
        <f>HYPERLINK("https://www.reddit.com/r/cancer/comments/bj6m5k/mothers_day_gifts_for_someone_battling_cancer/")</f>
        <v/>
      </c>
      <c r="G2124" t="inlineStr">
        <is>
          <t>2019-04-30 11:16:00</t>
        </is>
      </c>
      <c r="H2124" t="inlineStr"/>
    </row>
    <row r="2125">
      <c r="A2125" t="inlineStr">
        <is>
          <t>bj7a4j</t>
        </is>
      </c>
      <c r="B2125" t="inlineStr">
        <is>
          <t>My Father</t>
        </is>
      </c>
      <c r="C2125" t="inlineStr">
        <is>
          <t>In August we learned my father had cancer on his tongue. It was not supposed to be a big deal. He had his surgery and we were waiting to start chemo and radiation. In November we learned that it had come back already and that it was really aggressive. It would take a miracle to save it, but we held onto the hope. After finishing chemo we had a CT scan in late March that showed it had come back on his neck and spread to his lungs. We could not do surgery, so we tried Keytruda. If it worked we were supposed to have 6 months to a year and a half. If it worked really well, they said it could let him live indefinitely. If it didn't work at all, they said we would have 2-4 months. On Sunday, April 28, he was weak and had not been sleeping well. We called the doctor and they brought him into the hospital. The doctors said this was a sign that the Keytruda was not working, and that it would be best to stop all treatment and have him in hospice care, where he can live comfortably for the rest of his time. The doctors believe we have a few days to a couple of weeks left. One of the hardest parts of this process is going by his room on my way upstairs and realizing I will never see him in there again. It hurts so much to have to lose him at such a young age, and I have so much that I want to do with him. But the way he was the past few months was not living. He was stuck in his room all day watching TV alone. He could not eat, talk, or get a good nights sleep.  It helps to know that he will be at rest, but it does not make it any easier. I am terrified of coming home and receiving the news, but I am also glad he won't be suffering anymore.</t>
        </is>
      </c>
      <c r="D2125" t="n">
        <v>38</v>
      </c>
      <c r="E2125" t="n">
        <v>14</v>
      </c>
      <c r="F2125">
        <f>HYPERLINK("https://www.reddit.com/r/cancer/comments/bj7a4j/my_father/")</f>
        <v/>
      </c>
      <c r="G2125" t="inlineStr">
        <is>
          <t>2019-04-30 12:13:02</t>
        </is>
      </c>
      <c r="H2125" t="inlineStr"/>
    </row>
    <row r="2126">
      <c r="A2126" t="inlineStr">
        <is>
          <t>bj9hxj</t>
        </is>
      </c>
      <c r="B2126" t="inlineStr">
        <is>
          <t>Stepsister has Stage 4 breast cancer</t>
        </is>
      </c>
      <c r="C2126" t="inlineStr">
        <is>
          <t>I'm just...not sure what to do. She only found out that breast cancer was a possibility two weeks ago, and now her doctors are saying she's got two years to live. 
I don't know how to help. She's an incredible person, but we're not super close -- our parents married when I was 9 and she was 28. We live near one another, but we only see each other over the holidays. Some of her kids are so young. She's going to die before my stepdad. What if this kills him?
What am I supposed to do? Bake a casserole? I'm terrible at babysitting, I'm terrible at emotional support, I've got no money. I don't know how to fix this. I don't want to deal with this.</t>
        </is>
      </c>
      <c r="D2126" t="n">
        <v>9</v>
      </c>
      <c r="E2126" t="n">
        <v>6</v>
      </c>
      <c r="F2126">
        <f>HYPERLINK("https://www.reddit.com/r/cancer/comments/bj9hxj/stepsister_has_stage_4_breast_cancer/")</f>
        <v/>
      </c>
      <c r="G2126" t="inlineStr">
        <is>
          <t>2019-04-30 15:16:26</t>
        </is>
      </c>
      <c r="H2126" t="inlineStr"/>
    </row>
    <row r="2127">
      <c r="A2127" t="inlineStr">
        <is>
          <t>bj9i65</t>
        </is>
      </c>
      <c r="B2127" t="inlineStr">
        <is>
          <t>I need help</t>
        </is>
      </c>
      <c r="C2127" t="inlineStr">
        <is>
          <t>My mom was diagnosed with non-small lung cancer about two years ago which has now spread to her cerebrospinal fluid. But the doctor said they were two very small cells which they found. But ever since then my mom can't seem to remember anything, is constantly making up false memories without coherence, sometimes seems lost, and sometimes hallucinates and talks by herself. I've researched about people who have this disease (leptomeningeal) and they don't seem to match what my mom has. The doctor keeps reassuring us that this is all because of the cancer, so he doesn't order any other tests. I have a feeling there's something else wrong with my mom that they're ignoring. All I want for her is to be conscious again.</t>
        </is>
      </c>
      <c r="D2127" t="n">
        <v>7</v>
      </c>
      <c r="E2127" t="n">
        <v>5</v>
      </c>
      <c r="F2127">
        <f>HYPERLINK("https://www.reddit.com/r/cancer/comments/bj9i65/i_need_help/")</f>
        <v/>
      </c>
      <c r="G2127" t="inlineStr">
        <is>
          <t>2019-04-30 15:17:03</t>
        </is>
      </c>
      <c r="H2127" t="inlineStr"/>
    </row>
    <row r="2128">
      <c r="A2128" t="inlineStr">
        <is>
          <t>bj9k9l</t>
        </is>
      </c>
      <c r="B2128" t="inlineStr">
        <is>
          <t>losing my friend &amp;amp; helping out</t>
        </is>
      </c>
      <c r="C2128" t="inlineStr">
        <is>
          <t>In 2017, I lost my best friend to cancer. Ever since, I have been wanting to do something in his honour. I miss him like crazy and things have definitely not been easy for me since I lost him, but there's people who have had a harder time.  
I decided to get in on the St. Jude Play Live and set up my own campaign.  
If you feel like it, please donate to this, it would honestly mean the world to me. If you can't, please still share this.  
[https://tiltify.com/@seliq/selistjude](https://tiltify.com/@seliq/selistjude)</t>
        </is>
      </c>
      <c r="D2128" t="n">
        <v>5</v>
      </c>
      <c r="E2128" t="n">
        <v>5</v>
      </c>
      <c r="F2128">
        <f>HYPERLINK("https://www.reddit.com/r/cancer/comments/bj9k9l/losing_my_friend_helping_out/")</f>
        <v/>
      </c>
      <c r="G2128" t="inlineStr">
        <is>
          <t>2019-04-30 15:21:41</t>
        </is>
      </c>
      <c r="H2128" t="inlineStr"/>
    </row>
    <row r="2129">
      <c r="A2129" t="inlineStr">
        <is>
          <t>bj9vrn</t>
        </is>
      </c>
      <c r="B2129" t="inlineStr">
        <is>
          <t>Mom needs chemo but doesn't have a spleen , breast cancer onco score 30</t>
        </is>
      </c>
      <c r="C2129" t="inlineStr">
        <is>
          <t>My mom has recovered from a lumpectomy for breast cancer,  she is 61, now their saying she DOES need chemotherapy... but she doesn't have a spleen,  we are meeting with the oncologist Friday,  and I'm wondering how likely it is that the doctor will say to get chemotherapy anyways, or not because of health risks with no spleen.... her score on the onco test was a 30... can anyone tell me anything? We are really stressed out, my mom is really upset and I really am at a loss as to how to help...</t>
        </is>
      </c>
      <c r="D2129" t="n">
        <v>2</v>
      </c>
      <c r="E2129" t="n">
        <v>2</v>
      </c>
      <c r="F2129">
        <f>HYPERLINK("https://www.reddit.com/r/cancer/comments/bj9vrn/mom_needs_chemo_but_doesnt_have_a_spleen_breast/")</f>
        <v/>
      </c>
      <c r="G2129" t="inlineStr">
        <is>
          <t>2019-04-30 15:50:01</t>
        </is>
      </c>
      <c r="H2129" t="inlineStr"/>
    </row>
    <row r="2130">
      <c r="A2130" t="inlineStr">
        <is>
          <t>bjayo5</t>
        </is>
      </c>
      <c r="B2130" t="inlineStr">
        <is>
          <t>Cancer related PTSD?</t>
        </is>
      </c>
      <c r="C2130" t="inlineStr">
        <is>
          <t>Hi everyone,
I've been treated for colon cancer for the past 3 years (I'm 20 now) and I stared to realize a change in my behaviour. I get angry really fast and can't quite control my feelings. I also get angry over little things and make an elephant out of a fly.
I have come to the idea that this might be a symptom of cancer related PTSD and wanted to know if anyone has extended knowledge about the connection of PTSD and diseases like cancer.
I have read that PTSD can only be treated after the passing of the traumatic experience, as soon as the patient is out of danger so to say. Since i have to get check ups every 2 months, my trauma never really ends, can it still be treated?</t>
        </is>
      </c>
      <c r="D2130" t="n">
        <v>12</v>
      </c>
      <c r="E2130" t="n">
        <v>12</v>
      </c>
      <c r="F2130">
        <f>HYPERLINK("https://www.reddit.com/r/cancer/comments/bjayo5/cancer_related_ptsd/")</f>
        <v/>
      </c>
      <c r="G2130" t="inlineStr">
        <is>
          <t>2019-04-30 17:34:58</t>
        </is>
      </c>
      <c r="H2130" t="inlineStr"/>
    </row>
    <row r="2131">
      <c r="A2131" t="inlineStr">
        <is>
          <t>bjb0qx</t>
        </is>
      </c>
      <c r="B2131" t="inlineStr">
        <is>
          <t>Chemotherapy induced peripheral neuropathy</t>
        </is>
      </c>
      <c r="C2131" t="inlineStr">
        <is>
          <t>Hi there!
I am design student from Brisbane (Australia) and I recently started an honours project on peripheral neuropathy, in particular chemotherapy induced peripheral neuropathy. A number of my family members have suffered for many years with neuropathy as a result of the chemotherapy, and I have witnessed first hand how debilitating and painful it can be. Many patients not even being warned of the ramifications and long term complications. Reading through a lot of your experiences has been really eye opening and almost overwhelming. Being a design student I wanted to have a go at not only helping my family but such a wide and greatly effected community.
I would absolutley love to talk to anyone who is up a chat or able to give me a bit more information on the topic on their personal experiences. Simply on how your life has been impacted by neuropathy and daily struggles you face. I have also set up a quick survey to get a bit more feedback. But if anyone is able to send me in the right direction or help me out I would great appreciate it.
[https://www.surveymonkey.com/r/YDPK8LY](https://www.surveymonkey.com/r/YDPK8LY) (The survey)
[alex.studentlearning@gmail.com](mailto:alex.studentlearning@gmail.com)
&amp;amp;#x200B;
I hope everyone has a wonderful week!</t>
        </is>
      </c>
      <c r="D2131" t="n">
        <v>1</v>
      </c>
      <c r="E2131" t="n">
        <v>0</v>
      </c>
      <c r="F2131">
        <f>HYPERLINK("https://www.reddit.com/r/cancer/comments/bjb0qx/chemotherapy_induced_peripheral_neuropathy/")</f>
        <v/>
      </c>
      <c r="G2131" t="inlineStr">
        <is>
          <t>2019-04-30 17:40:48</t>
        </is>
      </c>
      <c r="H2131" t="inlineStr"/>
    </row>
    <row r="2132">
      <c r="A2132" t="inlineStr">
        <is>
          <t>bjb8xl</t>
        </is>
      </c>
      <c r="B2132" t="inlineStr">
        <is>
          <t>Scan Results</t>
        </is>
      </c>
      <c r="C2132" t="inlineStr">
        <is>
          <t>Hi everyone! Hope you're all doing well.
My father was diagnosed with Stage III colorectal cancer last year, he underwent surgery and chemotherapy which ended the first week of January. 
His first CT scan showed some nodules in his lungs which werent as alarming as the cancer in his colon. 
His second CT showed the nodules in his lung get smaller in October, this was strange as the doctor could not tell if it was cancer since it was too small, fo the point one actually dissapeared.
He had a third CT last week, this showed a few more nodules, as well as the original ones grew.
A PET scan could not show anything as they were so small, and his blood doesnt show any elevation in CEA. 
right now were all a little shaken, especially if it's a possibility his colon cancer may have gone to his lungs.
What is the possibility this could not be the spread of his cancer?
Have any of you shared similar stories? I'd like to hear and hope for the best to you all.
Right now it seems bleak, as we wait for 2 months to get another scan.
Wish you the best and thank you!</t>
        </is>
      </c>
      <c r="D2132" t="n">
        <v>2</v>
      </c>
      <c r="E2132" t="n">
        <v>2</v>
      </c>
      <c r="F2132">
        <f>HYPERLINK("https://www.reddit.com/r/cancer/comments/bjb8xl/scan_results/")</f>
        <v/>
      </c>
      <c r="G2132" t="inlineStr">
        <is>
          <t>2019-04-30 18:03:21</t>
        </is>
      </c>
      <c r="H2132" t="inlineStr"/>
    </row>
    <row r="2133">
      <c r="A2133" t="inlineStr">
        <is>
          <t>bjbb79</t>
        </is>
      </c>
      <c r="B2133" t="inlineStr">
        <is>
          <t>Initial appointment for testing</t>
        </is>
      </c>
      <c r="C2133" t="inlineStr">
        <is>
          <t>Scheduled my first appointment  at a free clinic to determine what steps I need to take in figuring out if I have testicular cancer or not, have had lump for 2 years, it's padt time and need to know what I'm dealing with. Not really sure where to start, any advice  is greatly appreciated</t>
        </is>
      </c>
      <c r="D2133" t="n">
        <v>1</v>
      </c>
      <c r="E2133" t="n">
        <v>3</v>
      </c>
      <c r="F2133">
        <f>HYPERLINK("https://www.reddit.com/r/cancer/comments/bjbb79/initial_appointment_for_testing/")</f>
        <v/>
      </c>
      <c r="G2133" t="inlineStr">
        <is>
          <t>2019-04-30 18:09:36</t>
        </is>
      </c>
      <c r="H2133" t="inlineStr"/>
    </row>
    <row r="2134">
      <c r="A2134" t="inlineStr">
        <is>
          <t>bjd2j6</t>
        </is>
      </c>
      <c r="B2134" t="inlineStr">
        <is>
          <t>Ependymoma</t>
        </is>
      </c>
      <c r="C2134" t="inlineStr">
        <is>
          <t>I have been recently having some problem with kidney stones. For those who have dealt with them before, I was having the usual symptoms, and even passed 2 stones. Well during my diagnosis procedure, an irregularity was found at the base of my spine. They assured me it was fine and they would further examine it just to make sure 
Yesterday as I'm on my way to work my DR called me. 
I have a tumor at the base of my spine and am scheduled for a biopsy in 2 weeks..
I'm at a loss. I've never been seriously ill or contemplated my own mortality. I was wondering if anyone had advice, maybe people who have gone through a similar experience or know someone. I have no idea how to deal with this or even rationalize keeping my daily routine.</t>
        </is>
      </c>
      <c r="D2134" t="n">
        <v>1</v>
      </c>
      <c r="E2134" t="n">
        <v>0</v>
      </c>
      <c r="F2134">
        <f>HYPERLINK("https://www.reddit.com/r/cancer/comments/bjd2j6/ependymoma/")</f>
        <v/>
      </c>
      <c r="G2134" t="inlineStr">
        <is>
          <t>2019-04-30 21:21:15</t>
        </is>
      </c>
      <c r="H2134" t="inlineStr"/>
    </row>
    <row r="2135">
      <c r="A2135" t="inlineStr">
        <is>
          <t>bjdbyy</t>
        </is>
      </c>
      <c r="B2135" t="inlineStr">
        <is>
          <t>Screw the medical bills.</t>
        </is>
      </c>
      <c r="C2135" t="inlineStr">
        <is>
          <t>Does anyone have any advice for dealing with these? I’m so anxiety ridden about them that I had to be medicated today to even think about taking a breath. 
All of the collection companies won’t work with me and one has threatened to garnish wages. I KNOW this isn’t the end of the world but, it’s starting to feel that way.
I guess I want to hear how others dealt with it and how your experience maybe even was with legal processes (debt settlement, bankruptcy, etc.)? I think I’d feel better knowing I am not the only one who is struggling and hearing how to just approach this.</t>
        </is>
      </c>
      <c r="D2135" t="n">
        <v>10</v>
      </c>
      <c r="E2135" t="n">
        <v>16</v>
      </c>
      <c r="F2135">
        <f>HYPERLINK("https://www.reddit.com/r/cancer/comments/bjdbyy/screw_the_medical_bills/")</f>
        <v/>
      </c>
      <c r="G2135" t="inlineStr">
        <is>
          <t>2019-04-30 21:55:11</t>
        </is>
      </c>
      <c r="H2135" t="inlineStr"/>
    </row>
    <row r="2136">
      <c r="A2136" t="inlineStr">
        <is>
          <t>bjegg8</t>
        </is>
      </c>
      <c r="B2136" t="inlineStr">
        <is>
          <t>Hypersensitivity reaction to chemo?</t>
        </is>
      </c>
      <c r="C2136" t="inlineStr">
        <is>
          <t>My mother has been taking chemo for the past 14 months now for her now fourth stage pancreatic cancer. This January we started with GEMOX, and things were going fine until in her sixth session in the end of March, she had a hypersensitivity reaction to Oxaliplatin, just minutes after it started. 
This included severe pain in the stomach - she says it's more than she's ever experienced, sweating, body feeling hot, feeling light headed. The docs immediately paused it, gave her a couple of painkillers, and resumed the chemo after an hour. It went smoothly after that.
Yesterday she started with her second GEMOX cycle, and had the same reaction to Oxaliplatin, with the same actions following, and it again ended smoothly.
Now even the doctor is evaluating whether we should continue with this medicine, or try something else.
The sad part is that she was responding very well to GEMOX.
Between Dec and April, her PET scans showed that a new lesion that was spotted in the lymph nodes had almost disappeared, and the one in the Pancreas had significantly reduced in size.
&amp;amp;#x200B;
Has anybody experienced such hypersensitivity reactions before? How did you and your medical team deal with it?</t>
        </is>
      </c>
      <c r="D2136" t="n">
        <v>2</v>
      </c>
      <c r="E2136" t="n">
        <v>1</v>
      </c>
      <c r="F2136">
        <f>HYPERLINK("https://www.reddit.com/r/cancer/comments/bjegg8/hypersensitivity_reaction_to_chemo/")</f>
        <v/>
      </c>
      <c r="G2136" t="inlineStr">
        <is>
          <t>2019-05-01 00:39:22</t>
        </is>
      </c>
      <c r="H2136" t="inlineStr"/>
    </row>
    <row r="2137">
      <c r="A2137" t="inlineStr">
        <is>
          <t>bjew66</t>
        </is>
      </c>
      <c r="B2137" t="inlineStr">
        <is>
          <t>Can I bring my brother to the cinema two days after he has started radiation treatment?</t>
        </is>
      </c>
      <c r="C2137" t="inlineStr">
        <is>
          <t>Hello, I've preordered tickets to a movie we wanted to see, but he was diagnosed with cancer (stage 2.5 brain tumor) a few days ago. He starts radiation treatment sometime next week, and the movie we were going to see starts two days after.
Should I cancel the pre-ordered tickets now, should I wait and see, or will it be okay? 
Another thing I wonder about is if there are some pragmatic things for him to do before the treatment beings. We've spoken to him about perhaps freezing his seed in case he goes sterile from the treatment, and wants children in the future. I've been trying to find more information online, but it's all just a gigantic clusterfuck.</t>
        </is>
      </c>
      <c r="D2137" t="n">
        <v>1</v>
      </c>
      <c r="E2137" t="n">
        <v>5</v>
      </c>
      <c r="F2137">
        <f>HYPERLINK("https://www.reddit.com/r/cancer/comments/bjew66/can_i_bring_my_brother_to_the_cinema_two_days/")</f>
        <v/>
      </c>
      <c r="G2137" t="inlineStr">
        <is>
          <t>2019-05-01 01:53:03</t>
        </is>
      </c>
      <c r="H2137" t="inlineStr"/>
    </row>
    <row r="2138">
      <c r="A2138" t="inlineStr">
        <is>
          <t>bjghwh</t>
        </is>
      </c>
      <c r="B2138" t="inlineStr">
        <is>
          <t>A huge shout out to my care team at Christchurch Hopsital, NZ.</t>
        </is>
      </c>
      <c r="C2138" t="inlineStr">
        <is>
          <t>From A&amp;amp;E to wards, scans, ultrasounds, biopsies and now oncology, me care team has been through a lot.  2011 Earthquakes resulted in many deaths and a huge number of injuries, most of which went through the facility. More recently there was the mosque shooting and now they have me.
The professionalism, compassion and understanding from everyone has softened the blow to knowing I have terminal cancer. I start palliative chemo on Friday, PICC line was inserted today and the education from all was phenomenal.  They have made us feel welcome and go out of their way to help. I no longer see the hospital as a place of pain and sorrow but if love and compassion from amazing people.
It's made all the better as I see doctors and nurses genuinely enjoying working with each other and putting myself and my wife at ease.  Dare I say it's almost fun, and I love sharing jokes with them.
Thank you, you're making a very difficult journey feel easier and less daunting.</t>
        </is>
      </c>
      <c r="D2138" t="n">
        <v>49</v>
      </c>
      <c r="E2138" t="n">
        <v>2</v>
      </c>
      <c r="F2138">
        <f>HYPERLINK("https://www.reddit.com/r/cancer/comments/bjghwh/a_huge_shout_out_to_my_care_team_at_christchurch/")</f>
        <v/>
      </c>
      <c r="G2138" t="inlineStr">
        <is>
          <t>2019-05-01 05:28:02</t>
        </is>
      </c>
      <c r="H2138" t="inlineStr"/>
    </row>
    <row r="2139">
      <c r="A2139" t="inlineStr">
        <is>
          <t>bjh8hy</t>
        </is>
      </c>
      <c r="B2139" t="inlineStr">
        <is>
          <t>The impact on relationships</t>
        </is>
      </c>
      <c r="C2139" t="inlineStr">
        <is>
          <t>27m, thymoma stage 4
For 6 of the 7 years I've had cancer, I didn't have the guts to talk to people about it. Last year I made a decision to be more open about it and it was such a huge burden off my shoulders.
During those 6 years I was very insular and tried to minimise socialising. I'm sure I would've come off as a cold, unkind person to my colleagues and friends. I also think that I would've come off as not a genuine person. I'm in the relationship but with something held back. I just didn't have the mental capacity/wherewithal to face people, to be jovial, to maintain normal social interactions.
Has anyone else experienced something like this? How do I go about fixing these sub optimal relationships? 
(relationships in general, not necessarily romantic relationships)</t>
        </is>
      </c>
      <c r="D2139" t="n">
        <v>6</v>
      </c>
      <c r="E2139" t="n">
        <v>2</v>
      </c>
      <c r="F2139">
        <f>HYPERLINK("https://www.reddit.com/r/cancer/comments/bjh8hy/the_impact_on_relationships/")</f>
        <v/>
      </c>
      <c r="G2139" t="inlineStr">
        <is>
          <t>2019-05-01 06:44:52</t>
        </is>
      </c>
      <c r="H2139" t="inlineStr"/>
    </row>
    <row r="2140">
      <c r="A2140" t="inlineStr">
        <is>
          <t>bjhhuy</t>
        </is>
      </c>
      <c r="B2140" t="inlineStr">
        <is>
          <t>How to support someone undergoing chemotherapy?</t>
        </is>
      </c>
      <c r="C2140" t="inlineStr">
        <is>
          <t>My father recently got diagnosed with stage 3 esophageal cancer and now started chemotherapy. He was strong and doing well after the first couple of days after his first session, but it really took a turn for the worse and he's already loosing a lot of weight. On a side note, my dad and I have a very stoic way of communicating with each other, rarely conveying emotions or wishes. I feel quite helpless, since I know that he suffers a great deal. I was hoping to get some useful recommendations, based on first- or second-hand experience, on what to do regarding the following:
* **What kinds of food to prepare?** Any dishes that people undergoing chemotherapy feel less repulsed by, or maybe even slightly enjoyable?
* **How to help fight boredom and rumination?** Although my father has always been quite calm and not overly active, somehow I think it is a bad idea for him to dwell in his home all the time while undergoing chemo. At the same time, I don't want to make him uncomfortable by forcing things on him. Any ideas of ways to keep him busy without being patronizing?
* **How to build hope and optimism?** Does anyone have some hands-on advise on how I can bring some positivity and optimism into his life at this point? I worry that overdoing it would have a counterproductive effect.
I am of course aware  that there are large individual differences in how people want to be treated and what works best for each person, but nevertheless, I would be thankful to draw from your experiences. 
Lastly, I want to wish everyone else undergoing chemotherapy and cancer treatment in general all the strength and courage in the world. 
&amp;amp;#x200B;
Thank you</t>
        </is>
      </c>
      <c r="D2140" t="n">
        <v>8</v>
      </c>
      <c r="E2140" t="n">
        <v>15</v>
      </c>
      <c r="F2140">
        <f>HYPERLINK("https://www.reddit.com/r/cancer/comments/bjhhuy/how_to_support_someone_undergoing_chemotherapy/")</f>
        <v/>
      </c>
      <c r="G2140" t="inlineStr">
        <is>
          <t>2019-05-01 07:09:52</t>
        </is>
      </c>
      <c r="H2140" t="inlineStr"/>
    </row>
    <row r="2141">
      <c r="A2141" t="inlineStr">
        <is>
          <t>bjhows</t>
        </is>
      </c>
      <c r="B2141" t="inlineStr">
        <is>
          <t>Filtered mask for after transplant.</t>
        </is>
      </c>
      <c r="C2141" t="inlineStr">
        <is>
          <t>My best friend was diagnosed with hodgkin's lymphoma for the second time and is gearing up for his bone marrow transplant. After his procedure the doctors have told him he has to go out of his way to avoid dust or any other particles that might carry germs and cause him to get sick. I was wondering if there was some sort of mask I could get him so that he might still enjoy going outside from time to time and not feel so much like a prisoner. Anyone have any experience with this?</t>
        </is>
      </c>
      <c r="D2141" t="n">
        <v>2</v>
      </c>
      <c r="E2141" t="n">
        <v>5</v>
      </c>
      <c r="F2141">
        <f>HYPERLINK("https://www.reddit.com/r/cancer/comments/bjhows/filtered_mask_for_after_transplant/")</f>
        <v/>
      </c>
      <c r="G2141" t="inlineStr">
        <is>
          <t>2019-05-01 07:27:43</t>
        </is>
      </c>
      <c r="H2141" t="inlineStr"/>
    </row>
    <row r="2142">
      <c r="A2142" t="inlineStr">
        <is>
          <t>bjhu5t</t>
        </is>
      </c>
      <c r="B2142" t="inlineStr">
        <is>
          <t>Long history of gastrointestinal problems</t>
        </is>
      </c>
      <c r="C2142" t="inlineStr">
        <is>
          <t>Ok so I have really bad anxiety from time spent in the military due to events and ongoing health issues. I'm a bit scared and nervous about a colonoscopy scheduled tomorrow for 9am due to multiple gastrointestinal symptoms that have plagued me for years. So heres a timeline of my symptoms etc.
Early 2008 in Iraq I started choking on food. It was chalked up to eat slower. This went on and few doctors visited all same wat slow take nexium etc. No improvement but every few weeks an incident. I just ignored it. 2011-12 coming back from Iraq again it starts getting worse at least 1 incident a month. Some severe chest burning sensations diarrhea outside of the choking. Egd done they took biopsies and I never heard about it again. Fast forward 2017. At this point I'm having weekly incidents that progressively worsened over the years. End of 17 daily choking every meal solids and liquid. Gi does multiple tests egd barium swallowing manometry. Diagnosed with type 2 achalasia!!!!!! Its so bad I'm scheduled Feb 14th of 18 for Heller myotomy and fundoplication. This sucked! But no more choking!!!! They also found and sutchered a hiatil hernia.
I still had diarrhea even after this but I chalk it up to the stress of everything and it take a few weeks. 2 week postoperative I have severe gas and flatulence bloating pressure in stomach pain. Surgeon assures me its normal and can take 2-3 months to subside. It doesnt...... fast forward to recently. I still have gas all day every day constant pressure bloating fatigue I wake up tired all the time. Pain is almost constant from bloating and pressure. Passing gas lessens it but not completely. My stools alternate from diarrhea to a ribbon looking stool, more often the diarrhea is a yellowish bubbly mucus and there isnt alot. I feel like I constantly have to go. I maybe go in excess of 6 times a day. The color is mostly a brownish orange so I'm unsure if theres blood however I have noticed very tiny minuscule red specks on occasion. I constantly just have an overall no pun intended shitty general feeling of health which effects both physical and mental. I am only able to eat 1 meal a day usually in the evening and that's it. I'm not hungry any other time nor do I ever feel like I can eat more I have tried and it hurts. 
Doing research into achalasia etc it seems gastrointestinal stress can cause severe problems if left untreated. I've had issues for over 10 years now and I'm really scared that this very well may be colon cancer as everything without a doubt indicates it with a high degree of probability. I had bloodwork it was normal stool was normal it showed norovirus everyone has gotten it lately so this is just coincidental. I had a ct scan yesterday havent heard anything yet. And tomorrow the colonoscopy and egd combined.
I'm not sure if I want it to be cancer or not? Honestly I just need answers as to why my gastrointestinal issues have been so fucked up for so long that it is literally draining the life out of me. Please help</t>
        </is>
      </c>
      <c r="D2142" t="n">
        <v>3</v>
      </c>
      <c r="E2142" t="n">
        <v>4</v>
      </c>
      <c r="F2142">
        <f>HYPERLINK("https://www.reddit.com/r/cancer/comments/bjhu5t/long_history_of_gastrointestinal_problems/")</f>
        <v/>
      </c>
      <c r="G2142" t="inlineStr">
        <is>
          <t>2019-05-01 07:40:19</t>
        </is>
      </c>
      <c r="H2142" t="inlineStr"/>
    </row>
    <row r="2143">
      <c r="A2143" t="inlineStr">
        <is>
          <t>bjjtwh</t>
        </is>
      </c>
      <c r="B2143" t="inlineStr">
        <is>
          <t>I can not cope with the sudden news of my dad has cancer.</t>
        </is>
      </c>
      <c r="C2143" t="inlineStr">
        <is>
          <t>When I hear that my dad has stage 4 lung denocarcinoma, I feel lost, heartache, weak limps when I go to places where I usually say hi or have fun with my dad. I literally can not sleep at home, I have to go to the hospital to be with him in order to sleep.
He was still fine until after Lunar New Year, the news is just devestating to me, I just need to say something to feel better. Thanks!</t>
        </is>
      </c>
      <c r="D2143" t="n">
        <v>3</v>
      </c>
      <c r="E2143" t="n">
        <v>8</v>
      </c>
      <c r="F2143">
        <f>HYPERLINK("https://www.reddit.com/r/cancer/comments/bjjtwh/i_can_not_cope_with_the_sudden_news_of_my_dad_has/")</f>
        <v/>
      </c>
      <c r="G2143" t="inlineStr">
        <is>
          <t>2019-05-01 10:23:37</t>
        </is>
      </c>
      <c r="H2143" t="inlineStr"/>
    </row>
    <row r="2144">
      <c r="A2144" t="inlineStr">
        <is>
          <t>bjjzzp</t>
        </is>
      </c>
      <c r="B2144" t="inlineStr">
        <is>
          <t>He was never supposed to beat his cancer. But he did. Tomorrow was supposed to end it. I just read his last ct scan</t>
        </is>
      </c>
      <c r="C2144" t="inlineStr">
        <is>
          <t>It talks about interval development of adrenal masses suspicious  for metasyntactic disease.</t>
        </is>
      </c>
      <c r="D2144" t="n">
        <v>3</v>
      </c>
      <c r="E2144" t="n">
        <v>2</v>
      </c>
      <c r="F2144">
        <f>HYPERLINK("https://www.reddit.com/r/cancer/comments/bjjzzp/he_was_never_supposed_to_beat_his_cancer_but_he/")</f>
        <v/>
      </c>
      <c r="G2144" t="inlineStr">
        <is>
          <t>2019-05-01 10:37:18</t>
        </is>
      </c>
      <c r="H2144" t="inlineStr"/>
    </row>
    <row r="2145">
      <c r="A2145" t="inlineStr">
        <is>
          <t>bjku7f</t>
        </is>
      </c>
      <c r="B2145" t="inlineStr">
        <is>
          <t>Suggestions for mother's day? (stage 4 cancer)</t>
        </is>
      </c>
      <c r="C2145" t="inlineStr">
        <is>
          <t>Mom has been fighting for over a year (lung cancer that metastasized to her brain and bones). The cancer disappeared from the bones and lungs, activity paused in her brain but there's been a resurgence in her hippocampus causing 15 falls in a couple weeks, multiple emergency room visits and hospital intakes for stroke-like symptoms. Flowers just don't seem to cut it. What did/do you want to make the hospital time better/ ease the frustration about not being able to do what you used to? She has always been really independent and the inability to just get up and go is killing her almost as much as the cancer.  Thank you for any suggestions. *HUGS* to all of you dealing with this abomination.</t>
        </is>
      </c>
      <c r="D2145" t="n">
        <v>11</v>
      </c>
      <c r="E2145" t="n">
        <v>7</v>
      </c>
      <c r="F2145">
        <f>HYPERLINK("https://www.reddit.com/r/cancer/comments/bjku7f/suggestions_for_mothers_day_stage_4_cancer/")</f>
        <v/>
      </c>
      <c r="G2145" t="inlineStr">
        <is>
          <t>2019-05-01 11:44:42</t>
        </is>
      </c>
      <c r="H2145" t="inlineStr"/>
    </row>
    <row r="2146">
      <c r="A2146" t="inlineStr">
        <is>
          <t>bjl8kz</t>
        </is>
      </c>
      <c r="B2146" t="inlineStr">
        <is>
          <t>Can a rheumatologist tell me if I need a biopsy?</t>
        </is>
      </c>
      <c r="C2146" t="inlineStr">
        <is>
          <t>Hi, 
I have been told conflicting things about whether I need a lymph node biopsy and am hoping to get a physician to examine it and let me know (they might say it's too small to worry about, for example, or look at my history and say there is a risk given that). 
I also need to see a rheumatologist because my condition may be autoimmune instead of malignant. 
To avoid two specialist office charges, can I ask my rheumatologist if I need a biopsy? Are they qualified to answer that? 
Thanks, and apologies if this isn't the right sub!</t>
        </is>
      </c>
      <c r="D2146" t="n">
        <v>4</v>
      </c>
      <c r="E2146" t="n">
        <v>7</v>
      </c>
      <c r="F2146">
        <f>HYPERLINK("https://www.reddit.com/r/cancer/comments/bjl8kz/can_a_rheumatologist_tell_me_if_i_need_a_biopsy/")</f>
        <v/>
      </c>
      <c r="G2146" t="inlineStr">
        <is>
          <t>2019-05-01 12:18:38</t>
        </is>
      </c>
      <c r="H2146" t="inlineStr"/>
    </row>
    <row r="2147">
      <c r="A2147" t="inlineStr">
        <is>
          <t>bjm9ii</t>
        </is>
      </c>
      <c r="B2147" t="inlineStr">
        <is>
          <t>How did you go back to work after cancer?</t>
        </is>
      </c>
      <c r="C2147" t="inlineStr">
        <is>
          <t>I’ve been declared all clear from the cancer and able to go back to work by my oncologist. I’m bored out of my mind and ready to go back to work. I’ve been applying for work and whatnot but I think the last six months of unemployment is deterring employers from calling me back. I’m not applying for things I’m too overqualified for and definitely not things I’m under qualified for. 
How did you start getting calls back and go back to work?</t>
        </is>
      </c>
      <c r="D2147" t="n">
        <v>8</v>
      </c>
      <c r="E2147" t="n">
        <v>6</v>
      </c>
      <c r="F2147">
        <f>HYPERLINK("https://www.reddit.com/r/cancer/comments/bjm9ii/how_did_you_go_back_to_work_after_cancer/")</f>
        <v/>
      </c>
      <c r="G2147" t="inlineStr">
        <is>
          <t>2019-05-01 13:48:20</t>
        </is>
      </c>
      <c r="H2147" t="inlineStr"/>
    </row>
    <row r="2148">
      <c r="A2148" t="inlineStr">
        <is>
          <t>bjmisc</t>
        </is>
      </c>
      <c r="B2148" t="inlineStr">
        <is>
          <t>Is there legal help available to cancer patients for free? In Philadelphia?</t>
        </is>
      </c>
      <c r="C2148" t="inlineStr">
        <is>
          <t>I have always used a paid attorney considering the people I know who have used a public defender. The public defender I have has 1 year experience and does not seem to know what he is doing. Does anyone do Pro Bono work in the area of Philadelphia or Delaware County. My illness has dried up all of my resources and just lost my house. I am currently living out of my car. If anyone has any information please let me know.</t>
        </is>
      </c>
      <c r="D2148" t="n">
        <v>9</v>
      </c>
      <c r="E2148" t="n">
        <v>3</v>
      </c>
      <c r="F2148">
        <f>HYPERLINK("https://www.reddit.com/r/cancer/comments/bjmisc/is_there_legal_help_available_to_cancer_patients/")</f>
        <v/>
      </c>
      <c r="G2148" t="inlineStr">
        <is>
          <t>2019-05-01 14:09:13</t>
        </is>
      </c>
      <c r="H2148" t="inlineStr"/>
    </row>
    <row r="2149">
      <c r="A2149" t="inlineStr">
        <is>
          <t>bjmu3c</t>
        </is>
      </c>
      <c r="B2149" t="inlineStr">
        <is>
          <t>Recurrence Sucks - But I will fight it with everything I have</t>
        </is>
      </c>
      <c r="C2149" t="inlineStr">
        <is>
          <t>For background, 7 months ago, I had the same symptoms on my right side. As my stumbling got worse and worse, an MRI revealed a GBM IV in my spinal cord in the L5 region.  Emergency surgery ensued and 6 months of physical therapy later, I've been making head ways. Walking on my own (with a cane), hanging out with friends and all that good stuff. Also, I'm 31.
&amp;amp;#x200B;
Last week my ankle on my right side started feeling weak. I felt like something was up, but wasn't sure what. I just got the scans back from my MRI yesterday. The last scan was only 4 weeks ago, and it showed nothing. Yup, it's back. My worst nightmare. My mom and my wife cried, and I sat there simply asking about next steps. I just need a path I can work towards. I will hopefully be going on a clinical trial which has had positive effects on stabilizing and reducing the cancer. I'm positive, despite the bad news.
&amp;amp;#x200B;
But I wanted to do this...This is something I've been thinking about all day. I want to make a declaration. Something that I can look back to and know without a shadow of a doubt that I will use all my mental and physical strength to fight this.
&amp;amp;#x200B;
I hereby declare that I will fight this cancer until it no longer exists in my body. I will not let it impact the quality of my life. I will not let it define me, my character or my love. We all live on borrowed time, and the time I have from here on out will be the most special, the most epic, the most meaningful I have ever lived. I will not let this mutation be a menace. I will take it, deconstruct it and turn this into an experience from which I gather strength and wisdom. When I look back on this declaration, I will know what I already feel in my heart and mind. I am stronger than anything which afflicts me. I am a survivor. I will be like a cockroach that lives through the toughest of times, only to make it out on the other side, as if nothing happened. There's no turning my back on this. I have family that loves me, friends and colleagues that support me. I will do it for them. I also have 2 lovely cats, Manny and Butler. I will do it for them to. I will do it for this community too. Let's kick some ass!!</t>
        </is>
      </c>
      <c r="D2149" t="n">
        <v>115</v>
      </c>
      <c r="E2149" t="n">
        <v>18</v>
      </c>
      <c r="F2149">
        <f>HYPERLINK("https://www.reddit.com/r/cancer/comments/bjmu3c/recurrence_sucks_but_i_will_fight_it_with/")</f>
        <v/>
      </c>
      <c r="G2149" t="inlineStr">
        <is>
          <t>2019-05-01 14:35:30</t>
        </is>
      </c>
      <c r="H2149" t="inlineStr"/>
    </row>
    <row r="2150">
      <c r="A2150" t="inlineStr">
        <is>
          <t>bjn529</t>
        </is>
      </c>
      <c r="B2150" t="inlineStr">
        <is>
          <t>I don’t want to know my cervical biopsy results</t>
        </is>
      </c>
      <c r="C2150" t="inlineStr">
        <is>
          <t>I had an abnormal pap result “ Atypical Squamous cannot rule out HSIL “ which is much more serious than just “atypical squamous” and will have to get a colposcopy and biopsy done. I am 27 and so  terrified that I can’t even get out of bed. I have always had health anxiety my entire life and it feels like my worst nightmare is coming true. I feel like I’d rather just not know if it’s serious or not than find out that it’s serious and have the rest of my life be unlivable as I will always be in a constant state of horror and impending doom. I know this is a bad mindset to have but I don’t see how I could possibly deal with this</t>
        </is>
      </c>
      <c r="D2150" t="n">
        <v>14</v>
      </c>
      <c r="E2150" t="n">
        <v>19</v>
      </c>
      <c r="F2150">
        <f>HYPERLINK("https://www.reddit.com/r/cancer/comments/bjn529/i_dont_want_to_know_my_cervical_biopsy_results/")</f>
        <v/>
      </c>
      <c r="G2150" t="inlineStr">
        <is>
          <t>2019-05-01 15:02:32</t>
        </is>
      </c>
      <c r="H2150" t="inlineStr"/>
    </row>
    <row r="2151">
      <c r="A2151" t="inlineStr">
        <is>
          <t>bjn5hn</t>
        </is>
      </c>
      <c r="B2151" t="inlineStr">
        <is>
          <t>“Squamous Cell Carcinoma” sounds much cooler than what it really is</t>
        </is>
      </c>
      <c r="C2151" t="inlineStr">
        <is>
          <t>* I have an appointment Friday to get a partial glossectomy—fancy talk for, “We’re gonna hack off half your tongue and when that fails to do shit we’re gonna microwave you and hope that kills these here lumps faster than the rest of you.”  
* I’ve already lost ten pounds in the last month (that I’d rather not have) because it hurts to swallow.  Losing half my tongue isn’t going to improve that any time soon.  It hurts when I talk too, and I constantly sound like I’ve had a recent brain injury when I manage it.  Losing my tongue won’t help with that either.  
* The doctors have made it clear that radiation therapy is not just possible, but *probable* even after they cut out my tongue.  I’ve seen what microwaving your head does to your brain, let alone the rest of you.  
* I’m on thin enough ice already at work.  Whether they “should” or not, whether it’s legal or not, I doubt I’ll have a job to come back to when I’m allowed out of the hospital.  Hell, being on chemo will put my performance in the shitter enough to cost me my job on performance alone.
* And even then, there’s still a decent chance this will kill me anyway.
* And even if it doesn’t, that means I get to live as a mute, jobless skeleton with room-temperature jello for brains, completely dependent on my wife to make sure I don’t shit myself in public.  And hoping she doesn’t decide to go off her pills again or just start punching me when she’s sober because she feels like it.  Or, hell, for her to decide to add me to her insurance at all.
* But I still have to “stay positive!”  Or eise it’s my fault.</t>
        </is>
      </c>
      <c r="D2151" t="n">
        <v>1</v>
      </c>
      <c r="E2151" t="n">
        <v>0</v>
      </c>
      <c r="F2151">
        <f>HYPERLINK("https://www.reddit.com/r/cancer/comments/bjn5hn/squamous_cell_carcinoma_sounds_much_cooler_than/")</f>
        <v/>
      </c>
      <c r="G2151" t="inlineStr">
        <is>
          <t>2019-05-01 15:03:36</t>
        </is>
      </c>
      <c r="H2151" t="inlineStr"/>
    </row>
    <row r="2152">
      <c r="A2152" t="inlineStr">
        <is>
          <t>bjogxw</t>
        </is>
      </c>
      <c r="B2152" t="inlineStr">
        <is>
          <t>Do they stop chemo if the feeling of numbness and tingling doesn't go away after some chemo rounds?</t>
        </is>
      </c>
      <c r="C2152" t="inlineStr">
        <is>
          <t>After 6 rounds of chemo (and no severe side effects), the doctors told my father (Stage II Colon Cancer) that if the numbness and tingling feeling continues, they would stop the treatment definitively.
Do you have any explanation for that?
What does it mean?</t>
        </is>
      </c>
      <c r="D2152" t="n">
        <v>3</v>
      </c>
      <c r="E2152" t="n">
        <v>6</v>
      </c>
      <c r="F2152">
        <f>HYPERLINK("https://www.reddit.com/r/cancer/comments/bjogxw/do_they_stop_chemo_if_the_feeling_of_numbness_and/")</f>
        <v/>
      </c>
      <c r="G2152" t="inlineStr">
        <is>
          <t>2019-05-01 17:11:08</t>
        </is>
      </c>
      <c r="H2152" t="inlineStr"/>
    </row>
    <row r="2153">
      <c r="A2153" t="inlineStr">
        <is>
          <t>bjosbs</t>
        </is>
      </c>
      <c r="B2153" t="inlineStr">
        <is>
          <t>How can my colleagues and I support a former mentor with cancer?</t>
        </is>
      </c>
      <c r="C2153" t="inlineStr">
        <is>
          <t>A mentor in my undergraduate had a huge impact on a large number of students - we appreciate her so much! We are all now scattered across the country and want to make sure she feels loved, supported, and cared for the best we can while being mostly on the lower end of income (musicians) and very far away with little chance of visiting or at least visiting as a group. She has a husband and sons to help take care of her immediate needs, and isn’t in financial need thank god - does anyone have suggestions for what helped in their journey? I don’t want to do anything that’s just a reminder of health issues, though of course it’s a bit unavoidable :) I just would love some ideas of things that meant a lot and helped you. We would love to find a way to do something as a group so she knows we are all thinking and talking about her. 
Thanks for any suggestions!</t>
        </is>
      </c>
      <c r="D2153" t="n">
        <v>1</v>
      </c>
      <c r="E2153" t="n">
        <v>0</v>
      </c>
      <c r="F2153">
        <f>HYPERLINK("https://www.reddit.com/r/cancer/comments/bjosbs/how_can_my_colleagues_and_i_support_a_former/")</f>
        <v/>
      </c>
      <c r="G2153" t="inlineStr">
        <is>
          <t>2019-05-01 17:43:37</t>
        </is>
      </c>
      <c r="H2153" t="inlineStr"/>
    </row>
    <row r="2154">
      <c r="A2154" t="inlineStr">
        <is>
          <t>bjpfa6</t>
        </is>
      </c>
      <c r="B2154" t="inlineStr">
        <is>
          <t>Decisions</t>
        </is>
      </c>
      <c r="C2154" t="inlineStr">
        <is>
          <t>I had my one month follow up CT, labs and oncologist visit after completing six months of chemotherapy in early April.  Things look okay but he gave me a choice:  opt for surveillance only or go on maintenance Rituxan every two months for two years.  Survival is about the same but the maintenance protocol might prevent a relapse for a longer period of time.  The choice is basically the risk of the chemo vs. the risk of a relapse.  My initial bout with the disease and the hospital stay were so awful I finally decided to opt for maintenance program even though it's a pain to go back on chemo, even every two months.  I tolerated the Rituxan fairly well.  I'm still wondering if I made the right decision.   My  wife agrees with it and I'm otherwise reasonably healthy but I'm wondering if I made the right choice.  I guess I can decided to stop if I want to.  Just a rant.  Cancer wasn't how I planned to spend my retirement but like the song says, "You can't always get what you want".</t>
        </is>
      </c>
      <c r="D2154" t="n">
        <v>7</v>
      </c>
      <c r="E2154" t="n">
        <v>7</v>
      </c>
      <c r="F2154">
        <f>HYPERLINK("https://www.reddit.com/r/cancer/comments/bjpfa6/decisions/")</f>
        <v/>
      </c>
      <c r="G2154" t="inlineStr">
        <is>
          <t>2019-05-01 18:49:15</t>
        </is>
      </c>
      <c r="H2154" t="inlineStr"/>
    </row>
    <row r="2155">
      <c r="A2155" t="inlineStr">
        <is>
          <t>bjpkeo</t>
        </is>
      </c>
      <c r="B2155" t="inlineStr">
        <is>
          <t>Bf just found out his dad has liver cancer, what’s the statistics for this? and how can i be supportive?? :(</t>
        </is>
      </c>
      <c r="C2155" t="inlineStr">
        <is>
          <t>i’ve been with my boyfriend 2 years now and his dad just found out today he has liver cancer. I don’t know a stage. I don’t know how bad. That’s literally all i know. But i haven’t seen my boyfriend since he just called me to say he’s gonna stay at his parents tonight and i’m just really worried about him. Does anyone know any statistics with liver cancer? Like in an early stage is it possible to beat it? and at what point does it turn out to be pretty deadly? I just wanna know what to expect so i can try to prepare myself to be there for him. Hes so close with his dad and i just don’t know how to help. Any advice on it or from anyone whose dealt with it is appreciated. :(</t>
        </is>
      </c>
      <c r="D2155" t="n">
        <v>6</v>
      </c>
      <c r="E2155" t="n">
        <v>3</v>
      </c>
      <c r="F2155">
        <f>HYPERLINK("https://www.reddit.com/r/cancer/comments/bjpkeo/bf_just_found_out_his_dad_has_liver_cancer_whats/")</f>
        <v/>
      </c>
      <c r="G2155" t="inlineStr">
        <is>
          <t>2019-05-01 19:04:20</t>
        </is>
      </c>
      <c r="H2155" t="inlineStr"/>
    </row>
    <row r="2156">
      <c r="A2156" t="inlineStr">
        <is>
          <t>bjqrpq</t>
        </is>
      </c>
      <c r="B2156" t="inlineStr">
        <is>
          <t>Advice is needed</t>
        </is>
      </c>
      <c r="C2156" t="inlineStr">
        <is>
          <t>So I have what looks like a mole on my back. But it hurts like a pimple would and sometimes itches. I plan on getting it checked out, but I'm looking at about a month to get seen. Just maybe seeing if anyone could help me stop worrying</t>
        </is>
      </c>
      <c r="D2156" t="n">
        <v>0</v>
      </c>
      <c r="E2156" t="n">
        <v>3</v>
      </c>
      <c r="F2156">
        <f>HYPERLINK("https://www.reddit.com/r/cancer/comments/bjqrpq/advice_is_needed/")</f>
        <v/>
      </c>
      <c r="G2156" t="inlineStr">
        <is>
          <t>2019-05-01 21:19:17</t>
        </is>
      </c>
      <c r="H2156" t="inlineStr"/>
    </row>
    <row r="2157">
      <c r="A2157" t="inlineStr">
        <is>
          <t>bjre5j</t>
        </is>
      </c>
      <c r="B2157" t="inlineStr">
        <is>
          <t>My stepmom wont get a biopsy</t>
        </is>
      </c>
      <c r="C2157" t="inlineStr">
        <is>
          <t>This post is mainly about helping my dad.
My step mom got one screening a year ago that showed she has multiple spots in her chest and abdominal area. She also has a tumor about the size of a large grape on her finger. She won't get a biopsy or look for treatment because she doesn't want to leave my dad 'in a world of debt'.
She has every excuse in the book to why she won't get help. Like:
Getting a biopsy will release the cancer into the blood (not true)
She doesn't feel like it is her time to go.
She won't get help until it's knocked her down and she can't do anything (by then it would likely be too late).
I've tried reasoning with her coming from my perspective, as someone currently undergoing chemo.
I'm mainly worried about my dad. He is the one that gives me rides to and from the hospital when I get treatment. He was really shook when he found out I had cancer (I got diagnosed in August 2018). 
He doesn't really talk much, especially about her cancer. I got him to open up a bit and he agrees with me, that she should get treated. What can I do to help ease the stress/heartache? I know I have my cancer to deal with but I can't help but be worried about him.</t>
        </is>
      </c>
      <c r="D2157" t="n">
        <v>10</v>
      </c>
      <c r="E2157" t="n">
        <v>8</v>
      </c>
      <c r="F2157">
        <f>HYPERLINK("https://www.reddit.com/r/cancer/comments/bjre5j/my_stepmom_wont_get_a_biopsy/")</f>
        <v/>
      </c>
      <c r="G2157" t="inlineStr">
        <is>
          <t>2019-05-01 22:41:45</t>
        </is>
      </c>
      <c r="H2157" t="inlineStr"/>
    </row>
    <row r="2158">
      <c r="A2158" t="inlineStr">
        <is>
          <t>bjrhy6</t>
        </is>
      </c>
      <c r="B2158" t="inlineStr">
        <is>
          <t>I'm scared</t>
        </is>
      </c>
      <c r="C2158" t="inlineStr">
        <is>
          <t>My mom was told she has breast cancer and I'm scared not only for me but my siblings and how they'll be affected. 2 of the 3 don't even see they're dad and it'd just be my uncle and grandma</t>
        </is>
      </c>
      <c r="D2158" t="n">
        <v>7</v>
      </c>
      <c r="E2158" t="n">
        <v>2</v>
      </c>
      <c r="F2158">
        <f>HYPERLINK("https://www.reddit.com/r/cancer/comments/bjrhy6/im_scared/")</f>
        <v/>
      </c>
      <c r="G2158" t="inlineStr">
        <is>
          <t>2019-05-01 22:56:31</t>
        </is>
      </c>
      <c r="H2158" t="inlineStr"/>
    </row>
    <row r="2159">
      <c r="A2159" t="inlineStr">
        <is>
          <t>bjscca</t>
        </is>
      </c>
      <c r="B2159" t="inlineStr">
        <is>
          <t>Should I prepare for bad news again?</t>
        </is>
      </c>
      <c r="C2159" t="inlineStr">
        <is>
          <t>I'm 22, female, and from the USA if that helps - Basically, I had mucoepidermoid carcinoma for who knows how long and had surgery in December of 2018 to remove it. I had the full on neck dissection, the trache, the arm surgery... the whole package except i got away without needing radiation. i thought my tumor came back as low grade, but my cancer doctor ordered an early CAT scan of my head that came back with two swollen lymph nodes that border the surgery site. i've been losing weight again (15lbs in April), and my other doctors are looking into me possibly having Crohns or Colitis. i also have Hidradenitis Suppurativa that's been flaring worse and have a pretty consistent temperature of 99.5-100.5 for the last month or so if maybe any of that is a contributing factor to the enlargement of the lymph nodes??
My doctor said it's just a precaution to get these lymph nodes biopsied, but i'm terrified of the results being bad again. my doctor said i would need more surgery and would need to start radiation if it's cancer again. i find all that out in the next 12 days. what should i do?
TLDR: I just had surgery for Mucoepidermoid Carcinoma in December of 2018 and my doctor found two enlarged lymph nodes near the surgery site that shouldn't be there. my doctor ordered the test two months earlier than what would have been routine. should i prepare for bad news?</t>
        </is>
      </c>
      <c r="D2159" t="n">
        <v>8</v>
      </c>
      <c r="E2159" t="n">
        <v>4</v>
      </c>
      <c r="F2159">
        <f>HYPERLINK("https://www.reddit.com/r/cancer/comments/bjscca/should_i_prepare_for_bad_news_again/")</f>
        <v/>
      </c>
      <c r="G2159" t="inlineStr">
        <is>
          <t>2019-05-02 01:01:19</t>
        </is>
      </c>
      <c r="H2159" t="inlineStr"/>
    </row>
    <row r="2160">
      <c r="A2160" t="inlineStr">
        <is>
          <t>bjsmqi</t>
        </is>
      </c>
      <c r="B2160" t="inlineStr">
        <is>
          <t>13 years clean</t>
        </is>
      </c>
      <c r="C2160" t="inlineStr">
        <is>
          <t>Hello, new to this group! I had osteosarcoma when I was 11. Went through 1 year of vigorous chemotherapy. 3 different types. One that made me pee neon orange and had me stuck in the hospital waiting for the chemo levels to drop. Another,  that made me vomit the whole time. Last one,was a breeze to get through compared to the other two. I also, had a complete removal of my left iliac crest (or hipbone) and my gluteus medus, which forced me to completely relearn how to walk.  Received a crazy amount of blood and platelet transfusions.  I had a port inserted and removed. My doctor called CPS on my mom because I missed one appointment,. We lived 3.5 hours from my hospital, which I was at 224 days out of the 365 days that year. And, my mom, was my hero the whole time. Thank god she was a retired RN. She was so aware and on top of everyone and everything. She saved my life more than once.  I am thankful for my life. I deal with the everyday obstacle of chronic pain. Which I am noticing more with age. I am 24 now, still figuring shit out. I guess I’m just curious about other peoples post cancer stories. How did your life change? Did everything seem way more challenging? Do you have a more positive view on life? What are the long term effects cancer left on you?</t>
        </is>
      </c>
      <c r="D2160" t="n">
        <v>22</v>
      </c>
      <c r="E2160" t="n">
        <v>10</v>
      </c>
      <c r="F2160">
        <f>HYPERLINK("https://www.reddit.com/r/cancer/comments/bjsmqi/13_years_clean/")</f>
        <v/>
      </c>
      <c r="G2160" t="inlineStr">
        <is>
          <t>2019-05-02 01:46:56</t>
        </is>
      </c>
      <c r="H2160" t="inlineStr"/>
    </row>
    <row r="2161">
      <c r="A2161" t="inlineStr">
        <is>
          <t>bjuod5</t>
        </is>
      </c>
      <c r="B2161" t="inlineStr">
        <is>
          <t>Dealing with family after treatment</t>
        </is>
      </c>
      <c r="C2161" t="inlineStr">
        <is>
          <t>Hello all,
Long time lurker. I am a young cancer survivor, and have had both major surgery as well as treatment to beat the big C. A year after the last treatment / surgery I am still feeling week and have no stamina. The Dr and surgeon are happy with how I am, but am getting pressure from my family that I am not back to normal yet. They have decided I have depression, even though I tell them that I am fine. I went to the GP and told him how I was feeling, and he agreed that it was not depression, just the result of the operation and treatment. However my family still press hard, not only on me but my poor wife. They all want me on anti depresseanta etc. This has started to make things a bit difficult to speak about even with her now.... what do I do?</t>
        </is>
      </c>
      <c r="D2161" t="n">
        <v>7</v>
      </c>
      <c r="E2161" t="n">
        <v>9</v>
      </c>
      <c r="F2161">
        <f>HYPERLINK("https://www.reddit.com/r/cancer/comments/bjuod5/dealing_with_family_after_treatment/")</f>
        <v/>
      </c>
      <c r="G2161" t="inlineStr">
        <is>
          <t>2019-05-02 06:01:43</t>
        </is>
      </c>
      <c r="H2161" t="inlineStr"/>
    </row>
    <row r="2162">
      <c r="A2162" t="inlineStr">
        <is>
          <t>bjv1sh</t>
        </is>
      </c>
      <c r="B2162" t="inlineStr">
        <is>
          <t>Question about what Non-small cell Lung Cancer treatment indicates...</t>
        </is>
      </c>
      <c r="C2162" t="inlineStr">
        <is>
          <t>Hi all. So, long story short, my mum has just been diagnosed with non-small cell adenocarcinoma Lung Cancer, and she is a little worried about what the treatments mean for her. Basiclly, she is having a lymp node in her chest biopsied, and after that the surgon said they will treat the cancer 'radical' chemo and/or radio therapy, although he said he would not comit to anything until they see the biopsy results. He said he did not want top do surguy, as he did not want to impaire her lung funtion. Now, haveing read stuff online, my mum is now worried that her cancer is terminal and they just have not told her yet. She is confused why they will not just do surgey and get it over and done with. As such, I was wondering if anyone could hlep better explain what these treatments indicate? I know, she should not worry and just take things as they come, but the mind likes to play tricks when waiting for appointments...  
Oh, we are in the UK so said treatment comes from the NHS. Thanks!</t>
        </is>
      </c>
      <c r="D2162" t="n">
        <v>3</v>
      </c>
      <c r="E2162" t="n">
        <v>4</v>
      </c>
      <c r="F2162">
        <f>HYPERLINK("https://www.reddit.com/r/cancer/comments/bjv1sh/question_about_what_nonsmall_cell_lung_cancer/")</f>
        <v/>
      </c>
      <c r="G2162" t="inlineStr">
        <is>
          <t>2019-05-02 06:38:27</t>
        </is>
      </c>
      <c r="H2162" t="inlineStr"/>
    </row>
    <row r="2163">
      <c r="A2163" t="inlineStr">
        <is>
          <t>bjvgsq</t>
        </is>
      </c>
      <c r="B2163" t="inlineStr">
        <is>
          <t>Co-worker has cancer</t>
        </is>
      </c>
      <c r="C2163" t="inlineStr">
        <is>
          <t>Hello there
A co-worker has cancer in his throat. He has lost a lot of weight and he is always tired because of the meds and treatment. Tomorrow will be his last day here, he will be out for 2 or 3 months. My grandmother and aunt died because of cancer, I know how tough it can be. 
How can i show support before he leaves? A little gift maybe?</t>
        </is>
      </c>
      <c r="D2163" t="n">
        <v>4</v>
      </c>
      <c r="E2163" t="n">
        <v>7</v>
      </c>
      <c r="F2163">
        <f>HYPERLINK("https://www.reddit.com/r/cancer/comments/bjvgsq/coworker_has_cancer/")</f>
        <v/>
      </c>
      <c r="G2163" t="inlineStr">
        <is>
          <t>2019-05-02 07:17:52</t>
        </is>
      </c>
      <c r="H2163" t="inlineStr"/>
    </row>
    <row r="2164">
      <c r="A2164" t="inlineStr">
        <is>
          <t>bjxtbu</t>
        </is>
      </c>
      <c r="B2164" t="inlineStr">
        <is>
          <t>‘My Dad has Cancer’</t>
        </is>
      </c>
      <c r="C2164" t="inlineStr">
        <is>
          <t>This morning, I found out my father has cancer at the age of 54. I’ve had initial conversations with him, my mother, and one or two other loved ones, but this is ground zero. I am using this post as a bit of personal, anonymous expression, nothing more...
I have the most eerie (and, frankly in my opinion, selfish) sensation right now, which I can only describe as trying to convince myself that this is real, personal and proximate to my life and potentially my happiness. The feeling revolves around a phrase that I’ve been repeating in my mind almost constantly since I heard the news, and for which I even took a 10-minute break from work in order to walk outside and repeat aloud to hear its sound in my own voice aloud.
That phrase, “my dad has cancer,” has not yet settled into my personal dialect; actually, far from it, and I have no idea when it will. The word still feels third-party, foreign in a way. Even when I force myself to repeat it silently and aloud, it feels like I’m hearing someone else say it. Perhaps it’s a whisper of a memory from hearing a neighbor or friend say it that handful of times I’ve heard it in life (I’m 24), which I am subconsciously recalling as I play the phrase back now in my own voice. 
The phonetic experience of this phrase, despite my own thought of being tangential to the physical and emotional pain (and likely financial distress) of this new reality, is perhaps the most striking to me as a sensory phenomenon right now. The phonetics even more so than emotions I can recognize or put to words. It’s the letters themselves, the consonance, the hard “c” and the terminal “r”  that punctuate the abrupt delivery of the news over the phone; that forebear the pangs of dread and of desperate sorrow that are all too probable to come; that demonize a disease that has yet to manifest itself in concrete imagery, sounds, sights, smells and memories. The word ‘cancer’ is as malignant, acerbic and unsympathetic as the tumors and mutations that it describes. Funny, how words can be so terribly beautiful. 
When these voice(s) will be able to convince my own mind that this is my reality, that this is my loving, generous, selfless and otherwise healthy father and not a neighbor or a friend, I don’t quite know. It just helps, in a way, to have written these thoughts so that I can begin to process them.</t>
        </is>
      </c>
      <c r="D2164" t="n">
        <v>11</v>
      </c>
      <c r="E2164" t="n">
        <v>16</v>
      </c>
      <c r="F2164">
        <f>HYPERLINK("https://www.reddit.com/r/cancer/comments/bjxtbu/my_dad_has_cancer/")</f>
        <v/>
      </c>
      <c r="G2164" t="inlineStr">
        <is>
          <t>2019-05-02 10:42:01</t>
        </is>
      </c>
      <c r="H2164" t="inlineStr"/>
    </row>
    <row r="2165">
      <c r="A2165" t="inlineStr">
        <is>
          <t>bjy8cn</t>
        </is>
      </c>
      <c r="B2165" t="inlineStr">
        <is>
          <t>Here I go again</t>
        </is>
      </c>
      <c r="C2165" t="inlineStr">
        <is>
          <t>So I thought that I would be done with all this fucking shit but who ever it is who decides what happens on earth is a motherfucker. 
Now the serious part:
I have done my last chemo three and a half months ago, every thing went fine, the tumor shrank extremely through chemo, the operation went really well, radiotherapy too. (Except of all these side effects just from the medical perspective). 
Some weeks after my last chemo when I normally only had the aftercare (every two months) I still had to go there every week because my cells won't recover. Doctors said "everything fine sometimes the bone marrow needs more time to work normal again" so I got there every week. Two months later my cells are the same, a little bit above the transfusion level slowly the doctors started to get nervous but still the same "give it some time it isn't normal but it will be". And here I am three and a half months after my "last" chemo I got an appointment for an bone marrow puncture because they think my bone marrow is "broken" and won't work again... . 
I don't wanted to know what exactly it means because I don't wanted to know when I spoke with the doctor. But I know that it isn't good what's happening right now.
Probably some of you know more than me about it or some had the same experience (hopefully not).</t>
        </is>
      </c>
      <c r="D2165" t="n">
        <v>9</v>
      </c>
      <c r="E2165" t="n">
        <v>0</v>
      </c>
      <c r="F2165">
        <f>HYPERLINK("https://www.reddit.com/r/cancer/comments/bjy8cn/here_i_go_again/")</f>
        <v/>
      </c>
      <c r="G2165" t="inlineStr">
        <is>
          <t>2019-05-02 11:18:19</t>
        </is>
      </c>
      <c r="H2165" t="inlineStr"/>
    </row>
    <row r="2166">
      <c r="A2166" t="inlineStr">
        <is>
          <t>bjyii7</t>
        </is>
      </c>
      <c r="B2166" t="inlineStr">
        <is>
          <t>Toothbrush suggestion</t>
        </is>
      </c>
      <c r="C2166" t="inlineStr">
        <is>
          <t>Hey all, just started chemo a few weeks ago. Was wondering if there were specific toothbrushes that were really good and soft and helpful that you would suggest. Or just any super soft toothbrush is good? Thanks so much</t>
        </is>
      </c>
      <c r="D2166" t="n">
        <v>6</v>
      </c>
      <c r="E2166" t="n">
        <v>6</v>
      </c>
      <c r="F2166">
        <f>HYPERLINK("https://www.reddit.com/r/cancer/comments/bjyii7/toothbrush_suggestion/")</f>
        <v/>
      </c>
      <c r="G2166" t="inlineStr">
        <is>
          <t>2019-05-02 11:43:07</t>
        </is>
      </c>
      <c r="H2166" t="inlineStr"/>
    </row>
    <row r="2167">
      <c r="A2167" t="inlineStr">
        <is>
          <t>bjysoh</t>
        </is>
      </c>
      <c r="B2167" t="inlineStr">
        <is>
          <t>I had cancer and I am jealous my BFF is caring for his aunt</t>
        </is>
      </c>
      <c r="C2167" t="inlineStr">
        <is>
          <t>hello! I had cancer in 2013 and in last year had menopause at 31 and a miscarriage. I think my bf of 3 yrs doesn’t support me at all, has no patience and is not present.I thought it was just his way. But recently he knew his aunt has cancer (she’s 80) and he is so present and supportive it hurts. Am I being stupid? Please tell me. I feel like a terrible person. I told him I cannot understand the huge gap of support.</t>
        </is>
      </c>
      <c r="D2167" t="n">
        <v>5</v>
      </c>
      <c r="E2167" t="n">
        <v>19</v>
      </c>
      <c r="F2167">
        <f>HYPERLINK("https://www.reddit.com/r/cancer/comments/bjysoh/i_had_cancer_and_i_am_jealous_my_bff_is_caring/")</f>
        <v/>
      </c>
      <c r="G2167" t="inlineStr">
        <is>
          <t>2019-05-02 12:08:13</t>
        </is>
      </c>
      <c r="H2167" t="inlineStr"/>
    </row>
    <row r="2168">
      <c r="A2168" t="inlineStr">
        <is>
          <t>bjytof</t>
        </is>
      </c>
      <c r="B2168" t="inlineStr">
        <is>
          <t>Can blastoma's form in any basel layer (stemcell rich/derived) in any tissue, organ with a basement membrane?</t>
        </is>
      </c>
      <c r="C2168" t="inlineStr">
        <is>
          <t>E.g epidermis BM or the BM under myoepithelial cells in the breast lobule.
Newish biomedical scientists in training here, with an awful lecturer.
Any help would be much appreciated.x</t>
        </is>
      </c>
      <c r="D2168" t="n">
        <v>1</v>
      </c>
      <c r="E2168" t="n">
        <v>0</v>
      </c>
      <c r="F2168">
        <f>HYPERLINK("https://www.reddit.com/r/cancer/comments/bjytof/can_blastomas_form_in_any_basel_layer_stemcell/")</f>
        <v/>
      </c>
      <c r="G2168" t="inlineStr">
        <is>
          <t>2019-05-02 12:10:44</t>
        </is>
      </c>
      <c r="H2168" t="inlineStr"/>
    </row>
    <row r="2169">
      <c r="A2169" t="inlineStr">
        <is>
          <t>bjyudy</t>
        </is>
      </c>
      <c r="B2169" t="inlineStr">
        <is>
          <t>Just a rant</t>
        </is>
      </c>
      <c r="C2169" t="inlineStr">
        <is>
          <t>I'm in a period where I'm kind of tired about scans, MRIs, other exams, medical appointments and treatments. I go, but I'm just frustrated and irascible. I never lash out at the staff, but I'm not my usual happy, kind and smiling self. Sometimes, there's a part of me that's not happy when the results are good because I'm telling myself : "More of this endless shit??? I've been doing this for 4 and a half years!! "
Next week, I am at the hospital every day, except Tuesday. And it makes me sad. 
I'll get over this. I always do. Aren't we all?</t>
        </is>
      </c>
      <c r="D2169" t="n">
        <v>22</v>
      </c>
      <c r="E2169" t="n">
        <v>12</v>
      </c>
      <c r="F2169">
        <f>HYPERLINK("https://www.reddit.com/r/cancer/comments/bjyudy/just_a_rant/")</f>
        <v/>
      </c>
      <c r="G2169" t="inlineStr">
        <is>
          <t>2019-05-02 12:12:25</t>
        </is>
      </c>
      <c r="H2169" t="inlineStr"/>
    </row>
    <row r="2170">
      <c r="A2170" t="inlineStr">
        <is>
          <t>bjyz1k</t>
        </is>
      </c>
      <c r="B2170" t="inlineStr">
        <is>
          <t>Choosing a gynecological oncology surgeon</t>
        </is>
      </c>
      <c r="C2170" t="inlineStr">
        <is>
          <t>Last week I was diagnosed with endometrial cancer. I am 58, and had post menopausal bleeding a couple of times before, but no one advised me to get a hysterectomy until my biopsy came back positive.  I had a CT scan indicating the cancer has not spread beyond the uterus.  
Tomorrow I am meeting two different gynecological oncologists who are surgeons, operating at different hospitals. I am told I will have to have a hysterectomy, along with removal of the ovaries.
My question is this:  What should I consider when choosing a surgeon and hospital?  I had weight loss surgery (sleeve) six months ago so it feels, in a way, like I just went through this.  One of surgeons ( and hospital) are affiliated with the big women's hospital in town, but I kind of feel it's like a factory, and patients are just a cog in the wheel, although they run a ton advertising talking about how great they are.
Can they do this surgery laparascopically?  
In retrospect, for anyone who's had a similar experience, what would you have asked the surgeons at the outset?  
Any information is appreciated.</t>
        </is>
      </c>
      <c r="D2170" t="n">
        <v>7</v>
      </c>
      <c r="E2170" t="n">
        <v>4</v>
      </c>
      <c r="F2170">
        <f>HYPERLINK("https://www.reddit.com/r/cancer/comments/bjyz1k/choosing_a_gynecological_oncology_surgeon/")</f>
        <v/>
      </c>
      <c r="G2170" t="inlineStr">
        <is>
          <t>2019-05-02 12:23:28</t>
        </is>
      </c>
      <c r="H2170" t="inlineStr"/>
    </row>
    <row r="2171">
      <c r="A2171" t="inlineStr">
        <is>
          <t>bjz7a0</t>
        </is>
      </c>
      <c r="B2171" t="inlineStr">
        <is>
          <t>Toothbrush recommendation</t>
        </is>
      </c>
      <c r="C2171" t="inlineStr">
        <is>
          <t>Hey all, just started chemo about 2.5 weeks ago. Was wondering if you had any recommendations for a good toothbrush during chemo? Thanks</t>
        </is>
      </c>
      <c r="D2171" t="n">
        <v>4</v>
      </c>
      <c r="E2171" t="n">
        <v>1</v>
      </c>
      <c r="F2171">
        <f>HYPERLINK("https://www.reddit.com/r/cancer/comments/bjz7a0/toothbrush_recommendation/")</f>
        <v/>
      </c>
      <c r="G2171" t="inlineStr">
        <is>
          <t>2019-05-02 12:44:00</t>
        </is>
      </c>
      <c r="H2171" t="inlineStr"/>
    </row>
    <row r="2172">
      <c r="A2172" t="inlineStr">
        <is>
          <t>bjza1i</t>
        </is>
      </c>
      <c r="B2172" t="inlineStr">
        <is>
          <t>Terrified of my (22F) future</t>
        </is>
      </c>
      <c r="C2172" t="inlineStr">
        <is>
          <t>Hi all,
At the end of January 2019 my father (55M) was diagnosed with brain cancer. We have come to find out it is cystic glioblastoma. This diagnosis came out of nowhere and has rocked mine and my family's world. Since then my father has changed so much. I feel like he has given up hope and he is constantly depressed and irritable. He is not the goofy dad I once knew, even on his good days. Of course I understand he is adjusting to losing his memory, feeling like shit, and that he has a terminal illness. I try to motivate him to stay positive and to stay active but if he is having a bad day there is no getting through to him. My mother (56F) has done everything in her power to make sure he is comfortable, taking his meds, and all that. She is technically disabled and has back problems after having multiple surgeries on her spine for a herniated disc. She has been so strong throughout all of this but I am worried she is taking on too much and isn't taking care of herself.  I am and have been extremely close with my parents my whole life because they are immigrants and I have no other family here except for my brother (33M). My brother lives on the other side of the country 8 hours away by plane. He has established his life; he is married, has a career, etc. I still live with my parents because I graduated college about a year ago and had plans to live with my parents until I was financially stable. I am very grateful that I am still at home because I am able to help out and I have my first real job which also allows me to help out financially. I am also just happy I have been able to spend so much time enjoying my parents because honestly they are the best people I could ever ask to raise me.  
Since all of this has happened I have had such a whirlwind of emotions. Some days are better than others of course. I feel positive and hopeful some days but other days I am an emotional wreck. I was seeing a therapist but after 3 appointments of her telling me to "live day by day" and "allow myself to feel" I stopped seeing her because my real problem was not being addressed. I can deal with the right now, I have my coping mechanisms. I am terrified of my future. On one hand I keep thinking of all of the things I wont be able to do with my dad like: being walked down the aisle, have him meet my future kids, etc. On the other hand I wonder what we will do if/when my father passes. Sell the house? Where will my mom go? I cannot imagine leaving her to live alone it absolutely crushes me. I just imagine our family falling apart and it is heartbreaking because I wanted to raise my kids to be close to everyone in the family. I just want this to be over. I would give anything to have my life back, I feel like as a family we are so undeserving of this shit. I was looking forward to my parents retiring and helping them have fun and enjoy themselves because they are the most selfless people and have done nothing but help everyone around them. They focused their lives on helping me and my brother get an education and live an easier life than they did. 
&amp;amp;#x200B;
I dont know where I am going with this post I just needed to get it off my chest. To anyone else going through this my heart goes out to you because this is the hardest shit I have ever had to go through. The weight I carry on my chest everyday is unbearable and trying to live life normally is even worse. Sleep has been my only escape from reality and when I wake up I just feel weak and tired. I don't want to lose my dad yet he has so much life left.</t>
        </is>
      </c>
      <c r="D2172" t="n">
        <v>8</v>
      </c>
      <c r="E2172" t="n">
        <v>10</v>
      </c>
      <c r="F2172">
        <f>HYPERLINK("https://www.reddit.com/r/cancer/comments/bjza1i/terrified_of_my_22f_future/")</f>
        <v/>
      </c>
      <c r="G2172" t="inlineStr">
        <is>
          <t>2019-05-02 12:50:55</t>
        </is>
      </c>
      <c r="H2172" t="inlineStr"/>
    </row>
    <row r="2173">
      <c r="A2173" t="inlineStr">
        <is>
          <t>bjzjw9</t>
        </is>
      </c>
      <c r="B2173" t="inlineStr">
        <is>
          <t>I'm cancer FUCKING Free</t>
        </is>
      </c>
      <c r="C2173" t="inlineStr">
        <is>
          <t>Sorry for that all caps f word in the title... I'm just so happy that I can't express it in any other way.
Soooo... Yep, that's it, mr Hodgkin's is gone and I'm not going to that dumb chemo ever again.
Best of luck to anyone going through treatment, be strong!</t>
        </is>
      </c>
      <c r="D2173" t="n">
        <v>268</v>
      </c>
      <c r="E2173" t="n">
        <v>48</v>
      </c>
      <c r="F2173">
        <f>HYPERLINK("https://www.reddit.com/r/cancer/comments/bjzjw9/im_cancer_fucking_free/")</f>
        <v/>
      </c>
      <c r="G2173" t="inlineStr">
        <is>
          <t>2019-05-02 13:15:07</t>
        </is>
      </c>
      <c r="H2173" t="inlineStr"/>
    </row>
    <row r="2174">
      <c r="A2174" t="inlineStr">
        <is>
          <t>bjzlpi</t>
        </is>
      </c>
      <c r="B2174" t="inlineStr">
        <is>
          <t>Some good news.</t>
        </is>
      </c>
      <c r="C2174" t="inlineStr">
        <is>
          <t>Cancer sucks, and chemo sucks but we’re in the infusion center smiling. 
My wife had a PET and CAT scan yesterday. Results back in and the metastasize on the liver is gone. Vanished. Can’t find it. AWOL. The bad one in her gut is not smaller but ... it’s less “hot”. It’s calming down. 
So moving onward, more chemo and then surgery. But I’ll take any and all happy news. 
Technically can’t change my flair from IV to III but ...</t>
        </is>
      </c>
      <c r="D2174" t="n">
        <v>29</v>
      </c>
      <c r="E2174" t="n">
        <v>12</v>
      </c>
      <c r="F2174">
        <f>HYPERLINK("https://www.reddit.com/r/cancer/comments/bjzlpi/some_good_news/")</f>
        <v/>
      </c>
      <c r="G2174" t="inlineStr">
        <is>
          <t>2019-05-02 13:19:30</t>
        </is>
      </c>
      <c r="H2174" t="inlineStr"/>
    </row>
    <row r="2175">
      <c r="A2175" t="inlineStr">
        <is>
          <t>bjzn0l</t>
        </is>
      </c>
      <c r="B2175" t="inlineStr">
        <is>
          <t>Sad Day</t>
        </is>
      </c>
      <c r="C2175" t="inlineStr">
        <is>
          <t>If any of you have seen my post from the other day, my father had cancer that was very aggressive. It was estimated to have him pass anytime from a few days to a couple weeks from Tuesday. Last night around 10pm his friend visited him and his breathing was not good, which was a sign that systems were shutting down and it was coming. We quickly drove to see him, but he was heavily medicated to stay relaxed and under no pain. He had attacks from the mucus in his trache every once and a while, which was really scary. They had to suction it and a few times we thought he was gone. We were terrified he would struggle. My aunt, uncle, grandmother of my mothers side, and my fathers parents all visited. At 3 AM it was my sister, mother, his friend and I that stayed the night. As soon as everyone left, he stopped with the mucus completely, and started snoring! I hadn't seen him sleep like that since August when he was diagnosed. It was nice to see zero struggle. He kept snoring for almost four hours when he took his last breath. There was no struggle, pain, or anything. Completely relaxed and peaceful. It was the best we could hope for. We dreaded seeing him like that for another two weeks, and as hard as it is to say, we are glad it happened last night. It hurts so much to lose him, but he is in a much better place than he was for the past 9 months of his battle. I love and miss him so much, and would give anything to have one more noncancer day with him. Where we could talk, and laugh, and enjoy stories. Rest In Peace Dad, I will always look up to you and love you more than anything.</t>
        </is>
      </c>
      <c r="D2175" t="n">
        <v>25</v>
      </c>
      <c r="E2175" t="n">
        <v>11</v>
      </c>
      <c r="F2175">
        <f>HYPERLINK("https://www.reddit.com/r/cancer/comments/bjzn0l/sad_day/")</f>
        <v/>
      </c>
      <c r="G2175" t="inlineStr">
        <is>
          <t>2019-05-02 13:22:33</t>
        </is>
      </c>
      <c r="H2175" t="inlineStr"/>
    </row>
    <row r="2176">
      <c r="A2176" t="inlineStr">
        <is>
          <t>bjzsqt</t>
        </is>
      </c>
      <c r="B2176" t="inlineStr">
        <is>
          <t>Oxygen Question - Caregivers</t>
        </is>
      </c>
      <c r="C2176" t="inlineStr">
        <is>
          <t>My mother is in home hospice now so she's at home. My sister, 17, takes care of her during the day as much as she can and doesn't' stop unless a hospice nurse stops by 2-3 times a week. We now have someone else from hospice to help her bathe every other day.  My mother has stage 4 lung cancer. And is very recently now on oxygen. She has 6 months to a year, but now we're running into a whole different problem because I work full time and it's unfair to make my sister stay with her day AND night. 
I sleep on the couch now even during the week and she will then wake me up 2-3 times each night. My sister and I have started switching on and off because I won't get any sleep and still have to go into work that next day. Her nurse says it's because that's the type of cancer she has it's now manifesting (before she actually had little to no breathing issues) and she needs to move around.  She exerts herself more at night because she moves around and now any quick movements she does or even 'normal speed' for regular people cause her to have a panic attack. 
Has anyone dealt with this? It's very hard for her to move and get up. It's even harder to get her to walk for a more extended period of time such as 4-5 minutes just to get her to go out to the couch and back to her room. She will then start to panic and need her oxygen turned up more, but she refuses to even turn it down past a 4 when she's supposed to be on a 2 because she then 'can't feel it'. I don't want her to live at hospice, but I'm very tired and I'm not a nurse, so she doesn't listen to me very well. I'm not sure exactly how to convince her that we need to get her moving so that her attacks start to mellow out. 
If any other caregivers have any tips or techniques they use to help exercise the lungs please let me know.</t>
        </is>
      </c>
      <c r="D2176" t="n">
        <v>5</v>
      </c>
      <c r="E2176" t="n">
        <v>2</v>
      </c>
      <c r="F2176">
        <f>HYPERLINK("https://www.reddit.com/r/cancer/comments/bjzsqt/oxygen_question_caregivers/")</f>
        <v/>
      </c>
      <c r="G2176" t="inlineStr">
        <is>
          <t>2019-05-02 13:36:09</t>
        </is>
      </c>
      <c r="H2176" t="inlineStr"/>
    </row>
    <row r="2177">
      <c r="A2177" t="inlineStr">
        <is>
          <t>bk0c01</t>
        </is>
      </c>
      <c r="B2177" t="inlineStr">
        <is>
          <t>I'm not sure what to do.</t>
        </is>
      </c>
      <c r="C2177" t="inlineStr">
        <is>
          <t>Hey, everyone, About a year ago my brother was diagnosed with stage four testicular cancer. For a while, the chemo was working and he was getting better but recently he has had to miss chemo due to not having a car or any money. I want to help him but I live in West Virginia and he lives in North Carolina. He was staying in a hotel for a short time but had to leave due to not being able to afford the costs of the room. Now he's on the street with no car or a way to his treatment. But another major factor he mentioned was he didn't want to have to go through chemo again because of the pain and surgery from some sort of port thing they placed in his chest. I'm not really sure how to help him maybe someone on here will know. I tried starting a Go FundMe account for him but he only got about $200 out of it. I'm not asking for money but I am asking for a way to help him out. Maybe I'm stupid or something but I don't know what to do or who to call to help him. He wants to give up but and just let the cancer win but I'm determined to figure out a way to help him.</t>
        </is>
      </c>
      <c r="D2177" t="n">
        <v>1</v>
      </c>
      <c r="E2177" t="n">
        <v>0</v>
      </c>
      <c r="F2177">
        <f>HYPERLINK("https://www.reddit.com/r/cancer/comments/bk0c01/im_not_sure_what_to_do/")</f>
        <v/>
      </c>
      <c r="G2177" t="inlineStr">
        <is>
          <t>2019-05-02 14:22:50</t>
        </is>
      </c>
      <c r="H2177" t="inlineStr"/>
    </row>
    <row r="2178">
      <c r="A2178" t="inlineStr">
        <is>
          <t>bk0j8s</t>
        </is>
      </c>
      <c r="B2178" t="inlineStr">
        <is>
          <t>Another Radiology checkin -</t>
        </is>
      </c>
      <c r="C2178" t="inlineStr">
        <is>
          <t>I had one of my 3 month rotating oncologist / radiologist appointments today, just to feel around my lymph nodes &amp;amp; check on my general well being. All is good, but the emotions there for me are so strong - it takes a day or two to straighten back out again - I'm going on 3 years now &amp;amp; wonder if that will ever change.</t>
        </is>
      </c>
      <c r="D2178" t="n">
        <v>4</v>
      </c>
      <c r="E2178" t="n">
        <v>2</v>
      </c>
      <c r="F2178">
        <f>HYPERLINK("https://www.reddit.com/r/cancer/comments/bk0j8s/another_radiology_checkin/")</f>
        <v/>
      </c>
      <c r="G2178" t="inlineStr">
        <is>
          <t>2019-05-02 14:40:40</t>
        </is>
      </c>
      <c r="H2178" t="inlineStr"/>
    </row>
    <row r="2179">
      <c r="A2179" t="inlineStr">
        <is>
          <t>bk2oi6</t>
        </is>
      </c>
      <c r="B2179" t="inlineStr">
        <is>
          <t>Got my port out</t>
        </is>
      </c>
      <c r="C2179" t="inlineStr">
        <is>
          <t>I got my port out today! I was super excited till about an hour ago when ALL the lidocaine wore off and I forgot how much the dang incision hurts! Extra hurts for me because, fun fact, boobs pull on your skin and when there’s an incision they try to pull it open. Owpain. But also still yay</t>
        </is>
      </c>
      <c r="D2179" t="n">
        <v>15</v>
      </c>
      <c r="E2179" t="n">
        <v>20</v>
      </c>
      <c r="F2179">
        <f>HYPERLINK("https://www.reddit.com/r/cancer/comments/bk2oi6/got_my_port_out/")</f>
        <v/>
      </c>
      <c r="G2179" t="inlineStr">
        <is>
          <t>2019-05-02 18:14:55</t>
        </is>
      </c>
      <c r="H2179" t="inlineStr"/>
    </row>
    <row r="2180">
      <c r="A2180" t="inlineStr">
        <is>
          <t>bk3a3m</t>
        </is>
      </c>
      <c r="B2180" t="inlineStr">
        <is>
          <t>Cancer question</t>
        </is>
      </c>
      <c r="C2180" t="inlineStr">
        <is>
          <t>My dad was diagnosed with breast cancer a few months ago and is almost finished up with his chemo. Recently in my state there has been a measles outbreak due to anti vaxers. Ive heard that the chemo process will sometimes remove vaccines such as the measles vaccine from your system. Would this be something I should be concerned about? My dad is very germaphobic at the moment, I’m just wondering if that would be a possibility if he came in contact with the virus. 
Any answers would be appreciated,
 thank you.</t>
        </is>
      </c>
      <c r="D2180" t="n">
        <v>2</v>
      </c>
      <c r="E2180" t="n">
        <v>3</v>
      </c>
      <c r="F2180">
        <f>HYPERLINK("https://www.reddit.com/r/cancer/comments/bk3a3m/cancer_question/")</f>
        <v/>
      </c>
      <c r="G2180" t="inlineStr">
        <is>
          <t>2019-05-02 19:19:25</t>
        </is>
      </c>
      <c r="H2180" t="inlineStr"/>
    </row>
    <row r="2181">
      <c r="A2181" t="inlineStr">
        <is>
          <t>bk3gok</t>
        </is>
      </c>
      <c r="B2181" t="inlineStr">
        <is>
          <t>Do bone marrow donors and recipients have to be in the same hospital/location?</t>
        </is>
      </c>
      <c r="C2181" t="inlineStr">
        <is>
          <t>Or is it like organ donation where they can fly/transfer the donation to where it needs to be.</t>
        </is>
      </c>
      <c r="D2181" t="n">
        <v>3</v>
      </c>
      <c r="E2181" t="n">
        <v>3</v>
      </c>
      <c r="F2181">
        <f>HYPERLINK("https://www.reddit.com/r/cancer/comments/bk3gok/do_bone_marrow_donors_and_recipients_have_to_be/")</f>
        <v/>
      </c>
      <c r="G2181" t="inlineStr">
        <is>
          <t>2019-05-02 19:38:53</t>
        </is>
      </c>
      <c r="H2181" t="inlineStr"/>
    </row>
    <row r="2182">
      <c r="A2182" t="inlineStr">
        <is>
          <t>bk4523</t>
        </is>
      </c>
      <c r="B2182" t="inlineStr">
        <is>
          <t>Colon Cancer or IBS?</t>
        </is>
      </c>
      <c r="C2182" t="inlineStr">
        <is>
          <t xml:space="preserve"> I've been worried about this and its been on my mind so i'm just gonna ask. Okay so about 3 weeks ago I just randomly started having constipation and had it for about a week until I started using it some but still feel constipated some. My stools are almost completely random. Sometimes they could be ribbon like, or mushy, or just small hard pieces. Only once have I had a somewhat normal looking stool. The color is usually light brown and seems to have some sort of mucus or fuzz on it. I've had bright red blood on the toilet paper and maybe every now and then but I've had that for like 4 years and my doctor at the time said it was just an anal fissure. I've had occasional stomach cramps and pain in different areas of the abdomen left and right but its not a constant pain. Also forgot to mention but when I wipe sometimes theres like this yellow looking substance. I'll probably go to the doctor next week but I just wanted opinons or some reassurance. I've been paranoid its colon cancer because my dad was just diagnosed with that and stage 4 liver cancer in March, he's 54.</t>
        </is>
      </c>
      <c r="D2182" t="n">
        <v>0</v>
      </c>
      <c r="E2182" t="n">
        <v>4</v>
      </c>
      <c r="F2182">
        <f>HYPERLINK("https://www.reddit.com/r/cancer/comments/bk4523/colon_cancer_or_ibs/")</f>
        <v/>
      </c>
      <c r="G2182" t="inlineStr">
        <is>
          <t>2019-05-02 20:57:47</t>
        </is>
      </c>
      <c r="H2182" t="inlineStr"/>
    </row>
    <row r="2183">
      <c r="A2183" t="inlineStr">
        <is>
          <t>bk46rl</t>
        </is>
      </c>
      <c r="B2183" t="inlineStr">
        <is>
          <t>Thigh Sarcoma - Now Spread To Lungs</t>
        </is>
      </c>
      <c r="C2183" t="inlineStr">
        <is>
          <t>Last Summer - my father noticed this mass on his thigh that grew quite large and quite quickly. He went into the doctor and was told that it was a sarcoma of the thigh. In November of 2018, he had a successful surgery that removed the sarcoma. He also had some radiation to that site after he healed up from the original surgery.   
Since November he has a had a few follow up scans. They were watching his thigh, hip, and lungs. Everything looked fine in December. Then again in early April, he had another scan. Again, everything looked fine except his lungs. There were new nodules/growths that weren't there before. Fast forward, a few weeks back he had a biopsy done of his lung, and it came back positive for cancer.  
My dad is 66 and a health wiz. Doesn't smoke, doesn't have any other co-morbidities. I think he broke his arm as a teenager - that's the extent of his health history. He hates the hospital, he hates needles/blood, everything that relates to health care. I understand that. So I know it's already a lot for him to have to be in this setting.   
But now doctors are telling him that he has stage IV cancer (something that from what I know is cancer that has spread widely across the body to multiple organs, even though from what I know - it's only spread to his lungs).   
It doesn't sound good. They want him to start chemo on the 14th of May. He knows about the side effects of chemo and I think that is mentally freaking him out and he's talked about maybe just forgetting it. I guess he's gonna have a PET scan next week in other areas of his body to see if there is anything there? But I don't get why they are calling it stage IV cancer if they don't know if it is widely spread.   
Anyways, it's a real crap situation. My dad and I are close obviously, but we've never been the hugging and saying "I love you" type. I don't get emotional or cry or stuff like that, but internally I feel pretty wiped about the situation. I don't know what to do or even what to say other than cancer 'expletive' sucks.</t>
        </is>
      </c>
      <c r="D2183" t="n">
        <v>3</v>
      </c>
      <c r="E2183" t="n">
        <v>7</v>
      </c>
      <c r="F2183">
        <f>HYPERLINK("https://www.reddit.com/r/cancer/comments/bk46rl/thigh_sarcoma_now_spread_to_lungs/")</f>
        <v/>
      </c>
      <c r="G2183" t="inlineStr">
        <is>
          <t>2019-05-02 21:03:26</t>
        </is>
      </c>
      <c r="H2183" t="inlineStr"/>
    </row>
    <row r="2184">
      <c r="A2184" t="inlineStr">
        <is>
          <t>bk49on</t>
        </is>
      </c>
      <c r="B2184" t="inlineStr">
        <is>
          <t>I’m going (27M) to get my kidney removed. What questions should I ask my doctor before surgery?</t>
        </is>
      </c>
      <c r="C2184" t="inlineStr">
        <is>
          <t>I got diagnosed with kidney cancer with lung Mets. Before knowing about the lung, the doctor said he was going to remove just part of my kidney, but now they said it’s necessary to remove the whole kidney. 
I read brain Mets is also possible but I haven’t had a head ct scan. 
I’m going to see my doctor tomorrow and I’d like to ask him everything I need to know before surgery. 
Thanks for any help.</t>
        </is>
      </c>
      <c r="D2184" t="n">
        <v>3</v>
      </c>
      <c r="E2184" t="n">
        <v>2</v>
      </c>
      <c r="F2184">
        <f>HYPERLINK("https://www.reddit.com/r/cancer/comments/bk49on/im_going_27m_to_get_my_kidney_removed_what/")</f>
        <v/>
      </c>
      <c r="G2184" t="inlineStr">
        <is>
          <t>2019-05-02 21:13:05</t>
        </is>
      </c>
      <c r="H2184" t="inlineStr"/>
    </row>
    <row r="2185">
      <c r="A2185" t="inlineStr">
        <is>
          <t>bk4ago</t>
        </is>
      </c>
      <c r="B2185" t="inlineStr">
        <is>
          <t>My friend (26M) just got diagnosed with brain cancer</t>
        </is>
      </c>
      <c r="C2185" t="inlineStr">
        <is>
          <t>Hi all,
Just looking to get it off my chest I suppose. One of my friends, who I’ve known since we were 12, got diagnosed with a glioblastoma of the left basal ganglia today. I am devastated as I know the prognosis of glioblastomas is not exactly positive. This really f*cking sucks. I randomly cry throughout the day and I can’t even imagine how his family or girlfriend feels. I wish there was something I could do.</t>
        </is>
      </c>
      <c r="D2185" t="n">
        <v>14</v>
      </c>
      <c r="E2185" t="n">
        <v>6</v>
      </c>
      <c r="F2185">
        <f>HYPERLINK("https://www.reddit.com/r/cancer/comments/bk4ago/my_friend_26m_just_got_diagnosed_with_brain_cancer/")</f>
        <v/>
      </c>
      <c r="G2185" t="inlineStr">
        <is>
          <t>2019-05-02 21:15:41</t>
        </is>
      </c>
      <c r="H2185" t="inlineStr"/>
    </row>
    <row r="2186">
      <c r="A2186" t="inlineStr">
        <is>
          <t>bk76ir</t>
        </is>
      </c>
      <c r="B2186" t="inlineStr">
        <is>
          <t>Conflicting dreams</t>
        </is>
      </c>
      <c r="C2186" t="inlineStr">
        <is>
          <t>This is random, but last night I had two different dreams involving my next checkup. In the first one, I dreamt that my neurosurgeon told me that I was fine, and my brain tumor hadn't grown back. After waking up and falling back to sleep, I dreamt that my oncologist told me that my tumor had returned. 
It's funny, because after my last surgery, I felt like my surgeon (who looks a lot like Bob Einstein) was uncomfortable with delivering bad news, telling me that my tumor was cancerous. My oncologist, however, was pretty good about not sugarcoating the bad news, so my dreams aptly fit them both pretty well.</t>
        </is>
      </c>
      <c r="D2186" t="n">
        <v>2</v>
      </c>
      <c r="E2186" t="n">
        <v>0</v>
      </c>
      <c r="F2186">
        <f>HYPERLINK("https://www.reddit.com/r/cancer/comments/bk76ir/conflicting_dreams/")</f>
        <v/>
      </c>
      <c r="G2186" t="inlineStr">
        <is>
          <t>2019-05-03 04:07:34</t>
        </is>
      </c>
      <c r="H2186" t="inlineStr"/>
    </row>
    <row r="2187">
      <c r="A2187" t="inlineStr">
        <is>
          <t>bk7wap</t>
        </is>
      </c>
      <c r="B2187" t="inlineStr">
        <is>
          <t>I love my mother and my best friend this morning.</t>
        </is>
      </c>
      <c r="C2187" t="inlineStr">
        <is>
          <t>My mom had been struggling really hard with Bone marrow cancer for the past 7 years, I recently moved back in with her due to her being really weak and on lots of pain meds, over these 7 years I feel like I grew more close to her than I ever have. 
This morning she told me she loved me and her grandchildren very much, and passed away holding my hand. 
I don’t think I’ve ever felt heartbreak like this. It totally obliterated my divorce in seconds. 
Thankfully I have you guys and a lot of support from fellow redditors. I love you guys more than you’ll ever know!</t>
        </is>
      </c>
      <c r="D2187" t="n">
        <v>40</v>
      </c>
      <c r="E2187" t="n">
        <v>18</v>
      </c>
      <c r="F2187">
        <f>HYPERLINK("https://www.reddit.com/r/cancer/comments/bk7wap/i_love_my_mother_and_my_best_friend_this_morning/")</f>
        <v/>
      </c>
      <c r="G2187" t="inlineStr">
        <is>
          <t>2019-05-03 05:27:14</t>
        </is>
      </c>
      <c r="H2187" t="inlineStr"/>
    </row>
    <row r="2188">
      <c r="A2188" t="inlineStr">
        <is>
          <t>bk864i</t>
        </is>
      </c>
      <c r="B2188" t="inlineStr">
        <is>
          <t>Rife machine for cancer treatment</t>
        </is>
      </c>
      <c r="C2188" t="inlineStr">
        <is>
          <t>Hi there,
Has anybody used the Rife machine for cancer treatment? What was you experience? Any alternative treatments would you suggest for advance stage cancer?
Thanks.
Vik</t>
        </is>
      </c>
      <c r="D2188" t="n">
        <v>0</v>
      </c>
      <c r="E2188" t="n">
        <v>10</v>
      </c>
      <c r="F2188">
        <f>HYPERLINK("https://www.reddit.com/r/cancer/comments/bk864i/rife_machine_for_cancer_treatment/")</f>
        <v/>
      </c>
      <c r="G2188" t="inlineStr">
        <is>
          <t>2019-05-03 05:56:00</t>
        </is>
      </c>
      <c r="H2188" t="inlineStr"/>
    </row>
    <row r="2189">
      <c r="A2189" t="inlineStr">
        <is>
          <t>bka5vs</t>
        </is>
      </c>
      <c r="B2189" t="inlineStr">
        <is>
          <t>Cancer patients in remission or undergoing treatment: what were some things you were told, or wish you'd been told, by loved ones, that made you feel better?</t>
        </is>
      </c>
      <c r="C2189" t="inlineStr">
        <is>
          <t>My little brother (19yo) just got diagnosed with malignant stomach cancer. He's undergoing chemotherapy now before they remove big parts of his stomach and part of his esophagus. He's then going through another set of chemotherapy. He's been experiencing very harsh side effects from the treatment, and is feeling very low. I feel so helpless because I can't think of anything to say other than "it'll get better soon" and both he and I know that I can't possibly know that. Hence my question: maybe some of you with experience might know if there is anything that I could say or do that might make him feel better, or at least less sad? I don't want to ask him if there's anything I can do because it feels like that would only put pressure on him to cheer me up, and that is NOT what I want. Thankful for any reply.</t>
        </is>
      </c>
      <c r="D2189" t="n">
        <v>8</v>
      </c>
      <c r="E2189" t="n">
        <v>15</v>
      </c>
      <c r="F2189">
        <f>HYPERLINK("https://www.reddit.com/r/cancer/comments/bka5vs/cancer_patients_in_remission_or_undergoing/")</f>
        <v/>
      </c>
      <c r="G2189" t="inlineStr">
        <is>
          <t>2019-05-03 09:05:02</t>
        </is>
      </c>
      <c r="H2189" t="inlineStr"/>
    </row>
    <row r="2190">
      <c r="A2190" t="inlineStr">
        <is>
          <t>bkar5n</t>
        </is>
      </c>
      <c r="B2190" t="inlineStr">
        <is>
          <t>A year ago</t>
        </is>
      </c>
      <c r="C2190" t="inlineStr">
        <is>
          <t>A year ago tomorrow I was diagnosed with follicular thyroid carcinoma and it is bringing up serious emotions for me. All I can think about is how no one knows that it was when I was diagnosed and no one cares. All I can do right now is cry. I don’t know what to do</t>
        </is>
      </c>
      <c r="D2190" t="n">
        <v>11</v>
      </c>
      <c r="E2190" t="n">
        <v>9</v>
      </c>
      <c r="F2190">
        <f>HYPERLINK("https://www.reddit.com/r/cancer/comments/bkar5n/a_year_ago/")</f>
        <v/>
      </c>
      <c r="G2190" t="inlineStr">
        <is>
          <t>2019-05-03 09:58:54</t>
        </is>
      </c>
      <c r="H2190" t="inlineStr"/>
    </row>
    <row r="2191">
      <c r="A2191" t="inlineStr">
        <is>
          <t>bkazms</t>
        </is>
      </c>
      <c r="B2191" t="inlineStr">
        <is>
          <t>I broke.</t>
        </is>
      </c>
      <c r="C2191" t="inlineStr">
        <is>
          <t>My mom has Stage 4 Ovarian cancer that’s spread throughout her lymph nodes. All natural treatment and she’s in a lot of pain. Well anyway, something set me off last night when I was with a friend who lost her mom to a drug overdose a few years back and I just had a full blown panic attack in my car because my mom said she was hurting. The worst panic attack I have ever had and I had to call her in tears. My bf was there too. I couldn’t breathe or think or stop crying. I was to the point of almost gagging. (That’s the only thing that calmed me down because I hate getting sick.) I am at the end of my rope and I have no one to talk to. I’m so scared. I can’t even enjoy life anymore. I graduate highschool in 15 days and I’m not even excited. And I feel selfish. Am I overreacting? Am I being selfish?</t>
        </is>
      </c>
      <c r="D2191" t="n">
        <v>22</v>
      </c>
      <c r="E2191" t="n">
        <v>6</v>
      </c>
      <c r="F2191">
        <f>HYPERLINK("https://www.reddit.com/r/cancer/comments/bkazms/i_broke/")</f>
        <v/>
      </c>
      <c r="G2191" t="inlineStr">
        <is>
          <t>2019-05-03 10:19:31</t>
        </is>
      </c>
      <c r="H2191" t="inlineStr"/>
    </row>
    <row r="2192">
      <c r="A2192" t="inlineStr">
        <is>
          <t>bkb9aq</t>
        </is>
      </c>
      <c r="B2192" t="inlineStr">
        <is>
          <t>Happy Nurses Appreciation Week!</t>
        </is>
      </c>
      <c r="C2192" t="inlineStr">
        <is>
          <t>Anna's Pals
Anna's Pals Focused on improving the lives of hospitalized children and their families.
Thank you Nurses
￼
May 6-12 is National Nurses Week. Nurses are the backbone of our medical system. They are the first person you see when you go to the doctor, the emergency room or clinic. Nurses are a constant presence during any hospitalization. Nurses are our neighbors, our friends, and our community leaders.
My appreciation for nurses began when, as a teacher, my classroom was moved across the hall from the nurses office. I began to understand that nurses not only put bandages on knees scraped during recess, but often were surrogate mothers, counselors and therapists. These nurses brought families together, monitored eating disorders and balanced the fine line between being health teachers and adolescence advisers. The job the nurses were doing was far more complex than my teaching role.
When Anna was diagnosed with AML, an aggressive form of Leukemia, my appreciation grew into admiration. Anna was hospitalized for six straight months. The nurses at Boston Children's Hospital became our family. They were the one thing we could count on morning, noon and night. Nurses that weren't even assigned to Anna made sure all her needs were met.
I remember so clearly the night Anna was brought up to the 6th floor, the blood cancers and disorder unit of the hospital. One nurse came in to give us a brief tour of things. We were in a daze. Hearing that your child has cancer sends your mind to places it should never go. I was walking aimlessly down the hall, not at all knowing what was to come, when one of the nurses, who I hadn't yet met, approached me and said, "You look like you need a hug, can I give you one?" That small gesture of kindness set the tone for our stay.
These nurses bonded with Anna. These nurses, who were probably juggling too many patients, too many medications, crazed parents and screaming children, made Anna feel like she was their priority. These nurses made Anna feel like she was the most important kid on the floor. These nurses went to bat for Anna when she needed IV Tylenol and one doctor, doing his residency, didn't necessarily agree it was needed. These same nurses continually checked in to make sure we (Anna's parents and siblings) were doing okay too.
Anna and I were discreetly, or so we thought, having a syringe water fight.  One of the nurses came in and handed Anna a HUGE syringe. One squirt from that huge syringe, and Anna soaked me! Another nurse, a Leukemia survivor herself, eased Anna's mind by sharing some of her own stories. One night, when Anna was awaiting her bone marrow transplant, she couldn't sleep. Her schedule was all mixed up and she was sleeping a lot during the day, and was up at night. I could not keep my eyes open, so I fell asleep during a movie Anna and I were watching. One of Anna's nurses, aware of Anna's new found nocturnal behavior, took Anna on her rounds with her. She let Anna be up, awake and used her nursing superpowers to eliminate any anxiety Anna had about her transplant. She brought Anna into the transplant ward, introduced her to the nurses over there. Again, making Anna feel like a priority, making her feel important, allowing Anna to feel like the adult she would not be allowed to be.
I could go on and on, telling stories about how nurses made the stay at Boston Children's Hospital bearable. These nurses work relentlessly to provide more than just medical care. Nurses care for us from birth, all the way through our lives-at doctor visits, schools and through emergencies. Typically, it is a nurse who is with us at the end.
Nurses. The backbone of our medical system. Thank you nurses. Thank you for your never-ending,  all encompassing care. Thank you for going above and beyond the call of duty. You should be celebrated this week and every week!</t>
        </is>
      </c>
      <c r="D2192" t="n">
        <v>8</v>
      </c>
      <c r="E2192" t="n">
        <v>1</v>
      </c>
      <c r="F2192">
        <f>HYPERLINK("https://www.reddit.com/r/cancer/comments/bkb9aq/happy_nurses_appreciation_week/")</f>
        <v/>
      </c>
      <c r="G2192" t="inlineStr">
        <is>
          <t>2019-05-03 10:43:18</t>
        </is>
      </c>
      <c r="H2192" t="inlineStr"/>
    </row>
    <row r="2193">
      <c r="A2193" t="inlineStr">
        <is>
          <t>bkctq1</t>
        </is>
      </c>
      <c r="B2193" t="inlineStr">
        <is>
          <t>Great news!</t>
        </is>
      </c>
      <c r="C2193" t="inlineStr">
        <is>
          <t>Got my CT Scan and Biopsy results today and it’s only stage one! 90% success rate and a chance at a clinical trial that may help financially and has great success rates. Feeling very optimistic</t>
        </is>
      </c>
      <c r="D2193" t="n">
        <v>95</v>
      </c>
      <c r="E2193" t="n">
        <v>33</v>
      </c>
      <c r="F2193">
        <f>HYPERLINK("https://www.reddit.com/r/cancer/comments/bkctq1/great_news/")</f>
        <v/>
      </c>
      <c r="G2193" t="inlineStr">
        <is>
          <t>2019-05-03 13:04:40</t>
        </is>
      </c>
      <c r="H2193" t="inlineStr"/>
    </row>
    <row r="2194">
      <c r="A2194" t="inlineStr">
        <is>
          <t>bkdx6q</t>
        </is>
      </c>
      <c r="B2194" t="inlineStr">
        <is>
          <t>My (F21) aunty has just been told theres nothing left to do</t>
        </is>
      </c>
      <c r="C2194" t="inlineStr">
        <is>
          <t>Just before I came to uni my aunty was diagnosed with an aggressive form of acute myeloid leukaemia. I didn't know her that well but she was having treatment at the same hospital that I was going to uni. I didn't see her much in my first two years, only once or twice a week but recently I have been seeing her every day for up to two hours a day. She has no family around the hospital and so I have been her only visitor and she has been my only family around. I know I have been a support to her but she has been a lifeline to me, being able to see someone every day from home has helped me to no end, and has helped me through some of my darkest days. She doesn't know how much she has meant to me and how much she has helped me. But today I have found out that there is no more treatment that she can be offered and she is going to go back home to be made comfortable. I am absolutely distraught, I was suppose to see her today but I was too busy and then I found this out. I feel awful that I wasnt with her and i dont know whether i should go see her tomorrow. I dont know how I am going to cope without her, or what to say if I do see her but I feel so selfish because shes the one that's had this horrible news and must be devastated.</t>
        </is>
      </c>
      <c r="D2194" t="n">
        <v>15</v>
      </c>
      <c r="E2194" t="n">
        <v>3</v>
      </c>
      <c r="F2194">
        <f>HYPERLINK("https://www.reddit.com/r/cancer/comments/bkdx6q/my_f21_aunty_has_just_been_told_theres_nothing/")</f>
        <v/>
      </c>
      <c r="G2194" t="inlineStr">
        <is>
          <t>2019-05-03 14:46:59</t>
        </is>
      </c>
      <c r="H2194" t="inlineStr"/>
    </row>
    <row r="2195">
      <c r="A2195" t="inlineStr">
        <is>
          <t>bkee15</t>
        </is>
      </c>
      <c r="B2195" t="inlineStr">
        <is>
          <t>Primary biliary cholangitis and cancer treatment...</t>
        </is>
      </c>
      <c r="C2195" t="inlineStr">
        <is>
          <t>A random question, dose anyone know if treatments like chemo etc can effect Primary biliary cholangitis? (Formerly called Primary Biliary Cirrhosis) my mum may have to have treatment for Lung Cancer, and she has PBC. The doctor in charge of her seems to know of it, and off-handedly waved it off, but naturally we just want to know...</t>
        </is>
      </c>
      <c r="D2195" t="n">
        <v>2</v>
      </c>
      <c r="E2195" t="n">
        <v>0</v>
      </c>
      <c r="F2195">
        <f>HYPERLINK("https://www.reddit.com/r/cancer/comments/bkee15/primary_biliary_cholangitis_and_cancer_treatment/")</f>
        <v/>
      </c>
      <c r="G2195" t="inlineStr">
        <is>
          <t>2019-05-03 15:32:09</t>
        </is>
      </c>
      <c r="H2195" t="inlineStr"/>
    </row>
    <row r="2196">
      <c r="A2196" t="inlineStr">
        <is>
          <t>bkeizk</t>
        </is>
      </c>
      <c r="B2196" t="inlineStr">
        <is>
          <t>Appendiceal trial help</t>
        </is>
      </c>
      <c r="C2196" t="inlineStr">
        <is>
          <t>My father has recently been diagnosed with cancer of the Appendix. He had been caught at the early stage from what I understand, but it is an aggressive cancer.  We are looking for treatments and experimental trials from anywhere. We are going to Sloan Kettering, which I am told is one of the best places to go. The practitioner (or whoever he was) has recommended to look for trials in Europe; If anyone has had experience, or perhaps even recommendation for these trials. 
~Anon</t>
        </is>
      </c>
      <c r="D2196" t="n">
        <v>2</v>
      </c>
      <c r="E2196" t="n">
        <v>0</v>
      </c>
      <c r="F2196">
        <f>HYPERLINK("https://www.reddit.com/r/cancer/comments/bkeizk/appendiceal_trial_help/")</f>
        <v/>
      </c>
      <c r="G2196" t="inlineStr">
        <is>
          <t>2019-05-03 15:45:16</t>
        </is>
      </c>
      <c r="H2196" t="inlineStr"/>
    </row>
    <row r="2197">
      <c r="A2197" t="inlineStr">
        <is>
          <t>bkfbim</t>
        </is>
      </c>
      <c r="B2197" t="inlineStr">
        <is>
          <t>Port Placement Surgery</t>
        </is>
      </c>
      <c r="C2197" t="inlineStr">
        <is>
          <t>I (F20) was just recently diagnosed with stage 2 Hodgkin’s lymphoma and I had my port placement surgery today as well as two incisions in my lower back to check my bone marrow. Does anyone have any tips on reducing pain caused by bouncing boobs pulling on my incision? I’m driving home right now and even just hitting bumps in the road is killing me, any advice is appreciated!</t>
        </is>
      </c>
      <c r="D2197" t="n">
        <v>3</v>
      </c>
      <c r="E2197" t="n">
        <v>12</v>
      </c>
      <c r="F2197">
        <f>HYPERLINK("https://www.reddit.com/r/cancer/comments/bkfbim/port_placement_surgery/")</f>
        <v/>
      </c>
      <c r="G2197" t="inlineStr">
        <is>
          <t>2019-05-03 17:07:58</t>
        </is>
      </c>
      <c r="H2197" t="inlineStr"/>
    </row>
    <row r="2198">
      <c r="A2198" t="inlineStr">
        <is>
          <t>bkg6rt</t>
        </is>
      </c>
      <c r="B2198" t="inlineStr">
        <is>
          <t>Bowel cancer question. Please help.</t>
        </is>
      </c>
      <c r="C2198" t="inlineStr">
        <is>
          <t>Hi everyone
I was just wondering what everyone's first warning signs were that they may have bowel cancer? 
For the last year, every few months I have been getting bad stomach cramps. These are continuous throughout the day and last about 5-7 days. It is worse when I'm up and moving about. Sometimes during this time my stools will be a bit looser/more frequent. Mainly though it is a very sore tummy (usually all over but sometimes it's not localised to the upper right). 
The latest episode has been this past week and last night I  also had chills &amp;amp; achy arms and legs (like when you get the flu). I also have ulcers in my mouth.
My mum's Aunt (my great aunt) was diagnosed with bowel cancer at the start of last year and passed away last April. So very fast. She doctors prior and they continually dismissed her until it was too late.
Both my brothers are diagnosed with ulcerative colitis, and I believe there is a large family history of IBD on my dad's side.
I don't know if I could have IBD too but my symptoms are not anywhere near as severe as my brother's so it makes me doubt Crohn's or colitis.
I also have endometriosis but this pain is not in my pelvic area.
I've been to the doctor about it three times - first time they did some ultrasounds to check for gallstones and check my ovaries, all came back good. Bloods also done and all normal.
 Second time, a different doctor, they just completely dismissed it and said not to worry, was probably the endometriosis.
This week I saw another GP and they've referred me to a Gastro specialist and said I'll likely have a colonoscopy done. 
I know no one here can diagnose me but just really after some advice. After what happened with my great aunt I'm just a nervous wreck and worried that the doctors are missing something and if I have cancer then all this time wasting is just allowing the cancer to grow. By the time they diagnose me it could be too late :(
Any advice would be hugely appreciated. Thank you!</t>
        </is>
      </c>
      <c r="D2198" t="n">
        <v>0</v>
      </c>
      <c r="E2198" t="n">
        <v>4</v>
      </c>
      <c r="F2198">
        <f>HYPERLINK("https://www.reddit.com/r/cancer/comments/bkg6rt/bowel_cancer_question_please_help/")</f>
        <v/>
      </c>
      <c r="G2198" t="inlineStr">
        <is>
          <t>2019-05-03 18:46:46</t>
        </is>
      </c>
      <c r="H2198" t="inlineStr"/>
    </row>
    <row r="2199">
      <c r="A2199" t="inlineStr">
        <is>
          <t>bkh2a7</t>
        </is>
      </c>
      <c r="B2199" t="inlineStr">
        <is>
          <t>Tired.</t>
        </is>
      </c>
      <c r="C2199" t="inlineStr">
        <is>
          <t>I just want my life back to pre-cancer normal.
Even the good times don’t feel good anymore. I wish the healthy people around me knew how lucky they are.
My life changed in an instant:  husband (52) diagnosed with colon cancer during routine colonoscopy.  I remember feeling like something was wrong because the nurse came out to tell me we needed to talk to the doctor. Other people just got their person and went home.
One minute I was in the waiting room surfing the internet for vacation destinations and the next I was fearing that my whole life was falling away. The tumor was big and they suspected it was bad. I remember the doctor saying “we are aiming for a cure” and thinking “so a cure isn’t a guarantee.”
We are lucky. We spent a week thinking the worst and then learned it is Stage 2. For this cancer, that has meant radiation and chemo, which are rough. He will have surgery and more chemo. And then we hope for the best.
In a weird way I’m grateful for the time thinking it was the worst-case because now nothing seems so bad. It is amazing what compromises we will make just to live.
Cancer makes you focus. We thought we had SO MUCH time. We were always making plans “in 5 years” or “when the kids are in college.”  Now..well, we still might have time, but we don’t know. We’ve re-read the wills. We have teenage kids. When I spend 10 minutes not thinking about cancer it feels like a luxury.
And yet I’m so aware of our good fortune:  solid health insurance (we’re in the US), relative wealth, supportive family. We can miss work and not worry - at least for now. We have a car and can get ourselves to the city for second opinions. We have a nice house to comfortably recover.
And yet I am so fucking angry. I can’t believe this happened to me, to my husband, our kids. I can’t believe it is happening to you.
The day is the diagnosis I told my father “I know this only happens to other people, but now it is happening to us.”
I already feel withdrawal from friends who don’t know what to say or how to feel. They want to know how we are dealing with this but they are afraid to ask.  Iused to be that person sometimes.
I don’t really know why I’m writing this other than I can’t say this stuff in my real life. I’m tired of being told how strong we are. We didn’t choose this. It isn’t some 5K we trained for. I’m not strong and I don’t have faith and I’m really really fucking tired. I make all kinds of sugar-free meals from our Anti-Cancer cookbook and then drink a bottle of wine. I’m keeping it together, but I’m a mess.
Thank you all for being here. I wish everyone the best of health and so much comfort.
Fuck cancer.</t>
        </is>
      </c>
      <c r="D2199" t="n">
        <v>27</v>
      </c>
      <c r="E2199" t="n">
        <v>8</v>
      </c>
      <c r="F2199">
        <f>HYPERLINK("https://www.reddit.com/r/cancer/comments/bkh2a7/tired/")</f>
        <v/>
      </c>
      <c r="G2199" t="inlineStr">
        <is>
          <t>2019-05-03 20:32:49</t>
        </is>
      </c>
      <c r="H2199" t="inlineStr"/>
    </row>
    <row r="2200">
      <c r="A2200" t="inlineStr">
        <is>
          <t>bkhjzv</t>
        </is>
      </c>
      <c r="B2200" t="inlineStr">
        <is>
          <t>Having a VATS lobectomy of the left lung upper lobe this week and was curious if anyone has any experience and what to expect?</t>
        </is>
      </c>
      <c r="C2200" t="inlineStr">
        <is>
          <t>Very recently diagnosed with some Neuroendocrine tumors of the lung not sure of which kind won't know for sure until pathology is done on the lymphnodes and tissue.  Just looking to see if anyone has any experience with this either firsthand or from knowing someone who has had something similar done</t>
        </is>
      </c>
      <c r="D2200" t="n">
        <v>3</v>
      </c>
      <c r="E2200" t="n">
        <v>13</v>
      </c>
      <c r="F2200">
        <f>HYPERLINK("https://www.reddit.com/r/cancer/comments/bkhjzv/having_a_vats_lobectomy_of_the_left_lung_upper/")</f>
        <v/>
      </c>
      <c r="G2200" t="inlineStr">
        <is>
          <t>2019-05-03 21:37:00</t>
        </is>
      </c>
      <c r="H2200" t="inlineStr"/>
    </row>
    <row r="2201">
      <c r="A2201" t="inlineStr">
        <is>
          <t>bkk9ca</t>
        </is>
      </c>
      <c r="B2201" t="inlineStr">
        <is>
          <t>Question about the aftermath of surgery</t>
        </is>
      </c>
      <c r="C2201" t="inlineStr">
        <is>
          <t>Hi there!
My father has had a surgery on April 11th, and is now healing, the surgeons removed the cancer and he is now considered cured from his cardia cancer. We really are truly happy to be this lucky. 
However, there's a little problem, basically they removed part of his œsophagus and tubed his stomach to replicate the shape of the œsophagus they took out beforehand, and dad has been having trouble eating. My mother and I, who are the most at home, think his trouble eating is from the large portions he has and the fact that he wants to burn steps, but it can also be that he's convinced that some things won't pass.
Is there someone that's had a similar surgery and has reverted to a normal/standard diet? If so can you please either answer here of send me a PM, because dad is losing the hope that he'll ever enjoy eating again and it kills us to see him that way.
Sorry for the bad English, I'm French, but I tried my hardest.
Good luck to you all in the fight, I truly admire all of you for your strength and niceness.</t>
        </is>
      </c>
      <c r="D2201" t="n">
        <v>4</v>
      </c>
      <c r="E2201" t="n">
        <v>5</v>
      </c>
      <c r="F2201">
        <f>HYPERLINK("https://www.reddit.com/r/cancer/comments/bkk9ca/question_about_the_aftermath_of_surgery/")</f>
        <v/>
      </c>
      <c r="G2201" t="inlineStr">
        <is>
          <t>2019-05-04 04:37:17</t>
        </is>
      </c>
      <c r="H2201" t="inlineStr"/>
    </row>
    <row r="2202">
      <c r="A2202" t="inlineStr">
        <is>
          <t>bkk9r0</t>
        </is>
      </c>
      <c r="B2202" t="inlineStr">
        <is>
          <t>What are the chances of recovery.</t>
        </is>
      </c>
      <c r="C2202" t="inlineStr">
        <is>
          <t>My Grandma (76) was recently diagnosed with a second primary lung cancer. Doctor suggested chemotherapy only with a palliative intent. After having thought a lot on it, the family decided to give chemo a shot hoping it would buy her few more month. She recently got her second dose of her first cycle. Now she is in ICU, unresponsive for last three days. Her leucocyte count is less than 400, platelets keep depleting. She also has UTI. Doctors say that she has 5-10 percent chance of recovery, however we're still not giving up. What do you guys have to say about this? Are there any chances of improvement in her condition?</t>
        </is>
      </c>
      <c r="D2202" t="n">
        <v>5</v>
      </c>
      <c r="E2202" t="n">
        <v>11</v>
      </c>
      <c r="F2202">
        <f>HYPERLINK("https://www.reddit.com/r/cancer/comments/bkk9r0/what_are_the_chances_of_recovery/")</f>
        <v/>
      </c>
      <c r="G2202" t="inlineStr">
        <is>
          <t>2019-05-04 04:38:56</t>
        </is>
      </c>
      <c r="H2202" t="inlineStr"/>
    </row>
    <row r="2203">
      <c r="A2203" t="inlineStr">
        <is>
          <t>bklkud</t>
        </is>
      </c>
      <c r="B2203" t="inlineStr">
        <is>
          <t>Lucy was.</t>
        </is>
      </c>
      <c r="C2203" t="inlineStr">
        <is>
          <t>The cancer community, vast and ever-present, is one initially thrown together by circumstance; forged in fear and shaped by grief.  At first, we cling to one another in the desperate hope that being around those whose footsteps we blindly stumble in might somehow lessen the gravity of the burden we each carry so confusedly.
Lucy was a beacon.
No one was prepared for the journey, and all we can do is look to those travelling with us for some guidance, clinging to those rare and remarkable individuals who somehow illuminate the darkness with their own light.
But, like a lotus from the mud, something new and beautiful can grow; weaving its way unwaveringly and unapologetically skywards.  With love, patience and perseverance, our collective trauma (whilst still awful) can give life to the truly extrordianary.
Lucy was a gardener.
She planted the seed on October 16th 2018, bringing together a handful of people, myself included, in a Whatsapp group. Carving out a space online, she created somewhere within which we could be entirely vulnerable and upfront about the challenges we were facing as young cancer patients.
She tended to our seedling with a determination and commitment rarely witnessed in this vast and confusing thing we call existence, and it not only survived; it flourished.
More and more names were added to our circle, each bringing with them new insights and new struggles. Our daily conversations traversed the fathomless lows and mountainous highs of our individual lives; from the heartbreaking to the hilarious. Some even met in person, sharing these moments with the rest of us who looked longingly and lovingly on from behind our screens. Our lotus bloomed.
Lucy was a fighter.
I don’t mean just for animal rights nor conservation – about which she was fiercely passionate. I mean that, despite battling her own lymphoma cancer, which had first reared its ugly head in March 2018 and continued to bewilder and enrage us all with its reoccurrence, Lucy never faltered in her support for others.
Whether from a hospital bed, hooked up to any number of medications in that moment, or from her own home, curled up in her PJs and in beloved canine company, you always knew she would be there with words of encouragement, a sassy meme or simply to listen as you cried.
Lucy passed away last night.
Lucy,  you touched all of our lives in more ways than I can count. You brought light to the darkest of times. You made us smile when we feared we would never smile again. You shared your deepest truths with us, and in turn gave us the courage to share our own. You showed us love, and it was returned ten fold by each of us who were so glad that we had met you. We love you.
Lucy was a badass babe.
Lucy was our friend.
Lucy will live on in us.</t>
        </is>
      </c>
      <c r="D2203" t="n">
        <v>74</v>
      </c>
      <c r="E2203" t="n">
        <v>8</v>
      </c>
      <c r="F2203">
        <f>HYPERLINK("https://www.reddit.com/r/cancer/comments/bklkud/lucy_was/")</f>
        <v/>
      </c>
      <c r="G2203" t="inlineStr">
        <is>
          <t>2019-05-04 07:17:00</t>
        </is>
      </c>
      <c r="H2203" t="inlineStr"/>
    </row>
    <row r="2204">
      <c r="A2204" t="inlineStr">
        <is>
          <t>bklnuh</t>
        </is>
      </c>
      <c r="B2204" t="inlineStr">
        <is>
          <t>My friend just told me her husband has cancer in his tongue.</t>
        </is>
      </c>
      <c r="C2204" t="inlineStr">
        <is>
          <t>What things can I be doing to help them out as a family (they have 3 kids and 2 dogs) and support them other than making some easy freezer meals? 
He is having the majority of his tongue removed next week and will have to relearn to eat and talk. I am just so shocked and surprised and want to help in any way.</t>
        </is>
      </c>
      <c r="D2204" t="n">
        <v>11</v>
      </c>
      <c r="E2204" t="n">
        <v>8</v>
      </c>
      <c r="F2204">
        <f>HYPERLINK("https://www.reddit.com/r/cancer/comments/bklnuh/my_friend_just_told_me_her_husband_has_cancer_in/")</f>
        <v/>
      </c>
      <c r="G2204" t="inlineStr">
        <is>
          <t>2019-05-04 07:26:27</t>
        </is>
      </c>
      <c r="H2204" t="inlineStr"/>
    </row>
    <row r="2205">
      <c r="A2205" t="inlineStr">
        <is>
          <t>bkm7uw</t>
        </is>
      </c>
      <c r="B2205" t="inlineStr">
        <is>
          <t>Protein in urin, how much is too much.</t>
        </is>
      </c>
      <c r="C2205" t="inlineStr">
        <is>
          <t>I had my second treat of chemo (Avastin, not technically chemo) yesterday. The took blood and urine. They took my urine sample after my treatment and just emailed me the results. My blood is fine but the results say my protein is 18 and the normal range is between 1 - 10. Two weeks ago before my first treatment it was a 7. I'm gonna call on Monday day and ask them. In the mean time is this something to worry about? I also noticed my hair falling out already, and I'm not talking about from my head. 
If this is too personal please forgive me, I'm new to all this.</t>
        </is>
      </c>
      <c r="D2205" t="n">
        <v>4</v>
      </c>
      <c r="E2205" t="n">
        <v>9</v>
      </c>
      <c r="F2205">
        <f>HYPERLINK("https://www.reddit.com/r/cancer/comments/bkm7uw/protein_in_urin_how_much_is_too_much/")</f>
        <v/>
      </c>
      <c r="G2205" t="inlineStr">
        <is>
          <t>2019-05-04 08:23:16</t>
        </is>
      </c>
      <c r="H2205" t="inlineStr"/>
    </row>
    <row r="2206">
      <c r="A2206" t="inlineStr">
        <is>
          <t>bko8ug</t>
        </is>
      </c>
      <c r="B2206" t="inlineStr">
        <is>
          <t>Am cancer survivor. I had a power port. Was I a cyborg?</t>
        </is>
      </c>
      <c r="C2206" t="inlineStr">
        <is>
          <t>Discuss.</t>
        </is>
      </c>
      <c r="D2206" t="n">
        <v>23</v>
      </c>
      <c r="E2206" t="n">
        <v>14</v>
      </c>
      <c r="F2206">
        <f>HYPERLINK("https://www.reddit.com/r/cancer/comments/bko8ug/am_cancer_survivor_i_had_a_power_port_was_i_a/")</f>
        <v/>
      </c>
      <c r="G2206" t="inlineStr">
        <is>
          <t>2019-05-04 11:37:14</t>
        </is>
      </c>
      <c r="H2206" t="inlineStr"/>
    </row>
    <row r="2207">
      <c r="A2207" t="inlineStr">
        <is>
          <t>bkq5co</t>
        </is>
      </c>
      <c r="B2207" t="inlineStr">
        <is>
          <t>Is there any relief from the horrible pain from my tumor?</t>
        </is>
      </c>
      <c r="C2207" t="inlineStr">
        <is>
          <t>I'll apologise now if this is the wrong subreddit for this but I'm wondering if anyone has any pain relief tips. 
I've been dealing with this excruciating pain for 6 months now, it feels like a sharp stabbing pain in my lower stomach, it pretty much puts me on my knees every time and the pain hits on and off throughout the day and night, it controls basically my whole life. 
Recently the doctors finally found a tumor growing inside my bowel. The surgeon I spoke too wasnt exactly the most helpful and basically gave the impression of I'll have to just suck it up until the tumor is removed. 
Does anyone have any tips for this? I'm beyond desperate at this point. I can hardly eat, I havent slept longer than a 2 hour stretch in months, I'm exhausted and willing to try anything at this point</t>
        </is>
      </c>
      <c r="D2207" t="n">
        <v>6</v>
      </c>
      <c r="E2207" t="n">
        <v>22</v>
      </c>
      <c r="F2207">
        <f>HYPERLINK("https://www.reddit.com/r/cancer/comments/bkq5co/is_there_any_relief_from_the_horrible_pain_from/")</f>
        <v/>
      </c>
      <c r="G2207" t="inlineStr">
        <is>
          <t>2019-05-04 14:39:04</t>
        </is>
      </c>
      <c r="H2207" t="inlineStr"/>
    </row>
    <row r="2208">
      <c r="A2208" t="inlineStr">
        <is>
          <t>bkq5vj</t>
        </is>
      </c>
      <c r="B2208" t="inlineStr">
        <is>
          <t>Help Giving my Mother Hope for Tomorrow</t>
        </is>
      </c>
      <c r="C2208" t="inlineStr">
        <is>
          <t>Hey all,
&amp;amp;#x200B;
Little background - My mother  (58) was diagnosed with stage 4 ovarian cancer that spread to her lungs about 6 months ago. Monday will be her last round of chemo. Numbers have all been good, but she's been dealing with a lot of pain and, more prominently, fear and hopelessness.
&amp;amp;#x200B;
I live on the other side of the country, so I haven't been as 'in the know' about all the details. The majority of our conversations focus on anything/everything but her cancer. I figure she has to talk about it enough.
&amp;amp;#x200B;
My father is out of town for the weekend and asked that I give her a call and try to get her thinking about a future - one when all this is behind her. She currently doesn't feel like that she will overcome this and I could use some help providing support to her here.
&amp;amp;#x200B;
What are some ideas/advice you can provide me to help get her mind off of the current situation and instead start investing her hope and thoughts to a tomorrow that will hopefully be cancer free.
&amp;amp;#x200B;
Thanks for your time.</t>
        </is>
      </c>
      <c r="D2208" t="n">
        <v>2</v>
      </c>
      <c r="E2208" t="n">
        <v>6</v>
      </c>
      <c r="F2208">
        <f>HYPERLINK("https://www.reddit.com/r/cancer/comments/bkq5vj/help_giving_my_mother_hope_for_tomorrow/")</f>
        <v/>
      </c>
      <c r="G2208" t="inlineStr">
        <is>
          <t>2019-05-04 14:40:31</t>
        </is>
      </c>
      <c r="H2208" t="inlineStr"/>
    </row>
    <row r="2209">
      <c r="A2209" t="inlineStr">
        <is>
          <t>bkqw9c</t>
        </is>
      </c>
      <c r="B2209" t="inlineStr">
        <is>
          <t>I saw a butterfly today</t>
        </is>
      </c>
      <c r="C2209" t="inlineStr">
        <is>
          <t>Regarding my last post about today being my one year anniversary of being diagnosed with thyroid cancer and how I couldn’t really handle the emotions...
I just want to say I saw a butterfly today, and I think things will be brightening up in my life from now on</t>
        </is>
      </c>
      <c r="D2209" t="n">
        <v>29</v>
      </c>
      <c r="E2209" t="n">
        <v>5</v>
      </c>
      <c r="F2209">
        <f>HYPERLINK("https://www.reddit.com/r/cancer/comments/bkqw9c/i_saw_a_butterfly_today/")</f>
        <v/>
      </c>
      <c r="G2209" t="inlineStr">
        <is>
          <t>2019-05-04 15:57:04</t>
        </is>
      </c>
      <c r="H2209" t="inlineStr"/>
    </row>
    <row r="2210">
      <c r="A2210" t="inlineStr">
        <is>
          <t>bkrkaw</t>
        </is>
      </c>
      <c r="B2210" t="inlineStr">
        <is>
          <t>Lost my cousin, who was like a brother this week, and my best friend is dying in the exact same bed less than 6 days later. Both cancer.</t>
        </is>
      </c>
      <c r="C2210" t="inlineStr">
        <is>
          <t>Cancer is not only taking people I love at the moment, it is emotionally crushing me at the same time. 
  My cousin, who like I said in the title was like a brother to me. He was 42. Hodgkins disease gripped him at 10. He fought it and beat it into a remission. 28 years later he developed esophageal cancer directly related to the radiation treatments from years earlier. After having his esophagus removed he rebounded and went into remission. Flash forward to middle of last year and doctors found tumors on his spine. Tumors were removed and a new round of treatments were prescribed. After 8 months the cancer spread throughout his body. 2 weeks ago he was hospitalized with 1.5 pints of fluid around his heart. Emergency surgery removed the fluid but the damage was done. Last Sunday his heart failed and he lost his 3rd and final battle with the beast.
  Not 5 days later my best friend who is battling stage 4 liver and colon cancer sits in intensive care in the same exact bed my cousin died in less than a week before. Today I tried to go up and see him. As the doors opened to the ICU wing I saw his room with the isolation protocol sign on the door. Everything hit me at once like a freight train and I lost control of my emotions. I turned around and walked out of the hospital a broken man. I did not want him to see me upset at all because I didnt want to darken any cloud of hope he still clings to.
  About 3 hours after I couldnt take myself into my buddies room I received a call from his father. He was gone.
  6 days and my loved ones lives and my life have been torn apart from the motherfucker known as cancer. I hate you! You are a selfish prick who does not care whose life it damages and takes.
  I am completely broken right now, but you wont beat me. I have the best memories of both individuals that I will take to my grave. Finally to my friends, I miss you both. You fought bravely a fight that was rigged from the start. It never took your hope or optimism bit it did take you both from me and for that i say, FUCK OFF.</t>
        </is>
      </c>
      <c r="D2210" t="n">
        <v>77</v>
      </c>
      <c r="E2210" t="n">
        <v>14</v>
      </c>
      <c r="F2210">
        <f>HYPERLINK("https://www.reddit.com/r/cancer/comments/bkrkaw/lost_my_cousin_who_was_like_a_brother_this_week/")</f>
        <v/>
      </c>
      <c r="G2210" t="inlineStr">
        <is>
          <t>2019-05-04 17:09:37</t>
        </is>
      </c>
      <c r="H2210" t="inlineStr"/>
    </row>
    <row r="2211">
      <c r="A2211" t="inlineStr">
        <is>
          <t>bkspt0</t>
        </is>
      </c>
      <c r="B2211" t="inlineStr">
        <is>
          <t>NIH I-Corps researcher seeking input regarding the clinical translation of a laser-targeted cancer drug delivery system</t>
        </is>
      </c>
      <c r="C2211" t="inlineStr">
        <is>
          <t xml:space="preserve"> 
I am a researcher participating in the NIH I-Corps program for a start-up biopharmaceutical company, POP Biotechnologies, seeking to validate the potential of a unique light-activated drug delivery system for the localized and enhanced treatment of discrete tumors. As an SBIR awardee, we are working to refine our clinical development plan through participation in the NIH I-Corps program. 
&amp;amp;#x200B;
POP Biotechnologies is exploring inflammatory breast cancer and cutaneous lesions associated with breast cancer as first-in-human clinical targets and seeking to identify other commercially viable targets compatible with their approach. 
&amp;amp;#x200B;
In support of our research, I am looking to interview people involved in the treatment of inflammatory breast cancer or cutaneous metastatic breast cancer. I am looking to conduct 10-15 minute interviews regarding treatment processes, support services, or other activities involved in planning / implementing treatment.
&amp;amp;#x200B;
If you, or someone you know, would be interested in participating in an interview, please send me a PM -- it would be really helpful. 
&amp;amp;#x200B;
I will happily send a nonconfidential summary of our technology to anyone interested, you can read more about our approach at  [http://popbiotech.com/oncology.html](http://popbiotech.com/oncology.html)</t>
        </is>
      </c>
      <c r="D2211" t="n">
        <v>2</v>
      </c>
      <c r="E2211" t="n">
        <v>0</v>
      </c>
      <c r="F2211">
        <f>HYPERLINK("https://www.reddit.com/r/cancer/comments/bkspt0/nih_icorps_researcher_seeking_input_regarding_the/")</f>
        <v/>
      </c>
      <c r="G2211" t="inlineStr">
        <is>
          <t>2019-05-04 19:16:48</t>
        </is>
      </c>
      <c r="H2211" t="inlineStr"/>
    </row>
    <row r="2212">
      <c r="A2212" t="inlineStr">
        <is>
          <t>bksquo</t>
        </is>
      </c>
      <c r="B2212" t="inlineStr">
        <is>
          <t>Skin graft</t>
        </is>
      </c>
      <c r="C2212" t="inlineStr">
        <is>
          <t>Has anyone needed a skin graft after surgery? I am currently waiting on one. Finally got it scheduled. 6 weeks after surgery. Is this normal or is this an abnormal wait time?</t>
        </is>
      </c>
      <c r="D2212" t="n">
        <v>3</v>
      </c>
      <c r="E2212" t="n">
        <v>1</v>
      </c>
      <c r="F2212">
        <f>HYPERLINK("https://www.reddit.com/r/cancer/comments/bksquo/skin_graft/")</f>
        <v/>
      </c>
      <c r="G2212" t="inlineStr">
        <is>
          <t>2019-05-04 19:20:14</t>
        </is>
      </c>
      <c r="H2212" t="inlineStr"/>
    </row>
    <row r="2213">
      <c r="A2213" t="inlineStr">
        <is>
          <t>bkw55u</t>
        </is>
      </c>
      <c r="B2213" t="inlineStr">
        <is>
          <t>Treatment working?</t>
        </is>
      </c>
      <c r="C2213" t="inlineStr">
        <is>
          <t>We aren’t really sure. My mum has stage four breast cancer that has spread to her lungs, spine and ribs. She started an intensive course of chemo that spans over 16 weeks and five weeks in her chest has began to clear, she’s less tired and in less pain. We still don’t know if it’s working but we do know that the chemo is making her feel better. does anyone have any information on this?</t>
        </is>
      </c>
      <c r="D2213" t="n">
        <v>4</v>
      </c>
      <c r="E2213" t="n">
        <v>1</v>
      </c>
      <c r="F2213">
        <f>HYPERLINK("https://www.reddit.com/r/cancer/comments/bkw55u/treatment_working/")</f>
        <v/>
      </c>
      <c r="G2213" t="inlineStr">
        <is>
          <t>2019-05-05 03:08:49</t>
        </is>
      </c>
      <c r="H2213" t="inlineStr"/>
    </row>
    <row r="2214">
      <c r="A2214" t="inlineStr">
        <is>
          <t>bkx6qw</t>
        </is>
      </c>
      <c r="B2214" t="inlineStr">
        <is>
          <t>Boyfriend’s (26) brother (36) diagnosed with stage 4 lung cancer with brain mets. What can we expect?</t>
        </is>
      </c>
      <c r="C2214" t="inlineStr">
        <is>
          <t>I’ve been with my boyfriend for almost 5 years and I’m very close to his family. We found out last week when his brother was hospitalised in the ER for terrible migraines. After a lot of scans and speculation he was diagnosed with stage 4 lung cancer that has spread to his brain. His brother was a big smoker, we’ve obviously all quit to support him. He started chemotherapy straight away and soon radiotherapy on his brain plus immunotherapy. We also bought over some high grade CBD oil we managed to smuggle from the UK to France where he’s being treated (CBD is still illegal there) and it seems to be working wonders for his mental health he’s in very good spirits and ready to fight. I’m just terrified he will not get better and it will completely destroy his family. I’ve been going to the hospital and trying to be there for my boyfriend, his brother and their mum but I feel totally helpless. All I can do is listen to their worries and reassure them he’s in the best place for treatment. I just don’t know what to expect or how to prepare them for the worst. Any advice ??  Or anyone in the UK know of any support groups I can attend with my boyfriend? It’s going to be hard living and working in the UK while his brother is sick in France. Thank you.</t>
        </is>
      </c>
      <c r="D2214" t="n">
        <v>17</v>
      </c>
      <c r="E2214" t="n">
        <v>15</v>
      </c>
      <c r="F2214">
        <f>HYPERLINK("https://www.reddit.com/r/cancer/comments/bkx6qw/boyfriends_26_brother_36_diagnosed_with_stage_4/")</f>
        <v/>
      </c>
      <c r="G2214" t="inlineStr">
        <is>
          <t>2019-05-05 05:31:14</t>
        </is>
      </c>
      <c r="H2214" t="inlineStr"/>
    </row>
    <row r="2215">
      <c r="A2215" t="inlineStr">
        <is>
          <t>bkx93x</t>
        </is>
      </c>
      <c r="B2215" t="inlineStr">
        <is>
          <t>Gastric (Stomach) Cancer: Causes, Symptoms, Treatment – Columbia Asia Hospital</t>
        </is>
      </c>
      <c r="C2215" t="inlineStr">
        <is>
          <t xml:space="preserve"> Gastric cancer or stomach cancer is a malignancy of the inner and outer linings of the stomach. The abnormal tissue growth will result in major issues regarding the stomach, bowel movements and digestion. Gastroenterology doctors have deduced that Adenocarcinomas are the most common type of stomach cancers.</t>
        </is>
      </c>
      <c r="D2215" t="n">
        <v>1</v>
      </c>
      <c r="E2215" t="n">
        <v>0</v>
      </c>
      <c r="F2215">
        <f>HYPERLINK("https://www.reddit.com/r/cancer/comments/bkx93x/gastric_stomach_cancer_causes_symptoms_treatment/")</f>
        <v/>
      </c>
      <c r="G2215" t="inlineStr">
        <is>
          <t>2019-05-05 05:38:34</t>
        </is>
      </c>
      <c r="H2215" t="inlineStr"/>
    </row>
    <row r="2216">
      <c r="A2216" t="inlineStr">
        <is>
          <t>bkx9hb</t>
        </is>
      </c>
      <c r="B2216" t="inlineStr">
        <is>
          <t>Lady with stage 4 lung cancer refuses exercise</t>
        </is>
      </c>
      <c r="C2216" t="inlineStr">
        <is>
          <t>I know a lady, non smoker, with stage 4 lung cancer.  Her doctor wants her to walk around the neighborhood until she builds up to 3 mile walks.  The lady refuses.  She just walks around inside her house and says she will exercise when she gets better.
Meanwhile she is making vacation plans but cannot even walk through an airport.</t>
        </is>
      </c>
      <c r="D2216" t="n">
        <v>0</v>
      </c>
      <c r="E2216" t="n">
        <v>13</v>
      </c>
      <c r="F2216">
        <f>HYPERLINK("https://www.reddit.com/r/cancer/comments/bkx9hb/lady_with_stage_4_lung_cancer_refuses_exercise/")</f>
        <v/>
      </c>
      <c r="G2216" t="inlineStr">
        <is>
          <t>2019-05-05 05:39:45</t>
        </is>
      </c>
      <c r="H2216" t="inlineStr"/>
    </row>
    <row r="2217">
      <c r="A2217" t="inlineStr">
        <is>
          <t>bkxdx8</t>
        </is>
      </c>
      <c r="B2217" t="inlineStr">
        <is>
          <t>How long is left?</t>
        </is>
      </c>
      <c r="C2217" t="inlineStr">
        <is>
          <t>How long does a stage 4 cancer patient typically have after they've stopped eating and drinking? (No feeding tube or IV or other prolonging measures, we are just going to let her go) I know it's probably different for every patient but I'm just looking for an estimate.</t>
        </is>
      </c>
      <c r="D2217" t="n">
        <v>15</v>
      </c>
      <c r="E2217" t="n">
        <v>12</v>
      </c>
      <c r="F2217">
        <f>HYPERLINK("https://www.reddit.com/r/cancer/comments/bkxdx8/how_long_is_left/")</f>
        <v/>
      </c>
      <c r="G2217" t="inlineStr">
        <is>
          <t>2019-05-05 05:53:43</t>
        </is>
      </c>
      <c r="H2217" t="inlineStr"/>
    </row>
    <row r="2218">
      <c r="A2218" t="inlineStr">
        <is>
          <t>bl0fqx</t>
        </is>
      </c>
      <c r="B2218" t="inlineStr">
        <is>
          <t>Anticipatory Grief</t>
        </is>
      </c>
      <c r="C2218" t="inlineStr">
        <is>
          <t>How do you handle anticipatory grief? My father has stage 4 colorectal cancer. I have dealt with anxiety all my life and am on antidepressants/benzos for panic attacks. Though medication helps, I’m seeking alternative/healthier ways to deal with my anxiety and grief for my father. I am very close with him and I have sudden “attacks” of intense fear for when he passes. Sometimes it’s at work, sometimes at social outings, sometimes when I’m lying in bed at night. I am unsure of how to handle it- any advice would be great. 
Thank you.</t>
        </is>
      </c>
      <c r="D2218" t="n">
        <v>22</v>
      </c>
      <c r="E2218" t="n">
        <v>28</v>
      </c>
      <c r="F2218">
        <f>HYPERLINK("https://www.reddit.com/r/cancer/comments/bl0fqx/anticipatory_grief/")</f>
        <v/>
      </c>
      <c r="G2218" t="inlineStr">
        <is>
          <t>2019-05-05 10:27:22</t>
        </is>
      </c>
      <c r="H2218" t="inlineStr"/>
    </row>
    <row r="2219">
      <c r="A2219" t="inlineStr">
        <is>
          <t>bl1hba</t>
        </is>
      </c>
      <c r="B2219" t="inlineStr">
        <is>
          <t>My father (73) has been diagnosed with prostate cancer. But the doctor isn't really mentioning anything about the stage.</t>
        </is>
      </c>
      <c r="C2219" t="inlineStr">
        <is>
          <t>The reports came out previous weeel and this is very new to me. So the doctor is not mentioning anything about stage of the cancer. 
 Is it Cuz he doesn't wanna freak out my dad ? It is usually me and my dad when we visit the doc. Should I ask him separately when my father isn't there ? I just don't know how is it done. A family memeber who is a doctor told me that it has passed stage 3 and that is the only valid source we have till now.</t>
        </is>
      </c>
      <c r="D2219" t="n">
        <v>2</v>
      </c>
      <c r="E2219" t="n">
        <v>3</v>
      </c>
      <c r="F2219">
        <f>HYPERLINK("https://www.reddit.com/r/cancer/comments/bl1hba/my_father_73_has_been_diagnosed_with_prostate/")</f>
        <v/>
      </c>
      <c r="G2219" t="inlineStr">
        <is>
          <t>2019-05-05 11:53:17</t>
        </is>
      </c>
      <c r="H2219" t="inlineStr"/>
    </row>
    <row r="2220">
      <c r="A2220" t="inlineStr">
        <is>
          <t>bl2lgy</t>
        </is>
      </c>
      <c r="B2220" t="inlineStr">
        <is>
          <t>Last night we rushed my dad to the ER for the first time since diagnosis.</t>
        </is>
      </c>
      <c r="C2220" t="inlineStr">
        <is>
          <t>He was diagnosed with stage 3 Mesothelioma in November and the doc gave him a year. Six months later, and now he's saying to start thinking about hospice. My dad is on Keytruda but it isn't working, and now he's taking a naturopathic treatment alongside it in a last attempt to save himself. He's young--only 58. Too young for Mesothelioma. Before this diagnosis, he was the healthiest and strongest man I've ever known. Now he is a shell in constant pain. My heart is broken. 
At 1 AM this morning, my mom came and woke me up saying my dad couldn't breathe and we needed to get him to a hospital. An ambulance wasn't an option. We live so far out in the country that it isn't even worth the risk. Got him to the ER and he had a heart rate of 240. Dr. said she had never seen a heart rate that high. He was a-fib and had to have a defibrillator to shock him back to the normal heart rate. He's okay now, but they're keeping him until 5 PM today to make sure it doesn't happen again. They'll probably put him on blood thinners too to avoid the chances of a clot forming in his heart. 
I don't know what to think or feel. I'm scared. I'm sure he is angry and scared that his health is declining so rapidly. To see my dad like this is breaking me. We were supposed to travel the world together. We were going to rebuild our old 50s Chevy and go treasure hunting in Utah and Nevada when I graduated from college. It's all down the drain now.</t>
        </is>
      </c>
      <c r="D2220" t="n">
        <v>39</v>
      </c>
      <c r="E2220" t="n">
        <v>16</v>
      </c>
      <c r="F2220">
        <f>HYPERLINK("https://www.reddit.com/r/cancer/comments/bl2lgy/last_night_we_rushed_my_dad_to_the_er_for_the/")</f>
        <v/>
      </c>
      <c r="G2220" t="inlineStr">
        <is>
          <t>2019-05-05 13:27:29</t>
        </is>
      </c>
      <c r="H2220" t="inlineStr"/>
    </row>
    <row r="2221">
      <c r="A2221" t="inlineStr">
        <is>
          <t>bl2y3r</t>
        </is>
      </c>
      <c r="B2221" t="inlineStr">
        <is>
          <t>Prednisone Withdrawal</t>
        </is>
      </c>
      <c r="C2221" t="inlineStr">
        <is>
          <t>Hey All. I am a post transplant leukemia patient. I went on Prednisone in December due to a GVHD flare up brought on by pneumonia. I was on the Prednisone for 4 months and have tapered off, now I am miserable. Serious body aches, emotional volatility, hard time handling stress. Mostly though it's the constant pain. My NP told me I had 6-8 weeks of this to look forward to. Anyone had experience with Prednisone withdrawal and have any tips? Thanks!</t>
        </is>
      </c>
      <c r="D2221" t="n">
        <v>5</v>
      </c>
      <c r="E2221" t="n">
        <v>7</v>
      </c>
      <c r="F2221">
        <f>HYPERLINK("https://www.reddit.com/r/cancer/comments/bl2y3r/prednisone_withdrawal/")</f>
        <v/>
      </c>
      <c r="G2221" t="inlineStr">
        <is>
          <t>2019-05-05 13:58:02</t>
        </is>
      </c>
      <c r="H2221" t="inlineStr"/>
    </row>
    <row r="2222">
      <c r="A2222" t="inlineStr">
        <is>
          <t>bl4fcj</t>
        </is>
      </c>
      <c r="B2222" t="inlineStr">
        <is>
          <t>CIPN/Neuropathy drug - AMA on Monday, May 6, 8:30 am PST</t>
        </is>
      </c>
      <c r="C2222" t="inlineStr">
        <is>
          <t>Hello—We  wanted to inform r/cancer that we will be holding an AMA tomorrow, Monday, May 6, at 8:30 am PST, 11:30 am EST, regarding the drug we have developed to prevent and reverse peripheral neuropathy. 
Currently, there is no cure for chemo-induced peripheral neuropathy.
Got questions about our drug? 
"How can your drug prevent peripheral neuropathy?" 
"How can it reverse it?" 
"When can I sign up for a clinical trial?" 
"When will the drug be available?"
Please join the conversation and ask us anything.</t>
        </is>
      </c>
      <c r="D2222" t="n">
        <v>7</v>
      </c>
      <c r="E2222" t="n">
        <v>2</v>
      </c>
      <c r="F2222">
        <f>HYPERLINK("https://www.reddit.com/r/cancer/comments/bl4fcj/cipnneuropathy_drug_ama_on_monday_may_6_830_am_pst/")</f>
        <v/>
      </c>
      <c r="G2222" t="inlineStr">
        <is>
          <t>2019-05-05 16:12:07</t>
        </is>
      </c>
      <c r="H2222" t="inlineStr"/>
    </row>
    <row r="2223">
      <c r="A2223" t="inlineStr">
        <is>
          <t>bl4zkp</t>
        </is>
      </c>
      <c r="B2223" t="inlineStr">
        <is>
          <t>Hair Regrowth Question</t>
        </is>
      </c>
      <c r="C2223" t="inlineStr">
        <is>
          <t>I (23M) had stage IV testicular cancer and have been cancer free for about 15 months thankfully. Although testicular is quite curable, my case was very serious and required seven rounds of chemo and two stem cell transplants on top of a major surgery. Unfortunately, my hair has not come back to a normal state even after 15 months. It still grows soft like baby hair on top of not feeling "full" if that makes sense (not patchy but it seems like I have hair missing all around my head). 
Does anyone have any anecdotes similar to this that could give me some insight into what the future of my hair looks like? It's obviously not the end of the world, but I'd like to know if I'm stuck with this hair or if it's just taking a long time due to the intensive treatment process I went through</t>
        </is>
      </c>
      <c r="D2223" t="n">
        <v>3</v>
      </c>
      <c r="E2223" t="n">
        <v>6</v>
      </c>
      <c r="F2223">
        <f>HYPERLINK("https://www.reddit.com/r/cancer/comments/bl4zkp/hair_regrowth_question/")</f>
        <v/>
      </c>
      <c r="G2223" t="inlineStr">
        <is>
          <t>2019-05-05 17:07:04</t>
        </is>
      </c>
      <c r="H2223" t="inlineStr"/>
    </row>
    <row r="2224">
      <c r="A2224" t="inlineStr">
        <is>
          <t>bl6mcd</t>
        </is>
      </c>
      <c r="B2224" t="inlineStr">
        <is>
          <t>I need a few stories from you guys (possibly will be heard by 500+ people)</t>
        </is>
      </c>
      <c r="C2224" t="inlineStr">
        <is>
          <t>Here’s a brief history of my past before I get started: When I was about 5, I was diagnosed with a cancer called neuroblastoma (rare nerve cancer), and I’ve been in treatment for 10 years following. Luckily, my scan results say NED (no evidence of disease. I’m still in treatment, but it’s just six pills a day with only a few side effects. 
So, I’m really into helping raise childhood cancer awareness, and I’m currently a junior ambassador for a organization trying to research cures. This year, they’ve invited me to go to a gala of theirs and give out a speech inspiring people to donate to them. I know a few of you guys (or relatives) have/had cancer at a younger age, and I was wondering what you some of you guys’ stories were. (Please be aware that I might be using your story in front of 500+ people)</t>
        </is>
      </c>
      <c r="D2224" t="n">
        <v>43</v>
      </c>
      <c r="E2224" t="n">
        <v>7</v>
      </c>
      <c r="F2224">
        <f>HYPERLINK("https://www.reddit.com/r/cancer/comments/bl6mcd/i_need_a_few_stories_from_you_guys_possibly_will/")</f>
        <v/>
      </c>
      <c r="G2224" t="inlineStr">
        <is>
          <t>2019-05-05 19:54:43</t>
        </is>
      </c>
      <c r="H2224" t="inlineStr"/>
    </row>
    <row r="2225">
      <c r="A2225" t="inlineStr">
        <is>
          <t>bl7eex</t>
        </is>
      </c>
      <c r="B2225" t="inlineStr">
        <is>
          <t>Please help. Thank you</t>
        </is>
      </c>
      <c r="C2225" t="inlineStr">
        <is>
          <t>Hello everyone, I'm a cancer survivor from  &amp;amp; currently dealing with lymphedema . I been going 3X a week to get a message. Month in &amp;amp; I don't see much change. I'm so confused &amp;amp; at times feel sad I'm not as strong or active as I use to be. What kind of diet &amp;amp; fitness is appropriate to do? 
My husband was by my side during my treatment. Since we've been told to abstain sex for 2 years because I'm in remission, we've drifted apart. We're not intimate. I don't even think he  finds me attractive. I prayed cancer would bring us closer instead it did the opposite. Feeling hopeless &amp;amp; alone. Please help. Thank you</t>
        </is>
      </c>
      <c r="D2225" t="n">
        <v>7</v>
      </c>
      <c r="E2225" t="n">
        <v>6</v>
      </c>
      <c r="F2225">
        <f>HYPERLINK("https://www.reddit.com/r/cancer/comments/bl7eex/please_help_thank_you/")</f>
        <v/>
      </c>
      <c r="G2225" t="inlineStr">
        <is>
          <t>2019-05-05 21:16:05</t>
        </is>
      </c>
      <c r="H2225" t="inlineStr"/>
    </row>
    <row r="2226">
      <c r="A2226" t="inlineStr">
        <is>
          <t>bl87zv</t>
        </is>
      </c>
      <c r="B2226" t="inlineStr">
        <is>
          <t>Scanxiety</t>
        </is>
      </c>
      <c r="C2226" t="inlineStr">
        <is>
          <t>Hello,
I was diagnosed with an extremely rare cancer called Ewing’s Sarcoma on July 27, 2018. Fortunately, the second they found it, they removed it and it was a complete resection with negative margins and no metastasis. Unfortunately, because of the rarity, they stuck to the one regimen that they have which is 9 months of preventative but intense chemotherapy, so I had to defer a year of college.
Now, I’ve been done with chemo for 2 weeks. I’ve had scans during chemo and radiation, but I was never worried because I was going through treatment, and those scans were clear. However, since I am now done, I’m feeling this terrible feeling called “scanxiety” and i’m sure most of you know what it is. It’s driving me crazy, I had my MRI yesterday, and I’m waiting for the results. I have a PET and CT tomorrow and I just don’t know how to look to the future. All i can think about is if I’d be able to do this again, who i’d tell, how id tell people, blah blah blah if this all came back... Is it always like this? Will i always tell people “I hope i can see you” and “I hope we can do it this summer” because I have no clue what my results will be? I’m so tired of this shit and I don’t want to live like this anymore. I don’t wanna constantly be like “I hope i can make it to college this year” and all that shit. I do all this superstitious stuff like knocking on wood and wearing chains and stuff and I just need some advice on how to get out of this terrible limbo. I can’t find answers and I’m not sure i will. This is not the life I wanted. But i guess that’s reality.</t>
        </is>
      </c>
      <c r="D2226" t="n">
        <v>11</v>
      </c>
      <c r="E2226" t="n">
        <v>6</v>
      </c>
      <c r="F2226">
        <f>HYPERLINK("https://www.reddit.com/r/cancer/comments/bl87zv/scanxiety/")</f>
        <v/>
      </c>
      <c r="G2226" t="inlineStr">
        <is>
          <t>2019-05-05 22:54:52</t>
        </is>
      </c>
      <c r="H2226" t="inlineStr"/>
    </row>
    <row r="2227">
      <c r="A2227" t="inlineStr">
        <is>
          <t>bla4fr</t>
        </is>
      </c>
      <c r="B2227" t="inlineStr">
        <is>
          <t>Two year battle, lost.</t>
        </is>
      </c>
      <c r="C2227" t="inlineStr">
        <is>
          <t>After a two years, cancer won the battle against my mom.  I sent her lots of stories from here and read many myself, as well, and this sub was a huge help through it all.  It’s very surreal since she was so lucid even up til the end.  I had hoped I could, one day, post that she survived but sadly that wasn’t the case.  To all of you fighting the fight I’ll say what I said to her every time we talked: if it’s going to take you, at least try to smile and be happy.  Do you want the end of your life to have been a happy time or a sad a miserable time?  Also, fight the good fight and do everything your body will allow you to do.   To those out there with loved ones battling cancer, do what you can to lift their spirits every day.  Thanks to all of you who’ve shared your stories and helped me through this.   Also, fuck cancer.</t>
        </is>
      </c>
      <c r="D2227" t="n">
        <v>72</v>
      </c>
      <c r="E2227" t="n">
        <v>35</v>
      </c>
      <c r="F2227">
        <f>HYPERLINK("https://www.reddit.com/r/cancer/comments/bla4fr/two_year_battle_lost/")</f>
        <v/>
      </c>
      <c r="G2227" t="inlineStr">
        <is>
          <t>2019-05-06 02:52:49</t>
        </is>
      </c>
      <c r="H2227" t="inlineStr"/>
    </row>
    <row r="2228">
      <c r="A2228" t="inlineStr">
        <is>
          <t>blbclj</t>
        </is>
      </c>
      <c r="B2228" t="inlineStr">
        <is>
          <t>Night bathroom constant pee</t>
        </is>
      </c>
      <c r="C2228" t="inlineStr">
        <is>
          <t>(41m gbm stage 4- brain tumors).  
This sounds dumb, but this is what I have noticed and trying to see if others have done the same had the same happen to them.
I was told to drink lots of water to offset the drugs.
-Keppra
-Dexamethasone
-Apo-gabapentin
Mostly for the Dex. (Drink water to offset sugar).
I am new to this and still take the Dex and Gab at 7am 2pm and 9pm.  My keppra is at 10am and 10pm.
Maybe I'm drinking too much later in the day but I find myself from never needing to go take a pee break through the whole night till 7-8 am (before pills) to having to go every 3 hours almost.  I find the lack of sleep is what is killing my mind as it's hard to fall back asleep.
Did anyone else have the pee break side effect?  I'm trying to see if I am taking in way too much water now. (2 litres of water daily or more).  Perhaps I am just drinking to much near the end of day.
My sugars are green from the meds when I check them at random times of the day. (Around 6.x)
I have also put myself on somewhat of a keto diet.  I do not think this is related as the peeing started before the diet.
M.</t>
        </is>
      </c>
      <c r="D2228" t="n">
        <v>4</v>
      </c>
      <c r="E2228" t="n">
        <v>3</v>
      </c>
      <c r="F2228">
        <f>HYPERLINK("https://www.reddit.com/r/cancer/comments/blbclj/night_bathroom_constant_pee/")</f>
        <v/>
      </c>
      <c r="G2228" t="inlineStr">
        <is>
          <t>2019-05-06 05:09:41</t>
        </is>
      </c>
      <c r="H2228" t="inlineStr"/>
    </row>
    <row r="2229">
      <c r="A2229" t="inlineStr">
        <is>
          <t>blbyfc</t>
        </is>
      </c>
      <c r="B2229" t="inlineStr">
        <is>
          <t>Went in to have a standard procedure polyp removed in order to have a baby.</t>
        </is>
      </c>
      <c r="C2229" t="inlineStr">
        <is>
          <t xml:space="preserve">
I'm just going to start typing. I can't sleep and I can't stop crying. I can't stop screaming. It's the first time I've been alone since I got the phone call on Friday. And of course, now the breakdown hits. I literally have no one to talk to r/cancer. Humor me, please. This is a sleep deprived fear dump.
I'm 30 years old. I work out. My family has no history of this anywhere. I've religiously looked in my family's medical history. We wanted to have a baby. My husband won the fight against non-Hodgkin's lymphoma 10 years ago, but lost his fertility in the process. We were supposed to go through a donor. Every, single, number on my charts was above average on the "ideal range" for any and every test. I had the surgery two weeks ago and I thought everything was fine. The doctor who performed the surgery said it went fine. Just a standard polyp that needed removing, no big deal. Happens all the time. 
Friday I got the phone call. The fertility doctor was extremely kind and immediately put me in touch with a gyno-onco. "The polyp contained well formed cancer cells" - i don't even know what that means. A type of uterine cancer? The nurse for the gyno-onco explains that endometrial means that I'll need a hysterectomy, but "they've had people get pregnant", like it's an off chance thing. She also says to stay off the internet, and that's fair; but the unknown is is biggest monster under the bed. This was supposed to be a happy opportunity in our lives. My husband went through a lot of acceptance when he learned he would never be able to have biological children of his own. That was four months ago. He's done so well. He was looking forward to me giving him children. Because I wanted to. So, so badly. Now he's hiding his feelings from me, but I can tell. He's so scared. I'm so scared. 
I have my appointment tomorrow morning. I don't feel like I can tell any of my friends until then. I don't speak to my family. I have a travel engagement for work this month. I'm supposed to leave on the 10th and the event that I'm the art director for is on the 25th. I was supposed to spend that time making sure the last 5 months of work were all installed correctly. I don't know how to communicate with my clients, that I may not be able to be there at the event. And there's no one who can replace me in time. Letting people down is the one thing that devastates me more than the thought of not being able to have a baby. 
Why did this happen? I don't fit the bill for a single one of the usual suspects that lends to endometrial cancer. I never even had any of the symptoms. Except a polyp. Literally nothing else. Polyps, according to mayo clinic, have a 2% chance roughly of being cancerous. I guess I have the devil's luck. I should feel lucky. It's complete serendipity that the fertility clinic removed a "well contained cancerous polyp" and "we caught it so early". I know I'm lucky. But I don't feel that way. All I can feel is confusion at why. Confusion and terror. 
Sorry if this upsets anyone. But I really, sincerely feel like I have no where else to put this. I hope you all understand.</t>
        </is>
      </c>
      <c r="D2229" t="n">
        <v>23</v>
      </c>
      <c r="E2229" t="n">
        <v>12</v>
      </c>
      <c r="F2229">
        <f>HYPERLINK("https://www.reddit.com/r/cancer/comments/blbyfc/went_in_to_have_a_standard_procedure_polyp/")</f>
        <v/>
      </c>
      <c r="G2229" t="inlineStr">
        <is>
          <t>2019-05-06 06:07:29</t>
        </is>
      </c>
      <c r="H2229" t="inlineStr"/>
    </row>
    <row r="2230">
      <c r="A2230" t="inlineStr">
        <is>
          <t>blcsns</t>
        </is>
      </c>
      <c r="B2230" t="inlineStr">
        <is>
          <t>What To Do For Friend Who Lost another</t>
        </is>
      </c>
      <c r="C2230" t="inlineStr">
        <is>
          <t>Random side note, I had cancer last year but am doing well now. My friend just lost his mother very suddenly to brain cancer. They found a mass a few weeks ago and had brain surgery very quickly. She was stable but made a quick turn for the worse. How do I support my friend in this time? I almost would like to make a lasagna and bring it over. For those who have lost a family member what did you want in this time?</t>
        </is>
      </c>
      <c r="D2230" t="n">
        <v>9</v>
      </c>
      <c r="E2230" t="n">
        <v>2</v>
      </c>
      <c r="F2230">
        <f>HYPERLINK("https://www.reddit.com/r/cancer/comments/blcsns/what_to_do_for_friend_who_lost_another/")</f>
        <v/>
      </c>
      <c r="G2230" t="inlineStr">
        <is>
          <t>2019-05-06 07:22:42</t>
        </is>
      </c>
      <c r="H2230" t="inlineStr"/>
    </row>
    <row r="2231">
      <c r="A2231" t="inlineStr">
        <is>
          <t>bletdz</t>
        </is>
      </c>
      <c r="B2231" t="inlineStr">
        <is>
          <t>Anyone know anyone who's tried the dog medicine (fenbendazole)?</t>
        </is>
      </c>
      <c r="C2231" t="inlineStr">
        <is>
          <t>(Note: I also posted this to r/lungcancer)
Here are a couple links to info. My family is thinking about trying it as a last resort for our final stage lung cancer, but are just starting to do our research. Also, note that I am not recommending this in any way. But it's probably worth knowing about. 
Just curious if anyone knows anyone who has tried this, and whether there were any bad side effects (which might be a reason not to). 
Also, note that the research seems to suggest that fenbendazole would need to be used in conjunction with certain vitamin supplements. 
www.dailymail.co.uk%2Fhealth%2Farticle-6965325%2FOklahoma-grandfather-claims-drug-DOGS-cured-cancer-tumor-free.html 
https://www.cancertreatmentsresearch.com/fenbendazole/
Thanks!</t>
        </is>
      </c>
      <c r="D2231" t="n">
        <v>4</v>
      </c>
      <c r="E2231" t="n">
        <v>25</v>
      </c>
      <c r="F2231">
        <f>HYPERLINK("https://www.reddit.com/r/cancer/comments/bletdz/anyone_know_anyone_whos_tried_the_dog_medicine/")</f>
        <v/>
      </c>
      <c r="G2231" t="inlineStr">
        <is>
          <t>2019-05-06 10:10:27</t>
        </is>
      </c>
      <c r="H2231" t="inlineStr"/>
    </row>
    <row r="2232">
      <c r="A2232" t="inlineStr">
        <is>
          <t>blf4o1</t>
        </is>
      </c>
      <c r="B2232" t="inlineStr">
        <is>
          <t>How to be a supportive family member in foods?</t>
        </is>
      </c>
      <c r="C2232" t="inlineStr">
        <is>
          <t>Hello! So I made sure I was able to post this with the mods. My mom has been diagnosed with Mycropoly Angitis. It’s a anti- inflammatory that is super rare and those whom it does affect are in their 70-80s... my mom is 45. The doctors in my city and surrounding cities have read about it but not actually treated someone this young. So the way they are treating it among doctors here is as cancer. Crazy cells acting up, chemo. Carbs and sugar worsen her inflammation so none of that and that’s where I come to ask for advice. I currently came to live with my mom, with my husband, to help. She cooks some days and I cook other days. Everything we cook has to be in the paleo or Keto diet. Which I look up recipes and we are supportive. However when I buy something or make something for my husband and I that isn’t “Keto or paleo” she goes on a rant “that’s not nutritious! You are going to die young! I’m just trying to save you... etc etc” I know she’s been through a lot so I just keep quiet and try to hide the food from her. Any other suggestions? Thank you all!</t>
        </is>
      </c>
      <c r="D2232" t="n">
        <v>7</v>
      </c>
      <c r="E2232" t="n">
        <v>5</v>
      </c>
      <c r="F2232">
        <f>HYPERLINK("https://www.reddit.com/r/cancer/comments/blf4o1/how_to_be_a_supportive_family_member_in_foods/")</f>
        <v/>
      </c>
      <c r="G2232" t="inlineStr">
        <is>
          <t>2019-05-06 10:35:42</t>
        </is>
      </c>
      <c r="H2232" t="inlineStr"/>
    </row>
    <row r="2233">
      <c r="A2233" t="inlineStr">
        <is>
          <t>blfoul</t>
        </is>
      </c>
      <c r="B2233" t="inlineStr">
        <is>
          <t>Gift idea for GF who beat cancer</t>
        </is>
      </c>
      <c r="C2233" t="inlineStr">
        <is>
          <t>This Saturday will make it one year since my gf rang the bell at chemo. I wanted to get her a special gift for her first year since beating cancer but idk what to get. Any help?</t>
        </is>
      </c>
      <c r="D2233" t="n">
        <v>21</v>
      </c>
      <c r="E2233" t="n">
        <v>8</v>
      </c>
      <c r="F2233">
        <f>HYPERLINK("https://www.reddit.com/r/cancer/comments/blfoul/gift_idea_for_gf_who_beat_cancer/")</f>
        <v/>
      </c>
      <c r="G2233" t="inlineStr">
        <is>
          <t>2019-05-06 11:21:42</t>
        </is>
      </c>
      <c r="H2233" t="inlineStr"/>
    </row>
    <row r="2234">
      <c r="A2234" t="inlineStr">
        <is>
          <t>blfp7b</t>
        </is>
      </c>
      <c r="B2234" t="inlineStr">
        <is>
          <t>Peace and Encouragement vs Eye Cancer</t>
        </is>
      </c>
      <c r="C2234" t="inlineStr">
        <is>
          <t>I (35 yr old M) had excellent vision until 2 months ago, when I noticed some peripheral vision being blurry.  After a week I went to Optometry, who sent me to Ophthalmology, who sent me to Retinal Surgery.  The next week I was given the diagnosis of Choroidal Melanoma.  
A week later I'm getting my first ever surgery to install a quarter-sized radioactive gold disk in my eye, and I can't hold my kids or sleep in the same room as my wife for a week, until its surgically removed.
&amp;amp;#x200B;
I've been blessed with Family, Friends, and Work that have taken care of my kids, wife, and work, taking care of our physical needs.
But beyond that, I've been blessed with such a peace through this trial, despite all the fears, tears, and stress that the diagnosis and treatment has put on me, Jesus Christ is still Good!
He has a plan, and though this trial is one that I wouldn't have chosen, it has shown me that I can't rely on myself, but I can rely on His plan and His grace</t>
        </is>
      </c>
      <c r="D2234" t="n">
        <v>5</v>
      </c>
      <c r="E2234" t="n">
        <v>5</v>
      </c>
      <c r="F2234">
        <f>HYPERLINK("https://www.reddit.com/r/cancer/comments/blfp7b/peace_and_encouragement_vs_eye_cancer/")</f>
        <v/>
      </c>
      <c r="G2234" t="inlineStr">
        <is>
          <t>2019-05-06 11:22:33</t>
        </is>
      </c>
      <c r="H2234" t="inlineStr"/>
    </row>
    <row r="2235">
      <c r="A2235" t="inlineStr">
        <is>
          <t>blg9cu</t>
        </is>
      </c>
      <c r="B2235" t="inlineStr">
        <is>
          <t>I’m a 12 year old guy, and I may have cancer.</t>
        </is>
      </c>
      <c r="C2235" t="inlineStr">
        <is>
          <t>This is scary. Very, I don’t know what to think. Yesterday I notice this  solid lump, maybe a cm tall and wide, half an inch from my right nipple. I’m freaking out, praying, keeping this all to myself. I’m on the bus ride home, and today was quite literally the worst day I’ve ever had. And that’s saying a lot, I’ve been attacked by dogs, experienced kidney failure, and I frequently have serious stomach pains and pass out in class. I ate a nice breakfast, I started having stomach pains, they got very bad, I couldn’t stand, I couldn’t walk, and during that I would get sharp pounding pains in my heart. My throat is very sore and I taste blood, I’m very tired, can’t run, and the lump has gotten a little bigger and my entire chest has crazy sharp pains, as well as the lump hurting, which it didn’t last night. Help. Pray for me. I feel like I’m being eaten from the inside. I think I have cancer. I’ve told nobody but three friends. I’m telling my mom in an hour or so. Hopefully we’ll go see. I don’t want to die. I want to see 13, my birthdays in August. I need to live. I love you guys, thanks.</t>
        </is>
      </c>
      <c r="D2235" t="n">
        <v>1</v>
      </c>
      <c r="E2235" t="n">
        <v>2</v>
      </c>
      <c r="F2235">
        <f>HYPERLINK("https://www.reddit.com/r/cancer/comments/blg9cu/im_a_12_year_old_guy_and_i_may_have_cancer/")</f>
        <v/>
      </c>
      <c r="G2235" t="inlineStr">
        <is>
          <t>2019-05-06 12:08:57</t>
        </is>
      </c>
      <c r="H2235" t="inlineStr"/>
    </row>
    <row r="2236">
      <c r="A2236" t="inlineStr">
        <is>
          <t>blhd13</t>
        </is>
      </c>
      <c r="B2236" t="inlineStr">
        <is>
          <t>Scientists Need to do Better</t>
        </is>
      </c>
      <c r="C2236" t="inlineStr">
        <is>
          <t>I am 1 year out from finishing my PhD in molecular/stem cell radiation oncology in the US and am entering my 6th year as part of research team at a large hospital system. I will say, I love communities such as these to see numerous people from all around the globe providing information to one another regarding this terrible disease. The one big take away I have so far is noticing how difficult and out of reach science and research is to the general public which just leads to misinformation and pseudo science being thrown around as fact. That primarily falls on the shoulders of those doing the science and improving their communication. I will answer what I can and comment where things seem especially egregious. I hope for strength for those fighting.</t>
        </is>
      </c>
      <c r="D2236" t="n">
        <v>7</v>
      </c>
      <c r="E2236" t="n">
        <v>6</v>
      </c>
      <c r="F2236">
        <f>HYPERLINK("https://www.reddit.com/r/cancer/comments/blhd13/scientists_need_to_do_better/")</f>
        <v/>
      </c>
      <c r="G2236" t="inlineStr">
        <is>
          <t>2019-05-06 13:39:26</t>
        </is>
      </c>
      <c r="H2236" t="inlineStr"/>
    </row>
    <row r="2237">
      <c r="A2237" t="inlineStr">
        <is>
          <t>bli9zg</t>
        </is>
      </c>
      <c r="B2237" t="inlineStr">
        <is>
          <t>Battle cry</t>
        </is>
      </c>
      <c r="C2237" t="inlineStr">
        <is>
          <t>I have battled wars harder than cancer.
I have cried tears of grief stronger than what has been shed over this current experience.
I have picked myself up out of the bottom of a well deeper than the hole I feel I currently stand in. 
Today is a tough day, but it is temporary. 
I will continue to remind myself all of this even when my mind tries to convince me otherwise. 
Yes, I am tired.
I am so ready for treatment to be over so that I can reclaim the life I worked so hard for.
This journey is tough, but so am I. Even moreso when I don't feel it. 
My self care options may not be the same as they were before this journey began, however, that means I get to create new ones. 
I am a phoenix and will rise from the ashes of cancer, born anew! 
As I will it, so shall it be.  
💖🔥💖</t>
        </is>
      </c>
      <c r="D2237" t="n">
        <v>8</v>
      </c>
      <c r="E2237" t="n">
        <v>4</v>
      </c>
      <c r="F2237">
        <f>HYPERLINK("https://www.reddit.com/r/cancer/comments/bli9zg/battle_cry/")</f>
        <v/>
      </c>
      <c r="G2237" t="inlineStr">
        <is>
          <t>2019-05-06 14:55:45</t>
        </is>
      </c>
      <c r="H2237" t="inlineStr"/>
    </row>
    <row r="2238">
      <c r="A2238" t="inlineStr">
        <is>
          <t>blihjy</t>
        </is>
      </c>
      <c r="B2238" t="inlineStr">
        <is>
          <t>Tommorow I find out my staging for NET, I’m so nervous and scared.</t>
        </is>
      </c>
      <c r="C2238" t="inlineStr">
        <is>
          <t>Hi everyone
I had my appendix out in Feburary due to suspected appendicitis but had a biopsy done and they found an NET tumour which caused the inflammation. Apparently it had been growing for a while, I had no idea or symptoms that I was aware of?
I then had a colonoscopy (which I had the results for - all clear) and a CT scan, which I get the results for tomorrow along with bloods to work out a staging. 
I’m so nervous, I don’t know what to prepare for, the best or the worst. Regardless it sucks because I still had cancer. I’m in remission technically if it’s good news but still that is terrifying???
I’m only 23 and I feel like my life is just on pause with all of this. 
Sorry if it’s rambly I don’t really know how to feel right now I’m so anxious :(</t>
        </is>
      </c>
      <c r="D2238" t="n">
        <v>9</v>
      </c>
      <c r="E2238" t="n">
        <v>9</v>
      </c>
      <c r="F2238">
        <f>HYPERLINK("https://www.reddit.com/r/cancer/comments/blihjy/tommorow_i_find_out_my_staging_for_net_im_so/")</f>
        <v/>
      </c>
      <c r="G2238" t="inlineStr">
        <is>
          <t>2019-05-06 15:14:18</t>
        </is>
      </c>
      <c r="H2238" t="inlineStr"/>
    </row>
    <row r="2239">
      <c r="A2239" t="inlineStr">
        <is>
          <t>blimut</t>
        </is>
      </c>
      <c r="B2239" t="inlineStr">
        <is>
          <t>Is sleeping all the time a sign that a cancer battle is coming to the end?</t>
        </is>
      </c>
      <c r="C2239" t="inlineStr">
        <is>
          <t>My dad has been fighting cancer since September 2017, and in the months since we have been told it is inoperable and terminal. It’s obviously devastated the family, but I won’t get too much into that as I’m fairly sure almost everyone on this sub knows how hard it is. My parents have done their best to remain positive and shelter me, but due to my moderate mental health issues, I don’t think they are telling me how bad it’s getting.
My dad was one the most physically strong people I knew, a bit of a superman. Even up until about 1 months ago, he seemed relatively normal. I know something has changed however, as since I’ve come back from Uni, I can hear him violently throwing up pretty much anything he eats. He’s lost a lot of weight, and seems to have absolutely no spark in him. He’s far too proud to talk to me about it, but for a man who spent his life playing football and rugby, he now is unable to walk the dog further then to the bottom of the garden.
The point of all that ramble, was that he seems to have gone downhill fast, but like I said my parents don’t really keep me in the loop. Perhaps the biggest change is that he is sleeping all the time. In fact today, my best guess is that he’s slept ~18 hours. I know that everyone varies and no one know for sure, but I just want to know weather that really could be a sign he’s in his last few days/weeks, or weather I’m just being stupid. Thanks for anyone that reads this far, perhaps I just wanted to get some stuff of my chest 😔</t>
        </is>
      </c>
      <c r="D2239" t="n">
        <v>21</v>
      </c>
      <c r="E2239" t="n">
        <v>8</v>
      </c>
      <c r="F2239">
        <f>HYPERLINK("https://www.reddit.com/r/cancer/comments/blimut/is_sleeping_all_the_time_a_sign_that_a_cancer/")</f>
        <v/>
      </c>
      <c r="G2239" t="inlineStr">
        <is>
          <t>2019-05-06 15:27:20</t>
        </is>
      </c>
      <c r="H2239" t="inlineStr"/>
    </row>
    <row r="2240">
      <c r="A2240" t="inlineStr">
        <is>
          <t>blj74z</t>
        </is>
      </c>
      <c r="B2240" t="inlineStr">
        <is>
          <t>Fatigue after bone marrow transplant</t>
        </is>
      </c>
      <c r="C2240" t="inlineStr">
        <is>
          <t>I’m day +75 and home after my bone marrow transplant. Currently no viruses or any other issues going on but I have absolutely no energy to do anything but lay in bed and play on my phone. There are little things I want to do around the house like organize something or throw some clothes in the wash and I have no energy or will to do any of it. 
I know this is a common issue after chemo and transplant but I just needed to vent about it. It’s depressing to be home but unable to do any “normal” home things. I want to have lunch with friends or walk two blocks to the grocery store but as soon as I get the idea in my head I just sink deeper into my bed.</t>
        </is>
      </c>
      <c r="D2240" t="n">
        <v>11</v>
      </c>
      <c r="E2240" t="n">
        <v>13</v>
      </c>
      <c r="F2240">
        <f>HYPERLINK("https://www.reddit.com/r/cancer/comments/blj74z/fatigue_after_bone_marrow_transplant/")</f>
        <v/>
      </c>
      <c r="G2240" t="inlineStr">
        <is>
          <t>2019-05-06 16:17:50</t>
        </is>
      </c>
      <c r="H2240" t="inlineStr"/>
    </row>
    <row r="2241">
      <c r="A2241" t="inlineStr">
        <is>
          <t>bljc3x</t>
        </is>
      </c>
      <c r="B2241" t="inlineStr">
        <is>
          <t>Liver Cancer/Renal Failure</t>
        </is>
      </c>
      <c r="C2241" t="inlineStr">
        <is>
          <t>My dad was diagnosed with liver cancer and  has cirrhosis. This is his 3rd time in the hospital with in the last month with elevated kidney levels although this time his kidney function is even worse.  The dr said he may not even make it out of the hospital since he is in complete renal and liver failure. The meds do seem to be bringing down the levels somewhat but if he discharged by some way would be sent home with hospice since once he stops the meds his levels will rise again?</t>
        </is>
      </c>
      <c r="D2241" t="n">
        <v>3</v>
      </c>
      <c r="E2241" t="n">
        <v>1</v>
      </c>
      <c r="F2241">
        <f>HYPERLINK("https://www.reddit.com/r/cancer/comments/bljc3x/liver_cancerrenal_failure/")</f>
        <v/>
      </c>
      <c r="G2241" t="inlineStr">
        <is>
          <t>2019-05-06 16:30:47</t>
        </is>
      </c>
      <c r="H2241" t="inlineStr"/>
    </row>
    <row r="2242">
      <c r="A2242" t="inlineStr">
        <is>
          <t>bljxve</t>
        </is>
      </c>
      <c r="B2242" t="inlineStr">
        <is>
          <t>Is it safe or even possible to masturbate while on chemo, or is this my last chance for a while?</t>
        </is>
      </c>
      <c r="C2242" t="inlineStr">
        <is>
          <t>Half joke, half serious, I got diagnosed with leukemia today, and I start chemo for 7 months tomorrow. I don't want to have to ask my nurses so what am I looking at here lol</t>
        </is>
      </c>
      <c r="D2242" t="n">
        <v>16</v>
      </c>
      <c r="E2242" t="n">
        <v>11</v>
      </c>
      <c r="F2242">
        <f>HYPERLINK("https://www.reddit.com/r/cancer/comments/bljxve/is_it_safe_or_even_possible_to_masturbate_while/")</f>
        <v/>
      </c>
      <c r="G2242" t="inlineStr">
        <is>
          <t>2019-05-06 17:27:39</t>
        </is>
      </c>
      <c r="H2242" t="inlineStr"/>
    </row>
    <row r="2243">
      <c r="A2243" t="inlineStr">
        <is>
          <t>blkc4o</t>
        </is>
      </c>
      <c r="B2243" t="inlineStr">
        <is>
          <t>4-6 months</t>
        </is>
      </c>
      <c r="C2243" t="inlineStr">
        <is>
          <t>That's what my prognosis was. Today is my 2 year cancerversary of stage 4b ovarian cancer. You are not a statistic and you don't have an expiration date. I've enjoyed 2 years full of happiness, love, and family. I've read bedtime stories, cuddled, camped, baled hay, sang, danced, hugged, laughed and cried. The tears I cry are out of happiness. I wouldn't trade it for the world. 
Strength and peace to each of you, may you enjoy each day to its fullest potential.</t>
        </is>
      </c>
      <c r="D2243" t="n">
        <v>183</v>
      </c>
      <c r="E2243" t="n">
        <v>52</v>
      </c>
      <c r="F2243">
        <f>HYPERLINK("https://www.reddit.com/r/cancer/comments/blkc4o/46_months/")</f>
        <v/>
      </c>
      <c r="G2243" t="inlineStr">
        <is>
          <t>2019-05-06 18:05:20</t>
        </is>
      </c>
      <c r="H2243" t="inlineStr"/>
    </row>
    <row r="2244">
      <c r="A2244" t="inlineStr">
        <is>
          <t>blkw0j</t>
        </is>
      </c>
      <c r="B2244" t="inlineStr">
        <is>
          <t>Cancer didn’t take my happiness, people did</t>
        </is>
      </c>
      <c r="C2244" t="inlineStr">
        <is>
          <t>I’ve survived so far. Although though I am healthy, residency program directors will not hire me in my field because I had cancer. One said to me they don’t want to take me on due to risk. It is their wish for me to be dead.</t>
        </is>
      </c>
      <c r="D2244" t="n">
        <v>9</v>
      </c>
      <c r="E2244" t="n">
        <v>10</v>
      </c>
      <c r="F2244">
        <f>HYPERLINK("https://www.reddit.com/r/cancer/comments/blkw0j/cancer_didnt_take_my_happiness_people_did/")</f>
        <v/>
      </c>
      <c r="G2244" t="inlineStr">
        <is>
          <t>2019-05-06 18:59:00</t>
        </is>
      </c>
      <c r="H2244" t="inlineStr"/>
    </row>
    <row r="2245">
      <c r="A2245" t="inlineStr">
        <is>
          <t>blldtl</t>
        </is>
      </c>
      <c r="B2245" t="inlineStr">
        <is>
          <t>I have a stage 3b squamous small cell tumor in my right lung. I just started treatment. I did this to myself....</t>
        </is>
      </c>
      <c r="C2245" t="inlineStr">
        <is>
          <t>I (49f) started smoking at 16, because all my gfs smoked and I didn’t want to be odd girl out when I already was odd, and struggled socially. Stupid and I knew it- my dad’s side of the family is riddled with cancer and I favor that side physically. I quit briefly when I became pregnant with my son but was smoking again within two years. I’ve quit for varying lengths of time, years even but I always seemed to pick it back up. I thought I’d start vaping to control the habit and start reducing my nicotine intake that way. It just about worked, I was very low mg nicotine, not really vaping, occasional nicotine gum. And then I started coughing this past fall. It was too easy to blame the flu and the foster cats- had to be the reason. And then my father in law became ill with cancer that took him within months, so I blamed my failure to get better on the stress of that. And then I felt like I was being smothered, drowning, I just could not breathe properly...so I went to my doctors every week for two months looking for answers. My normal doc was booked solid and I saw another who diagnosed the flu, then pneumonia, then bronchitis and maybe the flu too, then back to pneumonia. This was after multiple X-rays. I was finally able to see my regular doc who heard almost no activity in my right lung, and sent me for a ct scan which showed a five cm mass blocking that lungs opening and affecting the trachea and lymph nodes there. Within a matter of days I was going in to have a stent placed and a biopsy. I knew immediately I was destination fucked when doc sent me for the CT scan. I texted my son before I went in the building. And I knew I did it to my dumb assed self. I thought if I countered smoking with exercise and eating healthy ( usually) that somehow I’d get away with it, I’d show that genetic cancer tree who was boss. Sometimes I’d start again in the midst of crises- when we were being sued, when my granny died, when I ....had some half assed excuse. And now I’m really fucked. I did a number on this skin jalopy. For a goddamned cigarette. I hate myself right now and do you know I crave a cigarette.....STILL. I have a beautiful adult son who I want to see fall in love and succeed and I may have just stomped all over it. My husband, I can’t even think about that, he’s lost his dad. We’ve worked together as artists/ illustrators for almost 20 years. We are together all the time, we just dig each other, he’s my best friend, my love, my hubby. What the fuck is wrong with me....why did I keep going back for another pack? Why didn’t I stay quit the first time I quit? I am a fool, just a stupid stupid person. I hate me. 
I’m sorry...I’m having a rant. I had a long day, chemo late by almost three hours, had some hard truths thrown at me during doctor consults and my insurance co made me fight tooth and nail to get chemo and radiation approved. Oh and the hell is up with crazy family coming out of the woodwork during this time?? It’s like blood in the water.....I just had a cancer faking relative send me what amounted to a love letter to herself, while she called me cruel, annoying, and yet couldn’t live without me. I haven’t spoken to her in 7 years. 
Blerg. I thought I had more time before my stupidity caught up with me. Now it’s coming at me from all sides.</t>
        </is>
      </c>
      <c r="D2245" t="n">
        <v>9</v>
      </c>
      <c r="E2245" t="n">
        <v>8</v>
      </c>
      <c r="F2245">
        <f>HYPERLINK("https://www.reddit.com/r/cancer/comments/blldtl/i_have_a_stage_3b_squamous_small_cell_tumor_in_my/")</f>
        <v/>
      </c>
      <c r="G2245" t="inlineStr">
        <is>
          <t>2019-05-06 19:47:32</t>
        </is>
      </c>
      <c r="H2245" t="inlineStr"/>
    </row>
    <row r="2246">
      <c r="A2246" t="inlineStr">
        <is>
          <t>blm0f4</t>
        </is>
      </c>
      <c r="B2246" t="inlineStr">
        <is>
          <t>Radical Trachelectomy Recovery</t>
        </is>
      </c>
      <c r="C2246" t="inlineStr">
        <is>
          <t>My best friend of 19 years is having a Radical trachelectomy this week, I'm going to be taking care of her for a few days after and was wondering if anyone  has any tips or advice?
Besides cooking and cleaning anything thing I should have or do to make sure she is loved, pampered, and as comfortable as possible?</t>
        </is>
      </c>
      <c r="D2246" t="n">
        <v>2</v>
      </c>
      <c r="E2246" t="n">
        <v>0</v>
      </c>
      <c r="F2246">
        <f>HYPERLINK("https://www.reddit.com/r/cancer/comments/blm0f4/radical_trachelectomy_recovery/")</f>
        <v/>
      </c>
      <c r="G2246" t="inlineStr">
        <is>
          <t>2019-05-06 20:51:52</t>
        </is>
      </c>
      <c r="H2246" t="inlineStr"/>
    </row>
    <row r="2247">
      <c r="A2247" t="inlineStr">
        <is>
          <t>blmneo</t>
        </is>
      </c>
      <c r="B2247" t="inlineStr">
        <is>
          <t>How to still have my father at my wedding</t>
        </is>
      </c>
      <c r="C2247" t="inlineStr">
        <is>
          <t>Background: 
My father was diagnosed last month with stage 4 lung cancer with a tumor in his upper left lung. We are staying as optimistic as we can; he’s receiving great treatment and we’re hoping it will be very effective, but time will tell as he only just started it.
Throughout all of this though, I know I have to come to terms with the fact that I am going to lose my father, and sooner than I thought. My parents had me late, I’m only 21 but my father is 72 next month. I don’t have much experience with death as I luckily have not lost any family members with the exception of my grandmother when I was very young. Anyways, I know with how young I am, how incredibly single I’ve been, and how much older my dad is, that it was going to be a gamble that he would be at my wedding one day despite the recent turn of events.
With his diagnosis now, I can’t stop thinking about it. It’s now pretty much entirely certain that he won’t be there for one of the biggest days of my life, no matter how much I want him to be.
TL;DR I want to do something. I want to hold an adjunct ceremony with just me, him, and my mom. I want to get a dress that I will keep forever and eventually wear for a rehearsal dinner or something one day. I want to have a ceremony where I receive my fathers blessings and well wishes and have him give me away to, well, myself. 
Does this kind of ceremony exist? It can be religious or not, my family has ties to the Catholic Church although we don’t practice anymore. I just really want something to have his presence at my wedding, groom or not. I’ve been so fucking emotional about it but I know that if his health takes a turn for the worst, this is what I want. Also, if I can do this, does anyone have any advice for not sobbing though the whole thing? Thank you.</t>
        </is>
      </c>
      <c r="D2247" t="n">
        <v>3</v>
      </c>
      <c r="E2247" t="n">
        <v>5</v>
      </c>
      <c r="F2247">
        <f>HYPERLINK("https://www.reddit.com/r/cancer/comments/blmneo/how_to_still_have_my_father_at_my_wedding/")</f>
        <v/>
      </c>
      <c r="G2247" t="inlineStr">
        <is>
          <t>2019-05-06 22:05:16</t>
        </is>
      </c>
      <c r="H2247" t="inlineStr"/>
    </row>
    <row r="2248">
      <c r="A2248" t="inlineStr">
        <is>
          <t>blmqnv</t>
        </is>
      </c>
      <c r="B2248" t="inlineStr">
        <is>
          <t>What coping strategies do you use for chemo?</t>
        </is>
      </c>
      <c r="C2248" t="inlineStr">
        <is>
          <t>I've just finished my first session with another 11 more to go over a 6 month period.  I know there is going to be adjustments to help reduce or counter some of the side effects, but the weekend was quite hard.  I am being given a very agressive treatment due to the severity of the cancer.
I have one set of side effects from cancer on the pancreas reducing it's efficiency, on the other side, I had side effects from the chemo (nausea).  So, I find myself looking forward to how best mentally prepare for each session.
One idea raised today was to set a goal of seeing the 6 month target as a goal line (used to be a competitive cyclist) then set other goals when I reach it.  What are some of the coping mechanisms you use that work?</t>
        </is>
      </c>
      <c r="D2248" t="n">
        <v>3</v>
      </c>
      <c r="E2248" t="n">
        <v>1</v>
      </c>
      <c r="F2248">
        <f>HYPERLINK("https://www.reddit.com/r/cancer/comments/blmqnv/what_coping_strategies_do_you_use_for_chemo/")</f>
        <v/>
      </c>
      <c r="G2248" t="inlineStr">
        <is>
          <t>2019-05-06 22:16:11</t>
        </is>
      </c>
      <c r="H2248" t="inlineStr"/>
    </row>
    <row r="2249">
      <c r="A2249" t="inlineStr">
        <is>
          <t>blnkda</t>
        </is>
      </c>
      <c r="B2249" t="inlineStr">
        <is>
          <t>Biopsy ordered for "mass"...how important is surgeon experience?</t>
        </is>
      </c>
      <c r="C2249" t="inlineStr">
        <is>
          <t>2 weeks ago I noticed a lump in my left forearm. The lump wasn't that noticeable at first, I thought it was a muscle knot because it was small and soft to touch. I kept rubbing my muscles throughout the week thinking the knot would go away.
A week later, my arm had swelled up and the 'knot' has grown to a bump. Definitely weird so I goto the doctor, and my doctor says she can't tell what it is either...so she orders a MRI.
MRI results came back and the doctor said something vague about how she couldn't identify what it was. She didn't say it was cancer, but she said she can't rule out the possibility of a tumor.
This has been over the span of 2 weeks. My arm swelling has gone down significantly, but the bump is very much there and more spread out then before...firm to touch. I'm freaking the fuck out as you can imagine...
So tomorrow I'm meeting with my doctor to discuss the possibility of a biopsy. I'm reading up a lot about 'soft tissue sarcoma' which...I know is rare, but the symptoms most closely match what I have...and the page on cancer.org says this:
"You might want to ask about your surgeon’s experience doing biopsies. Proper biopsy technique is a very important part of successfully treating soft tissue sarcomas. An improper biopsy can lead to tumor spread and problems removing the tumor later on."
I'm freaking out even more. My insurance is kaiser and the doctor just referred me to some surgeon within kaiser...what if he doesn't have experience? I'm not even sure it's sarcoma at this point but...should I be extra careful? How do you even find a surgeon that specializes in this...to do a biopsy? Any help would be greatly appreciated!!</t>
        </is>
      </c>
      <c r="D2249" t="n">
        <v>6</v>
      </c>
      <c r="E2249" t="n">
        <v>2</v>
      </c>
      <c r="F2249">
        <f>HYPERLINK("https://www.reddit.com/r/cancer/comments/blnkda/biopsy_ordered_for_masshow_important_is_surgeon/")</f>
        <v/>
      </c>
      <c r="G2249" t="inlineStr">
        <is>
          <t>2019-05-07 00:03:21</t>
        </is>
      </c>
      <c r="H2249" t="inlineStr"/>
    </row>
    <row r="2250">
      <c r="A2250" t="inlineStr">
        <is>
          <t>blqzcm</t>
        </is>
      </c>
      <c r="B2250" t="inlineStr">
        <is>
          <t>Supporting a Coworker. Ideas?</t>
        </is>
      </c>
      <c r="C2250" t="inlineStr">
        <is>
          <t>I work with a wonderful man who is going to be recovering from surgery related to multiple myeloma. He lives in rural Maine with his wife. Means no food delivery, nearby restaurants or take out.
He has a very simple palate. Favorite meal: Peanut butter sandwich.
We are going to make meals for him and his wife. What are other ways we can support without being a burden to them?
 We are a team of 17 people. 
Thanks for your input.</t>
        </is>
      </c>
      <c r="D2250" t="n">
        <v>5</v>
      </c>
      <c r="E2250" t="n">
        <v>4</v>
      </c>
      <c r="F2250">
        <f>HYPERLINK("https://www.reddit.com/r/cancer/comments/blqzcm/supporting_a_coworker_ideas/")</f>
        <v/>
      </c>
      <c r="G2250" t="inlineStr">
        <is>
          <t>2019-05-07 06:54:46</t>
        </is>
      </c>
      <c r="H2250" t="inlineStr"/>
    </row>
    <row r="2251">
      <c r="A2251" t="inlineStr">
        <is>
          <t>blr1gg</t>
        </is>
      </c>
      <c r="B2251" t="inlineStr">
        <is>
          <t>LF Suggestions for Head Wraps</t>
        </is>
      </c>
      <c r="C2251" t="inlineStr">
        <is>
          <t>My mama's been diagnosed with non-hodgkin's lymphoma late last month. It's been a whirlwind the past few weeks. Maybe this shouldn't be one of my bigger concerns, but I've never been known to cope healthily lol. I'm wondering if anyone knows of some great websites to get head wraps for when she loses her hair. I've tried googling, and it's not of much help. There are a lot of basic head wraps, but I'm looking for color and boldness! I'm also pretty handy with a sewing machine if anyone has patterns for wraps. Any and all help is greatly appreciated &amp;lt;3</t>
        </is>
      </c>
      <c r="D2251" t="n">
        <v>12</v>
      </c>
      <c r="E2251" t="n">
        <v>20</v>
      </c>
      <c r="F2251">
        <f>HYPERLINK("https://www.reddit.com/r/cancer/comments/blr1gg/lf_suggestions_for_head_wraps/")</f>
        <v/>
      </c>
      <c r="G2251" t="inlineStr">
        <is>
          <t>2019-05-07 07:00:12</t>
        </is>
      </c>
      <c r="H2251" t="inlineStr"/>
    </row>
    <row r="2252">
      <c r="A2252" t="inlineStr">
        <is>
          <t>blt4t8</t>
        </is>
      </c>
      <c r="B2252" t="inlineStr">
        <is>
          <t>Medical Alert Bracelet</t>
        </is>
      </c>
      <c r="C2252" t="inlineStr">
        <is>
          <t>Right now, I think I should get some sort of medical alert bracelet for when I'm away from home without friends or family, but I have so many (serious) medical problems that need to be on it, like cancer, blood clots, Elaquis, and a heart deformity, as well as severe allergies and carrying an EpiPen. I can't find a bracelet that can fit it all. Any suggestions?</t>
        </is>
      </c>
      <c r="D2252" t="n">
        <v>4</v>
      </c>
      <c r="E2252" t="n">
        <v>8</v>
      </c>
      <c r="F2252">
        <f>HYPERLINK("https://www.reddit.com/r/cancer/comments/blt4t8/medical_alert_bracelet/")</f>
        <v/>
      </c>
      <c r="G2252" t="inlineStr">
        <is>
          <t>2019-05-07 09:57:45</t>
        </is>
      </c>
      <c r="H2252" t="inlineStr"/>
    </row>
    <row r="2253">
      <c r="A2253" t="inlineStr">
        <is>
          <t>bltdpk</t>
        </is>
      </c>
      <c r="B2253" t="inlineStr">
        <is>
          <t>Need some help</t>
        </is>
      </c>
      <c r="C2253" t="inlineStr">
        <is>
          <t>Hello All,
I'm hoping to get some help as my dad has been diagnosed with stage 3 colon cancer a week ago.  
His treatment was 12 weeks of chemo and radiation 1 day a week was changed to 5 weeks of 5 times a week. Does anyone know why this might happen as it seems like a big change and I'm worried that it's a bad sign. 
Any help or advice would be greatly appreciated</t>
        </is>
      </c>
      <c r="D2253" t="n">
        <v>7</v>
      </c>
      <c r="E2253" t="n">
        <v>15</v>
      </c>
      <c r="F2253">
        <f>HYPERLINK("https://www.reddit.com/r/cancer/comments/bltdpk/need_some_help/")</f>
        <v/>
      </c>
      <c r="G2253" t="inlineStr">
        <is>
          <t>2019-05-07 10:17:24</t>
        </is>
      </c>
      <c r="H2253" t="inlineStr"/>
    </row>
    <row r="2254">
      <c r="A2254" t="inlineStr">
        <is>
          <t>bltthq</t>
        </is>
      </c>
      <c r="B2254" t="inlineStr">
        <is>
          <t>Rebound headaches</t>
        </is>
      </c>
      <c r="C2254" t="inlineStr">
        <is>
          <t>For going on 18 months (so, since my initial diagnosis), I have been dealing with debilitating headaches. Now that I am 1 year out from my last chemo course and a stem cell transplant, I was getting very depressed thinking that these horrible headaches were not due to any side effects of treatment, but were just a part of my "new normal." It turns out that the medicine I was given for the headaches (hydrocodone/Norco), while it did work to give me relief in the near term, was causing severe rebound headaches, which then led to me taking more medicine, etc., etc., creating a vicious cycle. Once I was able to suffer through and not take the medication, my headaches have finally resolved themselves. I just wanted to put this out there for anyone else who may be going through something similar. I feel like I cracked the code and now I have so much more hope for the future.</t>
        </is>
      </c>
      <c r="D2254" t="n">
        <v>17</v>
      </c>
      <c r="E2254" t="n">
        <v>7</v>
      </c>
      <c r="F2254">
        <f>HYPERLINK("https://www.reddit.com/r/cancer/comments/bltthq/rebound_headaches/")</f>
        <v/>
      </c>
      <c r="G2254" t="inlineStr">
        <is>
          <t>2019-05-07 10:52:52</t>
        </is>
      </c>
      <c r="H2254" t="inlineStr"/>
    </row>
    <row r="2255">
      <c r="A2255" t="inlineStr">
        <is>
          <t>blu58j</t>
        </is>
      </c>
      <c r="B2255" t="inlineStr">
        <is>
          <t>Even with knowledge, it's hard</t>
        </is>
      </c>
      <c r="C2255" t="inlineStr">
        <is>
          <t>My second mom is fading fast this week.  She's been fighting her tumor for years, but the infections are getting her.  She's in home hospice now, keeping her comfortable.  She doesn't have much strength left after fighting for so long and there's nothing more that can be done medically.  I hate that we're just waiting for her to pass...
I work around cancer patients every day, but it doesn't make this any easier.  I knew what the options were early on, but I kept hoping for a miracle or that she could fight a little longer.  She received the best possible care from the best doctors, but it wasn't enough.  
She filled in after my mother died a long time ago.  She's been great for me and I will miss her dearly.   This is really hard..</t>
        </is>
      </c>
      <c r="D2255" t="n">
        <v>4</v>
      </c>
      <c r="E2255" t="n">
        <v>4</v>
      </c>
      <c r="F2255">
        <f>HYPERLINK("https://www.reddit.com/r/cancer/comments/blu58j/even_with_knowledge_its_hard/")</f>
        <v/>
      </c>
      <c r="G2255" t="inlineStr">
        <is>
          <t>2019-05-07 11:18:53</t>
        </is>
      </c>
      <c r="H2255" t="inlineStr"/>
    </row>
    <row r="2256">
      <c r="A2256" t="inlineStr">
        <is>
          <t>blv9wp</t>
        </is>
      </c>
      <c r="B2256" t="inlineStr">
        <is>
          <t>Second hand vape smoking and lung nodules</t>
        </is>
      </c>
      <c r="C2256" t="inlineStr">
        <is>
          <t>Hello there, don't know if this is the right subreddit to ask this question in but it's worth asking anyway. Few months ago I was diagnosed with metastatic osteosarcoma in my lungs. Treatment has been going well for the most part. I've never smoked, vaped, juuled, etc. but several of my friends do vape. Would it be too much to ask them to not do it around me or is it relatively harmless to "secondhand vape" for someone in my condition? I know secondhand smoking from cigarettes is not good in any way. I don't want my disease to stop my friends from doing what they want, especially when we're all having fun together, but I take my health very seriously and I know they would do all they could to help me. And if that means just going a night without vaping then I'm sure they'd do their best not to.
But all I really need to know, is "secondhand vaping" bad for someone that has any sort of lung nodules that are cancerous?</t>
        </is>
      </c>
      <c r="D2256" t="n">
        <v>6</v>
      </c>
      <c r="E2256" t="n">
        <v>12</v>
      </c>
      <c r="F2256">
        <f>HYPERLINK("https://www.reddit.com/r/cancer/comments/blv9wp/second_hand_vape_smoking_and_lung_nodules/")</f>
        <v/>
      </c>
      <c r="G2256" t="inlineStr">
        <is>
          <t>2019-05-07 12:50:25</t>
        </is>
      </c>
      <c r="H2256" t="inlineStr"/>
    </row>
    <row r="2257">
      <c r="A2257" t="inlineStr">
        <is>
          <t>blxaz9</t>
        </is>
      </c>
      <c r="B2257" t="inlineStr">
        <is>
          <t>People are repeatedly being given the wrong advice to help protect bone density after cancer</t>
        </is>
      </c>
      <c r="C2257" t="inlineStr">
        <is>
          <t>As an Oncologist and exercise scientist, it's frustrating to see so many people with cancer develop osteoporosis (thin bones) because they are given the wrong advice. Calcium tablets don't help and increase the risk of heart disease. Walking helps the heart but has little benefit on bones - squatting with weights, improving gut health and eating [polyphenol rich foods](https://www.cancernet.co.uk/polyphenols.htm) are the best thing - [read more if you are concerned about your bone health](https://www.keep-healthy.com/bone-density/)</t>
        </is>
      </c>
      <c r="D2257" t="n">
        <v>19</v>
      </c>
      <c r="E2257" t="n">
        <v>8</v>
      </c>
      <c r="F2257">
        <f>HYPERLINK("https://www.reddit.com/r/cancer/comments/blxaz9/people_are_repeatedly_being_given_the_wrong/")</f>
        <v/>
      </c>
      <c r="G2257" t="inlineStr">
        <is>
          <t>2019-05-07 15:36:53</t>
        </is>
      </c>
      <c r="H2257" t="inlineStr"/>
    </row>
    <row r="2258">
      <c r="A2258" t="inlineStr">
        <is>
          <t>blzp5e</t>
        </is>
      </c>
      <c r="B2258" t="inlineStr">
        <is>
          <t>Found 3 inch lump in breast. 32 F</t>
        </is>
      </c>
      <c r="C2258" t="inlineStr">
        <is>
          <t>I already have an appt tomm morning with an NP to get it checked. It feels hard and moves slightly. It has a very dull ache to it. Are fibroadenomas often that large? I check my breasts often, and never felt anything until now aside from a pea sized fibrocyst 8 yrs ago. I've lost 20 lbs in 3 months due to lack of appetite but thought that was depression and it likely is but a part of me is jumping to the worst possible conclusions.</t>
        </is>
      </c>
      <c r="D2258" t="n">
        <v>0</v>
      </c>
      <c r="E2258" t="n">
        <v>0</v>
      </c>
      <c r="F2258">
        <f>HYPERLINK("https://www.reddit.com/r/cancer/comments/blzp5e/found_3_inch_lump_in_breast_32_f/")</f>
        <v/>
      </c>
      <c r="G2258" t="inlineStr">
        <is>
          <t>2019-05-07 19:20:12</t>
        </is>
      </c>
      <c r="H2258" t="inlineStr"/>
    </row>
    <row r="2259">
      <c r="A2259" t="inlineStr">
        <is>
          <t>bm08vi</t>
        </is>
      </c>
      <c r="B2259" t="inlineStr">
        <is>
          <t>What are the chances that a CT scan can miss a potential a brain tumor or other types of cancer</t>
        </is>
      </c>
      <c r="C2259" t="inlineStr">
        <is>
          <t>I couple of weeks ago I was feeling  so terrible that I decided to go the emergency room to get myself checked out
&amp;amp;#x200B;
They did blood test, ct scan, x ray and even urine samples but all of the test results were good and they saw nothing out of the ordinary
&amp;amp;#x200B;
&amp;amp;#x200B;
fast forward to today and suddenly i have been suffering from ear pain, a consistent headaches and nausea
at this point  I been back and forth to hospitals and they are all telling me everything is fine but if that is the case why the hell am I suddenly feeling this way 
&amp;amp;#x200B;
Its Honestly starting to make me wonder if the the CT scan and other test are missing something</t>
        </is>
      </c>
      <c r="D2259" t="n">
        <v>0</v>
      </c>
      <c r="E2259" t="n">
        <v>5</v>
      </c>
      <c r="F2259">
        <f>HYPERLINK("https://www.reddit.com/r/cancer/comments/bm08vi/what_are_the_chances_that_a_ct_scan_can_miss_a/")</f>
        <v/>
      </c>
      <c r="G2259" t="inlineStr">
        <is>
          <t>2019-05-07 20:15:39</t>
        </is>
      </c>
      <c r="H2259" t="inlineStr"/>
    </row>
    <row r="2260">
      <c r="A2260" t="inlineStr">
        <is>
          <t>bm0d8d</t>
        </is>
      </c>
      <c r="B2260" t="inlineStr">
        <is>
          <t>any lung cancer survivors?</t>
        </is>
      </c>
      <c r="C2260" t="inlineStr">
        <is>
          <t>/do you know anyone who’s survived lung cancer? 
someone told me lung cancer is the “worst cancer “ to have (i know all cancer sucks). my best friends 50+ year old dad was just diagnosed with lung cancer and im sure you can imagine how devastated her and her family feel. they’re like family to me so im pretty sad about this news, too. 
i dont know a whole lot about cancer at all, i’ve met a lot of survivors and heard many stories, but i dont think ive ever met a lung cancer survivor.</t>
        </is>
      </c>
      <c r="D2260" t="n">
        <v>23</v>
      </c>
      <c r="E2260" t="n">
        <v>31</v>
      </c>
      <c r="F2260">
        <f>HYPERLINK("https://www.reddit.com/r/cancer/comments/bm0d8d/any_lung_cancer_survivors/")</f>
        <v/>
      </c>
      <c r="G2260" t="inlineStr">
        <is>
          <t>2019-05-07 20:29:07</t>
        </is>
      </c>
      <c r="H2260" t="inlineStr"/>
    </row>
    <row r="2261">
      <c r="A2261" t="inlineStr">
        <is>
          <t>bm0hlm</t>
        </is>
      </c>
      <c r="B2261" t="inlineStr">
        <is>
          <t>My dad can't catch a break</t>
        </is>
      </c>
      <c r="C2261" t="inlineStr">
        <is>
          <t>My dad has colon cancer and since his diagnosis pretty much everything that could go wrong has and I'm feeling helpless. 
It all started in July 2018 when the cancer went undetected in my dad's colonoscopy. 
In August, my dad was admitted with his first ever Crohn's flare up (which was only the final conclusion after the doctors decided to open him up to make sure it wasn't an appendicitis)
In October, my dad came back to the hospital because of stomach pain. (He had been trying to call his gastroenterologist since August to tell them something was wrong but they wouldn't see him). Once admitted it was discovered that he had an intestine perforation and part of his ileum was removed. Biopsy of the tissue confirmed he had colon cancer. 
In November, my dad had additional surgery to remove part of his colon to get a clean cut. 
In January 2019, preventive chemo was started and all seemed to be going well (for once).
In late March 2019, my dad came back to the hospital with abdominal pain and oncologist confirmed that the cancer has metasticized in his abdominal cavity. 
In April 2019, my dad started more aggressive chemo (ironitican, oxaliplatin, leucovorin, 5FU) and it has been kicking his ass. 
On Thursday, he did his third of six rounds of that chemo and he's been in the hospital since with complications (needed a blood transfusion, has severe esophagitis, had blood clots in his legs because they couldn't give him blood thinner before the chemo because of the transfusion).
Today he's been in severe pain from the cancer all day and the oncologist wants to have a family meeting tomorrow. The CT scan shows that the cancer hasn't grown since April 17, but it is also hasn't shrunk. 
I have a feeling that the oncologist wants to talk about hospice as an option tomorrow but I'm not ready to give up. They haven't even got results from the genomic testing back yet. My dad had previously said he'd opt to keep going on chemo until we know it doesn't work because right now hospice would mean he's just going home to die. 
I'm spending the night with him in the hospital since he's on so many pain meds and I'm scared AF.  I'm trying to stay positive and am not going to give up until we've exhausted all our options. 
I'm not sure what the exact purpose of this post is, but I just needed to share.</t>
        </is>
      </c>
      <c r="D2261" t="n">
        <v>37</v>
      </c>
      <c r="E2261" t="n">
        <v>15</v>
      </c>
      <c r="F2261">
        <f>HYPERLINK("https://www.reddit.com/r/cancer/comments/bm0hlm/my_dad_cant_catch_a_break/")</f>
        <v/>
      </c>
      <c r="G2261" t="inlineStr">
        <is>
          <t>2019-05-07 20:42:20</t>
        </is>
      </c>
      <c r="H2261" t="inlineStr"/>
    </row>
    <row r="2262">
      <c r="A2262" t="inlineStr">
        <is>
          <t>bm0ptn</t>
        </is>
      </c>
      <c r="B2262" t="inlineStr">
        <is>
          <t>Potential other explanations for mass in colon?</t>
        </is>
      </c>
      <c r="C2262" t="inlineStr">
        <is>
          <t>My daughter is currently dealing with stomach/gastrointestinal issues as a teenager. Recently had a colonoscopy and a mass was discovered in the colon of which a biopsy was performed. Waiting for biopsy results, very scary.
Are there any other potential explanations other than cancer? 
Thank you.</t>
        </is>
      </c>
      <c r="D2262" t="n">
        <v>3</v>
      </c>
      <c r="E2262" t="n">
        <v>4</v>
      </c>
      <c r="F2262">
        <f>HYPERLINK("https://www.reddit.com/r/cancer/comments/bm0ptn/potential_other_explanations_for_mass_in_colon/")</f>
        <v/>
      </c>
      <c r="G2262" t="inlineStr">
        <is>
          <t>2019-05-07 21:07:37</t>
        </is>
      </c>
      <c r="H2262" t="inlineStr"/>
    </row>
    <row r="2263">
      <c r="A2263" t="inlineStr">
        <is>
          <t>bm17q4</t>
        </is>
      </c>
      <c r="B2263" t="inlineStr">
        <is>
          <t>Any experiences or knowledge about someone who experiences Rhabdomyosarcoma?</t>
        </is>
      </c>
      <c r="C2263" t="inlineStr">
        <is>
          <t>October last year, my father (70) is diagnosed with malignant soft tissue tumor consistent with Rhabdomyosarcoma, Pleomorphic type.
Right now he doesn’t really wanna talk about it or even have it checked. He tells me getting it checked would only cause him more stress and it pains him. He’s also not keen on treatments as he believes it will only weaken him more given his age. He also suffered stroke 10 years ago which made the right part of his body paralyzed. 
Now he just takes these herbal medicines, not sure if it works but we just do whatever he wants so as to not stress him out. 
Our family has no history with cancer. I’m really worried and I often think about my old man’s chances of living longer.</t>
        </is>
      </c>
      <c r="D2263" t="n">
        <v>3</v>
      </c>
      <c r="E2263" t="n">
        <v>1</v>
      </c>
      <c r="F2263">
        <f>HYPERLINK("https://www.reddit.com/r/cancer/comments/bm17q4/any_experiences_or_knowledge_about_someone_who/")</f>
        <v/>
      </c>
      <c r="G2263" t="inlineStr">
        <is>
          <t>2019-05-07 22:06:39</t>
        </is>
      </c>
      <c r="H2263" t="inlineStr"/>
    </row>
    <row r="2264">
      <c r="A2264" t="inlineStr">
        <is>
          <t>bm1ib3</t>
        </is>
      </c>
      <c r="B2264" t="inlineStr">
        <is>
          <t>My mother isn’t doing chemo and I’m unsure what to think</t>
        </is>
      </c>
      <c r="C2264" t="inlineStr">
        <is>
          <t>So my mum got diagnosed with breast cancer last year. Pretty sure it was stage 1 but she’s kinda not discussing it much. She had surgery to remove it a couple of months ago, and is now choosing to take vitamins and is having IV treatments weekly. I’m not very knowledgeable about cancer and it’s various treatments but I know that her doctors recommended chemo and she’s choosing to go against it. Can anyone help explain to me what she’s doing and will it be detrimental to her health? Thanks in advance</t>
        </is>
      </c>
      <c r="D2264" t="n">
        <v>6</v>
      </c>
      <c r="E2264" t="n">
        <v>9</v>
      </c>
      <c r="F2264">
        <f>HYPERLINK("https://www.reddit.com/r/cancer/comments/bm1ib3/my_mother_isnt_doing_chemo_and_im_unsure_what_to/")</f>
        <v/>
      </c>
      <c r="G2264" t="inlineStr">
        <is>
          <t>2019-05-07 22:43:40</t>
        </is>
      </c>
      <c r="H2264" t="inlineStr"/>
    </row>
    <row r="2265">
      <c r="A2265" t="inlineStr">
        <is>
          <t>bm3hq9</t>
        </is>
      </c>
      <c r="B2265" t="inlineStr">
        <is>
          <t>Has anyone in here done a 'Remote Second Opinion' or similar?</t>
        </is>
      </c>
      <c r="C2265" t="inlineStr">
        <is>
          <t>We were just informed that my wife's ovarian cancer has returned after nearly a year of remission from initial treatment.  We're meeting with her oncologist this morning, but I'd like to get another opinion on what to do from here.
Memorial Sloan has a 'remote second opinion' service in which a firm (Pinnacle) collects her records/imaging/etc and then hands it to the oncology dept at MSK.  They in turn will evaluate and provide a report back to Pinnacle to forward to us.  It's a one shot deal and doesn't create a patient relationship with MSK.  Takes 2-4 weeks according to the person I talked with.
Just wondering if anyone has done this and if they would recommend to others.</t>
        </is>
      </c>
      <c r="D2265" t="n">
        <v>8</v>
      </c>
      <c r="E2265" t="n">
        <v>9</v>
      </c>
      <c r="F2265">
        <f>HYPERLINK("https://www.reddit.com/r/cancer/comments/bm3hq9/has_anyone_in_here_done_a_remote_second_opinion/")</f>
        <v/>
      </c>
      <c r="G2265" t="inlineStr">
        <is>
          <t>2019-05-08 03:17:42</t>
        </is>
      </c>
      <c r="H2265" t="inlineStr"/>
    </row>
    <row r="2266">
      <c r="A2266" t="inlineStr">
        <is>
          <t>bm4fy3</t>
        </is>
      </c>
      <c r="B2266" t="inlineStr">
        <is>
          <t>Things to do while getting Chemo</t>
        </is>
      </c>
      <c r="C2266" t="inlineStr">
        <is>
          <t>My friend is starting chemo next week and I want to make a bag for her of things to help keep her busy while getting treatment. Wanted to get some input on what some of the things were that were helpful to any of you. So far I have books, sodoku, ginger candy, and a blanket.
Thanks!</t>
        </is>
      </c>
      <c r="D2266" t="n">
        <v>9</v>
      </c>
      <c r="E2266" t="n">
        <v>25</v>
      </c>
      <c r="F2266">
        <f>HYPERLINK("https://www.reddit.com/r/cancer/comments/bm4fy3/things_to_do_while_getting_chemo/")</f>
        <v/>
      </c>
      <c r="G2266" t="inlineStr">
        <is>
          <t>2019-05-08 05:06:51</t>
        </is>
      </c>
      <c r="H2266" t="inlineStr"/>
    </row>
    <row r="2267">
      <c r="A2267" t="inlineStr">
        <is>
          <t>bm5q9t</t>
        </is>
      </c>
      <c r="B2267" t="inlineStr">
        <is>
          <t>Anyone have success, or know of someone who has, with exstensive sclc and keytruda +chemo?</t>
        </is>
      </c>
      <c r="C2267" t="inlineStr">
        <is>
          <t>My dad was just recently diagnosed with exstensive small cell lung cancer, it has spread to his spine and brain. He had a 1 inch tumor on his neck that had to be removed because he was loosing feeling in his arms and legs and has started day 3 of radiation on his brain. They have been using whats called versa hd and his treatments only take 15 minutes and so far very little side effects. Hes going to start chemo+keytruda, or an off brand, next week or the week after and I was curious if anyone has heard anything about this treatment? If anyone knows anything ir anyone whos had success with this please let me know. Thanks!</t>
        </is>
      </c>
      <c r="D2267" t="n">
        <v>17</v>
      </c>
      <c r="E2267" t="n">
        <v>5</v>
      </c>
      <c r="F2267">
        <f>HYPERLINK("https://www.reddit.com/r/cancer/comments/bm5q9t/anyone_have_success_or_know_of_someone_who_has/")</f>
        <v/>
      </c>
      <c r="G2267" t="inlineStr">
        <is>
          <t>2019-05-08 07:10:12</t>
        </is>
      </c>
      <c r="H2267" t="inlineStr"/>
    </row>
    <row r="2268">
      <c r="A2268" t="inlineStr">
        <is>
          <t>bm735g</t>
        </is>
      </c>
      <c r="B2268" t="inlineStr">
        <is>
          <t>Making Treatment Decisions.</t>
        </is>
      </c>
      <c r="C2268" t="inlineStr">
        <is>
          <t>Background
Diagnosed with Triple Negative Breast Cancer - highly agressive was growing by 1cm/week.  1 enlarged lymph node though biopsy on it was inconclusive.  Stage III Grade 3.
*Chemo
4 cycles of Taxol (weekly) + Carboplatin (3 weekly) + keytruda/placebo (3 weekly) as part of a clinical trial
4 cycles of Doxyrubicin + Cyclophosphamide + keytruda/placebo ( all 3 weekly).
*Surgery
Lumpectomy - 3.5cm tumor removed (was over 12cm before chemo).
10% cancer cells remain - Ki67 of 80% so still highly agressive.  All margin's clear.
Sentinel Node Biopsy, 3 axillary nodes removed all negative.
*Radiation
25 sessions over 6.5 weeks (short break mid-treatment due to skin reaction) treatment of both the breast and subclavicular lymph nodes.
All in all, I should, in theory, be cancer free, but there's always a risk I'm not, and I could have a relapse.</t>
        </is>
      </c>
      <c r="D2268" t="n">
        <v>2</v>
      </c>
      <c r="E2268" t="n">
        <v>1</v>
      </c>
      <c r="F2268">
        <f>HYPERLINK("https://www.reddit.com/r/cancer/comments/bm735g/making_treatment_decisions/")</f>
        <v/>
      </c>
      <c r="G2268" t="inlineStr">
        <is>
          <t>2019-05-08 09:06:08</t>
        </is>
      </c>
      <c r="H2268" t="inlineStr"/>
    </row>
    <row r="2269">
      <c r="A2269" t="inlineStr">
        <is>
          <t>bm7ks9</t>
        </is>
      </c>
      <c r="B2269" t="inlineStr">
        <is>
          <t>Has anyone taken Herceptin?</t>
        </is>
      </c>
      <c r="C2269" t="inlineStr">
        <is>
          <t>Last year I found out my tumors are her2+ which means I'm capable of taking the super wonder drug Herceptin. My oncologist gave me numerous anecdotes about how effective it is with slowing down tumor growth.
My next course of chemotherapy, along with Herceptin, starts very soon and I was wondering if anyone has any experience with the after effects of it. Will I feel better or worse than how I felt after chemo?</t>
        </is>
      </c>
      <c r="D2269" t="n">
        <v>2</v>
      </c>
      <c r="E2269" t="n">
        <v>7</v>
      </c>
      <c r="F2269">
        <f>HYPERLINK("https://www.reddit.com/r/cancer/comments/bm7ks9/has_anyone_taken_herceptin/")</f>
        <v/>
      </c>
      <c r="G2269" t="inlineStr">
        <is>
          <t>2019-05-08 09:45:54</t>
        </is>
      </c>
      <c r="H2269" t="inlineStr"/>
    </row>
    <row r="2270">
      <c r="A2270" t="inlineStr">
        <is>
          <t>bm86oc</t>
        </is>
      </c>
      <c r="B2270" t="inlineStr">
        <is>
          <t>Stage 4 Pancreatic Cancer</t>
        </is>
      </c>
      <c r="C2270" t="inlineStr">
        <is>
          <t>I wrote here a little while ago. My dad was diagnosed in October with stage 2. He currently lives in the Czech Republic but UK born/citizen.
He's had 1 round of chemo, 3 days a week for 4 weeks. He then had radio and chemo for 5 weeks with the weekends off. 
His scan results came back yesterday and it's spread to his liver... It's now stage 4. 
His hospital in Czech hasn't actually told him that it's now stage 4 and only told him it has spread. They have also told him they will try one more round of chemo. 1 day a week for 3 weeks.. They haven't told him of his is to try and shall it or whether it's palliative. 
I have so many questions I want to ask him but he has no idea due to the language barrier. I'm so desperately trying to get him to come home to the UK. 
Has anyone got any experience with pancreatic stage 4 and how long people generally live? With treatment?
Or any clinical trials we could be looking at? Does marijuana or CBD actually help? I will try anything for him right now.</t>
        </is>
      </c>
      <c r="D2270" t="n">
        <v>7</v>
      </c>
      <c r="E2270" t="n">
        <v>5</v>
      </c>
      <c r="F2270">
        <f>HYPERLINK("https://www.reddit.com/r/cancer/comments/bm86oc/stage_4_pancreatic_cancer/")</f>
        <v/>
      </c>
      <c r="G2270" t="inlineStr">
        <is>
          <t>2019-05-08 10:34:40</t>
        </is>
      </c>
      <c r="H2270" t="inlineStr"/>
    </row>
    <row r="2271">
      <c r="A2271" t="inlineStr">
        <is>
          <t>bm8ni5</t>
        </is>
      </c>
      <c r="B2271" t="inlineStr">
        <is>
          <t>Surgery after liver cancer has reached the blood vessels</t>
        </is>
      </c>
      <c r="C2271" t="inlineStr">
        <is>
          <t>My dad has stage 3 liver heptacellular carcinoma and the tumor is just above 14 cm.  The surgeon made a comment yesterday that the if the cancer has reached the blood vessels they probably wouldn't do surgery.  From my understanding the liver is one of the few organs that can regenerate.  Why would the tumor reaching the blood vessels be a reason to not do surgery?</t>
        </is>
      </c>
      <c r="D2271" t="n">
        <v>3</v>
      </c>
      <c r="E2271" t="n">
        <v>2</v>
      </c>
      <c r="F2271">
        <f>HYPERLINK("https://www.reddit.com/r/cancer/comments/bm8ni5/surgery_after_liver_cancer_has_reached_the_blood/")</f>
        <v/>
      </c>
      <c r="G2271" t="inlineStr">
        <is>
          <t>2019-05-08 11:11:33</t>
        </is>
      </c>
      <c r="H2271" t="inlineStr"/>
    </row>
    <row r="2272">
      <c r="A2272" t="inlineStr">
        <is>
          <t>bm8yg3</t>
        </is>
      </c>
      <c r="B2272" t="inlineStr">
        <is>
          <t>FOLFOX or FLOT - stomach cancer chemo</t>
        </is>
      </c>
      <c r="C2272" t="inlineStr">
        <is>
          <t>Hi everyone,
I am new here, I am 33, was diagnosed stomach cancer in March. At first all the PET and CT scan showed no lymph nodes involved and tumor size is T1 /T2, so I had surgery first at April 19th, then they found a lot of lymph nodes had cancer cells. so it bumped to T2N3, which is stage 3, I need Chemo and maybe radiation. 
Now I had two oncologists, they recommended different chemo, one is FLOT, one is FOLFOX.
Anyone know about it? any suggestions?
I really don't know which one to go with. 
Thank you so much!</t>
        </is>
      </c>
      <c r="D2272" t="n">
        <v>2</v>
      </c>
      <c r="E2272" t="n">
        <v>10</v>
      </c>
      <c r="F2272">
        <f>HYPERLINK("https://www.reddit.com/r/cancer/comments/bm8yg3/folfox_or_flot_stomach_cancer_chemo/")</f>
        <v/>
      </c>
      <c r="G2272" t="inlineStr">
        <is>
          <t>2019-05-08 11:36:17</t>
        </is>
      </c>
      <c r="H2272" t="inlineStr"/>
    </row>
    <row r="2273">
      <c r="A2273" t="inlineStr">
        <is>
          <t>bm93ry</t>
        </is>
      </c>
      <c r="B2273" t="inlineStr">
        <is>
          <t>A mass was found in my mother’s colon</t>
        </is>
      </c>
      <c r="C2273" t="inlineStr">
        <is>
          <t>Today my mother went to get a colonoscopy and they found a few  8-10 mm polyps and removed them. 
They also found a tumor and did not tell us much about it. All the doctor said was he found a “mass” and needed it removed as soon as possible. 
When we got the paper it said it was a malignant tumor. Biopsy results will come in a few weeks. 
I am unsure what to expect, how to feel. 
The paper said malignant tumor but the doctor said a “mass”, so it feels like it isn’t that serious. But seeing it on the paper makes me cry. 
What should I do? How should I feel? Is this extremely serious?</t>
        </is>
      </c>
      <c r="D2273" t="n">
        <v>4</v>
      </c>
      <c r="E2273" t="n">
        <v>2</v>
      </c>
      <c r="F2273">
        <f>HYPERLINK("https://www.reddit.com/r/cancer/comments/bm93ry/a_mass_was_found_in_my_mothers_colon/")</f>
        <v/>
      </c>
      <c r="G2273" t="inlineStr">
        <is>
          <t>2019-05-08 11:48:25</t>
        </is>
      </c>
      <c r="H2273" t="inlineStr"/>
    </row>
    <row r="2274">
      <c r="A2274" t="inlineStr">
        <is>
          <t>bm9lqx</t>
        </is>
      </c>
      <c r="B2274" t="inlineStr">
        <is>
          <t>Rant / advice (career) needed</t>
        </is>
      </c>
      <c r="C2274" t="inlineStr">
        <is>
          <t>So a little while back I was diagnosed with stage 1 malenoma at age 24. It didn't really hit me as a thing because they explained that they would excise it and I'd be fine.  Did the operation and had a 6inch scar behind my ear going up towards my hairline and though well that was shitty but hey I'm all good we caught this before anything bad happened.
A few months go by and I get a call from the doctors office and they inform me that the cancer was actually much deeper than they previously thought it was and I had to come back in ASAP to get it all removed. This is when it all hit me like a truck. It wasn't all fine, there was a chance things could go wrong, maybe it infiltrated my lymph nodes ( literally next to where it started.) we just bought a house what if I need to take extended time off I can't just put this burden on my GF, I was honestly terrified for the first time ever, what if I got this from job related source ( was a firefighter and we're at a higher risk for melanoma and its a known job related cancer).
I went back in later in the week and they dug into fresh scar to take more of the affected area out ( my God did getting that done hurt with the newly formed scar tissue) I now have an 8 ish inch scar that extends from mid ear into my hairline ( don't really care about the scar tbh).
It's been about 3 months since the last surgery and haven't heard back from them yet but I have a check up in June with my pcp so I'm assuming they didn't find anything further.
My head is finay in a better spot but the "what if's" still pop up every now and then though.
About 2 years ago I left a job as a firefighter in a small town that didn't pay very well to get my Paramedics license in order to be able to apply to a bigger department but I honestly don't think I want to do fire anymore. I'm at a higher risk already of re-developing the cancer why would I put myself in a position to elevate those odds even higher.... I honestly had very little interest in being a paramedic but I understood how valuable it was to my career path and was a great way to gain highly valuable experience to get back into fire with. 5+years of EMS education, courses and certifications later I know that I cannot make a career out of being a medic here but do not know where to go from here. 
Any advice is greatly appreciated and thanks for listening to my rant.</t>
        </is>
      </c>
      <c r="D2274" t="n">
        <v>8</v>
      </c>
      <c r="E2274" t="n">
        <v>6</v>
      </c>
      <c r="F2274">
        <f>HYPERLINK("https://www.reddit.com/r/cancer/comments/bm9lqx/rant_advice_career_needed/")</f>
        <v/>
      </c>
      <c r="G2274" t="inlineStr">
        <is>
          <t>2019-05-08 12:28:16</t>
        </is>
      </c>
      <c r="H2274" t="inlineStr"/>
    </row>
    <row r="2275">
      <c r="A2275" t="inlineStr">
        <is>
          <t>bm9w5e</t>
        </is>
      </c>
      <c r="B2275" t="inlineStr">
        <is>
          <t>Post Chemo... how do you feel?</t>
        </is>
      </c>
      <c r="C2275" t="inlineStr">
        <is>
          <t>I had my first chemo treatment for hodgkin’s lymphoma on monday (A+AVD regimen, 6 hours) and I haven’t been able to get out of bed since. It’s been two days and I’m still super lethargic and out of energy. I got out of the house for an hour today but was so exhausted after and got right back into bed. Luckily, I haven’t been feeling sick, just exhausted. Does everyone feel like this? Are there any ways to combat this?</t>
        </is>
      </c>
      <c r="D2275" t="n">
        <v>3</v>
      </c>
      <c r="E2275" t="n">
        <v>8</v>
      </c>
      <c r="F2275">
        <f>HYPERLINK("https://www.reddit.com/r/cancer/comments/bm9w5e/post_chemo_how_do_you_feel/")</f>
        <v/>
      </c>
      <c r="G2275" t="inlineStr">
        <is>
          <t>2019-05-08 12:51:58</t>
        </is>
      </c>
      <c r="H2275" t="inlineStr"/>
    </row>
    <row r="2276">
      <c r="A2276" t="inlineStr">
        <is>
          <t>bmby2z</t>
        </is>
      </c>
      <c r="B2276" t="inlineStr">
        <is>
          <t>Rant/Vent 16 y/o with a brain tumor kind words needed</t>
        </is>
      </c>
      <c r="C2276" t="inlineStr">
        <is>
          <t>I’m 16 and was diagnosed with a rare brain tumor called medullo blastoma that affects your balance and coordination, I’ve been off chemo and radiation for about 3 months but my weight is still very low and I don’t have much hair, I don’t have any confidence in myself, I spend a lot of nights crying and looking at what I used to look like and reminisce about how things used to be I feel like a horrible freak around my healthy athletic friends.</t>
        </is>
      </c>
      <c r="D2276" t="n">
        <v>72</v>
      </c>
      <c r="E2276" t="n">
        <v>59</v>
      </c>
      <c r="F2276">
        <f>HYPERLINK("https://www.reddit.com/r/cancer/comments/bmby2z/rantvent_16_yo_with_a_brain_tumor_kind_words/")</f>
        <v/>
      </c>
      <c r="G2276" t="inlineStr">
        <is>
          <t>2019-05-08 15:40:03</t>
        </is>
      </c>
      <c r="H2276" t="inlineStr"/>
    </row>
    <row r="2277">
      <c r="A2277" t="inlineStr">
        <is>
          <t>bmcjyq</t>
        </is>
      </c>
      <c r="B2277" t="inlineStr">
        <is>
          <t>Tips for addressing low white blood cell counts</t>
        </is>
      </c>
      <c r="C2277" t="inlineStr">
        <is>
          <t>Any tips on how to manage low WBC during treatment?  Aside from the injections of Zarxio, can anything else improve low WBC counts? 
Thanks.</t>
        </is>
      </c>
      <c r="D2277" t="n">
        <v>4</v>
      </c>
      <c r="E2277" t="n">
        <v>13</v>
      </c>
      <c r="F2277">
        <f>HYPERLINK("https://www.reddit.com/r/cancer/comments/bmcjyq/tips_for_addressing_low_white_blood_cell_counts/")</f>
        <v/>
      </c>
      <c r="G2277" t="inlineStr">
        <is>
          <t>2019-05-08 16:34:40</t>
        </is>
      </c>
      <c r="H2277" t="inlineStr"/>
    </row>
    <row r="2278">
      <c r="A2278" t="inlineStr">
        <is>
          <t>bmdha9</t>
        </is>
      </c>
      <c r="B2278" t="inlineStr">
        <is>
          <t>FuckCancer</t>
        </is>
      </c>
      <c r="C2278" t="inlineStr">
        <is>
          <t>Just got word my cancer is back for the third time. Stem cell transplant is my only option now. Could use some funny, inspirational or meaningful quotes. Or pics or pups! Thanks reddit</t>
        </is>
      </c>
      <c r="D2278" t="n">
        <v>1</v>
      </c>
      <c r="E2278" t="n">
        <v>0</v>
      </c>
      <c r="F2278">
        <f>HYPERLINK("https://www.reddit.com/r/cancer/comments/bmdha9/fuckcancer/")</f>
        <v/>
      </c>
      <c r="G2278" t="inlineStr">
        <is>
          <t>2019-05-08 18:04:10</t>
        </is>
      </c>
      <c r="H2278" t="inlineStr"/>
    </row>
    <row r="2279">
      <c r="A2279" t="inlineStr">
        <is>
          <t>bmdlde</t>
        </is>
      </c>
      <c r="B2279" t="inlineStr">
        <is>
          <t>RSO (Rick Simpson Oil) As Treatment Option</t>
        </is>
      </c>
      <c r="C2279" t="inlineStr">
        <is>
          <t>Hi Everyone, I certainly hope this topic isn't considered "homeopathy" or "quack medicine" and if so, Mods please feel free to delete this post.
I have a 10-year old dog that was recently diagnosed with a large thymoma mass in his chest.  He was supposed to undergo surgery today to remove the tumor, but due to some infiltration of the tumor into a major artery to his heart, the surgery was deemed too risky to proceed.  Thus, my only options moving forward is to try radiation therapy or chemo.  From what I understand, those treatments are very expensive and don't offer very promising success rates.  I've read that RSO (Rick Simpson Oil) has been used as a treatment for cancer and that the combination of THC and CBD in the RSO has significantly reduced tumors in cancer patients.  However, I've also read that most vets believe that THC is toxic to dogs - apparently it metabolized differently in canines than in humans - but they admit there is very little research on THC toxicity in dogs.  
That being said, I wanted to know if anyone here has had first-hand experience with using RSO as a treatment option, and if so, how successful was it?  Ideally, I want to know if anyone here has tried using RSO as a treatment for cancer in dogs, but any first-hand information on RSO would be helpful.
Again, I apologize in advance if this is considered "quack medicine" but since I'm desperate for treatment plan for my dog, I thought I'd ask.  Any advice you might have would be greatly appreciated.</t>
        </is>
      </c>
      <c r="D2279" t="n">
        <v>2</v>
      </c>
      <c r="E2279" t="n">
        <v>2</v>
      </c>
      <c r="F2279">
        <f>HYPERLINK("https://www.reddit.com/r/cancer/comments/bmdlde/rso_rick_simpson_oil_as_treatment_option/")</f>
        <v/>
      </c>
      <c r="G2279" t="inlineStr">
        <is>
          <t>2019-05-08 18:15:14</t>
        </is>
      </c>
      <c r="H2279" t="inlineStr"/>
    </row>
    <row r="2280">
      <c r="A2280" t="inlineStr">
        <is>
          <t>bmdzp7</t>
        </is>
      </c>
      <c r="B2280" t="inlineStr">
        <is>
          <t>Hickman line removal</t>
        </is>
      </c>
      <c r="C2280" t="inlineStr">
        <is>
          <t>Has anyone had a Hickman line removed but retained the cuff.  The nurse practitioner who took out mine said sometimes it happens.  I was kind of out of it at the time but am now extremely worried to still have this foreign body inside me</t>
        </is>
      </c>
      <c r="D2280" t="n">
        <v>3</v>
      </c>
      <c r="E2280" t="n">
        <v>3</v>
      </c>
      <c r="F2280">
        <f>HYPERLINK("https://www.reddit.com/r/cancer/comments/bmdzp7/hickman_line_removal/")</f>
        <v/>
      </c>
      <c r="G2280" t="inlineStr">
        <is>
          <t>2019-05-08 18:54:01</t>
        </is>
      </c>
      <c r="H2280" t="inlineStr"/>
    </row>
    <row r="2281">
      <c r="A2281" t="inlineStr">
        <is>
          <t>bmeakl</t>
        </is>
      </c>
      <c r="B2281" t="inlineStr">
        <is>
          <t>Understanding SUV value and significance on a PET Scan</t>
        </is>
      </c>
      <c r="C2281" t="inlineStr">
        <is>
          <t>Hi all,
&amp;amp;#x200B;
Thank you to this subreddit for all of the support.
&amp;amp;#x200B;
I wanted to ask what SUV value of FDG uptake on a PET Scan have you learned to consider malignant. I heard many different numbers between different oncologists anything above 2.5 SUV is considered cancerous or anything above 3.5 SUV is considered cancerous.
&amp;amp;#x200B;
Each SUV PET scan is adjusted to the SUV uptake in your liver so the standardized number is on your pet scan has already been adjusted. 
&amp;amp;#x200B;
Some advice/info from a radiologist would be greatly appreciated.
&amp;amp;#x200B;
Thank you,
Asaf</t>
        </is>
      </c>
      <c r="D2281" t="n">
        <v>1</v>
      </c>
      <c r="E2281" t="n">
        <v>0</v>
      </c>
      <c r="F2281">
        <f>HYPERLINK("https://www.reddit.com/r/cancer/comments/bmeakl/understanding_suv_value_and_significance_on_a_pet/")</f>
        <v/>
      </c>
      <c r="G2281" t="inlineStr">
        <is>
          <t>2019-05-08 19:23:40</t>
        </is>
      </c>
      <c r="H2281" t="inlineStr"/>
    </row>
    <row r="2282">
      <c r="A2282" t="inlineStr">
        <is>
          <t>bmeicm</t>
        </is>
      </c>
      <c r="B2282" t="inlineStr">
        <is>
          <t>Thought my fellow cancer fighters might enjoy this poem.</t>
        </is>
      </c>
      <c r="C2282" t="inlineStr">
        <is>
          <t>Why should I have been surprised?
Hunters walk the forest
without a sound.
The hunter, strapped to his rifle,
the fox on his feet of silk,
the serpent on his empire of muscles—
all move in a stillness,
hungry, careful, intent.
Just as the cancer
entered the forest of my body,
without a sound.
The question is,
what will it be like
after the last day?
Will I float
into the sky
or will I fray
within the earth or a river—
remembering nothing?
How desperate I would be
if I couldn’t remember
the sun rising, if I couldn’t
remember trees, rivers; if I couldn’t
even remember, beloved,
your beloved name.
I know, you never intended to be in this world.
But you’re in it all the same.
so why not get started immediately.
I mean, belonging to it.
There is so much to admire, to weep over.
And to write music or poems about.
Bless the feet that take you to and fro.
Bless the eyes and the listening ears.
Bless the tongue, the marvel of taste.
Bless touching.
You could live a hundred years, it’s happened.
Or not.
I am speaking from the fortunate platform
of many years,
none of which, I think, I ever wasted.
Do you need a prod?
Do you need a little darkness to get you going?
Let me be urgent as a knife, then,
and remind you of Keats,
so single of purpose and thinking, for a while,
he had a lifetime.
Late yesterday afternoon, in the heat,
all the fragile blue flowers in bloom
in the shrubs in the yard next door had
tumbled from the shrubs and lay
wrinkled and fading in the grass. But
this morning the shrubs were full of
the blue flowers again. There wasn’t
a single one on the grass. How, I
wondered, did they roll back up to
the branches, that fiercely wanting,
as we all do, just a little more of
life?
Mary Oliver (The Fourth Sign of the Zodiac)</t>
        </is>
      </c>
      <c r="D2282" t="n">
        <v>1</v>
      </c>
      <c r="E2282" t="n">
        <v>0</v>
      </c>
      <c r="F2282">
        <f>HYPERLINK("https://www.reddit.com/r/cancer/comments/bmeicm/thought_my_fellow_cancer_fighters_might_enjoy/")</f>
        <v/>
      </c>
      <c r="G2282" t="inlineStr">
        <is>
          <t>2019-05-08 19:45:02</t>
        </is>
      </c>
      <c r="H2282" t="inlineStr"/>
    </row>
    <row r="2283">
      <c r="A2283" t="inlineStr">
        <is>
          <t>bmfuwg</t>
        </is>
      </c>
      <c r="B2283" t="inlineStr">
        <is>
          <t>My dad is undergoing testing for possible lung cancer (or some type of cancer) but also has a job contract lining up for him. Unsure where to proceed from here</t>
        </is>
      </c>
      <c r="C2283" t="inlineStr">
        <is>
          <t>Hello, I am new to this subreddit! 
My dad (age 65, 5’8”, 200lbs) recently had a large mass in his lung and severe pneumonia, his doctor said it could have killed him. He has had a couple x-rays and CT’s and blood work to see how this mass does. While he was at his peak of misery with pneumonia, they weren’t sure if the mass was due to scar tissue from all the other times he’a been sick or cancer. 
He is making a fine recovery and the mass has gone down a ton, but his SCCA levels are very high, according to the doctor today. In a couple weeks they will retest the SCCA, and if it is still high, refer to a specialist. 
He is living with my mom in Japan (long back story there, but basically they are living out their retirement with joy over there). He is American, she is Japanese. He is a retired school teacher, but wants to keep a little busy during retirement and teach English to Japanese school kids, just a few hours here and there but highly variable. It is basically to be a substitute teacher for when other teachers are sick. He is supposed to sign a contract for this opportunity about a week before we would get the 2nd SCCA blood results back. 
Concern: 
should he sign this contract, not knowing his diagnosis? The contract is for a year. 
He said he wouldnt feel right signing up and at the same time being in for chemo, and being super weak and sick and all that. At the same time, it has been hard to find a job at his age, and my parents are stretching their budget, and this could really help them get back on their feet. 
I am not even quite sure what exact treatment he would get, but probably at least chemo &amp;amp; radiation, surgery if possible. I am just scared because I havent been in this position before. I am a 23F living in the US, for reference. It is hard being separated by distance during this time. 
I am sorry for the long post! 
TDLR; dad undergoing testing for cancer, but has job offer with contract, should he accept the job or pass since he has a good chance of having cancer?</t>
        </is>
      </c>
      <c r="D2283" t="n">
        <v>2</v>
      </c>
      <c r="E2283" t="n">
        <v>1</v>
      </c>
      <c r="F2283">
        <f>HYPERLINK("https://www.reddit.com/r/cancer/comments/bmfuwg/my_dad_is_undergoing_testing_for_possible_lung/")</f>
        <v/>
      </c>
      <c r="G2283" t="inlineStr">
        <is>
          <t>2019-05-08 22:38:14</t>
        </is>
      </c>
      <c r="H2283" t="inlineStr"/>
    </row>
    <row r="2284">
      <c r="A2284" t="inlineStr">
        <is>
          <t>bmg3hn</t>
        </is>
      </c>
      <c r="B2284" t="inlineStr">
        <is>
          <t>Everything is shit</t>
        </is>
      </c>
      <c r="C2284" t="inlineStr">
        <is>
          <t>My Mum, who was previously really heathy and fit, was suddenly diagnosed with cancer of unknown primary in December at the age of 67. By Feb they figured out it was Primary Liver, which is weird because she has no risk factors for that, bad luck I guess. By the time she was put on Lenvatinib she was very poorly. She seemed to be doing well on it and have more energy and few side effects. Unfortunately it only worked for maybe a month, 6 weeks, and she was taken off it 2 months after she started it after there was evidence from multiple blood tests and another ct scan that it was no longer holding back the cancer. We were offered chemo (which doesn't generally work for hcc) but 3 days before she was due to begin it, she was hospitalised with an infection. 2 weeks later she still had the infection and also fluid buildup in her lungs and abdomen. She was given terminal status last Thurs and yesterday she came home from the hospital and off all treatment to die at home. I had a strong inkling she would be terminal when I realised they weren't able to operate but she wanted to be ignorant and hopeful so I didn't interfere with that. Even so, I thought she'd have more time and it's a big shock. The doctor told her people could choose when to die and she thought he meant assisted dying rather than just the spirit giving out when it’s ready. She says she wants to die in a couple of days after she’s said goodbye to friends and family. I wish I could do that for her but I can’t...</t>
        </is>
      </c>
      <c r="D2284" t="n">
        <v>6</v>
      </c>
      <c r="E2284" t="n">
        <v>2</v>
      </c>
      <c r="F2284">
        <f>HYPERLINK("https://www.reddit.com/r/cancer/comments/bmg3hn/everything_is_shit/")</f>
        <v/>
      </c>
      <c r="G2284" t="inlineStr">
        <is>
          <t>2019-05-08 23:08:43</t>
        </is>
      </c>
      <c r="H2284" t="inlineStr"/>
    </row>
    <row r="2285">
      <c r="A2285" t="inlineStr">
        <is>
          <t>bmgvjd</t>
        </is>
      </c>
      <c r="B2285" t="inlineStr">
        <is>
          <t>Stage 4 Breast Cancer 5&amp;amp;10 Year Survival Rates in India along with stats on Recurrence?</t>
        </is>
      </c>
      <c r="C2285" t="inlineStr">
        <is>
          <t>I tried to search a lot of places. Data usually exists for mostly USA and European countries. Does anybody know a site where I could find the right information?</t>
        </is>
      </c>
      <c r="D2285" t="n">
        <v>1</v>
      </c>
      <c r="E2285" t="n">
        <v>0</v>
      </c>
      <c r="F2285">
        <f>HYPERLINK("https://www.reddit.com/r/cancer/comments/bmgvjd/stage_4_breast_cancer_510_year_survival_rates_in/")</f>
        <v/>
      </c>
      <c r="G2285" t="inlineStr">
        <is>
          <t>2019-05-09 00:48:06</t>
        </is>
      </c>
      <c r="H2285" t="inlineStr"/>
    </row>
    <row r="2286">
      <c r="A2286" t="inlineStr">
        <is>
          <t>bmgx8r</t>
        </is>
      </c>
      <c r="B2286" t="inlineStr">
        <is>
          <t>They are spraying NAnotechnology /geoengineered smart dust out of jet planes on us.. cancer / psoriasis / Morgellons / diabetes is a build up of this pathogen (fibroids) they are spraying on us.. SEAWEED /raw COACOA cures IT! If all fails use an EMP!!!</t>
        </is>
      </c>
      <c r="C2286" t="inlineStr">
        <is>
          <t>Enough said!!</t>
        </is>
      </c>
      <c r="D2286" t="n">
        <v>0</v>
      </c>
      <c r="E2286" t="n">
        <v>0</v>
      </c>
      <c r="F2286">
        <f>HYPERLINK("https://www.reddit.com/r/cancer/comments/bmgx8r/they_are_spraying_nanotechnology_geoengineered/")</f>
        <v/>
      </c>
      <c r="G2286" t="inlineStr">
        <is>
          <t>2019-05-09 00:54:51</t>
        </is>
      </c>
      <c r="H2286" t="inlineStr"/>
    </row>
    <row r="2287">
      <c r="A2287" t="inlineStr">
        <is>
          <t>bmhfhh</t>
        </is>
      </c>
      <c r="B2287" t="inlineStr">
        <is>
          <t>Need some feedback on experiences...</t>
        </is>
      </c>
      <c r="C2287" t="inlineStr">
        <is>
          <t>This is for **people who live in California** and **had tongue cancer surgery at UCLA and/or USC**. I would like to know your experiences pre-surgery &amp;amp; post-surgery. I just need to know feedback. I will probably be getting my surgery at one of these medical centers and just would like to hear some honest opinions on your experiences.</t>
        </is>
      </c>
      <c r="D2287" t="n">
        <v>4</v>
      </c>
      <c r="E2287" t="n">
        <v>0</v>
      </c>
      <c r="F2287">
        <f>HYPERLINK("https://www.reddit.com/r/cancer/comments/bmhfhh/need_some_feedback_on_experiences/")</f>
        <v/>
      </c>
      <c r="G2287" t="inlineStr">
        <is>
          <t>2019-05-09 02:07:32</t>
        </is>
      </c>
      <c r="H2287" t="inlineStr"/>
    </row>
    <row r="2288">
      <c r="A2288" t="inlineStr">
        <is>
          <t>bmhifv</t>
        </is>
      </c>
      <c r="B2288" t="inlineStr">
        <is>
          <t>Received Diagnosis or Undergo Treatment? Please Contribute to our Research.</t>
        </is>
      </c>
      <c r="C2288" t="inlineStr">
        <is>
          <t>We are currently looking for people to take part in our research study at the University of Chester, UK, on daily functioning and psychological wellbeing in cancer patients.
Receiving a cancer diagnosis and all that comes after this can often be a distressing, worrying and confusing time. Our aim is to investigate how cancer has affected your daily functioning and emotional wellbeing. We are particularly interested in how this then affects decisions you make about your treatment. Our goal is to help others that might find themselves in your position in the future. To do this, we need your help.
Anyone who is over 16 years of age and been diagnosed with any type of cancer can take part.Unfortunately, this study isn't suitable for cancer survivors who completed their treatments. If you decide to take part, you will be asked to complete an online questionnaire that will take around 30 minutes to complete. You will be also asked whether you would like to participate in a phone or Skype interview at a later date, but you don’t have to agree to this to take part in the questionnaire study. While we hope that taking part will be a positive experience for you, we also understand that answering questions about your illness may be upsetting. You can always stop the questionnaire at any time. All your answers and data will be anonymous.
If you would like to take part, please click the following link. This will take you to the survey and study information sheet.
Link: [https://chester.onlinesurveys.ac.uk/reddit](https://chester.onlinesurveys.ac.uk/reddit)
Thank you,
David Budzynski, BSc (Hons)
MRes student conducting the research</t>
        </is>
      </c>
      <c r="D2288" t="n">
        <v>1</v>
      </c>
      <c r="E2288" t="n">
        <v>2</v>
      </c>
      <c r="F2288">
        <f>HYPERLINK("https://www.reddit.com/r/cancer/comments/bmhifv/received_diagnosis_or_undergo_treatment_please/")</f>
        <v/>
      </c>
      <c r="G2288" t="inlineStr">
        <is>
          <t>2019-05-09 02:18:52</t>
        </is>
      </c>
      <c r="H2288" t="inlineStr"/>
    </row>
    <row r="2289">
      <c r="A2289" t="inlineStr">
        <is>
          <t>bmhycc</t>
        </is>
      </c>
      <c r="B2289" t="inlineStr">
        <is>
          <t>Help me understand my mums cancer and her future</t>
        </is>
      </c>
      <c r="C2289" t="inlineStr">
        <is>
          <t>Hi there, 
My mum has just been diagnosed with Invasive Mammary Cancer which is Her2neu + as well. 
Apparently, cancer has spread to her lungs. The doctor can see 8 nodules in the right lung and 9 in the left. 
They can also see it in her bones. 
Shes had 6 months of chemotherapy and is now on a fortnightly dose of Perjeta and Herceptin. 
I'm not in the same country as her but would like to know if anyone has been diagnosed with a similar type of cancer and how they're coping. 
I've lost both my mum and dad in law to cancer and have seen the worst of it. I want to see if there's hope for mum. Of course there's always hope but I'm hoping someone who has the same or similar diagnosis gets in touch with me. I'd like to see their progress. 
Or 
someone who has knowledge can shine a light for me and explain to me what it means to have this type of cancer. What the survival rate is.
TIA</t>
        </is>
      </c>
      <c r="D2289" t="n">
        <v>8</v>
      </c>
      <c r="E2289" t="n">
        <v>5</v>
      </c>
      <c r="F2289">
        <f>HYPERLINK("https://www.reddit.com/r/cancer/comments/bmhycc/help_me_understand_my_mums_cancer_and_her_future/")</f>
        <v/>
      </c>
      <c r="G2289" t="inlineStr">
        <is>
          <t>2019-05-09 03:13:30</t>
        </is>
      </c>
      <c r="H2289" t="inlineStr"/>
    </row>
    <row r="2290">
      <c r="A2290" t="inlineStr">
        <is>
          <t>bmjalg</t>
        </is>
      </c>
      <c r="B2290" t="inlineStr">
        <is>
          <t>My aunt is dying in hours</t>
        </is>
      </c>
      <c r="C2290" t="inlineStr">
        <is>
          <t>She (56) got an endometrial adenocarcinome with lung mets. I met her last weekend, she was not well but she was quite ok. She did some light training at home. She was complaining about pain and not breathing well but her blood saturation was good (if the small machines sold in pharmacies can be trusted). The portable ventilation machine was used at 10%. Doctors said one lung was basically perfect and only half of the other one was damaged.
Yesterday, she has been taken to hospital, she is under artificial ventilation, and we are waiting for her to pass away. How can the situation be precipitated in only two days?
I am not in the same town and I don't know if I will see her alive again. I am happy I saw her quite well and we had lunch together but I should be in my hometown for my family. They usually accepts death even with some irony but I never heard them this way. She is too young. Her husband called me telling that my wife and I are the last people he has in the world. I don't know what to do. No miracle will ever happen.</t>
        </is>
      </c>
      <c r="D2290" t="n">
        <v>5</v>
      </c>
      <c r="E2290" t="n">
        <v>6</v>
      </c>
      <c r="F2290">
        <f>HYPERLINK("https://www.reddit.com/r/cancer/comments/bmjalg/my_aunt_is_dying_in_hours/")</f>
        <v/>
      </c>
      <c r="G2290" t="inlineStr">
        <is>
          <t>2019-05-09 05:39:26</t>
        </is>
      </c>
      <c r="H2290" t="inlineStr"/>
    </row>
    <row r="2291">
      <c r="A2291" t="inlineStr">
        <is>
          <t>bmkavq</t>
        </is>
      </c>
      <c r="B2291" t="inlineStr">
        <is>
          <t>My Dad was just diagnosed with Non-Hodgkin Lymphoma.</t>
        </is>
      </c>
      <c r="C2291" t="inlineStr">
        <is>
          <t>Hello. I have some questions regarding my Dads recent diagnosis with NHL. He was diagnosed with NHL B-Cell. He's 57, a little over weight, but otherwise healthy. He has a mass in his neck, and there's a possibility it MAY have spread to his lungs, we were told a few years ago when my Dad went into the DR's for a persist cough that it was a fungal infection called "Histoplasmosis", but he never had a biopsy of it. Doctors have said if treatments show it shrinking then it was most likely lymphoma.  His PET scan showed no other spots in his body with cancer. Other than lungs and neck. We will find out staging tomorrow (FRI). DR. called and said it hasn't spread to his bone marrow. Any ideas what treatments would look like? Prognosis? I'm just a worried daughter. Thank you.</t>
        </is>
      </c>
      <c r="D2291" t="n">
        <v>27</v>
      </c>
      <c r="E2291" t="n">
        <v>14</v>
      </c>
      <c r="F2291">
        <f>HYPERLINK("https://www.reddit.com/r/cancer/comments/bmkavq/my_dad_was_just_diagnosed_with_nonhodgkin_lymphoma/")</f>
        <v/>
      </c>
      <c r="G2291" t="inlineStr">
        <is>
          <t>2019-05-09 07:12:12</t>
        </is>
      </c>
      <c r="H2291" t="inlineStr"/>
    </row>
    <row r="2292">
      <c r="A2292" t="inlineStr">
        <is>
          <t>bmlhe6</t>
        </is>
      </c>
      <c r="B2292" t="inlineStr">
        <is>
          <t>Seeking advice on multiple things.</t>
        </is>
      </c>
      <c r="C2292" t="inlineStr">
        <is>
          <t>(This is my second post)
About 9 months ago I was diagnosed with what was thought to be Ulcerative Colitis. In March, I had another "flare-up" of symptoms and it was found that I have Stage 4 Colon Cancer that spread to my lymph nodes and liver. In that time, I have gone down from 205lbs to 145/150lbs. I have grown to hate my reflection as I look so sickly thin compared to what I once was.
I am doing chemo every 2 weeks and it is kicking my ass. I am sick for a week or so and get a few good days, which is hindering my ability to work. 
I am looking for advice on how to safely put on weight and maintain it and on how to possibly address being sick with the chemo symptoms and side effects as I generally am unable to eat during treatment.
-Also: Any tips on how to deal with the constant anxiety would be greatly appreciated</t>
        </is>
      </c>
      <c r="D2292" t="n">
        <v>3</v>
      </c>
      <c r="E2292" t="n">
        <v>8</v>
      </c>
      <c r="F2292">
        <f>HYPERLINK("https://www.reddit.com/r/cancer/comments/bmlhe6/seeking_advice_on_multiple_things/")</f>
        <v/>
      </c>
      <c r="G2292" t="inlineStr">
        <is>
          <t>2019-05-09 08:55:20</t>
        </is>
      </c>
      <c r="H2292" t="inlineStr"/>
    </row>
    <row r="2293">
      <c r="A2293" t="inlineStr">
        <is>
          <t>bmli5a</t>
        </is>
      </c>
      <c r="B2293" t="inlineStr">
        <is>
          <t>You all probably get this a lot but looking for advice</t>
        </is>
      </c>
      <c r="C2293" t="inlineStr">
        <is>
          <t>Hi all,  
Recently I've been experiencing some discomfort in my lower abdomen, just to the left of my belly button. I was taking a shower the other day and found a lump, about the size of a shelled peanut cut in half. I talked with some of my friends through sports (one a doctor and one a LP). We met up and they both agreed that I should start the investigation process immediately. They came to the conclusion that it didn't feel like a hernia.   
The timeline of checkups went something like this:  
Into doctors office on Tuesday, they referred me to have an ultrasound done on the area.   
Did the ultrasound this morning at 10:30 - 11:00. They doctors office called me back tonight at eight o'clock saying I need to come in to talk about the results. I pressed the lady on the phone asking if it was urgent, and she said yes. \*Gulp\*  
Waiting for my family doctor office to open tomorrow so I can schedule an emergency appointment. So scared. So so scared.  
At this point, I am a total mess. I know I need to wait till tomorrow to go over the results, but my mind is racing a thousand directions which obviously isn't helping. This is more of a venting post, but if you have any input it would be greatly appreciated.  
Love you all,</t>
        </is>
      </c>
      <c r="D2293" t="n">
        <v>2</v>
      </c>
      <c r="E2293" t="n">
        <v>8</v>
      </c>
      <c r="F2293">
        <f>HYPERLINK("https://www.reddit.com/r/cancer/comments/bmli5a/you_all_probably_get_this_a_lot_but_looking_for/")</f>
        <v/>
      </c>
      <c r="G2293" t="inlineStr">
        <is>
          <t>2019-05-09 08:56:54</t>
        </is>
      </c>
      <c r="H2293" t="inlineStr"/>
    </row>
    <row r="2294">
      <c r="A2294" t="inlineStr">
        <is>
          <t>bmnpjj</t>
        </is>
      </c>
      <c r="B2294" t="inlineStr">
        <is>
          <t>Sausage + yogurt =cancer??</t>
        </is>
      </c>
      <c r="C2294" t="inlineStr">
        <is>
          <t>Earlier this morning, my friend told me that he read an article that eating sausage and yogurt at the same time will give you cancer. The article states that the nitrate and nitrite from sausage can react with nitrogen from yogurt and produces a compound that lead to cancer.
Do you think it is true?</t>
        </is>
      </c>
      <c r="D2294" t="n">
        <v>0</v>
      </c>
      <c r="E2294" t="n">
        <v>8</v>
      </c>
      <c r="F2294">
        <f>HYPERLINK("https://www.reddit.com/r/cancer/comments/bmnpjj/sausage_yogurt_cancer/")</f>
        <v/>
      </c>
      <c r="G2294" t="inlineStr">
        <is>
          <t>2019-05-09 11:59:55</t>
        </is>
      </c>
      <c r="H2294" t="inlineStr"/>
    </row>
    <row r="2295">
      <c r="A2295" t="inlineStr">
        <is>
          <t>bmnq9o</t>
        </is>
      </c>
      <c r="B2295" t="inlineStr">
        <is>
          <t>📣😍Checkout this FREE cancer webinar!. It may be of interest to you and others. http://bit.ly/2WwHq4A 🤓😍📣</t>
        </is>
      </c>
      <c r="C2295" t="inlineStr">
        <is>
          <t>https://richmondbergner.webinarninja.com/automated-webinars/4425/register</t>
        </is>
      </c>
      <c r="D2295" t="n">
        <v>0</v>
      </c>
      <c r="E2295" t="n">
        <v>1</v>
      </c>
      <c r="F2295">
        <f>HYPERLINK("https://www.reddit.com/r/cancer/comments/bmnq9o/checkout_this_free_cancer_webinar_it_may_be_of/")</f>
        <v/>
      </c>
      <c r="G2295" t="inlineStr">
        <is>
          <t>2019-05-09 12:01:24</t>
        </is>
      </c>
      <c r="H2295" t="inlineStr"/>
    </row>
    <row r="2296">
      <c r="A2296" t="inlineStr">
        <is>
          <t>bmovfc</t>
        </is>
      </c>
      <c r="B2296" t="inlineStr">
        <is>
          <t>A friend with cancer, how to help/not make things worse?</t>
        </is>
      </c>
      <c r="C2296" t="inlineStr">
        <is>
          <t>I work in an elementary school teaching the same grade and subject as my friend Sue. I’m young, she’s in her late 50’s. She’s a divorced hippie who raised four kids and kicks ass. She has an awesome sense of humor, she’s always there to listen and say”fuck it” and generally keep cool. She is a good work mom/friend. She listens to boy troubles, comforts me when stuff is fucked up, and makes me laugh at boring meetings. I really care for her and respect her. She just found out she may have cancer, she’s been out for about three weeks altogether in the last few months and my team was just notified that she won’t be back this school year, possibly ever. 
My team wanted to get her a gift before we found out it was cancer, we thought it was just back problems. I didn’t want to get her something useless like pajamas and other themed teacher-y baskets so I just flat out asked and she said she wanted a beach chair. So I ordered one, but now that I’ve found out how rapidly her health is declining I returned it and we’re just going to give her cash, plus I bought her some weed, because I know she smokes and I figured it was a little luxury she might not be spending money on while she waits on disability (teachers are broke, especially her, even though her kids are 23+). 
Does this sounds okay? 
I’m going to go visit her with the team leader at some point, because I am closer to her than my other coworkers. I’d like to reach out sooner, but I know she’s processing. We never hung out one-on-one outside of work, but she’s been very supportive to me, its my second year teaching and she’s helped keep me sane. Basically how do I show her I care without overstepping boundaries?</t>
        </is>
      </c>
      <c r="D2296" t="n">
        <v>1</v>
      </c>
      <c r="E2296" t="n">
        <v>6</v>
      </c>
      <c r="F2296">
        <f>HYPERLINK("https://www.reddit.com/r/cancer/comments/bmovfc/a_friend_with_cancer_how_to_helpnot_make_things/")</f>
        <v/>
      </c>
      <c r="G2296" t="inlineStr">
        <is>
          <t>2019-05-09 13:33:11</t>
        </is>
      </c>
      <c r="H2296" t="inlineStr"/>
    </row>
    <row r="2297">
      <c r="A2297" t="inlineStr">
        <is>
          <t>bmq2dt</t>
        </is>
      </c>
      <c r="B2297" t="inlineStr">
        <is>
          <t>Gift ideas for cancer patient with weakened immune system?</t>
        </is>
      </c>
      <c r="C2297" t="inlineStr">
        <is>
          <t>I just met some guests at our Airbnb rental, and it’s a mother and her daughter. Daughter underwent a transplant recently and has cancer. Her immune system is seriously compromised, and I was shocked at the long list of limitations and precautions they had to take.
Because I know so little about all of this, I want to ask: what is a good gift for a) someone in the midst of cancer, and b) someone with a super weak immune system? Not trying to break the bank, but I’d like to do something nice for them because I can tell they’ve been thorough a lot. Also, it’s Mother’s Day on Sunday.
I know this is super broad, and that cancer patients don’t magically love the same things. But any guidance would help!</t>
        </is>
      </c>
      <c r="D2297" t="n">
        <v>10</v>
      </c>
      <c r="E2297" t="n">
        <v>10</v>
      </c>
      <c r="F2297">
        <f>HYPERLINK("https://www.reddit.com/r/cancer/comments/bmq2dt/gift_ideas_for_cancer_patient_with_weakened/")</f>
        <v/>
      </c>
      <c r="G2297" t="inlineStr">
        <is>
          <t>2019-05-09 15:11:01</t>
        </is>
      </c>
      <c r="H2297" t="inlineStr"/>
    </row>
    <row r="2298">
      <c r="A2298" t="inlineStr">
        <is>
          <t>bmq684</t>
        </is>
      </c>
      <c r="B2298" t="inlineStr">
        <is>
          <t>Mother’s Day ideas for someone who just lost her son to cancer?</t>
        </is>
      </c>
      <c r="C2298" t="inlineStr">
        <is>
          <t>She had to watch her son die a day ago. This will be the worst Mother’s Day of her life. What can we (her family) do for her for Mother’s Day to help her feel celebrated as a mother?</t>
        </is>
      </c>
      <c r="D2298" t="n">
        <v>13</v>
      </c>
      <c r="E2298" t="n">
        <v>7</v>
      </c>
      <c r="F2298">
        <f>HYPERLINK("https://www.reddit.com/r/cancer/comments/bmq684/mothers_day_ideas_for_someone_who_just_lost_her/")</f>
        <v/>
      </c>
      <c r="G2298" t="inlineStr">
        <is>
          <t>2019-05-09 15:20:21</t>
        </is>
      </c>
      <c r="H2298" t="inlineStr"/>
    </row>
    <row r="2299">
      <c r="A2299" t="inlineStr">
        <is>
          <t>bmqgfu</t>
        </is>
      </c>
      <c r="B2299" t="inlineStr">
        <is>
          <t>What to expect with my LAR?</t>
        </is>
      </c>
      <c r="C2299" t="inlineStr">
        <is>
          <t>TL;DR, I'm curious if anyone else has had a lower anterior resection, and what the experience was like for you. I can't find squat for testimonials after months of research, just random data for elderly patients. 
35m, T2N0M0 rectal tumor dx 12/11/18, synchronous transverse lesion but that's another story. Four rounds FOLFOX (no effect, slight growth). Can't find a doctor for a TEM, so it's onto an LAR (robotic), and I'm terrified.
Concerns listed in descending order:
1.) Sexual dysfunction resulting from nerve damage. I can't seem to get an accurate picture of what my chances are, but that's something I cannot live with.
2.) Permanent Ostomy
3.) Fecal or urinary incontinence (career ender for me)
4.) Pain during recovery (how severe is it, and how long does the unbearable part last?)
5.) Am I missing out on the chance for less invasive surgery? Everything I've read points to no doctor performing TAMIS on a T2 tumor. 
Anyone, but especially younger men who can share their experience, please do. Even if it's a horror story. I really want to know what I'm in for, and not just hear the "percentages" that Mayo has to offer. I've really started to wonder if they put patient comfort as a priority at all.</t>
        </is>
      </c>
      <c r="D2299" t="n">
        <v>5</v>
      </c>
      <c r="E2299" t="n">
        <v>42</v>
      </c>
      <c r="F2299">
        <f>HYPERLINK("https://www.reddit.com/r/cancer/comments/bmqgfu/what_to_expect_with_my_lar/")</f>
        <v/>
      </c>
      <c r="G2299" t="inlineStr">
        <is>
          <t>2019-05-09 15:44:37</t>
        </is>
      </c>
      <c r="H2299" t="inlineStr"/>
    </row>
    <row r="2300">
      <c r="A2300" t="inlineStr">
        <is>
          <t>bmr5tj</t>
        </is>
      </c>
      <c r="B2300" t="inlineStr">
        <is>
          <t>Just found out I have kidney cancer.</t>
        </is>
      </c>
      <c r="C2300" t="inlineStr">
        <is>
          <t>The doctor said I would have to have my entire left kidney removed! What a day.</t>
        </is>
      </c>
      <c r="D2300" t="n">
        <v>13</v>
      </c>
      <c r="E2300" t="n">
        <v>37</v>
      </c>
      <c r="F2300">
        <f>HYPERLINK("https://www.reddit.com/r/cancer/comments/bmr5tj/just_found_out_i_have_kidney_cancer/")</f>
        <v/>
      </c>
      <c r="G2300" t="inlineStr">
        <is>
          <t>2019-05-09 16:50:03</t>
        </is>
      </c>
      <c r="H2300" t="inlineStr"/>
    </row>
    <row r="2301">
      <c r="A2301" t="inlineStr">
        <is>
          <t>bmri2e</t>
        </is>
      </c>
      <c r="B2301" t="inlineStr">
        <is>
          <t>Neutrophil recovery and a cold</t>
        </is>
      </c>
      <c r="C2301" t="inlineStr">
        <is>
          <t>Hi all. My daughter (5) has ALL (leukaemia). We’re in interim maintenance with HD methotrexate and waiting for her counts to recover for the next round, but they’re taking there time. 
They were trending up but then dropped slightly. I noticed she has the sniffles and complained of a sore throat. 
Can illness impact on neutrophil recovery?</t>
        </is>
      </c>
      <c r="D2301" t="n">
        <v>2</v>
      </c>
      <c r="E2301" t="n">
        <v>6</v>
      </c>
      <c r="F2301">
        <f>HYPERLINK("https://www.reddit.com/r/cancer/comments/bmri2e/neutrophil_recovery_and_a_cold/")</f>
        <v/>
      </c>
      <c r="G2301" t="inlineStr">
        <is>
          <t>2019-05-09 17:22:49</t>
        </is>
      </c>
      <c r="H2301" t="inlineStr"/>
    </row>
    <row r="2302">
      <c r="A2302" t="inlineStr">
        <is>
          <t>bmrwps</t>
        </is>
      </c>
      <c r="B2302" t="inlineStr">
        <is>
          <t>Lost with Testicular Cancer</t>
        </is>
      </c>
      <c r="C2302" t="inlineStr">
        <is>
          <t>6 months ago i suffered Testicular Torsion (testicle twist), during the operation they found cancerous tissue on one of my testicles and removed it. They thought it was gone for good.
However a few weeks ago while feeling my testis, i felt a small lump and  immediately thought the worst. My worst fears were confirmed 5 days ago when I went back to hospital and saw my urologist.
Lucky for me, it has been caught early so i'm going to be fine.
The only thing (and the reason i'm here) is that I cant stop thinking about worse case scenarios, i cant stop panicking. I know I have no reason to be doing these things but i'm not thinking rationally. I have only told a few friends and out of those few, there is only one i feel like i can truly show how i feel. Only thing is I feel like a burden to her.
I'm wondering what steps others took to get out of this mindset. Any help would be amazing.
I'm truly lost.</t>
        </is>
      </c>
      <c r="D2302" t="n">
        <v>29</v>
      </c>
      <c r="E2302" t="n">
        <v>13</v>
      </c>
      <c r="F2302">
        <f>HYPERLINK("https://www.reddit.com/r/cancer/comments/bmrwps/lost_with_testicular_cancer/")</f>
        <v/>
      </c>
      <c r="G2302" t="inlineStr">
        <is>
          <t>2019-05-09 18:02:03</t>
        </is>
      </c>
      <c r="H2302" t="inlineStr"/>
    </row>
    <row r="2303">
      <c r="A2303" t="inlineStr">
        <is>
          <t>bmsx0f</t>
        </is>
      </c>
      <c r="B2303" t="inlineStr">
        <is>
          <t>Suggestions on good books for those going through treatment and caregivers?</t>
        </is>
      </c>
      <c r="C2303" t="inlineStr">
        <is>
          <t>Hi everyone,
My mother has stage four metastatic endometrial cancer. It recurred after a year and is presumed terminal and we are at the beginning stages of figuring out next steps and treatment plans.
Anyway, I’m looking for recommendations of books for her, but also for myself and my step father. Not just books on cancer and immunology, but anything you found helpful, hopeful, or useful for getting through treatment as a patient or a caregiver. It could even be a good work of fiction that meant something to you. For non-fiction, I’m having a hard time parsing what is unhelpful quackery from real science-writing, so any suggestions of well-researched, reputable books would be great. I’ve just finished An Elegant Defense and quite liked it. 
Thanks!</t>
        </is>
      </c>
      <c r="D2303" t="n">
        <v>7</v>
      </c>
      <c r="E2303" t="n">
        <v>7</v>
      </c>
      <c r="F2303">
        <f>HYPERLINK("https://www.reddit.com/r/cancer/comments/bmsx0f/suggestions_on_good_books_for_those_going_through/")</f>
        <v/>
      </c>
      <c r="G2303" t="inlineStr">
        <is>
          <t>2019-05-09 19:41:51</t>
        </is>
      </c>
      <c r="H2303" t="inlineStr"/>
    </row>
    <row r="2304">
      <c r="A2304" t="inlineStr">
        <is>
          <t>bmt709</t>
        </is>
      </c>
      <c r="B2304" t="inlineStr">
        <is>
          <t>Have you had non-small cell adenocarcinoma Lung Cancer?</t>
        </is>
      </c>
      <c r="C2304" t="inlineStr">
        <is>
          <t>Someone I love very dearly was just diagnosed with Stage 4 non-small cell adenocarcinoma Lung Cancer. She has a tumor in her left lung, a large tumor in her lower spine and some cancer in her lymph nodes around the lung.
We are consulting with some of the best hospitals in the US and I am wondering if you have experienced this particular type of cancer before. We will find out soon if it is genetic and if there's a possibility for immunotherapy or some other gene-based treatment.
She is looking into high intensity radiation therapy or proton therapy for her spinal tumor. I would love feedback on this for anyone who has personally experienced it. It is a really tough thing to come to terms with right now. Any comments are appreciated...</t>
        </is>
      </c>
      <c r="D2304" t="n">
        <v>5</v>
      </c>
      <c r="E2304" t="n">
        <v>6</v>
      </c>
      <c r="F2304">
        <f>HYPERLINK("https://www.reddit.com/r/cancer/comments/bmt709/have_you_had_nonsmall_cell_adenocarcinoma_lung/")</f>
        <v/>
      </c>
      <c r="G2304" t="inlineStr">
        <is>
          <t>2019-05-09 20:10:20</t>
        </is>
      </c>
      <c r="H2304" t="inlineStr"/>
    </row>
    <row r="2305">
      <c r="A2305" t="inlineStr">
        <is>
          <t>bmtgu3</t>
        </is>
      </c>
      <c r="B2305" t="inlineStr">
        <is>
          <t>High fevers</t>
        </is>
      </c>
      <c r="C2305" t="inlineStr">
        <is>
          <t>Does anyone else still get persistent fevers after the completion of chemotherapy? Mine come on usually at night and go up to over 102 and 103; my last dose of chemo was February 11 and I still dont stop getting them. This is really horrible and I dont know what to do.</t>
        </is>
      </c>
      <c r="D2305" t="n">
        <v>3</v>
      </c>
      <c r="E2305" t="n">
        <v>2</v>
      </c>
      <c r="F2305">
        <f>HYPERLINK("https://www.reddit.com/r/cancer/comments/bmtgu3/high_fevers/")</f>
        <v/>
      </c>
      <c r="G2305" t="inlineStr">
        <is>
          <t>2019-05-09 20:40:07</t>
        </is>
      </c>
      <c r="H2305" t="inlineStr"/>
    </row>
    <row r="2306">
      <c r="A2306" t="inlineStr">
        <is>
          <t>bmu8bn</t>
        </is>
      </c>
      <c r="B2306" t="inlineStr">
        <is>
          <t>Short term memory loss.</t>
        </is>
      </c>
      <c r="C2306" t="inlineStr">
        <is>
          <t>Has anybody else experienced short term memory loss while on chemo? I I started treatment 3 weeks ago, and since then, my short-term memory is for nothing, I'll be reading something or watching something on TV then a minute later I can't remember what I saw or read. But I could still remember things from 35 years ago.</t>
        </is>
      </c>
      <c r="D2306" t="n">
        <v>13</v>
      </c>
      <c r="E2306" t="n">
        <v>14</v>
      </c>
      <c r="F2306">
        <f>HYPERLINK("https://www.reddit.com/r/cancer/comments/bmu8bn/short_term_memory_loss/")</f>
        <v/>
      </c>
      <c r="G2306" t="inlineStr">
        <is>
          <t>2019-05-09 22:06:36</t>
        </is>
      </c>
      <c r="H2306" t="inlineStr"/>
    </row>
    <row r="2307">
      <c r="A2307" t="inlineStr">
        <is>
          <t>bmv11h</t>
        </is>
      </c>
      <c r="B2307" t="inlineStr">
        <is>
          <t>I would need positive stories</t>
        </is>
      </c>
      <c r="C2307" t="inlineStr">
        <is>
          <t>Have you ever seen someone almost dead, under artificial ventilation, not fed, and expected to die that had woken up and survived for some time?</t>
        </is>
      </c>
      <c r="D2307" t="n">
        <v>4</v>
      </c>
      <c r="E2307" t="n">
        <v>5</v>
      </c>
      <c r="F2307">
        <f>HYPERLINK("https://www.reddit.com/r/cancer/comments/bmv11h/i_would_need_positive_stories/")</f>
        <v/>
      </c>
      <c r="G2307" t="inlineStr">
        <is>
          <t>2019-05-09 23:47:41</t>
        </is>
      </c>
      <c r="H2307" t="inlineStr"/>
    </row>
    <row r="2308">
      <c r="A2308" t="inlineStr">
        <is>
          <t>bmvkw3</t>
        </is>
      </c>
      <c r="B2308" t="inlineStr">
        <is>
          <t>Recently overcame testicular C. My first shot of precautionary chemo today, should I be anxious? Does anyone know what it feels like and will it make me sick?</t>
        </is>
      </c>
      <c r="C2308" t="inlineStr">
        <is>
          <t>Any advice is greatly appreciated by you amazing bunch!</t>
        </is>
      </c>
      <c r="D2308" t="n">
        <v>10</v>
      </c>
      <c r="E2308" t="n">
        <v>7</v>
      </c>
      <c r="F2308">
        <f>HYPERLINK("https://www.reddit.com/r/cancer/comments/bmvkw3/recently_overcame_testicular_c_my_first_shot_of/")</f>
        <v/>
      </c>
      <c r="G2308" t="inlineStr">
        <is>
          <t>2019-05-10 01:03:08</t>
        </is>
      </c>
      <c r="H2308" t="inlineStr"/>
    </row>
    <row r="2309">
      <c r="A2309" t="inlineStr">
        <is>
          <t>bmwb7o</t>
        </is>
      </c>
      <c r="B2309" t="inlineStr">
        <is>
          <t>Anyone awake?</t>
        </is>
      </c>
      <c r="C2309" t="inlineStr">
        <is>
          <t>Recently diagnosed and have already had my upper lobe of the left lung removed sitting in the hospital alone for the first time and just wondering if anyone's around?  I'm just bored is all, if this isn't allowed by all means please let me know or just delete it.</t>
        </is>
      </c>
      <c r="D2309" t="n">
        <v>24</v>
      </c>
      <c r="E2309" t="n">
        <v>39</v>
      </c>
      <c r="F2309">
        <f>HYPERLINK("https://www.reddit.com/r/cancer/comments/bmwb7o/anyone_awake/")</f>
        <v/>
      </c>
      <c r="G2309" t="inlineStr">
        <is>
          <t>2019-05-10 02:46:44</t>
        </is>
      </c>
      <c r="H2309" t="inlineStr"/>
    </row>
    <row r="2310">
      <c r="A2310" t="inlineStr">
        <is>
          <t>bmx5ij</t>
        </is>
      </c>
      <c r="B2310" t="inlineStr">
        <is>
          <t>Life after cancer</t>
        </is>
      </c>
      <c r="C2310" t="inlineStr">
        <is>
          <t>Hello internet. My name is Daniel and for the past 5 years I've been desperately batting with my non-Hodgkin lymphoma against all odds, and despite numerous failed treatments, I managed to make it out and this is my recovery story. 
[https://www.youtube.com/watch?v=Kccfr-Fulsc](https://www.youtube.com/watch?v=Kccfr-Fulsc)</t>
        </is>
      </c>
      <c r="D2310" t="n">
        <v>4</v>
      </c>
      <c r="E2310" t="n">
        <v>0</v>
      </c>
      <c r="F2310">
        <f>HYPERLINK("https://www.reddit.com/r/cancer/comments/bmx5ij/life_after_cancer/")</f>
        <v/>
      </c>
      <c r="G2310" t="inlineStr">
        <is>
          <t>2019-05-10 04:33:55</t>
        </is>
      </c>
      <c r="H2310" t="inlineStr"/>
    </row>
    <row r="2311">
      <c r="A2311" t="inlineStr">
        <is>
          <t>bmxu8u</t>
        </is>
      </c>
      <c r="B2311" t="inlineStr">
        <is>
          <t>Diagnosed with Metastic Cystic Basaloid Squamous Cell Carcinoma</t>
        </is>
      </c>
      <c r="C2311" t="inlineStr">
        <is>
          <t>Started off as a lump in my neck back in December. General practitioner didn't seem too concerned in the beginning and scheduled an ultrasound. Ultrasound led to a CT scan. CT scan showed a cyst and so I went to an ENT doc for a needle biopsy. That confirmed the cyst and initially they thought it was benign. Scheduled surgery to get the sucker out. They took it out and the ENT doc thought it still presented as benign, but would tell me more in a week after a lab fully tested it. Went back and the ENT doc said they had some concerns with the test and sent it to yet another lab for more testing. Yesterday the ENT doc told me the new tests showed cancer as stated in the title. Should be going in for a more expansive CT scan soon and meeting with the cancer docs after to plan for treatment.
I'm 47, married with two kids. Pretty scared but trying to hold it together.</t>
        </is>
      </c>
      <c r="D2311" t="n">
        <v>7</v>
      </c>
      <c r="E2311" t="n">
        <v>7</v>
      </c>
      <c r="F2311">
        <f>HYPERLINK("https://www.reddit.com/r/cancer/comments/bmxu8u/diagnosed_with_metastic_cystic_basaloid_squamous/")</f>
        <v/>
      </c>
      <c r="G2311" t="inlineStr">
        <is>
          <t>2019-05-10 05:45:29</t>
        </is>
      </c>
      <c r="H2311" t="inlineStr"/>
    </row>
    <row r="2312">
      <c r="A2312" t="inlineStr">
        <is>
          <t>bmy347</t>
        </is>
      </c>
      <c r="B2312" t="inlineStr">
        <is>
          <t>First Mother's Day Without Mom</t>
        </is>
      </c>
      <c r="C2312" t="inlineStr">
        <is>
          <t>It's been almost a year since liver cancer took mom.  I just got to work early and wrote this.  Hope you all like it.  Thanks to everyone here for all the support you give.
&amp;amp;#x200B;
This is not the way 
I wanted to spend this mother's day.
It might very well have been a day that I didn't see your face-
But there would have been the call, the sound of your voice.
How was your day? Where have you been lately and how are the dogs?  How's John?
It's been awhile since you've sent me a painting, are you doing them anymore?
Ceramics class is the same as always, but I've got a new student.  It's fun to see them progress.
You have a real talent, I think everyone has one inside; you just have to choose to work on it
and I wish you would.  You've got so much to say.
&amp;amp;#x200B;
Thanks, mom, but this call is about you-
Happy mother's day!
&amp;amp;#x200B;
This is our first one without you and I won't get to make that call.
But I still sit and think about you; sometimes the dogs will join me on the couch.
Who knows, maybe they're thinking about you, too.
This Sunday I'll take them out to the island on the lake, to the spot you want your ashes spread.
I'll sit and watch them swim, and maybe throw a stick or two.
Some tears will come, but smiles will, too.
Because this day is about you, mom.
Happy mother's day.
I love you.
&amp;amp;#x200B;
Dave</t>
        </is>
      </c>
      <c r="D2312" t="n">
        <v>19</v>
      </c>
      <c r="E2312" t="n">
        <v>8</v>
      </c>
      <c r="F2312">
        <f>HYPERLINK("https://www.reddit.com/r/cancer/comments/bmy347/first_mothers_day_without_mom/")</f>
        <v/>
      </c>
      <c r="G2312" t="inlineStr">
        <is>
          <t>2019-05-10 06:08:56</t>
        </is>
      </c>
      <c r="H2312" t="inlineStr"/>
    </row>
    <row r="2313">
      <c r="A2313" t="inlineStr">
        <is>
          <t>bmy8sk</t>
        </is>
      </c>
      <c r="B2313" t="inlineStr">
        <is>
          <t>Anyone else get hungry after a chemo session</t>
        </is>
      </c>
      <c r="C2313" t="inlineStr">
        <is>
          <t>I don’t know what it is but after I’m done with my treatment, I find myself eating non stop. For 24-48 hours, then go back to my normal eating schedule. Is this me or does anyone else deal with this??</t>
        </is>
      </c>
      <c r="D2313" t="n">
        <v>16</v>
      </c>
      <c r="E2313" t="n">
        <v>12</v>
      </c>
      <c r="F2313">
        <f>HYPERLINK("https://www.reddit.com/r/cancer/comments/bmy8sk/anyone_else_get_hungry_after_a_chemo_session/")</f>
        <v/>
      </c>
      <c r="G2313" t="inlineStr">
        <is>
          <t>2019-05-10 06:23:41</t>
        </is>
      </c>
      <c r="H2313" t="inlineStr"/>
    </row>
    <row r="2314">
      <c r="A2314" t="inlineStr">
        <is>
          <t>bmz7dc</t>
        </is>
      </c>
      <c r="B2314" t="inlineStr">
        <is>
          <t>This sub is amazing</t>
        </is>
      </c>
      <c r="C2314" t="inlineStr">
        <is>
          <t>Just need to get something off my chest. 
This is the best and weirdest and most unique sub I've been apart of. I was diagnosed with NH lymphoma about a month ago and just did my second round of chemo.
This sub is so great bc of all the support. Just from my short time here (mostly lurking) it's insane the outpouring of support everyone gets when they need it.
It's weird and unique bc I can't help feeling bad for ppl with a bad prognosis or really sad posts. To me, I can't help feel a littke awkward when I read the posts about someone being in the up and up or being cancer free. I can't imagine how it feels to read that type of post when you're nowhere near there. And yet, somehow, everyone is supportive here somehow. Absolutely blew my mind.
I love this sub bc it's bringing people together and basically saying you're not in this shit alone. Even if you feel like you are and you think you are you're not, we're all here for you. We're all here together.</t>
        </is>
      </c>
      <c r="D2314" t="n">
        <v>77</v>
      </c>
      <c r="E2314" t="n">
        <v>35</v>
      </c>
      <c r="F2314">
        <f>HYPERLINK("https://www.reddit.com/r/cancer/comments/bmz7dc/this_sub_is_amazing/")</f>
        <v/>
      </c>
      <c r="G2314" t="inlineStr">
        <is>
          <t>2019-05-10 07:49:37</t>
        </is>
      </c>
      <c r="H2314" t="inlineStr"/>
    </row>
    <row r="2315">
      <c r="A2315" t="inlineStr">
        <is>
          <t>bmzgwf</t>
        </is>
      </c>
      <c r="B2315" t="inlineStr">
        <is>
          <t>Lost my wife</t>
        </is>
      </c>
      <c r="C2315" t="inlineStr">
        <is>
          <t>My wife lost her battle, age 43, 3:30pm yesterday. She died in my arms.... I'm so lost and alone, I don't know if I can keep living in this world anymore..... We just bought our first house and we were planning on getting married after being together for 18 years. I cant even sleep in my house because evreything here reminds me of her..... 
FUCK CANCER.</t>
        </is>
      </c>
      <c r="D2315" t="n">
        <v>145</v>
      </c>
      <c r="E2315" t="n">
        <v>58</v>
      </c>
      <c r="F2315">
        <f>HYPERLINK("https://www.reddit.com/r/cancer/comments/bmzgwf/lost_my_wife/")</f>
        <v/>
      </c>
      <c r="G2315" t="inlineStr">
        <is>
          <t>2019-05-10 08:11:21</t>
        </is>
      </c>
      <c r="H2315" t="inlineStr"/>
    </row>
    <row r="2316">
      <c r="A2316" t="inlineStr">
        <is>
          <t>bmzxt9</t>
        </is>
      </c>
      <c r="B2316" t="inlineStr">
        <is>
          <t>Need advice on how to help my mom with her anger and depression</t>
        </is>
      </c>
      <c r="C2316" t="inlineStr">
        <is>
          <t>Hey everyone. I have posted only a few times here about my mom, but I do read this sub every day and really love and appreciate all the support here. I wanted to ask for some advice if anyone would be so kind to help me out. I apologize for the long post...
Very briefly: my mom is stage IV metastatic breast cancer, ER/PR positive, HER2/BRCA negative. Mets to bones only, no visceral organs. Diagnosed June 2018, she is s/p spinal surgery, radiation to her spine and on ibrance/femara combo with monthly Xgeva injections since Aug-Sept 2018. Her most recent CT scans at the end of April were stable, no new growths anywhere and all her bones appear to be remodeling aka she is responding to treatment.
From the outside looking in, my mom is doing great. She is an otherwise very healthy 57 year old lady with no other medical problems, very active and in-shape.  She went back to work at the end of September and works every day. She does zumba 3 times a week, goes for a walk about twice a week. Physically you could never tell she's sick. The problem is her mental state the past few weeks. She is very stressed out with work. She works in sales and last year before all this happened she was number 1 in her company. Now she is near the bottom. She is always saying she hates herself and she sucks at work and she is terrified she is going to get fired and lose her health insurance and ability to afford her medications. She has gained weight from the abrupt menopause and surgery and radiation and all of this back to back. (she's always been a very skinny woman, almost vain in a sense because she's always worked very hard to maintain a good body image). She says she feels betrayed by her body and she hates it and she can't look into a mirror anymore. She is also getting a bad eczematous rash all over her chest and stomach and legs, I'm guessing from a combo of all her meds. She says she's tired all the time and just doesn't feel like herself and no one at work realizes how hard this has been for her since she appears so healthy on the outside.
I am a doctor and currently in first year of residency. I have been so busy the past month on the trauma surgery service. I was on a 30 hour call two days ago, and went to an emergent trauma case around 11pm. Afterwards I check my phone to see all these messages from her saying "I can't play this game anymore, I am not a happy person and should not be in sales, everyone is judging me and I don't think I belong on this earth." By the time I saw these texts it was 3am and I just fell apart.
I talked to her after my shift and tried to encourage her to go back to her therapist and she got angry with me saying she doesn't have time. I am so grateful that my mom and I have gotten even closer this past year and that there is this new space created for her to be open with me, but sometimes it just weighs too much on me. It was just my mom and I growing up for a few years, after my brothers grew up and went to college. I have seen her deal with depression in the past. We have talked several times this year about depression and she isn't suicidal. Yesterday, I tried to find a way to tell her to seek help, without trying to make her feel guilty for talking to me about things and without trying to take the attention away from her and on to me, but she just got upset and said I was the only person she could talk to and now she will keep it all to herself...which obviously is NOT what I wanted. I just don't know what else to do. I just told her I love her and she isn't alone and I will always be here for her. I can't tell her to quit her job and I can't tell her to get help... she said she doesn't want any advice. I think she may be going through a stage where she is just angry at this whole situation which is certainly valid. I just don't know what to do..
TLDR: I don't know how many "good" months/years my mom may have left and I'm scared that while she is physically doing well right now, she is spending her days angry and depressed and I don't know how to help her.
Thank you</t>
        </is>
      </c>
      <c r="D2316" t="n">
        <v>8</v>
      </c>
      <c r="E2316" t="n">
        <v>10</v>
      </c>
      <c r="F2316">
        <f>HYPERLINK("https://www.reddit.com/r/cancer/comments/bmzxt9/need_advice_on_how_to_help_my_mom_with_her_anger/")</f>
        <v/>
      </c>
      <c r="G2316" t="inlineStr">
        <is>
          <t>2019-05-10 08:50:45</t>
        </is>
      </c>
      <c r="H2316" t="inlineStr"/>
    </row>
    <row r="2317">
      <c r="A2317" t="inlineStr">
        <is>
          <t>bn06hn</t>
        </is>
      </c>
      <c r="B2317" t="inlineStr">
        <is>
          <t>A story I want to share about my amazing surgeon</t>
        </is>
      </c>
      <c r="C2317" t="inlineStr">
        <is>
          <t>I have thyroid cancer, and four weeks ago I had a total thyroidectomy with left lateral neck dissection. I had 42 lymph nodes removed, and 9 were cancerous. The surgery took five hours but the scar has been healing amazingly. Many people struggle to speak after this operation, and the average time it takes to recover your singing voice is 6 months. I love singing and this devastated me. I couldn't imagine not being able to sing for so long. I sing when I'm concentrating, when I'm alone, in the shower, in the car, etc. It's part of me. Well, I also had a complication from the surgery called a chyle leak, which is where my lymph system isn't healing up properly. It's mostly just annoying and uncomfortable.
Yesterday I went in for a non-surgical procedure to help with that and I was gushing about how nice my surgeon is to the nurses there. And one of them stopped and asked me, did you know that he sings in the operating room? While operating on patients? I was surprised to say the least. The nurse laughed. Apparently he's a pretty good singer, too.
I haven't been able to stop thinking about that. My surgeon did an amazing job saving my voice because he's like me and he loves to sing. And now all I can picture when I think about my surgery is the doctor singing to himself while he saved my life.</t>
        </is>
      </c>
      <c r="D2317" t="n">
        <v>15</v>
      </c>
      <c r="E2317" t="n">
        <v>12</v>
      </c>
      <c r="F2317">
        <f>HYPERLINK("https://www.reddit.com/r/cancer/comments/bn06hn/a_story_i_want_to_share_about_my_amazing_surgeon/")</f>
        <v/>
      </c>
      <c r="G2317" t="inlineStr">
        <is>
          <t>2019-05-10 09:11:07</t>
        </is>
      </c>
      <c r="H2317" t="inlineStr"/>
    </row>
    <row r="2318">
      <c r="A2318" t="inlineStr">
        <is>
          <t>bn21yn</t>
        </is>
      </c>
      <c r="B2318" t="inlineStr">
        <is>
          <t>What is the best way to encourage people to take the genetic cancer pre-screen?</t>
        </is>
      </c>
      <c r="C2318" t="inlineStr">
        <is>
          <t>I talk to many people who feel like they are too old to check if they have inherited any gene mutations. If it is discovered that they have any predispositions to cancer in their genes, it is likely their genetical family also has this. 
how to get people to understand this?</t>
        </is>
      </c>
      <c r="D2318" t="n">
        <v>8</v>
      </c>
      <c r="E2318" t="n">
        <v>6</v>
      </c>
      <c r="F2318">
        <f>HYPERLINK("https://www.reddit.com/r/cancer/comments/bn21yn/what_is_the_best_way_to_encourage_people_to_take/")</f>
        <v/>
      </c>
      <c r="G2318" t="inlineStr">
        <is>
          <t>2019-05-10 11:42:32</t>
        </is>
      </c>
      <c r="H2318" t="inlineStr"/>
    </row>
    <row r="2319">
      <c r="A2319" t="inlineStr">
        <is>
          <t>bn2i8a</t>
        </is>
      </c>
      <c r="B2319" t="inlineStr">
        <is>
          <t>Today i was told the surgery to remove my tumor will be this month.</t>
        </is>
      </c>
      <c r="C2319" t="inlineStr">
        <is>
          <t>I finally got confirmation from the doctor today that I'll be going in this month for the surgery to remove my tumor. He explained it as the tumor is basically almost completely blocking that section of my bowels, he couldnt even get the colonoscopy scope around it at the time, and that they'll have to remove most of the right side of my bowel, and then stitch what's left together essentially making my bowel shorter (?) I may have misunderstood that part. Then after that I'll be starting chemo and he doesnt think I'll need any radiation! 
He's also confident that the tumor is the only one growing, he was concerned about some polyps they found but he said it's just something we'll keep an eye on with regular colonoscopies. 
For the first time since my diagnosis I actually feel uplifted. Thank you to everyone on this sub that I've spoke to so far and has offered me advice. Hell thank you to everyone I havent talked to yet too, even reading the comments on other posts and seeing how genuinely supportive and understanding everyone on here is, helps. 
It helps knowing that no matter what, all you have to do is pick up your phone, open reddit, and you have a full support system backing you and inspiring you when you need it.</t>
        </is>
      </c>
      <c r="D2319" t="n">
        <v>29</v>
      </c>
      <c r="E2319" t="n">
        <v>7</v>
      </c>
      <c r="F2319">
        <f>HYPERLINK("https://www.reddit.com/r/cancer/comments/bn2i8a/today_i_was_told_the_surgery_to_remove_my_tumor/")</f>
        <v/>
      </c>
      <c r="G2319" t="inlineStr">
        <is>
          <t>2019-05-10 12:19:39</t>
        </is>
      </c>
      <c r="H2319" t="inlineStr"/>
    </row>
    <row r="2320">
      <c r="A2320" t="inlineStr">
        <is>
          <t>bn30an</t>
        </is>
      </c>
      <c r="B2320" t="inlineStr">
        <is>
          <t>did anyone else not feel the mental side effects until about a year later</t>
        </is>
      </c>
      <c r="C2320" t="inlineStr">
        <is>
          <t>I’m also 14; that has to be part of it. 
Anyways I finished chemo and radiation almost exactly a year ago, but about 4 months ago I started get really depressed and losing interest in everything. (Apparently a side effect to a side effect means it’s hard for me to care about stuff) about 5 months I started taking pills for my heart and that might have started me worrying myself to the ground. Then around a month ago they were like your thyroid is doing low production or whatever and that’s why you can’t care about stuff as easily. 
Ehhh idk it’s probably just me being fourteen but i want to know if it took other people longer to feel the mental side effects. 
Ps. I didn’t talk to anyone about it until about a month and a half ago which was really stupid of me and that could also be it.</t>
        </is>
      </c>
      <c r="D2320" t="n">
        <v>21</v>
      </c>
      <c r="E2320" t="n">
        <v>23</v>
      </c>
      <c r="F2320">
        <f>HYPERLINK("https://www.reddit.com/r/cancer/comments/bn30an/did_anyone_else_not_feel_the_mental_side_effects/")</f>
        <v/>
      </c>
      <c r="G2320" t="inlineStr">
        <is>
          <t>2019-05-10 13:00:12</t>
        </is>
      </c>
      <c r="H2320" t="inlineStr"/>
    </row>
    <row r="2321">
      <c r="A2321" t="inlineStr">
        <is>
          <t>bn3aha</t>
        </is>
      </c>
      <c r="B2321" t="inlineStr">
        <is>
          <t>Should my mom do chemotherapy?</t>
        </is>
      </c>
      <c r="C2321" t="inlineStr">
        <is>
          <t>My mom has her2 positive breast cancer on stage 1, she already removed the tumor (9.5 millimeters, so it wasn't even 1 centimeter) and the doctors didn't necessarily tell her that she needed to to the chemo, just radio, but my mom decided to do chemo bc she thinks it will give more chances for it to not come back, but one of the side effects of chemo is that the cancer might come back so tbh I have no idea if it's a good idea, plus it's seems to be so destructive that Idk if it will do worse that any good,</t>
        </is>
      </c>
      <c r="D2321" t="n">
        <v>2</v>
      </c>
      <c r="E2321" t="n">
        <v>2</v>
      </c>
      <c r="F2321">
        <f>HYPERLINK("https://www.reddit.com/r/cancer/comments/bn3aha/should_my_mom_do_chemotherapy/")</f>
        <v/>
      </c>
      <c r="G2321" t="inlineStr">
        <is>
          <t>2019-05-10 13:22:51</t>
        </is>
      </c>
      <c r="H2321" t="inlineStr"/>
    </row>
    <row r="2322">
      <c r="A2322" t="inlineStr">
        <is>
          <t>bn3ez9</t>
        </is>
      </c>
      <c r="B2322" t="inlineStr">
        <is>
          <t>Friends dad has been diagnosed with lung cancer, spread to spine. What is the outlook</t>
        </is>
      </c>
      <c r="C2322" t="inlineStr">
        <is>
          <t>My friend doesn't generally talk about his emotions, but I can tell he's struggling with this, so am trying to keep his mind off things, meeting up for drinks more etc. just so it's not all on his wife to be there for him.
Anyway his dad is 64, diagnosed with lung cancer, which has already to his spine. They've told him it's incurable, but have offered him experimental drugs and radiotherapy. 
My friend says the drugs have had positive results with other patients, so he is holding on to hope that his dad will be okay.
Does anyone have any idea what these drugs would be, and what my friends dad's outlook is? 
Thanks</t>
        </is>
      </c>
      <c r="D2322" t="n">
        <v>10</v>
      </c>
      <c r="E2322" t="n">
        <v>10</v>
      </c>
      <c r="F2322">
        <f>HYPERLINK("https://www.reddit.com/r/cancer/comments/bn3ez9/friends_dad_has_been_diagnosed_with_lung_cancer/")</f>
        <v/>
      </c>
      <c r="G2322" t="inlineStr">
        <is>
          <t>2019-05-10 13:33:14</t>
        </is>
      </c>
      <c r="H2322" t="inlineStr"/>
    </row>
    <row r="2323">
      <c r="A2323" t="inlineStr">
        <is>
          <t>bn4o10</t>
        </is>
      </c>
      <c r="B2323" t="inlineStr">
        <is>
          <t>I just got off the phone with my mom, she has cancer</t>
        </is>
      </c>
      <c r="C2323" t="inlineStr">
        <is>
          <t>the doctors said she has grade 2 breast cancer.i cant lose her. i was fine with her on the phone when she told me. i called my father and sister and even before i could say "my mom has cancer" my throat choked up and i started bawling. help</t>
        </is>
      </c>
      <c r="D2323" t="n">
        <v>12</v>
      </c>
      <c r="E2323" t="n">
        <v>9</v>
      </c>
      <c r="F2323">
        <f>HYPERLINK("https://www.reddit.com/r/cancer/comments/bn4o10/i_just_got_off_the_phone_with_my_mom_she_has/")</f>
        <v/>
      </c>
      <c r="G2323" t="inlineStr">
        <is>
          <t>2019-05-10 15:22:10</t>
        </is>
      </c>
      <c r="H2323" t="inlineStr"/>
    </row>
    <row r="2324">
      <c r="A2324" t="inlineStr">
        <is>
          <t>bn9f38</t>
        </is>
      </c>
      <c r="B2324" t="inlineStr">
        <is>
          <t>2nd Cancer in less than 2 years</t>
        </is>
      </c>
      <c r="C2324" t="inlineStr">
        <is>
          <t>2 years ago today (2017) I was finishing up a 6 month chemo hell for Classic Hopkins lymphoma.  Bi-weekly chemo, ABDV.   I was celebrating the end of that this past October with my port removal!! Then in the tail end of February, I found a lump in right breast. At first it was just diagnosed as IDC. Today... I find out that it hit my lymph nodes again... more chemo and radiation this time. I did do genetic testing and it came back negative. I guess my painful port is going back in and more scans next. Just need support to get though this next round. Also, I’m not yet 40.... which pisses me off even more.</t>
        </is>
      </c>
      <c r="D2324" t="n">
        <v>1</v>
      </c>
      <c r="E2324" t="n">
        <v>1</v>
      </c>
      <c r="F2324">
        <f>HYPERLINK("https://www.reddit.com/r/cancer/comments/bn9f38/2nd_cancer_in_less_than_2_years/")</f>
        <v/>
      </c>
      <c r="G2324" t="inlineStr">
        <is>
          <t>2019-05-11 00:21:44</t>
        </is>
      </c>
      <c r="H2324" t="inlineStr"/>
    </row>
    <row r="2325">
      <c r="A2325" t="inlineStr">
        <is>
          <t>bn9fli</t>
        </is>
      </c>
      <c r="B2325" t="inlineStr">
        <is>
          <t>Second opinion DCIS High Grade</t>
        </is>
      </c>
      <c r="C2325" t="inlineStr">
        <is>
          <t>My mom was diagnosed with dcis, stage 0. Its 'high grade' with comedo necrosis and initially it was found while taking a mammogram. They requested a biopsy and it was done immediately and a tag implant was placed. The findings resulted in dcis and we were advised to do a surgery consult.
At that point we consulted a surgeon and the recommendations were lumpectomy, radiation and hormone therapy. Surgeon said after we make the decision the surgery will be scheduled within 2 weeks. 
Then about a week later they suddenly wanted a second biopsy based on the recommendations of a Tumor Board review. Evidently the tumor board saw something different and at a 2nd location that required another biopsy and if 2nd location which was in a different quadrant was positive the only option was masectomy. 
Luckily after the next biopsy was done they said the second biopsy location was clear and that we can move forward with lumpectomy. 
In my research i found that pathologist often disagree on biopsy reports ie high grade vs low grade and even the surgeon we consulted admitted to the over treatment of stage 0 dcis so it left me pondering. 
Im considering taking my mom elsewhere for a second opinion tho the surgeon comforted us by saying you could see the "tumor board" as a second opinion.. and since there was discrepancies found that was missed by the original radiologist or pathologist im not sure what to think about pathology interpretations. 
So the question that remains, will a second opinion result in same recommendations or is the varying degress of interpretation worth a second opinion for what i was told was stage 0 high grade dcis?
Also i have found so much reading about the over treatment of dcis it leaves me looking for answers. My mom is in her early 70's and otherwise healthy and doesnt even take no medications.
Finally if anyone can chime in on the different Tumor Boards within the Kiaser system vs the second opinion of the breast oncology department at UCSF.</t>
        </is>
      </c>
      <c r="D2325" t="n">
        <v>5</v>
      </c>
      <c r="E2325" t="n">
        <v>15</v>
      </c>
      <c r="F2325">
        <f>HYPERLINK("https://www.reddit.com/r/cancer/comments/bn9fli/second_opinion_dcis_high_grade/")</f>
        <v/>
      </c>
      <c r="G2325" t="inlineStr">
        <is>
          <t>2019-05-11 00:23:52</t>
        </is>
      </c>
      <c r="H2325" t="inlineStr"/>
    </row>
    <row r="2326">
      <c r="A2326" t="inlineStr">
        <is>
          <t>bn9o4s</t>
        </is>
      </c>
      <c r="B2326" t="inlineStr">
        <is>
          <t>My Bone Marrow Donation Process and Recovery</t>
        </is>
      </c>
      <c r="C2326" t="inlineStr">
        <is>
          <t>TL;DR - I had a surgical procedure to donate bone marrow to a 13 year old girl with Severe Aplastic Anemia. I wanted to share a few details about the procedure for anyone who may be interested in signing up as well. 
I wanted to share my story of donating bone marrow so that anyone else who is considering it or has questions about it may be a bit more informed.
In Feb of 2017 I was scrolling social media and saw an add to join the Be The Match registry. I thought to myself, “I have no reason not to do this. I’m going to sign up.” However, life distracted me and I never did. 2 weeks later I began the next book in the series of my favorite author, Harlan Coben (amazing thriller/murder mystery novelist), and it was about a boy who needed a bone marrow donation and the donor ghosted. I immediately signed up on the registry this time.
Exactly one year later, I received a phone call and an email stating that I was a potential match for a 13 year old girl with Sever Aplastic Anemia, a life threatening immune system disease. I immediately agreed to go through with the procedure.
The process involves an over the phone health surgery, an additional blood screen and a physical exam. Afterwards, the wait began. However, the patient experience multiple setbacks that delayed the donation twice. Finally, in late March 2019, the procedure was a go.
I must say that Be The Match is amazing. Not one dime out of pocket between the hospital visits, the procedure, or anything. They even flew my mom in to watch our 4 month old daughter.
The procedure went really smoothly. There are two ways to donate. One is surgical and one is through a process more like giving blood. My patient’s doctor requested the surgical procedure. Anyway, they used general anesthesia to put me under and used. Hollow needle to penetrate my hip bones from the back in two small incisions. From there they extracted  liters of bone marrow. I was in and out of the hospital within 5 hours. 
The procedure was painless obviously because I was under, but the recovery has a few pains and aches with it. Honestly, it is not horrible. I was super exhausted for 2 days due to the anesthesia and the amount of marrow extracted. The site of the procedure cause some aching in my lower back. It’s more discomfort than pain. They provide adequate medication to help with this. Honestly, the hardest part is just taking it easy for me. I’m a “always on the move” guy. Anyways I’m 3 days post-op and can move with very little limitation or discomfort. It’s still sore and achey, but nothing serious. I would donate again tomorrow if I needed to.
I hope this provides insight into the process and please feel free to ask any questions. Also, please let me know if you decide to sign up. It really is an opportunity to give someone else another shot at life.
https://m.imgur.com/HVtcohk</t>
        </is>
      </c>
      <c r="D2326" t="n">
        <v>75</v>
      </c>
      <c r="E2326" t="n">
        <v>34</v>
      </c>
      <c r="F2326">
        <f>HYPERLINK("https://www.reddit.com/r/cancer/comments/bn9o4s/my_bone_marrow_donation_process_and_recovery/")</f>
        <v/>
      </c>
      <c r="G2326" t="inlineStr">
        <is>
          <t>2019-05-11 01:00:27</t>
        </is>
      </c>
      <c r="H2326" t="inlineStr"/>
    </row>
    <row r="2327">
      <c r="A2327" t="inlineStr">
        <is>
          <t>bnafxn</t>
        </is>
      </c>
      <c r="B2327" t="inlineStr">
        <is>
          <t>Mom w/ breast cancer won’t stop drinking, NDad encourages her</t>
        </is>
      </c>
      <c r="C2327" t="inlineStr">
        <is>
          <t>Hi. First of all, I’d like to say I really appreciate everyone who takes the time to read this post. Because I’m in the biggest shit sandwich I’ve ever been in my life, and I just don’t know what I should do. It’s all gotta do with my mom.
My mom was diagnosed with stage 1 breast cancer last year, and she is triple positive. I’ve heard HER2+ patients have a higher risk of the cancer coming back. Now she has done all 4 rounds of chemo and is now on herceptin and other medication. The problem is, she won’t stop drinking on a regular basis. She drank a LOT before she got cancer. Now she drinks less, but she still drinks at least twice a week. Each time she drinks it’s at least 1L of beer, or 2-3 glasses of wine. I have panic attacks each time she drinks that much as I know alcohol can cause her cancer to come back. I begged her many times not to drink, but she just straight-up ignores me and tells me to stop ‘stressing her out’. Or she tells me that since I drink too, I have no right to ask her to quit drinking.
My dad, whom I have good reason to believe is a narcissist, contributes to the problem by encouraging her drinking. For example, he suggests to go out to a pub for dinner, where he knows she will drink loads. Just this evening, he said we should all have fried chicken and beer for dinner. He and my mom are having 1L of beer each while I’m not drinking at all. My ndad cheated on my mom last year (which led to mom’s profuse drinking) and they ‘reconciled’ but he could very well be cheating on her again &amp;amp; he doesn’t really care about her health. He says nothing about my mom’s regular drinking and even encourages her. He yells at me to shut up when I mention mom’s drinking issues, saying I should stop putting her under more stress. I suspect that he might actually WANT her cancer to come back, so that she might die prematurely, and he can marry another woman. And poor mom is oblivious to all this. I know that is a horrible thing to say about one’s dad, but my dad is just a horrible person.</t>
        </is>
      </c>
      <c r="D2327" t="n">
        <v>0</v>
      </c>
      <c r="E2327" t="n">
        <v>18</v>
      </c>
      <c r="F2327">
        <f>HYPERLINK("https://www.reddit.com/r/cancer/comments/bnafxn/mom_w_breast_cancer_wont_stop_drinking_ndad/")</f>
        <v/>
      </c>
      <c r="G2327" t="inlineStr">
        <is>
          <t>2019-05-11 02:59:44</t>
        </is>
      </c>
      <c r="H2327" t="inlineStr"/>
    </row>
    <row r="2328">
      <c r="A2328" t="inlineStr">
        <is>
          <t>bneqib</t>
        </is>
      </c>
      <c r="B2328" t="inlineStr">
        <is>
          <t>Symptoms of bowel cancer?</t>
        </is>
      </c>
      <c r="C2328" t="inlineStr">
        <is>
          <t>I realise this is a "is this cancer" post
......firstly I've been to the doc alot, been referred and waiting for consultation so at present done all I can.
Tested for infection, intolerances, IBD all came back negative, blood works showed one protein a but low but apparently nothing abnormal.
Given ibs drugs but not had any real effect so far
I realise alot of people's symptoms are completely different but wanted to see if anyone had similar symptoms.
Symptoms Started about Feb, Got really loose stools, felt sick, didn't eat alot, lost a bit of weight weight
progressed to sore bloated stomach.
now my main symptoms are loose stools always(I'm reall hungry alot) - gained weight back and I kind of feel blocked when I go to the loo - can't tell if I'm paranoid or there is a partial blockage.
Stools Do apear a bit thinner in general.
I realise doctors are the best but I'm looking for people's experience did they have similar etc?
Thanks</t>
        </is>
      </c>
      <c r="D2328" t="n">
        <v>0</v>
      </c>
      <c r="E2328" t="n">
        <v>0</v>
      </c>
      <c r="F2328">
        <f>HYPERLINK("https://www.reddit.com/r/cancer/comments/bneqib/symptoms_of_bowel_cancer/")</f>
        <v/>
      </c>
      <c r="G2328" t="inlineStr">
        <is>
          <t>2019-05-11 10:40:08</t>
        </is>
      </c>
      <c r="H2328" t="inlineStr"/>
    </row>
    <row r="2329">
      <c r="A2329" t="inlineStr">
        <is>
          <t>bnfv75</t>
        </is>
      </c>
      <c r="B2329" t="inlineStr">
        <is>
          <t>Small nodule found on my thyroid - worried about next steps</t>
        </is>
      </c>
      <c r="C2329" t="inlineStr">
        <is>
          <t>Hello,
I’m 36 years old, male, and relatively healthy. I’ve been experiencing dull pain on the right side of my neck for a while now, so I got a sonogram. Results show a sub centimeter nodule on the right side of my thyroid. Currently waiting to be scheduled with an endocrinologist. 
The nurse told me the nodule may or may not be cancerous, and that the only way to know would be to do a needle biopsy. They also said the endo would most likely not do a biopsy unless the nodule grew larger, so my only course of action is to get it checked out every six months and hope nothing changes.
This is scary to me. It would be one thing if I could just get a diagnosis, but this “wait and see” thing just feels like I’m sitting on a bomb that or may or may not blow up at any time. It’s hard to put out of my head. Any feedback or similar experiences would be greatly appreciated.</t>
        </is>
      </c>
      <c r="D2329" t="n">
        <v>8</v>
      </c>
      <c r="E2329" t="n">
        <v>3</v>
      </c>
      <c r="F2329">
        <f>HYPERLINK("https://www.reddit.com/r/cancer/comments/bnfv75/small_nodule_found_on_my_thyroid_worried_about/")</f>
        <v/>
      </c>
      <c r="G2329" t="inlineStr">
        <is>
          <t>2019-05-11 12:20:35</t>
        </is>
      </c>
      <c r="H2329" t="inlineStr"/>
    </row>
    <row r="2330">
      <c r="A2330" t="inlineStr">
        <is>
          <t>bngj5d</t>
        </is>
      </c>
      <c r="B2330" t="inlineStr">
        <is>
          <t>best water filters to buy while on chemo?</t>
        </is>
      </c>
      <c r="C2330" t="inlineStr">
        <is>
          <t>My brother just got started chemo for hodgkins lymphoma, most of the water he tried tastes metallic, until he found this brand that costs a dollar fifty that he likes. Is there any good alternative water filter that I can install at home so we don't go bankrupt buying bottled water?</t>
        </is>
      </c>
      <c r="D2330" t="n">
        <v>3</v>
      </c>
      <c r="E2330" t="n">
        <v>6</v>
      </c>
      <c r="F2330">
        <f>HYPERLINK("https://www.reddit.com/r/cancer/comments/bngj5d/best_water_filters_to_buy_while_on_chemo/")</f>
        <v/>
      </c>
      <c r="G2330" t="inlineStr">
        <is>
          <t>2019-05-11 13:21:03</t>
        </is>
      </c>
      <c r="H2330" t="inlineStr"/>
    </row>
    <row r="2331">
      <c r="A2331" t="inlineStr">
        <is>
          <t>bnhmz0</t>
        </is>
      </c>
      <c r="B2331" t="inlineStr">
        <is>
          <t>My mom says she’s going the natural route NEED HELP</t>
        </is>
      </c>
      <c r="C2331" t="inlineStr">
        <is>
          <t>I’m trying so hard to just have faith my mom is convinced that chemo and radiation will just make her a former shell of her self and is refusing to take anything other than natural medicine she has Stage 1 breast cancer and tells me she’s right because the tumor is getting smaller and that it’s been 6 months it would have spread by now if the medicine wasn’t working is she right and am I wrong also how long does she have if I can’t convince her otherwise this is the worst pain I’ve ever had to deal with knowing my mom is on borrowed time I hope no one ever has to go through that and I’m sorry for who ever has it’s always in the back of my mind and I cry every time I think about my mom I’m sorry for ranting ... please just help me guys thank you god bless you all.</t>
        </is>
      </c>
      <c r="D2331" t="n">
        <v>29</v>
      </c>
      <c r="E2331" t="n">
        <v>39</v>
      </c>
      <c r="F2331">
        <f>HYPERLINK("https://www.reddit.com/r/cancer/comments/bnhmz0/my_mom_says_shes_going_the_natural_route_need_help/")</f>
        <v/>
      </c>
      <c r="G2331" t="inlineStr">
        <is>
          <t>2019-05-11 15:04:52</t>
        </is>
      </c>
      <c r="H2331" t="inlineStr"/>
    </row>
    <row r="2332">
      <c r="A2332" t="inlineStr">
        <is>
          <t>bnisbi</t>
        </is>
      </c>
      <c r="B2332" t="inlineStr">
        <is>
          <t>Post Stem Cell Transplant: When does it get much better?</t>
        </is>
      </c>
      <c r="C2332" t="inlineStr">
        <is>
          <t>I had a auto stem cell transplant almost two years ago as part of a cancer treatment. The process went fairly well but I had a couple days in the ICU where I had a fever and they tried to track down an infection but no lasting damage from that as far as I was told.
I am able to work an office job and go for fairly long walks but I feel fatigued a lot of the time and really want to get back to normal physical activity.
I just had a heart stress test, echo-cardio gram resting then one right after being on a treadmill, and that was fine. Today I am very fatigued, likely from the test.
Any fellow transplant survivors who can weigh in with their experiences?
Thanks.</t>
        </is>
      </c>
      <c r="D2332" t="n">
        <v>3</v>
      </c>
      <c r="E2332" t="n">
        <v>6</v>
      </c>
      <c r="F2332">
        <f>HYPERLINK("https://www.reddit.com/r/cancer/comments/bnisbi/post_stem_cell_transplant_when_does_it_get_much/")</f>
        <v/>
      </c>
      <c r="G2332" t="inlineStr">
        <is>
          <t>2019-05-11 17:00:47</t>
        </is>
      </c>
      <c r="H2332" t="inlineStr"/>
    </row>
    <row r="2333">
      <c r="A2333" t="inlineStr">
        <is>
          <t>bnje30</t>
        </is>
      </c>
      <c r="B2333" t="inlineStr">
        <is>
          <t>Had a scare, still a little confused but I think I’m ok?</t>
        </is>
      </c>
      <c r="C2333" t="inlineStr">
        <is>
          <t>I (26F) saw my dad (62M) today. He told me a week or so ago that he had a bump in his prostate and he had to get it checked out. So today we’re at my brothers house for a birthday party and he says “I have cancer”.... I was in shock, but then he goes “but it’s benign” WHAT? Supposedly the doctor explained that 20% of the mass was a benign cancer tumor? I thought cancer = malignant, and benign and malignant are two separate things. Obviously I have much to learn!
He was told that it won’t kill him or deteriorate him or anything like that, and it’s extremely extremely common at his age and he’ll be okay. I’m so grateful he’s okay, but I’m so mad that he led that and just blurted it like that. Unfortunately he has a tendency to do that
I just needed to vent. I’m thankful he’s okay, but that was a shock to the system.</t>
        </is>
      </c>
      <c r="D2333" t="n">
        <v>0</v>
      </c>
      <c r="E2333" t="n">
        <v>1</v>
      </c>
      <c r="F2333">
        <f>HYPERLINK("https://www.reddit.com/r/cancer/comments/bnje30/had_a_scare_still_a_little_confused_but_i_think/")</f>
        <v/>
      </c>
      <c r="G2333" t="inlineStr">
        <is>
          <t>2019-05-11 18:04:05</t>
        </is>
      </c>
      <c r="H2333" t="inlineStr"/>
    </row>
    <row r="2334">
      <c r="A2334" t="inlineStr">
        <is>
          <t>bnk22u</t>
        </is>
      </c>
      <c r="B2334" t="inlineStr">
        <is>
          <t>Waiting for the end</t>
        </is>
      </c>
      <c r="C2334" t="inlineStr">
        <is>
          <t>My wife (27f) is in end stage brain cancer, seizures and strokes happening on a weekly basis now. Her mental capacity is so far gone I dont think my presence is comforting to her anymore. She is scared and in chronic pain. This is so incredibly painful to watch, I feel like I am just waiting for her to die. I drink now every day to numb everything out honestly that's the only way I have courage to see her in the state she is now at the hospital.
I'm not a dramatic person at all I'm very rational but this just feels like the end of the world in every fiber of my heart and soul. She deserved better than this, no one should die this way.</t>
        </is>
      </c>
      <c r="D2334" t="n">
        <v>88</v>
      </c>
      <c r="E2334" t="n">
        <v>27</v>
      </c>
      <c r="F2334">
        <f>HYPERLINK("https://www.reddit.com/r/cancer/comments/bnk22u/waiting_for_the_end/")</f>
        <v/>
      </c>
      <c r="G2334" t="inlineStr">
        <is>
          <t>2019-05-11 19:14:40</t>
        </is>
      </c>
      <c r="H2334" t="inlineStr"/>
    </row>
    <row r="2335">
      <c r="A2335" t="inlineStr">
        <is>
          <t>bnk7dj</t>
        </is>
      </c>
      <c r="B2335" t="inlineStr">
        <is>
          <t>Recent Synovial Sarcoma diagnosis. Where to go from here??</t>
        </is>
      </c>
      <c r="C2335" t="inlineStr">
        <is>
          <t>As the title says, I'm looking for some guidance. About 3 months ago now, I took my girlfriend to Urgent Care because she had been having pain in her chest for months and Dr's kept sending her home. So the urgent care Dr decided to do an MRI on her and ended up telling us she had a huge sack of fluid around her lungs which was causing the pain and she needed to go the Hospital that night to get it drained. So we go to ER to spend the night, she gets another MRI as well as a PET scan there and they tell us it's not fluid but in fact a very large mass that looks cancerous so they do a biopsy. We had to wait about 5 days to get the results but they tell us that it looks like she has Ewings Sarcoma and that they want her to start Chemo within the next 2 weeks. After that we see a surgeon to get a 2nd opinion to see if it can just be removed prior to chemo and they do another biopsy. The results came back on that one and now they tell us that it's Synovial. This was a little over a week ago and last night we ended up in the ER as this time she actually did have about 1 liter of fluid that needed to be drained. My hope in posting this was to get some feedback/info from other people who have experience/knowledge in dealing with Synovial. For reference, she is 20 and the Tumor is about 13cm by 5cm by 7cm. As of right now she is doing Hyperbaric Oxygen Therapy, and is about to start high dose vitamin C treatment as well. No chemo just yet as we are still hoping to have it removed first. Any and all information is more than appreciated</t>
        </is>
      </c>
      <c r="D2335" t="n">
        <v>6</v>
      </c>
      <c r="E2335" t="n">
        <v>8</v>
      </c>
      <c r="F2335">
        <f>HYPERLINK("https://www.reddit.com/r/cancer/comments/bnk7dj/recent_synovial_sarcoma_diagnosis_where_to_go/")</f>
        <v/>
      </c>
      <c r="G2335" t="inlineStr">
        <is>
          <t>2019-05-11 19:30:17</t>
        </is>
      </c>
      <c r="H2335" t="inlineStr"/>
    </row>
    <row r="2336">
      <c r="A2336" t="inlineStr">
        <is>
          <t>bnk8ji</t>
        </is>
      </c>
      <c r="B2336" t="inlineStr">
        <is>
          <t>My twin brother passed away from neuroblastoma, why didn't I get the cancer as well?</t>
        </is>
      </c>
      <c r="C2336" t="inlineStr">
        <is>
          <t>My twin brother passed away when we were only six years old. Despite being in a constant state of depression for my entire life since then, I can't help but wonder why I didn't get the symptoms either. However, I do have nerve problems such as twitching, restless leg syndrome, and being left handed in some aspects and right handed.</t>
        </is>
      </c>
      <c r="D2336" t="n">
        <v>4</v>
      </c>
      <c r="E2336" t="n">
        <v>4</v>
      </c>
      <c r="F2336">
        <f>HYPERLINK("https://www.reddit.com/r/cancer/comments/bnk8ji/my_twin_brother_passed_away_from_neuroblastoma/")</f>
        <v/>
      </c>
      <c r="G2336" t="inlineStr">
        <is>
          <t>2019-05-11 19:33:37</t>
        </is>
      </c>
      <c r="H2336" t="inlineStr"/>
    </row>
    <row r="2337">
      <c r="A2337" t="inlineStr">
        <is>
          <t>bnlp2p</t>
        </is>
      </c>
      <c r="B2337" t="inlineStr">
        <is>
          <t>Lost</t>
        </is>
      </c>
      <c r="C2337" t="inlineStr">
        <is>
          <t>About 5 years ago, I was on my way to work. Mom called me and told me she had cancer. They found a lump in her tounge. I remember stopping the car, getting off the phone and calling my sister in tears. 
   A few weeks later she had surgery that removed a dime sized piece of her tounge. Followed my 35ish radiation treatments. I remember asking why no chemo. The doctors had some reason I guess, as my parents didn't question them. For 5 years she was pronounced free from cancer. 
     Then, this last October, Mom and Dad sat me down to tell me her cancer was back and they were going to have to do a very extensive surgery. Something to do with "flap". They removed most of her tounge, part of her jaw, then used body tissue to fix the throat area. She was left with a tracheotomy tube and feeding tube ( for the record, NEVER smoked a single day of her life, she thought it was disgusting). She was going to therapy to learn to swallow and talk again. She was doing great. Was in good spirits. Then, one day, she and dad set me down again to tell me it's back once again. Only this time doctors are telling us there is nothing left to do. I remember the Doctor saying he is pretty sure it was caused by the previous radiation treatment. Fuck I was so angry. 
    So here I sit, Mothers Day and I feel lost. I dont know what to do for her. She sleeps 90% of the day and cant talk, her tounge and throat ravaged by cancer. I kiss her and tell her I love her every day, but, all I can feel is anger. Not at her. At life, why such a great woman has to go through this. Why, she wint get to see my only child and her only Grandson grow up. Right now her only goal is to make it to his 1st Birthday the 30th of this month.
   I. Just, feel. Lost.</t>
        </is>
      </c>
      <c r="D2337" t="n">
        <v>5</v>
      </c>
      <c r="E2337" t="n">
        <v>6</v>
      </c>
      <c r="F2337">
        <f>HYPERLINK("https://www.reddit.com/r/cancer/comments/bnlp2p/lost/")</f>
        <v/>
      </c>
      <c r="G2337" t="inlineStr">
        <is>
          <t>2019-05-11 22:34:28</t>
        </is>
      </c>
      <c r="H2337" t="inlineStr"/>
    </row>
    <row r="2338">
      <c r="A2338" t="inlineStr">
        <is>
          <t>bnlrgt</t>
        </is>
      </c>
      <c r="B2338" t="inlineStr">
        <is>
          <t>Advice on being there for someone suffering from chemo dark thoughts and depression</t>
        </is>
      </c>
      <c r="C2338" t="inlineStr">
        <is>
          <t>My mom is doing her 6 rounds of chemo for breast cancer, there is a lot of hope and it had only gone to one lymph node. Her first 3 rounds were fine (FEC) and then the next 3 will be (D) and the first D was brutal and she had to have immune boosting needles for it. If anyone has gone through the D then advice greatly appreciated.
Anyway i took her for Mother’s Day brunch and she was so down and depressed and said that no one understands how hard this is, and while she doesn’t want people feeling sorry for her, she wants people to validate and understand how difficult this is. She said she wants to crawl in a hole and die. And is starting to think “what’s the point, if it can come back”
She also said if it has to be 1 in 8 women then she’ll gladly take it so 8 of her loved ones don’t have to. She’s remained positive so far but today she was so so so down. It’s summer here and beautiful, I feel like my life is so wonderful but I can’t stand the thought of accidentally rubbing it in to her. I feel so helpless, someone please tell me how to be there and uplift and encourage someone when it gets really bad....she’s so close to being done</t>
        </is>
      </c>
      <c r="D2338" t="n">
        <v>3</v>
      </c>
      <c r="E2338" t="n">
        <v>7</v>
      </c>
      <c r="F2338">
        <f>HYPERLINK("https://www.reddit.com/r/cancer/comments/bnlrgt/advice_on_being_there_for_someone_suffering_from/")</f>
        <v/>
      </c>
      <c r="G2338" t="inlineStr">
        <is>
          <t>2019-05-11 22:44:09</t>
        </is>
      </c>
      <c r="H2338" t="inlineStr"/>
    </row>
    <row r="2339">
      <c r="A2339" t="inlineStr">
        <is>
          <t>bnny4o</t>
        </is>
      </c>
      <c r="B2339" t="inlineStr">
        <is>
          <t>Looking for meal ideas for someone finding it extremely painful to chew food</t>
        </is>
      </c>
      <c r="C2339" t="inlineStr">
        <is>
          <t>My dad is about to start radiation but is already struggling to chew any food and is losing weight fast. Does anyone have any ideas on what meals I can make for him please? I'm in Australia if that makes a difference</t>
        </is>
      </c>
      <c r="D2339" t="n">
        <v>2</v>
      </c>
      <c r="E2339" t="n">
        <v>14</v>
      </c>
      <c r="F2339">
        <f>HYPERLINK("https://www.reddit.com/r/cancer/comments/bnny4o/looking_for_meal_ideas_for_someone_finding_it/")</f>
        <v/>
      </c>
      <c r="G2339" t="inlineStr">
        <is>
          <t>2019-05-12 04:22:37</t>
        </is>
      </c>
      <c r="H2339" t="inlineStr"/>
    </row>
    <row r="2340">
      <c r="A2340" t="inlineStr">
        <is>
          <t>bnq8ic</t>
        </is>
      </c>
      <c r="B2340" t="inlineStr">
        <is>
          <t>Kidney removal recovery question.</t>
        </is>
      </c>
      <c r="C2340" t="inlineStr">
        <is>
          <t>What can I expect within the first month of recovery as far as getting around and moving?</t>
        </is>
      </c>
      <c r="D2340" t="n">
        <v>3</v>
      </c>
      <c r="E2340" t="n">
        <v>3</v>
      </c>
      <c r="F2340">
        <f>HYPERLINK("https://www.reddit.com/r/cancer/comments/bnq8ic/kidney_removal_recovery_question/")</f>
        <v/>
      </c>
      <c r="G2340" t="inlineStr">
        <is>
          <t>2019-05-12 08:36:01</t>
        </is>
      </c>
      <c r="H2340" t="inlineStr"/>
    </row>
    <row r="2341">
      <c r="A2341" t="inlineStr">
        <is>
          <t>bnqbz6</t>
        </is>
      </c>
      <c r="B2341" t="inlineStr">
        <is>
          <t>Possible metasis for my mom 55yo advice</t>
        </is>
      </c>
      <c r="C2341" t="inlineStr">
        <is>
          <t>Hi, my mom was in perfectly good health (she was a housekeeper) and only 3-4 weeks ago she start suffering from extreme back pain, to the point she couldn't walk. We had to take her to the the ER ~1week ago because she collapsed on the floor at our house and had to call ambulance. She was saying she thought it was "spasms in her back". So she was put on tramadol, methylprednisolone, ibuprofen, cyclobenzaprine.
Anyway, she had a doctor's appointment this past Friday and the doctor gave her a prognosis of "possible metastasis". Apparently she has some back fractures. I'm really mad at myself, I wasn't able to go to the appointment with her, my father did , but he is older and they had questions they didn't ask (they kind of rely on me and my brother). I believe they did a biopsy and she has an appointment with the Oncologist this Tuesday or so.
Can anyone give me any advice? Should we seek a 2nd doctor's opinion no matter what? Is it normal she was in perfectly good health just 3 weeks ago and now can't even walk? She had MRIs and mammograms before and they never found any tumors anywhere? Wouldn't metastasis imply the cancer has spread from some other part of the body, which would mean she was living with this with quite some time? 
I would absolutely appreciate any type of help. I know alot of people on this Reddit our experiencing alot of.pain and my heart goes out to them. I know I may have to just wait for the oncologist to get some answers, but we were sitting her with anxiety and thought I could get some help from Reddit. Thanks</t>
        </is>
      </c>
      <c r="D2341" t="n">
        <v>13</v>
      </c>
      <c r="E2341" t="n">
        <v>8</v>
      </c>
      <c r="F2341">
        <f>HYPERLINK("https://www.reddit.com/r/cancer/comments/bnqbz6/possible_metasis_for_my_mom_55yo_advice/")</f>
        <v/>
      </c>
      <c r="G2341" t="inlineStr">
        <is>
          <t>2019-05-12 08:44:46</t>
        </is>
      </c>
      <c r="H2341" t="inlineStr"/>
    </row>
    <row r="2342">
      <c r="A2342" t="inlineStr">
        <is>
          <t>bnqg16</t>
        </is>
      </c>
      <c r="B2342" t="inlineStr">
        <is>
          <t>I may contract penile cancer</t>
        </is>
      </c>
      <c r="C2342" t="inlineStr">
        <is>
          <t>I had this one mole on my male genitalia for a long time. Every time it was removed, it grew back. This troubled me because a few members of my family had penile cancer. I have to check it every few months because there is a large chance that I will develop cancer in the future. Anybody know any signs that come with penile cancer?</t>
        </is>
      </c>
      <c r="D2342" t="n">
        <v>0</v>
      </c>
      <c r="E2342" t="n">
        <v>0</v>
      </c>
      <c r="F2342">
        <f>HYPERLINK("https://www.reddit.com/r/cancer/comments/bnqg16/i_may_contract_penile_cancer/")</f>
        <v/>
      </c>
      <c r="G2342" t="inlineStr">
        <is>
          <t>2019-05-12 08:54:50</t>
        </is>
      </c>
      <c r="H2342" t="inlineStr"/>
    </row>
    <row r="2343">
      <c r="A2343" t="inlineStr">
        <is>
          <t>bnrmmk</t>
        </is>
      </c>
      <c r="B2343" t="inlineStr">
        <is>
          <t>Just Lost my Sister To Breast Cancer</t>
        </is>
      </c>
      <c r="C2343" t="inlineStr">
        <is>
          <t>Just lost my sister to breast cancer who was 31 and had 3 kids and a loving husband. I miss her so much. She was my best friend and I just want her back.</t>
        </is>
      </c>
      <c r="D2343" t="n">
        <v>13</v>
      </c>
      <c r="E2343" t="n">
        <v>5</v>
      </c>
      <c r="F2343">
        <f>HYPERLINK("https://www.reddit.com/r/cancer/comments/bnrmmk/just_lost_my_sister_to_breast_cancer/")</f>
        <v/>
      </c>
      <c r="G2343" t="inlineStr">
        <is>
          <t>2019-05-12 10:35:19</t>
        </is>
      </c>
      <c r="H2343" t="inlineStr"/>
    </row>
    <row r="2344">
      <c r="A2344" t="inlineStr">
        <is>
          <t>bnsui0</t>
        </is>
      </c>
      <c r="B2344" t="inlineStr">
        <is>
          <t>Cancer is giving me the opportunity to leave the way I want to.</t>
        </is>
      </c>
      <c r="C2344" t="inlineStr">
        <is>
          <t>I'm very close to my family and we share everything, the good, the bad and right now the awful.
This has enabled my wife and children to plan and arrange things for me that will give them a lasting memory.  Yesterday, my eldest daughter, 15 years old put more than 50 questions about my life into a hat.  I then sat in front of a camera and with them all in the room, read the question and answered them.
It was such a beautiful thing to do and a memory that I know will be with them for a lifetime.  They have more things like this planned but right now, they're keeping it a secret.
It's given us a short period of time to shape the way I leave and that is a real treat.</t>
        </is>
      </c>
      <c r="D2344" t="n">
        <v>154</v>
      </c>
      <c r="E2344" t="n">
        <v>29</v>
      </c>
      <c r="F2344">
        <f>HYPERLINK("https://www.reddit.com/r/cancer/comments/bnsui0/cancer_is_giving_me_the_opportunity_to_leave_the/")</f>
        <v/>
      </c>
      <c r="G2344" t="inlineStr">
        <is>
          <t>2019-05-12 12:15:06</t>
        </is>
      </c>
      <c r="H2344" t="inlineStr"/>
    </row>
    <row r="2345">
      <c r="A2345" t="inlineStr">
        <is>
          <t>bntd7v</t>
        </is>
      </c>
      <c r="B2345" t="inlineStr">
        <is>
          <t>How to deal with giving up hobbies?</t>
        </is>
      </c>
      <c r="C2345" t="inlineStr">
        <is>
          <t>My cancer has progressed, I no longer have the strength to really push down pedals to do simracing, I'd need a $200 upgrade in pedals to be able to continue and we cannot swing that. How do I deal with losing the thing that's keeping normalcy and a reason for struggling each day? My family is my rock, but simracing is my escape, and as of today I don't believe I can continue.  Have any of you lost your hobbies? How did you cope? This was my stabalization, it seems like such a stupid thing but it was my one normal thing that existed in my life even with being sick.</t>
        </is>
      </c>
      <c r="D2345" t="n">
        <v>6</v>
      </c>
      <c r="E2345" t="n">
        <v>19</v>
      </c>
      <c r="F2345">
        <f>HYPERLINK("https://www.reddit.com/r/cancer/comments/bntd7v/how_to_deal_with_giving_up_hobbies/")</f>
        <v/>
      </c>
      <c r="G2345" t="inlineStr">
        <is>
          <t>2019-05-12 12:56:17</t>
        </is>
      </c>
      <c r="H2345" t="inlineStr"/>
    </row>
    <row r="2346">
      <c r="A2346" t="inlineStr">
        <is>
          <t>bnv7yv</t>
        </is>
      </c>
      <c r="B2346" t="inlineStr">
        <is>
          <t>Juul and Lung Cancer</t>
        </is>
      </c>
      <c r="C2346" t="inlineStr">
        <is>
          <t>Hey all... made the switch to Juul and have been “Juuling” for a little over a year. I was wondering what the risk is of worsening any pre existing damage to the lungs is.
Thank you.</t>
        </is>
      </c>
      <c r="D2346" t="n">
        <v>0</v>
      </c>
      <c r="E2346" t="n">
        <v>0</v>
      </c>
      <c r="F2346">
        <f>HYPERLINK("https://www.reddit.com/r/cancer/comments/bnv7yv/juul_and_lung_cancer/")</f>
        <v/>
      </c>
      <c r="G2346" t="inlineStr">
        <is>
          <t>2019-05-12 15:40:58</t>
        </is>
      </c>
      <c r="H2346" t="inlineStr"/>
    </row>
    <row r="2347">
      <c r="A2347" t="inlineStr">
        <is>
          <t>bnvpsi</t>
        </is>
      </c>
      <c r="B2347" t="inlineStr">
        <is>
          <t>I have endometrial cancer</t>
        </is>
      </c>
      <c r="C2347" t="inlineStr">
        <is>
          <t>I’m 42 and I was just diagnosed with endometrial cancer. I feel like I’ve gone a gamut of emotions, fear, sorrow, shock, anger, and grief. I just found out Wednesday and I think I’m coping ok. Mainly I’m trying to stay positive but I feel depression creeping in. I’ve been doing my best to stay occupied but I can still feeling it creep in. 
I have to say I’m in total disbelief and I can’t believe that the parts of my body that could give life could kill me. My husband and I were trying for children so that is now not an option anymore. My doctor told me I would most likely have to consider a hysterectomy. 
I feel kinda scared but mostly numb but anxious. One minute I think I’m fine but then other things kinda pop into my head like will I have to chemo and should I think about a will and what about my husband. I know I have a lot of support, but I kinda feel like will I ever feel ok again? I’m not sure why I’m posting, I guess I just wanted to know if anyone going through this has experienced the same type of feelings.  
I’ve spent 2 days crying my eyes out and I feel like I might have come to accept it. I think the hardest part of this is how I feel like I will never be the same after this. that one sentence shattered me in ways I never thought i could be shattered and I’m trying to make the pieces fit beck together.</t>
        </is>
      </c>
      <c r="D2347" t="n">
        <v>8</v>
      </c>
      <c r="E2347" t="n">
        <v>13</v>
      </c>
      <c r="F2347">
        <f>HYPERLINK("https://www.reddit.com/r/cancer/comments/bnvpsi/i_have_endometrial_cancer/")</f>
        <v/>
      </c>
      <c r="G2347" t="inlineStr">
        <is>
          <t>2019-05-12 16:29:16</t>
        </is>
      </c>
      <c r="H2347" t="inlineStr"/>
    </row>
    <row r="2348">
      <c r="A2348" t="inlineStr">
        <is>
          <t>bnw38u</t>
        </is>
      </c>
      <c r="B2348" t="inlineStr">
        <is>
          <t>Brain Cancer (stage IV)</t>
        </is>
      </c>
      <c r="C2348" t="inlineStr">
        <is>
          <t>Hi everyone, here's the situation: my mother's been through surgery and chemo for a cancer that started in her ovaries and spread to the inside of the abdomen about 2 years ago. Early April she had to have a tumor removed from the right side parietal lobe of the brain. One tumor was removed, one was a tumor they couldn't get to safely. Having mostly recovered from surgery, the oncologist had her do chemo 5 days ago. This chemo is a blend of the first drug she's had before and a new drug that supposedly targets brain tumors.
So even today she is extremely sluggish, appears slightly dehydrated, and getting her to eat has been difficult. The last time she did chemo, she would feel worse on the 3rd day after treatment, then would resume fairly normal activities until she got sick from the next chemo treatment. Then the cycle would start all over again. 
This new treatment seems to be messing her up way more. Idk what to really do, honestly. 
So what should someone expect with chemo targeted for brain tumors? Also, what's to be expected when she starts the gamma radiation treatment?
If you read all of that thank you very much, and any response is greatly appreciated!</t>
        </is>
      </c>
      <c r="D2348" t="n">
        <v>5</v>
      </c>
      <c r="E2348" t="n">
        <v>8</v>
      </c>
      <c r="F2348">
        <f>HYPERLINK("https://www.reddit.com/r/cancer/comments/bnw38u/brain_cancer_stage_iv/")</f>
        <v/>
      </c>
      <c r="G2348" t="inlineStr">
        <is>
          <t>2019-05-12 17:07:49</t>
        </is>
      </c>
      <c r="H2348" t="inlineStr"/>
    </row>
    <row r="2349">
      <c r="A2349" t="inlineStr">
        <is>
          <t>bnwcml</t>
        </is>
      </c>
      <c r="B2349" t="inlineStr">
        <is>
          <t>Starting chemo soon - Leiomyosarcoma acting up</t>
        </is>
      </c>
      <c r="C2349" t="inlineStr">
        <is>
          <t>Hey all. I was diagnosed with LMS in June 2016. Had a full hysterectomy as it was attached to my uterus. The first surgery was by my hometown, but when the oncologist found out it wasn't a fibroid, I decided to move my treatment to Sloan Kettering. Also being told 'once it hits your lungs you're dead' makes you not want to work with that doctor.
For 2 years there was NED. Then in August small spots showed on my lungs. Good news there is they have not grown since my last scan and are still too small to even biopsy. I am on a hormone suppressor and it looks like it's working. 
In February I was having abdominal pain. Like someone was squeezing my intestines together. I had an endoscopy done at MSK and while they were in there they found a mass and removed it. It was the same type of cancer. More good news was I felt great pretty much the minute it was out. 
Now I have an angry pelvic lymph node. It's the only spot, my scan was Thursday. My two doctors are torn on surgery first or chemo first and I'm being presented to a tumor board on Thursday. Apparently LMS going to the lymph node is rare. I think I just want to do the chemo first, but I'm scared. 
I'm 39, female, overweight but not obese. I wish I was in better shape for this, but between the abdominal pain, then fracturing my fibula, I haven't been able to work out in ages. 
Just wanted to post and maybe see if anyone has dealt with similar situations. Love to all that are fighting!</t>
        </is>
      </c>
      <c r="D2349" t="n">
        <v>5</v>
      </c>
      <c r="E2349" t="n">
        <v>3</v>
      </c>
      <c r="F2349">
        <f>HYPERLINK("https://www.reddit.com/r/cancer/comments/bnwcml/starting_chemo_soon_leiomyosarcoma_acting_up/")</f>
        <v/>
      </c>
      <c r="G2349" t="inlineStr">
        <is>
          <t>2019-05-12 17:33:58</t>
        </is>
      </c>
      <c r="H2349" t="inlineStr"/>
    </row>
    <row r="2350">
      <c r="A2350" t="inlineStr">
        <is>
          <t>bnwet9</t>
        </is>
      </c>
      <c r="B2350" t="inlineStr">
        <is>
          <t>Slurred speech w/ stage 4 lung cancer metasized into brain.</t>
        </is>
      </c>
      <c r="C2350" t="inlineStr">
        <is>
          <t>I made a post a couple weeks ago about my mother in law who has stage 4 lung cancer which metasized to her brain. She successfully completed her radiation and is on chemo now, she gets a chemo treatment every three weeks. 
She was diagnosed back in March. She has lost a lot of her hair already but her speech has gotten so bad. It’s really slurred and she won’t speak much now as she is wicked self conscious about it. She gets depressed, frustrated and gets even more frustrated from her frustration. 
What can we do as a family to alleviate this? Speech therapy?</t>
        </is>
      </c>
      <c r="D2350" t="n">
        <v>6</v>
      </c>
      <c r="E2350" t="n">
        <v>3</v>
      </c>
      <c r="F2350">
        <f>HYPERLINK("https://www.reddit.com/r/cancer/comments/bnwet9/slurred_speech_w_stage_4_lung_cancer_metasized/")</f>
        <v/>
      </c>
      <c r="G2350" t="inlineStr">
        <is>
          <t>2019-05-12 17:40:02</t>
        </is>
      </c>
      <c r="H2350" t="inlineStr"/>
    </row>
    <row r="2351">
      <c r="A2351" t="inlineStr">
        <is>
          <t>bnxbc8</t>
        </is>
      </c>
      <c r="B2351" t="inlineStr">
        <is>
          <t>Scared of PET scans?</t>
        </is>
      </c>
      <c r="C2351" t="inlineStr">
        <is>
          <t>Hi everyone! I have Hodgkin’s lymphoma, and I’ve just finished two cycles of chemo, so now I need to have a PET scan. 
I am terrified of being trapped, and I started crying (the kind tech had to dab away my tears hahaha) as I was being moved under the machine for my first PET scan pre-diagnosis. And then after I left the office, I cried for like 20 minutes and was very shaken up. It might be irrational but anticipating more scans has been a really horrible anxiety of mine.  
Does anyone have any tips/suggestions on dealing with this fear? I still have a few days till mine and my stomach is already in knots. I’d appreciate anything. Thank you. 💕</t>
        </is>
      </c>
      <c r="D2351" t="n">
        <v>3</v>
      </c>
      <c r="E2351" t="n">
        <v>6</v>
      </c>
      <c r="F2351">
        <f>HYPERLINK("https://www.reddit.com/r/cancer/comments/bnxbc8/scared_of_pet_scans/")</f>
        <v/>
      </c>
      <c r="G2351" t="inlineStr">
        <is>
          <t>2019-05-12 19:10:23</t>
        </is>
      </c>
      <c r="H2351" t="inlineStr"/>
    </row>
    <row r="2352">
      <c r="A2352" t="inlineStr">
        <is>
          <t>bnxvci</t>
        </is>
      </c>
      <c r="B2352" t="inlineStr">
        <is>
          <t>Care-kit for radiation treatment?</t>
        </is>
      </c>
      <c r="C2352" t="inlineStr">
        <is>
          <t>Hi everyone, my step mom was diagnosed with colon cancer right before Christmas and its been a long battle since, but next weekend is her last chemo treatment! This summer shes starting radiation where she’ll be driving into Boston every day for treatment, and I really wanted to put together a “care-kit” for her for Mother’s day. I was wondering if anyone has ideas or suggestions for things I could put together that might help make the process a little more comfortable for her! I really just wanna show her that I love and appreciate her so much. 
(i’d buy her the world if I could but unfortunately i’m a broke college kid so I’m hopefully looking for some reasonably priced ideas!)
Thank you all in advance (:</t>
        </is>
      </c>
      <c r="D2352" t="n">
        <v>1</v>
      </c>
      <c r="E2352" t="n">
        <v>0</v>
      </c>
      <c r="F2352">
        <f>HYPERLINK("https://www.reddit.com/r/cancer/comments/bnxvci/carekit_for_radiation_treatment/")</f>
        <v/>
      </c>
      <c r="G2352" t="inlineStr">
        <is>
          <t>2019-05-12 19:57:03</t>
        </is>
      </c>
      <c r="H2352" t="inlineStr"/>
    </row>
    <row r="2353">
      <c r="A2353" t="inlineStr">
        <is>
          <t>bnz0ml</t>
        </is>
      </c>
      <c r="B2353" t="inlineStr">
        <is>
          <t>My Girlfriend’s dad has AML. I’m seeking advice from medical professionals here who have experience treating this disease.</t>
        </is>
      </c>
      <c r="C2353" t="inlineStr">
        <is>
          <t>My girlfriends father, a 59 year old Japanese man, was diagnosed [Acute Myeloid Leukemia ](https://www.cancer.gov/types/leukemia/patient/adult-aml-treatment-pdq) back in December, and up until a few days ago he had been receiving treatment at a university hospital in Ibaraki. Unfortunately, the treatment didn’t result in remission, and he has since gone back home. 
I’m asking any medical professionals here if there are any other options available to him. We live in Tokyo, I know this city has some of the best medical facilities in the world. Maybe a different hospital can offer him something better. I don’t want to see my girlfriend lose her father. Can anyone here help?</t>
        </is>
      </c>
      <c r="D2353" t="n">
        <v>3</v>
      </c>
      <c r="E2353" t="n">
        <v>3</v>
      </c>
      <c r="F2353">
        <f>HYPERLINK("https://www.reddit.com/r/cancer/comments/bnz0ml/my_girlfriends_dad_has_aml_im_seeking_advice_from/")</f>
        <v/>
      </c>
      <c r="G2353" t="inlineStr">
        <is>
          <t>2019-05-12 21:45:58</t>
        </is>
      </c>
      <c r="H2353" t="inlineStr"/>
    </row>
    <row r="2354">
      <c r="A2354" t="inlineStr">
        <is>
          <t>bo2zp0</t>
        </is>
      </c>
      <c r="B2354" t="inlineStr">
        <is>
          <t>Grandma just diagnosed, family not supposed to know</t>
        </is>
      </c>
      <c r="C2354" t="inlineStr">
        <is>
          <t>Hey everyone,
So yesterday I found out my Grandma has cancer, the exact prognosis isn’t known yet (she’s going in for a biopsy Thursday) and things are a little crazy. She told us that it wasn’t to leave the room (meaning my mom and brother and sister are the only ones who know). This gets complicated as my uncle is estranged from both my mom and grandma (a lot of fighting over inheritance, childhood animosity, etc)
So with all that, I was wondering if anyone has been in a similar situation. My grandma can be a cold person and part of this, i believe, is about her eventually feeling vindicated because he never came to support her (because he was never told). I know I promised not to tell anyone (excepting, i suppose, people on the web), but I fear this will be the wedge that completely drives my mom and her brother apart.
Any advice or similar stories would be deeply appreciated.</t>
        </is>
      </c>
      <c r="D2354" t="n">
        <v>5</v>
      </c>
      <c r="E2354" t="n">
        <v>6</v>
      </c>
      <c r="F2354">
        <f>HYPERLINK("https://www.reddit.com/r/cancer/comments/bo2zp0/grandma_just_diagnosed_family_not_supposed_to_know/")</f>
        <v/>
      </c>
      <c r="G2354" t="inlineStr">
        <is>
          <t>2019-05-13 05:43:35</t>
        </is>
      </c>
      <c r="H2354" t="inlineStr"/>
    </row>
    <row r="2355">
      <c r="A2355" t="inlineStr">
        <is>
          <t>bo3097</t>
        </is>
      </c>
      <c r="B2355" t="inlineStr">
        <is>
          <t>HIV cancer treatment, Information &amp;amp; side effects | Online Pharmaceutical Company | Blueberrypharma</t>
        </is>
      </c>
      <c r="C2355" t="inlineStr">
        <is>
          <t>[BlueBerry Pharma](https://blueberrypharma.com/) is one of the pharmaceutical organization, which is moving forward successfully in india and maintaining the distinctive portfolio, it is provided under the scientific development team with the greater technology in health care about life protection @ Blueberry Pharmaceuticals</t>
        </is>
      </c>
      <c r="D2355" t="n">
        <v>1</v>
      </c>
      <c r="E2355" t="n">
        <v>0</v>
      </c>
      <c r="F2355">
        <f>HYPERLINK("https://www.reddit.com/r/cancer/comments/bo3097/hiv_cancer_treatment_information_side_effects/")</f>
        <v/>
      </c>
      <c r="G2355" t="inlineStr">
        <is>
          <t>2019-05-13 05:45:10</t>
        </is>
      </c>
      <c r="H2355" t="inlineStr"/>
    </row>
    <row r="2356">
      <c r="A2356" t="inlineStr">
        <is>
          <t>bo7cu3</t>
        </is>
      </c>
      <c r="B2356" t="inlineStr">
        <is>
          <t>8 weeks of cancer.</t>
        </is>
      </c>
      <c r="C2356" t="inlineStr">
        <is>
          <t>Mom was diagnosed with stage IV invasive ductal carcinoma on March 19th. Mets in her lungs, kidneys, bones, liver, brain. She went into the hospital with back pain, thinking she’d injured herself moving a bag of kitty litter. 
We tried to fight. Just to get to August, when myself and my sister would be having our first babies, her first grandchildren. 
11 radiation treatments and 2 chemo treatments later she had a fever. We went to the hospital just in case. Pneumonia, they thought. 
That was a week ago yesterday. Friday night we moved her into hospice. Yesterday I barely got to tell her happy Mother’s Day before she slipped into an Ativan and morphine sleep. Today her breathing is decidedly worse, it could be any day now. I keep telling her it’s okay to go. She’s hanging on for something. 
Fuck all of this.</t>
        </is>
      </c>
      <c r="D2356" t="n">
        <v>87</v>
      </c>
      <c r="E2356" t="n">
        <v>20</v>
      </c>
      <c r="F2356">
        <f>HYPERLINK("https://www.reddit.com/r/cancer/comments/bo7cu3/8_weeks_of_cancer/")</f>
        <v/>
      </c>
      <c r="G2356" t="inlineStr">
        <is>
          <t>2019-05-13 11:39:49</t>
        </is>
      </c>
      <c r="H2356" t="inlineStr"/>
    </row>
    <row r="2357">
      <c r="A2357" t="inlineStr">
        <is>
          <t>bo7fbz</t>
        </is>
      </c>
      <c r="B2357" t="inlineStr">
        <is>
          <t>Curious about Fenbendazole, promising drug or not enough data?</t>
        </is>
      </c>
      <c r="C2357" t="inlineStr">
        <is>
          <t>I have stage iv metastatic breast cancer.  I have had 3 treatments fail in under a year.  I feel like I'm running out of options and am getting desperate. 
For the last couple of days I have been glued to the internet researching drugs and current clinical trials.
Here is an article about a man who took medication for dog parasites and he believes it helped to cure his stage iv cancer.
https://www.odditycentral.com/news/man-claims-cheap-dog-deworming-medicine-cured-his-terminal-cancer.html
I've also found literature explaining the science behind it and it shows very promising results. 
https://www.nature.com/articles/s41598-018-30158-6?fbclid=IwAR2BWnrxYCvw4RbHmWcdUaZe7UKhnAdCPOAd2qjSJtBrsmRgNB4VphSx_i8
https://www.ncbi.nlm.nih.gov/pmc/articles/PMC2687140/?fbclid=IwAR05FIHRNTjz_wPozoQc58VXO9blC0ZsLd86LLQq4gH9kuvq42O9AqCxDXs
What are your thoughts regarding Fenbendazole? Have any of you tried it?</t>
        </is>
      </c>
      <c r="D2357" t="n">
        <v>4</v>
      </c>
      <c r="E2357" t="n">
        <v>30</v>
      </c>
      <c r="F2357">
        <f>HYPERLINK("https://www.reddit.com/r/cancer/comments/bo7fbz/curious_about_fenbendazole_promising_drug_or_not/")</f>
        <v/>
      </c>
      <c r="G2357" t="inlineStr">
        <is>
          <t>2019-05-13 11:45:16</t>
        </is>
      </c>
      <c r="H2357" t="inlineStr"/>
    </row>
    <row r="2358">
      <c r="A2358" t="inlineStr">
        <is>
          <t>bo8dbe</t>
        </is>
      </c>
      <c r="B2358" t="inlineStr">
        <is>
          <t>My pericardial drain got pulled today!</t>
        </is>
      </c>
      <c r="C2358" t="inlineStr">
        <is>
          <t>Yay 🎉🎉 🎉</t>
        </is>
      </c>
      <c r="D2358" t="n">
        <v>23</v>
      </c>
      <c r="E2358" t="n">
        <v>2</v>
      </c>
      <c r="F2358">
        <f>HYPERLINK("https://www.reddit.com/r/cancer/comments/bo8dbe/my_pericardial_drain_got_pulled_today/")</f>
        <v/>
      </c>
      <c r="G2358" t="inlineStr">
        <is>
          <t>2019-05-13 12:58:54</t>
        </is>
      </c>
      <c r="H2358" t="inlineStr"/>
    </row>
    <row r="2359">
      <c r="A2359" t="inlineStr">
        <is>
          <t>bo9dhk</t>
        </is>
      </c>
      <c r="B2359" t="inlineStr">
        <is>
          <t>Kidney cancer, I need treatment but no insurance, what to do?</t>
        </is>
      </c>
      <c r="C2359" t="inlineStr">
        <is>
          <t>I live in Virginia, USA. And because i didn’t have insurance I got my kidney removed in a different country but i need to go back to the USA and I’m going to need treatment soon since I have lung metastases.
I don’t mind traveling a few hours to a hospital as long as I stay in the USA and it’s affordable or free, I make 21k a year. 
Thanks for any help.</t>
        </is>
      </c>
      <c r="D2359" t="n">
        <v>5</v>
      </c>
      <c r="E2359" t="n">
        <v>13</v>
      </c>
      <c r="F2359">
        <f>HYPERLINK("https://www.reddit.com/r/cancer/comments/bo9dhk/kidney_cancer_i_need_treatment_but_no_insurance/")</f>
        <v/>
      </c>
      <c r="G2359" t="inlineStr">
        <is>
          <t>2019-05-13 14:16:06</t>
        </is>
      </c>
      <c r="H2359" t="inlineStr"/>
    </row>
    <row r="2360">
      <c r="A2360" t="inlineStr">
        <is>
          <t>bo9g81</t>
        </is>
      </c>
      <c r="B2360" t="inlineStr">
        <is>
          <t>Tongue cancer. Halfway through treatment</t>
        </is>
      </c>
      <c r="C2360" t="inlineStr">
        <is>
          <t>Back before Christmas kept have sore throat issues and finally my primary sent me to an ENT   Had a small tumor at the base of my tongue, basically in my throat. 
Biopsy positive for P16 squamous cell cancer. CT negative for spreading but oncologist didn’t trust the reading and ordered a PET. Small spread into left lymph node but still deemed Stage I. 
Completed 19th of 35 radiation treatments today. Chemo plan was three sessions 21 days apart. Reacted horribly so now doing smaller weekly chemo on Tuesdays and on Saturdays I vomit until I can barely stand. 
Last week had to have a PEG tube placed but can tell my weight is still falling. 
I adore the people at CARTI (Arkansas cancer clinic) they are truly caring. 
Not sure I’ve got enough gas in the tank for this but I’m trying</t>
        </is>
      </c>
      <c r="D2360" t="n">
        <v>12</v>
      </c>
      <c r="E2360" t="n">
        <v>5</v>
      </c>
      <c r="F2360">
        <f>HYPERLINK("https://www.reddit.com/r/cancer/comments/bo9g81/tongue_cancer_halfway_through_treatment/")</f>
        <v/>
      </c>
      <c r="G2360" t="inlineStr">
        <is>
          <t>2019-05-13 14:22:04</t>
        </is>
      </c>
      <c r="H2360" t="inlineStr"/>
    </row>
    <row r="2361">
      <c r="A2361" t="inlineStr">
        <is>
          <t>bo9wzt</t>
        </is>
      </c>
      <c r="B2361" t="inlineStr">
        <is>
          <t>A list of questions for an end of life interview.</t>
        </is>
      </c>
      <c r="C2361" t="inlineStr">
        <is>
          <t>My 15 year old daughter planned and ran a video of me reading and answering questions about my life.  There were so many wonderful moments to this so I asked if I could post them here to help others and she's really pleased to help.
&amp;amp;#x200B;
These questions are personal to me, and as you read through them, the immature pop culture obsessed person I am.  I play drums in a band so I love my music.  I love monster movies and science fiction, cooking and eating.  Therefore, use these as a start then modify to make them more personal as not everyone will want to decide whether Godzilla is better or worse than Super 8, Alien, etc!  (I will not say what my pick is!)
&amp;amp;#x200B;
**The way this ran was as follows:**
1. Print the questions onto paper and then slice them up
2. Place them, folded into a hat, bowl or whatever else makes sense on a table next to where you feel comfortable making the video
3. Put the camera on a tripod, we used a phone as the camera is really good but that's up to personal choice.  Just make sure the lighting is OK!
4. Have the family there as you read and answer the questions.  Their responses are as much a part of this as your own
5. Take breaks if you need to as it can always be edited together later
6. Press the record button!
7. Start with asking what you are doing and in this case, my daughter said we are asking questions about my life so they have something permanent to remember me by.
8. Start by taking a question out of the hat, unfolding it, read the question and give your best answer.  Keep going until they are all gone
9. You will need tissues and a glass of water as at times it got very emotional - and that is wonderful.
10. Most importantly, enjoy it.  We did.
&amp;amp;#x200B;
**So, here are the questions:**
&amp;amp;#x200B;
What is your favourite memory?
What is the first song that comes to you mind right now?
Who was your favourite band/singer when you were a kid?
What is your favourite piece of artwork?
What piece of artwork are you most proud of that you created?
What is your favourite meal?
Favourite album?
Favourite style of music?
Favourite colour?
What are some of your favourite family jokes?
What are some of your favourite family memories?
What is your favourite restaurant? 
Favourite animal? 
Where was your favourite place that you traveled to?
Who was the weirdest person you ever met?
If you could learn any new skill what, would it be and why?
Favourite movie series?
Top 5 favourite movies?
If you could play any other instrument what would it be?
Greatest life accomplishment?
What was your first apartment like?
Favourite childhood memory? 
What is your earliest memory
What was your favourite meal you have had while overseas?
Favourite book and why?
Favourite fictional character?
Favourite monster movie?
Favourite zombie movie?
Funniest joke you’ve heard?
What is your best piece of advice? 
Favourite historic event?
Favourite planet?
Favourite superhero and why?
What are your wishes for each of us? 
What are your funniest memories?
Do you remember the time we had pretzels and Nutella?
What are you two cooking tips?</t>
        </is>
      </c>
      <c r="D2361" t="n">
        <v>54</v>
      </c>
      <c r="E2361" t="n">
        <v>2</v>
      </c>
      <c r="F2361">
        <f>HYPERLINK("https://www.reddit.com/r/cancer/comments/bo9wzt/a_list_of_questions_for_an_end_of_life_interview/")</f>
        <v/>
      </c>
      <c r="G2361" t="inlineStr">
        <is>
          <t>2019-05-13 14:59:25</t>
        </is>
      </c>
      <c r="H2361" t="inlineStr"/>
    </row>
    <row r="2362">
      <c r="A2362" t="inlineStr">
        <is>
          <t>boaybf</t>
        </is>
      </c>
      <c r="B2362" t="inlineStr">
        <is>
          <t>Cholangiocarcinoma help.</t>
        </is>
      </c>
      <c r="C2362" t="inlineStr">
        <is>
          <t>My aunt has been diagnosed with bile duct cancer. After being put through a whirlwind of different crap, 
Today she was told it was stage 3 “or” 4 and is inoperable. 
I’m hoping to find a specialist on this specific cancer within Canada. It doesn’t matter where or how far away, I just want to find someone who might specialize in this. 
Any help or advice would be greatly appreciated. 
Thank you.</t>
        </is>
      </c>
      <c r="D2362" t="n">
        <v>4</v>
      </c>
      <c r="E2362" t="n">
        <v>3</v>
      </c>
      <c r="F2362">
        <f>HYPERLINK("https://www.reddit.com/r/cancer/comments/boaybf/cholangiocarcinoma_help/")</f>
        <v/>
      </c>
      <c r="G2362" t="inlineStr">
        <is>
          <t>2019-05-13 16:27:03</t>
        </is>
      </c>
      <c r="H2362" t="inlineStr"/>
    </row>
    <row r="2363">
      <c r="A2363" t="inlineStr">
        <is>
          <t>bobjed</t>
        </is>
      </c>
      <c r="B2363" t="inlineStr">
        <is>
          <t>A little understanding and support: Cervical Cancer</t>
        </is>
      </c>
      <c r="C2363" t="inlineStr">
        <is>
          <t>A bit of history; 
-Nov 2015 received abnormal pap
-Dec 2015 colposcopy and biopsies
-Jan 2016 confirmation of stage 1 Cervical cancer HPV 16 &amp;amp; 18 positive 
-Feb 2016 total hysterectomy 
3 month check in’s for the first year, every 6 months thereafter.
-February 2018 pap came back abnormal again with HPV 16 &amp;amp; 18 still positive. Told to wait a full year to see if things clear up naturally. 
-April 2019 full pap, blood screening and physical. Noticed enlarged thyroid. 
-May 2019 abnormal pap, markers for high grade dysplasia, HPV negative. 
I have an appointment on June 10th for a colposcopy and biopsy of the area. Treatment to be discussed as necessary. 
So here’s the thing. I’m positively terrified. I’m 32 years old. I’ve already had the screaming reality of mortality casually brought to my attention 3 years ago. Whether curable or not, if someone gives you a bowl of 100 skittles, but one of those skittles will guarantee absolute death, would your mind not be running constant laps of anxiety being forced to choose?
I understand this could be treated, could be nothing, or could also be everything. Was already told the first time that there was a 22% chance of it reoccurring elsewhere in my body. I opted for the full hysterectomy as the risk lowered to 8%. 
My friends and family are always positive, looking on the bright side of things. But it makes me feel that my concerns are not heard and are just swept under the rug as if they don’t matter. I appreciate them looking on the bright wide, but I don’t feel anyone is willing to scream into the void with me that this is something I may have to go through again. The fear is real! I cannot ignore it! 
I have no control of what my body is doing, but what I do have is control of every possible scenario that may follow. Why do people only choose to console me by focusing on the positive outcome, there’s an equal possibility that I’ll need to go through treatment again, and I went to be prepared for that. 
I’m angry and I’m frustrated. Just because you blanket my fear doesn’t mean that it’s disappeared. It’s still there. But now I’m left to be scared alone, cause no one else wants to crawl under this blanket with me and let me cry it out. Voice my fears. Hug me and understand why I’m an emotional wreck right now. I need to process what is happening and not just ignore it until it’s confirmed. 
It sucks to have to train my friends and family to  support me the ways I need it. I don’t want “oh you’ll be fine” or the “you’re worrying about something you have no control over” it’s dismissive and it hurts to have my concerns and pain disregarded as if they’re not valid right now. They’re angry with me for not being a positive rainbow shitting sunshine out my ass. They insist on redirecting my feelings to those only positive in nature. 
I feel I’m not allowed to be scared. 
And that scares me even more.</t>
        </is>
      </c>
      <c r="D2363" t="n">
        <v>7</v>
      </c>
      <c r="E2363" t="n">
        <v>11</v>
      </c>
      <c r="F2363">
        <f>HYPERLINK("https://www.reddit.com/r/cancer/comments/bobjed/a_little_understanding_and_support_cervical_cancer/")</f>
        <v/>
      </c>
      <c r="G2363" t="inlineStr">
        <is>
          <t>2019-05-13 17:19:18</t>
        </is>
      </c>
      <c r="H2363" t="inlineStr"/>
    </row>
    <row r="2364">
      <c r="A2364" t="inlineStr">
        <is>
          <t>bodis1</t>
        </is>
      </c>
      <c r="B2364" t="inlineStr">
        <is>
          <t>Looking to help my mother</t>
        </is>
      </c>
      <c r="C2364" t="inlineStr">
        <is>
          <t>My mother today was given the news of having a rapidly growing tumor in her spine causing fractures and was told that as of today she will indefinitely be on disability. She has an appointment in a few days to have it checked but before that I want to jump on as much as I can to help her. What kind of things can I do to help her deal with a major loss of income like assistance if it is needed, and does the hospital give her a walker or should we buy one? Has anyone dealt with a spinal tumor before that can help give me some insight to help her feel more comfortable or techniques to help her relax so she can sleep? I'm really sorry if this is the wrong place to ask all of this I would love to know where to go. We just got over the celebration of my grandmother beating lung cancer, and this time I just wan't to be on the ball</t>
        </is>
      </c>
      <c r="D2364" t="n">
        <v>3</v>
      </c>
      <c r="E2364" t="n">
        <v>5</v>
      </c>
      <c r="F2364">
        <f>HYPERLINK("https://www.reddit.com/r/cancer/comments/bodis1/looking_to_help_my_mother/")</f>
        <v/>
      </c>
      <c r="G2364" t="inlineStr">
        <is>
          <t>2019-05-13 20:26:10</t>
        </is>
      </c>
      <c r="H2364" t="inlineStr"/>
    </row>
    <row r="2365">
      <c r="A2365" t="inlineStr">
        <is>
          <t>bodr3l</t>
        </is>
      </c>
      <c r="B2365" t="inlineStr">
        <is>
          <t>Symptom progression of stage IV sarcoma to the lung, any info appreciated. 36 yr old on hospice. Advice ? DWD to Cali? Opinions pls.</t>
        </is>
      </c>
      <c r="C2365" t="inlineStr">
        <is>
          <t>I have the worst story ever 
Oops surgery after dr watches 5cm-20+ in 3 months 
Dx stage IIIB - STS UPS/MFH left thigh 
Doxo/ifos +sutent 
Gemtax 
Radiation 
Re-section false negative margins (props dr wittig total charlatan uses pet pathologist make his success rate appear better then most surgeons)
Recurred August 2018
Gemtax again failed (doubles in size)
Salvage reirradiation (never do this) Jan 2019 
(Doubles in size to 36 x 21x 17 cm)
Given BSC and 6 months to live.
SbRT mar 2019 
Immuno mar 2019 
(given 6 months to live based on lungs) 
L HQ Amputation apr 2019 
Death probably must be soon, this is a bad line and a miserable prognosis. One more successful SbRT I could maybe get PM need to get off hospice to do so. The leg almost killed me by depleting my nutrients all my levels bounced waaaaaay back. 
Just recently had my leg amputated full HQ. I am pain free and free of cough but needing to clear my throat and spit brown sputum a lot. I was a smoker though I don’t have lung cancer from cigarettes but from spread From a UPS sarcoma in my thigh. 
I do have early onset COPD. On hospice now which is diagnostically good for nothing and pretty much just throws tons of opiates at you so I can’t see a doctor. 
Is this the beginning  of the symptomatic period of metastatic to the lung or COPD and if the former how long have those of you who have seen a loved one or have the disease will I have to severe symptoms? Is this the beginning of the end? 
I know surgery often facilitates growth in the lungs and if this is it then how fast do you think symptoms will progress. Am I beginning my symptomatic period you think? 
My last ct showed no growths above 2cm except a mediastinal lymph node that enhanced to 3cm. I have no lateral presentation but after successful SbRT I had 93% healthy lung tissue 3 weeks ago. The scans represent over all suspected progression of 8 lesions by all too small for measurement. All systems fine though high pulse and heart rate always. Bathroom normal regular healthy all other organs healthy. Think I’ll be alive for at least a few months, eating 3 meals plus snacks a day. No weight loss except my leg which was 35lbs with tumor. 
Since the surgery I had quit over 12 days in the hospital. Smoking again now but gonna go on patch as soon as hospice gives the order.  I mean honestly smoking is a crutch I lean on being a 36 year old with one missing hip/leg on hospice with a vicious disease. 
I have a slow healing wound from surgery preventing air travel aside from that I am in better control of pain but was hopeful of maybe going for SBRT again. 
Since Dx in 2017 I did and failed
doxo/ifos 
Gemtax
Sutent 
Panonziinb 
I did one cycle of immuno with keytruda and if I heal I can do this again too though not sure I would. Not a candidate for surgery due to positioning of disease. Wasn’t eligible for trials because of recurrent giant leg tumor and radiation damages. 
They are out of meaningful treatments for me outside of the immunotherapy which I did without side effects, the SBRT could also target the 2 biggest nodules again, but I have to come off hospice for any of these treatments.  Really the SbRT likely will buy me a couple months. Maybe. 
I know I’m dying but would like to either make it to August when NJ gets death with dignity or I can head for California and as long as I get the address. Already made arrangements before my affairs were in order and I can get it within 30 days and if I live longer I can go to a new place for a couple months.
This might be my best chance of avoiding the terminal part of the disease which is my goal to die well as I’ve lived well and on my own terms. My family is set for life with a business worth well I won’t say but a lot. Had another cash windfall leaving wife and 9ye old boy debt free and set for success. Rather not let cancer claim me in the worst way. Fuck that. 
What would you do? 
I’m leaning towards Cali if I heal in time. Best shot of getting DWD There quickest plus  Cali baby. 
I did just rent a handicapped apartment here in NJ though but money not being an issue I can buyout my lease or fuck off . 
Wanted to spread awareness for right to die and sarcoma as I have been doing now not sure if I’ll make it that long. I feel strong and look fine sans missing leg. If you’ve seen someone go from my subtype or even something similar please give me opinions. Not seeking medical advice I am aware nobody here is a</t>
        </is>
      </c>
      <c r="D2365" t="n">
        <v>6</v>
      </c>
      <c r="E2365" t="n">
        <v>6</v>
      </c>
      <c r="F2365">
        <f>HYPERLINK("https://www.reddit.com/r/cancer/comments/bodr3l/symptom_progression_of_stage_iv_sarcoma_to_the/")</f>
        <v/>
      </c>
      <c r="G2365" t="inlineStr">
        <is>
          <t>2019-05-13 20:50:10</t>
        </is>
      </c>
      <c r="H2365" t="inlineStr"/>
    </row>
    <row r="2366">
      <c r="A2366" t="inlineStr">
        <is>
          <t>bodtyf</t>
        </is>
      </c>
      <c r="B2366" t="inlineStr">
        <is>
          <t>Whole brain radiation—advice/stories?</t>
        </is>
      </c>
      <c r="C2366" t="inlineStr">
        <is>
          <t>What do you wish you knew before you started?
What side effects did you experience?
Did you see positive effects? 
We’re doing a 2 week course, starting tomorrow.</t>
        </is>
      </c>
      <c r="D2366" t="n">
        <v>3</v>
      </c>
      <c r="E2366" t="n">
        <v>1</v>
      </c>
      <c r="F2366">
        <f>HYPERLINK("https://www.reddit.com/r/cancer/comments/bodtyf/whole_brain_radiationadvicestories/")</f>
        <v/>
      </c>
      <c r="G2366" t="inlineStr">
        <is>
          <t>2019-05-13 20:58:57</t>
        </is>
      </c>
      <c r="H2366" t="inlineStr"/>
    </row>
    <row r="2367">
      <c r="A2367" t="inlineStr">
        <is>
          <t>bodu94</t>
        </is>
      </c>
      <c r="B2367" t="inlineStr">
        <is>
          <t>Why isn’t PET scan used as a preventive study on everyone?</t>
        </is>
      </c>
      <c r="C2367" t="inlineStr">
        <is>
          <t>I don’t know a lot about it but, having had some family members with cancer, I’ve seen them have PET scans frequently to check for new tumors.
Maybe it’s just my experience, but I feel like a lot of cancer tumors are diagnosed by chance. Like you go to check an ovarian cyst and somewhere on the studies your doctor finds out you have pancreatic cancer.  Also, when they are not diagnosed by chance and the patient went to check itself because of some pain related to its cancer, the disease is most likely to be in an advanced stage.
If every “healthy” person had a PET scan once a year, like we should have blood tests and other studies, wouldn’t it be easier to diagnose cancer tumors in a less advanced stage, making the treatment better?</t>
        </is>
      </c>
      <c r="D2367" t="n">
        <v>6</v>
      </c>
      <c r="E2367" t="n">
        <v>9</v>
      </c>
      <c r="F2367">
        <f>HYPERLINK("https://www.reddit.com/r/cancer/comments/bodu94/why_isnt_pet_scan_used_as_a_preventive_study_on/")</f>
        <v/>
      </c>
      <c r="G2367" t="inlineStr">
        <is>
          <t>2019-05-13 20:59:44</t>
        </is>
      </c>
      <c r="H2367" t="inlineStr"/>
    </row>
    <row r="2368">
      <c r="A2368" t="inlineStr">
        <is>
          <t>bofks2</t>
        </is>
      </c>
      <c r="B2368" t="inlineStr">
        <is>
          <t>Roughly how long do results for biopsies take? And how did you get through waiting on the results?</t>
        </is>
      </c>
      <c r="C2368" t="inlineStr">
        <is>
          <t>I know it can vary depending on what might be going on. I'm going in tomorrow (supposed to be Wednesday but they had a cancellation) for a biopsy on a small lump on my arm and a lesion on my leg. I've had both for a while but never did anything until recently. 
My dads side of the family seems to be prone. He passed in 97 at the age of 49, (I'm 40 now) due to colon cancer. His mom died years before because of pancreatic, my aunt, his sister within the last couple of years had a double mastectomy due to breast cancer. So needless to say I'm scared out of my fucking mind, and taking things as best I can. 
The only person who knows is my ex, I told her because she still means the world to me. I told her no matter the outcome I'll let her know when I find out. I figured if it's nothing then I can go on and not worry about telling anyone. 
I'm going into this with the positive thinking of it's just your body getting old and reminding you your younger years were hell on it, so it's nothing. On the negative side though if it is something, depending on what it is and what treatments are available, I'll be letting it run it's course. I can't go through what I saw happen to my father over those years, with both chemo and radiation, and I'd rather go out on my own terms.  Kind of selfish, but I made that decision long ago. And I know that's not what most people want to hear, but so be it lol. 
I know those days after the procedure, and the waiting on results are more then likely going to be hell on me. Any advice on how to get through the waiting?</t>
        </is>
      </c>
      <c r="D2368" t="n">
        <v>7</v>
      </c>
      <c r="E2368" t="n">
        <v>19</v>
      </c>
      <c r="F2368">
        <f>HYPERLINK("https://www.reddit.com/r/cancer/comments/bofks2/roughly_how_long_do_results_for_biopsies_take_and/")</f>
        <v/>
      </c>
      <c r="G2368" t="inlineStr">
        <is>
          <t>2019-05-14 00:16:39</t>
        </is>
      </c>
      <c r="H2368" t="inlineStr"/>
    </row>
    <row r="2369">
      <c r="A2369" t="inlineStr">
        <is>
          <t>bogdx2</t>
        </is>
      </c>
      <c r="B2369" t="inlineStr">
        <is>
          <t>Long term survivors of breast cancer, it'll be really amazing if you could tell your story</t>
        </is>
      </c>
      <c r="C2369" t="inlineStr">
        <is>
          <t>Hello r/cancer! My mother got diagnosed with stage 2A invasive ductal carcinoma, triple positive, grade 3. Life threw me and my parents a curveball when I least expected it, and, I won't lie, it's really difficult to cope up with this. It'll be really great if you strong survivors out there could tell me your story!</t>
        </is>
      </c>
      <c r="D2369" t="n">
        <v>2</v>
      </c>
      <c r="E2369" t="n">
        <v>14</v>
      </c>
      <c r="F2369">
        <f>HYPERLINK("https://www.reddit.com/r/cancer/comments/bogdx2/long_term_survivors_of_breast_cancer_itll_be/")</f>
        <v/>
      </c>
      <c r="G2369" t="inlineStr">
        <is>
          <t>2019-05-14 01:59:16</t>
        </is>
      </c>
      <c r="H2369" t="inlineStr"/>
    </row>
    <row r="2370">
      <c r="A2370" t="inlineStr">
        <is>
          <t>bohe8e</t>
        </is>
      </c>
      <c r="B2370" t="inlineStr">
        <is>
          <t>Mom passed away</t>
        </is>
      </c>
      <c r="C2370" t="inlineStr">
        <is>
          <t>My mom has been fighting multiple myeloma for a year now.
She already had a stem cell transplant in January but results said that she wasn't in full remission, so she had a second one a week ago.
But due to a weak immune system she went into septic choc. 
It was so quick.
She passed away this Sunday at 9 am after less then 24 hours in intensive care. 
I love you mom, I'm gonna miss your smile, talking to you, holding you and every little thing about you even hearing you snoring at night. 
It has been tough. 
I love you.
I didn't want to put this in the MM subreddit, didn't want to scare anyone , I just wanted to vent and to let everyone know how much I love you. 
I also wanted that anyone that will read this to think about you and say may she rest in piece. 
It's kind of a sacred thing in our culture when you wish for a deceased person to be in heaven and that God will protect her, maybe it's similar to everyone.
I love you mom, you're beauty you're kindness you're love you're courage you're hope.
نحبك أمي</t>
        </is>
      </c>
      <c r="D2370" t="n">
        <v>63</v>
      </c>
      <c r="E2370" t="n">
        <v>28</v>
      </c>
      <c r="F2370">
        <f>HYPERLINK("https://www.reddit.com/r/cancer/comments/bohe8e/mom_passed_away/")</f>
        <v/>
      </c>
      <c r="G2370" t="inlineStr">
        <is>
          <t>2019-05-14 03:57:23</t>
        </is>
      </c>
      <c r="H2370" t="inlineStr"/>
    </row>
    <row r="2371">
      <c r="A2371" t="inlineStr">
        <is>
          <t>bokpie</t>
        </is>
      </c>
      <c r="B2371" t="inlineStr">
        <is>
          <t>36/f diagnosed with low-grade malignant phyllodes tumor of the breast, beginning radiation</t>
        </is>
      </c>
      <c r="C2371" t="inlineStr">
        <is>
          <t>Hello everyone! I'm new here. As my title says, within the last two months I've been diagnosed with a borderline (low-grade) malignant phyllodes tumor of the left breast, 4 cm. I felt it in February while feeling around to try to find what I thought must be a bug bite that was causing the skin on my lower breast to be red and irritated for a couple of weeks. It shocked me - it felt big. I took myself to an urgent care at an academic hospital with a top-notch breast center and received a sonogram. They thought it must be a fibroadenoma. From there, I received a mammogram and another sonogram, the results of which sent me on to a core-needle biopsy, where I was first diagnosed with low-grade malignant phyllodes tumor.  Then, I was able to be connected with an incredible breast surgeon who removed the tumor with a wide excisional biopsy, which confirmed the core needle. Based on the research available, which is not a lot (this is an extremely rare tumor and there just aren't any comprehensive blind studies out there, doncha love having a female body??), and on my doctor's recommendation, I'll be beginning radiation therapy in a week. The grade of tumor I have shows a 20-30% risk of returning, but with radiotherapy, the research suggests that it almost eliminates that risk.
I've learned a lot about phyllodes tumors and the like over the last two months and if anyone out there is diagnosed with this, I'd love to compare notes.
I'll be doing the radiation in a prone position, meaning i'll be laying on my stomach with my breast falling down so that there is almost no risk of the radiation touching my bones or organs. 
I'm curious to know about anyone's experience with radiation, in terms of how you took care of your skin, how you felt, what surprised you, etc. I'm very anxious and I'm sure my medical team will explain a lot to me, but I felt this would be a good place to connect. 
Thank you!</t>
        </is>
      </c>
      <c r="D2371" t="n">
        <v>8</v>
      </c>
      <c r="E2371" t="n">
        <v>10</v>
      </c>
      <c r="F2371">
        <f>HYPERLINK("https://www.reddit.com/r/cancer/comments/bokpie/36f_diagnosed_with_lowgrade_malignant_phyllodes/")</f>
        <v/>
      </c>
      <c r="G2371" t="inlineStr">
        <is>
          <t>2019-05-14 08:54:39</t>
        </is>
      </c>
      <c r="H2371" t="inlineStr"/>
    </row>
    <row r="2372">
      <c r="A2372" t="inlineStr">
        <is>
          <t>bolxz9</t>
        </is>
      </c>
      <c r="B2372" t="inlineStr">
        <is>
          <t>Research Dr Sebi my friends</t>
        </is>
      </c>
      <c r="C2372" t="inlineStr">
        <is>
          <t>It will help. Trust me. ❤️</t>
        </is>
      </c>
      <c r="D2372" t="n">
        <v>0</v>
      </c>
      <c r="E2372" t="n">
        <v>4</v>
      </c>
      <c r="F2372">
        <f>HYPERLINK("https://www.reddit.com/r/cancer/comments/bolxz9/research_dr_sebi_my_friends/")</f>
        <v/>
      </c>
      <c r="G2372" t="inlineStr">
        <is>
          <t>2019-05-14 10:33:20</t>
        </is>
      </c>
      <c r="H2372" t="inlineStr"/>
    </row>
    <row r="2373">
      <c r="A2373" t="inlineStr">
        <is>
          <t>boolh9</t>
        </is>
      </c>
      <c r="B2373" t="inlineStr">
        <is>
          <t>Here we Go!</t>
        </is>
      </c>
      <c r="C2373" t="inlineStr">
        <is>
          <t>Well. I'll be gone by Christmas. My son just turned 14, my daughter will be 12 in July. I've been dealing with this for three years but the end is near for me.
My apologies, but I'm just feeling a tremendous sense of loss today.</t>
        </is>
      </c>
      <c r="D2373" t="n">
        <v>88</v>
      </c>
      <c r="E2373" t="n">
        <v>27</v>
      </c>
      <c r="F2373">
        <f>HYPERLINK("https://www.reddit.com/r/cancer/comments/boolh9/here_we_go/")</f>
        <v/>
      </c>
      <c r="G2373" t="inlineStr">
        <is>
          <t>2019-05-14 14:08:37</t>
        </is>
      </c>
      <c r="H2373" t="inlineStr"/>
    </row>
    <row r="2374">
      <c r="A2374" t="inlineStr">
        <is>
          <t>booms4</t>
        </is>
      </c>
      <c r="B2374" t="inlineStr">
        <is>
          <t>Is my partner making it all up?</t>
        </is>
      </c>
      <c r="C2374" t="inlineStr">
        <is>
          <t>Hello,
I know this sounds fucked up and I am not sure this belongs in this forum, if not I am sorry.
My Partner is still very young and told me a few months ago she has been diagnosed with a brain tumor. I was very shocked, we just had a big fight this day and since we are together we tended to have more and more fights and actually after that fight at that particular day I wanted to break up. It goes without saying I did not break up after what she told me.
Now a few months have passed, and she told me doctors said despite chemo and radiation therapy it just got a little worse and if it continues like that she will be dead in a year. Because of that I cut back at my job and stopped traveling for work under the week, to support her.
Now, a few days ago something happend that started a weird train of thoughts, and now a lot of things seem odd to me. I walked with her to her doctor, but like always only to the front door of the buillding. She usually doesn't like it so much when I walk her there so this only happend a couple of times. And I never went inside the building to the doctor with her. She doesnt want to talk about details in general and I respect that, but I realized this time that there was no mentioning of a doctor at entry of this big building, nowhere. Later that day I went alone there and checked everywhere, and also asked people from a company sitting in that building, and everyone told me the same thing: there is no doctor.
Now that is very weird right? I realized I have never seen any "proof" of her having cancer, on some days she seemed really sick and she went to toilet to puke, but I have no prove she actually did. Her hair also doesn't fall out and I never saw any needle points at her arm, but I know to less about different chemo therapies to know if therapies like this exist, without loss of hair and without injection of meds, just oral. 
On the other hand the story she tells me is very convincing, and even at work she got so many days off that I know they also think she is very sick. And they probably already demanded proof, right??
The thing is I can't obviously ask her, or confront her with me knowing there is no doctor in this building, because what if she just doesn't want me to know where the doctor is and just goes to another building after I left? She is kind of secretive about all of her treatment, and I cant possibly know how people react on this horrible diagnosis. I dont know what to do. 
I already searched everything in the flat (when she was out) to find some proof, some CT scan or whatever, but NOTHING.  Could it be that she just refuses to take documents home and leaves them at her doctor?
&amp;amp;#x200B;
I want to know: am I completely tripping or would anybody here be also suspicious if you were me?</t>
        </is>
      </c>
      <c r="D2374" t="n">
        <v>12</v>
      </c>
      <c r="E2374" t="n">
        <v>24</v>
      </c>
      <c r="F2374">
        <f>HYPERLINK("https://www.reddit.com/r/cancer/comments/booms4/is_my_partner_making_it_all_up/")</f>
        <v/>
      </c>
      <c r="G2374" t="inlineStr">
        <is>
          <t>2019-05-14 14:11:33</t>
        </is>
      </c>
      <c r="H2374" t="inlineStr"/>
    </row>
    <row r="2375">
      <c r="A2375" t="inlineStr">
        <is>
          <t>boosem</t>
        </is>
      </c>
      <c r="B2375" t="inlineStr">
        <is>
          <t>Side effects of high dose IV Vitamin C?</t>
        </is>
      </c>
      <c r="C2375" t="inlineStr">
        <is>
          <t>I am on 75g of IV Vitamin C twice a week, and I feel great most of the time except during &amp;amp; right after my treatment. During the IV, I feel quite nauseous and afterwards I get really tired &amp;amp; crappy feeling. Has anyone else experienced these side effects? Any tips to reduce them?
Thanks</t>
        </is>
      </c>
      <c r="D2375" t="n">
        <v>2</v>
      </c>
      <c r="E2375" t="n">
        <v>8</v>
      </c>
      <c r="F2375">
        <f>HYPERLINK("https://www.reddit.com/r/cancer/comments/boosem/side_effects_of_high_dose_iv_vitamin_c/")</f>
        <v/>
      </c>
      <c r="G2375" t="inlineStr">
        <is>
          <t>2019-05-14 14:25:11</t>
        </is>
      </c>
      <c r="H2375" t="inlineStr"/>
    </row>
    <row r="2376">
      <c r="A2376" t="inlineStr">
        <is>
          <t>boova1</t>
        </is>
      </c>
      <c r="B2376" t="inlineStr">
        <is>
          <t>I'm scared because I got sunburn on my chest</t>
        </is>
      </c>
      <c r="C2376" t="inlineStr">
        <is>
          <t>I usually go out mostly covered and rarely get sunburned. My skin isn't light and never got sunburn there, but it's very light under my clothes. I wore a tank top the other day and spent 30 minutes outside. I felt some pain an hour afterward, and noticed that my skin turned red. It's been red for a couple of days now and I keep feeling irritation. But there hasn't been any peeling. I looked up some information online and I'm having anxiety over the risk of cancer.</t>
        </is>
      </c>
      <c r="D2376" t="n">
        <v>0</v>
      </c>
      <c r="E2376" t="n">
        <v>6</v>
      </c>
      <c r="F2376">
        <f>HYPERLINK("https://www.reddit.com/r/cancer/comments/boova1/im_scared_because_i_got_sunburn_on_my_chest/")</f>
        <v/>
      </c>
      <c r="G2376" t="inlineStr">
        <is>
          <t>2019-05-14 14:31:57</t>
        </is>
      </c>
      <c r="H2376" t="inlineStr"/>
    </row>
    <row r="2377">
      <c r="A2377" t="inlineStr">
        <is>
          <t>boowkf</t>
        </is>
      </c>
      <c r="B2377" t="inlineStr">
        <is>
          <t>My mom was told that the tumor in her gallbladder cannot be removed. I have some questions.</t>
        </is>
      </c>
      <c r="C2377" t="inlineStr">
        <is>
          <t>The surgeon said that the mass is too big, and impossible to remove due to it being behind other organs. We are currently waiting for the a date to start chemotherapy.
Is it possible to see another surgeon who to see if they can do something? We are in Canada.</t>
        </is>
      </c>
      <c r="D2377" t="n">
        <v>2</v>
      </c>
      <c r="E2377" t="n">
        <v>2</v>
      </c>
      <c r="F2377">
        <f>HYPERLINK("https://www.reddit.com/r/cancer/comments/boowkf/my_mom_was_told_that_the_tumor_in_her_gallbladder/")</f>
        <v/>
      </c>
      <c r="G2377" t="inlineStr">
        <is>
          <t>2019-05-14 14:34:59</t>
        </is>
      </c>
      <c r="H2377" t="inlineStr"/>
    </row>
    <row r="2378">
      <c r="A2378" t="inlineStr">
        <is>
          <t>bop8xz</t>
        </is>
      </c>
      <c r="B2378" t="inlineStr">
        <is>
          <t>my stepfather’s brother has cancer - stage 4, terminal. he doesn’t have any other family besides his brother, and us (my mother, brother, stepbrother and sister, and myself). he is having a very hard time, how can i help him?</t>
        </is>
      </c>
      <c r="C2378" t="inlineStr">
        <is>
          <t>went immediately from healthy to having a few months to live. then he was in remission for about a month, and it recently returned in full force. things aren’t looking good. stepdad is trying to stay strong, act like everything is normal, but it’s not. i know it’s not and i know that he isn’t doing well at all. how can i help him? is there even any way to do that? he feels he should suffer on his own, and i’ve told him that it isn’t like that, but that’s still what he’s doing. 
if anyone has been in this position and has some words of wisdom, i’d love to hear them. thank you in advance :)</t>
        </is>
      </c>
      <c r="D2378" t="n">
        <v>3</v>
      </c>
      <c r="E2378" t="n">
        <v>1</v>
      </c>
      <c r="F2378">
        <f>HYPERLINK("https://www.reddit.com/r/cancer/comments/bop8xz/my_stepfathers_brother_has_cancer_stage_4/")</f>
        <v/>
      </c>
      <c r="G2378" t="inlineStr">
        <is>
          <t>2019-05-14 15:04:36</t>
        </is>
      </c>
      <c r="H2378" t="inlineStr"/>
    </row>
    <row r="2379">
      <c r="A2379" t="inlineStr">
        <is>
          <t>boqg3p</t>
        </is>
      </c>
      <c r="B2379" t="inlineStr">
        <is>
          <t>Mom recently diagnosed (stage II triple-negative invasive ductal carcinoma)</t>
        </is>
      </c>
      <c r="C2379" t="inlineStr">
        <is>
          <t>I became a part of this subreddit last June after months of dealing with mystery symptoms and thinking I had cancer. Just last week, my mom was diagnosed with stage II triple-negative invasive ductal carcinoma. She has already met with surgeons and oncologists simply to discuss treatment options, but she is also open to alternative treatments and has been a follower of Chris Wark for over a year now. Has anyone else been diagnosed with this? Would having surgery and then following up only with natural treatments be a good option? Triple-negative breast cancer is more likely to recur and is also more difficult to treat with chemo and radiation. My mom really wants to avoid the side effects and I am honestly scared that chemo would increase the changes of recurrence even more, on top of other things.</t>
        </is>
      </c>
      <c r="D2379" t="n">
        <v>2</v>
      </c>
      <c r="E2379" t="n">
        <v>3</v>
      </c>
      <c r="F2379">
        <f>HYPERLINK("https://www.reddit.com/r/cancer/comments/boqg3p/mom_recently_diagnosed_stage_ii_triplenegative/")</f>
        <v/>
      </c>
      <c r="G2379" t="inlineStr">
        <is>
          <t>2019-05-14 16:50:24</t>
        </is>
      </c>
      <c r="H2379" t="inlineStr"/>
    </row>
    <row r="2380">
      <c r="A2380" t="inlineStr">
        <is>
          <t>boqlyz</t>
        </is>
      </c>
      <c r="B2380" t="inlineStr">
        <is>
          <t>Path report came in today.</t>
        </is>
      </c>
      <c r="C2380" t="inlineStr">
        <is>
          <t>"Typical Carcinoid Tumor" measuring roughly 1.4cms.  Stage1a. Negative margins, negative lymphnodes. CT every 6 months for 2 years after that CT scan 1 time a year for 3 years.  So 5 years of surveillance.
Fingers crossed this bullshit over and life can get back to normal.  I'm close to hitting 4liters consistently on the incentive spirometer.  My recovery has been pretty remarkable from what I have been told, so I was waiting for the other hammer to drop since healing was going so well.  Fuck cancer we can beat this shit.</t>
        </is>
      </c>
      <c r="D2380" t="n">
        <v>20</v>
      </c>
      <c r="E2380" t="n">
        <v>3</v>
      </c>
      <c r="F2380">
        <f>HYPERLINK("https://www.reddit.com/r/cancer/comments/boqlyz/path_report_came_in_today/")</f>
        <v/>
      </c>
      <c r="G2380" t="inlineStr">
        <is>
          <t>2019-05-14 17:05:26</t>
        </is>
      </c>
      <c r="H2380" t="inlineStr"/>
    </row>
    <row r="2381">
      <c r="A2381" t="inlineStr">
        <is>
          <t>boqyd8</t>
        </is>
      </c>
      <c r="B2381" t="inlineStr">
        <is>
          <t>Anastrozole and Knees</t>
        </is>
      </c>
      <c r="C2381" t="inlineStr">
        <is>
          <t>I am 3.5 years after treatment for ER+, PR+, HER2- muscinous carcinoma breast cancer (I’m female). I did surgery, chemo, and radiation. I now take Anastrozole (Arimidex) daily. I am experiencing expected side effects like fatigue, weakness, and hot flashes but the worst is the knee pain. 
My knees are sore all the time. Sometimes it’s general soreness all over, but sometimes it’s specific pain when I curl my leg under me and my knee feels locked and there’s intense pain and a slipping sensation as I straighten and then the pain stops. I cannot get up from sitting or laying down without lots of caution and assistance from my arms or other body parts taking over at least some of the work that my knees cannot do. I get up and down like a pregnant lady or an elderly person. I have fallen trying to climb up into minivans. I have tripped going up the stairs because it hurts to lift my knee high enough.  And did I mention that it hurts ALL THE TIME?
I am worried that there is something wrong with my knees beyond the side effects of the Anastrazole, but my doctors tell me it’s all side effects. I’m worried that I’m damaging my knees  and suffering unnecessary by letting this go, but I also don’t want to be a whiny demanding patient if there really is nothing to be done. 
Halp!</t>
        </is>
      </c>
      <c r="D2381" t="n">
        <v>2</v>
      </c>
      <c r="E2381" t="n">
        <v>2</v>
      </c>
      <c r="F2381">
        <f>HYPERLINK("https://www.reddit.com/r/cancer/comments/boqyd8/anastrozole_and_knees/")</f>
        <v/>
      </c>
      <c r="G2381" t="inlineStr">
        <is>
          <t>2019-05-14 17:38:07</t>
        </is>
      </c>
      <c r="H2381" t="inlineStr"/>
    </row>
    <row r="2382">
      <c r="A2382" t="inlineStr">
        <is>
          <t>bor2q0</t>
        </is>
      </c>
      <c r="B2382" t="inlineStr">
        <is>
          <t>Colorectal cancer returns in liver</t>
        </is>
      </c>
      <c r="C2382" t="inlineStr">
        <is>
          <t>Hi everyone, I just received some news about my dad and I'm not sure how to process it.
March of 2018, my 48 year old dad was diagnosed with stage 3c colorectal cancer. The original plan was chemo, radiation, and then surgery. However, by December 2018, they did the final scan after the chemo and radiation and found 0 trace of any cancer. He was completely cancer free and didn't even need surgery, surprising everyone. He took the chemo like a fucking champ and felt amazing the entire time. 
Flash forward to today, he had a 6 month CT scan and it showed 3 spots on the very side of his liver. His CEA level is at 3.6, and all of his liver functions are perfectly normal.
He feels great, but after this news, we are all heartbroken and don't know what this means. We have a pet scan scheduled for later this week, and we need with the oncologist soon. I just.... I don't know what to think about this. I don't know if this is a death sentence. I don't know if this is treatable. I'm only 21 and the thought of losing my dad if killing me.
I'm not really sure what I'm looking for. Anyone who can give me any encouraging or realistic answers. Thank you for the help.</t>
        </is>
      </c>
      <c r="D2382" t="n">
        <v>8</v>
      </c>
      <c r="E2382" t="n">
        <v>18</v>
      </c>
      <c r="F2382">
        <f>HYPERLINK("https://www.reddit.com/r/cancer/comments/bor2q0/colorectal_cancer_returns_in_liver/")</f>
        <v/>
      </c>
      <c r="G2382" t="inlineStr">
        <is>
          <t>2019-05-14 17:49:15</t>
        </is>
      </c>
      <c r="H2382" t="inlineStr"/>
    </row>
    <row r="2383">
      <c r="A2383" t="inlineStr">
        <is>
          <t>bor5nr</t>
        </is>
      </c>
      <c r="B2383" t="inlineStr">
        <is>
          <t>My mom recently got diagnosed with cancer and I have some questions.</t>
        </is>
      </c>
      <c r="C2383" t="inlineStr">
        <is>
          <t>Short backstory, due to being overseas I am currently unable to provide direct support for my parents. As parents, they are over-protective and don't want to make me worried but I would like to ask a few things to get a clearer picture. All information comes from my father, but since he is old I'm afraid he forgets to include some crucial information. Besides, medical terms and lingo is a little bit outside of his (and mine) expertise.  
My mother very recently got diagnosed with cancer in her throat. They've been to the hospital and she's been put on what I believe is a chemotherapy course. For 5 days starting from today, she will start by taking 16 pills + medicine for effects from taking said pills, every morning. Unclear what those meds are, but he says some effects from these meds are hair loss and feeling sick. My mother will be turning 76 years old this year.  
After that, there is a 16 day rest/waiting period which then will be followed by the same procedure of pills for 5 days. This she will repeat 3 times in total after which she will undergo another check by the doctor.  
Does anyone know what type of cancer this might be and at what stage? Should I start preparing to go back home post-haste or are my parents right in making me wait until further notice?</t>
        </is>
      </c>
      <c r="D2383" t="n">
        <v>3</v>
      </c>
      <c r="E2383" t="n">
        <v>3</v>
      </c>
      <c r="F2383">
        <f>HYPERLINK("https://www.reddit.com/r/cancer/comments/bor5nr/my_mom_recently_got_diagnosed_with_cancer_and_i/")</f>
        <v/>
      </c>
      <c r="G2383" t="inlineStr">
        <is>
          <t>2019-05-14 17:56:35</t>
        </is>
      </c>
      <c r="H2383" t="inlineStr"/>
    </row>
    <row r="2384">
      <c r="A2384" t="inlineStr">
        <is>
          <t>bostq7</t>
        </is>
      </c>
      <c r="B2384" t="inlineStr">
        <is>
          <t>Tongue cancer halfway through part 2</t>
        </is>
      </c>
      <c r="C2384" t="inlineStr">
        <is>
          <t>Oncologist was disappointed about my peg struggles. She said the average patient usually does so well. I replied I’ve never been average. 
She isn’t out of ideas though. Trying to get me switched to a pump from gravity feed. Basically I’d load it and head to bed and in 12 hours have my feeding down. The slower pace would prevent pooling and back up. 
Also going to increase me from having IV fluid the day after chemo to two days after and then once more on weekends to insure hydration and to get everything flushed.  She also prescribed a compounded cream of phenagren and something else that my wife can just rub on wrists and inner arm for nausea. 
Radiation oncologist heartily endorsed the pump. He’s adding steroids this weekend and then again in two weeks to try control inflammation. 
His nurse was talking to my wife and I was hunched over in my chair just exhausted. The nurse finished and rubbed my hair and walked out. My wife was touched and said it was one of the most compassionate things she had seen.  With my scruffy beard, overdue for a haircut and 30+ pounds lost so fast I guess I look compassion needing.</t>
        </is>
      </c>
      <c r="D2384" t="n">
        <v>5</v>
      </c>
      <c r="E2384" t="n">
        <v>2</v>
      </c>
      <c r="F2384">
        <f>HYPERLINK("https://www.reddit.com/r/cancer/comments/bostq7/tongue_cancer_halfway_through_part_2/")</f>
        <v/>
      </c>
      <c r="G2384" t="inlineStr">
        <is>
          <t>2019-05-14 20:37:44</t>
        </is>
      </c>
      <c r="H2384" t="inlineStr"/>
    </row>
    <row r="2385">
      <c r="A2385" t="inlineStr">
        <is>
          <t>bot66u</t>
        </is>
      </c>
      <c r="B2385" t="inlineStr">
        <is>
          <t>My mom has an aggressive form of cancer and I don't know if I should withdraw from University.</t>
        </is>
      </c>
      <c r="C2385" t="inlineStr">
        <is>
          <t>I'm a 20 year old college student. My mom told me a month ago that she has an aggressive form of cancer in 4 areas. She has already been to the emergency room 3 times. I'm really sad as this all came out of no where. I can't sleep and eat anymore. I can't focus on classes. My mom wants me to finish the year up and come back after finals but everyday I feel like death is closer and closer to her. Can I get some advice if I should withdraw from classes and head home?</t>
        </is>
      </c>
      <c r="D2385" t="n">
        <v>3</v>
      </c>
      <c r="E2385" t="n">
        <v>8</v>
      </c>
      <c r="F2385">
        <f>HYPERLINK("https://www.reddit.com/r/cancer/comments/bot66u/my_mom_has_an_aggressive_form_of_cancer_and_i/")</f>
        <v/>
      </c>
      <c r="G2385" t="inlineStr">
        <is>
          <t>2019-05-14 21:14:09</t>
        </is>
      </c>
      <c r="H2385" t="inlineStr"/>
    </row>
    <row r="2386">
      <c r="A2386" t="inlineStr">
        <is>
          <t>botvi2</t>
        </is>
      </c>
      <c r="B2386" t="inlineStr">
        <is>
          <t>My mom might have cancer again I have questions about cancer.</t>
        </is>
      </c>
      <c r="C2386" t="inlineStr">
        <is>
          <t>My mom had thyroid cancer and had her Thyroid completely removed about ten years ago but her tests Cane’s back abnormal and she might have it again but in the lymphnodes (I’m sorry I can’t spell it). Is reoccurring cancer more dangerous/ fatal as regular? I was very very young when my mom first got sick and I’m not super educated on it. Please help</t>
        </is>
      </c>
      <c r="D2386" t="n">
        <v>3</v>
      </c>
      <c r="E2386" t="n">
        <v>3</v>
      </c>
      <c r="F2386">
        <f>HYPERLINK("https://www.reddit.com/r/cancer/comments/botvi2/my_mom_might_have_cancer_again_i_have_questions/")</f>
        <v/>
      </c>
      <c r="G2386" t="inlineStr">
        <is>
          <t>2019-05-14 22:34:08</t>
        </is>
      </c>
      <c r="H2386" t="inlineStr"/>
    </row>
    <row r="2387">
      <c r="A2387" t="inlineStr">
        <is>
          <t>bov51w</t>
        </is>
      </c>
      <c r="B2387" t="inlineStr">
        <is>
          <t>I may have lung cancer and I’m shitting it.</t>
        </is>
      </c>
      <c r="C2387" t="inlineStr">
        <is>
          <t>So I went for the company annual health check and had a chest X-ray, they found a large shadow on my right lung, like nearly half the fuckin thing. Went to a doc for a double check, shadow stillthere, been referred to another doc to do a CT scan on Monday.i am shitting bricks. Doc seemed concerned. I know lung cancer is a difficult beast.
My thought process is though, I think I would refuse treatment as being baked with radiation isn’t something that entirely enthralled me.
In my opinion I’d rather just jump of a building. I’m not trying to be melodramatic, lung cancer is one of those bitches to cure. I’d rather have a quick death than a walking zombie of a life. Those people that go through the treatment I respect it. I’m
Too cowardly to go through it.
Any help advice is greatly welcomed.</t>
        </is>
      </c>
      <c r="D2387" t="n">
        <v>4</v>
      </c>
      <c r="E2387" t="n">
        <v>24</v>
      </c>
      <c r="F2387">
        <f>HYPERLINK("https://www.reddit.com/r/cancer/comments/bov51w/i_may_have_lung_cancer_and_im_shitting_it/")</f>
        <v/>
      </c>
      <c r="G2387" t="inlineStr">
        <is>
          <t>2019-05-15 01:06:49</t>
        </is>
      </c>
      <c r="H2387" t="inlineStr"/>
    </row>
    <row r="2388">
      <c r="A2388" t="inlineStr">
        <is>
          <t>box3hm</t>
        </is>
      </c>
      <c r="B2388" t="inlineStr">
        <is>
          <t>That’s it, then. Oesophageal Cancer is a bummer.</t>
        </is>
      </c>
      <c r="C2388" t="inlineStr">
        <is>
          <t>My mum has oesophageal cancer that has spread to the liver and bones. She’s 64. 
The chemotherapy and one radiotherapy session hasn’t helped and she is discontinuing treatment. Privately, I’ve been told we have 3-9 months. 
She was diagnosed the first week of January this year, after a short period of just not being able to eat anything and dramatic weight loss. 
I don’t even know why I’m writing this. 
We’ve had some incredible times as a family since the diagnosis and we will continue to. 
Take pictures of your loved ones but take video too. To hear their voice and see their movements as they are in good times and good health is very special. I wish I had more videos of mum before she starting changing into somebody I don’t really recognise. 
Life is way too short.</t>
        </is>
      </c>
      <c r="D2388" t="n">
        <v>54</v>
      </c>
      <c r="E2388" t="n">
        <v>13</v>
      </c>
      <c r="F2388">
        <f>HYPERLINK("https://www.reddit.com/r/cancer/comments/box3hm/thats_it_then_oesophageal_cancer_is_a_bummer/")</f>
        <v/>
      </c>
      <c r="G2388" t="inlineStr">
        <is>
          <t>2019-05-15 05:04:54</t>
        </is>
      </c>
      <c r="H2388" t="inlineStr"/>
    </row>
    <row r="2389">
      <c r="A2389" t="inlineStr">
        <is>
          <t>boykuv</t>
        </is>
      </c>
      <c r="B2389" t="inlineStr">
        <is>
          <t>Anyone have recommendations on how to volunteer?</t>
        </is>
      </c>
      <c r="C2389" t="inlineStr">
        <is>
          <t>I’m hoping to do something more fulfilling with my free time and want to volunteer doing something related to cancer. I’m cancer free and want to help others, so I’m just curious if anyone else has experience doing this type of work and recommendations on where to look and how to reach out.</t>
        </is>
      </c>
      <c r="D2389" t="n">
        <v>1</v>
      </c>
      <c r="E2389" t="n">
        <v>3</v>
      </c>
      <c r="F2389">
        <f>HYPERLINK("https://www.reddit.com/r/cancer/comments/boykuv/anyone_have_recommendations_on_how_to_volunteer/")</f>
        <v/>
      </c>
      <c r="G2389" t="inlineStr">
        <is>
          <t>2019-05-15 07:25:32</t>
        </is>
      </c>
      <c r="H2389" t="inlineStr"/>
    </row>
    <row r="2390">
      <c r="A2390" t="inlineStr">
        <is>
          <t>boyu44</t>
        </is>
      </c>
      <c r="B2390" t="inlineStr">
        <is>
          <t>Follow-up CT was Clear!</t>
        </is>
      </c>
      <c r="C2390" t="inlineStr">
        <is>
          <t>After waiting the (grueling) 2 months, I got confirmation yesterday that 33 radiation and 5 chemo treatments did the trick! I'm currently Cancer Free! 
Thanks to all in this community who supported me through this ordeal. Much love.
HPV cancer is a thing. Get your kids (boys and girls!) vaccinated!!</t>
        </is>
      </c>
      <c r="D2390" t="n">
        <v>98</v>
      </c>
      <c r="E2390" t="n">
        <v>13</v>
      </c>
      <c r="F2390">
        <f>HYPERLINK("https://www.reddit.com/r/cancer/comments/boyu44/followup_ct_was_clear/")</f>
        <v/>
      </c>
      <c r="G2390" t="inlineStr">
        <is>
          <t>2019-05-15 07:48:08</t>
        </is>
      </c>
      <c r="H2390" t="inlineStr"/>
    </row>
    <row r="2391">
      <c r="A2391" t="inlineStr">
        <is>
          <t>bp0zqc</t>
        </is>
      </c>
      <c r="B2391" t="inlineStr">
        <is>
          <t>Cancer and social media</t>
        </is>
      </c>
      <c r="C2391" t="inlineStr">
        <is>
          <t>Hi everyone! I’m battling Hodgkin’s lymphoma- starting my 6th, and last, chemo cycle later this week. I’ve told close friends and family as well as a handful of coworkers about the cancer but not anyone else. Any suggestions for how to handle social media? And how to handle telling people I’m not as close with? I’ve purposely avoided having pictures or posting online for the last 6 months but it would be difficult to continue indefinitely.</t>
        </is>
      </c>
      <c r="D2391" t="n">
        <v>3</v>
      </c>
      <c r="E2391" t="n">
        <v>9</v>
      </c>
      <c r="F2391">
        <f>HYPERLINK("https://www.reddit.com/r/cancer/comments/bp0zqc/cancer_and_social_media/")</f>
        <v/>
      </c>
      <c r="G2391" t="inlineStr">
        <is>
          <t>2019-05-15 10:42:42</t>
        </is>
      </c>
      <c r="H2391" t="inlineStr"/>
    </row>
    <row r="2392">
      <c r="A2392" t="inlineStr">
        <is>
          <t>bp2gmp</t>
        </is>
      </c>
      <c r="B2392" t="inlineStr">
        <is>
          <t>How My Family's Cancer Story Helped Me Find My Community [Chicagoland]</t>
        </is>
      </c>
      <c r="C2392" t="inlineStr">
        <is>
          <t>When I was seven, my dad was diagnosed with thyroid cancer. For the life of me, I cannot remember what stage it was, but what I do remember is that he had 4 major quarter-sized tumors and an uncountable amount of of smaller tumors and nodules (his doctor, and now my doctor, estimated that he had at least 100 when he was first diagnosed). Five years and 2/3 of a thyroid removal, he was diagnosed with a completely different type of colon cancer. At this point, I was 12 years old and was just diagnosed with my own thyroid autoimmune disease (and coincidentally mono at the same time). Suffice to say my childhood was pretty rough. 
Flash forward about 6 years and my dad is now a board member for a local (primarily pediatric) cancer charity. I am now a volunteer crew member and I perform the national anthem for them. The charity is titled "Ride Janie Ride," named after a woman who had a form of leukemia (I believe), and required a bone marrow transplant but could not afford it themselves. A bunch of their friends (they are a part of multiple local "biker gangs") got their bikes out and rode around her neighborhood and house for an hour or so. Each biker donated $25 and collectively they were able to raise enough money for her transplant. This past year was our 13th year of passing it forward, and up until a few months ago, Janie has been doing well and has been considered "stable" ever since after the transplant. 
Unfortunately, Janie was diagnosed with a pretty rareand new type of cancer about two months ago, and then about three weeks ago they found another form of cancer. Things aren't looking too good for her. Fortunately, this charity, Ride Janie Ride, is not just a charity, it's a community. Janie talks constantly about all of the support and encouragement she has gotten from the 2000+ individuals that participate in RJR each year. 
All I really wanted to say about this was that community and support systems have and always been some of the keystones of cancer and caregiving, and if anyone in the Chicago land area sees this, you should look us up. We'd love to have you. 
ridejanieride.org</t>
        </is>
      </c>
      <c r="D2392" t="n">
        <v>11</v>
      </c>
      <c r="E2392" t="n">
        <v>0</v>
      </c>
      <c r="F2392">
        <f>HYPERLINK("https://www.reddit.com/r/cancer/comments/bp2gmp/how_my_familys_cancer_story_helped_me_find_my/")</f>
        <v/>
      </c>
      <c r="G2392" t="inlineStr">
        <is>
          <t>2019-05-15 12:41:02</t>
        </is>
      </c>
      <c r="H2392" t="inlineStr"/>
    </row>
    <row r="2393">
      <c r="A2393" t="inlineStr">
        <is>
          <t>bp2mdx</t>
        </is>
      </c>
      <c r="B2393" t="inlineStr">
        <is>
          <t>I’m angry</t>
        </is>
      </c>
      <c r="C2393" t="inlineStr">
        <is>
          <t>I know I am fat because I don’t have a thyroid. I only ate at night before my cancer diagnosis and went from 135 lbs to 114 lbs. I ran all the time as I did cross country, but I also had an eating disorder. After my surgery I gained 15 pounds in a year and I am back at 130 lbs and I feel disgusting. I’m 5’6 so I am a normal weight for my height, but I look back at pictures of myself and I want to cry because I was so thin and I want that back. I am convinced it is because I don’t have a thyroid anymore. And everyone tries to tell me “oh that’s an excuse” and I used to believe that. I don’t think it is an excuse though. I have the same habits of eating that I had before the diagnosis and surgeries but I am still 130 lbs and I don’t get it. I’ve tried non dairy eating and I’ve tried other diets but I still feel gross. My whole body has changed and I’m really struggling with how to cope with this. I have been trying to work out and stuff but I get too tired and don’t work as hard as I used to. I dont know what to do if anyone has any advice it would be much appreciated. Sorry for the long post I’m just upset.
Also sorry I post on here too much I have no one else to talk to</t>
        </is>
      </c>
      <c r="D2393" t="n">
        <v>1</v>
      </c>
      <c r="E2393" t="n">
        <v>2</v>
      </c>
      <c r="F2393">
        <f>HYPERLINK("https://www.reddit.com/r/cancer/comments/bp2mdx/im_angry/")</f>
        <v/>
      </c>
      <c r="G2393" t="inlineStr">
        <is>
          <t>2019-05-15 12:53:58</t>
        </is>
      </c>
      <c r="H2393" t="inlineStr"/>
    </row>
    <row r="2394">
      <c r="A2394" t="inlineStr">
        <is>
          <t>bp5g91</t>
        </is>
      </c>
      <c r="B2394" t="inlineStr">
        <is>
          <t>Cancer ‘vaccine’ eliminates tumors in mice | News Center | Stanford Medicine</t>
        </is>
      </c>
      <c r="C2394" t="inlineStr">
        <is>
          <t>https://med.stanford.edu/news/all-news/2018/01/cancer-vaccine-eliminates-tumors-in-mice.html</t>
        </is>
      </c>
      <c r="D2394" t="n">
        <v>0</v>
      </c>
      <c r="E2394" t="n">
        <v>5</v>
      </c>
      <c r="F2394">
        <f>HYPERLINK("https://www.reddit.com/r/cancer/comments/bp5g91/cancer_vaccine_eliminates_tumors_in_mice_news/")</f>
        <v/>
      </c>
      <c r="G2394" t="inlineStr">
        <is>
          <t>2019-05-15 16:47:10</t>
        </is>
      </c>
      <c r="H2394" t="inlineStr"/>
    </row>
    <row r="2395">
      <c r="A2395" t="inlineStr">
        <is>
          <t>bp5sqz</t>
        </is>
      </c>
      <c r="B2395" t="inlineStr">
        <is>
          <t>Prostate question about grandfather</t>
        </is>
      </c>
      <c r="C2395" t="inlineStr">
        <is>
          <t>Ok I’m only getting a little info but I’m confused and hope this sub can help. My grandfather (my idol in life so this sucks) was diagnosed with stage 7 or 8 prostate cancer according to my mother. He is 85 years old also. I can’t really find anything that shows life expectancy online for this stage. I keep finding Gleason stuff that doesn’t really make sense. It sounds as though I am not getting all the info. He is refusing chemo at his age though and just gonna ride out his glory years apparently. Any clue what the range is for this? Won’t be able to see this until tomorrow probably but if anyone can share some info it would be greatly appreciated.</t>
        </is>
      </c>
      <c r="D2395" t="n">
        <v>2</v>
      </c>
      <c r="E2395" t="n">
        <v>4</v>
      </c>
      <c r="F2395">
        <f>HYPERLINK("https://www.reddit.com/r/cancer/comments/bp5sqz/prostate_question_about_grandfather/")</f>
        <v/>
      </c>
      <c r="G2395" t="inlineStr">
        <is>
          <t>2019-05-15 17:19:59</t>
        </is>
      </c>
      <c r="H2395" t="inlineStr"/>
    </row>
    <row r="2396">
      <c r="A2396" t="inlineStr">
        <is>
          <t>bp5uib</t>
        </is>
      </c>
      <c r="B2396" t="inlineStr">
        <is>
          <t>Caretaker Issues- Need Advice</t>
        </is>
      </c>
      <c r="C2396" t="inlineStr">
        <is>
          <t>Hey guys!
I just want to preface this with I might come off as a total brat but I needed to vent and have an outsider's opinion.
I was diagnosed 1 month ago. Currently round 18/33 of radiation, no chemo until July.
My Mom is my primary caretaker. She's my best friend, we tell each other (almost) everything. I'm 24 so we haven't lived together in 6 years. She's also extremely extroverted, while I am not.
Due to the rarity of my cancer, we moved 10 hours away to a specialty hospital for treatment. We now share an apartment. We fly back twice a month on weekends for a break. (Our small community raised money for us to do these things, bless them.)
Lately we've been on edge around each other. It started with me trying to be more independent (cook my own dinner, drive myself, go to lesser appointments by myself). She started sobbing and said, "Well maybe I just better stay home next time until radiation is over since you don't need me." I explained this wasn't quite what I had in mind, since she (usually) provides me with emotional support &amp;amp; just being there for me. I blamed myself &amp;amp; told her I really just like being alone more often. Things calmed down.
I've been scolded multiple times since then, for random little things. One time I made her wait too long in the car after a support group. Today I disagreed with her about an outfit I didn't think was cute. She ends most things when upset with, "Well if that's alright with *you*." It makes me feel like I have to manage her emotions as well as mine. I also feel very muted around her, for fear of making her upset.
I will take some of the blame &amp;amp; say radiation has made me exhausted. Sometimes I can't even focus my brain to hold a conversation. I get snippy right back which I know isn't productive. Although I have explained these above reasons for why I am snippy, and she always seems to understand, she reverts back to previous behavior.
I feel awful for my Mom. She's given up just as much as I have to be here. I have no other family members/friends able to take time off work. We are isolated, her moreso than me, and my heart hurts for her. It almost makes me feel like I *should* do these last 2 weeks radiation myself, but I know she would explode at the very thought. She keeps saying she will go to a support group, but put it off until this week, then missed it.
Has anyone else dealt with strained relationships? I really don't want to lose my friendship with my Mom. Thanks for reading this novel.</t>
        </is>
      </c>
      <c r="D2396" t="n">
        <v>8</v>
      </c>
      <c r="E2396" t="n">
        <v>3</v>
      </c>
      <c r="F2396">
        <f>HYPERLINK("https://www.reddit.com/r/cancer/comments/bp5uib/caretaker_issues_need_advice/")</f>
        <v/>
      </c>
      <c r="G2396" t="inlineStr">
        <is>
          <t>2019-05-15 17:24:47</t>
        </is>
      </c>
      <c r="H2396" t="inlineStr"/>
    </row>
    <row r="2397">
      <c r="A2397" t="inlineStr">
        <is>
          <t>bp6yya</t>
        </is>
      </c>
      <c r="B2397" t="inlineStr">
        <is>
          <t>Cancer and cognition</t>
        </is>
      </c>
      <c r="C2397" t="inlineStr">
        <is>
          <t>Test my brain are doing research on this.
&amp;amp;#x200B;
[https://testmybrain.org/](https://testmybrain.org/)</t>
        </is>
      </c>
      <c r="D2397" t="n">
        <v>1</v>
      </c>
      <c r="E2397" t="n">
        <v>0</v>
      </c>
      <c r="F2397">
        <f>HYPERLINK("https://www.reddit.com/r/cancer/comments/bp6yya/cancer_and_cognition/")</f>
        <v/>
      </c>
      <c r="G2397" t="inlineStr">
        <is>
          <t>2019-05-15 19:17:13</t>
        </is>
      </c>
      <c r="H2397" t="inlineStr"/>
    </row>
    <row r="2398">
      <c r="A2398" t="inlineStr">
        <is>
          <t>bp7bes</t>
        </is>
      </c>
      <c r="B2398" t="inlineStr">
        <is>
          <t>Father going off treatment despite responding well to chemo</t>
        </is>
      </c>
      <c r="C2398" t="inlineStr">
        <is>
          <t>My father (56) was diagnosed with stage iv esophageal cancer in February, with metastasis in his lymph nodes, pancreas, lower spine, and hip bones. We were told from the get-go that it was terminal and could only be treated to help extend the life, though after three treatments of FOLFOX all of his tumors were extremely reduced in size. This weekend he had a surgery to put an external drain in his liver as the growth in his pancreas had blocked the bile ducts and caused him to jaundice. Since then, it seems he has lost all desire to continue living and has chosen to suspend treatment and begin hospice care.
I know both he and those closest to him (his elderly parents) never seemed to comprehend that his illness was terminal until his most recent procedure this weekend, and that their misplaced hope in a cure was dashed and likely led to this awful emotional state. That said, his oncologist is in disbelief that he is ceasing treatment after such tremendous response.
As his only son (28), who lives many states away from where he is currently, I don’t know what to do.
I feel strongly that he is making the wrong decision, and regardless of the amount of pain he is in, the last thing I want for him is to get to his last day in life and realize that he would’ve liked to have had another. I also recognize that it is his life and it is up to him. I’m not sure how to have this conversation with him, though I am planning on flying to where he is in a couple of days. With the level of drugs hospice has him on, I don’t trust that anything I say will get through.
What can I do?</t>
        </is>
      </c>
      <c r="D2398" t="n">
        <v>4</v>
      </c>
      <c r="E2398" t="n">
        <v>11</v>
      </c>
      <c r="F2398">
        <f>HYPERLINK("https://www.reddit.com/r/cancer/comments/bp7bes/father_going_off_treatment_despite_responding/")</f>
        <v/>
      </c>
      <c r="G2398" t="inlineStr">
        <is>
          <t>2019-05-15 19:51:06</t>
        </is>
      </c>
      <c r="H2398" t="inlineStr"/>
    </row>
    <row r="2399">
      <c r="A2399" t="inlineStr">
        <is>
          <t>bp7kb7</t>
        </is>
      </c>
      <c r="B2399" t="inlineStr">
        <is>
          <t>Good News: the cancer is shrinking.</t>
        </is>
      </c>
      <c r="C2399" t="inlineStr">
        <is>
          <t>I’ve been in treatment for metastatic cancer since January of 2017.  I am currently on my 6th treatment.  Until now, the best I could hope for (and the best I got) were periods of slowed growth, followed by short stints of stable disease.  
I started my current treatment in February and I’ve had two scans since then.  Both scans showed the cancer actually SHRINKING.  
After two years and 6 different treatments...Just as I was ready to give up hope that we may ever find a treatment that I would respond to, we did.
I wanted to let r/cancer know that something good happened.  To anyone fighting the fight (for themselves or with someone else), I wanted to share some good news.</t>
        </is>
      </c>
      <c r="D2399" t="n">
        <v>107</v>
      </c>
      <c r="E2399" t="n">
        <v>16</v>
      </c>
      <c r="F2399">
        <f>HYPERLINK("https://www.reddit.com/r/cancer/comments/bp7kb7/good_news_the_cancer_is_shrinking/")</f>
        <v/>
      </c>
      <c r="G2399" t="inlineStr">
        <is>
          <t>2019-05-15 20:14:33</t>
        </is>
      </c>
      <c r="H2399" t="inlineStr"/>
    </row>
    <row r="2400">
      <c r="A2400" t="inlineStr">
        <is>
          <t>bpat7e</t>
        </is>
      </c>
      <c r="B2400" t="inlineStr">
        <is>
          <t>Lung Cancer question</t>
        </is>
      </c>
      <c r="C2400" t="inlineStr">
        <is>
          <t>Can Lung Cancer develop after 2 years of smoking?</t>
        </is>
      </c>
      <c r="D2400" t="n">
        <v>0</v>
      </c>
      <c r="E2400" t="n">
        <v>1</v>
      </c>
      <c r="F2400">
        <f>HYPERLINK("https://www.reddit.com/r/cancer/comments/bpat7e/lung_cancer_question/")</f>
        <v/>
      </c>
      <c r="G2400" t="inlineStr">
        <is>
          <t>2019-05-16 03:22:13</t>
        </is>
      </c>
      <c r="H2400" t="inlineStr"/>
    </row>
    <row r="2401">
      <c r="A2401" t="inlineStr">
        <is>
          <t>bpbgs3</t>
        </is>
      </c>
      <c r="B2401" t="inlineStr">
        <is>
          <t>What are your experiences with alternative medicine?</t>
        </is>
      </c>
      <c r="C2401" t="inlineStr">
        <is>
          <t>Recently I was talking to a friend. She told me about some benefits of alternative medicine in connection with typical medical treatments. Has anyone experiences with this?</t>
        </is>
      </c>
      <c r="D2401" t="n">
        <v>3</v>
      </c>
      <c r="E2401" t="n">
        <v>11</v>
      </c>
      <c r="F2401">
        <f>HYPERLINK("https://www.reddit.com/r/cancer/comments/bpbgs3/what_are_your_experiences_with_alternative/")</f>
        <v/>
      </c>
      <c r="G2401" t="inlineStr">
        <is>
          <t>2019-05-16 04:39:54</t>
        </is>
      </c>
      <c r="H2401" t="inlineStr"/>
    </row>
    <row r="2402">
      <c r="A2402" t="inlineStr">
        <is>
          <t>bpc1il</t>
        </is>
      </c>
      <c r="B2402" t="inlineStr">
        <is>
          <t>How long does it take for the surgery pain to go away?</t>
        </is>
      </c>
      <c r="C2402" t="inlineStr">
        <is>
          <t>My father was diagnosed with and surgically treated for oral carcinoma. His surgery completes one month today. He often complains of pain in the treated part of his mouth that has also undergone plastic surgery. Doctor has said that it'll take time for the pain and swelling to subsume.  I feel so helpless. We cannot imagine what he's going through. How do we help him? Is there any natural, mechanical, emotional method to ease his pain? He cannot take medication because his doctor has asked him to let it heal naturally. Somebody suggested that a paste of water and raw turmeric might help? How do we empathize?</t>
        </is>
      </c>
      <c r="D2402" t="n">
        <v>1</v>
      </c>
      <c r="E2402" t="n">
        <v>3</v>
      </c>
      <c r="F2402">
        <f>HYPERLINK("https://www.reddit.com/r/cancer/comments/bpc1il/how_long_does_it_take_for_the_surgery_pain_to_go/")</f>
        <v/>
      </c>
      <c r="G2402" t="inlineStr">
        <is>
          <t>2019-05-16 05:38:53</t>
        </is>
      </c>
      <c r="H2402" t="inlineStr"/>
    </row>
    <row r="2403">
      <c r="A2403" t="inlineStr">
        <is>
          <t>bpcn9y</t>
        </is>
      </c>
      <c r="B2403" t="inlineStr">
        <is>
          <t>My dad starts chemo today.</t>
        </is>
      </c>
      <c r="C2403" t="inlineStr">
        <is>
          <t>He has bladder cancer. Not sure what stage he's in.
My parents don't tell me everything because they know I worry too much.
My old man is a 72 year old Marine who isn't afraid of anything, but I know he's pretty nervous about today. 
The cancer center he's going to is highly regarded. Their neighbor went to the same place many years ago for some kind of stage 4 cancer and came out like a champ. I know all cancer is different, but made us feel a little better.
I love his attitude about everything. He doesn't have time to get sick because of his grand-daughters dance recital and he has to take the car into the shop. He doesn't know how to sit still.
I'm rambling because I'm nervous.
Just wanted to share. Thanks for reading.</t>
        </is>
      </c>
      <c r="D2403" t="n">
        <v>12</v>
      </c>
      <c r="E2403" t="n">
        <v>15</v>
      </c>
      <c r="F2403">
        <f>HYPERLINK("https://www.reddit.com/r/cancer/comments/bpcn9y/my_dad_starts_chemo_today/")</f>
        <v/>
      </c>
      <c r="G2403" t="inlineStr">
        <is>
          <t>2019-05-16 06:37:09</t>
        </is>
      </c>
      <c r="H2403" t="inlineStr"/>
    </row>
    <row r="2404">
      <c r="A2404" t="inlineStr">
        <is>
          <t>bpcswt</t>
        </is>
      </c>
      <c r="B2404" t="inlineStr">
        <is>
          <t>How to keep cyclosporine pills down?</t>
        </is>
      </c>
      <c r="C2404" t="inlineStr">
        <is>
          <t>I've had a bone marrow transplant a little over a month ago and they're now trying to switch me over from IV cyclosporine to the oral form. Trouble is, I can't stand the taste and throw it up almost immediately. Anyone have any tricks to keep it down or make it taste better?</t>
        </is>
      </c>
      <c r="D2404" t="n">
        <v>1</v>
      </c>
      <c r="E2404" t="n">
        <v>4</v>
      </c>
      <c r="F2404">
        <f>HYPERLINK("https://www.reddit.com/r/cancer/comments/bpcswt/how_to_keep_cyclosporine_pills_down/")</f>
        <v/>
      </c>
      <c r="G2404" t="inlineStr">
        <is>
          <t>2019-05-16 06:51:33</t>
        </is>
      </c>
      <c r="H2404" t="inlineStr"/>
    </row>
    <row r="2405">
      <c r="A2405" t="inlineStr">
        <is>
          <t>bpd6h9</t>
        </is>
      </c>
      <c r="B2405" t="inlineStr">
        <is>
          <t>How Would You Describe Your Experience With Dry Mouth in one Sentence?</t>
        </is>
      </c>
      <c r="C2405" t="inlineStr">
        <is>
          <t>Hello everyone!
I am an advertising grad student taking a campaign course, conducting research for a popular dry mouth brand. Our objective is to find ways to help find relief from dry mouth and return to a better quality of life. My group would love to learn about the impact dry mouth has had on your life and what symptoms caused you to find a solution to dry mouth. This project is solely educational and not for profit and all answers are confidential.
If you could describe your experience with dry mouth in one sentence or less what would you say?</t>
        </is>
      </c>
      <c r="D2405" t="n">
        <v>4</v>
      </c>
      <c r="E2405" t="n">
        <v>6</v>
      </c>
      <c r="F2405">
        <f>HYPERLINK("https://www.reddit.com/r/cancer/comments/bpd6h9/how_would_you_describe_your_experience_with_dry/")</f>
        <v/>
      </c>
      <c r="G2405" t="inlineStr">
        <is>
          <t>2019-05-16 07:23:48</t>
        </is>
      </c>
      <c r="H2405" t="inlineStr"/>
    </row>
    <row r="2406">
      <c r="A2406" t="inlineStr">
        <is>
          <t>bpe0si</t>
        </is>
      </c>
      <c r="B2406" t="inlineStr">
        <is>
          <t>It happened so fast. Thanks for being here. Peace and love</t>
        </is>
      </c>
      <c r="C2406" t="inlineStr">
        <is>
          <t>My dad passed away Tuesday morning. There were just 8 short weeks between him feeling under the weather and entering hospice care last Friday. He was diagnosed 4 weeks ago with stage 4 pancreatic cancer with mets. He fought so hard, even though he became weak very quickly. Dutifully did all the tests, took all his meds, managed half a round of chemo. He maintained a positive attitude about his diagnosis despite how sick he felt right up until he landed in the hospital a week ago and his oncologist recommended hospice. Once we moved to hospice, I think he felt like he was able to rest, and he didn’t speak again.
It’s so hard to process what’s happened. All I know right now is that my heart hurts and I miss my dad.
I have found this sub very helpful in the last few weeks. It so helps to see what others are going through and to search through past posts to learn what to expect re: tests, symptoms, chemo, side effects, emotions... My heart is with everyone in this sub, wherever they are in their journey. Hugs, and as my dad used to say, “Keep the faith, baby. Peace and love, peace and love.”</t>
        </is>
      </c>
      <c r="D2406" t="n">
        <v>98</v>
      </c>
      <c r="E2406" t="n">
        <v>21</v>
      </c>
      <c r="F2406">
        <f>HYPERLINK("https://www.reddit.com/r/cancer/comments/bpe0si/it_happened_so_fast_thanks_for_being_here_peace/")</f>
        <v/>
      </c>
      <c r="G2406" t="inlineStr">
        <is>
          <t>2019-05-16 08:34:04</t>
        </is>
      </c>
      <c r="H2406" t="inlineStr"/>
    </row>
    <row r="2407">
      <c r="A2407" t="inlineStr">
        <is>
          <t>bpe74v</t>
        </is>
      </c>
      <c r="B2407" t="inlineStr">
        <is>
          <t>Pseudomyxoma</t>
        </is>
      </c>
      <c r="C2407" t="inlineStr">
        <is>
          <t>My mum (60f) has, after numerous tests, been diagnosed with Pseudomyxoma. We're all still trying to process this diagnosis and what it means exactly. She already has brain damage and mobility issues from a previous accident over 20 years ago, so struggles to retain the information that's been given to her.
&amp;amp;#x200B;
I have been the primary contact for her care both now and for previous surgeries (4 hip replacements) so I have contact with the doctors to ensure that myself, my mother and family are aware of the next steps etc. 
&amp;amp;#x200B;
I'm struggling to wrap my head around this diagnosis and I was wondering if anyone here had some helpful information or just anything about the general course of action (in layman's terms)? I'm aware this is a rare disease so sometimes information can be limited. Any help or advice would be really appreciated as I'm trying to be as strong and helpful as possible for her and I feel completely lost, we all do.</t>
        </is>
      </c>
      <c r="D2407" t="n">
        <v>1</v>
      </c>
      <c r="E2407" t="n">
        <v>2</v>
      </c>
      <c r="F2407">
        <f>HYPERLINK("https://www.reddit.com/r/cancer/comments/bpe74v/pseudomyxoma/")</f>
        <v/>
      </c>
      <c r="G2407" t="inlineStr">
        <is>
          <t>2019-05-16 08:48:30</t>
        </is>
      </c>
      <c r="H2407" t="inlineStr"/>
    </row>
    <row r="2408">
      <c r="A2408" t="inlineStr">
        <is>
          <t>bpfeqf</t>
        </is>
      </c>
      <c r="B2408" t="inlineStr">
        <is>
          <t>Folfox is fucking awful</t>
        </is>
      </c>
      <c r="C2408" t="inlineStr">
        <is>
          <t>I’m 3 doses into an 8 dose course of treatment and HOLY SHIT THIS FEELS AWFUL. I’ve lost my appetite, have difficulty swallowing, heartburn, hand &amp;amp; foot neuropathy, coughing, and I’m exhausted. Any tips? I’m so close to being finished, and I’m grateful for the progress I’ve made, I’m just really suffering right now.</t>
        </is>
      </c>
      <c r="D2408" t="n">
        <v>1</v>
      </c>
      <c r="E2408" t="n">
        <v>9</v>
      </c>
      <c r="F2408">
        <f>HYPERLINK("https://www.reddit.com/r/cancer/comments/bpfeqf/folfox_is_fucking_awful/")</f>
        <v/>
      </c>
      <c r="G2408" t="inlineStr">
        <is>
          <t>2019-05-16 10:27:59</t>
        </is>
      </c>
      <c r="H2408" t="inlineStr"/>
    </row>
    <row r="2409">
      <c r="A2409" t="inlineStr">
        <is>
          <t>bpfqdu</t>
        </is>
      </c>
      <c r="B2409" t="inlineStr">
        <is>
          <t>16 year old son started radiation and chemotherapy treatments this week</t>
        </is>
      </c>
      <c r="C2409" t="inlineStr">
        <is>
          <t>This is the third day that I will be taking my sixteen-year-old son, Josh, to his radiation treatment followed by chemotherapy via pills taken tonight. He handled the chemotherapy relatively well last night, better than his first night. His appetite has already changed somewhat, he has been eating mostly crackers and has bouts of nausea.
I wanted to share but wasn’t sure what else to say. It is rough seeing him go through this and knowing he has about 30 more days to go of the radiation, and a little more with the chemotherapy. He also is recording from a brain tumor which was removed in March so doesn’t understand everything as well as he could before this all started. In between sleeping, radiation, and chemo, he is still maintaining his therapy at the rehabilitation hospital where he has been staying.
This has completely changed my family’s life. There are very few “ordinary” days where we are together as a family. We haven’t been together at home since the beginning of March right before he was given his first ct scan and the mass in his head was detected.</t>
        </is>
      </c>
      <c r="D2409" t="n">
        <v>19</v>
      </c>
      <c r="E2409" t="n">
        <v>10</v>
      </c>
      <c r="F2409">
        <f>HYPERLINK("https://www.reddit.com/r/cancer/comments/bpfqdu/16_year_old_son_started_radiation_and/")</f>
        <v/>
      </c>
      <c r="G2409" t="inlineStr">
        <is>
          <t>2019-05-16 10:54:08</t>
        </is>
      </c>
      <c r="H2409" t="inlineStr"/>
    </row>
    <row r="2410">
      <c r="A2410" t="inlineStr">
        <is>
          <t>bph67i</t>
        </is>
      </c>
      <c r="B2410" t="inlineStr">
        <is>
          <t>Telling People vs. Not Telling People</t>
        </is>
      </c>
      <c r="C2410" t="inlineStr">
        <is>
          <t>Hi everyone,   
I'm a 26f from Ontario, Canada and my mother (61f, 2 pack-a-day smoker) was just diagnosed with stage 4 small cell lung cancer with mets tumours in her lymph nodes and 50+ tumours in her liver including some over 2 inches in size. 
We're in the process of meeting with our new doctors and waiting to get a treatment plan, but my mother \*desperately\* doesn't want a single soul to know. I have four siblings and she almost didn't even tell them all, I had to push a bit.  
If anyone has any advice for helping her understand that this is happening to all of us, and she's robbing people who love her of the ability to see her before she dies, while not making her feel like she's on her deathbed, I would really appreciate any tips. 
&amp;amp;#x200B;
TIA &amp;lt;3</t>
        </is>
      </c>
      <c r="D2410" t="n">
        <v>4</v>
      </c>
      <c r="E2410" t="n">
        <v>11</v>
      </c>
      <c r="F2410">
        <f>HYPERLINK("https://www.reddit.com/r/cancer/comments/bph67i/telling_people_vs_not_telling_people/")</f>
        <v/>
      </c>
      <c r="G2410" t="inlineStr">
        <is>
          <t>2019-05-16 12:48:29</t>
        </is>
      </c>
      <c r="H2410" t="inlineStr"/>
    </row>
    <row r="2411">
      <c r="A2411" t="inlineStr">
        <is>
          <t>bph87y</t>
        </is>
      </c>
      <c r="B2411" t="inlineStr">
        <is>
          <t>First session of chemotherapy</t>
        </is>
      </c>
      <c r="C2411" t="inlineStr">
        <is>
          <t>I had my first session of chemotherapy today, starting what will probably be a long six months. I'm having six cycles of ABVD to treat Stage III Hodgkin's Lymphoma. I was surprised at how normal the actual procedure felt and was feeling positive, until I got home and started to feel pretty nauseous. My head and stomach aren't feeling great so am looking for any advice from you veterans! I've got my anti-sickness pills but if you've got any extra thoughts or advice I'd appreciate it.</t>
        </is>
      </c>
      <c r="D2411" t="n">
        <v>13</v>
      </c>
      <c r="E2411" t="n">
        <v>17</v>
      </c>
      <c r="F2411">
        <f>HYPERLINK("https://www.reddit.com/r/cancer/comments/bph87y/first_session_of_chemotherapy/")</f>
        <v/>
      </c>
      <c r="G2411" t="inlineStr">
        <is>
          <t>2019-05-16 12:52:49</t>
        </is>
      </c>
      <c r="H2411" t="inlineStr"/>
    </row>
    <row r="2412">
      <c r="A2412" t="inlineStr">
        <is>
          <t>bpht0n</t>
        </is>
      </c>
      <c r="B2412" t="inlineStr">
        <is>
          <t>Hysterectonmy for endometrial cancer</t>
        </is>
      </c>
      <c r="C2412" t="inlineStr">
        <is>
          <t>I am having one next Tuesday. It's robotic, and total -- ovaries to go, too.  I'm 58 so fertility isn't really an issue, but I am scared.  Any tips are appreciated. It will be laparoscopic.  
I had laparoscopic surgery last fall with the gastric sleeve and didn't have too much problem with that, except for the anesthesia.  I wonder how the two will compare. Obviously, one is elective and the other is not. In one way, I am way more scared and in another, I am way more calm.  Tips are appreciated. I am aware of the hystersisters site, but I prefer reddit.</t>
        </is>
      </c>
      <c r="D2412" t="n">
        <v>3</v>
      </c>
      <c r="E2412" t="n">
        <v>5</v>
      </c>
      <c r="F2412">
        <f>HYPERLINK("https://www.reddit.com/r/cancer/comments/bpht0n/hysterectonmy_for_endometrial_cancer/")</f>
        <v/>
      </c>
      <c r="G2412" t="inlineStr">
        <is>
          <t>2019-05-16 13:38:18</t>
        </is>
      </c>
      <c r="H2412" t="inlineStr"/>
    </row>
    <row r="2413">
      <c r="A2413" t="inlineStr">
        <is>
          <t>bpi1mb</t>
        </is>
      </c>
      <c r="B2413" t="inlineStr">
        <is>
          <t>Broken heart alongside cancer</t>
        </is>
      </c>
      <c r="C2413" t="inlineStr">
        <is>
          <t>I was diagnosed with stage II laryngeal cancer around october 2018, which is a recurrent cancer I had a year before. I am 19 years old. There was this friend of mine who had problems with her friend, so she almost stopped talking to everyone. She kept some contact with me as I would always bother her with texts. Later she stopped talking with me and started avoiding me. I've already told her too many of my problems at this point, so I kept myself from saying I had cancer. Infact, only a trickle of people know of my illness. I tried my best to convince her out of the problem, painfully restrained myself from talking to her for about a month to give her some space, and prayed for her with all my heart. The more I missed her, more I grew fond of her.
"There's only one more semester, after that we may never meet again. So let's spend time and make some beautiful memories before it's too late", I almost begged her after she said she was okay. She has no idea what I meant by "before it's too late". The cancer was growing. She doesn't want to talk to me because she doesn't want to grow close to anyone, she's still scared that people will break her heart. I keep convincing myself that she has bigger problems than mine. She once mentioned she's stressed out because of hearing my problems. I am scared that she'll permanently avoid me if she knows of my cancer.
I think about her when the pain is too high. I am really ashamed of myself that I couldn't let her go. I am a wimp. My only death wish I can think of is to spend quality time with her to my heart's content. I love her so much that she is the only reason I wish to live, to beat this disease that is clutching me by my throat.
I don't know what question I should ask you people now. Probably no answer would calm my mind. Atleast I vented out.</t>
        </is>
      </c>
      <c r="D2413" t="n">
        <v>20</v>
      </c>
      <c r="E2413" t="n">
        <v>5</v>
      </c>
      <c r="F2413">
        <f>HYPERLINK("https://www.reddit.com/r/cancer/comments/bpi1mb/broken_heart_alongside_cancer/")</f>
        <v/>
      </c>
      <c r="G2413" t="inlineStr">
        <is>
          <t>2019-05-16 13:57:02</t>
        </is>
      </c>
      <c r="H2413" t="inlineStr"/>
    </row>
    <row r="2414">
      <c r="A2414" t="inlineStr">
        <is>
          <t>bpivnu</t>
        </is>
      </c>
      <c r="B2414" t="inlineStr">
        <is>
          <t>Concerned...</t>
        </is>
      </c>
      <c r="C2414" t="inlineStr">
        <is>
          <t>My stepdad’s stage 4 throat cancer has spread to his sinuses. I can’t find much online about it and it’s really upsetting me. 😞 He hasn’t started his radiation yet, he starts June 2nd because he’s having 7 teeth removed today and needs to recover before he can start treatment. The doctors have all been very optimistic saying he can 100% be cured (it’s HPV so I guess that makes a difference), so I don’t know if this changes anything... any insight would be helpful.</t>
        </is>
      </c>
      <c r="D2414" t="n">
        <v>3</v>
      </c>
      <c r="E2414" t="n">
        <v>2</v>
      </c>
      <c r="F2414">
        <f>HYPERLINK("https://www.reddit.com/r/cancer/comments/bpivnu/concerned/")</f>
        <v/>
      </c>
      <c r="G2414" t="inlineStr">
        <is>
          <t>2019-05-16 15:08:27</t>
        </is>
      </c>
      <c r="H2414" t="inlineStr"/>
    </row>
    <row r="2415">
      <c r="A2415" t="inlineStr">
        <is>
          <t>bpjduz</t>
        </is>
      </c>
      <c r="B2415" t="inlineStr">
        <is>
          <t>We probably won't be able to send our son to the hyper-selective school he got in to.</t>
        </is>
      </c>
      <c r="C2415" t="inlineStr">
        <is>
          <t>My four year old got accepted to a really nice, really selective, really *expensive* school for next year.
My wife and I were so excited.
But as the shoes drop it looks like we won't be able to do it.
Partially it's money.
Neither the wife or I are working because she's had two craniotomies, a course of focal radiation, and brachytherapy just in the last year.
Partially it's logistics. My wife will probably never drive again. She has a seizure disorder diagnosis and visual deficits from surgeries and swelling.
I worry about how many hours I can realistically expect her to be at home alone with our 1 year old.
How am I going to get my kid to and from this school (probably 1-2 hours per day total driving, depending on traffic)? How am I going to find enough hours to work to cover the cost? How am I going to support my wife in her healing at the same time?
The local public school is 2 blocks away.
And it doesn't cost 20k/yr.
But *my* kid got in. Most kids dont.
Fuck the sacrifices and choices I've had to make.
My wife doesn't like when people say this, but today it's how I feel;
**Fuck cancer.**</t>
        </is>
      </c>
      <c r="D2415" t="n">
        <v>13</v>
      </c>
      <c r="E2415" t="n">
        <v>10</v>
      </c>
      <c r="F2415">
        <f>HYPERLINK("https://www.reddit.com/r/cancer/comments/bpjduz/we_probably_wont_be_able_to_send_our_son_to_the/")</f>
        <v/>
      </c>
      <c r="G2415" t="inlineStr">
        <is>
          <t>2019-05-16 15:53:34</t>
        </is>
      </c>
      <c r="H2415" t="inlineStr"/>
    </row>
    <row r="2416">
      <c r="A2416" t="inlineStr">
        <is>
          <t>bpjhq7</t>
        </is>
      </c>
      <c r="B2416" t="inlineStr">
        <is>
          <t>Cancer problem solve theory</t>
        </is>
      </c>
      <c r="C2416" t="inlineStr">
        <is>
          <t>I recently read the news that a person had another tumor on a cancer, and eventually they destroyed each other, and the person became healthy.  So why would humanity not think of a way to artificially introduce cancer into a person and destroy other cancers?</t>
        </is>
      </c>
      <c r="D2416" t="n">
        <v>0</v>
      </c>
      <c r="E2416" t="n">
        <v>1</v>
      </c>
      <c r="F2416">
        <f>HYPERLINK("https://www.reddit.com/r/cancer/comments/bpjhq7/cancer_problem_solve_theory/")</f>
        <v/>
      </c>
      <c r="G2416" t="inlineStr">
        <is>
          <t>2019-05-16 16:02:51</t>
        </is>
      </c>
      <c r="H2416" t="inlineStr"/>
    </row>
    <row r="2417">
      <c r="A2417" t="inlineStr">
        <is>
          <t>bpjpo6</t>
        </is>
      </c>
      <c r="B2417" t="inlineStr">
        <is>
          <t>Chemo kicking my ass.</t>
        </is>
      </c>
      <c r="C2417" t="inlineStr">
        <is>
          <t>This chemo is kicking my ass. It's not even technically chemo it's Avastin. I got the chills 24/7.  I'm in Florida and the thermostat is set at 78.  I'm here in a sweatshirt and a blanket over me.  I'm freezing, but I don't have a temperature.  Every inch of my body hurts.  After being awake for about 8 hours I'm exhausted.  I feel like I'm going through opiate withdrawals.  I also have chemo brain, I can't remember something from one minute to the next.  I have a long battle ahead of me. Tomorrow is only the third of twelve treatments.  
I walked into this like a tough guy.  I never had any major side effects with any other medication before, and I thought it was going to be the same thing with this.  Boy was I wrong.  I've only been at this for a month, and it's kicking my ass. To everybody who has been going through this or worse, for a long time, all I can say is God bless you.  I feel like I have no right to complain.  May everybody be on the road to recovery soon. 
Thank you for letting me vent.</t>
        </is>
      </c>
      <c r="D2417" t="n">
        <v>38</v>
      </c>
      <c r="E2417" t="n">
        <v>14</v>
      </c>
      <c r="F2417">
        <f>HYPERLINK("https://www.reddit.com/r/cancer/comments/bpjpo6/chemo_kicking_my_ass/")</f>
        <v/>
      </c>
      <c r="G2417" t="inlineStr">
        <is>
          <t>2019-05-16 16:24:05</t>
        </is>
      </c>
      <c r="H2417" t="inlineStr"/>
    </row>
    <row r="2418">
      <c r="A2418" t="inlineStr">
        <is>
          <t>bpk6d4</t>
        </is>
      </c>
      <c r="B2418" t="inlineStr">
        <is>
          <t>Kidney cancer survivors, do you have to follow a diet?</t>
        </is>
      </c>
      <c r="C2418" t="inlineStr">
        <is>
          <t>I got my kidney removed and I'll need further treatment (lung mets), but my question is: Am I really going to have to stop eating beef, seafood, sausage, etc?
I've been told that I could use a pill to help my kidney, is that safe?
&amp;amp;#x200B;
27M.</t>
        </is>
      </c>
      <c r="D2418" t="n">
        <v>2</v>
      </c>
      <c r="E2418" t="n">
        <v>1</v>
      </c>
      <c r="F2418">
        <f>HYPERLINK("https://www.reddit.com/r/cancer/comments/bpk6d4/kidney_cancer_survivors_do_you_have_to_follow_a/")</f>
        <v/>
      </c>
      <c r="G2418" t="inlineStr">
        <is>
          <t>2019-05-16 17:08:26</t>
        </is>
      </c>
      <c r="H2418" t="inlineStr"/>
    </row>
    <row r="2419">
      <c r="A2419" t="inlineStr">
        <is>
          <t>bpkd50</t>
        </is>
      </c>
      <c r="B2419" t="inlineStr">
        <is>
          <t>Terminal, question about feelings the last month.</t>
        </is>
      </c>
      <c r="C2419" t="inlineStr">
        <is>
          <t>My dad started home pain hospice today. He is terminal. They gave him morphine and that’s not even working. He told me he’s tired of feeling sick. We had high hopes for hospice making him feel decent. He has about a month left, give or take. 
Will he ever feel okay again? Will the dry mouth, constipation, nausea and pain ever go away again or is he stuck with it until the end? 
Ty.</t>
        </is>
      </c>
      <c r="D2419" t="n">
        <v>12</v>
      </c>
      <c r="E2419" t="n">
        <v>3</v>
      </c>
      <c r="F2419">
        <f>HYPERLINK("https://www.reddit.com/r/cancer/comments/bpkd50/terminal_question_about_feelings_the_last_month/")</f>
        <v/>
      </c>
      <c r="G2419" t="inlineStr">
        <is>
          <t>2019-05-16 17:25:42</t>
        </is>
      </c>
      <c r="H2419" t="inlineStr"/>
    </row>
    <row r="2420">
      <c r="A2420" t="inlineStr">
        <is>
          <t>bpkguq</t>
        </is>
      </c>
      <c r="B2420" t="inlineStr">
        <is>
          <t>Cancer Survivor Rights</t>
        </is>
      </c>
      <c r="C2420" t="inlineStr">
        <is>
          <t>I work for a general contractor.  There is an employee that just came back, after beating rectal cancer.  This guy has worked for the company for over 36 years.  When he came back, they told him that he would be getting paid less, because he could not do what he was able to do before the cancer.  I do not think this is legal, and just based off of not being a dick, someone working for you for almost 4 decades should not be paid less, let alone after they beat cancer.  He unfortunately is okay with it.  I think it is because no one will hire a 60  year old laborer, who just got done beating cancer.  
The guy is old school, even with working for this company he was making only $23 an hour.  I want to help him.  This company is one of the worst I have ever worked for, but I want him to be treated like a human being, not a piece of meat, who's only object in life is to complete their project.</t>
        </is>
      </c>
      <c r="D2420" t="n">
        <v>24</v>
      </c>
      <c r="E2420" t="n">
        <v>8</v>
      </c>
      <c r="F2420">
        <f>HYPERLINK("https://www.reddit.com/r/cancer/comments/bpkguq/cancer_survivor_rights/")</f>
        <v/>
      </c>
      <c r="G2420" t="inlineStr">
        <is>
          <t>2019-05-16 17:35:10</t>
        </is>
      </c>
      <c r="H2420" t="inlineStr"/>
    </row>
    <row r="2421">
      <c r="A2421" t="inlineStr">
        <is>
          <t>bpll4n</t>
        </is>
      </c>
      <c r="B2421" t="inlineStr">
        <is>
          <t>I've never been good at titles, but, feels dump.</t>
        </is>
      </c>
      <c r="C2421" t="inlineStr">
        <is>
          <t>So 2 years ago my mother was diagnosed with an incurable stomach cancer. It hit like a ton of bricks, but so far I've handled it the way I usually do: dark humour and just generally getting on with stuff. It helped that for a while she responded well to treatment, and the immunotherapy meant she didn't LOOK sick, so it was all very easy to forget.
Well, she stopped responding to that. It spread to some nodes. She's on chemo now and just looks sick all the time. Her hair is thinning, her arm is twice the size because lymphedema, and she cries now, where before she was even more upbeat than I managed to be. But I was still pushing forward and helping and caring for her and being peppy and... All that.
I called my dad this morning to talk about something unrelated and he mentioned more blood clots being found and idk what it was but I just...I mean I got off the phone and just broke. I mean I'm literally in my work parking lot wondering if the security camera images are detailed enough to see me ugly cry.
I don't really talk about any of this with anyone because I don't know entirely what to say. People ask how she is and I flippantly tell them she's a fighter and change the topic. Because what else is there to say? How do you tell someone how scared you are sometimes, and how numb you are others? How this experience feels simultaneously routine and surreal? How you don't even know how to walk into your house anymore because all you expect is to hear something worse than last month's news? And even if there's no news, how do you explain just how oppressive air can feel when no one around you can talk or smile?
How do you explain that the knowledge the cancer is generic, and that other relatives have died young from the same thing, makes you wonder when it's your turn? I'm 30 next week. My mum is 47. Her brother died at 37. I have to get regular scans. They talk about hurrying up and figuring out kids because removing my uterus is a good move in terms of delaying it, but like, I'm single. I'm studying and working full time. I don't even have time to figure that out. And what if the studying is pointless anyway?
I know I'm making this about me, and I know it's not really about me, but I also don't want to ignore how terrified I am of... Every damn thing. I don't know what I'll do when she's gone. I don't know how to actually help. I don't know what to say to my dad, who just never even smiles anymore. And posting this feels so, so selfish but...I really needed to talk. I don't even have time to crack. I have so much work to do but I'm just so tired. 
I'm sorry. I don't even expect anyone to reply. I just needed to talk to SOMEONE. Or feel like I am. Even if no one is listening.</t>
        </is>
      </c>
      <c r="D2421" t="n">
        <v>14</v>
      </c>
      <c r="E2421" t="n">
        <v>6</v>
      </c>
      <c r="F2421">
        <f>HYPERLINK("https://www.reddit.com/r/cancer/comments/bpll4n/ive_never_been_good_at_titles_but_feels_dump/")</f>
        <v/>
      </c>
      <c r="G2421" t="inlineStr">
        <is>
          <t>2019-05-16 19:26:39</t>
        </is>
      </c>
      <c r="H2421" t="inlineStr"/>
    </row>
    <row r="2422">
      <c r="A2422" t="inlineStr">
        <is>
          <t>bplmlv</t>
        </is>
      </c>
      <c r="B2422" t="inlineStr">
        <is>
          <t>My father has rectal cancer, it's stage 3 and I'm just really not sure what to believe here.</t>
        </is>
      </c>
      <c r="C2422" t="inlineStr">
        <is>
          <t>title expresses the majority of my concerns,
My father was diagnosed with cancer recently, his doctor said it's "barely stage 3" due to one lymph node showing signs of cancer and I'm kind of losing my mind. I'm in the military so I don't have any means of getting back to him any time soon and I just want to understand what to expect, what he's really going to be dealing with, what the reality of the situation is, etc. I feel like he just doesn't want me to worry here, so I think he might be keeping a lot from me - I mean for fuck's sake everything I found out about stage 3 rectal cancer says that the life expectancy is 30-40% after 5 years so once again needless to say I'm losing it. 
Ultimately I'm just asking someone to share their experience with me if they have any related to the situation and if anyone could provide any insight I'd really appreciate it, thanks.</t>
        </is>
      </c>
      <c r="D2422" t="n">
        <v>2</v>
      </c>
      <c r="E2422" t="n">
        <v>5</v>
      </c>
      <c r="F2422">
        <f>HYPERLINK("https://www.reddit.com/r/cancer/comments/bplmlv/my_father_has_rectal_cancer_its_stage_3_and_im/")</f>
        <v/>
      </c>
      <c r="G2422" t="inlineStr">
        <is>
          <t>2019-05-16 19:30:30</t>
        </is>
      </c>
      <c r="H2422" t="inlineStr"/>
    </row>
    <row r="2423">
      <c r="A2423" t="inlineStr">
        <is>
          <t>bployq</t>
        </is>
      </c>
      <c r="B2423" t="inlineStr">
        <is>
          <t>Should I blame the doctors? - PET scan results in​ tomorrow for my mother</t>
        </is>
      </c>
      <c r="C2423" t="inlineStr">
        <is>
          <t>My mother was diagnosed with a Burkitt's Lymphoma about a month ago. I've been told this is a very aggressive type of cancer that spreads very quickly. The doctors at first didn't think it'd be a lymphoma and instead of going for a small biopsy, they began surgery to "remove the tumor" in her stomach. They thought it was a sarcoma, though they decided to check right before removal. 
Turned out to be a lymphoma and only thing surgery did was make a hard recovery for my mother. Took 1 month to recover and begin with the tests for her treatment. I just feel like the doctors wasted way too much time. The PET scan results will come tomorrow. 
I feel like by now it might've spread to other parts and that is making me really nervous. Her treatment will probably be the same regardless of the stage (R-CHOP chemotherapy), so at least that'll be "comforting". Sorry, but I just had to get my feelings out and I hope that the doctor she's switched to (who doesn't even specialize on lymphomas even if he's one of the best doctors in my city) will be one of the best.</t>
        </is>
      </c>
      <c r="D2423" t="n">
        <v>3</v>
      </c>
      <c r="E2423" t="n">
        <v>8</v>
      </c>
      <c r="F2423">
        <f>HYPERLINK("https://www.reddit.com/r/cancer/comments/bployq/should_i_blame_the_doctors_pet_scan_results_in/")</f>
        <v/>
      </c>
      <c r="G2423" t="inlineStr">
        <is>
          <t>2019-05-16 19:37:07</t>
        </is>
      </c>
      <c r="H2423" t="inlineStr"/>
    </row>
    <row r="2424">
      <c r="A2424" t="inlineStr">
        <is>
          <t>bpm24o</t>
        </is>
      </c>
      <c r="B2424" t="inlineStr">
        <is>
          <t>Anyone still get nauseous or quicker to nausea months after last day of chemo.</t>
        </is>
      </c>
      <c r="C2424" t="inlineStr">
        <is>
          <t>So last year July to October I did 3 cycles of BEP chemotherapy for testicular cancer, not fun stuff. Well fast forward to now and once in awhile in early mornings I have unexplained nausea but will be gone in an hour. Also I find myself getting sicker more often and harder time getting rid of the Illness. Even if I have flu or cold it will trigger nausea and I never had that before.   
 Is post nasal drip causing an upset stomach?  Are these just long term side effects of hard chemo drugs like BEP? I have mentioned this to my doctor and he says some is normal and will monitor it . Thanks</t>
        </is>
      </c>
      <c r="D2424" t="n">
        <v>7</v>
      </c>
      <c r="E2424" t="n">
        <v>5</v>
      </c>
      <c r="F2424">
        <f>HYPERLINK("https://www.reddit.com/r/cancer/comments/bpm24o/anyone_still_get_nauseous_or_quicker_to_nausea/")</f>
        <v/>
      </c>
      <c r="G2424" t="inlineStr">
        <is>
          <t>2019-05-16 20:13:30</t>
        </is>
      </c>
      <c r="H2424" t="inlineStr"/>
    </row>
    <row r="2425">
      <c r="A2425" t="inlineStr">
        <is>
          <t>bpm3qe</t>
        </is>
      </c>
      <c r="B2425" t="inlineStr">
        <is>
          <t>My school is raising money for cancer research. Please consider donating, it's a great cause and would mean a lot to me!!</t>
        </is>
      </c>
      <c r="C2425" t="inlineStr">
        <is>
          <t>Hi, so I'm a 16 year old and my school is holding a Relay for Life on May 30th. We each make teams and do our best to raise money for cancer research. All proceeds go towards the Canadian Cancer Society. My team has a goal of raising $500 and we have currently raised about $252. We set the bar fairly low but I'm sure we can surpass $500, especially with your help! Other teams have raised a lot of money as well. The actual Relay event is going to be a super fun day where we remember everyone in our lives who have been affected by cancer, as well as celebrate those who have survived and the difference we are making by fighting back against the disease. If my school reaches its overall fundraising goal, we can continue to hold this event every year. 
I'm posting this here because I dont have many people to tell or ask for donations, so I thought this would be the perfect place. Please consider donating, even if it's the smallest amount of money. Every cent helps! 
Here is the link to where you can donate to my team: 
http://convio.cancer.ca/site/TR/RelayForLife/RFLY_ON_even_?px=12984030&amp;amp;pg=personal&amp;amp;fr_id=25100&amp;amp;s_locale=en_CA</t>
        </is>
      </c>
      <c r="D2425" t="n">
        <v>1</v>
      </c>
      <c r="E2425" t="n">
        <v>2</v>
      </c>
      <c r="F2425">
        <f>HYPERLINK("https://www.reddit.com/r/cancer/comments/bpm3qe/my_school_is_raising_money_for_cancer_research/")</f>
        <v/>
      </c>
      <c r="G2425" t="inlineStr">
        <is>
          <t>2019-05-16 20:18:02</t>
        </is>
      </c>
      <c r="H2425" t="inlineStr"/>
    </row>
    <row r="2426">
      <c r="A2426" t="inlineStr">
        <is>
          <t>bpn5qo</t>
        </is>
      </c>
      <c r="B2426" t="inlineStr">
        <is>
          <t>Any staff here that work in palliative care?</t>
        </is>
      </c>
      <c r="C2426" t="inlineStr">
        <is>
          <t>Have some questions about palliative care if there's anyone here that knows anything</t>
        </is>
      </c>
      <c r="D2426" t="n">
        <v>2</v>
      </c>
      <c r="E2426" t="n">
        <v>6</v>
      </c>
      <c r="F2426">
        <f>HYPERLINK("https://www.reddit.com/r/cancer/comments/bpn5qo/any_staff_here_that_work_in_palliative_care/")</f>
        <v/>
      </c>
      <c r="G2426" t="inlineStr">
        <is>
          <t>2019-05-16 22:16:01</t>
        </is>
      </c>
      <c r="H2426" t="inlineStr"/>
    </row>
    <row r="2427">
      <c r="A2427" t="inlineStr">
        <is>
          <t>bpn72y</t>
        </is>
      </c>
      <c r="B2427" t="inlineStr">
        <is>
          <t>Liver cancer stage 3 &amp;amp; Breast Cancer 2 times</t>
        </is>
      </c>
      <c r="C2427" t="inlineStr">
        <is>
          <t>So in 2008 my mom was diagnosed with stage 2 breast cancer and had surgery to remove the tumor as well as a few lymph nodes in her left arm. This caused mild lymphodima swelling in her arm but not bad. Then 4 years later In 2012 she was diagnosed with stage 3 breast cancer on her other breast but it was in its early stages so she decided to do a lipectomy to remove all her tissue from both breasts. She had done multiple chemo rounds in 2008 and 2012 as well as radiation for both. She fought of the cancer twice and beat it for a while. Then in the beginning of April of this year she had pneumonia which she also got through. However a few days later she started having yellow skin and eyes as well as being itchy. We went to the encologist and after a biopsy she said she had stage 3 liver cancer and they could not do a transplant but they could try chemo again. They prescribed her morphine and other very strong pain killers so she was pretty much unconscious for 2 weeks due to meds. On one of the last few days of April she had an overdose from the morphine because the tumors apparently had blocked her liver and held the morphine in it which paradmedics had to use narcan to fix. She went to hospital and scans revealed that her tumors all had tripled in size in 2 weeks. She was given 48 hours to live and she died on May 1. This can as a shock considering she was perfectly fine and then died in just 3 weeks. She was 51 and it just feels wrong that she died so young. I’m 17 so I’m still going through quite a few mixed emotions considering it only happened 16 days ago. I just wanted to put my story out there so people can let me know if they have heard of someone dying from cancer in such a short period of time from diagnosis. Thank your for your replies. :)</t>
        </is>
      </c>
      <c r="D2427" t="n">
        <v>18</v>
      </c>
      <c r="E2427" t="n">
        <v>7</v>
      </c>
      <c r="F2427">
        <f>HYPERLINK("https://www.reddit.com/r/cancer/comments/bpn72y/liver_cancer_stage_3_breast_cancer_2_times/")</f>
        <v/>
      </c>
      <c r="G2427" t="inlineStr">
        <is>
          <t>2019-05-16 22:20:42</t>
        </is>
      </c>
      <c r="H2427" t="inlineStr"/>
    </row>
    <row r="2428">
      <c r="A2428" t="inlineStr">
        <is>
          <t>bpoat8</t>
        </is>
      </c>
      <c r="B2428" t="inlineStr">
        <is>
          <t>It's that time of the night when every lump is cancer.</t>
        </is>
      </c>
      <c r="C2428" t="inlineStr">
        <is>
          <t>And it is the cancer, at least until the morning when it will revert back to being a normal lymph node until tomorrow evening.
This will be my preoccupation for the weekend as my doctor can't see me until next week.</t>
        </is>
      </c>
      <c r="D2428" t="n">
        <v>15</v>
      </c>
      <c r="E2428" t="n">
        <v>8</v>
      </c>
      <c r="F2428">
        <f>HYPERLINK("https://www.reddit.com/r/cancer/comments/bpoat8/its_that_time_of_the_night_when_every_lump_is/")</f>
        <v/>
      </c>
      <c r="G2428" t="inlineStr">
        <is>
          <t>2019-05-17 00:41:29</t>
        </is>
      </c>
      <c r="H2428" t="inlineStr"/>
    </row>
    <row r="2429">
      <c r="A2429" t="inlineStr">
        <is>
          <t>bpp9fv</t>
        </is>
      </c>
      <c r="B2429" t="inlineStr">
        <is>
          <t>Poor sleep and Cancer risk, and ways to improve sleep quality</t>
        </is>
      </c>
      <c r="C2429" t="inlineStr">
        <is>
          <t>I have just posted this on a sleep subreddit, and I though it might be useful here too. Warning! I refer to a device with which I am involved!  Hope that's OK. 
Research published  yesterday in the Lancet shows that bowel cancer rates are rising in the UK, Canada and elsewhere and that young people are at more risk than the over 75s. It showed  that t people who averaged less than six hours of sleep a night (that was me) had an almost 50 percent increase in the risk of colorectal cancer compared with people sleeping at least seven hours a night and that young people are now at more risk of developing colon cancer than the over 75s.. [https://www.thelancet.com/journals/langas/article/PIIS2468-1253(19)30147-5/fulltext](https://www.thelancet.com/journals/langas/article/PIIS2468-1253(19)30147-5/fulltext) 
The study published yesterday is the latest piece of research to indicate that bowel cancer risks increase with poor sleep, whether that is short sleep, excessively long sleep (often linked with poor sleep quality) or sleep apnoea.   The ideal amount of sleep seems to be 7–8 h per night. I have included references to other research papers below. 
Why does poor quality sleep increase our risk of cancer? Researchers suggest that this is because sleep regulates our endocrine, immune, and metabolic functions. 
I am on a quest to improve out sleep quality, and like many of us, have had my own brush with cancer, and watched  loved people die with cancer. Some of the things which reduce our cancer risk also help our sleep quality - increasing vegetable intake, decreasing sugar, for example. We also tend to eat less and regulate our weight better when we sleep well, thus reducing another risk factor for cancer. And I am a coinventor of the Zeez Sleep Pebble, a sleep device designed to enhance sleep quality and encourage deep sleep. Our surveys showed that before using the Zeez 87% users slept for less than 6 hours. After using it  for a month, that figure had dropped to 13%.  It is one tool that may help, especially if used alongside a good diet and healthy lifestyle.   Other devices too, from Philips (Smartsleep, for the under 50s) and the Dreem headband. However you do it, I wish you good sleep and good health. 
&amp;amp;#x200B;
Other studies
 [https://www.ncbi.nlm.nih.gov/pubmed/30460465](https://www.ncbi.nlm.nih.gov/pubmed/30460465)
[https://www.sciencedaily.com/releases/2011/02/110208112741.htm](https://www.sciencedaily.com/releases/2011/02/110208112741.htm)
[https://www.ncbi.nlm.nih.gov/pmc/articles/PMC3553538/](https://www.ncbi.nlm.nih.gov/pmc/articles/PMC3553538/)</t>
        </is>
      </c>
      <c r="D2429" t="n">
        <v>0</v>
      </c>
      <c r="E2429" t="n">
        <v>2</v>
      </c>
      <c r="F2429">
        <f>HYPERLINK("https://www.reddit.com/r/cancer/comments/bpp9fv/poor_sleep_and_cancer_risk_and_ways_to_improve/")</f>
        <v/>
      </c>
      <c r="G2429" t="inlineStr">
        <is>
          <t>2019-05-17 02:55:46</t>
        </is>
      </c>
      <c r="H2429" t="inlineStr"/>
    </row>
    <row r="2430">
      <c r="A2430" t="inlineStr">
        <is>
          <t>bppnqp</t>
        </is>
      </c>
      <c r="B2430" t="inlineStr">
        <is>
          <t>Worming drug mebendazole cures cancer</t>
        </is>
      </c>
      <c r="C2430" t="inlineStr">
        <is>
          <t>About 4 years ago I was told I had Ostersarcoma, which is a bone cancer. I got a tumour in my right hip joint which was the size of an orange when they found it , I was advised to have chemo as soon as possible, I had 7 months Chemotherapy in Christies in Manchester. 
I was in Christies from monday morning until friday afternoon for the whole period,I lost 3 stone, all my hair on my body and I looked like death when they had finished ....half way through the chemo they cut the tumour out and I had a partial pelvis and hip replacement. 
The doctors told me the chemo hadn’t worked and the tumour was still "alive" when they cut it out ( 3 months into chemo) and I had a choice if I wanted to carry on the treatment or not ,i was advised that the chemo could help still if i had any residue cancer cells in my blood, as I was in a vunerable state I agreed to carry out the course of chemo. 
After the chemo had finished I went back to work and got on with my life as best as I could. About a year later I got secondary tumours in my lungs. I had key hole surgery and they cut out 3 tumours out and left 2 tumours in my lungs because they were in dangerous places and to risky to cut out . The 3 tumours were sent off for biopsy and showed they were cancerous. I was advised that I needed 6 months of chemo asap ...ok this is where it gets interesting .... I’d read about a drug called mebendazole ( worming tablet ) that was having 
Good results in animal trails in America.
So I decided to try this as I wasn’t having chemo again ...never again. so I started taking 100mg Mebendazole tablets 3 times a day ,200 mg cimetidine tablets 4 times a day and 50 grams of Glutamine power twice a day.That was in March or April 2011
I revisited the hospital for six month check up for CT scans and chest x-rays alternatively after being  told there was two tumours left in my lungs. The doctors believed the cancer would spread without treatment, their only option chemo. 
The first CT scan after three months showed no change and the tumours both still present. The next appointment was six months later again (9 months in total) , a chest x-ray which showed nothing and my chest was clear. At this stage the doctors were very shocked and only asked me if I felt OK and If I did to come back in six months time for a CT scan. 
I continued to take what I was taking and went back six months later (15 months since the tumours were cut out) for the CT scan. This CT showed that one of the tumours had dissapeared and the other had remained the same size which the doctor has recently stated this could old scar tissue .
I went for my second chest x-ray since the three tumours were cut out ( 21 months) and again this showed  no relapse and all clear. My specialist then told me I’m in remission and the longer no cancer isnt showing the less chance it is of coming back. I asked the doctor if he should of seen any sign of cancer spreading by now,knowing that he believed 21 months ago he could do nothing for me except trying another course of chemo (when i was offered the second course of chemo i asked him what are the chances of success and he said it had more chance of working the first time and the chances of it working the first time was not good )the doctor said it should of spread throughout my body by now and he should being seeing it on the x-rays and CT scans. 
I’ve now been cancer free 6 years and have had regular check ups and everything is good .. 
since then I’ve read a lot about mebendazole beating cancer and I wil put up some links here so you can read them .. also I wil put a link to a vid of someone who’s also used the same drug to cure his cancer and is on the news telling his story .. he used  fenbadazole which is the same drug but for animal use not human consumption .. please feel free to ask me any questions 
[mebendazole ](https://www.cancer.gov/about-cancer/treatment/clinical-trials/intervention/mebendazole)
[mebendazole ](https://clinicaltrials.gov/ct2/show/NCT03628079)
[febendazole](https://youtu.be/HYILnjc_wuY)</t>
        </is>
      </c>
      <c r="D2430" t="n">
        <v>1</v>
      </c>
      <c r="E2430" t="n">
        <v>0</v>
      </c>
      <c r="F2430">
        <f>HYPERLINK("https://www.reddit.com/r/cancer/comments/bppnqp/worming_drug_mebendazole_cures_cancer/")</f>
        <v/>
      </c>
      <c r="G2430" t="inlineStr">
        <is>
          <t>2019-05-17 03:45:14</t>
        </is>
      </c>
      <c r="H2430" t="inlineStr"/>
    </row>
    <row r="2431">
      <c r="A2431" t="inlineStr">
        <is>
          <t>bpqvgv</t>
        </is>
      </c>
      <c r="B2431" t="inlineStr">
        <is>
          <t>Question for those of you with breast cancer: is hormone therapy worth it?</t>
        </is>
      </c>
      <c r="C2431" t="inlineStr">
        <is>
          <t>I have leukemia and currently going through a bone marrow transplant. And I found out a few weeks ago my mom has breast cancer. 
She went through with a lumpectomy, and will do the radiation they are suggesting. But she doesn’t want to do the estrogen therapy. 
She is 62, and I guess she has read the side effects are pretty damn nasty, and she would be on it the rest of her life. She said more than 60% of people stop taking it because the side effects are too much. 
She asked me to read up on it and tell her if it’s worth it. I figured first hand experience would be a lot better in this instance than clinical trials. 
She says she’s old and so recurrence isn’t as likely since she won’t live long anyway.</t>
        </is>
      </c>
      <c r="D2431" t="n">
        <v>8</v>
      </c>
      <c r="E2431" t="n">
        <v>11</v>
      </c>
      <c r="F2431">
        <f>HYPERLINK("https://www.reddit.com/r/cancer/comments/bpqvgv/question_for_those_of_you_with_breast_cancer_is/")</f>
        <v/>
      </c>
      <c r="G2431" t="inlineStr">
        <is>
          <t>2019-05-17 05:51:22</t>
        </is>
      </c>
      <c r="H2431" t="inlineStr"/>
    </row>
    <row r="2432">
      <c r="A2432" t="inlineStr">
        <is>
          <t>bprflr</t>
        </is>
      </c>
      <c r="B2432" t="inlineStr">
        <is>
          <t>Serious question regarding Prostate Cancer that metastesized into bones...</t>
        </is>
      </c>
      <c r="C2432" t="inlineStr">
        <is>
          <t>My father was diagnosed back in 2007.
He underwent surgery to get rid of prostate.
Since then he has underwent many treatments, and the last treatment stopped working.
He is now eligible for an experimental treatment I forgot the name of, but it has to do with targeting a protein he has attached to cancer cells. The treatment attach radiated protein to these cells to stave it off...
Here's the issue, he had recen scans done a week prior and blood work, both never showed signs of liver tumors or elevated levels in the liver.
The day he was going to get the treatment they tested his blood again, and it showed very high liver levels- so he couldnt receive the treatment that day. Now he's there again today, and the doctor is involved. 
Is it possible it spread to the liver even if prior tests a week ago didn't show any signs?
I'm a big boy, based on anyone's number how much longer does he got? I understand they are guesses, and I'll take it with a grain of salt.
Thank you for any answers ..</t>
        </is>
      </c>
      <c r="D2432" t="n">
        <v>7</v>
      </c>
      <c r="E2432" t="n">
        <v>14</v>
      </c>
      <c r="F2432">
        <f>HYPERLINK("https://www.reddit.com/r/cancer/comments/bprflr/serious_question_regarding_prostate_cancer_that/")</f>
        <v/>
      </c>
      <c r="G2432" t="inlineStr">
        <is>
          <t>2019-05-17 06:43:14</t>
        </is>
      </c>
      <c r="H2432" t="inlineStr"/>
    </row>
    <row r="2433">
      <c r="A2433" t="inlineStr">
        <is>
          <t>bps2ag</t>
        </is>
      </c>
      <c r="B2433" t="inlineStr">
        <is>
          <t>How to Support Partner</t>
        </is>
      </c>
      <c r="C2433" t="inlineStr">
        <is>
          <t>Hey.  We're in that difficult period where PET scan was inconclusive but a biopsy (lung) is called for.  Eight days until we know for sure if the nodule is malignant or not.  My wife is the patient.
Naturally, she's incredibly afraid, certain that the percentages will not be in her favor.  ("THERE'S NO CURE FOR LUNG CANCER AND I HAVE AT MOST FIVE YEARS!!!")  I try to comfort her, but she only gets angrier at me.  Her resentment is spewing and I seem to be making things worse for her.
Do any of you (patients or partners/caregivers) have an Idiots Guide for supporting someone with or potentially with Cancer for those who suck at caregiving?
Much obliged.</t>
        </is>
      </c>
      <c r="D2433" t="n">
        <v>3</v>
      </c>
      <c r="E2433" t="n">
        <v>5</v>
      </c>
      <c r="F2433">
        <f>HYPERLINK("https://www.reddit.com/r/cancer/comments/bps2ag/how_to_support_partner/")</f>
        <v/>
      </c>
      <c r="G2433" t="inlineStr">
        <is>
          <t>2019-05-17 07:37:25</t>
        </is>
      </c>
      <c r="H2433" t="inlineStr"/>
    </row>
    <row r="2434">
      <c r="A2434" t="inlineStr">
        <is>
          <t>bpsao6</t>
        </is>
      </c>
      <c r="B2434" t="inlineStr">
        <is>
          <t>I never posted in here, but thank you.</t>
        </is>
      </c>
      <c r="C2434" t="inlineStr">
        <is>
          <t>Hi 
I appreciate i have never posted in here, however reading a lot of posts helped me deal with what my Mum went through before she passed away. So this is a genuine thank you to those who have been open and honest about their own experiences in dealing with what can happen when someone close has cancer. 
My Mum passed away last night, after having lung cancer for 4 years. She was given 2 years by the doctors so she fought it pretty damn hard. Every moment with her was treasured, and even though we knew it was coming, it's still a bit of a shock.
Thank you every single person on here. &amp;lt;3</t>
        </is>
      </c>
      <c r="D2434" t="n">
        <v>77</v>
      </c>
      <c r="E2434" t="n">
        <v>24</v>
      </c>
      <c r="F2434">
        <f>HYPERLINK("https://www.reddit.com/r/cancer/comments/bpsao6/i_never_posted_in_here_but_thank_you/")</f>
        <v/>
      </c>
      <c r="G2434" t="inlineStr">
        <is>
          <t>2019-05-17 07:56:54</t>
        </is>
      </c>
      <c r="H2434" t="inlineStr"/>
    </row>
    <row r="2435">
      <c r="A2435" t="inlineStr">
        <is>
          <t>bpvc9y</t>
        </is>
      </c>
      <c r="B2435" t="inlineStr">
        <is>
          <t>Esophageal Cancer and MRSA</t>
        </is>
      </c>
      <c r="C2435" t="inlineStr">
        <is>
          <t>My Grandma has been diagnosed with stage II esophageal cancer and MRSA in her foot. My family has had the information from me for approximately a month to allow me to focus on finals, but my brother accidentally let the news slip and I called my mom and she confirmed it about an hour ago. All I know now is that they are treating her for MRSA and as far as the cancer they are extending (?) her esophagus. She cannot walk and is between hospice care and the hospital. We can not take her home as my sister and I are both in college and both my parents work full time. They are seeing her as much as they can. I'm looking for any possibly helpful information concerning treatment paths or just basic advice. My grandfather passed away due to cancer, but that was when I was younger and I was very uninvolved in everything, but I know how it's goes down the road. Doctors have given her 6 months.</t>
        </is>
      </c>
      <c r="D2435" t="n">
        <v>5</v>
      </c>
      <c r="E2435" t="n">
        <v>1</v>
      </c>
      <c r="F2435">
        <f>HYPERLINK("https://www.reddit.com/r/cancer/comments/bpvc9y/esophageal_cancer_and_mrsa/")</f>
        <v/>
      </c>
      <c r="G2435" t="inlineStr">
        <is>
          <t>2019-05-17 12:08:11</t>
        </is>
      </c>
      <c r="H2435" t="inlineStr"/>
    </row>
    <row r="2436">
      <c r="A2436" t="inlineStr">
        <is>
          <t>bpwlol</t>
        </is>
      </c>
      <c r="B2436" t="inlineStr">
        <is>
          <t>Do I have Cancer?</t>
        </is>
      </c>
      <c r="C2436" t="inlineStr">
        <is>
          <t>I think I have a benign tumor in my chest. (nipple) It does not hurt, only when I irritate it. It seems some "roots" went in my back, and can feel it by pushing on my back. Another tumor grew on my other nipple, but it is not as big. I feel fine, and have been living with this for a year. I can also squeeze out some liquid, which I assume is breast milk. I am 13 and a male, pretty tall. Should I be worried?</t>
        </is>
      </c>
      <c r="D2436" t="n">
        <v>1</v>
      </c>
      <c r="E2436" t="n">
        <v>2</v>
      </c>
      <c r="F2436">
        <f>HYPERLINK("https://www.reddit.com/r/cancer/comments/bpwlol/do_i_have_cancer/")</f>
        <v/>
      </c>
      <c r="G2436" t="inlineStr">
        <is>
          <t>2019-05-17 13:53:57</t>
        </is>
      </c>
      <c r="H2436" t="inlineStr"/>
    </row>
    <row r="2437">
      <c r="A2437" t="inlineStr">
        <is>
          <t>bpybeg</t>
        </is>
      </c>
      <c r="B2437" t="inlineStr">
        <is>
          <t>I think I just need to talk to someone. My S/O was diagnosed with CML.</t>
        </is>
      </c>
      <c r="C2437" t="inlineStr">
        <is>
          <t>He’s 27. Everyone says he’s young and he’s going to beat this. But there’s really no “beating” this type of cancer. The events that led up to his diagnosis are really frightening when we look back. He had a bad cough since October 2018. When it didn’t go away for a month, he went to the doctor and was prescribed some meds for cough. He took them until they ran out but he started losing a lot of weight. Fast. 
He wasn’t eating as much and when he would eat, he would start coughing and eventually if it got bad enough, he would throw up what he tried to eat. He kept some of this from me but I became a broken record of telling him to go see a different doctor. I thought he might have had a really bad virus and maybe strep throat because of his symptoms. 
It wasn’t until the night sweats started that I become extremely worried. He would sweat and soak multiple sets of sheets nightly. It wasn’t so bad at first but it got to the point where I had to wash the sheets multiple times in a row. The whole time I was pleading with him to go to the er or something. I did everything except for what I should have done and taken him hostage and driven him there myself. I eventually made an appointment for him on his phone and he told me he had already made an appointment. 
At this point, it was late January. He had been to 3 doctors total who all gave him meds for cough. 1 tested him for tuberculosis and it came out negative but he still hadn’t gotten any better. He was down almost 30 pounds but his stomach looked really bloated. It looked like he was pregnant. And it was hard as a rock. He kept saying it was gas and he was backed up. He normally stays really fit and likes powerlifting but he hadn’t been able to work out in months. 
I was asleep when he went to his appointment. I wish I had just woken up to go with him and I’ll never forgive myself for not doing that. 
They took some of his blood and immediately he said that his doctor disappeared and he would see him walking up and down the hall with different doctors talking. 
I can’t imagine what that felt like. They eventually told him that it could be a lot of things. One of which would be leukemia. And that they needed him to go to a bigger facility to get more tests done. 
He called me and told me on his way home and I took him to the hospital. He was so scared. As was I. When we got there, they took us into a room and started taking blood from him immediately. They tried to keep the conversation light. But we could tell that they were trying to lighten the mood. It was almost patronizing. But they were just doing their job. Eventually another doctor came in and she was really straightforward. She told us his white blood cell count was extremely high. And that it was most likely due to leukemia. But they had to be sure of what kind. He had a bone marrow biopsy done within minutes and when I got back to him, we just cried. We waited in the hospital for almost a week before we got confirmation. Chronic Myeloid leukemia. His white blood cell count was so high, the machine they had couldn’t even measure it. It was over 360(x1000mcL) and the normal range is from 4-11(x1000mcL). When he was released from the hospital in the second week of February, he was sent home with two chemo pills. Hydrea twice a day and Gleevec once a day. He stopped taking Hydrea a month later and he’s been slowly getting better. He has his good days and his bad days. He feels like his body is fighting him half the time. We went to twice weekly blood tests and phone calls with his pharmacist. He went back down to normal white blood cell count in mid March and his oncologist started having him do blood tests once every other week until the first week of May where he was supposed to go back to work. She wanted him to do an extra blood test where they were going to take more blood to run different tests on to see if the treatment was working. 
He took the blood test and went back to work. His second day back to work, we got a call from the oncologist covering his current doctor. 
The treatment is not working. They needed to run more blood tests to figure out why. But they believe that his body is no longer responding to the Gleevec. His white blood cell count went from 10.3 to 13.4 in the span of one month. We went yesterday for another blood draw and I read the paperwork they gave us to give the phlebotomist and they are thinking that his cells have undergone a secondary mutation that is making his medicine unable to bind correctly to the bad cells. He’s back on Hydrea for now but that medicine effectively kills all blood cells. Including platelets and red blood cells. 
I guess I’m just really scared. And he is too. We are basically just waiting for the dna testing to see what mutation the gene has undergone to see what the new treatment plan is going to be. 
I guess what I’m asking is how does anyone deal with this? I know I need to stay strong for him because he’s going through it all but I can’t help but fell like our future was taken from us with a phone call.</t>
        </is>
      </c>
      <c r="D2437" t="n">
        <v>9</v>
      </c>
      <c r="E2437" t="n">
        <v>8</v>
      </c>
      <c r="F2437">
        <f>HYPERLINK("https://www.reddit.com/r/cancer/comments/bpybeg/i_think_i_just_need_to_talk_to_someone_my_so_was/")</f>
        <v/>
      </c>
      <c r="G2437" t="inlineStr">
        <is>
          <t>2019-05-17 16:29:07</t>
        </is>
      </c>
      <c r="H2437" t="inlineStr"/>
    </row>
    <row r="2438">
      <c r="A2438" t="inlineStr">
        <is>
          <t>bpybys</t>
        </is>
      </c>
      <c r="B2438" t="inlineStr">
        <is>
          <t>Researchers have discovered that a common supplement, indole-3- carbinol (I3C), derived from vegetables like broccoli could be a cancer preventative and a cancer treatment for some people.</t>
        </is>
      </c>
      <c r="C2438" t="inlineStr">
        <is>
          <t>Having a mutation in the Pten gene puts you at high risk for cancer. 
People with cancer can sometimes develop this mutation which makes the cancer much worse. 
Now researchers have discovered that a common supplement, indole-3- carbinol (I3C), derived from vegetables like broccoli could be a cancer preventative and a cancer treatment for  some people. 
I3C up-regulates the expression of the Tpen gene that produces an enzyme necessary to keep cancer in check. 
https://www.nytimes.com/2019/05/17/health/gene-mutation-cancer.html</t>
        </is>
      </c>
      <c r="D2438" t="n">
        <v>0</v>
      </c>
      <c r="E2438" t="n">
        <v>1</v>
      </c>
      <c r="F2438">
        <f>HYPERLINK("https://www.reddit.com/r/cancer/comments/bpybys/researchers_have_discovered_that_a_common/")</f>
        <v/>
      </c>
      <c r="G2438" t="inlineStr">
        <is>
          <t>2019-05-17 16:30:35</t>
        </is>
      </c>
      <c r="H2438" t="inlineStr"/>
    </row>
    <row r="2439">
      <c r="A2439" t="inlineStr">
        <is>
          <t>bpydas</t>
        </is>
      </c>
      <c r="B2439" t="inlineStr">
        <is>
          <t>Xeloda side effects</t>
        </is>
      </c>
      <c r="C2439" t="inlineStr">
        <is>
          <t>Stage 2 colon cancer patient, had surgery to remove part of my colon and rectum, and have an ostomy bag for awhile.
Oncologist said I was great candidate for Xeloda oral chemo.  I have 8 - 3 week cycles , 14 days of Xeloda , 7 rest.  
Can anyone please share with me there experience on side effects as I progress through the cycles, anyways to minimize the side effects?
I just finished cycle 1 and I start cycle 2 in a few days . So far I am sores on my lips and in mouth behind my lips.
Thanks</t>
        </is>
      </c>
      <c r="D2439" t="n">
        <v>5</v>
      </c>
      <c r="E2439" t="n">
        <v>2</v>
      </c>
      <c r="F2439">
        <f>HYPERLINK("https://www.reddit.com/r/cancer/comments/bpydas/xeloda_side_effects/")</f>
        <v/>
      </c>
      <c r="G2439" t="inlineStr">
        <is>
          <t>2019-05-17 16:34:08</t>
        </is>
      </c>
      <c r="H2439" t="inlineStr"/>
    </row>
    <row r="2440">
      <c r="A2440" t="inlineStr">
        <is>
          <t>bq1tjp</t>
        </is>
      </c>
      <c r="B2440" t="inlineStr">
        <is>
          <t>Ankle Brace for Adult 41m</t>
        </is>
      </c>
      <c r="C2440" t="inlineStr">
        <is>
          <t>I have a pirate leg from my tumor in my head.  Was wondering if anyone tried and is happy with an ankle brace they got from a sports store or they saw a doc and went and got one through a phisio place.
I am trying to make sure when I try to walk on grass I do not roll my right ankle outward, or perhaps if it is sturdy enough I might be able to get on a bike.
Thanks,
M.</t>
        </is>
      </c>
      <c r="D2440" t="n">
        <v>5</v>
      </c>
      <c r="E2440" t="n">
        <v>0</v>
      </c>
      <c r="F2440">
        <f>HYPERLINK("https://www.reddit.com/r/cancer/comments/bq1tjp/ankle_brace_for_adult_41m/")</f>
        <v/>
      </c>
      <c r="G2440" t="inlineStr">
        <is>
          <t>2019-05-18 02:00:10</t>
        </is>
      </c>
      <c r="H2440" t="inlineStr"/>
    </row>
    <row r="2441">
      <c r="A2441" t="inlineStr">
        <is>
          <t>bq423u</t>
        </is>
      </c>
      <c r="B2441" t="inlineStr">
        <is>
          <t>Oncologist made me feel Guilty 22F</t>
        </is>
      </c>
      <c r="C2441" t="inlineStr">
        <is>
          <t>Sorry for any formatting issues I writing this from mobile. So some back history on February 3rd I was rushed to the ER in extreme pain. It turned out that my left ovary was twisted and I had a 7in tumor on it as well. On February 4th I had surgery to remove the tumor and untwist my ovary. They had to cut me open vertically cause the tumor was so large. After that I found out that I had Ovarian Cancer. I went to the Oncologist and she wanted to remove the left ovary, left Fallopian tube, and biopsy the surrounding area to see if the cancer had spread. So on March 18th I had the surgery to do all that. She was able to do it laparoscopically and it was a same day surgery. Turns out I am cancer free (Yay best news of my life). On March 29th I go back to see my Oncologist and I have fluid in my side from the surgery. She tells me there is not much that she can do since it is so small and that it should go away on its own. However, I saw here again today (May 17th) cause I was puking for two days, I am still extremely nauseous, and still in constant pain. I was nervous that it might be a problem since she told me that I can get an infection from the fluid. So I saw her and she was kinda pissy and giving me a attitude saying that I shouldn’t be in pain, that the pain and puking can’t be from surgery, (This was my first and only major surgery so I don’t know what to expect) and that I really need to see my regular doctor. I left her office feeling almost guilty that I even went and now I really don’t want to go back (I know I have to) because I’m afraid she is going to deny my pain.</t>
        </is>
      </c>
      <c r="D2441" t="n">
        <v>61</v>
      </c>
      <c r="E2441" t="n">
        <v>35</v>
      </c>
      <c r="F2441">
        <f>HYPERLINK("https://www.reddit.com/r/cancer/comments/bq423u/oncologist_made_me_feel_guilty_22f/")</f>
        <v/>
      </c>
      <c r="G2441" t="inlineStr">
        <is>
          <t>2019-05-18 06:34:35</t>
        </is>
      </c>
      <c r="H2441" t="inlineStr"/>
    </row>
    <row r="2442">
      <c r="A2442" t="inlineStr">
        <is>
          <t>bq4lyw</t>
        </is>
      </c>
      <c r="B2442" t="inlineStr">
        <is>
          <t>About to begin my chemo for my stem transplant in 2 hours and I’m scared.</t>
        </is>
      </c>
      <c r="C2442" t="inlineStr">
        <is>
          <t>I was diagnosed with ALL in January. I was lucky that I had a related match for a transplant. I was really excited for the good news. 
I had 8 sessions of radiation and I’m beyond nauseous. Can’t hold down anything. Staff here wakes me up every 2 hours for vitals &amp;amp; medicine and I’ve had it up to here with everything. I just want to sleep uninterrupted &amp;amp; my body seriously needs a break before I go through this but I don’t have an option as we’re running on a tight schedule.  This chemo parts is scaring me the most, everyone says I’m going to feel even worse &amp;amp; im not ready. 
How have you guys coped with the frustrations when undergoing a stem cell transplant?</t>
        </is>
      </c>
      <c r="D2442" t="n">
        <v>27</v>
      </c>
      <c r="E2442" t="n">
        <v>14</v>
      </c>
      <c r="F2442">
        <f>HYPERLINK("https://www.reddit.com/r/cancer/comments/bq4lyw/about_to_begin_my_chemo_for_my_stem_transplant_in/")</f>
        <v/>
      </c>
      <c r="G2442" t="inlineStr">
        <is>
          <t>2019-05-18 07:32:44</t>
        </is>
      </c>
      <c r="H2442" t="inlineStr"/>
    </row>
    <row r="2443">
      <c r="A2443" t="inlineStr">
        <is>
          <t>bq4xt8</t>
        </is>
      </c>
      <c r="B2443" t="inlineStr">
        <is>
          <t>Has anyone here taken a high dose regime of THC as a treatment for cancer? If you have, was it successful? Was there a weight loss associated with taking it? How did you cope during the 90 days?</t>
        </is>
      </c>
      <c r="C2443" t="inlineStr">
        <is>
          <t>A friend is doing a 90 day regime where the dosage gets increased every six days. Chemo hasn’t been successful in stopping the cancer. So this is a last ditch effort to stop the cancer from spreading any further.</t>
        </is>
      </c>
      <c r="D2443" t="n">
        <v>0</v>
      </c>
      <c r="E2443" t="n">
        <v>9</v>
      </c>
      <c r="F2443">
        <f>HYPERLINK("https://www.reddit.com/r/cancer/comments/bq4xt8/has_anyone_here_taken_a_high_dose_regime_of_thc/")</f>
        <v/>
      </c>
      <c r="G2443" t="inlineStr">
        <is>
          <t>2019-05-18 08:05:02</t>
        </is>
      </c>
      <c r="H2443" t="inlineStr"/>
    </row>
    <row r="2444">
      <c r="A2444" t="inlineStr">
        <is>
          <t>bq6t17</t>
        </is>
      </c>
      <c r="B2444" t="inlineStr">
        <is>
          <t>Brother died this week—what happens with unused prescriptions?</t>
        </is>
      </c>
      <c r="C2444" t="inlineStr">
        <is>
          <t>My brother died on Monday after a nearly three-year fight against stage 4 metastatic melanoma. The pharmacy at his Cancer Center told me I can drop off his leftover prescriptions with them. I was curious about what happens to the more expensive medicine and also what others do in this situation. Do pharmacies always destroy the pills? The painkillers I understand should be disposed of ASAP. I am mostly wondering about his cancer medicine. He had just received a new batch of Mektovi/Braftovi, never even opened the package, and it seems like such a damn shame if it would have to be destroyed. 
&amp;amp;#x200B;
Note: I am not going to send, sell, or give these to anyone, or do anything illegal or even slightly sketchy, so don't bother messaging me.</t>
        </is>
      </c>
      <c r="D2444" t="n">
        <v>7</v>
      </c>
      <c r="E2444" t="n">
        <v>2</v>
      </c>
      <c r="F2444">
        <f>HYPERLINK("https://www.reddit.com/r/cancer/comments/bq6t17/brother_died_this_weekwhat_happens_with_unused/")</f>
        <v/>
      </c>
      <c r="G2444" t="inlineStr">
        <is>
          <t>2019-05-18 10:58:08</t>
        </is>
      </c>
      <c r="H2444" t="inlineStr"/>
    </row>
    <row r="2445">
      <c r="A2445" t="inlineStr">
        <is>
          <t>bq74yy</t>
        </is>
      </c>
      <c r="B2445" t="inlineStr">
        <is>
          <t>ALL, Bone Marrow Transplant and VOD</t>
        </is>
      </c>
      <c r="C2445" t="inlineStr">
        <is>
          <t>My brother has started the process since Easter weekend. Things were ok but apparently he’s been running high fevers for the last two weeks. Two days ago they’ve discovered that he has VOD. His stomach has swelled up and he’s been delirious on and off. They have put him on the only medication available for VOD; two days ago, and yesterday seemed to be ok. He was more aware but at night I was told he was mumbling more, couldn’t control his bowel movement and had to have a catheter inserted cause he could not pee properly. 
Can anyone offer any advice, stories or anything uplifting??</t>
        </is>
      </c>
      <c r="D2445" t="n">
        <v>8</v>
      </c>
      <c r="E2445" t="n">
        <v>0</v>
      </c>
      <c r="F2445">
        <f>HYPERLINK("https://www.reddit.com/r/cancer/comments/bq74yy/all_bone_marrow_transplant_and_vod/")</f>
        <v/>
      </c>
      <c r="G2445" t="inlineStr">
        <is>
          <t>2019-05-18 11:28:13</t>
        </is>
      </c>
      <c r="H2445" t="inlineStr"/>
    </row>
    <row r="2446">
      <c r="A2446" t="inlineStr">
        <is>
          <t>bq79ds</t>
        </is>
      </c>
      <c r="B2446" t="inlineStr">
        <is>
          <t>Why does CHEK2 testing take one to two hours?</t>
        </is>
      </c>
      <c r="C2446" t="inlineStr">
        <is>
          <t>I'm getting tested for CHEK2 next week. On the invitation letter, it says I should prepare for the appointment to last one to two hours. Why?
I thought it was just a blood test, and then six months of waiting? 
The hospital has my mother's patient file, so they know that my direct relative has the mutation.</t>
        </is>
      </c>
      <c r="D2446" t="n">
        <v>6</v>
      </c>
      <c r="E2446" t="n">
        <v>3</v>
      </c>
      <c r="F2446">
        <f>HYPERLINK("https://www.reddit.com/r/cancer/comments/bq79ds/why_does_chek2_testing_take_one_to_two_hours/")</f>
        <v/>
      </c>
      <c r="G2446" t="inlineStr">
        <is>
          <t>2019-05-18 11:39:41</t>
        </is>
      </c>
      <c r="H2446" t="inlineStr"/>
    </row>
    <row r="2447">
      <c r="A2447" t="inlineStr">
        <is>
          <t>bq8r87</t>
        </is>
      </c>
      <c r="B2447" t="inlineStr">
        <is>
          <t>Mom with cancer. Feeling like giving up on life.</t>
        </is>
      </c>
      <c r="C2447" t="inlineStr">
        <is>
          <t>Hey guys right now I’m not my greatest I’m actually my lowest point in life. My moms cancer seems to be getting to her and I’m devastated and needs some support. She gets mad everyday for things and I understand how she’s going through. Dude idk to do. I love her so much why did God allow this to happen?</t>
        </is>
      </c>
      <c r="D2447" t="n">
        <v>14</v>
      </c>
      <c r="E2447" t="n">
        <v>8</v>
      </c>
      <c r="F2447">
        <f>HYPERLINK("https://www.reddit.com/r/cancer/comments/bq8r87/mom_with_cancer_feeling_like_giving_up_on_life/")</f>
        <v/>
      </c>
      <c r="G2447" t="inlineStr">
        <is>
          <t>2019-05-18 13:58:34</t>
        </is>
      </c>
      <c r="H2447" t="inlineStr"/>
    </row>
    <row r="2448">
      <c r="A2448" t="inlineStr">
        <is>
          <t>bq94y3</t>
        </is>
      </c>
      <c r="B2448" t="inlineStr">
        <is>
          <t>Are these leukemia or other cancer symptoms that I have?</t>
        </is>
      </c>
      <c r="C2448" t="inlineStr">
        <is>
          <t>Sore legs sore arms sore joints the pain moves around everywhere one minute it’s my fingers one minute it’s in my legs and no otc drug is helping.  Also a mild rash on my chest. Freaking out . It’s been a week now and no improvement</t>
        </is>
      </c>
      <c r="D2448" t="n">
        <v>2</v>
      </c>
      <c r="E2448" t="n">
        <v>3</v>
      </c>
      <c r="F2448">
        <f>HYPERLINK("https://www.reddit.com/r/cancer/comments/bq94y3/are_these_leukemia_or_other_cancer_symptoms_that/")</f>
        <v/>
      </c>
      <c r="G2448" t="inlineStr">
        <is>
          <t>2019-05-18 14:32:57</t>
        </is>
      </c>
      <c r="H2448" t="inlineStr"/>
    </row>
    <row r="2449">
      <c r="A2449" t="inlineStr">
        <is>
          <t>bq95si</t>
        </is>
      </c>
      <c r="B2449" t="inlineStr">
        <is>
          <t>Has anybody ever hurt from the core of your body?</t>
        </is>
      </c>
      <c r="C2449" t="inlineStr">
        <is>
          <t>The very core of my body, right at the bottom of my rib cage, feels like a giant block of ice.  I can feel it radiating throughout my arms and legs.  Every inch of my body hurts.</t>
        </is>
      </c>
      <c r="D2449" t="n">
        <v>6</v>
      </c>
      <c r="E2449" t="n">
        <v>5</v>
      </c>
      <c r="F2449">
        <f>HYPERLINK("https://www.reddit.com/r/cancer/comments/bq95si/has_anybody_ever_hurt_from_the_core_of_your_body/")</f>
        <v/>
      </c>
      <c r="G2449" t="inlineStr">
        <is>
          <t>2019-05-18 14:35:07</t>
        </is>
      </c>
      <c r="H2449" t="inlineStr"/>
    </row>
    <row r="2450">
      <c r="A2450" t="inlineStr">
        <is>
          <t>bq9n5t</t>
        </is>
      </c>
      <c r="B2450" t="inlineStr">
        <is>
          <t>Dairy foods on cancer</t>
        </is>
      </c>
      <c r="C2450" t="inlineStr">
        <is>
          <t xml:space="preserve">
I recently realize I ate so much of dairy foods. And It definitely impact on my body negatively.
I have not ate more than 6 months even meats. And I do more than 6 hour exercise daily. 
But It didn't impact my body reducing symptom of growing cancer. the symptoms radically improved after I quit dairy just 2 days before.
I think milk and cheese is not properly produced by factory. Milk is delicious but certainly bad for me I recommend for someone to quit all the dairy who can help this experiences.
But In bone problems It would be good. Not for cancer.</t>
        </is>
      </c>
      <c r="D2450" t="n">
        <v>0</v>
      </c>
      <c r="E2450" t="n">
        <v>5</v>
      </c>
      <c r="F2450">
        <f>HYPERLINK("https://www.reddit.com/r/cancer/comments/bq9n5t/dairy_foods_on_cancer/")</f>
        <v/>
      </c>
      <c r="G2450" t="inlineStr">
        <is>
          <t>2019-05-18 15:20:28</t>
        </is>
      </c>
      <c r="H2450" t="inlineStr"/>
    </row>
    <row r="2451">
      <c r="A2451" t="inlineStr">
        <is>
          <t>bqbn8t</t>
        </is>
      </c>
      <c r="B2451" t="inlineStr">
        <is>
          <t>Nurse appreciation post</t>
        </is>
      </c>
      <c r="C2451" t="inlineStr">
        <is>
          <t>Ok so I’m currently fighting my 6th osteosarcoma relapse (F16) and I just spent a week in the hospital for chemo. Nurses are amazing. Due to the timing of my drug trial, I had to be woken up a lot at night, and my night nurse was always so cheerful and just a giant ray of sunshine. My nurses let me know that I had power over my medicine and I had choices in my treatment (which is hard in peds) and I just have so much love and appreciation in my heart for nurses.</t>
        </is>
      </c>
      <c r="D2451" t="n">
        <v>115</v>
      </c>
      <c r="E2451" t="n">
        <v>9</v>
      </c>
      <c r="F2451">
        <f>HYPERLINK("https://www.reddit.com/r/cancer/comments/bqbn8t/nurse_appreciation_post/")</f>
        <v/>
      </c>
      <c r="G2451" t="inlineStr">
        <is>
          <t>2019-05-18 18:55:23</t>
        </is>
      </c>
      <c r="H2451" t="inlineStr"/>
    </row>
    <row r="2452">
      <c r="A2452" t="inlineStr">
        <is>
          <t>bqbodj</t>
        </is>
      </c>
      <c r="B2452" t="inlineStr">
        <is>
          <t>End stage liver cancer</t>
        </is>
      </c>
      <c r="C2452" t="inlineStr">
        <is>
          <t>A very close family member to me has metastasized liver cancer. Two days ago doctors finally told her there's nothing they can do. After switching her chemotherapy to a very mild one (side effects were being too crippling for her and it can't save her anyway) she's starting to perk up. She's eating better, her appetite increased like crazy and she's going outside again (on a wheelchair, she has deteriorated massively but it's partly also due to the chemo's side effects -she barely ate until now and was very anemic- so it's difficult to gauge until her body readjusts)  to do all the things she wants to do.
I just want to know how long. Even though she seems happier (she is accepting it as she can) I know she will deteriorate again until dying, but I have no idea when it might happen. I looked up online and I got 3 months as an answer. I need to know if anyone else has an approximate or any experience. This is my first time losing a family member to cancer. I lost a parent not even 5 years ago and it's very hard for me to think i could lose someone else in a couple of months. I really can't do it.</t>
        </is>
      </c>
      <c r="D2452" t="n">
        <v>11</v>
      </c>
      <c r="E2452" t="n">
        <v>2</v>
      </c>
      <c r="F2452">
        <f>HYPERLINK("https://www.reddit.com/r/cancer/comments/bqbodj/end_stage_liver_cancer/")</f>
        <v/>
      </c>
      <c r="G2452" t="inlineStr">
        <is>
          <t>2019-05-18 18:58:55</t>
        </is>
      </c>
      <c r="H2452" t="inlineStr"/>
    </row>
    <row r="2453">
      <c r="A2453" t="inlineStr">
        <is>
          <t>bqbym0</t>
        </is>
      </c>
      <c r="B2453" t="inlineStr">
        <is>
          <t>I’ve pretty much lost the use of my left hand.</t>
        </is>
      </c>
      <c r="C2453" t="inlineStr">
        <is>
          <t>The first craniotomy I had, the surgeon scraped my brain stem. That left me temporarily paralyzed on my left side as well as other issues. I used to go to OT and PT during my treatment but have stopped going as I am now 6 years post treatment. I never thought it would happen but I can’t use my hand normally anymore. I can’t hold anything without dropping it. I don’t know what to do anymore.</t>
        </is>
      </c>
      <c r="D2453" t="n">
        <v>8</v>
      </c>
      <c r="E2453" t="n">
        <v>1</v>
      </c>
      <c r="F2453">
        <f>HYPERLINK("https://www.reddit.com/r/cancer/comments/bqbym0/ive_pretty_much_lost_the_use_of_my_left_hand/")</f>
        <v/>
      </c>
      <c r="G2453" t="inlineStr">
        <is>
          <t>2019-05-18 19:31:12</t>
        </is>
      </c>
      <c r="H2453" t="inlineStr"/>
    </row>
    <row r="2454">
      <c r="A2454" t="inlineStr">
        <is>
          <t>bqg3ts</t>
        </is>
      </c>
      <c r="B2454" t="inlineStr">
        <is>
          <t>I have osteosarcoma and have been in the hospital for a month now</t>
        </is>
      </c>
      <c r="C2454" t="inlineStr">
        <is>
          <t>My anc is 0 and I keep biting my tongue in my sleep and it won’t heal until I get my anc count to go up. It’s causes me to not be able to eat or drink anything and now I’m losing so much weight it makes me sad. It feels like my tongue is being stung by bees all the time and no pain meds have even helped idk what to do</t>
        </is>
      </c>
      <c r="D2454" t="n">
        <v>14</v>
      </c>
      <c r="E2454" t="n">
        <v>10</v>
      </c>
      <c r="F2454">
        <f>HYPERLINK("https://www.reddit.com/r/cancer/comments/bqg3ts/i_have_osteosarcoma_and_have_been_in_the_hospital/")</f>
        <v/>
      </c>
      <c r="G2454" t="inlineStr">
        <is>
          <t>2019-05-19 04:56:54</t>
        </is>
      </c>
      <c r="H2454" t="inlineStr"/>
    </row>
    <row r="2455">
      <c r="A2455" t="inlineStr">
        <is>
          <t>bqg7jx</t>
        </is>
      </c>
      <c r="B2455" t="inlineStr">
        <is>
          <t>Cervical cancer questions</t>
        </is>
      </c>
      <c r="C2455" t="inlineStr">
        <is>
          <t>Hello, new here.
I had a colposcopy with a biopsy done of my cervix two days ago. I get results next week and I'm very scared that I might have cervical cancer.
Has anyone had it? What are the symptoms?
I'm clueless and need support. Thank you all!</t>
        </is>
      </c>
      <c r="D2455" t="n">
        <v>0</v>
      </c>
      <c r="E2455" t="n">
        <v>3</v>
      </c>
      <c r="F2455">
        <f>HYPERLINK("https://www.reddit.com/r/cancer/comments/bqg7jx/cervical_cancer_questions/")</f>
        <v/>
      </c>
      <c r="G2455" t="inlineStr">
        <is>
          <t>2019-05-19 05:08:55</t>
        </is>
      </c>
      <c r="H2455" t="inlineStr"/>
    </row>
    <row r="2456">
      <c r="A2456" t="inlineStr">
        <is>
          <t>bqin4m</t>
        </is>
      </c>
      <c r="B2456" t="inlineStr">
        <is>
          <t>Are there non-steroidal treatments for stage 2 breast cancer?</t>
        </is>
      </c>
      <c r="C2456" t="inlineStr">
        <is>
          <t>I have a relative who's horrified by the bodily changes the steroids have had on them, without going into detail, and I want to research if there's the potential for chemo treatment without steroidal assistance in this day and age?</t>
        </is>
      </c>
      <c r="D2456" t="n">
        <v>7</v>
      </c>
      <c r="E2456" t="n">
        <v>6</v>
      </c>
      <c r="F2456">
        <f>HYPERLINK("https://www.reddit.com/r/cancer/comments/bqin4m/are_there_nonsteroidal_treatments_for_stage_2/")</f>
        <v/>
      </c>
      <c r="G2456" t="inlineStr">
        <is>
          <t>2019-05-19 09:09:09</t>
        </is>
      </c>
      <c r="H2456" t="inlineStr"/>
    </row>
    <row r="2457">
      <c r="A2457" t="inlineStr">
        <is>
          <t>bqiwqa</t>
        </is>
      </c>
      <c r="B2457" t="inlineStr">
        <is>
          <t>Momento ideas to cherish</t>
        </is>
      </c>
      <c r="C2457" t="inlineStr">
        <is>
          <t>Recently my mom went in for a routine mammogram and the results came back positive, for breast cancer. Further testing was ordered and we just received the report on the PET scan. The results were also not favorable, she is stage four. The cancer has spread pretty much everywhere besides her legs. 
I haven't had to deal with the death of a loved one before, so i havent had to deal with this kind of loss. Due to my inexperience in this area, I'm not sure what kind of momentos I should be working towards. I'm looking for some advice and ideas that I could start working on now. I feel that in the future I'll want momentos to cherish so I want to make the most of the time we have left now. 
What I have come up with so far is purchasing a gopro. With this ill have videos of her voice and some pictures. Any further advice would be very much appreciated. Thank you.</t>
        </is>
      </c>
      <c r="D2457" t="n">
        <v>9</v>
      </c>
      <c r="E2457" t="n">
        <v>3</v>
      </c>
      <c r="F2457">
        <f>HYPERLINK("https://www.reddit.com/r/cancer/comments/bqiwqa/momento_ideas_to_cherish/")</f>
        <v/>
      </c>
      <c r="G2457" t="inlineStr">
        <is>
          <t>2019-05-19 09:32:59</t>
        </is>
      </c>
      <c r="H2457" t="inlineStr"/>
    </row>
    <row r="2458">
      <c r="A2458" t="inlineStr">
        <is>
          <t>bqkq06</t>
        </is>
      </c>
      <c r="B2458" t="inlineStr">
        <is>
          <t>A few of our planning tips - perhaps Reddit can offer more!</t>
        </is>
      </c>
      <c r="C2458" t="inlineStr">
        <is>
          <t>As my cancer progresses I can feel myself getting weaker.  I simply don't have the energy for endless meet and greets, meal drop offs or other unannounced visitors.  Please don't get the impression that I'm ungrateful, far from it.  My wife and I are quite outgoing people and we're lucky to have so many friends who want to help.
The problem is, they all seem to want to help at once!  We have so many dinners in the freezer we could eat for week with no need to cook.  At weekends people just want to pop round, say hello and have a chat.  We love all that stuff but as we know as cancer patients, it can at times be overwhelming.  I'm mostly to blame as I find it really hard to say no!
We were told in hospital that my energy is like a glass of water and I only get one a day - so use it wisely.  I have to make sure I get at least 12 more days as I want to make it past my daughter birthday.
So, we have decided to put a few strategies in place to help manage.
The first one is Meal Train - link below - so our friends can help in an organized manner.
https://www.mealtrain.com/?a=aw&amp;amp;gclid=EAIaIQobChMIquDls6Go4gIVTA4rCh02YgnREAAYASAAEgJmi_D_BwE
The second was a FB messages saying politely that we can only see people who are in the diary so we can manage day 2 per day.  This gives me enough time for resting, sleeping and managing energy levels.
Soon for the door that if you are dropping of a meal unannounced, just leave it on the step and we'll find it later.  This removes a 30 - 40 minute catch up which, typically towards the end of the day, can be shattering.
Reddit may have some other ideas and if love to hear them.</t>
        </is>
      </c>
      <c r="D2458" t="n">
        <v>37</v>
      </c>
      <c r="E2458" t="n">
        <v>10</v>
      </c>
      <c r="F2458">
        <f>HYPERLINK("https://www.reddit.com/r/cancer/comments/bqkq06/a_few_of_our_planning_tips_perhaps_reddit_can/")</f>
        <v/>
      </c>
      <c r="G2458" t="inlineStr">
        <is>
          <t>2019-05-19 12:10:15</t>
        </is>
      </c>
      <c r="H2458" t="inlineStr"/>
    </row>
    <row r="2459">
      <c r="A2459" t="inlineStr">
        <is>
          <t>bqla5o</t>
        </is>
      </c>
      <c r="B2459" t="inlineStr">
        <is>
          <t>Cervical Cancer with Pelvic Pain</t>
        </is>
      </c>
      <c r="C2459" t="inlineStr">
        <is>
          <t>I was just diagnosed with cervical cancer in March and had d &amp;amp; c and conization on 4/15. 
I mentioned to my oncologist that I've had ongoing extreme pelvic pain around my hips for at least 2-3 months before being diagnosed. I thought I'd somehow messed up my hips, until I realized my pain is where my lymph nodes are.  My oncologist doesn't make assumptions, so he just made note of it w/o telling me all the potential causes, etc.
My conization biopsy showed cancer in my lymphatic channels, so I'm much more concerned about the pain now. I see my doc in 3 days to schedule surgery to remove lymph nodes for biopsy.
I'll have answers in a month or so, but the internet just keeps throwing "advanced cervical cancer" at me for these symptoms. My biopsy results showed negative margins and no cancer in my uterus so I don't fall under that category. It could have spread to my lymph nodes obviously, but I'm not having luck finding if that could be causing my pain, or if my pain could be completely unrelated to my cancer.
Has anyone experienced something similar?</t>
        </is>
      </c>
      <c r="D2459" t="n">
        <v>5</v>
      </c>
      <c r="E2459" t="n">
        <v>3</v>
      </c>
      <c r="F2459">
        <f>HYPERLINK("https://www.reddit.com/r/cancer/comments/bqla5o/cervical_cancer_with_pelvic_pain/")</f>
        <v/>
      </c>
      <c r="G2459" t="inlineStr">
        <is>
          <t>2019-05-19 12:57:46</t>
        </is>
      </c>
      <c r="H2459" t="inlineStr"/>
    </row>
    <row r="2460">
      <c r="A2460" t="inlineStr">
        <is>
          <t>bqmby5</t>
        </is>
      </c>
      <c r="B2460" t="inlineStr">
        <is>
          <t>How do you not go insane, being confided to a single room?</t>
        </is>
      </c>
      <c r="C2460" t="inlineStr">
        <is>
          <t>I've still got 2 1/2 weeks until I can go home. I can only watch so much Youtube, or play a game for so long until I pass out, and I can't even cry without losing a liter of blood. I don't know how to deal with this, I just want it to be over.</t>
        </is>
      </c>
      <c r="D2460" t="n">
        <v>2</v>
      </c>
      <c r="E2460" t="n">
        <v>0</v>
      </c>
      <c r="F2460">
        <f>HYPERLINK("https://www.reddit.com/r/cancer/comments/bqmby5/how_do_you_not_go_insane_being_confided_to_a/")</f>
        <v/>
      </c>
      <c r="G2460" t="inlineStr">
        <is>
          <t>2019-05-19 14:28:26</t>
        </is>
      </c>
      <c r="H2460" t="inlineStr"/>
    </row>
    <row r="2461">
      <c r="A2461" t="inlineStr">
        <is>
          <t>bqpxf7</t>
        </is>
      </c>
      <c r="B2461" t="inlineStr">
        <is>
          <t>Just over a month ago, they found a malignant lesion on my liver. I was due to start chemo on the 7th. I went to the ER on the 5th and was diagnosed with AML.</t>
        </is>
      </c>
      <c r="C2461" t="inlineStr">
        <is>
          <t>The leukemia hit me like a ton of bricks out of nowhere. It caused bleeding in my brain, a clot in my leg, and bruising everywhere. My WBC was 400 in the ER. What brought me in was priapism(erection that won't go away) early in the morning. It was caused by ischemia because my blood was so thick. I'm on my 7th day out of 7 of chemo of the AML. Hasn't been too brutal but I'll be in the hospital for at least three more weeks. I've had a hell of a ride, and it just keeps getting crazier.</t>
        </is>
      </c>
      <c r="D2461" t="n">
        <v>26</v>
      </c>
      <c r="E2461" t="n">
        <v>10</v>
      </c>
      <c r="F2461">
        <f>HYPERLINK("https://www.reddit.com/r/cancer/comments/bqpxf7/just_over_a_month_ago_they_found_a_malignant/")</f>
        <v/>
      </c>
      <c r="G2461" t="inlineStr">
        <is>
          <t>2019-05-19 20:02:38</t>
        </is>
      </c>
      <c r="H2461" t="inlineStr"/>
    </row>
    <row r="2462">
      <c r="A2462" t="inlineStr">
        <is>
          <t>bqqh6x</t>
        </is>
      </c>
      <c r="B2462" t="inlineStr">
        <is>
          <t>Today we ended my chemotherapy treatment.</t>
        </is>
      </c>
      <c r="C2462" t="inlineStr">
        <is>
          <t>In my situation, there are two things I most want.  More time and no pain.  I also have a goal that I must meet which if to make it past my daughter's birthday.  Hers is the last of the family at the end of May.
The cancer growth in my liver had raised grave concerns with my oncologist that administering it may set me back, it at worst be fatal.  Therefore we have determined to cease chemo knowing I will likely live longer without it.
It's been a tough morning but my outlook does not change.  Spend as much quality time as I can with my family, rest and recover whenever I can and extract as much enjoyment as I can.
Still not over yet and still fighting.</t>
        </is>
      </c>
      <c r="D2462" t="n">
        <v>134</v>
      </c>
      <c r="E2462" t="n">
        <v>22</v>
      </c>
      <c r="F2462">
        <f>HYPERLINK("https://www.reddit.com/r/cancer/comments/bqqh6x/today_we_ended_my_chemotherapy_treatment/")</f>
        <v/>
      </c>
      <c r="G2462" t="inlineStr">
        <is>
          <t>2019-05-19 20:52:32</t>
        </is>
      </c>
      <c r="H2462" t="inlineStr"/>
    </row>
    <row r="2463">
      <c r="A2463" t="inlineStr">
        <is>
          <t>bqr7ve</t>
        </is>
      </c>
      <c r="B2463" t="inlineStr">
        <is>
          <t>Help me understand a dotatate scan "Impression" writeup.</t>
        </is>
      </c>
      <c r="C2463" t="inlineStr">
        <is>
          <t>I have been dealing with cancer in my liver for a number of years now. Recently I had a PET Ga-68 Dotatate scan to check for spread beyond the liver (I get one each year), and the "impression" by the attending radiologist just posted.
&amp;gt;IMPRESSION: 
&amp;gt;1.  Redemonstration of multiple liver metastases, visually similar to 
before, allowing for technical differences. The largest lesion is in the posterior
dome and reaches a maximum SUV of 51.6.
&amp;gt;2.  Interim resolution of previously seen lesions in upper pelvis in 
mesentery 
&amp;gt;3.  New right posterior ileum lesion near SI joint.  SUV
maximum 5.5 where the CT shows increased density.
&amp;gt;4.  Absent thyroid visualization. Clinical correlation suggested. 
&amp;gt;There has been mixed interval changes. 
I realize that each person is unique and the best person to talk to is the doctors themselves, but I dont have the meeting until a week from now and I just want some feedback from other cancer patients (or doctors/nurses) who know what certain terminology means for each point.
Can anyone break this "Impression" down for me and provide me with feedback on what to ask the doctors in a week?</t>
        </is>
      </c>
      <c r="D2463" t="n">
        <v>4</v>
      </c>
      <c r="E2463" t="n">
        <v>6</v>
      </c>
      <c r="F2463">
        <f>HYPERLINK("https://www.reddit.com/r/cancer/comments/bqr7ve/help_me_understand_a_dotatate_scan_impression/")</f>
        <v/>
      </c>
      <c r="G2463" t="inlineStr">
        <is>
          <t>2019-05-19 22:08:01</t>
        </is>
      </c>
      <c r="H2463" t="inlineStr"/>
    </row>
    <row r="2464">
      <c r="A2464" t="inlineStr">
        <is>
          <t>bqrg3h</t>
        </is>
      </c>
      <c r="B2464" t="inlineStr">
        <is>
          <t>Is it possible I have lung cancer?</t>
        </is>
      </c>
      <c r="C2464" t="inlineStr">
        <is>
          <t>I am only 19, but I have been a chronic weed smoker for about 4 years. I smoked a lot of blunts with natural tobacco leafs so it was just not cannabis. On top of blunts I’ve smoked bongs too everyday for years. 
I have been having this weird tightness on just my left side which feels like my lung or chest. I have been coughing up this dark stuff for awhile and have had a bad cough daily it just feels like somethings in my
Throat.</t>
        </is>
      </c>
      <c r="D2464" t="n">
        <v>0</v>
      </c>
      <c r="E2464" t="n">
        <v>7</v>
      </c>
      <c r="F2464">
        <f>HYPERLINK("https://www.reddit.com/r/cancer/comments/bqrg3h/is_it_possible_i_have_lung_cancer/")</f>
        <v/>
      </c>
      <c r="G2464" t="inlineStr">
        <is>
          <t>2019-05-19 22:33:21</t>
        </is>
      </c>
      <c r="H2464" t="inlineStr"/>
    </row>
    <row r="2465">
      <c r="A2465" t="inlineStr">
        <is>
          <t>bqv941</t>
        </is>
      </c>
      <c r="B2465" t="inlineStr">
        <is>
          <t>That "Is this the beginning of the end" feeling.</t>
        </is>
      </c>
      <c r="C2465" t="inlineStr">
        <is>
          <t>As my flair says, I have stage IV breast cancer. I was diagnosed a little more than a year ago. The past 2 weeks, I've developed these intense pains in my hips, lower back and sacral region. I went to see my PT. She was surprised at how much strength I'd lost in my legs. Since then, nothing seems to help : medication, exercice, stretching. The pain wakes me up at night. 
I've left a message to my nurse at the oncology centre. Waiting for her to get back at me. 
I'm left with that lingering feeling of wondering if my life is about to be turned upside down for the X times the past 4 years. It sucks so hard.</t>
        </is>
      </c>
      <c r="D2465" t="n">
        <v>62</v>
      </c>
      <c r="E2465" t="n">
        <v>40</v>
      </c>
      <c r="F2465">
        <f>HYPERLINK("https://www.reddit.com/r/cancer/comments/bqv941/that_is_this_the_beginning_of_the_end_feeling/")</f>
        <v/>
      </c>
      <c r="G2465" t="inlineStr">
        <is>
          <t>2019-05-20 06:01:38</t>
        </is>
      </c>
      <c r="H2465" t="inlineStr"/>
    </row>
    <row r="2466">
      <c r="A2466" t="inlineStr">
        <is>
          <t>bqwlc4</t>
        </is>
      </c>
      <c r="B2466" t="inlineStr">
        <is>
          <t>The significance of 5 year survival?</t>
        </is>
      </c>
      <c r="C2466" t="inlineStr">
        <is>
          <t>I can't find a clear answer on this using Google, but what's the significance of five years? Does being cancer-free or surviving cancer for five years mean that you're probably in the clear, and that you have good odds of living out a normal lifespan?
I certainly hope that's what it means. Surviving for five years, but not necessarily much longer than that, doesn't sound like anything that great to me. "You're 43 years old and might live slightly longer than age 48, isn't that wonderful?"</t>
        </is>
      </c>
      <c r="D2466" t="n">
        <v>1</v>
      </c>
      <c r="E2466" t="n">
        <v>0</v>
      </c>
      <c r="F2466">
        <f>HYPERLINK("https://www.reddit.com/r/cancer/comments/bqwlc4/the_significance_of_5_year_survival/")</f>
        <v/>
      </c>
      <c r="G2466" t="inlineStr">
        <is>
          <t>2019-05-20 07:57:43</t>
        </is>
      </c>
      <c r="H2466" t="inlineStr"/>
    </row>
    <row r="2467">
      <c r="A2467" t="inlineStr">
        <is>
          <t>bqxrtk</t>
        </is>
      </c>
      <c r="B2467" t="inlineStr">
        <is>
          <t>When you have scans</t>
        </is>
      </c>
      <c r="C2467" t="inlineStr">
        <is>
          <t>Do you feel like you can tell when they see something wrong? I just had a PET scan. First one ever in my two year cancer journey. 
Sometimes when I have a scan I feel like I can tell they saw something. Like my bone scan a few months ago, the tech cams into the room at a seemingly odd moment just to say “sometimes it take a little longer, but don’t worry, that doesn’t mean anything is wrong.” (Turned out there was a hot spot on my hip.)
Other times to techs have perfect poker faces and I find out later something was seen. 
Today, the radiologist wasn’t even available to look at my scans while I was still there and the tech just told me when the radiologist got back (probably from lunch or something) they would be reviewed.
So I couldn’t get a sense of whether anything lit up. Before the scan, the tech told me I’m small and it would probably take about 14 minutes (an odd random number but whatever). It ended up taking about a half hour. 
So just wondering if anyone has noticed any “tells” that help you figure out if anything worrisome was seen during a scan.</t>
        </is>
      </c>
      <c r="D2467" t="n">
        <v>9</v>
      </c>
      <c r="E2467" t="n">
        <v>10</v>
      </c>
      <c r="F2467">
        <f>HYPERLINK("https://www.reddit.com/r/cancer/comments/bqxrtk/when_you_have_scans/")</f>
        <v/>
      </c>
      <c r="G2467" t="inlineStr">
        <is>
          <t>2019-05-20 09:29:18</t>
        </is>
      </c>
      <c r="H2467" t="inlineStr"/>
    </row>
    <row r="2468">
      <c r="A2468" t="inlineStr">
        <is>
          <t>bqyo90</t>
        </is>
      </c>
      <c r="B2468" t="inlineStr">
        <is>
          <t>Cisplatinum and clotting?</t>
        </is>
      </c>
      <c r="C2468" t="inlineStr">
        <is>
          <t>Did anyone else have clotting issues with Cisplatinum. When I was going through BEP treatment for testicular cancer there were 2 other guys having the same treatment. 1 had a clot in his arm, another had a pulmonary.
I was apparently the unlucky 1 in a million to have the clot make it to my brain and had a full  carotid artery blockage stroke.  This was during round 1 of 3. I went on blood thinners and finished chemo.
Nearly full recovery from the stroke, and coming up on my 1 year cancer free mark in July.
Just wondering how rare this is or if others have had similar problems?</t>
        </is>
      </c>
      <c r="D2468" t="n">
        <v>8</v>
      </c>
      <c r="E2468" t="n">
        <v>4</v>
      </c>
      <c r="F2468">
        <f>HYPERLINK("https://www.reddit.com/r/cancer/comments/bqyo90/cisplatinum_and_clotting/")</f>
        <v/>
      </c>
      <c r="G2468" t="inlineStr">
        <is>
          <t>2019-05-20 10:38:40</t>
        </is>
      </c>
      <c r="H2468" t="inlineStr"/>
    </row>
    <row r="2469">
      <c r="A2469" t="inlineStr">
        <is>
          <t>bqz4ob</t>
        </is>
      </c>
      <c r="B2469" t="inlineStr">
        <is>
          <t>Anyone have chemo/radiation triggered menopause?</t>
        </is>
      </c>
      <c r="C2469" t="inlineStr">
        <is>
          <t>Did anything help? I’m 39. Apparently the symptoms of cancer and chemo weren’t unpleasant enough. I’m at a loss.</t>
        </is>
      </c>
      <c r="D2469" t="n">
        <v>14</v>
      </c>
      <c r="E2469" t="n">
        <v>6</v>
      </c>
      <c r="F2469">
        <f>HYPERLINK("https://www.reddit.com/r/cancer/comments/bqz4ob/anyone_have_chemoradiation_triggered_menopause/")</f>
        <v/>
      </c>
      <c r="G2469" t="inlineStr">
        <is>
          <t>2019-05-20 11:14:12</t>
        </is>
      </c>
      <c r="H2469" t="inlineStr"/>
    </row>
    <row r="2470">
      <c r="A2470" t="inlineStr">
        <is>
          <t>bqz5p7</t>
        </is>
      </c>
      <c r="B2470" t="inlineStr">
        <is>
          <t>Need advice</t>
        </is>
      </c>
      <c r="C2470" t="inlineStr">
        <is>
          <t>I'm sorry if this is the wrong place for this. But I've been having alarming symptoms and my GP's are acting like it's nothing to be concerned about when it really is. I've been referred to a gastroenterologist and I'm being made to wait 8 weeks for that appointment. The reason they're acting like this is because I'm "too young for colon cancer" (22).i don't want to be another statistic. I'm freaking out and this is ruining my life. All I want to know is how can I speed up this process? How can I make them see this as urgent?</t>
        </is>
      </c>
      <c r="D2470" t="n">
        <v>0</v>
      </c>
      <c r="E2470" t="n">
        <v>17</v>
      </c>
      <c r="F2470">
        <f>HYPERLINK("https://www.reddit.com/r/cancer/comments/bqz5p7/need_advice/")</f>
        <v/>
      </c>
      <c r="G2470" t="inlineStr">
        <is>
          <t>2019-05-20 11:16:22</t>
        </is>
      </c>
      <c r="H2470" t="inlineStr"/>
    </row>
    <row r="2471">
      <c r="A2471" t="inlineStr">
        <is>
          <t>bqzike</t>
        </is>
      </c>
      <c r="B2471" t="inlineStr">
        <is>
          <t>What makes Colorectal cancer so rare in young adults?</t>
        </is>
      </c>
      <c r="C2471" t="inlineStr">
        <is>
          <t>I've had a few scares this year, currently going through one and it's scaring the hell out of me. I stay up all night reading all the threads on here, some freak me out more but others are extremely inspiring!
I just wanted to know because I can't seem to find an answer anywhere. But what is it that makes Colorectal cancer so rare in young adults? I'm 22 and I've had 4 doctors make me feel silly for being alarmed at my symptoms. One doctor even said that my symptoms would be red flag, If I wasnt 22 years old. That really annoyed me.</t>
        </is>
      </c>
      <c r="D2471" t="n">
        <v>9</v>
      </c>
      <c r="E2471" t="n">
        <v>12</v>
      </c>
      <c r="F2471">
        <f>HYPERLINK("https://www.reddit.com/r/cancer/comments/bqzike/what_makes_colorectal_cancer_so_rare_in_young/")</f>
        <v/>
      </c>
      <c r="G2471" t="inlineStr">
        <is>
          <t>2019-05-20 11:44:50</t>
        </is>
      </c>
      <c r="H2471" t="inlineStr"/>
    </row>
    <row r="2472">
      <c r="A2472" t="inlineStr">
        <is>
          <t>br01mk</t>
        </is>
      </c>
      <c r="B2472" t="inlineStr">
        <is>
          <t>Feel like a fool.</t>
        </is>
      </c>
      <c r="C2472" t="inlineStr">
        <is>
          <t>About a year ago I noticed one of my pupils was slightly smaller than the other. I did a search of the internet and came to the uneducated conclusion it was simple anisocoria. 
13 months have gone by and 3 weeks ago I started experiencing search of the internet scared the hell out of me. This is a symptom typical of Pancoast Syndrome (Lung Cancer).
Going through photos I had taken of myself I noticed somethign even more alarming. The eye with the small pupil looked droopy. Another symptom.
Oh shit.
The shoulder pain ended up reaching a 4/10 on the pain scale and then slowly faded. I wrote it off as being part of my job, pulling large carts with hundred of lbs of materials and stocking them.
My 3rd symptom appeared a day or 2 after I came to  the revelation of my error. Rapidnunexplained weight loss. About 8 lbs in the last two weeks. 
I can't wait anymore. I made an appointment with an opthemologist for tomorrow to confirm Horner's syndrome. And got prices for some ct scans depending on the results. Suprisingly affordable without insurance.
I have some questions of people don't mind answering. 
Assuming the worst case scenario where would I go after the 3rd party scans that confirmed lung cancer? To a hospital for a biopsy? I dont have health insurance insurance and biopsy is way more expensive than imaging and eye exams.
Can I take a ct scan to a DHS to help expedite Medicaid? I submitted online paperwork for it yestarday hoping to hear back soon.
Im assuming the cancer would be advanced, considering the length of time that had passed between my self eye exam and 2 weeks ago. Ive read the statistic online for stage IV and I'm prepared to fight. I live in Grand Rapids, Michigan and have several top notch hospitals. Even if I can make it a few more months or a year past the prognosis I'd be happy. Does Medicare covered treatments like Cyberknife?  Does it cover looking for biomarkers for Keytruda and the like?
I feel like an idiot. I happened to notice my pupils almost a year ago and wasted the gift of knowing well in advance of any malignancies. 
Im not sleeping or eating well. Ive put in thousands of extra steps just.pacing back and forth. And I'm extremely nervous. I wouldnt know how to tell my parents if worst comes to worst. 
Thanks for readinng, and if anyone has any questions or input I'll be happy to respond.
Thanks you.</t>
        </is>
      </c>
      <c r="D2472" t="n">
        <v>11</v>
      </c>
      <c r="E2472" t="n">
        <v>8</v>
      </c>
      <c r="F2472">
        <f>HYPERLINK("https://www.reddit.com/r/cancer/comments/br01mk/feel_like_a_fool/")</f>
        <v/>
      </c>
      <c r="G2472" t="inlineStr">
        <is>
          <t>2019-05-20 12:25:26</t>
        </is>
      </c>
      <c r="H2472" t="inlineStr"/>
    </row>
    <row r="2473">
      <c r="A2473" t="inlineStr">
        <is>
          <t>br0c07</t>
        </is>
      </c>
      <c r="B2473" t="inlineStr">
        <is>
          <t>Should I push for further testing when my dr says it’s nothing to worry about? (Cervical cancer)</t>
        </is>
      </c>
      <c r="C2473" t="inlineStr">
        <is>
          <t>Hope this is within community guidelines as I’m actively getting tested... using a side account also. 
Background: 24/F. Been getting Pap smears since I was 18. All had been normal except in 2017 when I was 22 I got ASCUS. I was told it was nothing to worry about because I tested negative for the strains of hpv. In 2018 my result was normal. Now, I just got my 2019 result (my dr screens me every year instead of every 3..) and it is LGSIL (low grade squamous intraepithelial lesion), which is a step above ASCUS (abnormal squamous cells of unknown significance). 
My doctor maintains that this is nothing to worry about and I’ll just have to come back in a year for another screen. This isn’t sitting right with me. I am 24 and have had two abnormal pap smears so far? I want further exploratory testing but fear I will be blown off because I am young. Any guidance on pushing for further testing when you don’t think your doctor is taking it as seriously?</t>
        </is>
      </c>
      <c r="D2473" t="n">
        <v>7</v>
      </c>
      <c r="E2473" t="n">
        <v>6</v>
      </c>
      <c r="F2473">
        <f>HYPERLINK("https://www.reddit.com/r/cancer/comments/br0c07/should_i_push_for_further_testing_when_my_dr_says/")</f>
        <v/>
      </c>
      <c r="G2473" t="inlineStr">
        <is>
          <t>2019-05-20 12:47:20</t>
        </is>
      </c>
      <c r="H2473" t="inlineStr"/>
    </row>
    <row r="2474">
      <c r="A2474" t="inlineStr">
        <is>
          <t>br11j3</t>
        </is>
      </c>
      <c r="B2474" t="inlineStr">
        <is>
          <t>I got diagnosed last week with testicular cancer, anyone can help me understanding what I'm feeling?</t>
        </is>
      </c>
      <c r="C2474" t="inlineStr">
        <is>
          <t>Basically this is my tl;dr story:
Wednesday got an [ultrasound that revealed a tumor/cancer](https://imgur.com/a/8ze4b5O), I panicked for a bit, made an appointment for next week for a biopsy, became an expert in ball cancer in 3 days and kinda relaxed because I read that's pretty common and easily fixable, but also that it could spread to the lymphs. Yesterday and the day before I felt like my low right abdomen kinda burning low constantly. Note that I also had diahrrea in these days. 
Now, today I just got a second doctor's opinion and better ultrasound since the first doctor made it because luckily he had this intuition during the visit and the ultrasound machine was free, and he told me to relax, said me that it's cancer/tumor for sure and they'll have to chop my ball basically during the biopsy (idc about my ball, if it stops the pain and the being eaten alive sensation) 
BUT
During the visit he also started Feeling with hand both pelvis (that was also discomfortable before) and the abdomen, on the left and where it hurted yesterday. Also today evening (an hour ago) I felt pain in that same spot. Is it a sign that cancer is spreading to the lymphs? Can one feel it or I'm just focusing on it too much that I feel unexisting sensations?
Also [this](https://imgur.com/a/STkRseK) was the second ultrasound, could possibly anyone help me understand how long I had this growing by this?</t>
        </is>
      </c>
      <c r="D2474" t="n">
        <v>20</v>
      </c>
      <c r="E2474" t="n">
        <v>27</v>
      </c>
      <c r="F2474">
        <f>HYPERLINK("https://www.reddit.com/r/cancer/comments/br11j3/i_got_diagnosed_last_week_with_testicular_cancer/")</f>
        <v/>
      </c>
      <c r="G2474" t="inlineStr">
        <is>
          <t>2019-05-20 13:42:25</t>
        </is>
      </c>
      <c r="H2474" t="inlineStr"/>
    </row>
    <row r="2475">
      <c r="A2475" t="inlineStr">
        <is>
          <t>br3qti</t>
        </is>
      </c>
      <c r="B2475" t="inlineStr">
        <is>
          <t>Is general cancer susceptibility a thing?</t>
        </is>
      </c>
      <c r="C2475" t="inlineStr">
        <is>
          <t>So I am extremely concerned about some ongoing health issues I’ve been having &amp;amp; have an appt this week with my dr to discuss. In the meantime I am making myself sick with worry of course.. anyways, I am wondering if there is a lot of cancer in my family, but different kinds, could that be genetic or is it just bad luck?</t>
        </is>
      </c>
      <c r="D2475" t="n">
        <v>1</v>
      </c>
      <c r="E2475" t="n">
        <v>2</v>
      </c>
      <c r="F2475">
        <f>HYPERLINK("https://www.reddit.com/r/cancer/comments/br3qti/is_general_cancer_susceptibility_a_thing/")</f>
        <v/>
      </c>
      <c r="G2475" t="inlineStr">
        <is>
          <t>2019-05-20 17:41:50</t>
        </is>
      </c>
      <c r="H2475" t="inlineStr"/>
    </row>
    <row r="2476">
      <c r="A2476" t="inlineStr">
        <is>
          <t>br4gwj</t>
        </is>
      </c>
      <c r="B2476" t="inlineStr">
        <is>
          <t>Post-chemo (baldness) gifts?</t>
        </is>
      </c>
      <c r="C2476" t="inlineStr">
        <is>
          <t>I hope this is ok. My mom doesn't have cancer, but she has an autoimmune disease called CIDP. She's had it for 18 years, and she's currently undergoing a treatment called a stem cell transplant that should hopefully stop the disease completely. (I believe HSCT is also done for some kinds of cancers as well though)
Part of the process is high dosage chemo to completely destroy the immune system before putting her stem cells back in her. She told me she'd lose her hair, but I guess I didn't believe her because it still surprised me haha 
Anyways, she's almost done with this treatment. She'll return to the US in a weekish or so, and she asked me to find something for her head. Right now she's wearing baseball hats, but she says they rub. 
I wear beanies 24/7, and she seems to like that idea. Can anyone offer some good beanies or hats or anything else that may help with her being bald? 
Here's some pics of her too. The first two are from they day before she started losing her hair, and the last two are the day after she started losing her hair.
http://imgur.com/a/UD4iq38</t>
        </is>
      </c>
      <c r="D2476" t="n">
        <v>8</v>
      </c>
      <c r="E2476" t="n">
        <v>17</v>
      </c>
      <c r="F2476">
        <f>HYPERLINK("https://www.reddit.com/r/cancer/comments/br4gwj/postchemo_baldness_gifts/")</f>
        <v/>
      </c>
      <c r="G2476" t="inlineStr">
        <is>
          <t>2019-05-20 18:52:53</t>
        </is>
      </c>
      <c r="H2476" t="inlineStr"/>
    </row>
    <row r="2477">
      <c r="A2477" t="inlineStr">
        <is>
          <t>br4wiu</t>
        </is>
      </c>
      <c r="B2477" t="inlineStr">
        <is>
          <t>Renal Cell Carcinoma vs. Renal Abscess</t>
        </is>
      </c>
      <c r="C2477" t="inlineStr">
        <is>
          <t>Hi everyone, 
I'm new to this sub as I was just diagnosed with RCC (stage 1) last Thursday. I've been dealing with recurrent kidney infections/UTIs as well as blood in my urine, anemia, and flank pain (even when I don't have an infection) for the past couple of months. I was feeling particularly bad Wednesday night, so I dragged myself to the ER super early on Thursday morning. They performed an abdominal ultrasound and found a growth on my right kidney. In order to get a closer look, they sent me for an MRI as well. Doctor finally came back and gave me the news. 
I have a urologist, but she wanted me to see a urologist in the same practice who specializes in kidney cancers/kidney removal, so I made an appointment to see him. I had the appointment today, expecting to be told I would be scheduled for a nephrectomy pretty soon. Well, that's not what went down. The doctor told me it was possible the growth was an abscess from infection, even though I don't have an infection right now (all labs, both bloodwork and urine, are normal with exception of some blood in urine). 
He then goes on to explain how he wants to do a biopsy, but keeps referring to biopsy failure rates and the possibility they could miss the tumor entirely and biopsy normal tissue. Or, they won't even be able to biopsy because of the risk to other organs (the tumor is in a weird place). Basically, he flips back and forth through the whole appointment. Could be RCC, could be abscess, biopsy might work, biopsy might fail, growth maybe causing symptoms, maybe it's not causing symptoms... I asked him why an ER doctor and a radiologist would tell me I have cancer if there was even a small possibility it was something minor like an abscess. I also asked how the two growths look different on imaging. He straight up shrugs his shoulders and says radiology isn't perfect, and that both things light up with contrast on images... 
I left very frustrated and unsure what is even really going on. Has anyone else had a similar experience? Does anyone know the likelyhood that an abscess could be mistaken for RCC? It just doesn't seem like a diagnosis doctors just casually throw around. 
I did return to the same ER late this afternoon as I couldn't stand the pain and nausea, and the same doctor who diagnosed me was surprised at my description of the appointment. She said that MRIs are pretty solid tests for diagnosing RCC, and she recommended seeking a second opinion (which I was already planning on doing). 
If anyone has any advice or information, I would greatly appreciate it!</t>
        </is>
      </c>
      <c r="D2477" t="n">
        <v>5</v>
      </c>
      <c r="E2477" t="n">
        <v>1</v>
      </c>
      <c r="F2477">
        <f>HYPERLINK("https://www.reddit.com/r/cancer/comments/br4wiu/renal_cell_carcinoma_vs_renal_abscess/")</f>
        <v/>
      </c>
      <c r="G2477" t="inlineStr">
        <is>
          <t>2019-05-20 19:35:28</t>
        </is>
      </c>
      <c r="H2477" t="inlineStr"/>
    </row>
    <row r="2478">
      <c r="A2478" t="inlineStr">
        <is>
          <t>br4ynu</t>
        </is>
      </c>
      <c r="B2478" t="inlineStr">
        <is>
          <t>I don't know how to make it better for her.</t>
        </is>
      </c>
      <c r="C2478" t="inlineStr">
        <is>
          <t>I'm sorry for any fornatting errors since I'm typing on mobile. 
I'm tired, angry, frustrated and more importantly heartbroken. My mom is slowly dying from cancer. For the past year or so she's been complaining of pain in the liver area. CT scans and ultra sounds revealed nothing. April my mom finally went for an MRI and they discovered lesions on her liver and set her up to meet an oncologist. A week later my mother went to the ER and was uncomfortable. She had ascites, fluid build up in her abdomen, which was being produced by her liver. At that point they didn't drain, sent her home and had her consult with her one doctor. 
Another week, they finally drain it. The test the fluid and at the end of April they tell her the fluid tested positive for carcinoma. That week I brought her to the hospital because the build up was pushing up and against her lungs and she was having shortness of breath. They admit her since the doctor wasn't there on a weekend to drain. The first week of May, her oncologist tells us it's Stage 4. She gets discharged and then he confirms the following Friday at his office. Essentially the cancer is in her liver and spreading across her abdomen. Today she's home and in hospital bed set uo by hospice. She's deteriorating so fast. They doctor originally said 2 to 3 months and now it's looking like a week or two. Everything went downhill since the middle of April. 
I don't know how to be strong or make this better or easier for her. I don't know how to get her through this or help her feel better about leaving us. She keeps apologizing but  we keep telling her it's not her fault. She can barely keep her eyes open from being so tired and the pain medication. She can't eat and has no desire. She sips tiny bits of water. I'm just at a loss. It's so heart wrenching to see her become a shell of the person I know. She sees our heartbreak, my siblings and I, and we see hers. I just don't know what to say or do to make it just a little better for her. She's scared, doesn't know to expect and I understand. I just hate seeing her like this. Any advice would be appreciated. Sorry for the long winded post.</t>
        </is>
      </c>
      <c r="D2478" t="n">
        <v>32</v>
      </c>
      <c r="E2478" t="n">
        <v>7</v>
      </c>
      <c r="F2478">
        <f>HYPERLINK("https://www.reddit.com/r/cancer/comments/br4ynu/i_dont_know_how_to_make_it_better_for_her/")</f>
        <v/>
      </c>
      <c r="G2478" t="inlineStr">
        <is>
          <t>2019-05-20 19:41:31</t>
        </is>
      </c>
      <c r="H2478" t="inlineStr"/>
    </row>
    <row r="2479">
      <c r="A2479" t="inlineStr">
        <is>
          <t>br5wk1</t>
        </is>
      </c>
      <c r="B2479" t="inlineStr">
        <is>
          <t>Worries...</t>
        </is>
      </c>
      <c r="C2479" t="inlineStr">
        <is>
          <t>For the past few months I’ve been feeling substantially worse than normal. It started as something possibly concerning, with frequent headaches, anxiety attacks, and lasting aching in various limbs. But recently I decided to see a doctor about it as it had gotten worse, and went for bloodwork done on it. Now after experiencing a completely debilitating headache followed by light numbness in various locations, I’m very concerned about the results of that test. Can anyone provide any reassurance, I’m quite worried about it being... you know.</t>
        </is>
      </c>
      <c r="D2479" t="n">
        <v>0</v>
      </c>
      <c r="E2479" t="n">
        <v>2</v>
      </c>
      <c r="F2479">
        <f>HYPERLINK("https://www.reddit.com/r/cancer/comments/br5wk1/worries/")</f>
        <v/>
      </c>
      <c r="G2479" t="inlineStr">
        <is>
          <t>2019-05-20 21:20:55</t>
        </is>
      </c>
      <c r="H2479" t="inlineStr"/>
    </row>
    <row r="2480">
      <c r="A2480" t="inlineStr">
        <is>
          <t>br65p9</t>
        </is>
      </c>
      <c r="B2480" t="inlineStr">
        <is>
          <t>Days left??</t>
        </is>
      </c>
      <c r="C2480" t="inlineStr">
        <is>
          <t>My head is spinning.  I feel numb.  Overwhelmed.  Despair.  Grief.  
My father, once he leaves the hospital and gets hospice care, likely only has DAYS, maybe a WEEK or TWO at best according to the oncologist.  A year and a half ago, we had so many options for targeted therapies.  Chemo was the last resort, a hail Mary.  Three weeks ago the decision to start chemo was made, nothing else worked.  I'm in my mid-30's and about to lose my  other parent (in a span of 2 years).  fuuuck...
What do I do with this precious time we have left?</t>
        </is>
      </c>
      <c r="D2480" t="n">
        <v>12</v>
      </c>
      <c r="E2480" t="n">
        <v>8</v>
      </c>
      <c r="F2480">
        <f>HYPERLINK("https://www.reddit.com/r/cancer/comments/br65p9/days_left/")</f>
        <v/>
      </c>
      <c r="G2480" t="inlineStr">
        <is>
          <t>2019-05-20 21:50:27</t>
        </is>
      </c>
      <c r="H2480" t="inlineStr"/>
    </row>
    <row r="2481">
      <c r="A2481" t="inlineStr">
        <is>
          <t>br6j1v</t>
        </is>
      </c>
      <c r="B2481" t="inlineStr">
        <is>
          <t>Mom got a job</t>
        </is>
      </c>
      <c r="C2481" t="inlineStr">
        <is>
          <t>Some months ago I posted about my mom. We moved, she still hasn’t talked to doctors about her options; her doctor appointment is in a few days but I hope it’s not too late. She hasn’t had a job in about a year or two so this is her first time returning after her strokes. I’m not old to work full time like she can and she said that she doesn’t want to take my money. Anyway, she has a job at a speedway. They pay decent but it’s full time and I don’t know how to feel. She said that she’s nervous that she’ll mess things up. I keep thinking bad things will happen and she’ll die at work or something. I don’t know how to make her feel better.</t>
        </is>
      </c>
      <c r="D2481" t="n">
        <v>4</v>
      </c>
      <c r="E2481" t="n">
        <v>3</v>
      </c>
      <c r="F2481">
        <f>HYPERLINK("https://www.reddit.com/r/cancer/comments/br6j1v/mom_got_a_job/")</f>
        <v/>
      </c>
      <c r="G2481" t="inlineStr">
        <is>
          <t>2019-05-20 22:34:35</t>
        </is>
      </c>
      <c r="H2481" t="inlineStr"/>
    </row>
    <row r="2482">
      <c r="A2482" t="inlineStr">
        <is>
          <t>br7b9e</t>
        </is>
      </c>
      <c r="B2482" t="inlineStr">
        <is>
          <t>New to this - high grade lymphoma, how can I help my dad?</t>
        </is>
      </c>
      <c r="C2482" t="inlineStr">
        <is>
          <t>Hi guys, my dad's low grade lymphoma has recently progressed. It has been laying dormant with no symptoms or treatment required since 2011 but now we have confirmation that it has progressed into high grade, it is symptomatic and now requires intervention.
At last night's oncologist appointment they confirmed that he will be having 3 weekly chemotherapy sessions, with the R-CHOP method, for 6 rounds (18 weeks total).
Prior to this he requires a PET scan (this is tomorrow, he's already had a CT scan), a heart scan, a PICC line, a consent appointment and a pre treatment talk.
My question is : do any of you guys have experience with this form of chemotherapy? Is there anything we can do at home to make this process as smooth as possible? 
I want to make him a bag of things for him to take to his sessions to ease his symptoms and boredom, anything to add? 
So far my ideas are :
-a tablet I am going to add films/programs on
-a puzzle book (crossword etc)
-something to ease nausea?
-biotene mouth gel for dry /sore mouth
We have quite a big family so are trying to work it so that someone is free to be with him for each of his treatments and appointments, as we've been advised that he can't drive himself to and from his sessions.
Many thanks in advance.</t>
        </is>
      </c>
      <c r="D2482" t="n">
        <v>4</v>
      </c>
      <c r="E2482" t="n">
        <v>2</v>
      </c>
      <c r="F2482">
        <f>HYPERLINK("https://www.reddit.com/r/cancer/comments/br7b9e/new_to_this_high_grade_lymphoma_how_can_i_help_my/")</f>
        <v/>
      </c>
      <c r="G2482" t="inlineStr">
        <is>
          <t>2019-05-21 00:15:57</t>
        </is>
      </c>
      <c r="H2482" t="inlineStr"/>
    </row>
    <row r="2483">
      <c r="A2483" t="inlineStr">
        <is>
          <t>br7q45</t>
        </is>
      </c>
      <c r="B2483" t="inlineStr">
        <is>
          <t>Blood In The Urine</t>
        </is>
      </c>
      <c r="C2483" t="inlineStr">
        <is>
          <t xml:space="preserve">  
[Blood in the urine](http://cancergenomictest.com) is the first sign of bladder cancer. You can visit cancergenomictest.com and get a free testing kit for you or give a call at 1-800-339-0813.</t>
        </is>
      </c>
      <c r="D2483" t="n">
        <v>0</v>
      </c>
      <c r="E2483" t="n">
        <v>0</v>
      </c>
      <c r="F2483">
        <f>HYPERLINK("https://www.reddit.com/r/cancer/comments/br7q45/blood_in_the_urine/")</f>
        <v/>
      </c>
      <c r="G2483" t="inlineStr">
        <is>
          <t>2019-05-21 01:14:42</t>
        </is>
      </c>
      <c r="H2483" t="inlineStr"/>
    </row>
    <row r="2484">
      <c r="A2484" t="inlineStr">
        <is>
          <t>br8htl</t>
        </is>
      </c>
      <c r="B2484" t="inlineStr">
        <is>
          <t>Lung Drains</t>
        </is>
      </c>
      <c r="C2484" t="inlineStr">
        <is>
          <t>Hi guys,
My mum has just undergone lung surgery for early stage lung cancer, in which they have taken part of her upper right lung out via open surgery (keyhole surgery was unsuccessful due to infection being present from her last bout of pneumonia back in October). She stayed a week in hospital but has now been discharged with meds and a lung drain in. 
She left hospital on Thursday evening and the fluid coming from her lung drain has been very minimal. Up until two days ago. It has increased quite substantially in volume each day (although the bag containing the fluid hasn't needed to be drained yet - it just seems like more and more is coming out each day).
Mum is supposed to be going back to hospital in a couple of days so that they can assess her and take the drain out, but she is worried that they will keep it in - that the volume in fluid means that her lungs are getting worse. 
She doesn't feel unwell and I think her breathing is noticeably better, though this may be due to her stopping smoking. But with things like Sepsis being very quick to develop, I think she is a little worried that she is declining. 
Has anybody had any experience of this type of surgery? Should the amount of fluid be increasing each day?</t>
        </is>
      </c>
      <c r="D2484" t="n">
        <v>3</v>
      </c>
      <c r="E2484" t="n">
        <v>4</v>
      </c>
      <c r="F2484">
        <f>HYPERLINK("https://www.reddit.com/r/cancer/comments/br8htl/lung_drains/")</f>
        <v/>
      </c>
      <c r="G2484" t="inlineStr">
        <is>
          <t>2019-05-21 03:00:13</t>
        </is>
      </c>
      <c r="H2484" t="inlineStr"/>
    </row>
    <row r="2485">
      <c r="A2485" t="inlineStr">
        <is>
          <t>br921p</t>
        </is>
      </c>
      <c r="B2485" t="inlineStr">
        <is>
          <t>After 18 months of being told it's just a cyst my mum's been diagnosed with stage 4 skin cancer in her lymph gland</t>
        </is>
      </c>
      <c r="C2485" t="inlineStr">
        <is>
          <t>Sorry for any spelling mistakes. My mum's spent the past 18 months trying to figure what this bump in her armpit was. After multiple doctors on multiple occasions she just today got told that she has stage 4 skin cancer in her lymph gland. They are still trying to figure where the cancer originated but want know till later. She's been told that due to having a form of skin cancer that isnt present at the surface of the skin that doctors will be more inclined to take on my mum's case. I'm just wondering if anyone here has had similar experience with this form of cancer and if it's true that doctors are more likely to take on the vase? 
Thank you in advance for any advice.
Any questions feel free to ask and I'll try answer tbem.</t>
        </is>
      </c>
      <c r="D2485" t="n">
        <v>40</v>
      </c>
      <c r="E2485" t="n">
        <v>10</v>
      </c>
      <c r="F2485">
        <f>HYPERLINK("https://www.reddit.com/r/cancer/comments/br921p/after_18_months_of_being_told_its_just_a_cyst_my/")</f>
        <v/>
      </c>
      <c r="G2485" t="inlineStr">
        <is>
          <t>2019-05-21 04:08:33</t>
        </is>
      </c>
      <c r="H2485" t="inlineStr"/>
    </row>
    <row r="2486">
      <c r="A2486" t="inlineStr">
        <is>
          <t>br95au</t>
        </is>
      </c>
      <c r="B2486" t="inlineStr">
        <is>
          <t>My mum has cancer</t>
        </is>
      </c>
      <c r="C2486" t="inlineStr">
        <is>
          <t>https://discord.gg/aeyrWaB</t>
        </is>
      </c>
      <c r="D2486" t="n">
        <v>0</v>
      </c>
      <c r="E2486" t="n">
        <v>0</v>
      </c>
      <c r="F2486">
        <f>HYPERLINK("https://www.reddit.com/r/cancer/comments/br95au/my_mum_has_cancer/")</f>
        <v/>
      </c>
      <c r="G2486" t="inlineStr">
        <is>
          <t>2019-05-21 04:19:00</t>
        </is>
      </c>
      <c r="H2486" t="inlineStr"/>
    </row>
    <row r="2487">
      <c r="A2487" t="inlineStr">
        <is>
          <t>br9hda</t>
        </is>
      </c>
      <c r="B2487" t="inlineStr">
        <is>
          <t>Hard, fixed lymph node</t>
        </is>
      </c>
      <c r="C2487" t="inlineStr">
        <is>
          <t>About 3.5 weeks ago, I found a swollen lymph node in my groin that was about the size of a quarter (maybe a little larger). I called and made a doctor appointment for the next day. It was hard, fixed, and didn’t hurt at all. Fast forward to now. After two different rounds of antibiotics, my lymph node still persists and I have been referred to a surgeon for a biopsy. CBC and other blood tests came back clear, so I’m being optimistic but I still don’t know what to expect. My first appointment with the doctor I’ve been referred to is in early June. I was informed at the possibility of a benign condition, but that there is also the possibility of malignancy due to the characteristics of the lymph node. If anyone else has experienced a similar situation, please share as much with me as you can. Thank you.</t>
        </is>
      </c>
      <c r="D2487" t="n">
        <v>1</v>
      </c>
      <c r="E2487" t="n">
        <v>0</v>
      </c>
      <c r="F2487">
        <f>HYPERLINK("https://www.reddit.com/r/cancer/comments/br9hda/hard_fixed_lymph_node/")</f>
        <v/>
      </c>
      <c r="G2487" t="inlineStr">
        <is>
          <t>2019-05-21 04:55:55</t>
        </is>
      </c>
      <c r="H2487" t="inlineStr"/>
    </row>
    <row r="2488">
      <c r="A2488" t="inlineStr">
        <is>
          <t>br9tvt</t>
        </is>
      </c>
      <c r="B2488" t="inlineStr">
        <is>
          <t>I need some help to make my mother happier</t>
        </is>
      </c>
      <c r="C2488" t="inlineStr">
        <is>
          <t>My mom was recently diagnosed with an aggressive form of breast cancer (what stage I don't know because I've been away at college and my parents are under the impression that not telling me any details is somehow making things better). She quickly lost her hair from chemotherapy. My mom was brought up in an environment where appearance is made to be this big big deal, so this has been incredibly hard for her (I've been back home for a month and she's still afraid of letting me see her without any head covering or wig). Her immune system is very compromised, so she can't do her job which shes great at and that she loves dearly (She teaches kindergartners and naturally they are gross little gremlins who wipe their snot on everything and anything). Not working means she is home all the time in our tiny open floor-planned house, with my insane brother (24yo) who destroys the house 24/7, is high all the time, and has a naturally loud voice that too loud for the house. And no he does not have a job or any intention of ever moving out, and yells at her mother because she is a gemini and his "numerology teacher said that he doesn't have to listen to her" (I cannot express just how much I wish I was kidding). He can't be reasoned with because he doesn't act with reason.  When she showed him her head without hair, he said she looked like Darth Vader when he took his helmet off. I can't even describe how angry I was at him when I found out.
&amp;amp;#x200B;
She was depressed before finding out about her diagnosis because of my brother, and now its become even worse. The only thing she really looked forward to has been food (we live in LA, and there's always something new and fun to try), which has inadvertently made her unhappy because she is now stress eating random things at all times of the day. Also our grandmother comes by everyday to bring healthy-ish homemade food and basically chastises her, me, and my dad for letting her snack on junk and letting her eat too much sugar. Now, she *really* hates her appearance from the weight gain and the constant reminder that she overeats, and her medicine has started to affect how things taste according to her.
&amp;amp;#x200B;
Nothing really interests her, she never wants to go on walks with me and the dogs because she doesn't want to be seen in the public eye as she is (or she says shes tired and I don't want to push her or anything). Her days are mainly spent in the living room watching TV, playing solitaire, staring at a wall, and/or enduring whatever crap my brother decides to put her through (I'm trying to clean up after him and shut him up but there's literally only so much I can do). I'm not good with these kinds of things. I don't know how to help. Is there anything I could possibly do to help her feel better about herself, or just feel better in general?
&amp;amp;#x200B;
TL;DR: My mom was depressed prior to discovering her aggressive cancer because of my adult-baby of a brother (24yo), now she feels even worse, has very little interest in things and doesn't want to go out because of her hair loss and overall dissatisfaction with how she looks. Please, I could really use some help for activities or ideas that could at least distract her or help her self esteem.</t>
        </is>
      </c>
      <c r="D2488" t="n">
        <v>10</v>
      </c>
      <c r="E2488" t="n">
        <v>5</v>
      </c>
      <c r="F2488">
        <f>HYPERLINK("https://www.reddit.com/r/cancer/comments/br9tvt/i_need_some_help_to_make_my_mother_happier/")</f>
        <v/>
      </c>
      <c r="G2488" t="inlineStr">
        <is>
          <t>2019-05-21 05:30:45</t>
        </is>
      </c>
      <c r="H2488" t="inlineStr"/>
    </row>
    <row r="2489">
      <c r="A2489" t="inlineStr">
        <is>
          <t>brbqik</t>
        </is>
      </c>
      <c r="B2489" t="inlineStr">
        <is>
          <t>I’m finished with chemo! (Update)</t>
        </is>
      </c>
      <c r="C2489" t="inlineStr">
        <is>
          <t>This is an update to a post I posted about a month and a half ago. To treat my Hodgkin’s Lymphoma, it was initally thought that I would have to go through five rounds of chemotherapy. However, when they did my initial PET/CT scan they used the wrong contrast which portrayed the disease worse than what it actually was. Because of this, after four rounds my oncologist decided to cease my chemotherapy and start radiation therapy. I’m so excited! After these 14 radiation treatments, I should be in remission. Soon enough my life should back to normal. I just want to thank everyone who has wished me luck on this subreddit. You guys have helped me a lot through this emotional process. The cancer may not be gone quite yet, but it is damn close.</t>
        </is>
      </c>
      <c r="D2489" t="n">
        <v>79</v>
      </c>
      <c r="E2489" t="n">
        <v>32</v>
      </c>
      <c r="F2489">
        <f>HYPERLINK("https://www.reddit.com/r/cancer/comments/brbqik/im_finished_with_chemo_update/")</f>
        <v/>
      </c>
      <c r="G2489" t="inlineStr">
        <is>
          <t>2019-05-21 08:24:52</t>
        </is>
      </c>
      <c r="H2489" t="inlineStr"/>
    </row>
    <row r="2490">
      <c r="A2490" t="inlineStr">
        <is>
          <t>brc1sb</t>
        </is>
      </c>
      <c r="B2490" t="inlineStr">
        <is>
          <t>My stage 4 colon cancer is “resolved”</t>
        </is>
      </c>
      <c r="C2490" t="inlineStr">
        <is>
          <t>I’ve had surgery removing half my colon, a tumor and my omentum. I’ve had 10 rounds of chemo so far. After round 9 we did another pet scan and the remaining cancer modules I had are now “resolved”. The oxaliplatin was removed from my chemo recipe and I’m starting to feel a little better. I still have to have chemo the rest of my life because there is no cure for stage 4 cancer. But “resolved”  is a good step in the right direction.</t>
        </is>
      </c>
      <c r="D2490" t="n">
        <v>36</v>
      </c>
      <c r="E2490" t="n">
        <v>9</v>
      </c>
      <c r="F2490">
        <f>HYPERLINK("https://www.reddit.com/r/cancer/comments/brc1sb/my_stage_4_colon_cancer_is_resolved/")</f>
        <v/>
      </c>
      <c r="G2490" t="inlineStr">
        <is>
          <t>2019-05-21 08:50:59</t>
        </is>
      </c>
      <c r="H2490" t="inlineStr"/>
    </row>
    <row r="2491">
      <c r="A2491" t="inlineStr">
        <is>
          <t>brczve</t>
        </is>
      </c>
      <c r="B2491" t="inlineStr">
        <is>
          <t>Full or Partial Kidney Removal?</t>
        </is>
      </c>
      <c r="C2491" t="inlineStr">
        <is>
          <t>About a month ago, I learned I have renal cell carcinoma.  I asked for experiences in this subreddit and the answers were kind and encouraging.  Thanks.
I now have to decide between a full and a partial kidney removal.  The tumor is 7.8 cm, which is beyond the limit for an obvious partial (the limit is 3.5 cm).  A lot of the tumor is inside the kidney.
As anyone had experience choosing between these?  Any advice?  Thanks.</t>
        </is>
      </c>
      <c r="D2491" t="n">
        <v>7</v>
      </c>
      <c r="E2491" t="n">
        <v>1</v>
      </c>
      <c r="F2491">
        <f>HYPERLINK("https://www.reddit.com/r/cancer/comments/brczve/full_or_partial_kidney_removal/")</f>
        <v/>
      </c>
      <c r="G2491" t="inlineStr">
        <is>
          <t>2019-05-21 10:07:41</t>
        </is>
      </c>
      <c r="H2491" t="inlineStr"/>
    </row>
    <row r="2492">
      <c r="A2492" t="inlineStr">
        <is>
          <t>brdk0j</t>
        </is>
      </c>
      <c r="B2492" t="inlineStr">
        <is>
          <t>Perceptions of Patients With Breast and Colon Cancer of the Management of Cancer-Related Pain, Fatigue, and Emotional Distress in Community Oncology</t>
        </is>
      </c>
      <c r="C2492" t="inlineStr">
        <is>
          <t xml:space="preserve"> I thought this community might be interested in a recently published paper I led, the main points of which are:   
\--Result 1) The prevalence of pain, fatigue and distress is high among cancer patients both during treatment and, importantly, for months after treatment completion when patients are less likely to be seen by clinicians.   
\--Result 2) 30% to 50% of patients did NOT report discussing, getting advice, or receiving desired help for these symptoms.   
\--These results suggests that there is room for improvement in the management of these three common cancer-related symptoms. Suggestions for which are provide in Discussion. 
See abstract and full article here: [https://ascopubs.org/doi/abs/10.1200/JCO.18.01579](https://ascopubs.org/doi/abs/10.1200/JCO.18.01579)</t>
        </is>
      </c>
      <c r="D2492" t="n">
        <v>13</v>
      </c>
      <c r="E2492" t="n">
        <v>7</v>
      </c>
      <c r="F2492">
        <f>HYPERLINK("https://www.reddit.com/r/cancer/comments/brdk0j/perceptions_of_patients_with_breast_and_colon/")</f>
        <v/>
      </c>
      <c r="G2492" t="inlineStr">
        <is>
          <t>2019-05-21 10:53:25</t>
        </is>
      </c>
      <c r="H2492" t="inlineStr"/>
    </row>
    <row r="2493">
      <c r="A2493" t="inlineStr">
        <is>
          <t>bre7ty</t>
        </is>
      </c>
      <c r="B2493" t="inlineStr">
        <is>
          <t>Update my yesterday post : I saw my oncologist.</t>
        </is>
      </c>
      <c r="C2493" t="inlineStr">
        <is>
          <t>I posted yesterday about having pain in my hips, lower back and sacral region and being concerned if this was the beginning of the end. 
For context, I woke up this morning because I had to pee. As I stood up from the bed, I couldn't hold my urine. So, I grabbed my sweater that was hanging by the side of my bed, shoved it in between my legs and manage to make my way to the bathroom. 
I remembered someone on the thread yesterday said that if that was to happen, I must go to the ER. Just minutes after I washed myself and got dressed, my nurse called me back and said my oncologist wanted to see me today at 12:45. 
He didn't seem too concerned, based on past results of my scans. He thinks the urinal incontinence might be better explained by surgical induced menopause that weakened my pelvic muscle. As of the pain, he said it could be due to a combination of factors (medication, multiple surgeries, etc.). Nevertheless, he asked for a spine MRI and bone scintigraphy in the next two weeks.</t>
        </is>
      </c>
      <c r="D2493" t="n">
        <v>1</v>
      </c>
      <c r="E2493" t="n">
        <v>0</v>
      </c>
      <c r="F2493">
        <f>HYPERLINK("https://www.reddit.com/r/cancer/comments/bre7ty/update_my_yesterday_post_i_saw_my_oncologist/")</f>
        <v/>
      </c>
      <c r="G2493" t="inlineStr">
        <is>
          <t>2019-05-21 11:47:04</t>
        </is>
      </c>
      <c r="H2493" t="inlineStr"/>
    </row>
    <row r="2494">
      <c r="A2494" t="inlineStr">
        <is>
          <t>brec7j</t>
        </is>
      </c>
      <c r="B2494" t="inlineStr">
        <is>
          <t>Oral biopsy scheduled for June.</t>
        </is>
      </c>
      <c r="C2494" t="inlineStr">
        <is>
          <t>i(This is not an "is this cancer" post. More like a "we don't know if this is cancer yet" post.)
&amp;amp;#x200B;
Just need to get this off my chest so I can go back to work and actually function. 
&amp;amp;#x200B;
I was diagnosed with HPV-16 a few months ago, as well as a few other HPVs, following an oral papilloma excision that turned out to be non-cancerous. But I have a few more that have cropped up, on the roof of my mouth and on my tongue, and I'm nervous as fuck about the pending biopsy.   
The worst part of it will be the needle for numbing and the recovery, and even that is relatively.....benign. But the fact that I have so many papillomas to remove, as well as the fact that these can be/are caused by HPV 16, has me really worried. I can't find any statistics on HPV and oral cancer to put my mind at ease, either.
&amp;amp;#x200B;
I don't want to join the cancer club. I'm young (25), not that that means anything as far as cancer. It's a disease that doesn't respect age. But maybe the virus just hasn't had the time it needs to develop into something worse. I don't know. I will in a few weeks. A few painful needle pricks, blood running down the back of my throat, an evening sucking on gauze pads and black tea bags and a little bit of time to get my answer. I can do that.   
I'm seeing the dentist before my appointment as well, so he'll be able to take a look at things and give his perspective. I'm glad for that much. 
&amp;amp;#x200B;
Does anyone have stories regarding oral cancer related to HPV they'd like to share? First time posting in this subreddit. Please be kind. I'm feeling overwhelmed right now.</t>
        </is>
      </c>
      <c r="D2494" t="n">
        <v>8</v>
      </c>
      <c r="E2494" t="n">
        <v>3</v>
      </c>
      <c r="F2494">
        <f>HYPERLINK("https://www.reddit.com/r/cancer/comments/brec7j/oral_biopsy_scheduled_for_june/")</f>
        <v/>
      </c>
      <c r="G2494" t="inlineStr">
        <is>
          <t>2019-05-21 11:56:48</t>
        </is>
      </c>
      <c r="H2494" t="inlineStr"/>
    </row>
    <row r="2495">
      <c r="A2495" t="inlineStr">
        <is>
          <t>brepfu</t>
        </is>
      </c>
      <c r="B2495" t="inlineStr">
        <is>
          <t>Update to the post I made yesterday</t>
        </is>
      </c>
      <c r="C2495" t="inlineStr">
        <is>
          <t>Yesterday post : [https://www.reddit.com/r/cancer/comments/bqv941/that\_is\_this\_the\_beginning\_of\_the\_end\_feeling/?utm\_source=share&amp;amp;utm\_medium=web2x](https://www.reddit.com/r/cancer/comments/bqv941/that_is_this_the_beginning_of_the_end_feeling/?utm_source=share&amp;amp;utm_medium=web2x)
For context. I had an episode of urinal incontinence early this morning. I remembered what some people said about going to the ER if it was happening. As I was just finishing washing up and getting dressed, my nurse called and said my oncologist wanted to see me at 12:45 today.
He didn't seem too concerned, based on past scans results. He attributed the episode of incontinence to surgery induced menopause that may have weakened my pelvic muscle. As for the pain, it may be due to medication and the cumulative effect of the multiple surgeries I had the past 4 years. Nevertheless, I will have to go through spine MRI and bone scintigraphy in the next 2 weeks. 
I have to say that I never felt that ashamed of my body. I've never been this out of shape in my life, either. I feel weak, gross and disgusting. I don't have much of an appetite, I walk at least an hour every day and I keep gaining weight. And now, they are telling me that my pelvic muscle might be so weak that I'm peeing myself ? At 42 ?
And as I was sitting there, feeling like shit,  I remembered that to this day, 5 years ago, I was running my 5th 21k. Six months later, I was diagnosed with stage III breast cancer. 
It might not be bone mets, but it sucks anyway.</t>
        </is>
      </c>
      <c r="D2495" t="n">
        <v>1</v>
      </c>
      <c r="E2495" t="n">
        <v>0</v>
      </c>
      <c r="F2495">
        <f>HYPERLINK("https://www.reddit.com/r/cancer/comments/brepfu/update_to_the_post_i_made_yesterday/")</f>
        <v/>
      </c>
      <c r="G2495" t="inlineStr">
        <is>
          <t>2019-05-21 12:27:22</t>
        </is>
      </c>
      <c r="H2495" t="inlineStr"/>
    </row>
    <row r="2496">
      <c r="A2496" t="inlineStr">
        <is>
          <t>brfgj5</t>
        </is>
      </c>
      <c r="B2496" t="inlineStr">
        <is>
          <t>my dad thought he had a sore throat but it was esophagus cancer.</t>
        </is>
      </c>
      <c r="C2496" t="inlineStr">
        <is>
          <t>my dad has esophageal cancer, they think it’s stage 2 but they can’t operate because he has a cancerous ulcer in his stomach so he has to do rounds of chemo and radiation. I’m 18, i’m just graduating high school and i have the option to move to where he’s getting his treatment with a friend, i’ve never had a job or my license because he always helped me out but now i’m worried i won’t be able to find a job that will give me lenience with taking days off to see my dad dad during his treatments and my own mental health problems, i guess what i’m asking is will and employer reject you if you bring that up during an interview? should i be moving away from my mom and sister during this time? i feel like my dad will need someone there and i’m the only one with the option to be and i’m just scared it’ll be too much with my depression and anxiety paying bills and having my first job. i guess i’m just scared and looking for answers because my family has never dealt with cancer and no one knows what to do. sorry if this is long and scattered i’ve been panicked since we found out and everything is just happening so fast.</t>
        </is>
      </c>
      <c r="D2496" t="n">
        <v>5</v>
      </c>
      <c r="E2496" t="n">
        <v>3</v>
      </c>
      <c r="F2496">
        <f>HYPERLINK("https://www.reddit.com/r/cancer/comments/brfgj5/my_dad_thought_he_had_a_sore_throat_but_it_was/")</f>
        <v/>
      </c>
      <c r="G2496" t="inlineStr">
        <is>
          <t>2019-05-21 13:29:32</t>
        </is>
      </c>
      <c r="H2496" t="inlineStr"/>
    </row>
    <row r="2497">
      <c r="A2497" t="inlineStr">
        <is>
          <t>brh0vu</t>
        </is>
      </c>
      <c r="B2497" t="inlineStr">
        <is>
          <t>I am so ugly</t>
        </is>
      </c>
      <c r="C2497" t="inlineStr">
        <is>
          <t>t My husband had stage IIIB Lung cancer.  It was a Pancoast tumor.  He did the radiation every day for 40 days.  He did the chemo the first 7 days of radiation and the last 7 days.   He went into remission.  Unfortunately his tumor was a Pancoast Tumor.  It fucked with his Vagus Nerve.  So instead of better he got worse.  Less healthy.  Less stamina.  Less.  His heart rate was/is resting 100-130 normal it is sometimes as high as 160.  His blood pressure 110/70 it is sometimes as low as 90/40.  Now it is back.  The cancer is back.  He is getting immunotherapy.  And I am so angry.  I am just ugly angry.  I don't think he can survive this.  He thinks he can.  He is already so sick.  He has no life.  I hate that he is so happy skippy.  I am so angry and sad.  I don't know what to do.</t>
        </is>
      </c>
      <c r="D2497" t="n">
        <v>26</v>
      </c>
      <c r="E2497" t="n">
        <v>6</v>
      </c>
      <c r="F2497">
        <f>HYPERLINK("https://www.reddit.com/r/cancer/comments/brh0vu/i_am_so_ugly/")</f>
        <v/>
      </c>
      <c r="G2497" t="inlineStr">
        <is>
          <t>2019-05-21 15:45:05</t>
        </is>
      </c>
      <c r="H2497" t="inlineStr"/>
    </row>
    <row r="2498">
      <c r="A2498" t="inlineStr">
        <is>
          <t>brh2x7</t>
        </is>
      </c>
      <c r="B2498" t="inlineStr">
        <is>
          <t>Full body itching the past few days, terrified it’s some kind of cancer</t>
        </is>
      </c>
      <c r="C2498" t="inlineStr">
        <is>
          <t>Is there any way to tell if the itch is from lymphoma liver cancer etc vs histamine issues or anything else?</t>
        </is>
      </c>
      <c r="D2498" t="n">
        <v>0</v>
      </c>
      <c r="E2498" t="n">
        <v>4</v>
      </c>
      <c r="F2498">
        <f>HYPERLINK("https://www.reddit.com/r/cancer/comments/brh2x7/full_body_itching_the_past_few_days_terrified_its/")</f>
        <v/>
      </c>
      <c r="G2498" t="inlineStr">
        <is>
          <t>2019-05-21 15:50:32</t>
        </is>
      </c>
      <c r="H2498" t="inlineStr"/>
    </row>
    <row r="2499">
      <c r="A2499" t="inlineStr">
        <is>
          <t>brhhaq</t>
        </is>
      </c>
      <c r="B2499" t="inlineStr">
        <is>
          <t>Is stomach cancer fast growing? I messed up, and now I think my endoscopy will be delayed until the end of the year. It was supposed to be in April.</t>
        </is>
      </c>
      <c r="C2499" t="inlineStr">
        <is>
          <t>I’m 21, and I’m an idiot. I’m an anxious idiot, and I told the nurse who called me before my endoscopy I might have heart issues (true). I shouldn’t have asked for the doctors to do a cardiac clearance. My toes and fingers were turning blue. Turns out though I’m not even able to do the endoscopy at that certain hospital, so it might’ve been delayed anyways.
Basically I was diagnosed with H. Pylori in December. After almost a year of symptoms. Finished treatment. However, I became worse AFTER treatment. Before it was just constant slight heart burn. After treatment, it was extreme burning. Regurgitation. Did CT scan and nothing. Doctors said GERD, another said Gastritis.
After a month of probiotics, aloe vera, and licorice, I felt better. Sometimes I get flare ups. However these last two weeks, it’s been constant soreness, burning, and sharp pangs. I eat less now (against my will), but I don’t know when that exactly started.
I‘m just scared. I’ll be done with cardiac clearance on June 6th, and I hope everything is clear. I might ask for a different doctor to see if I can get an endoscopy sooner, but I trust this one already. He’s just going on vacation</t>
        </is>
      </c>
      <c r="D2499" t="n">
        <v>1</v>
      </c>
      <c r="E2499" t="n">
        <v>1</v>
      </c>
      <c r="F2499">
        <f>HYPERLINK("https://www.reddit.com/r/cancer/comments/brhhaq/is_stomach_cancer_fast_growing_i_messed_up_and/")</f>
        <v/>
      </c>
      <c r="G2499" t="inlineStr">
        <is>
          <t>2019-05-21 16:29:02</t>
        </is>
      </c>
      <c r="H2499" t="inlineStr"/>
    </row>
    <row r="2500">
      <c r="A2500" t="inlineStr">
        <is>
          <t>brj6xn</t>
        </is>
      </c>
      <c r="B2500" t="inlineStr">
        <is>
          <t>I have been cancer free for 7 years</t>
        </is>
      </c>
      <c r="C2500" t="inlineStr">
        <is>
          <t>I have been cancer free for 7 years and never seeked emotional support for what I went through and always felt numb to it, but I've been thinking a lot about what I went through lately and have been feeling down. Idk what has come over me but I feel like not talking about it has had some impact on my well being.</t>
        </is>
      </c>
      <c r="D2500" t="n">
        <v>73</v>
      </c>
      <c r="E2500" t="n">
        <v>11</v>
      </c>
      <c r="F2500">
        <f>HYPERLINK("https://www.reddit.com/r/cancer/comments/brj6xn/i_have_been_cancer_free_for_7_years/")</f>
        <v/>
      </c>
      <c r="G2500" t="inlineStr">
        <is>
          <t>2019-05-21 19:21:49</t>
        </is>
      </c>
      <c r="H2500" t="inlineStr"/>
    </row>
    <row r="2501">
      <c r="A2501" t="inlineStr">
        <is>
          <t>brk9c3</t>
        </is>
      </c>
      <c r="B2501" t="inlineStr">
        <is>
          <t>Scared I might have cancer</t>
        </is>
      </c>
      <c r="C2501" t="inlineStr">
        <is>
          <t>Hi doctors of Reddit,
I am a 29 yr old female. I recently had a thyroid ultrasound. Dr called me today and told me that my ultrasound revealed abnormal lymph node and mass. They discovered a calcified small mass next to my thyroid, not in my thyroid. Does this mean I have a high likelihood of cancer? 
It’s apparently next to my thyroid, but not in the thyroid. I’ve had a lot of dental work recently and need a root canal but not sure if the lymph nodes could be from that? But it sounds like maybe she thinks it is cancer because I have to get a CAT scan of my throat. She also said that it could be other stuff too, not necessarily cancer. I think she was trying not to scare me but I would rather know what to expect. I thought I heard her say something like it could also be endometrial or reproductive connected? Does this mean she thinks it has traveled stage 4 from the edometrious? (I’m not sure. I might have also imagined she said this). 
Other symptoms: I guess the only significant history I have is that I have struggled with an eating disorder for a long time (purging), like 15 yrs. I guess I’m just wondering if you think it’s possible I gave myself esophageal or throat cancer or something? I asked the dr if she thought it was in my esophagus and she said no. 
My throat has been itchy for like the past five yrs. I also have recently felt pain in my hip. I thought it occurred when walking my dog but now wonder if it could be related to this. It’s been ongoing for past month. Otherwise i feel healthy. I have had in past yr unusual onset of depression. I also have felt fatigue but I’m a graduate student and struggle to get adequate sleep usually so not sure if it could be related.
—— 
UPDATE: my report reads: “1.5x.08x1cm mass is seen to the left of trachea and adjacent to the left thyroid gland, with shadowing suggestive of calcifications.”
“Left level IV lymph node measures 1.4 x .6 x .5 cm without echogenic hilum which appears abnormal.”
“15x3x7 mm Right level IV lymph node with echogenic hilum appears morphologically unremarkable.”
“CT of neck suggested for characterization.”
——-
I guess I just hope to know what type of cancer it could be if it is cancer. (I’d rather know going in to the Cat scan.)</t>
        </is>
      </c>
      <c r="D2501" t="n">
        <v>3</v>
      </c>
      <c r="E2501" t="n">
        <v>4</v>
      </c>
      <c r="F2501">
        <f>HYPERLINK("https://www.reddit.com/r/cancer/comments/brk9c3/scared_i_might_have_cancer/")</f>
        <v/>
      </c>
      <c r="G2501" t="inlineStr">
        <is>
          <t>2019-05-21 21:18:27</t>
        </is>
      </c>
      <c r="H2501" t="inlineStr"/>
    </row>
    <row r="2502">
      <c r="A2502" t="inlineStr">
        <is>
          <t>brkdu0</t>
        </is>
      </c>
      <c r="B2502" t="inlineStr">
        <is>
          <t>Alternative medicine to accompany traditional one?</t>
        </is>
      </c>
      <c r="C2502" t="inlineStr">
        <is>
          <t>Can I have some advice on what to do besides alternative medicine to fight cancer? I’v read that a keto diet and marijuana (CBD or THC? Both? Oil? Vape?). What else? Thanks</t>
        </is>
      </c>
      <c r="D2502" t="n">
        <v>0</v>
      </c>
      <c r="E2502" t="n">
        <v>11</v>
      </c>
      <c r="F2502">
        <f>HYPERLINK("https://www.reddit.com/r/cancer/comments/brkdu0/alternative_medicine_to_accompany_traditional_one/")</f>
        <v/>
      </c>
      <c r="G2502" t="inlineStr">
        <is>
          <t>2019-05-21 21:33:38</t>
        </is>
      </c>
      <c r="H2502" t="inlineStr"/>
    </row>
    <row r="2503">
      <c r="A2503" t="inlineStr">
        <is>
          <t>brkl6v</t>
        </is>
      </c>
      <c r="B2503" t="inlineStr">
        <is>
          <t>Bowel cancer/left hemicolectomy/folfox - what to expect?</t>
        </is>
      </c>
      <c r="C2503" t="inlineStr">
        <is>
          <t>Hi everyone, I was recently diagnosed with stage 3 colon cancer, I had a left hemicolectomy two weeks ago, and I will start my chemo treatment in 2 days. I was wondering what people's experience with bowel cancer was? 
I have been finding my bowel motions go up and down, some days I have the urge to go several times, and others I am better at holding. I was constipated for a couple of days and then yesterday noticed some my bowel movement was darker/red so there's a bit of a bleed in there somewhere. I see my surgeon on Monday. Is this normal? I read somewhere that you can get bleeding in the weeks following surgery, as things repair.
The chemo I'll be taking is FOLFOX6, I've been warned I will have a cold sensitivity. Anyone have experience with folfox?</t>
        </is>
      </c>
      <c r="D2503" t="n">
        <v>5</v>
      </c>
      <c r="E2503" t="n">
        <v>7</v>
      </c>
      <c r="F2503">
        <f>HYPERLINK("https://www.reddit.com/r/cancer/comments/brkl6v/bowel_cancerleft_hemicolectomyfolfox_what_to/")</f>
        <v/>
      </c>
      <c r="G2503" t="inlineStr">
        <is>
          <t>2019-05-21 21:58:24</t>
        </is>
      </c>
      <c r="H2503" t="inlineStr"/>
    </row>
    <row r="2504">
      <c r="A2504" t="inlineStr">
        <is>
          <t>brkpe8</t>
        </is>
      </c>
      <c r="B2504" t="inlineStr">
        <is>
          <t>Advice on working through anger from loved one that has been diagnosed</t>
        </is>
      </c>
      <c r="C2504" t="inlineStr">
        <is>
          <t>Hi everyone,
&amp;amp;#x200B;
My mom was diagnosed with stage 4 lung/liver cancer a couple of months ago. She was always the most kind, empathetic person EVER. Kind to a fault many times. 
&amp;amp;#x200B;
Since the diagnosis (five years in the making) she has been downright mean to people she loves. Close friends can get her bite but immediate family are the usual scapegoats. 
&amp;amp;#x200B;
I thought that maybe it was the pain that was causing it but now am not sure as she has been put on much better painkillers and is still acting vicious. 
&amp;amp;#x200B;
It's so unlike her and everything she has stood for her entire life, it's shocking and tough to deal with. The things she says are really hurtful. Saying that to her so far has resulted in her being defensive and didn't de-escalate it at all. 
&amp;amp;#x200B;
Has anyone else seen a 180 like this? Any suggestions on ways to de-escalate her anger? Advice on how to not take it personally? 
&amp;amp;#x200B;
For context, I don't live with her but I go up every second weekend. I'm seeing what it's doing to my brothers and dad and have serious trouble not defending my brothers when she attacks them when I'm there. I'm terrified that the anger is going to have lasting hurt for my brothers and nephew. Some of the things she says can't be un-said, it's bad.</t>
        </is>
      </c>
      <c r="D2504" t="n">
        <v>2</v>
      </c>
      <c r="E2504" t="n">
        <v>13</v>
      </c>
      <c r="F2504">
        <f>HYPERLINK("https://www.reddit.com/r/cancer/comments/brkpe8/advice_on_working_through_anger_from_loved_one/")</f>
        <v/>
      </c>
      <c r="G2504" t="inlineStr">
        <is>
          <t>2019-05-21 22:13:01</t>
        </is>
      </c>
      <c r="H2504" t="inlineStr"/>
    </row>
    <row r="2505">
      <c r="A2505" t="inlineStr">
        <is>
          <t>brl0xk</t>
        </is>
      </c>
      <c r="B2505" t="inlineStr">
        <is>
          <t>Help for fatigue and post-chemo chemo brain?</t>
        </is>
      </c>
      <c r="C2505" t="inlineStr">
        <is>
          <t>I am 3.5 years post-treatment for a stage 2B mutinous carcinoma in my breast. I am on Lupron and Anastrazole and I am experiencing heavy fatigue and mental fog/memory issues.  It’s a fight just to get out of bed. I have a mentally demanding, fast-paced job and I feel overwhelmed. This has been getting worse in the last few weeks and I’m worried that these are signs of recurrence or metastasis. 
The advice nurse at the cancer clinic told me to exercise and drink water to relieve my fatigue. Yeahhhhh thanks that’s suuuuper helpful. Anyone have any tips for coping with fatigue and post-chemo chemo brain?</t>
        </is>
      </c>
      <c r="D2505" t="n">
        <v>5</v>
      </c>
      <c r="E2505" t="n">
        <v>6</v>
      </c>
      <c r="F2505">
        <f>HYPERLINK("https://www.reddit.com/r/cancer/comments/brl0xk/help_for_fatigue_and_postchemo_chemo_brain/")</f>
        <v/>
      </c>
      <c r="G2505" t="inlineStr">
        <is>
          <t>2019-05-21 22:54:06</t>
        </is>
      </c>
      <c r="H2505" t="inlineStr"/>
    </row>
    <row r="2506">
      <c r="A2506" t="inlineStr">
        <is>
          <t>brm1hr</t>
        </is>
      </c>
      <c r="B2506" t="inlineStr">
        <is>
          <t>I feel so guilty for being scared.</t>
        </is>
      </c>
      <c r="C2506" t="inlineStr">
        <is>
          <t xml:space="preserve">     I’m 20 and I have thyroid cancer and I’m getting my thyroid and some lymph nodes removed on June 4th. Everyone is telling me that I’m lucky it’s only thyroid cancer. (Even though it’s a spready boy and  the surgery has been moved up because of the growth speed(?)) but I’m scared. I’m scared it’s going to get worse, I’m scared about the surgery, I’m terrified at the thought of getting a tracheostomy. I’m just scared and whenever I bring it up to family or doctors they just say I’m lucky and I’ll be fine. It makes me feel guilty for being afraid.
     What do I do? Did anyone else feel guilty? How do I cope? Sorry if this post is a mess I’m just so stressed right now.</t>
        </is>
      </c>
      <c r="D2506" t="n">
        <v>1</v>
      </c>
      <c r="E2506" t="n">
        <v>0</v>
      </c>
      <c r="F2506">
        <f>HYPERLINK("https://www.reddit.com/r/cancer/comments/brm1hr/i_feel_so_guilty_for_being_scared/")</f>
        <v/>
      </c>
      <c r="G2506" t="inlineStr">
        <is>
          <t>2019-05-22 01:14:15</t>
        </is>
      </c>
      <c r="H2506" t="inlineStr"/>
    </row>
    <row r="2507">
      <c r="A2507" t="inlineStr">
        <is>
          <t>brm41q</t>
        </is>
      </c>
      <c r="B2507" t="inlineStr">
        <is>
          <t>I feel guilty for being afraid.</t>
        </is>
      </c>
      <c r="C2507" t="inlineStr">
        <is>
          <t xml:space="preserve">     I’m 20 and I have thyroid cancer and I’m getting my thyroid and some lymph nodes removed on June 4th. Everyone is telling me that I’m lucky it’s only thyroid cancer. (Even though it’s a spready boy and  the surgery has been moved up because of the growth speed(?)) but I’m scared. I’m scared it’s going to get worse, I’m scared about the surgery, I’m terrified at the thought of getting a tracheostomy. I’m just scared and whenever I bring it up to family or doctors they just say I’m lucky and I’ll be fine. It makes me feel guilty for being afraid.
     What do I do? Did anyone else feel guilty? How do I cope? Sorry if this post is a mess I’m just so stressed right now.</t>
        </is>
      </c>
      <c r="D2507" t="n">
        <v>6</v>
      </c>
      <c r="E2507" t="n">
        <v>14</v>
      </c>
      <c r="F2507">
        <f>HYPERLINK("https://www.reddit.com/r/cancer/comments/brm41q/i_feel_guilty_for_being_afraid/")</f>
        <v/>
      </c>
      <c r="G2507" t="inlineStr">
        <is>
          <t>2019-05-22 01:25:06</t>
        </is>
      </c>
      <c r="H2507" t="inlineStr"/>
    </row>
    <row r="2508">
      <c r="A2508" t="inlineStr">
        <is>
          <t>brmyqe</t>
        </is>
      </c>
      <c r="B2508" t="inlineStr">
        <is>
          <t>Did you had any side effect which affected your skin after chemo?</t>
        </is>
      </c>
      <c r="C2508" t="inlineStr">
        <is>
          <t>After chemo(non hodgkin's lymphoma) I had eczema which before cancer I never had any problem with my skin.Now I have allergies to some food(diary)  I don't know if it is related or not because it is been almost 2 years after chemo.Eczema started 6 month or so later.</t>
        </is>
      </c>
      <c r="D2508" t="n">
        <v>6</v>
      </c>
      <c r="E2508" t="n">
        <v>5</v>
      </c>
      <c r="F2508">
        <f>HYPERLINK("https://www.reddit.com/r/cancer/comments/brmyqe/did_you_had_any_side_effect_which_affected_your/")</f>
        <v/>
      </c>
      <c r="G2508" t="inlineStr">
        <is>
          <t>2019-05-22 03:19:16</t>
        </is>
      </c>
      <c r="H2508" t="inlineStr"/>
    </row>
    <row r="2509">
      <c r="A2509" t="inlineStr">
        <is>
          <t>brordz</t>
        </is>
      </c>
      <c r="B2509" t="inlineStr">
        <is>
          <t>Does it kill tuberculosis ?</t>
        </is>
      </c>
      <c r="C2509" t="inlineStr">
        <is>
          <t xml:space="preserve"> Tuberculosis is a disease that can affect the lungs and other organs of the body. It can be fatal if not diagnosed and treated on time. Although it is rare in developed countries in recent years, it started to increase in 1985. 
[https://www.causesandtreatment.com/2019/04/30/tuberculosis-symptoms-and-treatment-does-it-kill-tuberculosis/](https://www.causesandtreatment.com/2019/04/30/tuberculosis-symptoms-and-treatment-does-it-kill-tuberculosis/)</t>
        </is>
      </c>
      <c r="D2509" t="n">
        <v>1</v>
      </c>
      <c r="E2509" t="n">
        <v>0</v>
      </c>
      <c r="F2509">
        <f>HYPERLINK("https://www.reddit.com/r/cancer/comments/brordz/does_it_kill_tuberculosis/")</f>
        <v/>
      </c>
      <c r="G2509" t="inlineStr">
        <is>
          <t>2019-05-22 06:24:44</t>
        </is>
      </c>
      <c r="H2509" t="inlineStr"/>
    </row>
    <row r="2510">
      <c r="A2510" t="inlineStr">
        <is>
          <t>brplgu</t>
        </is>
      </c>
      <c r="B2510" t="inlineStr">
        <is>
          <t>My wife's story, Long.</t>
        </is>
      </c>
      <c r="C2510" t="inlineStr">
        <is>
          <t>This is long, I hope that is ok. It helped me to write it and maybe it will help someone reading it.  
&amp;amp;#x200B;
So, a few weeks ago my now 36 year old wife was diagnosed with stage 4 uterine cancer. It’s been a hard fight. We were already in the hospital when the diagnosed finally came through. We started off in a losing position and just didn’t know it yet. I am still her by her side, but we can’t even talk anymore other than a groggy eye blink here and there. 
Our story starts long before this though. We’ve come to this realization during the long thoughts of why. April of last year she was hospitalized for anemia. She experienced heavy bleeding for a month, maybe more. She was given two units of blood as they thought that would stop the bleeding. And it did. She liked the doctor so much she continued to see her as her OYBG after the hospital stay. My wife ended up on birth control to control her hormones. And that was it. 
And that was it. After talking about it over and over with friends, family, and friends of family, the best I’ve heard was that was a missed opportunity. She was very young, only 33 at the time, but had a couple of risk factors. Other than the heavy bleeding, though that alone maybe should have prompted a cancer screening. But it didn’t. It wasn’t even in our heads to force this issue or even bring it up.
Earlier this year she began complaining about back pain. Nothing too major. Around of April it began to hurt so much it was debilitating and she had pain in her front as well. It seemed like a UTI to her, she tried to self-treat a few days, but was quickly at her doctor’s office. They listed to her UTI concerns and gave her meds and sent her way. We ended up in the ER that weekend. Saw a nurse practitioner and tried to explain the past month of pain. My wife mentioned out the UTI symptoms seemed to be better maybe but her pain was getting worse. The NP focused on that asked her why was she in the ER if she was feeling better. Her conclusion was my wife fell or hurt herself without knowing. Even after she insisted that something felt wrong and was wondering if they could just scan something. They sent her home with muscle relaxers and ordered physical therapy. They did a culture for the UTI though, came back negative because there wasn’t one. I like to think of this as another missed opportunity. 
She followed up the ER visit with her regular doctor, still seeking a scan or something, because this was wrong. He had no problem sending her to get one. Week later we were going over the results and she had an enlarged uterus. A follow up appointment was made with her OYBG. She was also sent for a CT scan, which at first she skipped because she at this time felt too weak. The pain was hard for her to deal with; everything they gave her did nothing. She also began experiencing extreme nausea and no longer had any appetite. She couldn’t get comfortable enough to sleep either and spent the nights pacing hoping the paid would subside enough so she could sit back down. Her OYBG took a biopsy and told her to go ahead and do the CT scan just in case. The follow up, no results. The biopsy had to be sent to another clinic for further testing. She had done the CT scan though and compared to the one they did when she was hospitalized in April. It looked bad. Her uterus was 10cm last year, now sitting at 24cm. She was referred to an Oncologist. April 24th was the first time Caner was said. She wasn’t diagnosed with it, but was seeing an Oncologist next. 
We never made it to the Oncologist appointment. April 28th, just before midnight we went to the ER again. Pain, nausea, sleeplessness always getting worse. She was quickly admitted with acute kidney failure. They were barely working at all. It is possible the contrast they used for the CT scan compromised already struggling kidneys. Not great, but we were in the hospital now and dialysis was going to help. 
The hospital was aware of all the other issues going on and added all the doctors who were already working on her case, including the Oncologist who stopped by the next day. He went over everything and referred to the growth or the mass frequently. In the end he said it had spread a little bit and the outcome did not look very good. We were still not full grasping what these words meant. This could have been the first time they could for given the heads up for stage 4 cancer. No he wanted to do a lymph node biopsy first. The first biopsy results still haven’t come back, I’m not sure it ever did. After three days they said the new biopsy was hard to diagnose. They said this could indicate it was rare. It? You could tell they wanted the results before the called it Cancer. They brought on another Oncologist who really wanted to start Chemo. The tumor was too large to operate and would put all of the surrounding organs at risk. But they need to know what to treat. 
May 3rd, still awaiting results, she was having trouble breathing her blood pressure was getting low. They were adjusted medications trying to get a handle on it. Nothing worked awhile her blood pressure kept dropping. In the afternoon it got so bad she got moved to intensive care. Her breathing was very labored by now. They found a large blood clot in her lungs. The clot was pressing on her heart. They had found some in her legs earlier so she was already on blood thinners. She needed aggressive treatment now. They wanted to give her TPA. They problem was of course if her tumors were bleeding the treatment could cause her to bleed out. The doctor suggested a half dose and cross our figures. Bleeding risk was still there but also it might not work well enough. We gave her the medicine and crossed our figures. Doctor said it would be quick, and in 15 minutes my wife was able to breathe again and heart rate came down.  A day later she was out of the danger zone of bleeding out. Clots just don’t go away. Thank take time.
She was weak after that day. We were focused on getting her to eat, exercises to get her out of bed, and working her lungs so they don’t fail. We got our diagnosis. Endometrial adenocarcinoma. It wasn’t rare at all. It was hard to diagnose because it was aggressive and non-differentiating. So good news, we know what it was. Couldn’t start chemo with the way her vitals were. They wanted her out of the ICU. It took a week, but we were finally out May 10th. They still wanted to wait on Chemo; her hemoglobin levels were too low. Good news was they were going up every day. We had a goal and knew what was next. May 14th the day before her birthday she was told we could start Chemotherapy the next day. It had its risks and side effects. Did not help her kidneys still have not made a comeback. But the doctors could work around that. We were ready.
May 15th 4am she becomes non responsive. Over the next hour her heart stops five times. They have to put her on a respirator. Her mom got there quick. During the 5th cardiac arrest the doctor was telling this this was really bad and she was going to come back. We agreed that if she had another we would let her go. And like that she stabilized. The CPR team did great work they got the medicine in her that she needed. And she was stable, sedated with a breathing tube. They had her rest for the day. The blood clot in her lungs was making it hard for her to breathe deeply. There was concern over this, but she had treatments, exercises, and was on Oxygen. But the CO2 levels in her built up and turned her blood acidic, resulting in heart failure.
She has been critical, but stable ever sense. The day after they lowered her sedation to make sure she was still responsive. She was quick to look around, recognize voices, and give some hand squeezes if she wasn’t too tired. So I know she is still there. The doctors say that is good and bad. She is aware of what’s going on as we have to make decisions for her. And these decisions are hard. The oncologist doesn’t think she will recover enough to get chemo. The Pulmonary doctor says the breathing tube can’t come out because she can’t breathe deeply. Some doctors give us a little hope here and there. But they might just be being nice. Other doctors telling us that there is no chance and the sooner we stop treatment the better it is for her. And every day we wait gets worse and worse. That cancer is still in there destroying what it can.
Finally today we meet with the doctor that helped us get through the first blood clot. She was the best then and explaining everything. We had been hoping to hear from her again. She gathered us all up and sat down with us to explain the whole picture to us. Give us every bit of information and stitch it into place. So we can see just how sick she has become. What kind of life she could expect if we followed various paths. She spent a lot of time with us answering all our questions about why we couldn’t hope on one thing or another. She related with us on a personal level. She did point out that things happen and they could be proven wrong, but with all the information she saw and gave us. We won’t be moving passed where we are now. She was very good at explaining what happens if we want to focus on quality of life as well. We have a very good understanding on what next. She left us to talk and figure it out without any rush or hurry. It’s our decision to make when we are ready. 
Part of this story I left out are all the people. Her mother, sister, father, step-mother, aunts and uncles.  An amazing amount of friends and coworkers. Each one of them remind me of how well loved she is.</t>
        </is>
      </c>
      <c r="D2510" t="n">
        <v>69</v>
      </c>
      <c r="E2510" t="n">
        <v>32</v>
      </c>
      <c r="F2510">
        <f>HYPERLINK("https://www.reddit.com/r/cancer/comments/brplgu/my_wifes_story_long/")</f>
        <v/>
      </c>
      <c r="G2510" t="inlineStr">
        <is>
          <t>2019-05-22 07:40:17</t>
        </is>
      </c>
      <c r="H2510" t="inlineStr"/>
    </row>
    <row r="2511">
      <c r="A2511" t="inlineStr">
        <is>
          <t>brpzu8</t>
        </is>
      </c>
      <c r="B2511" t="inlineStr">
        <is>
          <t>Dad's just been diagnosed with advanced prostate cancer. I have some questions.</t>
        </is>
      </c>
      <c r="C2511" t="inlineStr">
        <is>
          <t>My dad seems to be taking it pretty well. He's planning on some holidays, and I'm going to move home for a bit so we can get to know each other as a family. I've not lived at home for over 13 years, and I'm not the best at communicating in the first place.  This is definitely a personality trait that I picked up from him!
&amp;amp;#x200B;
Rather than bombard him with questions, I'd like to ask you guys some things.
&amp;amp;#x200B;
The cancer has metastasized to his bones and lymph nodes already. The doctors aren't willing to make a prognosis. He has started hormone therapy.
&amp;amp;#x200B;
I gather that the PSA test is used to monitor whether the treatments are working. How often do they usually carry out this test? How accurate is it? What kind of levels will they be looking for? His last PSA was \~48, if the treatment works will this go down by a little, or a lot?
What other signs might there be that the cancer is not responding to treatment?
When it does get worse, how much pain will there be, how might his mobility be affected?
&amp;amp;#x200B;
Many thanks,
&amp;amp;#x200B;
F</t>
        </is>
      </c>
      <c r="D2511" t="n">
        <v>3</v>
      </c>
      <c r="E2511" t="n">
        <v>6</v>
      </c>
      <c r="F2511">
        <f>HYPERLINK("https://www.reddit.com/r/cancer/comments/brpzu8/dads_just_been_diagnosed_with_advanced_prostate/")</f>
        <v/>
      </c>
      <c r="G2511" t="inlineStr">
        <is>
          <t>2019-05-22 08:14:30</t>
        </is>
      </c>
      <c r="H2511" t="inlineStr"/>
    </row>
    <row r="2512">
      <c r="A2512" t="inlineStr">
        <is>
          <t>brqof6</t>
        </is>
      </c>
      <c r="B2512" t="inlineStr">
        <is>
          <t>Vaginal Bleeding</t>
        </is>
      </c>
      <c r="C2512" t="inlineStr">
        <is>
          <t>I was suffering from [Vaginal Bleeding](http://cancergenomictest.com) for a long time. Even after showing it to a lot of doctors, the exact reason was not showing up. So I took a test on www.cancergenomictest.com and found out that my grandmother had vaginal cancer. Finally, got the exact reason and started the medication immediately. Call them on 1-800-339-0813.</t>
        </is>
      </c>
      <c r="D2512" t="n">
        <v>0</v>
      </c>
      <c r="E2512" t="n">
        <v>0</v>
      </c>
      <c r="F2512">
        <f>HYPERLINK("https://www.reddit.com/r/cancer/comments/brqof6/vaginal_bleeding/")</f>
        <v/>
      </c>
      <c r="G2512" t="inlineStr">
        <is>
          <t>2019-05-22 09:12:37</t>
        </is>
      </c>
      <c r="H2512" t="inlineStr"/>
    </row>
    <row r="2513">
      <c r="A2513" t="inlineStr">
        <is>
          <t>brs0w3</t>
        </is>
      </c>
      <c r="B2513" t="inlineStr">
        <is>
          <t>Switching oncologists while in remission</t>
        </is>
      </c>
      <c r="C2513" t="inlineStr">
        <is>
          <t>Hi everyone! So my husband has been in remission since January of 2018. We have gone to the same oncologist since the very beginning (June 2017). We are going to have to switch though because we are moving to a new state and getting new insurance so they might not cover him anyways. I was wondering what your experiences were with switching oncologists? Was it easy or a pain? We had some testing done originally at a different hospital and even getting that sent over was a pain so the thought of all of the records getting sent seems daunting. Theres also the fact that my husband had a very rare form of cancer and its quite possible that the doctors in our new city will have never seen a case of it before so I'm worried about how they will monitor him or if, God forbid, it came back how they would treat it. Also how would be go about making an appointment with the new oncologist? Do we just call and say that we need to switch and its just blood work and monitoring now? Should the current oncologist call? I dont know, I'm just worried and was hoping someone on here had done something similar.</t>
        </is>
      </c>
      <c r="D2513" t="n">
        <v>3</v>
      </c>
      <c r="E2513" t="n">
        <v>6</v>
      </c>
      <c r="F2513">
        <f>HYPERLINK("https://www.reddit.com/r/cancer/comments/brs0w3/switching_oncologists_while_in_remission/")</f>
        <v/>
      </c>
      <c r="G2513" t="inlineStr">
        <is>
          <t>2019-05-22 11:05:18</t>
        </is>
      </c>
      <c r="H2513" t="inlineStr"/>
    </row>
    <row r="2514">
      <c r="A2514" t="inlineStr">
        <is>
          <t>brs9w9</t>
        </is>
      </c>
      <c r="B2514" t="inlineStr">
        <is>
          <t>Grief after death</t>
        </is>
      </c>
      <c r="C2514" t="inlineStr">
        <is>
          <t>My mother fought a long and hard 20 months with stage 4 lung cancer but she lost the fight this evening. It happened so fast that i'm still processing it all now. Everytime I look at something that she used to use or wear, it triggers uncontrollable tears. I don't even know what I want know, maybe just some words of comfort? I really wish it didn't have to end this way</t>
        </is>
      </c>
      <c r="D2514" t="n">
        <v>10</v>
      </c>
      <c r="E2514" t="n">
        <v>6</v>
      </c>
      <c r="F2514">
        <f>HYPERLINK("https://www.reddit.com/r/cancer/comments/brs9w9/grief_after_death/")</f>
        <v/>
      </c>
      <c r="G2514" t="inlineStr">
        <is>
          <t>2019-05-22 11:26:33</t>
        </is>
      </c>
      <c r="H2514" t="inlineStr"/>
    </row>
    <row r="2515">
      <c r="A2515" t="inlineStr">
        <is>
          <t>brsbmg</t>
        </is>
      </c>
      <c r="B2515" t="inlineStr">
        <is>
          <t>My mother passed this morning.</t>
        </is>
      </c>
      <c r="C2515" t="inlineStr">
        <is>
          <t>It's been a rollercoaster. She was only just diagnosed barely a month ago and her rapid deterioration was so heartbreaking. She just came home on hospice Monday, hospice was here yesterday talking with us and she passed this morning in her sleep. My sister and I both sat, held her hand, brushed her hair and gave her forehead kisses. She was only a small amount lucid monday evening, tuesday she was confused and agitated and then she slept. We let her sleep, and gave her medication to keep her comfortable. She last spoke to us yesterday afternoon. This morning we knew when we saw how her breathing was and we stayed with her told her she could rest, we'd be okay and we'd get through this together. We let her know that it was okay to let go and we wouldn't leave her. We loved her. I hope she heard us. I pray and like to think she did. I know she's not suffering or in any pain. I'm happy it wasn't prolonged for her and we all prayed she wouldn't suffer. But without a doubt this has been one of the hardest days of my life. I thought we had more time, she thought we had more time. I'm going to miss her deeply.
I just want to take a moment and also say thank everyone who commented on my post from a few days ago. I'm sorry I didn't respond but I read all the responses and appreciate it more than you know. Thank you for your kind words and pieces of advice.</t>
        </is>
      </c>
      <c r="D2515" t="n">
        <v>87</v>
      </c>
      <c r="E2515" t="n">
        <v>16</v>
      </c>
      <c r="F2515">
        <f>HYPERLINK("https://www.reddit.com/r/cancer/comments/brsbmg/my_mother_passed_this_morning/")</f>
        <v/>
      </c>
      <c r="G2515" t="inlineStr">
        <is>
          <t>2019-05-22 11:30:36</t>
        </is>
      </c>
      <c r="H2515" t="inlineStr"/>
    </row>
    <row r="2516">
      <c r="A2516" t="inlineStr">
        <is>
          <t>brsd74</t>
        </is>
      </c>
      <c r="B2516" t="inlineStr">
        <is>
          <t>Pet scan results: ranges?</t>
        </is>
      </c>
      <c r="C2516" t="inlineStr">
        <is>
          <t>Hey guys, been in treatment over a year and got my pet scan results back. The doctor said the uptake number is 27 and that cancer is usually considered at 20. A biopsy is scheduled because it’s possible inflammation from radiation. 
My question is about the ranges of PET scans. I can’t find good information about it and one source said the ranges were from 15 max. Many people saying 2.0 and 3.0 are considered cancerous so I’m not sure? My last scan showed 9.1 in the same area so I’m pretty sure they aren’t just leaving the . out. 
Hope I’m making sense, not the best of news. Thanks</t>
        </is>
      </c>
      <c r="D2516" t="n">
        <v>6</v>
      </c>
      <c r="E2516" t="n">
        <v>5</v>
      </c>
      <c r="F2516">
        <f>HYPERLINK("https://www.reddit.com/r/cancer/comments/brsd74/pet_scan_results_ranges/")</f>
        <v/>
      </c>
      <c r="G2516" t="inlineStr">
        <is>
          <t>2019-05-22 11:34:21</t>
        </is>
      </c>
      <c r="H2516" t="inlineStr"/>
    </row>
    <row r="2517">
      <c r="A2517" t="inlineStr">
        <is>
          <t>brtgos</t>
        </is>
      </c>
      <c r="B2517" t="inlineStr">
        <is>
          <t>My dad has stage 4 colon cancer with mets and I've never been more lost</t>
        </is>
      </c>
      <c r="C2517" t="inlineStr">
        <is>
          <t>About a year and a half ago, my dad was diagnosed with this aggressive cancer. Right now he's been in the hospital for almost two weeks. 
The doctors say he has sepsis.  Just the other day he had to have a procedure done, and the doctors drained 5.5 liters of ascites fluid from his abdomen. Now the doctors found that he is internally bleeding somewhere in his body, but they don't know where yet. 
I just needed to get this off my chest. I'm not ready to lose my dad.</t>
        </is>
      </c>
      <c r="D2517" t="n">
        <v>18</v>
      </c>
      <c r="E2517" t="n">
        <v>10</v>
      </c>
      <c r="F2517">
        <f>HYPERLINK("https://www.reddit.com/r/cancer/comments/brtgos/my_dad_has_stage_4_colon_cancer_with_mets_and_ive/")</f>
        <v/>
      </c>
      <c r="G2517" t="inlineStr">
        <is>
          <t>2019-05-22 13:02:47</t>
        </is>
      </c>
      <c r="H2517" t="inlineStr"/>
    </row>
    <row r="2518">
      <c r="A2518" t="inlineStr">
        <is>
          <t>bruk2q</t>
        </is>
      </c>
      <c r="B2518" t="inlineStr">
        <is>
          <t>Tongue cancer halfway through part 3</t>
        </is>
      </c>
      <c r="C2518" t="inlineStr">
        <is>
          <t>My treatment is suspended. Monday went in for radiation (24 of 35) and fluids. Started vomiting again they weigh me and I’m down 44 pounds. 
Sent me to the hospital for pump feeding and weight is coming back up and hopefully home tomorrow and resume treatment after Memorial Day. 
Probably changing chemo since the Cistplain is causing neuropathy</t>
        </is>
      </c>
      <c r="D2518" t="n">
        <v>4</v>
      </c>
      <c r="E2518" t="n">
        <v>21</v>
      </c>
      <c r="F2518">
        <f>HYPERLINK("https://www.reddit.com/r/cancer/comments/bruk2q/tongue_cancer_halfway_through_part_3/")</f>
        <v/>
      </c>
      <c r="G2518" t="inlineStr">
        <is>
          <t>2019-05-22 14:32:54</t>
        </is>
      </c>
      <c r="H2518" t="inlineStr"/>
    </row>
    <row r="2519">
      <c r="A2519" t="inlineStr">
        <is>
          <t>brvhpl</t>
        </is>
      </c>
      <c r="B2519" t="inlineStr">
        <is>
          <t>I feel like we are being pushed to the side and IDK what to do?</t>
        </is>
      </c>
      <c r="C2519" t="inlineStr">
        <is>
          <t>So recently my boyfriend went to the Urologist because of testicular pain along with some gastro pain (going to the gastro for that). So they go and have him do an ultrasound and they found a 3 mm lesion of abnormal cells that have grown on one testicle. They do a tumor marker test that comes back negative (But as I have researched these tests are not 100% accurate). And now they just seem to not care at all. When I spoke with the doctors nurse she said that they would do an ultrasound in a couple of months to see if it has grown. When asked why they won't do a fine needle biopsy she said that it was too much of a gamble and that cancer cells are small and they might not get any. So I remind her that there is a 3mm lesion that they could test, but she says that all she can do is talk to the doctor and tries to end the phone call before I ask all my questions. When I asked if they know what it is they say they don't know and that for all they know this has been with him since birth. This to me is starting to get crazy because they seem to not care at all what it is!
 For all, we know he could have cancer and it will have spread to the other testicle by then and then they would cut out both and then he'd be sterile! I don't know what to do! What do you think?</t>
        </is>
      </c>
      <c r="D2519" t="n">
        <v>5</v>
      </c>
      <c r="E2519" t="n">
        <v>4</v>
      </c>
      <c r="F2519">
        <f>HYPERLINK("https://www.reddit.com/r/cancer/comments/brvhpl/i_feel_like_we_are_being_pushed_to_the_side_and/")</f>
        <v/>
      </c>
      <c r="G2519" t="inlineStr">
        <is>
          <t>2019-05-22 15:54:38</t>
        </is>
      </c>
      <c r="H2519" t="inlineStr"/>
    </row>
    <row r="2520">
      <c r="A2520" t="inlineStr">
        <is>
          <t>brvn28</t>
        </is>
      </c>
      <c r="B2520" t="inlineStr">
        <is>
          <t>Chemo brain</t>
        </is>
      </c>
      <c r="C2520" t="inlineStr">
        <is>
          <t>After 3 treatments of chemo I find myself losing my short term memory.  I find myself not being to remember something from one minute to the next.  I have to leave myself little notes.  It's not all my mental faculties though. The funny thing is, I find that I have become very good at word jumbles. The words just jump out at me.  Maybe I'm reading into things too much but I'm trying to keep my brain active.</t>
        </is>
      </c>
      <c r="D2520" t="n">
        <v>7</v>
      </c>
      <c r="E2520" t="n">
        <v>6</v>
      </c>
      <c r="F2520">
        <f>HYPERLINK("https://www.reddit.com/r/cancer/comments/brvn28/chemo_brain/")</f>
        <v/>
      </c>
      <c r="G2520" t="inlineStr">
        <is>
          <t>2019-05-22 16:08:07</t>
        </is>
      </c>
      <c r="H2520" t="inlineStr"/>
    </row>
    <row r="2521">
      <c r="A2521" t="inlineStr">
        <is>
          <t>brwv42</t>
        </is>
      </c>
      <c r="B2521" t="inlineStr">
        <is>
          <t>So my dad now has chronic myeloid leukemia. Now what.</t>
        </is>
      </c>
      <c r="C2521" t="inlineStr">
        <is>
          <t>I am an adult whos is disabled and living at home with my parents. My dads had 22 surgeries in his life and today he found out he has CML (Chronic myeloid leukemia). He was told unless he pays $4000 (thats with a coupon) every month for pills, he will only live 3-5 years. Even if you take the pills, it sounds like your life is hell anyways. He is retired but has no 401 and any of that because it was used to pay for past surgeries. So he only gets $1500 a month.  
I really don't know what to think of all this. I'm not in shock like I thought I'd be. Or maybe I am and its why I feel nothing. I guess I do feel helpless to some degree. Mainly because as always meds that literally keep you alive come at ridiculous costs. I don't know how anyone pays for these things. They did mention they will "try" and find a discount but its not guaranteed. Mind you we are at one of the top hospitals in the country (only because we happen to live near it).   
I don't even know what this post is really about. I guess just to talk. Sort of an ironic thing is I started watching Break Bad a few weeks ago and just finished it yesterday.</t>
        </is>
      </c>
      <c r="D2521" t="n">
        <v>3</v>
      </c>
      <c r="E2521" t="n">
        <v>10</v>
      </c>
      <c r="F2521">
        <f>HYPERLINK("https://www.reddit.com/r/cancer/comments/brwv42/so_my_dad_now_has_chronic_myeloid_leukemia_now/")</f>
        <v/>
      </c>
      <c r="G2521" t="inlineStr">
        <is>
          <t>2019-05-22 18:05:24</t>
        </is>
      </c>
      <c r="H2521" t="inlineStr"/>
    </row>
    <row r="2522">
      <c r="A2522" t="inlineStr">
        <is>
          <t>bs01xx</t>
        </is>
      </c>
      <c r="B2522" t="inlineStr">
        <is>
          <t>30F doctor with a neuroendocrine tumor that can’t be found, causing carcinoid syndrome and cyclic Cushing’s... I’m feeling frustrated.</t>
        </is>
      </c>
      <c r="C2522" t="inlineStr">
        <is>
          <t>Hello,
I’m not entirely sure why I’m posting, but it’s 3am and here I am... 
I’m a 30 year old resident doctor who lives in Canada. I have a complicated medical history including multiple autoimmune issues, for which I take Humira, among other drugs. Last October I had to stop working because my increasingly severe GI symptoms were preventing me from taking care of my patients. I went through a slew of tests, scopes, imaging, and while I had many lab abnormalities, nothing was diagnostic; what was originally thought to be IBD or Behcet’s were ruled out. As I was discussing this with my gastroenterologist and feeling rather defeated, I remembered a patient I had treated the year before who had similar symptoms, and thus we started looking into the idea of a neuroendocrine tumor. I ended up having elevated levels of my 24h 5HIAA urine, and all my symptoms fit carcinoid syndrome; unfortunately, they haven’t been able to find the tumor, even though I’ve had CTs, MRIs, and the 68Ga-Dotate PET scan. I was subsequently started on short acting octreotide, which vastly improved my symptoms, but has come with nasty side effects, such as severe hyperglycaemia; we are trying to transition me to long acting octreotide, but the dosing is still somewhat guesswork because NETs are so rare, and we can only change the dose once a month, so it’s been slow.
Meanwhile, despite not being able to eat and having massive amounts of diarrhea for months, I put on 40lbs of weight. We started measuring my cortisol, and discovered that it was swinging from very high to dangerously low, suggesting cyclic Cushing’s, another rare entity. 
The idea of having a NET that is causing cyclic Cushing’s AND Carcinoid syndrome? I haven’t even been able to find a case report about it in the literature, and trust me - I’ve looked.
Overall I’m just really frustrated right now. I’ve been off work for 6 months, and while we’ve made some progress, I feel like I’m still so far away from getting back to me. It’s hard knowing that the only way to ‘cure’ this is to remove the tumor, but we can’t find the damn thing. Every test I walked into I would say I silent prayer hoping they would find something - which is the opposite of what people usually do - and every time the scans came back clean I was disappointed. Now the only choice is symptom management until a tumor pops up, and then we have to hope that it’s the primary, and not a liver metastasis. And it can take YEARS before a tumor pops up because they are so slow growing, despite being able to wreak so much havoc via hormone secretion. Furthermore, I know this is gong to sound vain, but I’ve gotten so fat from all the cortisol cycling, even though I can barely eat. Maybe this would be easier to handle if I was skinny, but instead I have to deal with the fact that none of my clothes fit and every time I look in the mirror I see a blimp staring back at me. 
I’ve felt helpless in the past when I haven’t been able to help my patients, and now I feel just as helpless because I can’t find a way to help me. I try to joke with my doctors that I’ll make a really cool case report one day, because there are so few cases like me in the literature (i.e. diagnosed NET without detectable tumor, carcinoid syndrome AND cyclic cushing’s), but the truth is every day I’m feeling less like a doctor and more like a patient. And I feel like I don’t even have the support that ‘normal’ cancer patients get, because I don’t look as sick and because this thing isn’t going to kill me, it’s just going to make me miserable for potentially (likely) years. I’m not saying that I want to have a ‘normal’ or deadly cancer, not at all - I just feel like it would be somehow easier to get support if I didn’t have this unknown, somewhat invisible entity that no one has heard of and that I can’t even tell them where it is in my body. 
I keep trying to think of myself as a patient I’m following, somewhat separate from me, someone who I just think about in clinical terms. I know I’m going to have to change that thinking soon enough, but it’s difficult to accept this new reality.</t>
        </is>
      </c>
      <c r="D2522" t="n">
        <v>37</v>
      </c>
      <c r="E2522" t="n">
        <v>44</v>
      </c>
      <c r="F2522">
        <f>HYPERLINK("https://www.reddit.com/r/cancer/comments/bs01xx/30f_doctor_with_a_neuroendocrine_tumor_that_cant/")</f>
        <v/>
      </c>
      <c r="G2522" t="inlineStr">
        <is>
          <t>2019-05-23 00:38:00</t>
        </is>
      </c>
      <c r="H2522" t="inlineStr"/>
    </row>
    <row r="2523">
      <c r="A2523" t="inlineStr">
        <is>
          <t>bs02hm</t>
        </is>
      </c>
      <c r="B2523" t="inlineStr">
        <is>
          <t>My dad has bowel cancer and i was meant to help my mum move up to Queensland tomorrow</t>
        </is>
      </c>
      <c r="C2523" t="inlineStr">
        <is>
          <t>I just found out today that my father has bowel cancer and that he will be undergoing an operation tonight. i live in Australia and i was meant to help my mother move from NSW to go up to Queensland tomorrow and stay with her for a month so i could help her move in. i'm just so lost my father said he doesn't care if i go up to Queensland and that he'll be fine. I've already lost my grandma to lung cancer and i'm just terrified what happens if he dies whilst i'm up there for the month and i wasn't there to support him in his time of need, i just need advice.</t>
        </is>
      </c>
      <c r="D2523" t="n">
        <v>8</v>
      </c>
      <c r="E2523" t="n">
        <v>2</v>
      </c>
      <c r="F2523">
        <f>HYPERLINK("https://www.reddit.com/r/cancer/comments/bs02hm/my_dad_has_bowel_cancer_and_i_was_meant_to_help/")</f>
        <v/>
      </c>
      <c r="G2523" t="inlineStr">
        <is>
          <t>2019-05-23 00:40:10</t>
        </is>
      </c>
      <c r="H2523" t="inlineStr"/>
    </row>
    <row r="2524">
      <c r="A2524" t="inlineStr">
        <is>
          <t>bs0yut</t>
        </is>
      </c>
      <c r="B2524" t="inlineStr">
        <is>
          <t>Phoenix Tears / Rick Simpson Oil</t>
        </is>
      </c>
      <c r="C2524" t="inlineStr">
        <is>
          <t>41m - GBM (Glioblastoma)
Has anyone tried Rick Simpson Oils / Phoenix Tears and can share some effects / side effects / Results?
Thanks
M.</t>
        </is>
      </c>
      <c r="D2524" t="n">
        <v>6</v>
      </c>
      <c r="E2524" t="n">
        <v>13</v>
      </c>
      <c r="F2524">
        <f>HYPERLINK("https://www.reddit.com/r/cancer/comments/bs0yut/phoenix_tears_rick_simpson_oil/")</f>
        <v/>
      </c>
      <c r="G2524" t="inlineStr">
        <is>
          <t>2019-05-23 02:51:13</t>
        </is>
      </c>
      <c r="H2524" t="inlineStr"/>
    </row>
    <row r="2525">
      <c r="A2525" t="inlineStr">
        <is>
          <t>bs1lda</t>
        </is>
      </c>
      <c r="B2525" t="inlineStr">
        <is>
          <t>ABVD Chemo</t>
        </is>
      </c>
      <c r="C2525" t="inlineStr">
        <is>
          <t>So 2 weeks ago I was diagnosed with Hodgkins Lymphoma (2 days before my 18th birthday😢) and I’ve already started my first round of ABVD Chemotherapy and have my second round next Wednesday. I’ve had some bad days so far but I was just wondering what I should be expecting in the next few months of treatment like side effect wise? Cause I’ve searched it up but I think hearing from actual people would be better. Thank you!!</t>
        </is>
      </c>
      <c r="D2525" t="n">
        <v>13</v>
      </c>
      <c r="E2525" t="n">
        <v>10</v>
      </c>
      <c r="F2525">
        <f>HYPERLINK("https://www.reddit.com/r/cancer/comments/bs1lda/abvd_chemo/")</f>
        <v/>
      </c>
      <c r="G2525" t="inlineStr">
        <is>
          <t>2019-05-23 04:08:14</t>
        </is>
      </c>
      <c r="H2525" t="inlineStr"/>
    </row>
    <row r="2526">
      <c r="A2526" t="inlineStr">
        <is>
          <t>bs1rzt</t>
        </is>
      </c>
      <c r="B2526" t="inlineStr">
        <is>
          <t>...</t>
        </is>
      </c>
      <c r="C2526" t="inlineStr">
        <is>
          <t>I just found out that one of my closest friends who i haven't visited in a while has lung cancer. He just found out too. They've already given him an estimate of how much time he has left, but the doctors haven't confirmed that they definitely think that estimate is correct. I have no money for plane tickets, but i do have a gofundme, so here's the link for anyone who wants to help I guess: https://www.gofundme.com/visiting-funds-2019</t>
        </is>
      </c>
      <c r="D2526" t="n">
        <v>1</v>
      </c>
      <c r="E2526" t="n">
        <v>0</v>
      </c>
      <c r="F2526">
        <f>HYPERLINK("https://www.reddit.com/r/cancer/comments/bs1rzt/_/")</f>
        <v/>
      </c>
      <c r="G2526" t="inlineStr">
        <is>
          <t>2019-05-23 04:29:10</t>
        </is>
      </c>
      <c r="H2526" t="inlineStr"/>
    </row>
    <row r="2527">
      <c r="A2527" t="inlineStr">
        <is>
          <t>bs26uv</t>
        </is>
      </c>
      <c r="B2527" t="inlineStr">
        <is>
          <t>7 Steps to Preventing Oral Cancer in India</t>
        </is>
      </c>
      <c r="C2527" t="inlineStr">
        <is>
          <t>Oral cancer is type of head and neck cancer and also known as mouth cancer. It can occur anywhere in the mouth, tongue, lips, inside the cheek, in the gums, in the tonsils, and in the salivary glands.
There are several types of oral cancer. In India 90% of oral cancers are squamous cell carcinoma. By 2035 it is predicted that in India alone there will be 1.7 million oral cancer patients.
Oral cancer has a high occurrence in India. Approximately, 1 in every 4 cancers reported in India is an oral cancer. Oral cancer is a cancer that occurs in any part of the mouth, and is commonly found on the side of the tongue.
&amp;amp;#x200B;
![img](sq939bc9ayz21)
### Here are seven easy steps towards to prevent oral cancer in India
* **Avoid chewing Tobacco**
   * More than **90%**of Oral Cancer in India report using tobacco products
   * One of the leading causes for oral cancer in India is chewing tobacco. Chewing tobacco accounts for \~40% of all oral cancers and increases the risk for oral cancer by about 3x-7x normal risk.
   * Additionally gutka, panparak, zarda,mawa, kharra and khainni. These are dry mixture of powdered tobacco, lime and Areca nut flakes which are chewed or sucked orally.
   * Chewing tobacco 10 or more times a day have risk 9.2 times that of non-tobacco chewers.
* **Stop smoking** 
   * Smoking, similar to chewing tobacco is a carcinogen: that means it helps break down the bodies natural defenses to preventing cancer.
* **Drink alcohol in moderation**
   * The longer you use alcohol and the amount you drink, the more your risk goes up.
* **Don't eat Paan**
   * Eating paan (betel nuts) increases the risk of cancer by 2x normal risk.
* **Maintain good oral hygine**
   * 85% of oral cancer patients had poor oral hygiene
   * Patients wearing dentures for more than 15 years and not visiting a dentist regularly was highly associated with Oral cavity cancer
* **Get HPV vacinaations**
   * **HPV** (human papillomavirus) is a sexually transmitted virus that can infect the mouth and throat and cause cancers of the oropharynx (back of the throat, including the base of the tongue and tonsils).
* **Self Examination**
   * Oral cancers are usually on the surface, which can be seen. In other cases bumps or pain can be felt. Maintain good dental hygiene and check your mouth, especially your tongue (both sides) for patches.
Reference:
[https://en.wikipedia.org/wiki/Oral\_cancer](https://en.wikipedia.org/wiki/Oral_cancer)
[https://www.ncbi.nlm.nih.gov/pmc/articles/PMC5917535/](https://www.ncbi.nlm.nih.gov/pmc/articles/PMC5917535/)
[http://www.jpsr.pharmainfo.in/Documents/Volumes/vol7Issue10/jpsr07101509.pdf](http://www.jpsr.pharmainfo.in/Documents/Volumes/vol7Issue10/jpsr07101509.pdf)
[https://positivebioscience.com/7-steps-to-preventing-oral-cancer-in-india/](https://positivebioscience.com/7-steps-to-preventing-oral-cancer-in-india/)</t>
        </is>
      </c>
      <c r="D2527" t="n">
        <v>1</v>
      </c>
      <c r="E2527" t="n">
        <v>0</v>
      </c>
      <c r="F2527">
        <f>HYPERLINK("https://www.reddit.com/r/cancer/comments/bs26uv/7_steps_to_preventing_oral_cancer_in_india/")</f>
        <v/>
      </c>
      <c r="G2527" t="inlineStr">
        <is>
          <t>2019-05-23 05:13:15</t>
        </is>
      </c>
      <c r="H2527" t="inlineStr"/>
    </row>
    <row r="2528">
      <c r="A2528" t="inlineStr">
        <is>
          <t>bs42w9</t>
        </is>
      </c>
      <c r="B2528" t="inlineStr">
        <is>
          <t>Feeling Really Guilty</t>
        </is>
      </c>
      <c r="C2528" t="inlineStr">
        <is>
          <t>This is really a vent.  I'm not sure I'm looking for advice, but to the extent any survivor's have thoughts, I'm receptive.  
Long story short, I'm into my second NED stint with stage 4 melanoma.  I lost my toe and I've had a few other surgeries, but my Immunotherapy, while cumbersome, was pretty light weight.  Bottom line, I'm still here almost 5 years later and I'm about as normal as I could ever hope.
In the wake of my stage 4 diagnosis (which occurred in mid-December), I went home for Christmas and told my entire family.  For as terrible as the news was, it was a cathartic and useful experience.  I cried, I was fairly convinced this was my last Christmas (the first maintstream immunotherapy was only recently approved) but as anyone who's dealt with this knows, getting the chance to get **a lot** of the people you need to tell into 1 room at the same time is actually really great because you don't have to relive the news ad infinitum like most normal situations.  
Today, I found out my aunt has (I think) at least Stage 3 bladder cancer after recently having her entire bladder removed (details are sketchy, and I'm not familiar with that type of cancer).  Apparently, the path report is "not good."  (My family is not very good with medical info, so whisper down the lane combined lack of knowledge makes it hard to tell).  My mom was already talking about hospice and her (and my uncle's) children.
Besides feeling pretty terrible, I feel so guilty and fortunate (in like, a bad way).  I was such a blubbering mess that Christmas and she's been pretty stoic throughout.  I feel like I haven't done enough to reach out and check in on her and I feel like I almost overplayed my experience even though, I know, my feelings at that time were pretty genuine.  I can't really fully imagine what she's going through but I do know that feeling of dread and I feel really embarrassed for that Christmas because of what she's going through now which seems so much worse.  And ultimately, I just don't get why I'm here and had it so easy and she's not.  That's more rhetorical, but it still makes me feel guilty.</t>
        </is>
      </c>
      <c r="D2528" t="n">
        <v>11</v>
      </c>
      <c r="E2528" t="n">
        <v>4</v>
      </c>
      <c r="F2528">
        <f>HYPERLINK("https://www.reddit.com/r/cancer/comments/bs42w9/feeling_really_guilty/")</f>
        <v/>
      </c>
      <c r="G2528" t="inlineStr">
        <is>
          <t>2019-05-23 08:07:12</t>
        </is>
      </c>
      <c r="H2528" t="inlineStr"/>
    </row>
    <row r="2529">
      <c r="A2529" t="inlineStr">
        <is>
          <t>bs4jsb</t>
        </is>
      </c>
      <c r="B2529" t="inlineStr">
        <is>
          <t>My Dad Was Diagnosed with CMML Today. Help?</t>
        </is>
      </c>
      <c r="C2529" t="inlineStr">
        <is>
          <t>I can't find a ton of information on it. His white blood cell count has sky rocketed, but he has no other symptoms. He went to the Cleveland Clinic today. Apparently it has to be rated 1-15 and they're still looking at slides? Something about a Bone Marrow Transplant can happen if it's extreme?
I don't know. I look at survival rates and it says the median is 20 months. That's scary to see. I want to realistically prepare myself, even if it's the worst. Does anyone have experience with this or know anything about it?</t>
        </is>
      </c>
      <c r="D2529" t="n">
        <v>3</v>
      </c>
      <c r="E2529" t="n">
        <v>1</v>
      </c>
      <c r="F2529">
        <f>HYPERLINK("https://www.reddit.com/r/cancer/comments/bs4jsb/my_dad_was_diagnosed_with_cmml_today_help/")</f>
        <v/>
      </c>
      <c r="G2529" t="inlineStr">
        <is>
          <t>2019-05-23 08:47:14</t>
        </is>
      </c>
      <c r="H2529" t="inlineStr"/>
    </row>
    <row r="2530">
      <c r="A2530" t="inlineStr">
        <is>
          <t>bs58jc</t>
        </is>
      </c>
      <c r="B2530" t="inlineStr">
        <is>
          <t>Stress Management and Resiliency Program for Cancer Survivors</t>
        </is>
      </c>
      <c r="C2530" t="inlineStr">
        <is>
          <t>https://i.redd.it/fh7bhyo7pzz21.jpg
Hi! I work on a team that is currently recruiting for a research opportunity to support adolescent and young adult cancer survivors who were diagnosed between the ages of 15-27 and have completed treatment for cancer (any type) in the past 5 years. The program will be held for virtually (over videoconferencing) for 8 weeks and participants will be compensated up to $90 for their time. Please don’t hesitate to reach out if you are interested in learning more or have any questions. Thank you! @MGHBounceBack</t>
        </is>
      </c>
      <c r="D2530" t="n">
        <v>5</v>
      </c>
      <c r="E2530" t="n">
        <v>0</v>
      </c>
      <c r="F2530">
        <f>HYPERLINK("https://www.reddit.com/r/cancer/comments/bs58jc/stress_management_and_resiliency_program_for/")</f>
        <v/>
      </c>
      <c r="G2530" t="inlineStr">
        <is>
          <t>2019-05-23 09:44:11</t>
        </is>
      </c>
      <c r="H2530" t="inlineStr"/>
    </row>
    <row r="2531">
      <c r="A2531" t="inlineStr">
        <is>
          <t>bs5duy</t>
        </is>
      </c>
      <c r="B2531" t="inlineStr">
        <is>
          <t>Vaginal referral</t>
        </is>
      </c>
      <c r="C2531" t="inlineStr">
        <is>
          <t>So, my wife (38) just got back from the doctors.
She's had light bleeding between periods and after intercourse for a couple of months and frequency weeing (though she has always had a tiny bladder).
Today she had a manual / digital exam and the doctor found two lumps in the inside wall of her vagina.
She's been given an urgent (!!) appointment with a specialist for 2 months time. In the meantime we are in limbo. I know that without tests, biopsies and what have you no-one can diagnose anything, but I'd really like some idea of how fucked we are.
Vaginal cancer has a 53% survival rate at 10 years in the UK. That seems a pretty fucking shitty percentage right now.
I'm the one with the family history (breast cancer got my mum and her twin, bladder cancer nearly took my dad), so I always assumed I'd be the one in the shit.</t>
        </is>
      </c>
      <c r="D2531" t="n">
        <v>3</v>
      </c>
      <c r="E2531" t="n">
        <v>3</v>
      </c>
      <c r="F2531">
        <f>HYPERLINK("https://www.reddit.com/r/cancer/comments/bs5duy/vaginal_referral/")</f>
        <v/>
      </c>
      <c r="G2531" t="inlineStr">
        <is>
          <t>2019-05-23 09:56:39</t>
        </is>
      </c>
      <c r="H2531" t="inlineStr"/>
    </row>
    <row r="2532">
      <c r="A2532" t="inlineStr">
        <is>
          <t>bs5oty</t>
        </is>
      </c>
      <c r="B2532" t="inlineStr">
        <is>
          <t>Traveling during chemotherapy</t>
        </is>
      </c>
      <c r="C2532" t="inlineStr">
        <is>
          <t>I have out of town family constantly visiting my mom, who has stage 4 uterine cancer. She is currently going through chemotherapy. Her cycle is once a week. Two weeks on, two weeks off. 
My family living here really wants to do an over night trip, the next time family visits, somewhere not too far. Maybe a couple hours away. With my mom.
I feel like an asshole because right away that was not an option in my mind. Now I'm being viewed as this party pooper. My mom is very weak. When we leave the house we use a wheelchair. In the house, she uses a walker and even then walking from the living room to the washroom sometime she needs to sit on her walker from being very weak. Their argument is "she would just be sitting in the car anyways"
Due to her chemo she's also been getting a blood transfusion once a month. I just feel uncomfortable with her traveling, so she's more exposed to sick people who might be vacationing too. 
I've stopped working since January to take care of her and I have been there every step of the way. Every chemo, radiation, doctor, hospital visit.  I don't know... Maybe I'm just being over protective? 
Does any fighters/ survivors have any experience with day trips?
Maybe I am just over thinking this... 
Looking forward to any advice, thanks in advance.</t>
        </is>
      </c>
      <c r="D2532" t="n">
        <v>5</v>
      </c>
      <c r="E2532" t="n">
        <v>7</v>
      </c>
      <c r="F2532">
        <f>HYPERLINK("https://www.reddit.com/r/cancer/comments/bs5oty/traveling_during_chemotherapy/")</f>
        <v/>
      </c>
      <c r="G2532" t="inlineStr">
        <is>
          <t>2019-05-23 10:22:06</t>
        </is>
      </c>
      <c r="H2532" t="inlineStr"/>
    </row>
    <row r="2533">
      <c r="A2533" t="inlineStr">
        <is>
          <t>bs6h5r</t>
        </is>
      </c>
      <c r="B2533" t="inlineStr">
        <is>
          <t>Got the call at work, my mom's body is failing. The time is very near.</t>
        </is>
      </c>
      <c r="C2533" t="inlineStr">
        <is>
          <t>I'm driving home now.  It's an hour and a half away.  Why was I working.  I knew she was in the hospital of course but it was routine.  They said everything was fine.  They did a scan last night and they said no tumor growth, and that she was looking good.  Now her body is failing.  Jesus Christ, I didn't think it would happen so fast.  Why was I at work.  I should have been home.  I just started the job two months ago, I should have just stayed home.  I'm only 22 why do I have to lose my mom so quick.  I can't believe this is happening.  I'm sorry this is incoherent.  I need to just yell into the wind on the internet.  I joined this sub a year and a half ago when she was diagnosed.  I thought I'd have more time.  I can't believe this.</t>
        </is>
      </c>
      <c r="D2533" t="n">
        <v>76</v>
      </c>
      <c r="E2533" t="n">
        <v>33</v>
      </c>
      <c r="F2533">
        <f>HYPERLINK("https://www.reddit.com/r/cancer/comments/bs6h5r/got_the_call_at_work_my_moms_body_is_failing_the/")</f>
        <v/>
      </c>
      <c r="G2533" t="inlineStr">
        <is>
          <t>2019-05-23 11:28:41</t>
        </is>
      </c>
      <c r="H2533" t="inlineStr"/>
    </row>
    <row r="2534">
      <c r="A2534" t="inlineStr">
        <is>
          <t>bs7g2y</t>
        </is>
      </c>
      <c r="B2534" t="inlineStr">
        <is>
          <t>Good News for Young Breast Cancer Patients!</t>
        </is>
      </c>
      <c r="C2534" t="inlineStr">
        <is>
          <t>Young women diagnosed with breast cancer are often concerned by data suggesting that a diagnosis under 40 is associated with poorer prognosis and an increased risk of reoccurrence. 
The latest research (May 2019) suggests this is not the case, and long-term survival is on par with any other population of breast cancer patients when treatment protocols are followed. 
As a young breast cancer survivor, this is welcome, reassuring news! It certainly reduces my anxiety about the future, and I wanted to share so it would have the same effect for others✨
Excerpt from the study and citation below:
“Breast cancer in young women is characterised by more aggressive biological features as compared to those arising in older patients but outcomes are good when guideline-recommended treatments are given, according to ESMO Spokesperson Dr. Matteo Lambertini from IRCCS Policlinico San Martino Hospital -- University of Genoa, Italy, commenting on results of two studies presented during the ESMO Breast Cancer Congress 2019, 2-4 May 2019 in Berlin, Germany”.
European Society for Medical Oncology. "Breast cancer in young women: Good outcomes with advised therapy." ScienceDaily. ScienceDaily, 29 April 2019. &amp;lt;www.sciencedaily.com/releases/2019/04/190429182810.htm&amp;gt;.</t>
        </is>
      </c>
      <c r="D2534" t="n">
        <v>20</v>
      </c>
      <c r="E2534" t="n">
        <v>5</v>
      </c>
      <c r="F2534">
        <f>HYPERLINK("https://www.reddit.com/r/cancer/comments/bs7g2y/good_news_for_young_breast_cancer_patients/")</f>
        <v/>
      </c>
      <c r="G2534" t="inlineStr">
        <is>
          <t>2019-05-23 12:53:11</t>
        </is>
      </c>
      <c r="H2534" t="inlineStr"/>
    </row>
    <row r="2535">
      <c r="A2535" t="inlineStr">
        <is>
          <t>bs7okm</t>
        </is>
      </c>
      <c r="B2535" t="inlineStr">
        <is>
          <t>Help beat Cancer</t>
        </is>
      </c>
      <c r="C2535" t="inlineStr">
        <is>
          <t>A Babcock university staff (in Nigeria) who was diagnozed with cancer of the Gall Bladder last year is seeking for help. He has travelled to India twice for Surgery and now he is diagnozed with ASCENDING CHOLLANGITIS with block stent. A complication from cancer of the gall bladder and will need to be replaced urgently. He is in need of $33,000(USD) to travel abroad for another surgery. Right now, We are short of cash and assistance. Please is there any suggestions on how we can get help for him? It is very urgent. 
Thank you.</t>
        </is>
      </c>
      <c r="D2535" t="n">
        <v>0</v>
      </c>
      <c r="E2535" t="n">
        <v>0</v>
      </c>
      <c r="F2535">
        <f>HYPERLINK("https://www.reddit.com/r/cancer/comments/bs7okm/help_beat_cancer/")</f>
        <v/>
      </c>
      <c r="G2535" t="inlineStr">
        <is>
          <t>2019-05-23 13:12:55</t>
        </is>
      </c>
      <c r="H2535" t="inlineStr"/>
    </row>
    <row r="2536">
      <c r="A2536" t="inlineStr">
        <is>
          <t>bs96dh</t>
        </is>
      </c>
      <c r="B2536" t="inlineStr">
        <is>
          <t>My mom is mad at me for how I am processing the news of my Dad's cancer.</t>
        </is>
      </c>
      <c r="C2536" t="inlineStr">
        <is>
          <t>As the title says, I am apparently being problematic. we found out recently that my father has a 5cm mass of cancer in his colon. That is 100% of the information we have so far. I am looking at this news from a perspective of, well, we really don't know much yet, so before we panic and freak out lets wait and see what his doctors say. As I understand it colon cancer is one of the more easily treated cancers, and my dad is a really strong guy who has survived cancer before. 
&amp;amp;#x200B;
She keeps telling me how distraught my older brother is about my dad's diagnosis and I keep telling her that that sucks but he needs to calm down til we get more information. She tells me that she is scared and she doesn't know what she will do without him, and I tell her that he isn't gone yet, maybe we should wait and see what the doctors say before we start thinking the worst. Today she accused me of not caring about my dad and not worrying about my family.
&amp;amp;#x200B;
I am also scared shitless. Cancer is a big scary life altering word but I mean, we literally don't know anything at all yet. The news is still so recent that the VA hasn't even gotten him scheduled to see an oncologist yet. Like I am sorry that I am not ready to start planning his funeral yet? I don't know. I know my mom is scared but I don't think its fair of her to say that and it really hurt.  Am I in the wrong for trying to tell her that there is no reason to panic or freak out yet?</t>
        </is>
      </c>
      <c r="D2536" t="n">
        <v>24</v>
      </c>
      <c r="E2536" t="n">
        <v>16</v>
      </c>
      <c r="F2536">
        <f>HYPERLINK("https://www.reddit.com/r/cancer/comments/bs96dh/my_mom_is_mad_at_me_for_how_i_am_processing_the/")</f>
        <v/>
      </c>
      <c r="G2536" t="inlineStr">
        <is>
          <t>2019-05-23 15:25:57</t>
        </is>
      </c>
      <c r="H2536" t="inlineStr"/>
    </row>
    <row r="2537">
      <c r="A2537" t="inlineStr">
        <is>
          <t>bs97j9</t>
        </is>
      </c>
      <c r="B2537" t="inlineStr">
        <is>
          <t>I desperately need advice please</t>
        </is>
      </c>
      <c r="C2537" t="inlineStr">
        <is>
          <t>I’m currently in my second semester of uni, nearing its conclusion, and at the start of the week my family got the news that my mum was nearing the end of her battle. The general consensus is that she probably has until some point next week. After we received the news I’ve spent every day in the palliative care centre with her. I’ve been trying to get a bit of work done there but to no avail; I’m completely unable to focus. I don’t want to stay at home or go to uni and study as I feel like I should be with my mum for her last week or so. 
I’ve had a look at special consideration options and my uni allows for students in difficult circumstances to basically hit the rewind button. I could avoid having to pay the fees for this semester’s subjects, and avoid a fail grade; it would be as though I took the semester off and thus I would do it all again next semester.
Should I do it? Or should I just persevere and try to manage both? It sucks to think that I would’ve wasted 10 weeks of work, but I don’t want to be sacrificing time with my mum to study. 
I should also mention that my degree is quite demanding; falling behind in a week’s worth of work at this point in time is going to severely impact my results.</t>
        </is>
      </c>
      <c r="D2537" t="n">
        <v>4</v>
      </c>
      <c r="E2537" t="n">
        <v>8</v>
      </c>
      <c r="F2537">
        <f>HYPERLINK("https://www.reddit.com/r/cancer/comments/bs97j9/i_desperately_need_advice_please/")</f>
        <v/>
      </c>
      <c r="G2537" t="inlineStr">
        <is>
          <t>2019-05-23 15:29:06</t>
        </is>
      </c>
      <c r="H2537" t="inlineStr"/>
    </row>
    <row r="2538">
      <c r="A2538" t="inlineStr">
        <is>
          <t>bs99hs</t>
        </is>
      </c>
      <c r="B2538" t="inlineStr">
        <is>
          <t>My mom (66) has lymphoma, I want to find her a buddy/resource.</t>
        </is>
      </c>
      <c r="C2538" t="inlineStr">
        <is>
          <t>Hi! Unfortunately, I've found this subreddit because I need it. I made a new account for these questions.
My mom was diagnosed with lymphoma and is trying to decide on treatment. She's been given the option of doing nothing, or taking a course of Rituxan. Does anyone have any input, advice, stories, resources, etc? I would love to have some real life info to share with her. She's unsure of what to do and she's having a hard time finding anything positive about Rituxan. I want to help, and I think connecting her with someone who has been in her shoes would really help. Anybody know some stuff and want to talk?</t>
        </is>
      </c>
      <c r="D2538" t="n">
        <v>1</v>
      </c>
      <c r="E2538" t="n">
        <v>0</v>
      </c>
      <c r="F2538">
        <f>HYPERLINK("https://www.reddit.com/r/cancer/comments/bs99hs/my_mom_66_has_lymphoma_i_want_to_find_her_a/")</f>
        <v/>
      </c>
      <c r="G2538" t="inlineStr">
        <is>
          <t>2019-05-23 15:34:13</t>
        </is>
      </c>
      <c r="H2538" t="inlineStr"/>
    </row>
    <row r="2539">
      <c r="A2539" t="inlineStr">
        <is>
          <t>bs9mwx</t>
        </is>
      </c>
      <c r="B2539" t="inlineStr">
        <is>
          <t>Hair Regrowth Question</t>
        </is>
      </c>
      <c r="C2539" t="inlineStr">
        <is>
          <t>Hello, I have been done with chemo for about a month know. My eyebrows are growing back and a lot of other places in my body. My scalp, however, has a little bit of fuzz but there seems to be no progress. None of my chemotherapies cause permanent hair loss but I am very impatient and was wondering if this happens to others, too.</t>
        </is>
      </c>
      <c r="D2539" t="n">
        <v>7</v>
      </c>
      <c r="E2539" t="n">
        <v>12</v>
      </c>
      <c r="F2539">
        <f>HYPERLINK("https://www.reddit.com/r/cancer/comments/bs9mwx/hair_regrowth_question/")</f>
        <v/>
      </c>
      <c r="G2539" t="inlineStr">
        <is>
          <t>2019-05-23 16:10:35</t>
        </is>
      </c>
      <c r="H2539" t="inlineStr"/>
    </row>
    <row r="2540">
      <c r="A2540" t="inlineStr">
        <is>
          <t>bs9uco</t>
        </is>
      </c>
      <c r="B2540" t="inlineStr">
        <is>
          <t>I need honest truth</t>
        </is>
      </c>
      <c r="C2540" t="inlineStr">
        <is>
          <t>My dad was diagnosed over a year and a half ago in his vocal chords/voice box, so in essence, it's laryngeal squamous cell carcinoma cancer.
Earlier this year he had his larynx/tumor removed. And so far we've been adjusting with his speech therapy etc. And he's been doing so damn well, as if nothing happened.
He then had a PET Scan done that past Friday and we got news that the results weren't good and tomorrow we are meeting with an oncologist/specialist.
They didn't tell us exactly what it is other than it's concerning etc.
I just reviewed the results in my phone through the MyChart app given through loma Linda hospital.
There I saw the only abnormalities is that they found nodules in the lymph nodes ranging from 5mm to 8mm and 1.0cm.
I just want to have an idea of how things are before meeting the oncologist tomorrow. Can anyone please explain to me? Thank you</t>
        </is>
      </c>
      <c r="D2540" t="n">
        <v>3</v>
      </c>
      <c r="E2540" t="n">
        <v>10</v>
      </c>
      <c r="F2540">
        <f>HYPERLINK("https://www.reddit.com/r/cancer/comments/bs9uco/i_need_honest_truth/")</f>
        <v/>
      </c>
      <c r="G2540" t="inlineStr">
        <is>
          <t>2019-05-23 16:31:33</t>
        </is>
      </c>
      <c r="H2540" t="inlineStr"/>
    </row>
    <row r="2541">
      <c r="A2541" t="inlineStr">
        <is>
          <t>bsa4bg</t>
        </is>
      </c>
      <c r="B2541" t="inlineStr">
        <is>
          <t>Please help?</t>
        </is>
      </c>
      <c r="C2541" t="inlineStr">
        <is>
          <t>My dad has had cancer in the larynx. Fast forward 6months after having a laryngectomy. Scans show cancer in the lymph nodes. On the MyChart it days progressive cancer burden and it says "metastatic disease"</t>
        </is>
      </c>
      <c r="D2541" t="n">
        <v>1</v>
      </c>
      <c r="E2541" t="n">
        <v>0</v>
      </c>
      <c r="F2541">
        <f>HYPERLINK("https://www.reddit.com/r/cancer/comments/bsa4bg/please_help/")</f>
        <v/>
      </c>
      <c r="G2541" t="inlineStr">
        <is>
          <t>2019-05-23 17:00:14</t>
        </is>
      </c>
      <c r="H2541" t="inlineStr"/>
    </row>
    <row r="2542">
      <c r="A2542" t="inlineStr">
        <is>
          <t>bsacz3</t>
        </is>
      </c>
      <c r="B2542" t="inlineStr">
        <is>
          <t>Starting a support group at my university</t>
        </is>
      </c>
      <c r="C2542" t="inlineStr">
        <is>
          <t>Hey y’all, I’ve been interested in doing something like this for some time now. I want to start a group for not only patients but any student affected by cancer in some way. I believe I can help others by doing something like this. Does anyone know how I could get this project started?</t>
        </is>
      </c>
      <c r="D2542" t="n">
        <v>5</v>
      </c>
      <c r="E2542" t="n">
        <v>0</v>
      </c>
      <c r="F2542">
        <f>HYPERLINK("https://www.reddit.com/r/cancer/comments/bsacz3/starting_a_support_group_at_my_university/")</f>
        <v/>
      </c>
      <c r="G2542" t="inlineStr">
        <is>
          <t>2019-05-23 17:24:44</t>
        </is>
      </c>
      <c r="H2542" t="inlineStr"/>
    </row>
    <row r="2543">
      <c r="A2543" t="inlineStr">
        <is>
          <t>bsatrv</t>
        </is>
      </c>
      <c r="B2543" t="inlineStr">
        <is>
          <t>colon cancer symptoms</t>
        </is>
      </c>
      <c r="C2543" t="inlineStr">
        <is>
          <t>Recently been experiencing symptoms that are relevant to colon cancer. abdominal discomfort for a few weeks, change in bowels pattern ( small pieces of soft stool), and yesterday i had a strong urge to poop, but had to stain to hold it as i was away from home. When i finally was able to make it to toilet, i seen bright red coating of blood on stool. not much just streak. may have been from the painful straining but who knows. about few months back i had a pelvic ct scan w/ contrast due to right varicocele and testicular pain. ct came back normal. 
My question is, if my ct scan didn't show any abnormalities, does that mean that i likely dont have colon cancer? 
i still set up apptmnt wth GI. But not too familiar with what a ct scan can and cant show. thanks for any insight!</t>
        </is>
      </c>
      <c r="D2543" t="n">
        <v>0</v>
      </c>
      <c r="E2543" t="n">
        <v>0</v>
      </c>
      <c r="F2543">
        <f>HYPERLINK("https://www.reddit.com/r/cancer/comments/bsatrv/colon_cancer_symptoms/")</f>
        <v/>
      </c>
      <c r="G2543" t="inlineStr">
        <is>
          <t>2019-05-23 18:13:47</t>
        </is>
      </c>
      <c r="H2543" t="inlineStr"/>
    </row>
    <row r="2544">
      <c r="A2544" t="inlineStr">
        <is>
          <t>bsaw5q</t>
        </is>
      </c>
      <c r="B2544" t="inlineStr">
        <is>
          <t>I have 3 months left. Question about lung mets and respiratory failure.</t>
        </is>
      </c>
      <c r="C2544" t="inlineStr">
        <is>
          <t>Well my scan yesterday showed huge disease progression and I’ve run out of treatment options. 
My oncologist said my lungs in particular were filled with tumors. He said something about lymphatic vessels  in the lungs having spread the cancer. 
How likely is respiratory failure? I’m worried I’ll be in a lot of pain as the weeks progress. Right now I only have a dry cough.</t>
        </is>
      </c>
      <c r="D2544" t="n">
        <v>28</v>
      </c>
      <c r="E2544" t="n">
        <v>8</v>
      </c>
      <c r="F2544">
        <f>HYPERLINK("https://www.reddit.com/r/cancer/comments/bsaw5q/i_have_3_months_left_question_about_lung_mets_and/")</f>
        <v/>
      </c>
      <c r="G2544" t="inlineStr">
        <is>
          <t>2019-05-23 18:20:41</t>
        </is>
      </c>
      <c r="H2544" t="inlineStr"/>
    </row>
    <row r="2545">
      <c r="A2545" t="inlineStr">
        <is>
          <t>bsay8e</t>
        </is>
      </c>
      <c r="B2545" t="inlineStr">
        <is>
          <t>Dumb question</t>
        </is>
      </c>
      <c r="C2545" t="inlineStr">
        <is>
          <t>But why do doctors not schedule appointments sooner? 
For example, the first diagnosis was prostate cancer and now he’s been told he also has pancreatic cancer but his next appointment is next month on the 6th to get more scans done and see if its spread to the lungs and other areas. I obviously don’t want to ask the doctors why because they know what they’re doing and I’m sure there are more critical ill patients but why wait and risk the cancer spreading?</t>
        </is>
      </c>
      <c r="D2545" t="n">
        <v>3</v>
      </c>
      <c r="E2545" t="n">
        <v>5</v>
      </c>
      <c r="F2545">
        <f>HYPERLINK("https://www.reddit.com/r/cancer/comments/bsay8e/dumb_question/")</f>
        <v/>
      </c>
      <c r="G2545" t="inlineStr">
        <is>
          <t>2019-05-23 18:26:53</t>
        </is>
      </c>
      <c r="H2545" t="inlineStr"/>
    </row>
    <row r="2546">
      <c r="A2546" t="inlineStr">
        <is>
          <t>bsayyr</t>
        </is>
      </c>
      <c r="B2546" t="inlineStr">
        <is>
          <t>Decision to stop treatment</t>
        </is>
      </c>
      <c r="C2546" t="inlineStr">
        <is>
          <t>As far as I can tell this is the best sub to broach the subject.  I'm in remission from AML though I do have about a 24% survival rate for 5 years, that's irrelevant in this case.  My treatment gave me GVHD which for those unfamiliar is basically the donor attacking me.  Her blood knows it is not where it should be and it's rather pissed and would like me to die so as there's no cure you more or less sedate it with immunosuppressives which leads to its own set of problems and so forth
Untreated GVHD will end up killing you, how depends on the type you have and your own personal physiology
Even though mine is in "check" so to speak it's caused permanent damage, bone damage, eye damage, lung damage, enough so I'm in a hospital pulmonary rehab program and multiple inhalers
This illness has cost me everything.  My job, all my friends, once I couldn't do all the things that brought us together they all vanished.  I literally have no one except the one tech I bonded with at my transplant hospital.  We talk via text every so often.
I'm not medically stable to live on my own.  I have to live with my parents, it's destroyed my relationship with my sister, damaged my mothers relationship with her, their marriage etc.
I'm not overly inclined to keep going.  The damage they're trying to keep as is, or at least slow it down.  It's just a very slow death.  It can't be undone
I'm contemplating ceasing the medication which would just mean cease taking some pills and letting nature finish the job that we interrupted back in 2017.  My oncologist said she'd back my decision.  And my therapist said he'd help with it.  Got access to some really nice stuff
Anyone else had this conversation with family or others?  I can't say friends in my case..</t>
        </is>
      </c>
      <c r="D2546" t="n">
        <v>19</v>
      </c>
      <c r="E2546" t="n">
        <v>10</v>
      </c>
      <c r="F2546">
        <f>HYPERLINK("https://www.reddit.com/r/cancer/comments/bsayyr/decision_to_stop_treatment/")</f>
        <v/>
      </c>
      <c r="G2546" t="inlineStr">
        <is>
          <t>2019-05-23 18:29:01</t>
        </is>
      </c>
      <c r="H2546" t="inlineStr"/>
    </row>
    <row r="2547">
      <c r="A2547" t="inlineStr">
        <is>
          <t>bsc16v</t>
        </is>
      </c>
      <c r="B2547" t="inlineStr">
        <is>
          <t>Grandpa just diagnosed with stage 3 melanoma. What should I expect?</t>
        </is>
      </c>
      <c r="C2547" t="inlineStr">
        <is>
          <t>Hello all, my grandfather, who’s been like a father to me was recently diagnosed with melanoma. They found it in his lymph nodes. My whole family is very overwhelmed, and we’re still trying to process this. He has a minimum of years worth of chemo ahead of him, at least that’s what the doctor said. He’s a 80 years old, and has an autoimmune disease. Am I stressing and worrying about losing my grandfather over nothing? Please do not sugarcoat anything, I want to know what I should expect. I appreciate your input.</t>
        </is>
      </c>
      <c r="D2547" t="n">
        <v>3</v>
      </c>
      <c r="E2547" t="n">
        <v>3</v>
      </c>
      <c r="F2547">
        <f>HYPERLINK("https://www.reddit.com/r/cancer/comments/bsc16v/grandpa_just_diagnosed_with_stage_3_melanoma_what/")</f>
        <v/>
      </c>
      <c r="G2547" t="inlineStr">
        <is>
          <t>2019-05-23 20:21:50</t>
        </is>
      </c>
      <c r="H2547" t="inlineStr"/>
    </row>
    <row r="2548">
      <c r="A2548" t="inlineStr">
        <is>
          <t>bschsi</t>
        </is>
      </c>
      <c r="B2548" t="inlineStr">
        <is>
          <t>left superficial anterior cervical node</t>
        </is>
      </c>
      <c r="C2548" t="inlineStr">
        <is>
          <t>has anyone felt what a cancerous lymph node in this region feels like?
Want to understand the difference in the “feel” 
ive read the rubbery, hard, fixed, discrete, immobile/mobile and was wondering if someone could explain it in simple terms the differences in them me. 
Thanks in advance.</t>
        </is>
      </c>
      <c r="D2548" t="n">
        <v>2</v>
      </c>
      <c r="E2548" t="n">
        <v>2</v>
      </c>
      <c r="F2548">
        <f>HYPERLINK("https://www.reddit.com/r/cancer/comments/bschsi/left_superficial_anterior_cervical_node/")</f>
        <v/>
      </c>
      <c r="G2548" t="inlineStr">
        <is>
          <t>2019-05-23 21:14:36</t>
        </is>
      </c>
      <c r="H2548" t="inlineStr"/>
    </row>
    <row r="2549">
      <c r="A2549" t="inlineStr">
        <is>
          <t>bscmia</t>
        </is>
      </c>
      <c r="B2549" t="inlineStr">
        <is>
          <t>Cancer Doesn’t Change Who You Are</t>
        </is>
      </c>
      <c r="C2549" t="inlineStr">
        <is>
          <t>I wanted to share what happened today. First a little background info. January 2019, my husband was diagnosed stage IV Esophageal cancer with Mets in lymph nodes in his chest and below the renal vein. He had a scope and biopsy today.  This was a procedure where they sent a scope down his wind pipe into his lungs to take a biopsy from both sides of his chest. We have a new oncologist that suspects the original diagnosis of metastasis in the chest may actually be infection. Not a super simple procedure but all went great. 
On the way home, my husband noticed a man on the ground while someone tried to perform CPR. Being a Fireman he insisted we pull over where he jumped out and took over until the ambulance arrived. The man was VSA when he got to him but he did manage to get his pulse back. I am so super proud of him, I just wanted to share. 
Cancer can change how we look, it can make us weak, bring us to our knees and break our hearts but it can never change who we are at our core . It never really wins.</t>
        </is>
      </c>
      <c r="D2549" t="n">
        <v>72</v>
      </c>
      <c r="E2549" t="n">
        <v>20</v>
      </c>
      <c r="F2549">
        <f>HYPERLINK("https://www.reddit.com/r/cancer/comments/bscmia/cancer_doesnt_change_who_you_are/")</f>
        <v/>
      </c>
      <c r="G2549" t="inlineStr">
        <is>
          <t>2019-05-23 21:30:22</t>
        </is>
      </c>
      <c r="H2549" t="inlineStr"/>
    </row>
    <row r="2550">
      <c r="A2550" t="inlineStr">
        <is>
          <t>bsdb54</t>
        </is>
      </c>
      <c r="B2550" t="inlineStr">
        <is>
          <t>Mum’s good news about her ovarian cancer</t>
        </is>
      </c>
      <c r="C2550" t="inlineStr">
        <is>
          <t>My mum was diagnosed with stage 3 ovarian cancer late last year. Sorry can’t remember the medical term but she had her ovaries taken out and her uterus too I think. Surgeon was very happy and said he thinks the cancer was taken out all of it.
She has her last full chemo this month and will only need to take medication once a month for a year. She’s 71.
In other good news, she did the genetic test to see if it was genetic and it was negative.
But of course I know cancer can return. I’m kind of glad she’s this age because hopefully she’ll pass from old age and not the cancer. I lost my dad last year to old age and dementia and have no real family left in this country. And I’m expecting a baby next year so I want her there. 
She hasn’t been able to visit me in my new home as she couldn’t travel far and I miss her so much, I visit as much as I can. 
Thanks for reading</t>
        </is>
      </c>
      <c r="D2550" t="n">
        <v>12</v>
      </c>
      <c r="E2550" t="n">
        <v>6</v>
      </c>
      <c r="F2550">
        <f>HYPERLINK("https://www.reddit.com/r/cancer/comments/bsdb54/mums_good_news_about_her_ovarian_cancer/")</f>
        <v/>
      </c>
      <c r="G2550" t="inlineStr">
        <is>
          <t>2019-05-23 22:59:46</t>
        </is>
      </c>
      <c r="H2550" t="inlineStr"/>
    </row>
    <row r="2551">
      <c r="A2551" t="inlineStr">
        <is>
          <t>bsdopg</t>
        </is>
      </c>
      <c r="B2551" t="inlineStr">
        <is>
          <t>Is GERD troubling you? Here is what to eat and what not.</t>
        </is>
      </c>
      <c r="C2551" t="inlineStr">
        <is>
          <t>Dr Archit Pandit explain Is GERD troubling you? In GERD the acid relux from stomach into the esophagus causes constant damage to the GE Junction.Looking for [***Best Esophageal Cancer Specialist in South Delhi***](http://www.drarchitpandit.com/blog/is-gerd-troubling-you-here-is-what-to-eat-and-what-not/), Visit at Dr. Archit Pandit knowns for one of the [Top oncologists in south Delhi](http://www.drarchitpandit.com/blog/is-gerd-troubling-you-here-is-what-to-eat-and-what-not/)</t>
        </is>
      </c>
      <c r="D2551" t="n">
        <v>3</v>
      </c>
      <c r="E2551" t="n">
        <v>0</v>
      </c>
      <c r="F2551">
        <f>HYPERLINK("https://www.reddit.com/r/cancer/comments/bsdopg/is_gerd_troubling_you_here_is_what_to_eat_and/")</f>
        <v/>
      </c>
      <c r="G2551" t="inlineStr">
        <is>
          <t>2019-05-23 23:51:24</t>
        </is>
      </c>
      <c r="H2551" t="inlineStr"/>
    </row>
    <row r="2552">
      <c r="A2552" t="inlineStr">
        <is>
          <t>bsdyfk</t>
        </is>
      </c>
      <c r="B2552" t="inlineStr">
        <is>
          <t>I really need to vent</t>
        </is>
      </c>
      <c r="C2552" t="inlineStr">
        <is>
          <t>Besides having to deal with some mental health problems and addictions, recently my sister has discovered she has a rare form of ovarian cancer. It is so strange that even after being operated and analysed, the doctors still can't figure yet if it's on stage 1 or 3. 
This situation has been really hard for me to deal with and I'm afraid all this stress is causing me problems not only with school and friends, but also a lot with my mental health. I'm trying to not to show this bad side of me to my sister because I know she totally doesn't needs to know this by now. 
She has started chemo this week and I'm going to be helping her at home for the next weeks by staying at her house.
I'm also trying to keep up with therapy so I can try to un-mess my head but because of all what's happening and school, I almost have no time, and I feel like I can't just tell them everything because I'm afraid it takes more time than the little I already have.
I'm sorry for the big rant. Cancer is a fucker and I'm really, really scared for my sister. She's my best friend and I want to take care of her without letting my problems affect her.</t>
        </is>
      </c>
      <c r="D2552" t="n">
        <v>7</v>
      </c>
      <c r="E2552" t="n">
        <v>3</v>
      </c>
      <c r="F2552">
        <f>HYPERLINK("https://www.reddit.com/r/cancer/comments/bsdyfk/i_really_need_to_vent/")</f>
        <v/>
      </c>
      <c r="G2552" t="inlineStr">
        <is>
          <t>2019-05-24 00:29:36</t>
        </is>
      </c>
      <c r="H2552" t="inlineStr"/>
    </row>
    <row r="2553">
      <c r="A2553" t="inlineStr">
        <is>
          <t>bseoi7</t>
        </is>
      </c>
      <c r="B2553" t="inlineStr">
        <is>
          <t>How to support my bf, whos little cousin was just diagnosed with agressive brain cancer, and what care package or gift can i give or make for the cousin?</t>
        </is>
      </c>
      <c r="C2553" t="inlineStr">
        <is>
          <t>My boyfriend lost his mom to cancer and is still very heartbroken about it. We got the news today about his cousin, and he said right now he is just numb. I've never had family that has had cancer or been terminally ill, so I can only guess whats going on, and that why i hope im in the right sub. 
I told him I am here if he wants to talk, but I know that he likes to bottle and hide his emotions, esp from me.
As for the cousin (male and between 17 to 20), what could i put in a care package for him? I know they said he would be going through chemo, so i thought a nerdy themed beanie for him and his younger brother would be nice.</t>
        </is>
      </c>
      <c r="D2553" t="n">
        <v>4</v>
      </c>
      <c r="E2553" t="n">
        <v>2</v>
      </c>
      <c r="F2553">
        <f>HYPERLINK("https://www.reddit.com/r/cancer/comments/bseoi7/how_to_support_my_bf_whos_little_cousin_was_just/")</f>
        <v/>
      </c>
      <c r="G2553" t="inlineStr">
        <is>
          <t>2019-05-24 02:18:07</t>
        </is>
      </c>
      <c r="H2553" t="inlineStr"/>
    </row>
    <row r="2554">
      <c r="A2554" t="inlineStr">
        <is>
          <t>bsf16s</t>
        </is>
      </c>
      <c r="B2554" t="inlineStr">
        <is>
          <t>How important is second opinion?</t>
        </is>
      </c>
      <c r="C2554" t="inlineStr">
        <is>
          <t>My sister has cancer and the family just found out she did not get any second opinions. Is it normal to get second opinion? Should her doctor suggest she get one? Or is second opinion just a cliche and you don’t need one?
A friend of mine had cancer and did not want get more info, so his family almost dragged him to another doctor.
My sister also doesn’t want to bother.
So how much should we leave her alone or should we intervene? And push hard. She is adult, so it’s her life.
This is for permanent live alteration surgery.</t>
        </is>
      </c>
      <c r="D2554" t="n">
        <v>5</v>
      </c>
      <c r="E2554" t="n">
        <v>20</v>
      </c>
      <c r="F2554">
        <f>HYPERLINK("https://www.reddit.com/r/cancer/comments/bsf16s/how_important_is_second_opinion/")</f>
        <v/>
      </c>
      <c r="G2554" t="inlineStr">
        <is>
          <t>2019-05-24 03:03:44</t>
        </is>
      </c>
      <c r="H2554" t="inlineStr"/>
    </row>
    <row r="2555">
      <c r="A2555" t="inlineStr">
        <is>
          <t>bsfyfh</t>
        </is>
      </c>
      <c r="B2555" t="inlineStr">
        <is>
          <t>I don’t know what to think or feel anymore</t>
        </is>
      </c>
      <c r="C2555" t="inlineStr">
        <is>
          <t>In March dad was diagnosed with gallbladder cancer. It was a late stage already, they found the tumor while operating on the blockage between his stomach and intestines. Doctors immediately told us it was terminal. The biopsy they took during operation didn’t show any cancerous cells but the prognosis was still grim. Because they didn’t know exact type of tumor no treatment could be done, only palliative care. In a month as predicted dad got jaundice. We rushed him to the hospital and he got a drain, but a couple weeks later the tube got misplaced and we rushed him to hospital again. Thankfully there was no bile in the stomach but jaundice was going on strong. The scans showed that the tumor grew and blocked the bile ducts further. He stayed in hospital for a week to receive IV infusions and plasma treatments. He feels fine now, still yellow but has appetite and no pain. Today surgeons held a meeting and decided they couldn’t insert another tube - liver doesn’t produce enough bile anymore. The process of liver destruction has started. Now dad is moving back home, doctors told us to bring him back for infusions and plasma treatments. No prognosis again. Could be days, weeks...
I’m a daddy’s girl. I adore him. He has always been by my side. 
We made a decision to not tell him his diagnosis and that it’s terminal. So far he has had only minor issues with appetite but other than that no symptoms, no pain. Our doctors told us we should just let him live out his days normally: working, doing science, gardening. I’m so lost. He seems fine and happy, glad to not have any tubes and he actually enjoys the drip and the plasma procedure. He believes he is getting better. 
I just don’t want to believe it’s happening. Sorry for the rant, needed to vent somewhere. 
Anyone who is familiar with stage 4 gallbladder cancer - what should we expect?</t>
        </is>
      </c>
      <c r="D2555" t="n">
        <v>20</v>
      </c>
      <c r="E2555" t="n">
        <v>15</v>
      </c>
      <c r="F2555">
        <f>HYPERLINK("https://www.reddit.com/r/cancer/comments/bsfyfh/i_dont_know_what_to_think_or_feel_anymore/")</f>
        <v/>
      </c>
      <c r="G2555" t="inlineStr">
        <is>
          <t>2019-05-24 04:50:19</t>
        </is>
      </c>
      <c r="H2555" t="inlineStr"/>
    </row>
    <row r="2556">
      <c r="A2556" t="inlineStr">
        <is>
          <t>bshgj3</t>
        </is>
      </c>
      <c r="B2556" t="inlineStr">
        <is>
          <t>Cancer patient who struggles with mentality?</t>
        </is>
      </c>
      <c r="C2556" t="inlineStr">
        <is>
          <t>Hey everyone! So pre-text on who I am, I am 20 years old with papillary thyroid cancer (I know everyone tells me the best cancer to get) however mine is a bit rare in how aggressive it is. I was diagnosed at 17 (weird age for this type) and was stage 2 it had progressed pretty far, lymph-nodes, chest, neck muscles, larynx, pharynx, etc. So I had surgery and radiation, it is still active we can't get it to go down so may need chemo we have to see. Anyways, my mentality towards myself is a bit bleak. I am not religious whatsoever so I don't have a relationship with a deity to explain illness, I am science based and I just feel inferior like biologically I was not meant to live because of this cancer. I was naturally sickly (no one in my family has had cancer I am an outlier) and I was not meant to thrive and continue. To reassure these thoughts I remind myself that I could've been exposed to something in the air (carcinogens like ethyl oxide or anything else of the like, and that I truly don't know what caused my cancer other than the fact that these cells didn't perform apoptosis and here I am. Has anyone else struggled with this mentality? Has anything helped you overcome it? This is also not to say I have the victim mentality because I have come to accept that it happened and the ONLY thing I can control is my attitude towards it so I am generally upbeat but just because I can't seem to get to remission I am getting frustrated. Advice? Thank you!</t>
        </is>
      </c>
      <c r="D2556" t="n">
        <v>11</v>
      </c>
      <c r="E2556" t="n">
        <v>11</v>
      </c>
      <c r="F2556">
        <f>HYPERLINK("https://www.reddit.com/r/cancer/comments/bshgj3/cancer_patient_who_struggles_with_mentality/")</f>
        <v/>
      </c>
      <c r="G2556" t="inlineStr">
        <is>
          <t>2019-05-24 07:16:19</t>
        </is>
      </c>
      <c r="H2556" t="inlineStr"/>
    </row>
    <row r="2557">
      <c r="A2557" t="inlineStr">
        <is>
          <t>bsig4i</t>
        </is>
      </c>
      <c r="B2557" t="inlineStr">
        <is>
          <t>This Week Has Been Rough</t>
        </is>
      </c>
      <c r="C2557" t="inlineStr">
        <is>
          <t>Hello All, 
I wanted to say thank you all for those who provided information when I came here for my father who was diagnosed with stage 3 Prostate Cancer. He went through surgery in March and now is on a great path to recovery. He’s back at work and recently went through his 2 month check up this week and the cancer rate is now low enough that he does not need radiation treatment.  This has been a massive relief.  
Sadly, I’ve also had to say goodbye to another who lost their battle. My maternal Grandma who passed away yesterday at 2am.  Only about a month ago was she diagnosed with stage 3 bone cancer, localized in her hip.  She was given a treatment plan of Chemo, but we were all concerned because of her advanced age of 84, but that wasn’t the worst fear, it was her lupus and how would that be while going through this because just last year (June) we lost my Aunt (her daughter) to complications from Lupus. 
Her first chemo treatment happened the day after Easter and within a week she was in the Hospital. After some improvement, we thought she would make it.  Sadly she took a sudden turn for the worst within the past 2 weeks and before we knew it, she was in hospice.  Her body just couldn’t handle it. 
It’s been a very rough week. I have cried knowing my Grandma is gone while crying about knowing my dad is winning his battle. 
To all of those who are fighting and those who are supporting those who are fighting, I know it’s tough, but remember you are very strong.</t>
        </is>
      </c>
      <c r="D2557" t="n">
        <v>29</v>
      </c>
      <c r="E2557" t="n">
        <v>2</v>
      </c>
      <c r="F2557">
        <f>HYPERLINK("https://www.reddit.com/r/cancer/comments/bsig4i/this_week_has_been_rough/")</f>
        <v/>
      </c>
      <c r="G2557" t="inlineStr">
        <is>
          <t>2019-05-24 08:42:58</t>
        </is>
      </c>
      <c r="H2557" t="inlineStr"/>
    </row>
    <row r="2558">
      <c r="A2558" t="inlineStr">
        <is>
          <t>bsiwnd</t>
        </is>
      </c>
      <c r="B2558" t="inlineStr">
        <is>
          <t>Lump on the back of the neck</t>
        </is>
      </c>
      <c r="C2558" t="inlineStr">
        <is>
          <t>I'm 18 years old and I found a lump on the back of my neck, on the left side right below my hairline. It's hard to move and protruded a little bit, but it's located under the skin.
I have diagnosed health anxiety and am definitely freaking out about this. I have a shift at work in 1 and half hours and I'll be there for awhile so I wont be able to make an appointment with the doctor. 
I already saw a doctor about 4 days ago because I had a stiff neck with 2 muscle knots and I was scared that it was swollen lymph nodes. He reassured me that they were just muscle knots and I was very relieved. The day after the appointment I got sick, with a sore throat and a common cold. I still have a common cold right now but the sore throat is gone and the muscle knots. However I found this lump behind the neck right below my hairline on the left side. I panicked and started googling immediately. I'm hoping it will just shrink but I can't stop feeling it and I don't know if I have the patience to wait a month to see if it shrinks.. I don't know what to do. I suspect it's a swollen lymph node but I can't be sure. Do you think it's something serious?</t>
        </is>
      </c>
      <c r="D2558" t="n">
        <v>1</v>
      </c>
      <c r="E2558" t="n">
        <v>8</v>
      </c>
      <c r="F2558">
        <f>HYPERLINK("https://www.reddit.com/r/cancer/comments/bsiwnd/lump_on_the_back_of_the_neck/")</f>
        <v/>
      </c>
      <c r="G2558" t="inlineStr">
        <is>
          <t>2019-05-24 09:21:36</t>
        </is>
      </c>
      <c r="H2558" t="inlineStr"/>
    </row>
    <row r="2559">
      <c r="A2559" t="inlineStr">
        <is>
          <t>bsj1p1</t>
        </is>
      </c>
      <c r="B2559" t="inlineStr">
        <is>
          <t>How do you feel about the phrase "your cancer"?</t>
        </is>
      </c>
      <c r="C2559" t="inlineStr">
        <is>
          <t>Hello everyone! Quick background: I'm a beginner medical writer helping a nonprofit summarize cancer clinical trials.
One problem I come across is whether to use possessive pronouns with conditions, particularly cancer. I think it feels a little "off" to imply ownership of cancer. Rather than try and find some PhD opinion on this, I thought maybe this community could help me know if I'm being overly sensitive.
**Examples for what I mean:**
* His tumor didn't shrink from the medicine.
* Their cancers didn't spread.
* Here's what you should know about your cancer.
**Alternatives could be:**
* The tumor in his body didn't shrink from the medicine.
* The cancer cells in their bodies didn't spread.
* Here's what you should know as a person with cancer.
&amp;amp;#x200B;
Does this matter to you? Do you feel it matters to others? Am I just being hyper-sensitive?</t>
        </is>
      </c>
      <c r="D2559" t="n">
        <v>5</v>
      </c>
      <c r="E2559" t="n">
        <v>8</v>
      </c>
      <c r="F2559">
        <f>HYPERLINK("https://www.reddit.com/r/cancer/comments/bsj1p1/how_do_you_feel_about_the_phrase_your_cancer/")</f>
        <v/>
      </c>
      <c r="G2559" t="inlineStr">
        <is>
          <t>2019-05-24 09:33:25</t>
        </is>
      </c>
      <c r="H2559" t="inlineStr"/>
    </row>
    <row r="2560">
      <c r="A2560" t="inlineStr">
        <is>
          <t>bsj2pq</t>
        </is>
      </c>
      <c r="B2560" t="inlineStr">
        <is>
          <t>Avastin Treatment length</t>
        </is>
      </c>
      <c r="C2560" t="inlineStr">
        <is>
          <t>I recently started treatment on Avastin for a low grade brain tumor that keeps migrating around.  Anyway for those who know about Avastin, how long were you on it and when did any noticeable side effects creep in?
More background I've already had a couple brain surgeries and proton radiation.   A new tumor area started and the other options are not practical at this time.</t>
        </is>
      </c>
      <c r="D2560" t="n">
        <v>3</v>
      </c>
      <c r="E2560" t="n">
        <v>2</v>
      </c>
      <c r="F2560">
        <f>HYPERLINK("https://www.reddit.com/r/cancer/comments/bsj2pq/avastin_treatment_length/")</f>
        <v/>
      </c>
      <c r="G2560" t="inlineStr">
        <is>
          <t>2019-05-24 09:35:43</t>
        </is>
      </c>
      <c r="H2560" t="inlineStr"/>
    </row>
    <row r="2561">
      <c r="A2561" t="inlineStr">
        <is>
          <t>bskol5</t>
        </is>
      </c>
      <c r="B2561" t="inlineStr">
        <is>
          <t>My mom have a large tumor in her kidney</t>
        </is>
      </c>
      <c r="C2561" t="inlineStr">
        <is>
          <t>Hi all,
I received a devastating news today from my mom after she had a follow up with her doctor that she have a large tumor in her kidney. Symptoms she had was stomach pain which started 6 months ago. Her ultrasound shows that one of her kidney is larger, but blood test say she's normal (she will have a CT/MRI scan soon). I feel like the world is crashing on me right now, and my mom called me crying while she's at work. I don't know what to do. I lurk around the internet about kidney tumor &amp;amp; kidney cancer and there seems to be a variety of treatment option. In the worst case if she needs a surgery or another liver, I will gladly donate mine to her (if we're a match). Anyone else got information or advice, feel free to let me know. Thanks.</t>
        </is>
      </c>
      <c r="D2561" t="n">
        <v>4</v>
      </c>
      <c r="E2561" t="n">
        <v>3</v>
      </c>
      <c r="F2561">
        <f>HYPERLINK("https://www.reddit.com/r/cancer/comments/bskol5/my_mom_have_a_large_tumor_in_her_kidney/")</f>
        <v/>
      </c>
      <c r="G2561" t="inlineStr">
        <is>
          <t>2019-05-24 11:51:19</t>
        </is>
      </c>
      <c r="H2561" t="inlineStr"/>
    </row>
    <row r="2562">
      <c r="A2562" t="inlineStr">
        <is>
          <t>bsl8u8</t>
        </is>
      </c>
      <c r="B2562" t="inlineStr">
        <is>
          <t>Baby diagnosed with neuroblastoma</t>
        </is>
      </c>
      <c r="C2562" t="inlineStr">
        <is>
          <t>I don't even know what to think.. we got the news today that our baby (fetus) has neuroblastoma. My wife is 25 weeks pregnant, and none of the doctors are acting like this is something we can beat. I'm just kinda numb and need advice on what to do. Its probably not a big deal to some people since the baby isnt even born yet, but it's still my child that I may lose.</t>
        </is>
      </c>
      <c r="D2562" t="n">
        <v>25</v>
      </c>
      <c r="E2562" t="n">
        <v>14</v>
      </c>
      <c r="F2562">
        <f>HYPERLINK("https://www.reddit.com/r/cancer/comments/bsl8u8/baby_diagnosed_with_neuroblastoma/")</f>
        <v/>
      </c>
      <c r="G2562" t="inlineStr">
        <is>
          <t>2019-05-24 12:39:24</t>
        </is>
      </c>
      <c r="H2562" t="inlineStr"/>
    </row>
    <row r="2563">
      <c r="A2563" t="inlineStr">
        <is>
          <t>bslnhe</t>
        </is>
      </c>
      <c r="B2563" t="inlineStr">
        <is>
          <t>Merkel Cell Carcinoma - any experiences?</t>
        </is>
      </c>
      <c r="C2563" t="inlineStr">
        <is>
          <t>Looking for anyone who may have any interaction with this.  Hoping to find success stories.</t>
        </is>
      </c>
      <c r="D2563" t="n">
        <v>8</v>
      </c>
      <c r="E2563" t="n">
        <v>1</v>
      </c>
      <c r="F2563">
        <f>HYPERLINK("https://www.reddit.com/r/cancer/comments/bslnhe/merkel_cell_carcinoma_any_experiences/")</f>
        <v/>
      </c>
      <c r="G2563" t="inlineStr">
        <is>
          <t>2019-05-24 13:14:19</t>
        </is>
      </c>
      <c r="H2563" t="inlineStr"/>
    </row>
    <row r="2564">
      <c r="A2564" t="inlineStr">
        <is>
          <t>bsm63m</t>
        </is>
      </c>
      <c r="B2564" t="inlineStr">
        <is>
          <t>(Esophaguel Cancer Fatique - Chemoradiation Theraphy "After" treatment</t>
        </is>
      </c>
      <c r="C2564" t="inlineStr">
        <is>
          <t>Hi guys,
&amp;amp;#x200B;
Unfortunely my mother, who is in her early 50s, has (had?) esophageal cancer. She has undergone treatment, using chemo and radiation for about 6-7 weeks (as she could not get operated as the tumor was near her aorta). Luckly it hasn't spread. It was the most difficult thing to ever have seen my mother go through. Now she is recovering for about 2 weeks now. I noticed some changes such as, less frequently spitting saliva, and now even making short walks in the house before she is getting too fatigued. Her inability to do things make her a bit depressed.
&amp;amp;#x200B;
Now i am wondering about the fatique factor. I usually use acedemic papers to get a better Idea, but was kind of shocked about how little research has been done on the fatique effects "after" chemo and/or radiation. Most acedemics only seem to report on what happens during treatment. So im asking here. I know that it will take weeks, months, probably years to atleast somewhat recover. But im wondering for those who have experience, or have seen it from the side lines, if you could provide me with info on the following things?
1) Can you provide me with a simple time scale after treatment from 1-10, on how fatique progresses over time. \[For example: Week 1 = 9, Week 2 = 9, Week 3 = 7, Week 4 =6, etc. OR Month 1 = 9, Month 2 = 7, etc.\]
2) What kind of cancer was it, and what stage?
3) Physical condition of the person.
&amp;amp;#x200B;
I will greatly appreciate you helping me getting a better understanding of my mothers condition. Its awefull to see her the way she has been, but through out the last few months it always has helped me to keep looking forward. I hope this posts helps other people too. Please dont be hesitant to attempt to contact me via reddit to ask further question, incase you are going through the same thing.</t>
        </is>
      </c>
      <c r="D2564" t="n">
        <v>5</v>
      </c>
      <c r="E2564" t="n">
        <v>7</v>
      </c>
      <c r="F2564">
        <f>HYPERLINK("https://www.reddit.com/r/cancer/comments/bsm63m/esophaguel_cancer_fatique_chemoradiation_theraphy/")</f>
        <v/>
      </c>
      <c r="G2564" t="inlineStr">
        <is>
          <t>2019-05-24 13:56:57</t>
        </is>
      </c>
      <c r="H2564" t="inlineStr"/>
    </row>
    <row r="2565">
      <c r="A2565" t="inlineStr">
        <is>
          <t>bsmeti</t>
        </is>
      </c>
      <c r="B2565" t="inlineStr">
        <is>
          <t>New tattoo during radiation?</t>
        </is>
      </c>
      <c r="C2565" t="inlineStr">
        <is>
          <t>Anyone know if it's ok to get a tattoo during the time you're doing radiation? I have it scheduled for when radiation would have been over, but there have been delays in getting started. 
Really don't want to wait!</t>
        </is>
      </c>
      <c r="D2565" t="n">
        <v>6</v>
      </c>
      <c r="E2565" t="n">
        <v>11</v>
      </c>
      <c r="F2565">
        <f>HYPERLINK("https://www.reddit.com/r/cancer/comments/bsmeti/new_tattoo_during_radiation/")</f>
        <v/>
      </c>
      <c r="G2565" t="inlineStr">
        <is>
          <t>2019-05-24 14:16:49</t>
        </is>
      </c>
      <c r="H2565" t="inlineStr"/>
    </row>
    <row r="2566">
      <c r="A2566" t="inlineStr">
        <is>
          <t>bsmpc3</t>
        </is>
      </c>
      <c r="B2566" t="inlineStr">
        <is>
          <t>Ayyy beat cancer in 2 cycles</t>
        </is>
      </c>
      <c r="C2566" t="inlineStr">
        <is>
          <t>My doctors just called, they don't see anything at the MRI anymore. Of course there could still be a couple cells or whatever but nothing big enough to see. That means I still have to finish the 4 planned chemo cycles and my radiotherapy but it's encouraging to know that cause if there's nothing visible right now so there probably won't be even a single cell left after all the chemo and radio so it probably won't come back. 
37 days ago I had a mass big enough to block my brain ventricle and now I have nothing, pretty cool how far medicine as come.
To anyone that is going thru or will go thru chemo and/or radio just remember that it's worth it even if it's not fun and you could be healthy in less time than you may think !
Overall I am happy that it's gone but I already kinda knew since my mass was giving me double vision and the double vision was gone for a couple weeks so I figured it was working but it's still nice to know for sure !
Don't give up and stay positive and relax, that's the trick for me !</t>
        </is>
      </c>
      <c r="D2566" t="n">
        <v>79</v>
      </c>
      <c r="E2566" t="n">
        <v>25</v>
      </c>
      <c r="F2566">
        <f>HYPERLINK("https://www.reddit.com/r/cancer/comments/bsmpc3/ayyy_beat_cancer_in_2_cycles/")</f>
        <v/>
      </c>
      <c r="G2566" t="inlineStr">
        <is>
          <t>2019-05-24 14:41:21</t>
        </is>
      </c>
      <c r="H2566" t="inlineStr"/>
    </row>
    <row r="2567">
      <c r="A2567" t="inlineStr">
        <is>
          <t>bsnyxo</t>
        </is>
      </c>
      <c r="B2567" t="inlineStr">
        <is>
          <t>Open Letter to Oncologists</t>
        </is>
      </c>
      <c r="C2567" t="inlineStr">
        <is>
          <t>Coming from a stage IV esophageal cancer patient with Mets to lymph nodes in chest and area below renal vein. Prognosis: 2% chance of surviving 11- 18 months. Surgery is not an option. Chemo will be used for palliative care only, would not be expected to extend life for longer than a few weeks but used to improve symptoms. 
Currently suffering no symptoms, no pain, no trouble swallowing. Minor fatigue with some weight loss.
I come to you for your best advice. I respect your knowledge and trust that you will advise  me what coarse to follow with the best of intentions;
But don’t be personally offended if  I don’t take it. I am a human being with a life. I have children and other things that are important to me, that contribute to my understanding of quality of life. 
I am not my disease to be conquered. 
Because I have no symptoms I choose not to do chemo. This may be my last summer. I choose to spend as many days in the sun with my family as I can, while I’m still feeling well. I will come for chemo when I am feeling symptoms and if it’s too late, that will be the risk I and I alone take. I know that the moment I begin chemo I will feel fatigued, and ill for days every week. You may extend my life but I will be sick for more days than you can buy me. 
It is not appropriate for you to interfere with my decision or try to force me to your schedule. I took your best advice under careful consideration. 
This is my life, more importantly this is my death. i choose quality over quantity. I know you are learned, I respect that. Please respect my decision.</t>
        </is>
      </c>
      <c r="D2567" t="n">
        <v>43</v>
      </c>
      <c r="E2567" t="n">
        <v>18</v>
      </c>
      <c r="F2567">
        <f>HYPERLINK("https://www.reddit.com/r/cancer/comments/bsnyxo/open_letter_to_oncologists/")</f>
        <v/>
      </c>
      <c r="G2567" t="inlineStr">
        <is>
          <t>2019-05-24 16:38:31</t>
        </is>
      </c>
      <c r="H2567" t="inlineStr"/>
    </row>
    <row r="2568">
      <c r="A2568" t="inlineStr">
        <is>
          <t>bsp50s</t>
        </is>
      </c>
      <c r="B2568" t="inlineStr">
        <is>
          <t>A week ago my dad got diagnosed with gastric cancer</t>
        </is>
      </c>
      <c r="C2568" t="inlineStr">
        <is>
          <t>Hello
A week ago my dad who is 57 years old got diagnosed with stage 2-3 gastric cancer. Doctor told him that he doesn't really have to worry about it and that they will do a surgery and will do chemo after it.  
I am so scared that he might die soon. I am very new to cancer, I never had someone close to me with cancer before.
Does chemo work most of the time? If it does why do people die from cancer so often? My mom doesn't want to answer some questions regarding his cancer and it's bothering me.</t>
        </is>
      </c>
      <c r="D2568" t="n">
        <v>7</v>
      </c>
      <c r="E2568" t="n">
        <v>2</v>
      </c>
      <c r="F2568">
        <f>HYPERLINK("https://www.reddit.com/r/cancer/comments/bsp50s/a_week_ago_my_dad_got_diagnosed_with_gastric/")</f>
        <v/>
      </c>
      <c r="G2568" t="inlineStr">
        <is>
          <t>2019-05-24 18:44:12</t>
        </is>
      </c>
      <c r="H2568" t="inlineStr"/>
    </row>
    <row r="2569">
      <c r="A2569" t="inlineStr">
        <is>
          <t>bspap9</t>
        </is>
      </c>
      <c r="B2569" t="inlineStr">
        <is>
          <t>Looking to get a wig for my mother who has stage 4 cancer</t>
        </is>
      </c>
      <c r="C2569" t="inlineStr">
        <is>
          <t>Are there any charities that give wigs for cancer patients? Or are there any companies that give discounts for cancer patients? Just trying to figure out what my options are. Sorry if this question is asked a lot or is in the wrong place.</t>
        </is>
      </c>
      <c r="D2569" t="n">
        <v>9</v>
      </c>
      <c r="E2569" t="n">
        <v>6</v>
      </c>
      <c r="F2569">
        <f>HYPERLINK("https://www.reddit.com/r/cancer/comments/bspap9/looking_to_get_a_wig_for_my_mother_who_has_stage/")</f>
        <v/>
      </c>
      <c r="G2569" t="inlineStr">
        <is>
          <t>2019-05-24 19:01:05</t>
        </is>
      </c>
      <c r="H2569" t="inlineStr"/>
    </row>
    <row r="2570">
      <c r="A2570" t="inlineStr">
        <is>
          <t>bspcun</t>
        </is>
      </c>
      <c r="B2570" t="inlineStr">
        <is>
          <t>Starting chemo next week</t>
        </is>
      </c>
      <c r="C2570" t="inlineStr">
        <is>
          <t>Any suggestions on what to bring or do to make it easier. It’s stage 1b cervical cancer. Will be getting 25-30 rounds of rad too</t>
        </is>
      </c>
      <c r="D2570" t="n">
        <v>9</v>
      </c>
      <c r="E2570" t="n">
        <v>13</v>
      </c>
      <c r="F2570">
        <f>HYPERLINK("https://www.reddit.com/r/cancer/comments/bspcun/starting_chemo_next_week/")</f>
        <v/>
      </c>
      <c r="G2570" t="inlineStr">
        <is>
          <t>2019-05-24 19:07:47</t>
        </is>
      </c>
      <c r="H2570" t="inlineStr"/>
    </row>
    <row r="2571">
      <c r="A2571" t="inlineStr">
        <is>
          <t>bsrgcs</t>
        </is>
      </c>
      <c r="B2571" t="inlineStr">
        <is>
          <t>Surgery question</t>
        </is>
      </c>
      <c r="C2571" t="inlineStr">
        <is>
          <t>So my Dr is saying I am not a surgical candidate bc my cancer was in my pericardial effusion. I had a pericardial window for the effusion, which from my understanding is a permanent solution. I have a tumor near my trachea that is around 6 cm and 2 possible lymph nodes that are between 1-2 cm each. They are all in the same area and that is all that lit up the pet. Since the tumor caused the effusion, and the effusion is fixed, I am not quite understanding why they won't go in and take it out. Obviously I'm hoping treatment will do the trick and I can avoid surgery number 10, but I'd be more comfortable having that option in case. Doc said since it had spread to the effusion surgery would be "fruitless." I feel dumb asking her the same questions, so I'll just ask you fine folk. Anyone have a malignant effusion and still get surgery?</t>
        </is>
      </c>
      <c r="D2571" t="n">
        <v>5</v>
      </c>
      <c r="E2571" t="n">
        <v>2</v>
      </c>
      <c r="F2571">
        <f>HYPERLINK("https://www.reddit.com/r/cancer/comments/bsrgcs/surgery_question/")</f>
        <v/>
      </c>
      <c r="G2571" t="inlineStr">
        <is>
          <t>2019-05-24 23:26:24</t>
        </is>
      </c>
      <c r="H2571" t="inlineStr"/>
    </row>
    <row r="2572">
      <c r="A2572" t="inlineStr">
        <is>
          <t>bstpl3</t>
        </is>
      </c>
      <c r="B2572" t="inlineStr">
        <is>
          <t>Not sure if this is the right sub but I need to clear my head</t>
        </is>
      </c>
      <c r="C2572" t="inlineStr">
        <is>
          <t>I'm a M, and have a lump near my vocal cord on the right side,theres no lump on the other side and the lump has not grown in size in the course of ~6. Weeks staying the size of the tips of too fingers I had asked my dad whether or not to go to the doctors and I'm going to go next week I'm 100% well and dont feel sick.My dad had also mentioned that he had a similar lump during puberty (I'm 14) 
Should I worry?</t>
        </is>
      </c>
      <c r="D2572" t="n">
        <v>2</v>
      </c>
      <c r="E2572" t="n">
        <v>2</v>
      </c>
      <c r="F2572">
        <f>HYPERLINK("https://www.reddit.com/r/cancer/comments/bstpl3/not_sure_if_this_is_the_right_sub_but_i_need_to/")</f>
        <v/>
      </c>
      <c r="G2572" t="inlineStr">
        <is>
          <t>2019-05-25 04:59:36</t>
        </is>
      </c>
      <c r="H2572" t="inlineStr"/>
    </row>
    <row r="2573">
      <c r="A2573" t="inlineStr">
        <is>
          <t>bsulhw</t>
        </is>
      </c>
      <c r="B2573" t="inlineStr">
        <is>
          <t>Trying to support boyfriend (age 51) who is battling his second go-around with glioblastoma multiforme (GBM).</t>
        </is>
      </c>
      <c r="C2573" t="inlineStr">
        <is>
          <t>We had been dating 2 months when his 6-month surveillance (scan and blood testing) showed changes in his blood work that suggested his GBM was back--at almost exactly 5 years since he defied all odds and beat it that first time (it was inoperable, it was on his brainstem).
After starting treatment 11/2018 (Avastin--that is what "cured" him the 1st time, he was in a clinical trial and one of 80 people out of 500 who survived), this month his tumor came back.  He did a few weeks of radiation.  Radiation shrank the tumor sufficiently, so they drew up a new treatment plan, taking radiation off the table for now.  A few days after that (this week), he lost vision in his left eye.  They scanned him and the tumor had exploded in size and aggressiveness in one week.
His has been on oral chemo this week and is so sick.  Yesterday said he felt like he had a bus sitting on him.  He is vomiting and losing weight.
Of course, he is very, very, very angry.  He will see a counselor next week.  I immediately sought counseling, but of course, you didn't get very far in a one-hour first session.
Before his recurrence, he told me about what he experienced the first time (before he got in the clinical trial, he was given a terminal diagnosis), people saying, "I'll do anything you want, just tell me what you want."  He told me he just didn't know what he wanted, he was in such shock.
Of course, he is venting, and I am happy to be there for him, but I don't know how to respond.  Last night, he told me, "It's just a matter of what kills me first, the tumor or the chemo."  
What makes this all the more difficult is that because of logistics, we are texting and talking on the phone.  Yesterday we the first weekend we didn't see each other, because he is so ill from the chemo.
Any advice is appreciated.</t>
        </is>
      </c>
      <c r="D2573" t="n">
        <v>9</v>
      </c>
      <c r="E2573" t="n">
        <v>1</v>
      </c>
      <c r="F2573">
        <f>HYPERLINK("https://www.reddit.com/r/cancer/comments/bsulhw/trying_to_support_boyfriend_age_51_who_is/")</f>
        <v/>
      </c>
      <c r="G2573" t="inlineStr">
        <is>
          <t>2019-05-25 06:38:39</t>
        </is>
      </c>
      <c r="H2573" t="inlineStr"/>
    </row>
    <row r="2574">
      <c r="A2574" t="inlineStr">
        <is>
          <t>bsv9t4</t>
        </is>
      </c>
      <c r="B2574" t="inlineStr">
        <is>
          <t>How quickly does lung cancer (adenocarcinoma) spread? I’m worried.</t>
        </is>
      </c>
      <c r="C2574" t="inlineStr">
        <is>
          <t>I’m terrified. My dad has a lung lobectomy done in October, followed by chemo for a few months. While the doctors originally planned on doing radiation immediately after his chemo, they decided against it due to his lungs being “clear” after doing a scan. 
Well, it’s been 3 months since then and it seems like his cough has gotten a lot worse. He saw the doctor about it and they’re saying it’s probably post-nasal drip? Really? I can’t help but doubt that and feel like they’re just trying to tell him what he wants to hear. He seemed so happy hearing this but I can’t imagine post nasal drip would make him cough this much. 
I am worried that the cancer has progressed. It was at stage ii when he was diagnosed originally. My mom and I have recommended a second opinion to him but he insists that he trusts these doctors.</t>
        </is>
      </c>
      <c r="D2574" t="n">
        <v>4</v>
      </c>
      <c r="E2574" t="n">
        <v>2</v>
      </c>
      <c r="F2574">
        <f>HYPERLINK("https://www.reddit.com/r/cancer/comments/bsv9t4/how_quickly_does_lung_cancer_adenocarcinoma/")</f>
        <v/>
      </c>
      <c r="G2574" t="inlineStr">
        <is>
          <t>2019-05-25 07:44:56</t>
        </is>
      </c>
      <c r="H2574" t="inlineStr"/>
    </row>
    <row r="2575">
      <c r="A2575" t="inlineStr">
        <is>
          <t>bsvcve</t>
        </is>
      </c>
      <c r="B2575" t="inlineStr">
        <is>
          <t>Should we tell ours daughters</t>
        </is>
      </c>
      <c r="C2575" t="inlineStr">
        <is>
          <t>My wife was diagnosed with breast cancer a few months ago when she was about half time of her pregnancy. It was a hard time but we finally managed to get rid of the thing and our daughter was borne healthy after the treatments. 
The type of cancer suggested a gene mutation which made the doctor ask for proper exams. It came back positive. My wife has BRCA1 gene mutation which means she has a very high risk of breast or ovarian cancer. To be safe, she had a double mastectomy and will have to get her ovaries removed. This is very similar to Angelina Jolie a few years ago. 
My real question (not really a question as much as advice or ideas) comes now. 
This mutation is genetic and and we have two daughters. Which means both of them have a risk of having the same mutation. In a positive case they will have a high risk of suffering the same as we did. 
How should we handle this information with them? We’re not supposed to have them tested now, but they will be called when they turn 18 to have everything medically explained to them. 
I can’t imagine not wanting to know, but a doctor told us not to make tests now not to have that dark cloud over their heads if the results were positive. I also don’t know if we can do those tests even if we want to. To me though, as soon as we tell them that they have the possibility to have that mutation, they will have those dark clouds over her heads anyway. They will have to be prepared and think about family future maybe younger than if they had not this issue. 
I’m not really sure what we’ll do but I can only think that we’ll tell them around their teenage years.
Would you prefer to know if they had the same mutation early on? Would you tell them? 
Anybody out there faced this?</t>
        </is>
      </c>
      <c r="D2575" t="n">
        <v>31</v>
      </c>
      <c r="E2575" t="n">
        <v>37</v>
      </c>
      <c r="F2575">
        <f>HYPERLINK("https://www.reddit.com/r/cancer/comments/bsvcve/should_we_tell_ours_daughters/")</f>
        <v/>
      </c>
      <c r="G2575" t="inlineStr">
        <is>
          <t>2019-05-25 07:53:25</t>
        </is>
      </c>
      <c r="H2575" t="inlineStr"/>
    </row>
    <row r="2576">
      <c r="A2576" t="inlineStr">
        <is>
          <t>bsw6v9</t>
        </is>
      </c>
      <c r="B2576" t="inlineStr">
        <is>
          <t>The waiting game</t>
        </is>
      </c>
      <c r="C2576" t="inlineStr">
        <is>
          <t>I had a LEEP procedure last week Tuesday after a Colposcopy showed that I had "severe cervical cell changes". I'm waiting for the results and trying not to worry but I'm pretty nervous right now. Cervical Cancer runs in my family. My mom had to have a full hysterectomy 2 years ago. My aunt had cervical and breast cancer. I'm only 31. I haven't told my family, only 3 people who could sense something was up. Trying to focus on work but I just feel exhausted all the time.</t>
        </is>
      </c>
      <c r="D2576" t="n">
        <v>1</v>
      </c>
      <c r="E2576" t="n">
        <v>0</v>
      </c>
      <c r="F2576">
        <f>HYPERLINK("https://www.reddit.com/r/cancer/comments/bsw6v9/the_waiting_game/")</f>
        <v/>
      </c>
      <c r="G2576" t="inlineStr">
        <is>
          <t>2019-05-25 09:09:32</t>
        </is>
      </c>
      <c r="H2576" t="inlineStr"/>
    </row>
    <row r="2577">
      <c r="A2577" t="inlineStr">
        <is>
          <t>bsw8ml</t>
        </is>
      </c>
      <c r="B2577" t="inlineStr">
        <is>
          <t>Well it’s back.</t>
        </is>
      </c>
      <c r="C2577" t="inlineStr">
        <is>
          <t>In 2015 I was diagnosed with a grade 2 astrocytoma. I had surgery and did 2 years of a clinical trial with 2 chemo meds. I had my scan yesterday and it seems that the remaining tumor I had has grown a little. My case will go to the tumor board and we will see what they say on Thursday.  She thinks surgery and possibly another clinical trial, but no radiation.  I knew this day would always come, just wasn’t expecting it.</t>
        </is>
      </c>
      <c r="D2577" t="n">
        <v>48</v>
      </c>
      <c r="E2577" t="n">
        <v>4</v>
      </c>
      <c r="F2577">
        <f>HYPERLINK("https://www.reddit.com/r/cancer/comments/bsw8ml/well_its_back/")</f>
        <v/>
      </c>
      <c r="G2577" t="inlineStr">
        <is>
          <t>2019-05-25 09:13:42</t>
        </is>
      </c>
      <c r="H2577" t="inlineStr"/>
    </row>
    <row r="2578">
      <c r="A2578" t="inlineStr">
        <is>
          <t>bswee4</t>
        </is>
      </c>
      <c r="B2578" t="inlineStr">
        <is>
          <t>Breast cancer stage 4 / bone mets</t>
        </is>
      </c>
      <c r="C2578" t="inlineStr">
        <is>
          <t>Hello. Mom was diagnosed back in October 2018, stage 4 ER+ breast cancer. Spreading "only" to bones: spine, chest area/ribs.  She started with chemo regime + the Xgeva for bone mets, and she had another scan last week. 
Results are, that tumor reduced more than half the size,  lymph nodes shrank massively from 25mm to max 9mm. She has 2 more rounds of chemo and then possibly operation to get the tumour and aux lymph nodes out.
But the bad news is, there is more bone mets locations comparing to scans from October.
She is seeing oncologist this Monday, but I would like to know, from you guys and experience, what can be done to stop progression of these bone mets ?</t>
        </is>
      </c>
      <c r="D2578" t="n">
        <v>5</v>
      </c>
      <c r="E2578" t="n">
        <v>1</v>
      </c>
      <c r="F2578">
        <f>HYPERLINK("https://www.reddit.com/r/cancer/comments/bswee4/breast_cancer_stage_4_bone_mets/")</f>
        <v/>
      </c>
      <c r="G2578" t="inlineStr">
        <is>
          <t>2019-05-25 09:27:14</t>
        </is>
      </c>
      <c r="H2578" t="inlineStr"/>
    </row>
    <row r="2579">
      <c r="A2579" t="inlineStr">
        <is>
          <t>bsy71z</t>
        </is>
      </c>
      <c r="B2579" t="inlineStr">
        <is>
          <t>My dad is going through his second cycle of cancer.</t>
        </is>
      </c>
      <c r="C2579" t="inlineStr">
        <is>
          <t>First he had stage 2 and that was "cured" but now it's stage 4 and I don't know how long he is going to live.</t>
        </is>
      </c>
      <c r="D2579" t="n">
        <v>6</v>
      </c>
      <c r="E2579" t="n">
        <v>2</v>
      </c>
      <c r="F2579">
        <f>HYPERLINK("https://www.reddit.com/r/cancer/comments/bsy71z/my_dad_is_going_through_his_second_cycle_of_cancer/")</f>
        <v/>
      </c>
      <c r="G2579" t="inlineStr">
        <is>
          <t>2019-05-25 12:05:09</t>
        </is>
      </c>
      <c r="H2579" t="inlineStr"/>
    </row>
    <row r="2580">
      <c r="A2580" t="inlineStr">
        <is>
          <t>bsyj0g</t>
        </is>
      </c>
      <c r="B2580" t="inlineStr">
        <is>
          <t>Would a cat scan miss a brain tumour an MRI would find?</t>
        </is>
      </c>
      <c r="C2580" t="inlineStr">
        <is>
          <t>Hi all, 
As the title says, I’m confused as to whether an MRI or CT is better at showing a brain tumour, could one miss a tumour? Would one scan show one that another hasn’t? My dad is a cancer patient and had a CT for some head pain, weakness and dizziness but I want to make sure nothings missed by not doing an MRI.
Thank you very much,
John</t>
        </is>
      </c>
      <c r="D2580" t="n">
        <v>6</v>
      </c>
      <c r="E2580" t="n">
        <v>5</v>
      </c>
      <c r="F2580">
        <f>HYPERLINK("https://www.reddit.com/r/cancer/comments/bsyj0g/would_a_cat_scan_miss_a_brain_tumour_an_mri_would/")</f>
        <v/>
      </c>
      <c r="G2580" t="inlineStr">
        <is>
          <t>2019-05-25 12:33:29</t>
        </is>
      </c>
      <c r="H2580" t="inlineStr"/>
    </row>
    <row r="2581">
      <c r="A2581" t="inlineStr">
        <is>
          <t>bsyqqt</t>
        </is>
      </c>
      <c r="B2581" t="inlineStr">
        <is>
          <t>Melanoma spread to lymph node</t>
        </is>
      </c>
      <c r="C2581" t="inlineStr">
        <is>
          <t>Hi all</t>
        </is>
      </c>
      <c r="D2581" t="n">
        <v>1</v>
      </c>
      <c r="E2581" t="n">
        <v>0</v>
      </c>
      <c r="F2581">
        <f>HYPERLINK("https://www.reddit.com/r/cancer/comments/bsyqqt/melanoma_spread_to_lymph_node/")</f>
        <v/>
      </c>
      <c r="G2581" t="inlineStr">
        <is>
          <t>2019-05-25 12:50:57</t>
        </is>
      </c>
      <c r="H2581" t="inlineStr"/>
    </row>
    <row r="2582">
      <c r="A2582" t="inlineStr">
        <is>
          <t>bsytt7</t>
        </is>
      </c>
      <c r="B2582" t="inlineStr">
        <is>
          <t>I have a neck cyst and I need some answers (Photo in the thread)</t>
        </is>
      </c>
      <c r="C2582" t="inlineStr">
        <is>
          <t>Hello r/cancer
I'm a guy in my early 20's.
Some time ago, I went to get a scan of my neck and the doctor found multiple benign cysts, all small in size, except this guy over here: http://imgur.com/gallery/fOzTInB (5/5 mm according to the document I got from the doctor) 
Now, I'm a little bit of an overthinker and have health anxiety. I've asked the doctor if everything is okay and do I need to worry about the big guy in my neck. Doc said dont worry. So I didnt. Kinda.
Here's the deal. I dont remember feeling this cyst last year, while now, I feel it. The feeling is as tho someone has put a big sticky gum on the right downside of my neck. When I look in the mirror, it is not visible, but when I touch the left downside of my neck compared to my right downside, I *definetely* feel a lump there. It's like a water ballon, if that makes sense. It's not hard. 
I wanted to post this here, since I did not find any other places on reddit, where I can do this. You can delete this if it goes against your rules. 
So, I have few questions:
Can benign cysts grow this much? Can things go bad with a benign cyst and what signs should I look for if this gets worse eventually. 
I'm also a smoker. 
Thanks in Advance!</t>
        </is>
      </c>
      <c r="D2582" t="n">
        <v>0</v>
      </c>
      <c r="E2582" t="n">
        <v>1</v>
      </c>
      <c r="F2582">
        <f>HYPERLINK("https://www.reddit.com/r/cancer/comments/bsytt7/i_have_a_neck_cyst_and_i_need_some_answers_photo/")</f>
        <v/>
      </c>
      <c r="G2582" t="inlineStr">
        <is>
          <t>2019-05-25 12:57:51</t>
        </is>
      </c>
      <c r="H2582" t="inlineStr"/>
    </row>
    <row r="2583">
      <c r="A2583" t="inlineStr">
        <is>
          <t>bsyxkd</t>
        </is>
      </c>
      <c r="B2583" t="inlineStr">
        <is>
          <t>Asympomatic but they say I have just weeks to live: metastatic to Lung UPE sarcoma</t>
        </is>
      </c>
      <c r="C2583" t="inlineStr">
        <is>
          <t>So I guess this is it. Having a 5.1cm mass now in the. Pleura but adjacent to the mediastinum as well as many other smaller growths they have downgraded me to “weeks”. It really is amazing because I feel fine. I have recovered well from a Hindquarter amputation/hemipelvectomy my latest scan shows the surgery caused hyper progression in the lungs. 
So my palliative surgery which did relieve my pain from the huge 20lb tumor ripping my leg to pieces has cut my life expectancy from months to weeks. The crazy part I really really feel fine, wouldn’t know anything was wrong if I didn’t have the CT which the surgeons didn’t want me to have.... just venting. I move to California to try and make it to MAID (medical aid in dying). 
My lung surgeon said she doesn’t thjnk anythjng is imminent but I can’t be operated on again while still recovering plus she thinks it would do more harm then good. I’m out of systemic options according to my medical onco, inoperable according to my surgeon and they won’t do any more SBRT according to my radiation onco. My performance status and prognosis prohibit me from most clinical trials. I truly have no more options to fight it.
If i can hang around a national organization may do a feature on me as I’ve lead quite the unique and interesting life. I may head to try and live a dream and do a little bit of awareness raising for sarcoma and MAID on my way out. Considering broadcasting my death with dignity live to raise maximum awareness about the condition. It at least let’s me feel like I have a purpose here at the end. 
Vent over. Good luck everyone.</t>
        </is>
      </c>
      <c r="D2583" t="n">
        <v>111</v>
      </c>
      <c r="E2583" t="n">
        <v>30</v>
      </c>
      <c r="F2583">
        <f>HYPERLINK("https://www.reddit.com/r/cancer/comments/bsyxkd/asympomatic_but_they_say_i_have_just_weeks_to/")</f>
        <v/>
      </c>
      <c r="G2583" t="inlineStr">
        <is>
          <t>2019-05-25 13:06:15</t>
        </is>
      </c>
      <c r="H2583" t="inlineStr"/>
    </row>
    <row r="2584">
      <c r="A2584" t="inlineStr">
        <is>
          <t>bt0bf0</t>
        </is>
      </c>
      <c r="B2584" t="inlineStr">
        <is>
          <t>Flying with a History of Blood Clots</t>
        </is>
      </c>
      <c r="C2584" t="inlineStr">
        <is>
          <t>I'm supposed to be flying on a long flight across the US in a few weeks. I am currently in treatment and I've had three blood clots that I am aware of: two pulmonary embolisms (at the same time!) and a liver clot that I still had last scan about 2 weeks ago. My doctor approves of flying but I'm getting nervous.  Has anyone used compression stockings? Should I get some? Any other tips besides getting up and walking? Also, I haven't had any symptoms with my clots so how could I possibly know if it happens again? Will I need medical clearance from American Airlines or Delta? My ANC is low too. Would I have to wear a mask? I plan to talk to my doctor again but wanted to start a discussion here first so I have more of an idea of what I'm talking about.</t>
        </is>
      </c>
      <c r="D2584" t="n">
        <v>5</v>
      </c>
      <c r="E2584" t="n">
        <v>7</v>
      </c>
      <c r="F2584">
        <f>HYPERLINK("https://www.reddit.com/r/cancer/comments/bt0bf0/flying_with_a_history_of_blood_clots/")</f>
        <v/>
      </c>
      <c r="G2584" t="inlineStr">
        <is>
          <t>2019-05-25 15:10:12</t>
        </is>
      </c>
      <c r="H2584" t="inlineStr"/>
    </row>
    <row r="2585">
      <c r="A2585" t="inlineStr">
        <is>
          <t>bt127r</t>
        </is>
      </c>
      <c r="B2585" t="inlineStr">
        <is>
          <t>Melanoma</t>
        </is>
      </c>
      <c r="C2585" t="inlineStr">
        <is>
          <t>So I’m 31, and a month ago a had a mole biopsy that turned out to be malignant melanoma on my bicep. A few days ago they removed a large area around it and the sentinel lymph nodes. I found out yesterday that one of them was tested positive for having some cancer cells in it, but they did confirm that they had removed all of the original melanoma.
My girlfriend has been very supportive, but neither of us or our families have ever dealt with cancer. I’m going to get scheduled for MRI and a PET scan soon. But at this point I don’t know what to expect. I was wondering if anyone has advice, I’m not even sure what to ask at this point.</t>
        </is>
      </c>
      <c r="D2585" t="n">
        <v>14</v>
      </c>
      <c r="E2585" t="n">
        <v>6</v>
      </c>
      <c r="F2585">
        <f>HYPERLINK("https://www.reddit.com/r/cancer/comments/bt127r/melanoma/")</f>
        <v/>
      </c>
      <c r="G2585" t="inlineStr">
        <is>
          <t>2019-05-25 16:23:59</t>
        </is>
      </c>
      <c r="H2585" t="inlineStr"/>
    </row>
    <row r="2586">
      <c r="A2586" t="inlineStr">
        <is>
          <t>bt98a7</t>
        </is>
      </c>
      <c r="B2586" t="inlineStr">
        <is>
          <t>Life after breast cancer</t>
        </is>
      </c>
      <c r="C2586" t="inlineStr">
        <is>
          <t>So I just finished treatment and radiation for estrogen positive breast cancer and life is getting back to normal. I probably shouldn’t be drinking alcohol but am finding it sooo hard to not drink alcohol while socializing with friends. It’s what we have been doing for years.
Anybody else experience guilt of having a few drinks or have moved on and went back to drinking socially and not worry about it. 
All in moderation I guess...</t>
        </is>
      </c>
      <c r="D2586" t="n">
        <v>23</v>
      </c>
      <c r="E2586" t="n">
        <v>27</v>
      </c>
      <c r="F2586">
        <f>HYPERLINK("https://www.reddit.com/r/cancer/comments/bt98a7/life_after_breast_cancer/")</f>
        <v/>
      </c>
      <c r="G2586" t="inlineStr">
        <is>
          <t>2019-05-26 08:32:21</t>
        </is>
      </c>
      <c r="H2586" t="inlineStr"/>
    </row>
    <row r="2587">
      <c r="A2587" t="inlineStr">
        <is>
          <t>btaiah</t>
        </is>
      </c>
      <c r="B2587" t="inlineStr">
        <is>
          <t>I'm scared</t>
        </is>
      </c>
      <c r="C2587" t="inlineStr">
        <is>
          <t>I'm 23 and was diagnosed with leukemia February this year, after extensive treatment and a trip to the ICU, I was told to have achieved complete molecular remission. My treatment ends this week. However, a doctor noted a strange black spot on my foot and told me to get dermatology to check it out. I've had it for at least two years, and I fear it's acral lentiginous melanoma. I'm a fool for not getting it checked earlier, and I'm terrified of what will happen if it happens to be the melanoma.</t>
        </is>
      </c>
      <c r="D2587" t="n">
        <v>19</v>
      </c>
      <c r="E2587" t="n">
        <v>7</v>
      </c>
      <c r="F2587">
        <f>HYPERLINK("https://www.reddit.com/r/cancer/comments/btaiah/im_scared/")</f>
        <v/>
      </c>
      <c r="G2587" t="inlineStr">
        <is>
          <t>2019-05-26 10:20:37</t>
        </is>
      </c>
      <c r="H2587" t="inlineStr"/>
    </row>
    <row r="2588">
      <c r="A2588" t="inlineStr">
        <is>
          <t>btbl73</t>
        </is>
      </c>
      <c r="B2588" t="inlineStr">
        <is>
          <t>Friend‘s GF(~30) ignores Cancer diagnosis</t>
        </is>
      </c>
      <c r="C2588" t="inlineStr">
        <is>
          <t>One of my best pals (M27) told me today that his GF(~30) has early stages of breast cancer. 
The problem is she doesn’t really want to talk about it and pushes him away and is not really taking any actions. 
She has been diagnosed for a month(he only knows for some days) and hasn’t started any treatment yet. She has been told she needs chemo. She thinks she can start with that in August after going to a festival. She also wants to continue to go to other festivals during her treatment. She smokes and hasn’t stopped yet and hasn’t done anything regarding changing her lifestyle. 
We get that she is scared and I really feel for her, but we are terrified she doesn’t understand the full impact of the diagnosis and what that means. She refuses absolutely every real talk about it . Other people just let her be and don’t try to make her  see „sense“. But we are terrified and helpless. She also has a 6 year old son. 
He wants to wait a few days now until she comes down and wants to start to talk to her again about it. 
Does anyone has any experience with that kind of behaviour? 
Is there anything he/we can do or say that will help her to accept the diagnosis and treatment?</t>
        </is>
      </c>
      <c r="D2588" t="n">
        <v>40</v>
      </c>
      <c r="E2588" t="n">
        <v>37</v>
      </c>
      <c r="F2588">
        <f>HYPERLINK("https://www.reddit.com/r/cancer/comments/btbl73/friends_gf30_ignores_cancer_diagnosis/")</f>
        <v/>
      </c>
      <c r="G2588" t="inlineStr">
        <is>
          <t>2019-05-26 11:51:06</t>
        </is>
      </c>
      <c r="H2588" t="inlineStr"/>
    </row>
    <row r="2589">
      <c r="A2589" t="inlineStr">
        <is>
          <t>btdgq8</t>
        </is>
      </c>
      <c r="B2589" t="inlineStr">
        <is>
          <t>Anyone else have osteosarcoma?</t>
        </is>
      </c>
      <c r="C2589" t="inlineStr">
        <is>
          <t>what’s up, I was wondering if anyone else has osteosarcoma I’ve never talked to someone with the same cancer as me and would like to talk to them about their experience with the treatment</t>
        </is>
      </c>
      <c r="D2589" t="n">
        <v>15</v>
      </c>
      <c r="E2589" t="n">
        <v>39</v>
      </c>
      <c r="F2589">
        <f>HYPERLINK("https://www.reddit.com/r/cancer/comments/btdgq8/anyone_else_have_osteosarcoma/")</f>
        <v/>
      </c>
      <c r="G2589" t="inlineStr">
        <is>
          <t>2019-05-26 14:25:33</t>
        </is>
      </c>
      <c r="H2589" t="inlineStr"/>
    </row>
    <row r="2590">
      <c r="A2590" t="inlineStr">
        <is>
          <t>btdgyx</t>
        </is>
      </c>
      <c r="B2590" t="inlineStr">
        <is>
          <t>Nodule on thyroid, and I'm terrified. Help!</t>
        </is>
      </c>
      <c r="C2590" t="inlineStr">
        <is>
          <t>29M. On Thursday I went into my urgent care for some bad stomach pains, and my doctor decided we might as well do a full physical while there.
Long story short, he instantly found a nodule on my left thyroid. I had an ultrasound the same day, and it turns out it scored a TIRAD of 4, or "moderately suspicious for malignancy". The radiologist's report says it is a 3.7cm, solid, hypervascular nodule with smooth margins and no apparent calcification. Blood test was completely normal across the board.
I am terrified. Did I just miss this thing? Did it appear over night? Before it was found, I never felt it or noticed it at all. But now, I feel it 100% of the time in my throat, especially when I swallow, and I can pick it out in the mirror. Since, I feel like I have a bit of a sore throat, and a feeling somewhat like an ear infection/pressure in my left ear. Am I just being hyperaware of my body due to anxiety, or could there be something more worrying going on all of a sudden? 
I am so anxious and frightened about this, despite being told the stats and how treatable everything usually is, even when malignant. I was told to just go home and enjoy my weekend, which has so far been impossible. My appointment to consult with an ENT pre-biopsy isn't until Wednesday this coming week. The anxiety of "what if", the new feeling in my throat, and the waiting game for my next appointment are killing me in the mean time. Does anybody have any insight or advice on how to deal with this? Thank you all.</t>
        </is>
      </c>
      <c r="D2590" t="n">
        <v>8</v>
      </c>
      <c r="E2590" t="n">
        <v>17</v>
      </c>
      <c r="F2590">
        <f>HYPERLINK("https://www.reddit.com/r/cancer/comments/btdgyx/nodule_on_thyroid_and_im_terrified_help/")</f>
        <v/>
      </c>
      <c r="G2590" t="inlineStr">
        <is>
          <t>2019-05-26 14:26:09</t>
        </is>
      </c>
      <c r="H2590" t="inlineStr"/>
    </row>
    <row r="2591">
      <c r="A2591" t="inlineStr">
        <is>
          <t>bte4ss</t>
        </is>
      </c>
      <c r="B2591" t="inlineStr">
        <is>
          <t>Is it possible for a suspected (testicular) cancerous lump to shrink on its own?</t>
        </is>
      </c>
      <c r="C2591" t="inlineStr">
        <is>
          <t>I've been tentatively diagnosed with testicular cancer, pending removal for testing and confirmation/otherwise.
I'm booked for surgery in the next three days to have the testicle removed and I've been told by the urologist that they are a 90% confident that it's cancer, but has not yet spread. The currently plan is out-patient surgery in three days, follow-up tests/scans the day after (if I'm understanding everything correctly).
Due to specific circumstances, I had to delay surgery by about three weeks. In that time I've noticed (unless my mind is playing tricks on me) that the lump (a solid mass) has been getting smaller. Is it possible for this to happen with cancerous tumors? Is it a warning sign that I need to inform someone about?</t>
        </is>
      </c>
      <c r="D2591" t="n">
        <v>5</v>
      </c>
      <c r="E2591" t="n">
        <v>4</v>
      </c>
      <c r="F2591">
        <f>HYPERLINK("https://www.reddit.com/r/cancer/comments/bte4ss/is_it_possible_for_a_suspected_testicular/")</f>
        <v/>
      </c>
      <c r="G2591" t="inlineStr">
        <is>
          <t>2019-05-26 15:24:20</t>
        </is>
      </c>
      <c r="H2591" t="inlineStr"/>
    </row>
    <row r="2592">
      <c r="A2592" t="inlineStr">
        <is>
          <t>btepn4</t>
        </is>
      </c>
      <c r="B2592" t="inlineStr">
        <is>
          <t>A Thank-You to those who gave me advice when I was at my lowest</t>
        </is>
      </c>
      <c r="C2592" t="inlineStr">
        <is>
          <t>[https://www.reddit.com/r/cancer/comments/blimut/is\_sleeping\_all\_the\_time\_a\_sign\_that\_a\_cancer/?utm\_source=share&amp;amp;utm\_medium=web2x](https://www.reddit.com/r/cancer/comments/blimut/is_sleeping_all_the_time_a_sign_that_a_cancer/?utm_source=share&amp;amp;utm_medium=web2x)
&amp;amp;#x200B;
I (20M) posted a few weeks about about my Dad, who unfortunately is battling cancer. It was perhaps more about getting things of my chest and into words, so I was surprised to receive some amazing comments. I read them all but found some of them too difficult to respond too, so rudely didn't reply. I did however, take the general advice to ask my mum to tell me the whole truth, as previously she was trying to protect me. And I'm so glad I did, as I feel much better about it than I did before. Having an (estimated) timeframe has given me a strange sense of relief, and allowed me to enjoy the last few weeks with my Dad. 
&amp;amp;#x200B;
Unfortunately, he has definitely declined recently. He has moved permanently into the hospice, and has continued to spend the large majority of his time asleep. Last week he really looked like he was ready to leave us, picking up an infection that turned into pneumonia. Unbelievably he managed to pretty much kick that, but is unable to keep anything more than an ice lolly or two a day down, so it's looking like it's only a matter of time.  For the days where he was really ill, I went in everyday, and it's strange now hearing how he doesn't remember it at all. I found it reassuring that while his body was in hell, his mind was completely at peace. Intellectually he is still with us, but he did admit today that he's tired of fighting and ready to go. 
&amp;amp;#x200B;
Thanks to this subreddit, I have really been able to make the most out of the last few weeks with my Dad, and I just want to say a big thank you to those who commented. For anyone like me who just wants to ask a question, or to get some advice, then I would heavily recommend following suit. :)</t>
        </is>
      </c>
      <c r="D2592" t="n">
        <v>1</v>
      </c>
      <c r="E2592" t="n">
        <v>0</v>
      </c>
      <c r="F2592">
        <f>HYPERLINK("https://www.reddit.com/r/cancer/comments/btepn4/a_thankyou_to_those_who_gave_me_advice_when_i_was/")</f>
        <v/>
      </c>
      <c r="G2592" t="inlineStr">
        <is>
          <t>2019-05-26 16:22:08</t>
        </is>
      </c>
      <c r="H2592" t="inlineStr"/>
    </row>
    <row r="2593">
      <c r="A2593" t="inlineStr">
        <is>
          <t>btev6m</t>
        </is>
      </c>
      <c r="B2593" t="inlineStr">
        <is>
          <t>I think my mom might have lung cancer based on CT scan but not sure waiting for PET Scan in need of some advice.....</t>
        </is>
      </c>
      <c r="C2593" t="inlineStr">
        <is>
          <t>Here's small summary of the report from CT scan:
Right Suprahilar 3.3 cm confluent right upper lobe mass 
With additional right upper lobe 1.5 cm, right lower lobe 1.8 cm and bilateral subcentimeter solid and groundglass pulmonary nodules.
No Lymphadenopathy. Sampling and surgical resection recommended, given malignancy as primary consideration.
&amp;amp;#x200B;
I'm just hoping that there is a chance the tumor might just be pre-malignant... and so cancer can be avoided if the other nodes are benign. If it is what I think it probably is does the prognosis look grim for most patients with lung cancer? From what I've read it is. 
&amp;amp;#x200B;
Are there any new treatments/experimental stuff or even alternative methods to create a condition such as this that could slow down control or at least control this cancer as a chronic illness? Really down thinking about this fearing my mom might be terminal despite the report saying it  hasn't affect lymph nodes, heart, chest well, or upper abdomen etc... etc... just looking for advice on people who have gone through this and have beaten this with different treatments.
&amp;amp;#x200B;
I hope you all have a great memorial weekend.</t>
        </is>
      </c>
      <c r="D2593" t="n">
        <v>8</v>
      </c>
      <c r="E2593" t="n">
        <v>2</v>
      </c>
      <c r="F2593">
        <f>HYPERLINK("https://www.reddit.com/r/cancer/comments/btev6m/i_think_my_mom_might_have_lung_cancer_based_on_ct/")</f>
        <v/>
      </c>
      <c r="G2593" t="inlineStr">
        <is>
          <t>2019-05-26 16:36:51</t>
        </is>
      </c>
      <c r="H2593" t="inlineStr"/>
    </row>
    <row r="2594">
      <c r="A2594" t="inlineStr">
        <is>
          <t>btfsci</t>
        </is>
      </c>
      <c r="B2594" t="inlineStr">
        <is>
          <t>How long does my mom have?</t>
        </is>
      </c>
      <c r="C2594" t="inlineStr">
        <is>
          <t>Remove if not allowed.
&amp;amp;#x200B;
My mother was diagnosed with lung cancer 6 years ago. She had successful surgery but the cancer returned 3 years ago. After numerous treatments, the cancer has spread to her brain and there is nothing more they can do. Over the past month her health has deteriorated drastically. She no longer gets out of bed, she hasn't eaten anything in over 2 weeks and she has lost so much weight. I am just wondering how much time I have left with her.</t>
        </is>
      </c>
      <c r="D2594" t="n">
        <v>20</v>
      </c>
      <c r="E2594" t="n">
        <v>9</v>
      </c>
      <c r="F2594">
        <f>HYPERLINK("https://www.reddit.com/r/cancer/comments/btfsci/how_long_does_my_mom_have/")</f>
        <v/>
      </c>
      <c r="G2594" t="inlineStr">
        <is>
          <t>2019-05-26 18:08:15</t>
        </is>
      </c>
      <c r="H2594" t="inlineStr"/>
    </row>
    <row r="2595">
      <c r="A2595" t="inlineStr">
        <is>
          <t>btjja4</t>
        </is>
      </c>
      <c r="B2595" t="inlineStr">
        <is>
          <t>Cancer Killing Diet to Prevent and Reverse Cancer</t>
        </is>
      </c>
      <c r="C2595" t="inlineStr">
        <is>
          <t xml:space="preserve"> Research proves that to prevent cancer through a diet that is still in the early stages may prove beneficial. if you are suffering with cancer than schedule your diet plan of[10 cancer killing diet to prevent](https://halecraze.com/cancer-killing-diet-to-prevent-and-reverse-cancer/) and reverse the effects of cancer including fruits, vegetables, and meat.</t>
        </is>
      </c>
      <c r="D2595" t="n">
        <v>0</v>
      </c>
      <c r="E2595" t="n">
        <v>2</v>
      </c>
      <c r="F2595">
        <f>HYPERLINK("https://www.reddit.com/r/cancer/comments/btjja4/cancer_killing_diet_to_prevent_and_reverse_cancer/")</f>
        <v/>
      </c>
      <c r="G2595" t="inlineStr">
        <is>
          <t>2019-05-27 01:28:27</t>
        </is>
      </c>
      <c r="H2595" t="inlineStr"/>
    </row>
    <row r="2596">
      <c r="A2596" t="inlineStr">
        <is>
          <t>btlc7u</t>
        </is>
      </c>
      <c r="B2596" t="inlineStr">
        <is>
          <t>Sibling has bone marrow cancer and I have to quit my full time career</t>
        </is>
      </c>
      <c r="C2596" t="inlineStr">
        <is>
          <t>Quitting my career is given, as my brother is my best friend and I would gladly go through what needs to be done to take care of him. My problem is my girlfriend doesn't think I should quit my job and that I'm not expected to give everything up. Money is definitely not an issue so quitting would be no problem.
I guess my question is, is it wrong to quit my job? I lost my mom to cancer and I do have regrets of not giving my 100 percent attention. Is my girlfriend being too callous?</t>
        </is>
      </c>
      <c r="D2596" t="n">
        <v>1</v>
      </c>
      <c r="E2596" t="n">
        <v>0</v>
      </c>
      <c r="F2596">
        <f>HYPERLINK("https://www.reddit.com/r/cancer/comments/btlc7u/sibling_has_bone_marrow_cancer_and_i_have_to_quit/")</f>
        <v/>
      </c>
      <c r="G2596" t="inlineStr">
        <is>
          <t>2019-05-27 05:15:26</t>
        </is>
      </c>
      <c r="H2596" t="inlineStr"/>
    </row>
    <row r="2597">
      <c r="A2597" t="inlineStr">
        <is>
          <t>btm16c</t>
        </is>
      </c>
      <c r="B2597" t="inlineStr">
        <is>
          <t>What are the chances of successful laser surgery?</t>
        </is>
      </c>
      <c r="C2597" t="inlineStr">
        <is>
          <t>What are the chances of a successful brain tumor removal surgery? I have a friend who have this condition over seas who said the surgery itself takes 30 mins to an hour but haven't heard back for 3 days. She also have hemophilia.</t>
        </is>
      </c>
      <c r="D2597" t="n">
        <v>10</v>
      </c>
      <c r="E2597" t="n">
        <v>2</v>
      </c>
      <c r="F2597">
        <f>HYPERLINK("https://www.reddit.com/r/cancer/comments/btm16c/what_are_the_chances_of_successful_laser_surgery/")</f>
        <v/>
      </c>
      <c r="G2597" t="inlineStr">
        <is>
          <t>2019-05-27 06:32:35</t>
        </is>
      </c>
      <c r="H2597" t="inlineStr"/>
    </row>
    <row r="2598">
      <c r="A2598" t="inlineStr">
        <is>
          <t>btmiuk</t>
        </is>
      </c>
      <c r="B2598" t="inlineStr">
        <is>
          <t>How do you get tested for cancer?</t>
        </is>
      </c>
      <c r="C2598" t="inlineStr">
        <is>
          <t>I’ve been having really bad symptoms for about 6 months now, I’ve been to the doctors about 5 times in this 6 months and every time they put me on some pill for a week and say it’s nearly impossible for me to have cancer at 22.
I feel really unheard and the symptoms are getting worse, I was diagnosed with glandular fever a few months before these symptoms started appearing and it took 3 months for them to diagnose that and it’s only because I went to the sexual health clinic because I thought it might be an STI that I found it out. How do I tell a doctor that I want to be tested? They just seem to never listen.</t>
        </is>
      </c>
      <c r="D2598" t="n">
        <v>1</v>
      </c>
      <c r="E2598" t="n">
        <v>5</v>
      </c>
      <c r="F2598">
        <f>HYPERLINK("https://www.reddit.com/r/cancer/comments/btmiuk/how_do_you_get_tested_for_cancer/")</f>
        <v/>
      </c>
      <c r="G2598" t="inlineStr">
        <is>
          <t>2019-05-27 07:21:35</t>
        </is>
      </c>
      <c r="H2598" t="inlineStr"/>
    </row>
    <row r="2599">
      <c r="A2599" t="inlineStr">
        <is>
          <t>btmj07</t>
        </is>
      </c>
      <c r="B2599" t="inlineStr">
        <is>
          <t>I just changed the age on my flair for the 2nd time. At diagnosis, they never expected me to live more than a few months!!</t>
        </is>
      </c>
      <c r="C2599" t="inlineStr">
        <is>
          <t>being alive is neat</t>
        </is>
      </c>
      <c r="D2599" t="n">
        <v>144</v>
      </c>
      <c r="E2599" t="n">
        <v>21</v>
      </c>
      <c r="F2599">
        <f>HYPERLINK("https://www.reddit.com/r/cancer/comments/btmj07/i_just_changed_the_age_on_my_flair_for_the_2nd/")</f>
        <v/>
      </c>
      <c r="G2599" t="inlineStr">
        <is>
          <t>2019-05-27 07:22:01</t>
        </is>
      </c>
      <c r="H2599" t="inlineStr"/>
    </row>
    <row r="2600">
      <c r="A2600" t="inlineStr">
        <is>
          <t>bto2ad</t>
        </is>
      </c>
      <c r="B2600" t="inlineStr">
        <is>
          <t>Is it working?</t>
        </is>
      </c>
      <c r="C2600" t="inlineStr">
        <is>
          <t>Forgive me if this is a stupid question.  Is there any correlation as far as saying "If I'm feeling really bad side effects that means the drug is working and doing what it's supposed to?".  It was just a thought that crossed my mind, I hope I don't sound ignorant</t>
        </is>
      </c>
      <c r="D2600" t="n">
        <v>4</v>
      </c>
      <c r="E2600" t="n">
        <v>4</v>
      </c>
      <c r="F2600">
        <f>HYPERLINK("https://www.reddit.com/r/cancer/comments/bto2ad/is_it_working/")</f>
        <v/>
      </c>
      <c r="G2600" t="inlineStr">
        <is>
          <t>2019-05-27 09:32:43</t>
        </is>
      </c>
      <c r="H2600" t="inlineStr"/>
    </row>
    <row r="2601">
      <c r="A2601" t="inlineStr">
        <is>
          <t>btoq21</t>
        </is>
      </c>
      <c r="B2601" t="inlineStr">
        <is>
          <t>Throat Cancer</t>
        </is>
      </c>
      <c r="C2601" t="inlineStr">
        <is>
          <t>Anyone who can chime in what were the early symptoms and how severe are they? 
Some of my docs think I have TMJ but every bone in my body is telling me there's more to it then just that... My throat is killing me and has been but they can't find any infection or strep. I also have a lump on my throat but it could be a swollen gland or lymph node it's just been there a while now and I'm getting freaked out. 
I have a bump next to my ear too that's red right where my TMJ is. Seems like it's causing some pain to my ear/TMJ as well. Weirdly enough all of this is on my left side... Right side of my face and throat doesn't hurt at all.. I hope I'm just being a hypochondriac. I have so much respect for everyone on this sub. Thank you for reading.</t>
        </is>
      </c>
      <c r="D2601" t="n">
        <v>3</v>
      </c>
      <c r="E2601" t="n">
        <v>16</v>
      </c>
      <c r="F2601">
        <f>HYPERLINK("https://www.reddit.com/r/cancer/comments/btoq21/throat_cancer/")</f>
        <v/>
      </c>
      <c r="G2601" t="inlineStr">
        <is>
          <t>2019-05-27 10:26:58</t>
        </is>
      </c>
      <c r="H2601" t="inlineStr"/>
    </row>
    <row r="2602">
      <c r="A2602" t="inlineStr">
        <is>
          <t>btq0ty</t>
        </is>
      </c>
      <c r="B2602" t="inlineStr">
        <is>
          <t>Cancer needs its victim's help to kill.</t>
        </is>
      </c>
      <c r="C2602" t="inlineStr">
        <is>
          <t>My former wife died last week when the very rare serous endometrial uterine cancer which    had been inside of her for God knows how long "switched on" its tumor-growing power and began eating away at her organs.
She suffered a 10+ Richter Scale pain event and immediately asked for the so humane California Death-with-Dignity End-of-Life meds.
The best oncology team available did all they could to eradicate the insidiously ingenious octopus-like monster: 3 big surgeries resulting in colostomy and urostomy stomas, 2 vaginal fistulas, 28 blasts of radiation, and 11 max-chemo infusions.
So it was actually a relief when she was certified as Terminal 6 months ago.
Which is when I, as a co-care giver, began analyzing what mistakes might have been made that prevented her from beating "The Big C". My list:
1. She adamantly refused to STAY AHEAD OF THE PAIN as instructed by each of the over 25 docs and nurses that treated her.
Pain causes serious stress which in turn substantially weakens the body's immune system.
"I don't want to become addicted," she said.
2. She NEVER EXERCISED as directed by every doc.
This further weakened all bodily functions.
3. During the many weeks of chemo she would not DRINK ENOUGH WATER as prescribed.
"It makes me pee too much" was her reason.
4. She fully embraced, intellectually and emotionally, MAXIMUM VICTIMHOOD, and not the positive "I will beat this" attitude all around urged her to adopt.
"Why are the doctors doing THIS too me?"
"I've been a good person my whole life. So why is God DOING THIS TO ME?"
"God is punishing me for having two abortions, seven IUD's and never having children."
In admittedly my amateur "Dr. Phil" psychology, the above combined to weaken so many physiological systems in her body that the cancer had a very easy time penetrating all of her abdominal cavity organs.
The saddest reality is that all the docs, nurses, relatives and those on her care-giving team could not reach her with the right words of positive motivation to get her to modify these hugely self-destructive behaviors.
Feel free to share this with any/all who you think may be facing a similar situation.</t>
        </is>
      </c>
      <c r="D2602" t="n">
        <v>0</v>
      </c>
      <c r="E2602" t="n">
        <v>16</v>
      </c>
      <c r="F2602">
        <f>HYPERLINK("https://www.reddit.com/r/cancer/comments/btq0ty/cancer_needs_its_victims_help_to_kill/")</f>
        <v/>
      </c>
      <c r="G2602" t="inlineStr">
        <is>
          <t>2019-05-27 12:12:42</t>
        </is>
      </c>
      <c r="H2602" t="inlineStr"/>
    </row>
    <row r="2603">
      <c r="A2603" t="inlineStr">
        <is>
          <t>btq28z</t>
        </is>
      </c>
      <c r="B2603" t="inlineStr">
        <is>
          <t>First Descents you are depressing me more.</t>
        </is>
      </c>
      <c r="C2603" t="inlineStr">
        <is>
          <t>After being cooped up in the house for 4+ months due to chemotherapy, and then losing my job and thus most of my social interactions, I decided to look in to this program called First Descents that I've seen some people here mention. I like the outdoors and would like to do outdoor activities more but it's difficult to find people to go with and I am unable to go alone. 
Also, I thought doing some activity and meeting new people in a similar boat as me might cheer me up.
So after filling out the long form on the website, I was then told I needed medical clearance from my doctor. That's understandable. Only I've had a rocky recovery from chemotherapy. I've been sick more times than I can count, and had my port replaced. 
I have more surgery coming up, but I'm fine right now and I think my doctor will sign the form but...
It seems the only outings around here are rock climbing, biking, and kayaking and as a result of my cancer surgery, I'm without sufficient use of one of my arms for any of those three at the moment. I can hike but there are no hiking trips around here. Maybe next year I will be in the condition to do hiking, rock climbing or cycling but next year I will miss the age cut off because I will no longer be considered a "young adult" even though I'm a number of years behind most my age due to having an ASD and other health issues. 
So it has just become another thing to be depressed about knowing I'm not well enough to participated this year and will be excluded next year due to my age if there is a next year.</t>
        </is>
      </c>
      <c r="D2603" t="n">
        <v>21</v>
      </c>
      <c r="E2603" t="n">
        <v>7</v>
      </c>
      <c r="F2603">
        <f>HYPERLINK("https://www.reddit.com/r/cancer/comments/btq28z/first_descents_you_are_depressing_me_more/")</f>
        <v/>
      </c>
      <c r="G2603" t="inlineStr">
        <is>
          <t>2019-05-27 12:15:54</t>
        </is>
      </c>
      <c r="H2603" t="inlineStr"/>
    </row>
    <row r="2604">
      <c r="A2604" t="inlineStr">
        <is>
          <t>btqi0j</t>
        </is>
      </c>
      <c r="B2604" t="inlineStr">
        <is>
          <t>Confused with breast cancer diagnosis</t>
        </is>
      </c>
      <c r="C2604" t="inlineStr">
        <is>
          <t>My mother in law who is 57, was recently diagnosed with type 2 b breast cancer, her doctor told her that in June she was going to get a mastectomy and then start with chemotherapy. 
Today he told her that he can’t do the mastectomy cause her latest studies show that she has to big Tumors next to a place where if he does the procedure the wound won’t close and that chemotherapy won’t work with both tumors. The other thing that he told her is that she has other smaller tumors around and they are studying if they are resistent to chemotherapy or is worth the procedure, and he will tell her next week.
I feel like what her doctor is trying to say her is that she has no cure, Am I right?
Her family is doing everything they can to ignore the diagnosis, so they don’t ask questions to her doctor. It is really sad</t>
        </is>
      </c>
      <c r="D2604" t="n">
        <v>6</v>
      </c>
      <c r="E2604" t="n">
        <v>13</v>
      </c>
      <c r="F2604">
        <f>HYPERLINK("https://www.reddit.com/r/cancer/comments/btqi0j/confused_with_breast_cancer_diagnosis/")</f>
        <v/>
      </c>
      <c r="G2604" t="inlineStr">
        <is>
          <t>2019-05-27 12:51:27</t>
        </is>
      </c>
      <c r="H2604" t="inlineStr"/>
    </row>
    <row r="2605">
      <c r="A2605" t="inlineStr">
        <is>
          <t>btryc1</t>
        </is>
      </c>
      <c r="B2605" t="inlineStr">
        <is>
          <t>Immuno question</t>
        </is>
      </c>
      <c r="C2605" t="inlineStr">
        <is>
          <t>I am on the ipi/nivo combo. I am lucky and not having huge side effects 2 treatments in, just rash, fatigue, and feeling a little flaky. I've heard that you can tell the immuno is working due to side effects, is there any accuracy to that? Doc said no but I wanted to ask here too. Thanks 😁</t>
        </is>
      </c>
      <c r="D2605" t="n">
        <v>5</v>
      </c>
      <c r="E2605" t="n">
        <v>6</v>
      </c>
      <c r="F2605">
        <f>HYPERLINK("https://www.reddit.com/r/cancer/comments/btryc1/immuno_question/")</f>
        <v/>
      </c>
      <c r="G2605" t="inlineStr">
        <is>
          <t>2019-05-27 14:58:09</t>
        </is>
      </c>
      <c r="H2605" t="inlineStr"/>
    </row>
    <row r="2606">
      <c r="A2606" t="inlineStr">
        <is>
          <t>btsdtk</t>
        </is>
      </c>
      <c r="B2606" t="inlineStr">
        <is>
          <t>Should I be concerned?</t>
        </is>
      </c>
      <c r="C2606" t="inlineStr">
        <is>
          <t>I have been using snuff tobacco for the past week nearly everyday, I consumed roughly around 2.5-3 grams all together. I used it once today and my throat started hurting soon afterwards, swallowing is kind of painful and I have a difficulty with breathing a little. Should I be concerned?
I'm a little bit paranoid just to make things clear.</t>
        </is>
      </c>
      <c r="D2606" t="n">
        <v>1</v>
      </c>
      <c r="E2606" t="n">
        <v>8</v>
      </c>
      <c r="F2606">
        <f>HYPERLINK("https://www.reddit.com/r/cancer/comments/btsdtk/should_i_be_concerned/")</f>
        <v/>
      </c>
      <c r="G2606" t="inlineStr">
        <is>
          <t>2019-05-27 15:38:42</t>
        </is>
      </c>
      <c r="H2606" t="inlineStr"/>
    </row>
    <row r="2607">
      <c r="A2607" t="inlineStr">
        <is>
          <t>btut0q</t>
        </is>
      </c>
      <c r="B2607" t="inlineStr">
        <is>
          <t>Cancer for brain tumour</t>
        </is>
      </c>
      <c r="C2607" t="inlineStr">
        <is>
          <t>My mum’s brain tumour has returned and some family members think marijuana can be used to treat the tumour. Not the symptoms, the actual tumour. I don’t believe it and haven’t found any proof. 
Thoughts on if it can help?</t>
        </is>
      </c>
      <c r="D2607" t="n">
        <v>1</v>
      </c>
      <c r="E2607" t="n">
        <v>1</v>
      </c>
      <c r="F2607">
        <f>HYPERLINK("https://www.reddit.com/r/cancer/comments/btut0q/cancer_for_brain_tumour/")</f>
        <v/>
      </c>
      <c r="G2607" t="inlineStr">
        <is>
          <t>2019-05-27 19:53:55</t>
        </is>
      </c>
      <c r="H2607" t="inlineStr"/>
    </row>
    <row r="2608">
      <c r="A2608" t="inlineStr">
        <is>
          <t>btuwrd</t>
        </is>
      </c>
      <c r="B2608" t="inlineStr">
        <is>
          <t>Marijuana to treat brain tumour</t>
        </is>
      </c>
      <c r="C2608" t="inlineStr">
        <is>
          <t>My mum’s brain tumour has returned and some family members think marijuana can be used to treat the tumour. Not the symptoms, the actual tumour. I don’t believe it and haven’t found any proof. 
Thoughts on if it can help?
(Reuploaded because I messed up the title the first time)</t>
        </is>
      </c>
      <c r="D2608" t="n">
        <v>5</v>
      </c>
      <c r="E2608" t="n">
        <v>19</v>
      </c>
      <c r="F2608">
        <f>HYPERLINK("https://www.reddit.com/r/cancer/comments/btuwrd/marijuana_to_treat_brain_tumour/")</f>
        <v/>
      </c>
      <c r="G2608" t="inlineStr">
        <is>
          <t>2019-05-27 20:04:31</t>
        </is>
      </c>
      <c r="H2608" t="inlineStr"/>
    </row>
    <row r="2609">
      <c r="A2609" t="inlineStr">
        <is>
          <t>btv3cn</t>
        </is>
      </c>
      <c r="B2609" t="inlineStr">
        <is>
          <t>Issues with my oncologist</t>
        </is>
      </c>
      <c r="C2609" t="inlineStr">
        <is>
          <t>I’m a year and a half post treatment and developed (what I believe to be) fibrosis around my groin. My oncologist put off treatment for it until eventually performing a biopsy. He said he has “no idea what it is” but other doctors I’ve seen all say it’s fibrosis, but they can’t prescribe treatment for me.
My pain levels have been unmanageable and I’ve been on and off bed rest for the past three months. I was sent for hyperbaric therapy a month ago and am waiting to see benefits(it can take time.)
Shortly afterward I developed full vaginal necrosis. I was sent home with a shrug from the oncologist and no advice for care. 
In addition to this I’ve been experiencing menopausal symptoms and have begged for higher doses of estrogen for two years. 
I’ve been speaking with friends of mine that are trans and they’ve offered to help me find black market estrogen.
I’ve tried changing oncologists but to no avail. 
Does anyone have advice on how to get them to listen?? I don’t know what to do at this point. The necrosis is spreading alarmingly fast and they’ve refused to refer me to a wound care clinic. I’m scared, my mental heath is in the toilet and I’m in so much pain.</t>
        </is>
      </c>
      <c r="D2609" t="n">
        <v>8</v>
      </c>
      <c r="E2609" t="n">
        <v>16</v>
      </c>
      <c r="F2609">
        <f>HYPERLINK("https://www.reddit.com/r/cancer/comments/btv3cn/issues_with_my_oncologist/")</f>
        <v/>
      </c>
      <c r="G2609" t="inlineStr">
        <is>
          <t>2019-05-27 20:23:57</t>
        </is>
      </c>
      <c r="H2609" t="inlineStr"/>
    </row>
    <row r="2610">
      <c r="A2610" t="inlineStr">
        <is>
          <t>btvoop</t>
        </is>
      </c>
      <c r="B2610" t="inlineStr">
        <is>
          <t>Question about hair regrown after stem cell transplant</t>
        </is>
      </c>
      <c r="C2610" t="inlineStr">
        <is>
          <t>4 days ago I received an allo-stem cell transplant and my hair is falling off, which was suspected, but I am starting to look like a cue ball over here lol 
I’m wondering how long it took for most ppl to grow hair back. I really digged the buzz cut look on me, it brought out soooooo many feminine features I didn’t even know I had 😂</t>
        </is>
      </c>
      <c r="D2610" t="n">
        <v>6</v>
      </c>
      <c r="E2610" t="n">
        <v>3</v>
      </c>
      <c r="F2610">
        <f>HYPERLINK("https://www.reddit.com/r/cancer/comments/btvoop/question_about_hair_regrown_after_stem_cell/")</f>
        <v/>
      </c>
      <c r="G2610" t="inlineStr">
        <is>
          <t>2019-05-27 21:30:40</t>
        </is>
      </c>
      <c r="H2610" t="inlineStr"/>
    </row>
    <row r="2611">
      <c r="A2611" t="inlineStr">
        <is>
          <t>btvpcm</t>
        </is>
      </c>
      <c r="B2611" t="inlineStr">
        <is>
          <t>Hey guys! I am unaware if you have heard but u/ChrisCGC has survived cancer with the usage of DMT.</t>
        </is>
      </c>
      <c r="C2611" t="inlineStr">
        <is>
          <t>u/ChrisCGC has survived brain cancer by using DMT and has a 100% rate of curing all of his patients. He found this out on accident but truly believes DMT cures cancer and so far has proved it with the people he has worked on. If you would like more information please go to r/Cantelmoism.</t>
        </is>
      </c>
      <c r="D2611" t="n">
        <v>0</v>
      </c>
      <c r="E2611" t="n">
        <v>24</v>
      </c>
      <c r="F2611">
        <f>HYPERLINK("https://www.reddit.com/r/cancer/comments/btvpcm/hey_guys_i_am_unaware_if_you_have_heard_but/")</f>
        <v/>
      </c>
      <c r="G2611" t="inlineStr">
        <is>
          <t>2019-05-27 21:32:52</t>
        </is>
      </c>
      <c r="H2611" t="inlineStr"/>
    </row>
    <row r="2612">
      <c r="A2612" t="inlineStr">
        <is>
          <t>btvpqt</t>
        </is>
      </c>
      <c r="B2612" t="inlineStr">
        <is>
          <t>What to get for Father's Day?</t>
        </is>
      </c>
      <c r="C2612" t="inlineStr">
        <is>
          <t>Hi everyone! 
I know that this might not be a huge issue, but Father's Day is coming up and I am not too sure what to get or do for my father who is fighting oral cancer.
A bit of background: he was diagnosed with late stage 3/early stage 4 oral cancer. It has gotten to the point where he cannot eat or talk anymore -- basically anything that has to do with the movement of his mouth/tongue. He is also constantly tired due to pain meds. He doesn't do much except try to sleep, which is difficult due to the pain. 
I am already helping out a ton at the house and have moved back in order to help with everything. Any ideas is greatly appreciated. I am also searching. It's just difficult to celebrate this day considering his situation. 
Thank you.</t>
        </is>
      </c>
      <c r="D2612" t="n">
        <v>6</v>
      </c>
      <c r="E2612" t="n">
        <v>3</v>
      </c>
      <c r="F2612">
        <f>HYPERLINK("https://www.reddit.com/r/cancer/comments/btvpqt/what_to_get_for_fathers_day/")</f>
        <v/>
      </c>
      <c r="G2612" t="inlineStr">
        <is>
          <t>2019-05-27 21:34:08</t>
        </is>
      </c>
      <c r="H2612" t="inlineStr"/>
    </row>
    <row r="2613">
      <c r="A2613" t="inlineStr">
        <is>
          <t>btvxxe</t>
        </is>
      </c>
      <c r="B2613" t="inlineStr">
        <is>
          <t>I think I might have Testicular cancer</t>
        </is>
      </c>
      <c r="C2613" t="inlineStr">
        <is>
          <t>So I’ve been feeling this pain for probably over a year now in my testicles. It’s in the area above the testes where the cords are located and at first I didn’t tell anyone, but after the pain started getting more severe I decided to tell my parents. They took me with an urologist but all he said was that it might be a lack of blood circulation. The pain continued after following his instructions and I even brought up the fact to my parents that it might be cancer. I don’t want to believe it’s cancer since my only symptom is pain and a feeling of heaviness in the testes but the research I’ve done has lead me to believe that</t>
        </is>
      </c>
      <c r="D2613" t="n">
        <v>0</v>
      </c>
      <c r="E2613" t="n">
        <v>3</v>
      </c>
      <c r="F2613">
        <f>HYPERLINK("https://www.reddit.com/r/cancer/comments/btvxxe/i_think_i_might_have_testicular_cancer/")</f>
        <v/>
      </c>
      <c r="G2613" t="inlineStr">
        <is>
          <t>2019-05-27 22:02:30</t>
        </is>
      </c>
      <c r="H2613" t="inlineStr"/>
    </row>
    <row r="2614">
      <c r="A2614" t="inlineStr">
        <is>
          <t>btwh1i</t>
        </is>
      </c>
      <c r="B2614" t="inlineStr">
        <is>
          <t>Anyone have experience with multiple myeloma?</t>
        </is>
      </c>
      <c r="C2614" t="inlineStr">
        <is>
          <t>My brother may have it though we're not sure till the biopsy is done. He has no lesions or anything in his organs, and another opinion is he may have mgus.</t>
        </is>
      </c>
      <c r="D2614" t="n">
        <v>6</v>
      </c>
      <c r="E2614" t="n">
        <v>3</v>
      </c>
      <c r="F2614">
        <f>HYPERLINK("https://www.reddit.com/r/cancer/comments/btwh1i/anyone_have_experience_with_multiple_myeloma/")</f>
        <v/>
      </c>
      <c r="G2614" t="inlineStr">
        <is>
          <t>2019-05-27 23:08:27</t>
        </is>
      </c>
      <c r="H2614" t="inlineStr"/>
    </row>
    <row r="2615">
      <c r="A2615" t="inlineStr">
        <is>
          <t>btxqhz</t>
        </is>
      </c>
      <c r="B2615" t="inlineStr">
        <is>
          <t>Calling in sick (work)</t>
        </is>
      </c>
      <c r="C2615" t="inlineStr">
        <is>
          <t>My treatment is going well, but I called in sick today. I’m just feeling lazy and I had a bank holiday weekend and my body clock is messed up, and still feeling tired.
Other than that I feel fine. 
I am worried tho cos I like my job and get on really well with my work colleagues and going to work gives me a sense of normalcy, plus I’m saving up to see more of the world. 
It’s just that I’ve needlessly called in sick a few times now. 
It would be better to go in late than not at all..
I’m just worried I am giving the impression that I am more ill than I actually am and could lose my job?
I live in the U.K. and cancer is classed as a disability and thus I’m protected under the disability act.
Maybe it’s something psychological. My cancer is melanoma and it’s usually fatal especially at stage 4 anyway.
My place of work are being very supportive, my cancer has mostly “gone”.  
I’m just anxious and paranoid without a job I’d be isolated from mainstream society, since I just want a normal life. 
I just don’t want to sit at home on benefits.
I do have a strong work ethic.
Just looking for guidance</t>
        </is>
      </c>
      <c r="D2615" t="n">
        <v>31</v>
      </c>
      <c r="E2615" t="n">
        <v>34</v>
      </c>
      <c r="F2615">
        <f>HYPERLINK("https://www.reddit.com/r/cancer/comments/btxqhz/calling_in_sick_work/")</f>
        <v/>
      </c>
      <c r="G2615" t="inlineStr">
        <is>
          <t>2019-05-28 02:02:57</t>
        </is>
      </c>
      <c r="H2615" t="inlineStr"/>
    </row>
    <row r="2616">
      <c r="A2616" t="inlineStr">
        <is>
          <t>btzgut</t>
        </is>
      </c>
      <c r="B2616" t="inlineStr">
        <is>
          <t>Just watched the movie Wild.</t>
        </is>
      </c>
      <c r="C2616" t="inlineStr">
        <is>
          <t>I couldn't believe how much I identified with the main character. Instead of heroin, my DOC was alcohol, however. With that being said, I don't recommend this movie to anyone fighting cancer or who is in the midst of watching someone with cancer perish. It's rough.</t>
        </is>
      </c>
      <c r="D2616" t="n">
        <v>1</v>
      </c>
      <c r="E2616" t="n">
        <v>0</v>
      </c>
      <c r="F2616">
        <f>HYPERLINK("https://www.reddit.com/r/cancer/comments/btzgut/just_watched_the_movie_wild/")</f>
        <v/>
      </c>
      <c r="G2616" t="inlineStr">
        <is>
          <t>2019-05-28 05:31:25</t>
        </is>
      </c>
      <c r="H2616" t="inlineStr"/>
    </row>
    <row r="2617">
      <c r="A2617" t="inlineStr">
        <is>
          <t>btzp2s</t>
        </is>
      </c>
      <c r="B2617" t="inlineStr">
        <is>
          <t>What's something you wish you were more prepared for/knew before going in for surgery?</t>
        </is>
      </c>
      <c r="C2617" t="inlineStr">
        <is>
          <t>I'm going in tomorrow to finally have an open extended right hemicolectomy to remove the tumor in my bowel. I've never had any kind or surgery before and I've never had to stay any real length of time in the hospital. 
What are some of the things you wish you did before hand, or were more prepared for, or things you wish you brought to the hospital for your stay afterwards, best recommendations for killing boredom?</t>
        </is>
      </c>
      <c r="D2617" t="n">
        <v>8</v>
      </c>
      <c r="E2617" t="n">
        <v>24</v>
      </c>
      <c r="F2617">
        <f>HYPERLINK("https://www.reddit.com/r/cancer/comments/btzp2s/whats_something_you_wish_you_were_more_prepared/")</f>
        <v/>
      </c>
      <c r="G2617" t="inlineStr">
        <is>
          <t>2019-05-28 05:55:08</t>
        </is>
      </c>
      <c r="H2617" t="inlineStr"/>
    </row>
    <row r="2618">
      <c r="A2618" t="inlineStr">
        <is>
          <t>bu0706</t>
        </is>
      </c>
      <c r="B2618" t="inlineStr">
        <is>
          <t>Do clichè reactions drive you crazy?</t>
        </is>
      </c>
      <c r="C2618" t="inlineStr">
        <is>
          <t>I don’t know why, but whenever someone says, “I’m sorry you’re not feeling well,” or “I’m sorry to hear that” after I’ve just told them about my extremely grim prognosis it infuriates me. I don’t have a fucking cold! I’m specifically referring to people with whom I’ve been friends for years and it hurts so much because it makes me feel like they’re just phoning it in; as if my existence on this planet is just not that big of deal to people that I’ve tried to be there no matter what. Am I overreacting?</t>
        </is>
      </c>
      <c r="D2618" t="n">
        <v>14</v>
      </c>
      <c r="E2618" t="n">
        <v>28</v>
      </c>
      <c r="F2618">
        <f>HYPERLINK("https://www.reddit.com/r/cancer/comments/bu0706/do_clichè_reactions_drive_you_crazy/")</f>
        <v/>
      </c>
      <c r="G2618" t="inlineStr">
        <is>
          <t>2019-05-28 06:44:02</t>
        </is>
      </c>
      <c r="H2618" t="inlineStr"/>
    </row>
    <row r="2619">
      <c r="A2619" t="inlineStr">
        <is>
          <t>bu18md</t>
        </is>
      </c>
      <c r="B2619" t="inlineStr">
        <is>
          <t>Inconclusive biopsies?</t>
        </is>
      </c>
      <c r="C2619" t="inlineStr">
        <is>
          <t>3 weeks ago I had a CT scan to diagnose abdominal pain that revealed a growth originating from my cervix. A biopsy was taken and I was referred to an oncologist, who has told me she feels confident it's cancer. Further MRI scans revealed additional masses and put me at Stage IV (according to the radiologist's notes, not an official diagnosis).
The first biopsy was inconclusive. My oncologist took another, with the same results. She recommended an ultrasound-guided biopsy instead which she felt would yield better results.
The latest results are still not back, but I'm fearing they too will be inconclusive and I will be left waiting for a diagnosis yet again. Is it normal to have so many inconclusive biopsies?
My family is being overtly positive and interpreting this as good news but I can't help but feel an impending doom, like it is just delaying any potential treatment plan.</t>
        </is>
      </c>
      <c r="D2619" t="n">
        <v>10</v>
      </c>
      <c r="E2619" t="n">
        <v>4</v>
      </c>
      <c r="F2619">
        <f>HYPERLINK("https://www.reddit.com/r/cancer/comments/bu18md/inconclusive_biopsies/")</f>
        <v/>
      </c>
      <c r="G2619" t="inlineStr">
        <is>
          <t>2019-05-28 08:16:35</t>
        </is>
      </c>
      <c r="H2619" t="inlineStr"/>
    </row>
    <row r="2620">
      <c r="A2620" t="inlineStr">
        <is>
          <t>bu3fkw</t>
        </is>
      </c>
      <c r="B2620" t="inlineStr">
        <is>
          <t>Just had my 1st haircut 6 months post treatment!</t>
        </is>
      </c>
      <c r="C2620" t="inlineStr">
        <is>
          <t>My treatment was especially intensive so after my first lot of chemo my hair was falling out by the handful not even 2 days after, so I decided the whole lot should just come off and went fully bald. It wasnt even till last October that my hair finally started growing back mid way through radiation therapy. I even started growing facial hair which I couldn't before. Fast forward to 2019 and my hair had grown back with the chemo curls and while I wasn't happy it was curly, I'm just glad I could grow my hair again.
 I wasn't especially excited at first but after getting out the chair and seeing my reflection in the mirror I felt a kind of joy I haven't had in a long time. As soon as he held up the mirror to show the back of my head a big smile came across my face. I'd always been especially fond of my hair so to see it come back curly and a mess was interesting for sure. But 6 months later and I'm finally starting to look like my old self again and it's truly amazing. You never realise how much you take for granted and how much the little things really help you.
I hope any of you can find even the smallest amount of joy in the little things like I did today! Even through these trying times. Anyone else have little things that have made them happy?</t>
        </is>
      </c>
      <c r="D2620" t="n">
        <v>75</v>
      </c>
      <c r="E2620" t="n">
        <v>10</v>
      </c>
      <c r="F2620">
        <f>HYPERLINK("https://www.reddit.com/r/cancer/comments/bu3fkw/just_had_my_1st_haircut_6_months_post_treatment/")</f>
        <v/>
      </c>
      <c r="G2620" t="inlineStr">
        <is>
          <t>2019-05-28 11:15:46</t>
        </is>
      </c>
      <c r="H2620" t="inlineStr"/>
    </row>
    <row r="2621">
      <c r="A2621" t="inlineStr">
        <is>
          <t>bu3rbz</t>
        </is>
      </c>
      <c r="B2621" t="inlineStr">
        <is>
          <t>My sister asked me to help her shaving her head.</t>
        </is>
      </c>
      <c r="C2621" t="inlineStr">
        <is>
          <t>She seems afraid and uncomfortable about doing it but she also wants to do it tomorrow before her hair starts falling down. She knows it will happen and I think she doesn't want to feel it falling in lumps so she asked me to help her doing it Tomorrow. I'm willing to shave my head with her too because I've done it before and I want to make her know it's only hair somehow. But she told me not to because she tells me my hair is pretty now that I'm growing it out again. She probably won't let me shave my head with her because she might be afraid I regret it.
I'm thinking about shaving my head today before she knows because I want to somehow Comfort her.
Do you think it is a good way to do so? I'm open to opinions, i just want to help her. 
Thank you</t>
        </is>
      </c>
      <c r="D2621" t="n">
        <v>28</v>
      </c>
      <c r="E2621" t="n">
        <v>35</v>
      </c>
      <c r="F2621">
        <f>HYPERLINK("https://www.reddit.com/r/cancer/comments/bu3rbz/my_sister_asked_me_to_help_her_shaving_her_head/")</f>
        <v/>
      </c>
      <c r="G2621" t="inlineStr">
        <is>
          <t>2019-05-28 11:42:28</t>
        </is>
      </c>
      <c r="H2621" t="inlineStr"/>
    </row>
    <row r="2622">
      <c r="A2622" t="inlineStr">
        <is>
          <t>bu4h4z</t>
        </is>
      </c>
      <c r="B2622" t="inlineStr">
        <is>
          <t>What do you guys think about our adaptable shirts for PORTs?</t>
        </is>
      </c>
      <c r="C2622" t="inlineStr">
        <is>
          <t>Just want to simply get some feedback on these shirts that my dad and I designed.  Let me know what you think!
[https://www.youtube.com/watch?v=dfCgHF65O5k](https://www.youtube.com/watch?v=dfCgHF65O5k)</t>
        </is>
      </c>
      <c r="D2622" t="n">
        <v>11</v>
      </c>
      <c r="E2622" t="n">
        <v>14</v>
      </c>
      <c r="F2622">
        <f>HYPERLINK("https://www.reddit.com/r/cancer/comments/bu4h4z/what_do_you_guys_think_about_our_adaptable_shirts/")</f>
        <v/>
      </c>
      <c r="G2622" t="inlineStr">
        <is>
          <t>2019-05-28 12:40:00</t>
        </is>
      </c>
      <c r="H2622" t="inlineStr"/>
    </row>
    <row r="2623">
      <c r="A2623" t="inlineStr">
        <is>
          <t>bu5r3x</t>
        </is>
      </c>
      <c r="B2623" t="inlineStr">
        <is>
          <t>Hairloss advice</t>
        </is>
      </c>
      <c r="C2623" t="inlineStr">
        <is>
          <t>I am a trichologist  a wig maker and hairdresser for over 30 years . I would be happy to give advice if your worried about your hair . Please feel free to message me directly if you want privacy. Glad to help</t>
        </is>
      </c>
      <c r="D2623" t="n">
        <v>11</v>
      </c>
      <c r="E2623" t="n">
        <v>2</v>
      </c>
      <c r="F2623">
        <f>HYPERLINK("https://www.reddit.com/r/cancer/comments/bu5r3x/hairloss_advice/")</f>
        <v/>
      </c>
      <c r="G2623" t="inlineStr">
        <is>
          <t>2019-05-28 14:22:43</t>
        </is>
      </c>
      <c r="H2623" t="inlineStr"/>
    </row>
    <row r="2624">
      <c r="A2624" t="inlineStr">
        <is>
          <t>bu709i</t>
        </is>
      </c>
      <c r="B2624" t="inlineStr">
        <is>
          <t>My aunt is going to start at chemotherapy and she is looking for help.</t>
        </is>
      </c>
      <c r="C2624" t="inlineStr">
        <is>
          <t>She is actually dealing better than me and my family expected. She didn't lost her shine nor she looks bad, just as beautiful as aways. Anyway, she was talking to me and told she would like advices on what change of behaviors would help her though chemotherapy.</t>
        </is>
      </c>
      <c r="D2624" t="n">
        <v>9</v>
      </c>
      <c r="E2624" t="n">
        <v>3</v>
      </c>
      <c r="F2624">
        <f>HYPERLINK("https://www.reddit.com/r/cancer/comments/bu709i/my_aunt_is_going_to_start_at_chemotherapy_and_she/")</f>
        <v/>
      </c>
      <c r="G2624" t="inlineStr">
        <is>
          <t>2019-05-28 16:12:02</t>
        </is>
      </c>
      <c r="H2624" t="inlineStr"/>
    </row>
    <row r="2625">
      <c r="A2625" t="inlineStr">
        <is>
          <t>bu8i30</t>
        </is>
      </c>
      <c r="B2625" t="inlineStr">
        <is>
          <t>Stage 4 colon cancer - does my brother still have a chance?</t>
        </is>
      </c>
      <c r="C2625" t="inlineStr">
        <is>
          <t>I need help or advice or something. My brother (36) was diagnosed with stage 4 colon cancer in March of 2018 with Mets covering most of his liver. He has gone through 4 different rounds of chemo treatments and 2 y90 radiation treatments. He initially responded well to these treatments and his cancer markers went down, but they are now 4x the original number. He left us in the dark until 3 1/2 weeks ago when things took a turn for the worst because he didn’t want to worry us and we were assured everything was fine and working. 
Friday he was admitted in the hospital because his liver is apparently failing (edema and Ascites and 3 days on albumin didn’t help) and his oncologist has completely given up on him and didn’t even come see him. Saturday my SIL was told he has 1-3 weeks left instead of the 3 months that she was told just 4 days prior. 
He still wants to continue treatments because he just can’t give up. He has 4 kids (9,6,4&amp;amp;2). He just started a targeted therapy and chemo combo early last week that he and his oncologist had high hopes for but has anyone come back from a low like this? Can his liver recover and can the treatments still work? Is there anything he can still do or try? He is seeing a new oncologist tomorrow, not sure what he will tell her he wants to do or what she will even say since he is pretty weak and frail at this point but I want to give any suggestions to the oncologist if anyone has any.</t>
        </is>
      </c>
      <c r="D2625" t="n">
        <v>13</v>
      </c>
      <c r="E2625" t="n">
        <v>8</v>
      </c>
      <c r="F2625">
        <f>HYPERLINK("https://www.reddit.com/r/cancer/comments/bu8i30/stage_4_colon_cancer_does_my_brother_still_have_a/")</f>
        <v/>
      </c>
      <c r="G2625" t="inlineStr">
        <is>
          <t>2019-05-28 18:30:27</t>
        </is>
      </c>
      <c r="H2625" t="inlineStr"/>
    </row>
    <row r="2626">
      <c r="A2626" t="inlineStr">
        <is>
          <t>bua7nm</t>
        </is>
      </c>
      <c r="B2626" t="inlineStr">
        <is>
          <t>Mom Is About to Undergo Biopsy</t>
        </is>
      </c>
      <c r="C2626" t="inlineStr">
        <is>
          <t>My mom actually showed enlarged lymph nodes about 7 years ago and unfortunately, they were unable to get a biopsy at the time due to the locations. Her PET scans continued to show very little growth or change so we were able to wait and watch for years. I think in that time, I managed to convince myself that it wasn't actually cancer. After severe back pains and night sweats, she went in for an unscheduled scan and it looks like there is significant growth in several lymph nodes and a tumor near her kidney. She is going back for a scan at the end of the week and then planning to attempt another biopsy to get a more accurate diagnosis. Right now, follicular lymphoma is suspected. She is 61. I am terrified beyond belief and I'm just hoping for some more information, encouragement, insight, etc. I would appreciate anything. Thank you.</t>
        </is>
      </c>
      <c r="D2626" t="n">
        <v>10</v>
      </c>
      <c r="E2626" t="n">
        <v>1</v>
      </c>
      <c r="F2626">
        <f>HYPERLINK("https://www.reddit.com/r/cancer/comments/bua7nm/mom_is_about_to_undergo_biopsy/")</f>
        <v/>
      </c>
      <c r="G2626" t="inlineStr">
        <is>
          <t>2019-05-28 21:25:18</t>
        </is>
      </c>
      <c r="H2626" t="inlineStr"/>
    </row>
    <row r="2627">
      <c r="A2627" t="inlineStr">
        <is>
          <t>bua7t6</t>
        </is>
      </c>
      <c r="B2627" t="inlineStr">
        <is>
          <t>Can a scan miss the cancer?</t>
        </is>
      </c>
      <c r="C2627" t="inlineStr">
        <is>
          <t>So, sorry for the long post. I hope I don't rant too much, but you know, it's easy to do on subjects like this! Cancer runs in my family so it's pretty terrifying!   
Let's go straight to it. I went to the doctor last week because my balls were swollen and ached.... a lot. The doctor examined me and sent me for an ultrasound. In the ultrasound, the person doing it said "which testicle has the lump?". This confused me as I didn't know I had a lump, so I said that both have the issues and she scanned both. Later that day, I received a phone call from the doctor saying that everything looks normal and I don't have to worry.  
The thing is, I checked and there is actually a lump there. It's small (Testicular Cancer guides say you should feel for a lump between the size of a pea or a marble, i'd say mine is about 1mm, it's basically a dot, like if you cut the end off a piece of rice). In the call, they said nothing about it, it's like they missed it entirely. Is it possible that they did not scan the right place? or the scan missed it?  
Is it also possible that the lump is too small? Considering they say look for a pea/marble size, and those sizes must start small, it could be possible that it is the beginning of cancer, like way-way early stages?  
I am not completely happy with my diagnosis of "you're fine" when I have a testicular lump, swelling and aches. It just sounds wrong to me. IF they said it was a cyst or something, then at least that's something, but nothing? It can't be nothing otherwise it would all be fine down there.   
Is this the sort of thing you'd get a second opinion over?   
PS: They did an STI test on me, I am clean.   
PPS: I know you say not to post "is this cancer" questions. Hopefully this will be fine to post here since it's about testicular cancer scans etc and I am seeing doctors.</t>
        </is>
      </c>
      <c r="D2627" t="n">
        <v>1</v>
      </c>
      <c r="E2627" t="n">
        <v>4</v>
      </c>
      <c r="F2627">
        <f>HYPERLINK("https://www.reddit.com/r/cancer/comments/bua7t6/can_a_scan_miss_the_cancer/")</f>
        <v/>
      </c>
      <c r="G2627" t="inlineStr">
        <is>
          <t>2019-05-28 21:25:47</t>
        </is>
      </c>
      <c r="H2627" t="inlineStr"/>
    </row>
    <row r="2628">
      <c r="A2628" t="inlineStr">
        <is>
          <t>buar4u</t>
        </is>
      </c>
      <c r="B2628" t="inlineStr">
        <is>
          <t>Cometriq 20mg tablet | Apple pharmaceuticals</t>
        </is>
      </c>
      <c r="C2628" t="inlineStr">
        <is>
          <t>[**Cometriq 20mg**](https://myapplepharma.com/cometriq-20mg.php) which is a type of targeted therapy drug used to recover from medullary thyroid cancer and kidney cancer that has spread. Its label contains a black box warning of gastrointestinal perforations, fistulas, and haemorrhage.</t>
        </is>
      </c>
      <c r="D2628" t="n">
        <v>1</v>
      </c>
      <c r="E2628" t="n">
        <v>0</v>
      </c>
      <c r="F2628">
        <f>HYPERLINK("https://www.reddit.com/r/cancer/comments/buar4u/cometriq_20mg_tablet_apple_pharmaceuticals/")</f>
        <v/>
      </c>
      <c r="G2628" t="inlineStr">
        <is>
          <t>2019-05-28 22:30:29</t>
        </is>
      </c>
      <c r="H2628" t="inlineStr"/>
    </row>
    <row r="2629">
      <c r="A2629" t="inlineStr">
        <is>
          <t>buarxl</t>
        </is>
      </c>
      <c r="B2629" t="inlineStr">
        <is>
          <t>what should I expect?</t>
        </is>
      </c>
      <c r="C2629" t="inlineStr">
        <is>
          <t>so my dad got diagnosed with esophagus cancer back in December, and today was the day he was gonna get the tumours out. turns out that the cancer has spread to his liver and his life expectancy is 6-20 months. I don't know what to do about this. does anyone know what I should expect since he can't get the surgery?</t>
        </is>
      </c>
      <c r="D2629" t="n">
        <v>15</v>
      </c>
      <c r="E2629" t="n">
        <v>3</v>
      </c>
      <c r="F2629">
        <f>HYPERLINK("https://www.reddit.com/r/cancer/comments/buarxl/what_should_i_expect/")</f>
        <v/>
      </c>
      <c r="G2629" t="inlineStr">
        <is>
          <t>2019-05-28 22:33:14</t>
        </is>
      </c>
      <c r="H2629" t="inlineStr"/>
    </row>
    <row r="2630">
      <c r="A2630" t="inlineStr">
        <is>
          <t>budqon</t>
        </is>
      </c>
      <c r="B2630" t="inlineStr">
        <is>
          <t>Memorial Sloan Kettering vs NY Presbyterian Weill Cornell For Bone Marrow Transplant?</t>
        </is>
      </c>
      <c r="C2630" t="inlineStr">
        <is>
          <t>I'm planning on getting a bone marrow transplant in the near future (in New York) and I've had appointments at Memorial Sloan Kettering and NY Presbyterian and I'm considering my options. Does anyone have any insight, opinions, experience with either and/or both Memorial Sloan Kettering or NY Presbyterian for bone marrow transplants?  Thanks.</t>
        </is>
      </c>
      <c r="D2630" t="n">
        <v>10</v>
      </c>
      <c r="E2630" t="n">
        <v>8</v>
      </c>
      <c r="F2630">
        <f>HYPERLINK("https://www.reddit.com/r/cancer/comments/budqon/memorial_sloan_kettering_vs_ny_presbyterian_weill/")</f>
        <v/>
      </c>
      <c r="G2630" t="inlineStr">
        <is>
          <t>2019-05-29 04:57:05</t>
        </is>
      </c>
      <c r="H2630" t="inlineStr"/>
    </row>
    <row r="2631">
      <c r="A2631" t="inlineStr">
        <is>
          <t>budxyl</t>
        </is>
      </c>
      <c r="B2631" t="inlineStr">
        <is>
          <t>They're serious about bras post-surgery</t>
        </is>
      </c>
      <c r="C2631" t="inlineStr">
        <is>
          <t>I had three lumpectomies in three weeks and have worn a sports bra for almost three months. Yesterday my vanity got the better of me and I wore my regular underwire bra all day. OUCH. Still sore today. Learn from my mistake, ladies!</t>
        </is>
      </c>
      <c r="D2631" t="n">
        <v>27</v>
      </c>
      <c r="E2631" t="n">
        <v>8</v>
      </c>
      <c r="F2631">
        <f>HYPERLINK("https://www.reddit.com/r/cancer/comments/budxyl/theyre_serious_about_bras_postsurgery/")</f>
        <v/>
      </c>
      <c r="G2631" t="inlineStr">
        <is>
          <t>2019-05-29 05:17:16</t>
        </is>
      </c>
      <c r="H2631" t="inlineStr"/>
    </row>
    <row r="2632">
      <c r="A2632" t="inlineStr">
        <is>
          <t>buex1v</t>
        </is>
      </c>
      <c r="B2632" t="inlineStr">
        <is>
          <t>What foods were most palatable to you while getting chemo?</t>
        </is>
      </c>
      <c r="C2632" t="inlineStr">
        <is>
          <t>Asking in terms of what digested easily, what had the best flavor despite the metallic taste/taste bud impairment, didn’t worsen dry mouth, etc. Thanks for the input. 🙌🏼</t>
        </is>
      </c>
      <c r="D2632" t="n">
        <v>14</v>
      </c>
      <c r="E2632" t="n">
        <v>34</v>
      </c>
      <c r="F2632">
        <f>HYPERLINK("https://www.reddit.com/r/cancer/comments/buex1v/what_foods_were_most_palatable_to_you_while/")</f>
        <v/>
      </c>
      <c r="G2632" t="inlineStr">
        <is>
          <t>2019-05-29 06:49:44</t>
        </is>
      </c>
      <c r="H2632" t="inlineStr"/>
    </row>
    <row r="2633">
      <c r="A2633" t="inlineStr">
        <is>
          <t>bufapi</t>
        </is>
      </c>
      <c r="B2633" t="inlineStr">
        <is>
          <t>Chemo is done! Now what?</t>
        </is>
      </c>
      <c r="C2633" t="inlineStr">
        <is>
          <t>So I just finished 14 rounds of chemo. I'm pretty stoked but I have done questions.
What is radiation like? What are some general side effects? If I get it it will be in my lungs.
When should my hair grow back?
When did you get back to 'normal life'?
Thanks to everyone for the help!</t>
        </is>
      </c>
      <c r="D2633" t="n">
        <v>11</v>
      </c>
      <c r="E2633" t="n">
        <v>11</v>
      </c>
      <c r="F2633">
        <f>HYPERLINK("https://www.reddit.com/r/cancer/comments/bufapi/chemo_is_done_now_what/")</f>
        <v/>
      </c>
      <c r="G2633" t="inlineStr">
        <is>
          <t>2019-05-29 07:24:11</t>
        </is>
      </c>
      <c r="H2633" t="inlineStr"/>
    </row>
    <row r="2634">
      <c r="A2634" t="inlineStr">
        <is>
          <t>buftfm</t>
        </is>
      </c>
      <c r="B2634" t="inlineStr">
        <is>
          <t>Family needs of people living with cancer</t>
        </is>
      </c>
      <c r="C2634" t="inlineStr">
        <is>
          <t>[https://www.researchgate.net/publication/318503073\_Measuring\_family\_needs\_of\_people\_living\_with\_cancer\_Portuguese\_validation\_and\_descriptive\_studies\_of\_the\_Family\_Inventory\_of\_Needs](https://www.researchgate.net/publication/318503073_Measuring_family_needs_of_people_living_with_cancer_Portuguese_validation_and_descriptive_studies_of_the_Family_Inventory_of_Needs)</t>
        </is>
      </c>
      <c r="D2634" t="n">
        <v>1</v>
      </c>
      <c r="E2634" t="n">
        <v>0</v>
      </c>
      <c r="F2634">
        <f>HYPERLINK("https://www.reddit.com/r/cancer/comments/buftfm/family_needs_of_people_living_with_cancer/")</f>
        <v/>
      </c>
      <c r="G2634" t="inlineStr">
        <is>
          <t>2019-05-29 08:08:02</t>
        </is>
      </c>
      <c r="H2634" t="inlineStr"/>
    </row>
    <row r="2635">
      <c r="A2635" t="inlineStr">
        <is>
          <t>buftuo</t>
        </is>
      </c>
      <c r="B2635" t="inlineStr">
        <is>
          <t>So we found out my Grandfather (83) has MICB Bladder Cancer or so they are pretty sure...</t>
        </is>
      </c>
      <c r="C2635" t="inlineStr">
        <is>
          <t>My god, I'm so sick and tired of cancer, my Grandfather on my dads side died of Prostate Cancer because it had spread too much, and now my Grandfather on my moms side has MICB Bladder Cancer, although it hasn't spread according to doctors, 
They want to go the route of just removing the bladder and hooking him up with bags, but his Kidney wasn't in the best shape when he got there due to him not eating or drinking much. So they need it to get better first.
My question is, what is the general recovery timeframe for a kidney that was near failure? 
I'm trying to keep a positive mind on this whole situation.
Thanks guys!</t>
        </is>
      </c>
      <c r="D2635" t="n">
        <v>3</v>
      </c>
      <c r="E2635" t="n">
        <v>8</v>
      </c>
      <c r="F2635">
        <f>HYPERLINK("https://www.reddit.com/r/cancer/comments/buftuo/so_we_found_out_my_grandfather_83_has_micb/")</f>
        <v/>
      </c>
      <c r="G2635" t="inlineStr">
        <is>
          <t>2019-05-29 08:08:57</t>
        </is>
      </c>
      <c r="H2635" t="inlineStr"/>
    </row>
    <row r="2636">
      <c r="A2636" t="inlineStr">
        <is>
          <t>bug528</t>
        </is>
      </c>
      <c r="B2636" t="inlineStr">
        <is>
          <t>Monitoring costs</t>
        </is>
      </c>
      <c r="C2636" t="inlineStr">
        <is>
          <t>Hey everyone, I was just wondering if you’re in the US and have insurance how much your monitoring costs you? I know it’s heavily going to depend on employer and plan but I’m just trying to get a ballpark. My husband currently has tricare which covers everything but we will be losing that soon and getting new insurance, which I’m assuming won’t cover 100%. He currently gets bloodwork every 3 months and a CT scan every 6 though hopefully next January that will go to 6 months bloodwork and 9 months for CT scans. I want to make sure we have enough to cover those costs.</t>
        </is>
      </c>
      <c r="D2636" t="n">
        <v>5</v>
      </c>
      <c r="E2636" t="n">
        <v>8</v>
      </c>
      <c r="F2636">
        <f>HYPERLINK("https://www.reddit.com/r/cancer/comments/bug528/monitoring_costs/")</f>
        <v/>
      </c>
      <c r="G2636" t="inlineStr">
        <is>
          <t>2019-05-29 08:34:44</t>
        </is>
      </c>
      <c r="H2636" t="inlineStr"/>
    </row>
    <row r="2637">
      <c r="A2637" t="inlineStr">
        <is>
          <t>bugaex</t>
        </is>
      </c>
      <c r="B2637" t="inlineStr">
        <is>
          <t>12 days till stem cell donation starts</t>
        </is>
      </c>
      <c r="C2637" t="inlineStr">
        <is>
          <t>So, I have been going from ewing sarcoma treatment which started last year January and took till this year February to secondary myelodysplastic syndrome which treatment will start in approximately 12 days.
The tumor was located in my left leg so walking was very difficult after chemotherapy, the operation and radiotherapy but I "learned" it again and in April I had the hope that I can walk normal and without pain if i keep on trying and training. And now this, 1 month of hope and happiness and then something like this shit happens. I am out of words and very pissed about this situation.</t>
        </is>
      </c>
      <c r="D2637" t="n">
        <v>8</v>
      </c>
      <c r="E2637" t="n">
        <v>3</v>
      </c>
      <c r="F2637">
        <f>HYPERLINK("https://www.reddit.com/r/cancer/comments/bugaex/12_days_till_stem_cell_donation_starts/")</f>
        <v/>
      </c>
      <c r="G2637" t="inlineStr">
        <is>
          <t>2019-05-29 08:47:16</t>
        </is>
      </c>
      <c r="H2637" t="inlineStr"/>
    </row>
    <row r="2638">
      <c r="A2638" t="inlineStr">
        <is>
          <t>bugcql</t>
        </is>
      </c>
      <c r="B2638" t="inlineStr">
        <is>
          <t>Refusing Treatment: Stage IV Melanoma</t>
        </is>
      </c>
      <c r="C2638" t="inlineStr">
        <is>
          <t>My fiancé is refusing treatment for stage iv melanoma. Absolutely NO chemo or radiation. I just found out. I’m just starting to research what all this means. 
Please don’t say he needs to get treatment. I’ve begged and pleaded....
Last night I finally got him to agree to an alternative treatment if it’s out there. I am in the beginning stages of research. He kept it a secret until now. Does anyone know of other good options? How can I make him as comfortable and healthy as possible?
He is in a lot of pain. His eye is really bothering him. He thinks the end is close. He is getting lumps in his back that are causing a lot of pain. I thought maybe he should take something for blood pressure because it’s really high which could be causing the eye issues. He is seeing double. 
Is there at least pain management out there? I’m sorry this format sucks I am in a lot of emotional turmoil and I’m not exactly thinking straight myself. 
How can I make him comfortable? What are the options in Massachusetts or California?</t>
        </is>
      </c>
      <c r="D2638" t="n">
        <v>0</v>
      </c>
      <c r="E2638" t="n">
        <v>0</v>
      </c>
      <c r="F2638">
        <f>HYPERLINK("https://www.reddit.com/r/cancer/comments/bugcql/refusing_treatment_stage_iv_melanoma/")</f>
        <v/>
      </c>
      <c r="G2638" t="inlineStr">
        <is>
          <t>2019-05-29 08:52:56</t>
        </is>
      </c>
      <c r="H2638" t="inlineStr"/>
    </row>
    <row r="2639">
      <c r="A2639" t="inlineStr">
        <is>
          <t>bugcyl</t>
        </is>
      </c>
      <c r="B2639" t="inlineStr">
        <is>
          <t>My mother has cancer. My stress has turned physical. Cancer sucks.</t>
        </is>
      </c>
      <c r="C2639" t="inlineStr">
        <is>
          <t>If this is an inappropriate post or doesn't belong here, I apologise :s I will understand if I get redirected. 
&amp;amp;#x200B;
My mother has been dealing with tumours in her bladder for over ten years. For a while, there was a routine of checking for them, breaking them down, and sucking them out. About five years ago, the cancer got into her bladder wall and she had her bladder removed. Last spring, she got a screening to confirm the cancer was gone, but it was back. Stage IV. Spread to her bones and her lungs.
&amp;amp;#x200B;
So she did a round of chemo, then tried immunotherapy, and in February she decided to be done with treatments (they weren't helping enough and messed with her quality of life) and trying to live out her days as best she can. Mostly she's quilting and taking naps. My lovely father has taken over all the household stuff. I'm an only child and live in a different province but arranged with my boss to work from my home province for a few weeks every few months to spend time with my parents, and to help. I've been doing that since Christmas break.
&amp;amp;#x200B;
 I feel lucky in a lot of ways. She was lucky to find the cancer early at the start. She's over 70 now. She retired early and was able to travel and enjoy time with my dad (and her sewing, hehe). They are even on a small trip right now - I'm taking a train to meet them on Friday and my mom is coming to stay with me for a few days. I'm excited to see them.
&amp;amp;#x200B;
I've been managing okay so far. Kinda just going with the random crying outbursts, and trying to talk about it a bit instead of keeping it all in. Doing my best to not wish time away. But for about a month, almost constantly, one of my shoulders and my neck have been seizing up. Really badly, with throbbing and stabbing pain.  It's driving me nuts, and I'm already so low on energy from dealing with all this. I need to be there for my parents. I can't fall apart. But for the fast few days I've been feeling like I'm in a haze; I can't even see properly. 
&amp;amp;#x200B;
I'm going to see my doctor next week to see about physio and/or mental health referrals. I assume it's internalised stress. Meh. I wish I could make things better for everyone here. Cancer sucks :s</t>
        </is>
      </c>
      <c r="D2639" t="n">
        <v>24</v>
      </c>
      <c r="E2639" t="n">
        <v>11</v>
      </c>
      <c r="F2639">
        <f>HYPERLINK("https://www.reddit.com/r/cancer/comments/bugcyl/my_mother_has_cancer_my_stress_has_turned/")</f>
        <v/>
      </c>
      <c r="G2639" t="inlineStr">
        <is>
          <t>2019-05-29 08:53:25</t>
        </is>
      </c>
      <c r="H2639" t="inlineStr"/>
    </row>
    <row r="2640">
      <c r="A2640" t="inlineStr">
        <is>
          <t>bughh4</t>
        </is>
      </c>
      <c r="B2640" t="inlineStr">
        <is>
          <t>Iodine 131, pregnancy</t>
        </is>
      </c>
      <c r="C2640" t="inlineStr">
        <is>
          <t>My fiance had thyroid cancer years ago. It was pretty widespread, everywhere, although she is doing well now. For her treatment, she took radioactive Iodine-131. 
Now that she is in remission we are having talks about having a child... although I wonder about the risks regarding her past treatment. Can anyone offer opinions? Is adoption a wiser option?</t>
        </is>
      </c>
      <c r="D2640" t="n">
        <v>2</v>
      </c>
      <c r="E2640" t="n">
        <v>1</v>
      </c>
      <c r="F2640">
        <f>HYPERLINK("https://www.reddit.com/r/cancer/comments/bughh4/iodine_131_pregnancy/")</f>
        <v/>
      </c>
      <c r="G2640" t="inlineStr">
        <is>
          <t>2019-05-29 09:03:21</t>
        </is>
      </c>
      <c r="H2640" t="inlineStr"/>
    </row>
    <row r="2641">
      <c r="A2641" t="inlineStr">
        <is>
          <t>bugvez</t>
        </is>
      </c>
      <c r="B2641" t="inlineStr">
        <is>
          <t>Should I Throw my mom a pre chemo party?</t>
        </is>
      </c>
      <c r="C2641" t="inlineStr">
        <is>
          <t>My mom has pancreatic cancer and will be starting chemo next Thursday. She is a very social woman, loves her friends and family and I am wanting to do something for her that shows her we all support her through her fight. Do yall think a party or a special outing with all of her friends would be a good idea? If so, any ideas?</t>
        </is>
      </c>
      <c r="D2641" t="n">
        <v>4</v>
      </c>
      <c r="E2641" t="n">
        <v>4</v>
      </c>
      <c r="F2641">
        <f>HYPERLINK("https://www.reddit.com/r/cancer/comments/bugvez/should_i_throw_my_mom_a_pre_chemo_party/")</f>
        <v/>
      </c>
      <c r="G2641" t="inlineStr">
        <is>
          <t>2019-05-29 09:33:59</t>
        </is>
      </c>
      <c r="H2641" t="inlineStr"/>
    </row>
    <row r="2642">
      <c r="A2642" t="inlineStr">
        <is>
          <t>buh2gv</t>
        </is>
      </c>
      <c r="B2642" t="inlineStr">
        <is>
          <t>How do you know if brain radiation is working long-term?</t>
        </is>
      </c>
      <c r="C2642" t="inlineStr">
        <is>
          <t>I have 5 lesions in various parts of my brain. I received WBRT 2 months ago and today's MRI report showed a decrease in size in each of them: 10mm to 9mm, 5mm to 2mm, 13mm to 5mm, ...
I'm having memory issues so I can't recall what the doctor said about it. I understood this is good news, but good news for me simply means I get to live another day tomorrow. My hope is that all the lesions will disappear. Is that still possible?</t>
        </is>
      </c>
      <c r="D2642" t="n">
        <v>2</v>
      </c>
      <c r="E2642" t="n">
        <v>4</v>
      </c>
      <c r="F2642">
        <f>HYPERLINK("https://www.reddit.com/r/cancer/comments/buh2gv/how_do_you_know_if_brain_radiation_is_working/")</f>
        <v/>
      </c>
      <c r="G2642" t="inlineStr">
        <is>
          <t>2019-05-29 09:49:39</t>
        </is>
      </c>
      <c r="H2642" t="inlineStr"/>
    </row>
    <row r="2643">
      <c r="A2643" t="inlineStr">
        <is>
          <t>buhap5</t>
        </is>
      </c>
      <c r="B2643" t="inlineStr">
        <is>
          <t>My father passed 2 years ago, but</t>
        </is>
      </c>
      <c r="C2643" t="inlineStr">
        <is>
          <t>I still find myself grieving... yesterday I texted his old number and someone new has it.   
Are there groups for people like family members who lost one to cancer, to talk with? What would you even call that?</t>
        </is>
      </c>
      <c r="D2643" t="n">
        <v>10</v>
      </c>
      <c r="E2643" t="n">
        <v>4</v>
      </c>
      <c r="F2643">
        <f>HYPERLINK("https://www.reddit.com/r/cancer/comments/buhap5/my_father_passed_2_years_ago_but/")</f>
        <v/>
      </c>
      <c r="G2643" t="inlineStr">
        <is>
          <t>2019-05-29 10:07:26</t>
        </is>
      </c>
      <c r="H2643" t="inlineStr"/>
    </row>
    <row r="2644">
      <c r="A2644" t="inlineStr">
        <is>
          <t>buhlge</t>
        </is>
      </c>
      <c r="B2644" t="inlineStr">
        <is>
          <t>What’s new in prostate cancer?</t>
        </is>
      </c>
      <c r="C2644" t="inlineStr">
        <is>
          <t>Has anyone heard anything about an Immunotherapy fix for castration resistant prostate cancer?</t>
        </is>
      </c>
      <c r="D2644" t="n">
        <v>2</v>
      </c>
      <c r="E2644" t="n">
        <v>0</v>
      </c>
      <c r="F2644">
        <f>HYPERLINK("https://www.reddit.com/r/cancer/comments/buhlge/whats_new_in_prostate_cancer/")</f>
        <v/>
      </c>
      <c r="G2644" t="inlineStr">
        <is>
          <t>2019-05-29 10:31:07</t>
        </is>
      </c>
      <c r="H2644" t="inlineStr"/>
    </row>
    <row r="2645">
      <c r="A2645" t="inlineStr">
        <is>
          <t>buinwk</t>
        </is>
      </c>
      <c r="B2645" t="inlineStr">
        <is>
          <t>PET scan tomorrow</t>
        </is>
      </c>
      <c r="C2645" t="inlineStr">
        <is>
          <t>Is it bad that I want cancer and for it be terminal?</t>
        </is>
      </c>
      <c r="D2645" t="n">
        <v>0</v>
      </c>
      <c r="E2645" t="n">
        <v>1</v>
      </c>
      <c r="F2645">
        <f>HYPERLINK("https://www.reddit.com/r/cancer/comments/buinwk/pet_scan_tomorrow/")</f>
        <v/>
      </c>
      <c r="G2645" t="inlineStr">
        <is>
          <t>2019-05-29 11:59:15</t>
        </is>
      </c>
      <c r="H2645" t="inlineStr"/>
    </row>
    <row r="2646">
      <c r="A2646" t="inlineStr">
        <is>
          <t>buk6x8</t>
        </is>
      </c>
      <c r="B2646" t="inlineStr">
        <is>
          <t>I lost my dad to cancer when I was twelve</t>
        </is>
      </c>
      <c r="C2646" t="inlineStr">
        <is>
          <t>My video : https://youtu.be/OveqvC2nGR0
Death is a very sensitive topic and we hardly hear people speak about it in open.
.
Sadly, it won't just go away because we do not talk about it, people die and we would die and that is the sad reality of life.  As to live is to die.
In this video I recount my experience and process of healing through the pain and confusion the loss of my dad to cancer caused me. It is a continuous process and you never really get over it. But the key is re - processing it and re - healing.
I lost my dad during my junior secondary school exam in Nigeria, so it is not surprising to me that this emotions are resurfacing as I take my A level Exams.
Death happens. It happens. 
.
.
I was to post this video after my exams, but then I asked myself what about those people who loose their loved ones during exams / sudden periods of their lives ? Would they wait till after to grieve? And the answer was , No.
..
So I decided to post it today. I will post Part 2 tommorrow as I couldn't record everything on one sitting. 
.
I would love to hear your stories of how you dealt / are still dealing with the death of a loved one. This a safe space and any insensitive comments would be deleted (I do apologise)
.
.
Thank you once again. 
Connect with me on Instagram at
.
https://www.instagram.com/abby_smooth/
.
And check on my just giving page.
https://www.justgiving.com/fundraising/abigail-oluwayomi</t>
        </is>
      </c>
      <c r="D2646" t="n">
        <v>1</v>
      </c>
      <c r="E2646" t="n">
        <v>0</v>
      </c>
      <c r="F2646">
        <f>HYPERLINK("https://www.reddit.com/r/cancer/comments/buk6x8/i_lost_my_dad_to_cancer_when_i_was_twelve/")</f>
        <v/>
      </c>
      <c r="G2646" t="inlineStr">
        <is>
          <t>2019-05-29 14:05:11</t>
        </is>
      </c>
      <c r="H2646" t="inlineStr"/>
    </row>
    <row r="2647">
      <c r="A2647" t="inlineStr">
        <is>
          <t>buklcs</t>
        </is>
      </c>
      <c r="B2647" t="inlineStr">
        <is>
          <t>I really miss my dad and I still can’t comprehend what happened.</t>
        </is>
      </c>
      <c r="C2647" t="inlineStr">
        <is>
          <t>Please remove if venting posts aren’t allowed. I just am really sad and need to talk to strangers anonymously if that’s okay.
My dad was my best friend and my other half pretty much. And my best friend went to the hospital in February for a stomach ache- he had been acting funny for the past few months but kept saying “just stressed out with work”. And a week later, he was diagnosed with stage four liver cancer, and died a week after that.
I didn’t know a lot about cancer before this. I always thought you had a fighting chance, treatments, surgeries, hope. I didn’t know what stage four meant. I didn’t know what metastatic meant. When I got the diagnosis, I thought I would be running charity races to raise money for him.
I didn’t think it could be, “we found cancer, and he is not a candidate for chemo or surgery. Plan your finances. You might have a couple of months with him.” 
I didn’t think it would be as quick as two weeks. 
I didn’t think I wouldn’t get a father daughter dance, he wouldn’t see me run the Boston marathon someday, or help me raise an Australian Shepherd. I know those things seem so silly and of course there are way bigger issues in the world, but those were my dreams and I never pictured my dreams maybe coming true without him being a part of them. I’m gonna be 28 and I’m crying like a child about not being able to call my dad during work breaks. I feel like the biggest loser for how sad I’ve been in the past three months. I’m scared I’m never going to be normal again, and that’s because my dad was the person that always made everything better.
I feel guilty for not knowing how to help him. I’m not a doctor, I’m just a photographer. But I researched everything and was with him for 14 days straight in the hospital. I sometimes wonder if I just missed something. We had great doctors, and I know it was terminal. I guess I still haven’t come to terms with what terminal illness is, and I am just sad about this too because I’m normally a rational person. 
I am just so heartbroken and lost. And I’m sorry for everyone that’s going through this too. I hope you guys find peace.
Cancer is the worst thing in the world.</t>
        </is>
      </c>
      <c r="D2647" t="n">
        <v>69</v>
      </c>
      <c r="E2647" t="n">
        <v>23</v>
      </c>
      <c r="F2647">
        <f>HYPERLINK("https://www.reddit.com/r/cancer/comments/buklcs/i_really_miss_my_dad_and_i_still_cant_comprehend/")</f>
        <v/>
      </c>
      <c r="G2647" t="inlineStr">
        <is>
          <t>2019-05-29 14:37:36</t>
        </is>
      </c>
      <c r="H2647" t="inlineStr"/>
    </row>
    <row r="2648">
      <c r="A2648" t="inlineStr">
        <is>
          <t>buksgd</t>
        </is>
      </c>
      <c r="B2648" t="inlineStr">
        <is>
          <t>A Hope for treating near-surface cancers?</t>
        </is>
      </c>
      <c r="C2648" t="inlineStr">
        <is>
          <t>Saw this scientific publication - 
https://doi.org/10.1016/j.explore.2013.10.004
It is about a non-toxic cancer treatment which is based on disabling a critical enzyme RR in cancer growth. The evidence given with photos seems rather compelling.
Has any one seen or heard about this GEIPE treatment?</t>
        </is>
      </c>
      <c r="D2648" t="n">
        <v>5</v>
      </c>
      <c r="E2648" t="n">
        <v>12</v>
      </c>
      <c r="F2648">
        <f>HYPERLINK("https://www.reddit.com/r/cancer/comments/buksgd/a_hope_for_treating_nearsurface_cancers/")</f>
        <v/>
      </c>
      <c r="G2648" t="inlineStr">
        <is>
          <t>2019-05-29 14:53:50</t>
        </is>
      </c>
      <c r="H2648" t="inlineStr"/>
    </row>
    <row r="2649">
      <c r="A2649" t="inlineStr">
        <is>
          <t>bulns5</t>
        </is>
      </c>
      <c r="B2649" t="inlineStr">
        <is>
          <t>Ways to keep my daughter's spirits up.</t>
        </is>
      </c>
      <c r="C2649" t="inlineStr">
        <is>
          <t>Hello, I just found out yesterday that my 5 year old daughter has been diagnosed with alveolar rhabdomyosarcoma. I didn't ask for the survival rates for her specifically. My understanding from doctor is it isn't good. Between the type of cancer she has and where it is I think means a low survival rate. Just wondering if anyone had any advice on what to do to build lasting memories until she either gets through it or the unspeakable happens. I don't want to spend the next few months doing things only to possibly realize next year if we lose her that I should have done x or y with her. I hope I have gotten all my ugly crying out for now and am just a bit numb. My family is on a limited budget and with all the time taken off work that will make things worse. I would appreciate ideas that don't cost thousands. I do feel like there will be just small things (likely free) I won't think of that will create an enjoyable time for all of us for the time we have left. Any and all advice is appreciated.
Thank you</t>
        </is>
      </c>
      <c r="D2649" t="n">
        <v>19</v>
      </c>
      <c r="E2649" t="n">
        <v>22</v>
      </c>
      <c r="F2649">
        <f>HYPERLINK("https://www.reddit.com/r/cancer/comments/bulns5/ways_to_keep_my_daughters_spirits_up/")</f>
        <v/>
      </c>
      <c r="G2649" t="inlineStr">
        <is>
          <t>2019-05-29 16:08:38</t>
        </is>
      </c>
      <c r="H2649" t="inlineStr"/>
    </row>
    <row r="2650">
      <c r="A2650" t="inlineStr">
        <is>
          <t>bulv84</t>
        </is>
      </c>
      <c r="B2650" t="inlineStr">
        <is>
          <t>I just started chemo</t>
        </is>
      </c>
      <c r="C2650" t="inlineStr">
        <is>
          <t>I just started chemo for stage 1 ovarian cancer. I feel trapped inside my head right now. Does anyone else feel extremely depressed but also really antsy? I feel like I can't sit still but at the same time I have no energy or desire to do anything. I mostly just want my mom.</t>
        </is>
      </c>
      <c r="D2650" t="n">
        <v>11</v>
      </c>
      <c r="E2650" t="n">
        <v>6</v>
      </c>
      <c r="F2650">
        <f>HYPERLINK("https://www.reddit.com/r/cancer/comments/bulv84/i_just_started_chemo/")</f>
        <v/>
      </c>
      <c r="G2650" t="inlineStr">
        <is>
          <t>2019-05-29 16:27:01</t>
        </is>
      </c>
      <c r="H2650" t="inlineStr"/>
    </row>
    <row r="2651">
      <c r="A2651" t="inlineStr">
        <is>
          <t>bumm6f</t>
        </is>
      </c>
      <c r="B2651" t="inlineStr">
        <is>
          <t>I need advice</t>
        </is>
      </c>
      <c r="C2651" t="inlineStr">
        <is>
          <t>My best and only friend may have a brain tumour. We don’t know yet he hasn’t be able to get the tests done yet. I wanted to raise money for him so we could go to the US (we live in Canada) and speed up the process. He’s refusing saying he doesn’t want me to go crazy and that he’s made peace with whatever happens. What do I do? In Canada health care may be free but it’s slow. I know that with cancer time matters very much.</t>
        </is>
      </c>
      <c r="D2651" t="n">
        <v>0</v>
      </c>
      <c r="E2651" t="n">
        <v>6</v>
      </c>
      <c r="F2651">
        <f>HYPERLINK("https://www.reddit.com/r/cancer/comments/bumm6f/i_need_advice/")</f>
        <v/>
      </c>
      <c r="G2651" t="inlineStr">
        <is>
          <t>2019-05-29 17:35:12</t>
        </is>
      </c>
      <c r="H2651" t="inlineStr"/>
    </row>
    <row r="2652">
      <c r="A2652" t="inlineStr">
        <is>
          <t>bumzl7</t>
        </is>
      </c>
      <c r="B2652" t="inlineStr">
        <is>
          <t>Possible oral cancer</t>
        </is>
      </c>
      <c r="C2652" t="inlineStr">
        <is>
          <t>Sorry if this post is redundant, I'm sure it's been made before but I've looked! So here we are. Coming to reddit first because I have no insurance. 
I'm 27, female, and have two small kids. I've been feeling generally bad everyday for awhile now, about a year or so I'd say. No energy, always dizzy when I get up, just generally very lethargic and weak. Weaker than I should be at least. I've always been skinny, but lately I only really have the urge to eat once or twice a day, and cant seem to keep weight on. I've smoked cigarettes since I was 15 (i know, shame on me) I drink occasionally, and use marijuana regularly. 
My teeth have been rotting since I was about 17. There was a year or so where I didn't brush every day like I should have, but ever since then it's all downhill and theyve been crumbling ever since. One of my back molars is a stump, and on the side of my gum I've had a gum boil for at least 3 months. I've read that in rare cases this is a sign of oral cancer. In addition to this I also have a semi translucent white patch on the left side of my tongue, with a slight line/depression in it. It doesnt hurt at all or bleed, but has been there for months and is slowly growing in an uneven shape. 
If you havent guess by now, I'm pretty worried about my chances of having oral cancer but I'm scared to go to a doctor. I have no insurance and still owe our local hospital almost $6,000. 
I also have a family history, as I have leukemia and ovarian/kidney cancer in both of my grandmothers. My hormones have been noticeably out of whack for about a year as well. Almost no sex drive whatsoever and a miscarriage last September. I'm not sure if they're connected.
I was wondering about other people experiences with early mouth cancer, and if this sounds like what anyone else has dealt with. Sorry for the long read and thank you in advance! I wanted to include all information I thought might be pertinent.</t>
        </is>
      </c>
      <c r="D2652" t="n">
        <v>0</v>
      </c>
      <c r="E2652" t="n">
        <v>2</v>
      </c>
      <c r="F2652">
        <f>HYPERLINK("https://www.reddit.com/r/cancer/comments/bumzl7/possible_oral_cancer/")</f>
        <v/>
      </c>
      <c r="G2652" t="inlineStr">
        <is>
          <t>2019-05-29 18:10:49</t>
        </is>
      </c>
      <c r="H2652" t="inlineStr"/>
    </row>
    <row r="2653">
      <c r="A2653" t="inlineStr">
        <is>
          <t>bunbyz</t>
        </is>
      </c>
      <c r="B2653" t="inlineStr">
        <is>
          <t>I shouldn’t have survived</t>
        </is>
      </c>
      <c r="C2653" t="inlineStr">
        <is>
          <t>I shouldn’t have survived. What I went through was for nothing. I have experienced a lifetime of pain and suffering, and it was all for nothing. 
I’ve heard stories of people dying to cancer, but their stories aren’t like mine. They feel the pain and they accept it, they experience the sadness and they force themselves through it, they deal with the pain and they power through their obstacles; but that isn’t who I am. 
I suck. I barely graduated high school. I was alright at sports but nothing special. The only thing I’ve ever had is people skills, and that’s probably only because I’ve got a pretty face. People like me and I don’t know why. 
I’ve thought about suicide every single day for the past decade. I sleep all the time because I don’t have the strength to push forward. I dream about my cancer returning and claiming my life, because that would be the best ending for me. I have no goals anymore, and I have no desires. I lost my goals and desires because of cancer, but I don’t want to find something new to aim for. I want to be in the moment and I want to have fun; but I have nothing I truly want for. 
I’ve had cancer since I was 10 years old. Cancer is the only thing I know. It’s easy to have cancer because during chemo and everything you’re not pressured to do anything. When I did chemo, or radiotherapy. Or when my leg was amputated, or any of the weird shit you gotta do, I didn’t really care. I haven’t really been there for it if that makes sense. I truly feel like I couldn’t care less.
The first time I almost died was when I was 14, I did a pretty weird surgery. They pumped my leg with chemo and my leg got to around 45C which would be 113F. Basically my leg took a beating and there wasn’t really anything I could do about it. I didn’t feel my leg for 6 months. During these months I did chemo and radiotherapy, but those 6 months were some of the best months of my life. I wasn’t in pain anymore because I couldn’t feel my leg. 
Then I almost died to an infection. Then I almost died to a blood infection. Then a couple more times to some more weird surgeries. Then just the chemo taking its toll. Fun experience. 
I’m not here. I don’t care. I drink alcohol because I’m always in pain. I’ve done heroin and coke and e and anything I can get my hands on because I don’t want to be here. 
One of my closest friends mom died a couple years back. My dads brothers wife died a year ago. My aunt died a couple years before that. They had lives, they had families. They’ve experienced the world and they had things to share. They all died because of cancer, and there are countless cases like theirs. I got my diagnosis before they got theirs, and I’ve outlived all of them. They wanted to be here, they had every right to be here; but I’m here and they are not. But I didn’t want this. I don’t want this anymore. I don’t want it or need it or deserve it, I should not be here. 
This disease doesn’t only kill people, it destroys the minds of those still here. The only thing I want for is an ending, any ending. I’m 24 years old and I’ve spent the past 14 years in agonizing pain. I don’t understand why the people who want to fight it die, while my only desire is to have it end. It isn’t right and it isn’t fair. I hate this shit.</t>
        </is>
      </c>
      <c r="D2653" t="n">
        <v>1</v>
      </c>
      <c r="E2653" t="n">
        <v>0</v>
      </c>
      <c r="F2653">
        <f>HYPERLINK("https://www.reddit.com/r/cancer/comments/bunbyz/i_shouldnt_have_survived/")</f>
        <v/>
      </c>
      <c r="G2653" t="inlineStr">
        <is>
          <t>2019-05-29 18:44:06</t>
        </is>
      </c>
      <c r="H2653" t="inlineStr"/>
    </row>
    <row r="2654">
      <c r="A2654" t="inlineStr">
        <is>
          <t>bunc71</t>
        </is>
      </c>
      <c r="B2654" t="inlineStr">
        <is>
          <t>What happens if treatment doesn’t totally get rid of cancer?</t>
        </is>
      </c>
      <c r="C2654" t="inlineStr">
        <is>
          <t>My father has recurrent stage 4 head and neck cancer. He had surgery first to remove the cancer in October 2017. About a year later it was back and came on fierce. Within months he had “more tumours than he could count” in his neck, tongue, and lymph nodes. The one on his tongue was the size of a golf ball. 
He decided to do chemo and radiation to get rid of this second bout of cancer. He was given 2 rounds of chemo and 35-40 radiation treatments. 
After the 2 chemo and 25 ish treatments, the doctor said he was doing really well and the tumours has shrunk a lot. The swelling in his face and neck had decreased significantly and they had to rescan to recalibrate the radiation machine because his neck was so much smaller. 
He finished his last treatment a few days ago, obviously no word yet on how it went. But there’s still a slight bit of swelling along his jawline. 
So I have two questions. 
1. Is swelling still to be expected at this stage? Is it necessarily a tumour?
2. What happens if the cancer treatment reduced the cancer by say, 90%? What happens next? Does he go for more treatment or do they define it as terminal?
I know it’s a tough subject like most of the posts here, but I’d still appreciate honest and straightforward answers!</t>
        </is>
      </c>
      <c r="D2654" t="n">
        <v>5</v>
      </c>
      <c r="E2654" t="n">
        <v>3</v>
      </c>
      <c r="F2654">
        <f>HYPERLINK("https://www.reddit.com/r/cancer/comments/bunc71/what_happens_if_treatment_doesnt_totally_get_rid/")</f>
        <v/>
      </c>
      <c r="G2654" t="inlineStr">
        <is>
          <t>2019-05-29 18:44:42</t>
        </is>
      </c>
      <c r="H2654" t="inlineStr"/>
    </row>
    <row r="2655">
      <c r="A2655" t="inlineStr">
        <is>
          <t>bunjbo</t>
        </is>
      </c>
      <c r="B2655" t="inlineStr">
        <is>
          <t>Have you guys had any success with cancer support groups?</t>
        </is>
      </c>
      <c r="C2655" t="inlineStr">
        <is>
          <t>(F23) Grade 3 anaplastic astocytoma (brain tumor) here! My coping mechanism is to just ignore all my negative feelings about having cancer and be a positivity queen. I’ve told all my friends and family it’s illegal to worry about me or be sad for me. 
I’m recently divorced and living on my own for the first time and I’ve been looking into cancer support groups to have some people to talk to but I’m worried about it being depressing as hell listening to others talk about their cancer. Have you guys found peace in listening to others talk about their struggles? Would it be so totally annoying if I showed up and showered everyone with my positivity?</t>
        </is>
      </c>
      <c r="D2655" t="n">
        <v>7</v>
      </c>
      <c r="E2655" t="n">
        <v>3</v>
      </c>
      <c r="F2655">
        <f>HYPERLINK("https://www.reddit.com/r/cancer/comments/bunjbo/have_you_guys_had_any_success_with_cancer_support/")</f>
        <v/>
      </c>
      <c r="G2655" t="inlineStr">
        <is>
          <t>2019-05-29 19:04:35</t>
        </is>
      </c>
      <c r="H2655" t="inlineStr"/>
    </row>
    <row r="2656">
      <c r="A2656" t="inlineStr">
        <is>
          <t>buoksc</t>
        </is>
      </c>
      <c r="B2656" t="inlineStr">
        <is>
          <t>Just coughed out my lung stent....</t>
        </is>
      </c>
      <c r="C2656" t="inlineStr">
        <is>
          <t>Wtf. Breathing seems good, no pain, still congested but it’s been that way for a while. I popped it into a ziplock baggie and will be taking it in to doc tomorrow morning. The thoracic surgeon reassured me this could not happen and yet it did. Has anyone ever had this happen?</t>
        </is>
      </c>
      <c r="D2656" t="n">
        <v>14</v>
      </c>
      <c r="E2656" t="n">
        <v>8</v>
      </c>
      <c r="F2656">
        <f>HYPERLINK("https://www.reddit.com/r/cancer/comments/buoksc/just_coughed_out_my_lung_stent/")</f>
        <v/>
      </c>
      <c r="G2656" t="inlineStr">
        <is>
          <t>2019-05-29 20:54:10</t>
        </is>
      </c>
      <c r="H2656" t="inlineStr"/>
    </row>
    <row r="2657">
      <c r="A2657" t="inlineStr">
        <is>
          <t>bupew0</t>
        </is>
      </c>
      <c r="B2657" t="inlineStr">
        <is>
          <t>I am a bit worried about my father's smoking habit</t>
        </is>
      </c>
      <c r="C2657" t="inlineStr">
        <is>
          <t>My 50 yrs old father is a smoker (he is smoking since his early 20s). He had 2 benign tumors on his face and hand, solved them, all good. 
You see, what makes me worry is his genes. He had an identical twin sister that died of cancer when she was very young and I presume he can have a predisposition. As I said, he is a smoker
Also, on top of that, he works in construction, inhales a lot of dust, smokes a pack a day and has an unhealthy lifestyle in general. As I said, he had two cases of benign tumor.
My question is: is my father likely to develop pulmonary cancer? I am sorry if this is something that maybe is not that appropriate for this sub, but I would like some othe perspectives. He is kinda un hopeful about giving up cigs or about living a long life and I feel that he would never go to get tested if I gave him the idea</t>
        </is>
      </c>
      <c r="D2657" t="n">
        <v>2</v>
      </c>
      <c r="E2657" t="n">
        <v>6</v>
      </c>
      <c r="F2657">
        <f>HYPERLINK("https://www.reddit.com/r/cancer/comments/bupew0/i_am_a_bit_worried_about_my_fathers_smoking_habit/")</f>
        <v/>
      </c>
      <c r="G2657" t="inlineStr">
        <is>
          <t>2019-05-29 22:34:12</t>
        </is>
      </c>
      <c r="H2657" t="inlineStr"/>
    </row>
    <row r="2658">
      <c r="A2658" t="inlineStr">
        <is>
          <t>bupi7m</t>
        </is>
      </c>
      <c r="B2658" t="inlineStr">
        <is>
          <t>Can it be liver cancer?</t>
        </is>
      </c>
      <c r="C2658" t="inlineStr">
        <is>
          <t>Grandfather went and got an MRI. Docs found a 7 cm mass. They did one test, forgot what it was, but it was recommended to get a second opinion so he got a biopsy last Thursday. Family went to the docs today to find out what it is and they didn't know so they called for a second biopsy.  
My grandpa doesn't drink, not even the communion wine so I assumed it couldn't be liver cancer.  
But even non smokers can still get lung cancer.  
No surprise to anyone why I'm tripping out about this. He acts perfectly fine, he doesn't complain about pain or anything.</t>
        </is>
      </c>
      <c r="D2658" t="n">
        <v>1</v>
      </c>
      <c r="E2658" t="n">
        <v>1</v>
      </c>
      <c r="F2658">
        <f>HYPERLINK("https://www.reddit.com/r/cancer/comments/bupi7m/can_it_be_liver_cancer/")</f>
        <v/>
      </c>
      <c r="G2658" t="inlineStr">
        <is>
          <t>2019-05-29 22:46:26</t>
        </is>
      </c>
      <c r="H2658" t="inlineStr"/>
    </row>
    <row r="2659">
      <c r="A2659" t="inlineStr">
        <is>
          <t>bupnik</t>
        </is>
      </c>
      <c r="B2659" t="inlineStr">
        <is>
          <t>I don’t even recognize myself anymore</t>
        </is>
      </c>
      <c r="C2659" t="inlineStr">
        <is>
          <t>I was laying in bed looking at some old pictures on my phone when I came across a picture of me from spring break 2018, long before my cancer even started to develop. I had forgotten how healthy, fit, happy, and even good looking I was before I got hit with the bomb right before Christmas of 2018. Now when I look in the mirror I’m a complete shell of who I used to be and I barely even recognize myself. I was always kinda pale but now I’m beyond pale in the face and everywhere else. I’ve lost my hair (in multiple places of my body not  just my head). My facial hair won’t grow right(I basically can only grow a neckbeard now), I’ve got three scars from surgeries, two of which are visible. My face is sunken and I’ve gained weight from not working out because my chemo knocks me out for 3-6 days randomly and it’s hard to get a consistent workout schedule. And all of the life and drive that I use to have in my eyes are gone. It’s just beyond frustrating to see all of the changes. I know the chemo is there to help me get rid of this disease, but still I just can’t wait to get it over with so I can finally be able to recognize myself once again.</t>
        </is>
      </c>
      <c r="D2659" t="n">
        <v>54</v>
      </c>
      <c r="E2659" t="n">
        <v>15</v>
      </c>
      <c r="F2659">
        <f>HYPERLINK("https://www.reddit.com/r/cancer/comments/bupnik/i_dont_even_recognize_myself_anymore/")</f>
        <v/>
      </c>
      <c r="G2659" t="inlineStr">
        <is>
          <t>2019-05-29 23:05:35</t>
        </is>
      </c>
      <c r="H2659" t="inlineStr"/>
    </row>
    <row r="2660">
      <c r="A2660" t="inlineStr">
        <is>
          <t>bus3b0</t>
        </is>
      </c>
      <c r="B2660" t="inlineStr">
        <is>
          <t>Ideas or thoughts for a care package for my Aunty going through chemo for lung cancer.</t>
        </is>
      </c>
      <c r="C2660" t="inlineStr">
        <is>
          <t>My Aunty is going through chemo currently, she lives in another part of the country so in lieu of being there in person to support her I wanted to put together a care package for her. If you’ve been through chemo are there any products or things you found helped ease your treatment? Any ideas would be greatly appreciated.</t>
        </is>
      </c>
      <c r="D2660" t="n">
        <v>7</v>
      </c>
      <c r="E2660" t="n">
        <v>6</v>
      </c>
      <c r="F2660">
        <f>HYPERLINK("https://www.reddit.com/r/cancer/comments/bus3b0/ideas_or_thoughts_for_a_care_package_for_my_aunty/")</f>
        <v/>
      </c>
      <c r="G2660" t="inlineStr">
        <is>
          <t>2019-05-30 04:38:37</t>
        </is>
      </c>
      <c r="H2660" t="inlineStr"/>
    </row>
    <row r="2661">
      <c r="A2661" t="inlineStr">
        <is>
          <t>busy7g</t>
        </is>
      </c>
      <c r="B2661" t="inlineStr">
        <is>
          <t>Smoking Kills</t>
        </is>
      </c>
      <c r="C2661" t="inlineStr">
        <is>
          <t>Hello Guys,
This post is to raise awareness of the effects of smoking and how bad it is for your health.  Smoking damages the airways and small air sacs in your lungs. This damage starts early in smokers, and lung function continues to worsen as long as the person smokes. Still, it may take years for the problem to become noticeable enough for lung disease to be diagnosed. 
Please Stop Smoking take it as an advise from a friend</t>
        </is>
      </c>
      <c r="D2661" t="n">
        <v>0</v>
      </c>
      <c r="E2661" t="n">
        <v>2</v>
      </c>
      <c r="F2661">
        <f>HYPERLINK("https://www.reddit.com/r/cancer/comments/busy7g/smoking_kills/")</f>
        <v/>
      </c>
      <c r="G2661" t="inlineStr">
        <is>
          <t>2019-05-30 06:07:47</t>
        </is>
      </c>
      <c r="H2661" t="inlineStr"/>
    </row>
    <row r="2662">
      <c r="A2662" t="inlineStr">
        <is>
          <t>butf62</t>
        </is>
      </c>
      <c r="B2662" t="inlineStr">
        <is>
          <t>I seriously can't do this anymore</t>
        </is>
      </c>
      <c r="C2662" t="inlineStr">
        <is>
          <t>My mum has a genetic defect causing breast and colon cancer to repeatedly come back in the last ten years.
The last couple of years it was especially hard since she was repeatedly diagnosed again after beating it via surgery and chemo therapy just weeks after.
She aches everywhere and the chemo therapy is really taking it's toll on her.
Just now, we had an argument and then she said she is going to die soon. After that she showed us a newly formed lump at the same spot colon cancer was before. 
She told us that she can't do chemo anymore and she would rather die. 
I can't let that happen. I'm just sitting here writing this on auto pilot crying my eyes out.
What can we do to make her fight??? I know in a couple of years it is curable and she is able to keep going until then, if she continues chemo therapy but she doesn't want to! What can we do??? 
I tried getting her to use cannabis or get into the methadone program but she just won't. I need help to help her. Please!</t>
        </is>
      </c>
      <c r="D2662" t="n">
        <v>20</v>
      </c>
      <c r="E2662" t="n">
        <v>29</v>
      </c>
      <c r="F2662">
        <f>HYPERLINK("https://www.reddit.com/r/cancer/comments/butf62/i_seriously_cant_do_this_anymore/")</f>
        <v/>
      </c>
      <c r="G2662" t="inlineStr">
        <is>
          <t>2019-05-30 06:51:33</t>
        </is>
      </c>
      <c r="H2662" t="inlineStr"/>
    </row>
    <row r="2663">
      <c r="A2663" t="inlineStr">
        <is>
          <t>butszq</t>
        </is>
      </c>
      <c r="B2663" t="inlineStr">
        <is>
          <t>Mum has stage four cancer and dad is cheating on stepmum.</t>
        </is>
      </c>
      <c r="C2663" t="inlineStr">
        <is>
          <t>tbh i feel like my life is over, just need some reassurance.</t>
        </is>
      </c>
      <c r="D2663" t="n">
        <v>17</v>
      </c>
      <c r="E2663" t="n">
        <v>8</v>
      </c>
      <c r="F2663">
        <f>HYPERLINK("https://www.reddit.com/r/cancer/comments/butszq/mum_has_stage_four_cancer_and_dad_is_cheating_on/")</f>
        <v/>
      </c>
      <c r="G2663" t="inlineStr">
        <is>
          <t>2019-05-30 07:25:23</t>
        </is>
      </c>
      <c r="H2663" t="inlineStr"/>
    </row>
    <row r="2664">
      <c r="A2664" t="inlineStr">
        <is>
          <t>buv33p</t>
        </is>
      </c>
      <c r="B2664" t="inlineStr">
        <is>
          <t>Both my parents were diagnosed with cancer last week</t>
        </is>
      </c>
      <c r="C2664" t="inlineStr">
        <is>
          <t>I’m currently in the hospital with my dad after having surgery on his lungs for a lump. I dont remember all details pertaining to my dad and his surgery, i just know that he has to keep going back in. Ill know more information once I ask him to reexplain it to me. I just have a hard time recollecting and remembering everything that everyone is telling me now.
My mom is in her early stage of breast cancer but some genetic mutation that runs in Ashkenazi Jews makes it harder to get rid of? Or something to that effect? I don’t remember all the detail but basically this mutation effects her lymph nodes and producing estrogen? And she can’t take a pill that could help her? I don’t know nor do I remember it all. I have absolutely no idea what I’m taking about or saying, I just know this mutation is now a possibility on the table that I will have also if my mom tests positive.
I just remember sitting there and thinking about anything other than a doctor telling me my mom has cancer and she’s only got 2 options if she wants to survive. A double mastectomy or a lymphomectimy or whatever you call it are her two options.  Or, no treatment at all and she can die out in two years.
On top of all i have two siblings with low fucntioning i help take care of. now im taking care of everyone. i havent had time to process or be emotional about any of this. 
If i get emotional, then my siblings get emotional and i need to cater to them before i cater to myself. and my parents dont want to hear me cry and whine about it when they’re the ones about to die, not me.
Any advice on how to deal with all this emotionally would be great.</t>
        </is>
      </c>
      <c r="D2664" t="n">
        <v>17</v>
      </c>
      <c r="E2664" t="n">
        <v>2</v>
      </c>
      <c r="F2664">
        <f>HYPERLINK("https://www.reddit.com/r/cancer/comments/buv33p/both_my_parents_were_diagnosed_with_cancer_last/")</f>
        <v/>
      </c>
      <c r="G2664" t="inlineStr">
        <is>
          <t>2019-05-30 09:16:52</t>
        </is>
      </c>
      <c r="H2664" t="inlineStr"/>
    </row>
    <row r="2665">
      <c r="A2665" t="inlineStr">
        <is>
          <t>buvl0o</t>
        </is>
      </c>
      <c r="B2665" t="inlineStr">
        <is>
          <t>I feel like I've already lost him.</t>
        </is>
      </c>
      <c r="C2665" t="inlineStr">
        <is>
          <t>My partner has PMP cancer. He had it when we first met, and was very upbeat, optimistic, engaging, and open about it. I learned a lot about it just because of how happy and eager he was to answer my (sometimes weird) questions. 
After his last surgery though, and with another one pending, he just seems... Lost, and not at all like himself. I suspect he's depressed, and he does not have any healthy coping tools, though I have finally encouraged him to start counseling. He emotionally withdraws in a way that leaves me carrying the relationship for us to an extent I don't think he fully understands. I carry a lot of the mental load for him as an individual too, while still trying to take care of myself, run my business, and manage my own mental health. His cognitive abilities have also clearly decreased, to the point where he makes weird and often damaging choices because he simply wasn't thinking straight. 
I can only imagine what it's like to be in his shoes, and I want to show him love and support as best I can, but I feel more like a caretaker than a partner these days. I frequently have to remind him that I value things like affection, initiative, expressions of love, etc., but he pretty much just gets better for a few days before we revert back to a state where, if I don't do it, it doesn't get done. If I don't make plans, we don't see each other. If I don't address conflicts with him, they don't get resolved (even when the issue is that he's done something hurtful). If I didn't push him to get into counseling, he wouldn't be in it. I'm the one researching things he can to do address the mental and emotional impact his condition has on him. I'm the one brainstorming ways to fix and strengthen our relationship. I'm the one talking about ways to maintain intimacy. We even came up with a conflict resolution plan that was his idea (inspired by a troubleshooting map thing they do at his work) and we teamed up and tackled it together a month ago... But once it was time to implement it? He owned that it was his job to do the next step the first time a situation arose that we could apply the map to, which was to brainstorm ideas for a resolution, when it came time for us to sit down and go through that, he had nothing. And when it was time for our two week check-in to see how we were feeling about that issue (something HE chose to add to our conflict resolution map), it just... Never happened.
He has openly admitted that his change in demeanor was a major factor in the relationship he was in during his first surgery ending. He regularly expresses a strong desire to do better, and I definitely do give credit where credit is due because there have been some improvements, but overall it just feels like he does not have the bandwidth to be an actual partner right now. I don't have the energy to keep carrying everything by myself, as I already struggle with depression/anxiety, which have worsened in recent months due to some of the hurtful things he's done while not thinking straight. I've also been worn out by the fact that he doesn't seem to really process what I say during conflict anymore, so if I'm trying to reach some level of understanding together, I end up repeating myself like a broken record, trying to get him to see where I'm coming from, or what I'm asking for, and it mostly goes in one ear and out the other. I'm completely burnt out at this point and feel like the only thing I can do is step back from the relationship until he gets at least some handle on the mental impact his health is having on him, but I also struggle with feeling guilty at the idea of abandoning him while he is vulnerable. 
Has anyone else ever been in this position?</t>
        </is>
      </c>
      <c r="D2665" t="n">
        <v>28</v>
      </c>
      <c r="E2665" t="n">
        <v>21</v>
      </c>
      <c r="F2665">
        <f>HYPERLINK("https://www.reddit.com/r/cancer/comments/buvl0o/i_feel_like_ive_already_lost_him/")</f>
        <v/>
      </c>
      <c r="G2665" t="inlineStr">
        <is>
          <t>2019-05-30 09:57:52</t>
        </is>
      </c>
      <c r="H2665" t="inlineStr"/>
    </row>
    <row r="2666">
      <c r="A2666" t="inlineStr">
        <is>
          <t>buw43j</t>
        </is>
      </c>
      <c r="B2666" t="inlineStr">
        <is>
          <t>What do tumors look like on a arm?</t>
        </is>
      </c>
      <c r="C2666" t="inlineStr">
        <is>
          <t>When I search tumors online the pictures all look different. When does a cancerous tumor look like on a arm? I need a picture for my science hw.</t>
        </is>
      </c>
      <c r="D2666" t="n">
        <v>0</v>
      </c>
      <c r="E2666" t="n">
        <v>7</v>
      </c>
      <c r="F2666">
        <f>HYPERLINK("https://www.reddit.com/r/cancer/comments/buw43j/what_do_tumors_look_like_on_a_arm/")</f>
        <v/>
      </c>
      <c r="G2666" t="inlineStr">
        <is>
          <t>2019-05-30 10:40:36</t>
        </is>
      </c>
      <c r="H2666" t="inlineStr"/>
    </row>
    <row r="2667">
      <c r="A2667" t="inlineStr">
        <is>
          <t>buw5il</t>
        </is>
      </c>
      <c r="B2667" t="inlineStr">
        <is>
          <t>Cancer related Thrombotic Microangiopathy</t>
        </is>
      </c>
      <c r="C2667" t="inlineStr">
        <is>
          <t>Anyone With experience? Mom disgnosed With breast cancer 2010, came back 2014 in liver bone. Now in her meniges outside the brain and They also diagnsod her With TMA. (Thrombotic microangiopathy). Specialist professor Said he thinks its gonna work. They are giving her low doses of xeloda. Anyone heard of it? Apperantly is really rare</t>
        </is>
      </c>
      <c r="D2667" t="n">
        <v>3</v>
      </c>
      <c r="E2667" t="n">
        <v>2</v>
      </c>
      <c r="F2667">
        <f>HYPERLINK("https://www.reddit.com/r/cancer/comments/buw5il/cancer_related_thrombotic_microangiopathy/")</f>
        <v/>
      </c>
      <c r="G2667" t="inlineStr">
        <is>
          <t>2019-05-30 10:43:55</t>
        </is>
      </c>
      <c r="H2667" t="inlineStr"/>
    </row>
    <row r="2668">
      <c r="A2668" t="inlineStr">
        <is>
          <t>buwi8v</t>
        </is>
      </c>
      <c r="B2668" t="inlineStr">
        <is>
          <t>How do you get through your 1 year rechecks?</t>
        </is>
      </c>
      <c r="C2668" t="inlineStr">
        <is>
          <t>I feel like I'm about to have a nervous breakdown.</t>
        </is>
      </c>
      <c r="D2668" t="n">
        <v>10</v>
      </c>
      <c r="E2668" t="n">
        <v>22</v>
      </c>
      <c r="F2668">
        <f>HYPERLINK("https://www.reddit.com/r/cancer/comments/buwi8v/how_do_you_get_through_your_1_year_rechecks/")</f>
        <v/>
      </c>
      <c r="G2668" t="inlineStr">
        <is>
          <t>2019-05-30 11:13:10</t>
        </is>
      </c>
      <c r="H2668" t="inlineStr"/>
    </row>
    <row r="2669">
      <c r="A2669" t="inlineStr">
        <is>
          <t>bux9ci</t>
        </is>
      </c>
      <c r="B2669" t="inlineStr">
        <is>
          <t>Cisplatin + Fluorouracil (5-FU) + Cetuximab</t>
        </is>
      </c>
      <c r="C2669" t="inlineStr">
        <is>
          <t>How effective is this treatment for laryngeal cancer? (Squamous cell carcinoma)</t>
        </is>
      </c>
      <c r="D2669" t="n">
        <v>1</v>
      </c>
      <c r="E2669" t="n">
        <v>1</v>
      </c>
      <c r="F2669">
        <f>HYPERLINK("https://www.reddit.com/r/cancer/comments/bux9ci/cisplatin_fluorouracil_5fu_cetuximab/")</f>
        <v/>
      </c>
      <c r="G2669" t="inlineStr">
        <is>
          <t>2019-05-30 12:16:56</t>
        </is>
      </c>
      <c r="H2669" t="inlineStr"/>
    </row>
    <row r="2670">
      <c r="A2670" t="inlineStr">
        <is>
          <t>buxguu</t>
        </is>
      </c>
      <c r="B2670" t="inlineStr">
        <is>
          <t>Three and a half week after diagnosis, my leukemia is in remission!</t>
        </is>
      </c>
      <c r="C2670" t="inlineStr">
        <is>
          <t>I still have stage 4 rectal cancer with a lesion in my liver, but I beat the AML for now. It was quite the shock finding out I had yet another type of cancer, but my amazing team took me from near-death to remission in no time. The liver lesion seems curable so I'm hoping to be in total remission in a few months!</t>
        </is>
      </c>
      <c r="D2670" t="n">
        <v>87</v>
      </c>
      <c r="E2670" t="n">
        <v>23</v>
      </c>
      <c r="F2670">
        <f>HYPERLINK("https://www.reddit.com/r/cancer/comments/buxguu/three_and_a_half_week_after_diagnosis_my_leukemia/")</f>
        <v/>
      </c>
      <c r="G2670" t="inlineStr">
        <is>
          <t>2019-05-30 12:34:57</t>
        </is>
      </c>
      <c r="H2670" t="inlineStr"/>
    </row>
    <row r="2671">
      <c r="A2671" t="inlineStr">
        <is>
          <t>buz0bf</t>
        </is>
      </c>
      <c r="B2671" t="inlineStr">
        <is>
          <t>Here's hoping for the best.</t>
        </is>
      </c>
      <c r="C2671" t="inlineStr">
        <is>
          <t>I've had a growth on left shoulder blade for a while now. Never really thought much of it. Over time it got bigger but it felt normal. Doctor I saw for a chest infection said it looked like a keloid which is a buildup of scar tissue so I never read into it. But over time it kept getting bigger. A few days ago I ended up stumbling upon nodular melanoma. Which doesn't look a lot like what I have but similar. So I did more research and found amelanotic nodular melanoma. Which looks exactly like what I have. Going off the size, If it does turn out to be skin cancer it'll be stage 3 or 4 which means the cancer will or already has spread to other parts of my body. Which would make sense why I'm having more frequent back and chest pains, and why I'm always tired and sleep so much. Wish me luck, my first appointment is June 20th. I'm not one to typically self diagnose and you might think I'm just over reacting, but there's not a lot of things that look like this. So I'm scared.. I dont have health insurance so I have to hope I have enough money to pay for a diagnosis and some sort of treatment. If not the treatment at least I'll know for sure. That way I can spend as much time with my daughter and family that I can if things take a turn for the worse. My condolences to anyone currently diagnosed with cancer.</t>
        </is>
      </c>
      <c r="D2671" t="n">
        <v>5</v>
      </c>
      <c r="E2671" t="n">
        <v>3</v>
      </c>
      <c r="F2671">
        <f>HYPERLINK("https://www.reddit.com/r/cancer/comments/buz0bf/heres_hoping_for_the_best/")</f>
        <v/>
      </c>
      <c r="G2671" t="inlineStr">
        <is>
          <t>2019-05-30 14:45:28</t>
        </is>
      </c>
      <c r="H2671" t="inlineStr"/>
    </row>
    <row r="2672">
      <c r="A2672" t="inlineStr">
        <is>
          <t>buzbq7</t>
        </is>
      </c>
      <c r="B2672" t="inlineStr">
        <is>
          <t>Made it through my hemicolectomy with flying colors!!</t>
        </is>
      </c>
      <c r="C2672" t="inlineStr">
        <is>
          <t>It's been a long stressful ride and I want to thank this community for existing, so many scary nights spent on here reading other people's stories and advice, seeing everyone come together and being so supportive, it really helped make all this less terrifying of an experience. My tumor is gone, the doctor also find a couple lymph nodes he had to remove as well, and my bowel went back together great. Everything went smooth. Now it's time to recover for 6-8 weeks before I start chemo and radiation.  
I wish I was more prepared for how bloated I feel though. It feels like there is so much gas stuck in my stomach. 
Tip for anyone who might be on the fence, if they offer you an epidural, for the love of God take it lol I said no and about 4 hours after I woke up from surgery I wouldve killed to have the epidural lol</t>
        </is>
      </c>
      <c r="D2672" t="n">
        <v>26</v>
      </c>
      <c r="E2672" t="n">
        <v>0</v>
      </c>
      <c r="F2672">
        <f>HYPERLINK("https://www.reddit.com/r/cancer/comments/buzbq7/made_it_through_my_hemicolectomy_with_flying/")</f>
        <v/>
      </c>
      <c r="G2672" t="inlineStr">
        <is>
          <t>2019-05-30 15:14:14</t>
        </is>
      </c>
      <c r="H2672" t="inlineStr"/>
    </row>
    <row r="2673">
      <c r="A2673" t="inlineStr">
        <is>
          <t>buzerl</t>
        </is>
      </c>
      <c r="B2673" t="inlineStr">
        <is>
          <t>My parents are superheroes</t>
        </is>
      </c>
      <c r="C2673" t="inlineStr">
        <is>
          <t>My Mom was diagnosed with Stage IV lung cancer in late 2017. She has gone through oral chemo then switched to regular chemo (forgive me for my low knowledge of terms). Her most recent results show that the chemo is no longer effective. Still she wants to try one more time because she's hopeful it'll buy us more time with her. 
&amp;amp;#x200B;
Then there's my Dad, who is her primary caregiver. He has been through it all with her, really testing those vows they made over forty years ago. I come home as often as I can and when I do, I can see how tired he is. I worry because I'm not sure if anyone is taking care of him and it's hard to do, when you're miles away. 
&amp;amp;#x200B;
I know we'll eventually lose my Mom to cancer, a fate that's inevitable. But my Mom and Dad's beautiful love story is just the sweetest. He is so patient with her, so loving, so gentle. It is so hard for me, really anyone, to see if good out of cancer stories but I just want to put it out there, into the universe. My Mom and Dad are superheroes in my eyes. Mom for her fight and courage, her grace through this all. Dad for his undying love and care.</t>
        </is>
      </c>
      <c r="D2673" t="n">
        <v>41</v>
      </c>
      <c r="E2673" t="n">
        <v>3</v>
      </c>
      <c r="F2673">
        <f>HYPERLINK("https://www.reddit.com/r/cancer/comments/buzerl/my_parents_are_superheroes/")</f>
        <v/>
      </c>
      <c r="G2673" t="inlineStr">
        <is>
          <t>2019-05-30 15:22:01</t>
        </is>
      </c>
      <c r="H2673" t="inlineStr"/>
    </row>
    <row r="2674">
      <c r="A2674" t="inlineStr">
        <is>
          <t>buzr5s</t>
        </is>
      </c>
      <c r="B2674" t="inlineStr">
        <is>
          <t>Looking for info/opinions/stories/experiences with Rituxan.</t>
        </is>
      </c>
      <c r="C2674" t="inlineStr">
        <is>
          <t>Any thoughts or info, good or bad, is appreciated! My mom is deciding on treatment for lymphoma.</t>
        </is>
      </c>
      <c r="D2674" t="n">
        <v>3</v>
      </c>
      <c r="E2674" t="n">
        <v>7</v>
      </c>
      <c r="F2674">
        <f>HYPERLINK("https://www.reddit.com/r/cancer/comments/buzr5s/looking_for_infoopinionsstoriesexperiences_with/")</f>
        <v/>
      </c>
      <c r="G2674" t="inlineStr">
        <is>
          <t>2019-05-30 15:54:22</t>
        </is>
      </c>
      <c r="H2674" t="inlineStr"/>
    </row>
    <row r="2675">
      <c r="A2675" t="inlineStr">
        <is>
          <t>buzxvz</t>
        </is>
      </c>
      <c r="B2675" t="inlineStr">
        <is>
          <t>I’m so tired of chemotherapy</t>
        </is>
      </c>
      <c r="C2675" t="inlineStr">
        <is>
          <t>I’ve been taking chemo since the end of 7th grade and I’m in 11th grade now. I know it doesn’t sound like a long time but I’m so done with it. I hate all the painful side effects and the sleepless nights it’s caused. The worst part is my doctors told me I’ll have to take my chemo indefinitely as of now.</t>
        </is>
      </c>
      <c r="D2675" t="n">
        <v>25</v>
      </c>
      <c r="E2675" t="n">
        <v>26</v>
      </c>
      <c r="F2675">
        <f>HYPERLINK("https://www.reddit.com/r/cancer/comments/buzxvz/im_so_tired_of_chemotherapy/")</f>
        <v/>
      </c>
      <c r="G2675" t="inlineStr">
        <is>
          <t>2019-05-30 16:11:35</t>
        </is>
      </c>
      <c r="H2675" t="inlineStr"/>
    </row>
    <row r="2676">
      <c r="A2676" t="inlineStr">
        <is>
          <t>bv0ak3</t>
        </is>
      </c>
      <c r="B2676" t="inlineStr">
        <is>
          <t>My (19M) Girlfriend (20F) Younger Sister Diagnosed With Cancer</t>
        </is>
      </c>
      <c r="C2676" t="inlineStr">
        <is>
          <t>So I’m (19M) and I recently learned my (20F) girlfriend’s sister has cancer and her father has dialysis and her family is struggling financially and I don’t know how I can help her. What should I do?
Hey I’m really stuck right now like shit I dunno what to do. I really need some help. So my girlfriend and I have been together for 6 months now and I unfortunately found this out recently but I guess she never wanted to mention it to me because it could’ve resulted I’m it being a real burden to me regarding her situation with her family. 
Essentially her sister has been diagnosed with cancer I cannot remember what kind specifically but I’d have to ask her, and her dad has dialysis. Eventually when she told me I felt awful and wanted to help her and her family. Mainly because I can’t imagine having to lose a father and a sister so soon, but I can relate to what’s like to lose family members I lost 7 within the span of three years, while almost losing my father as well. Emotional support I can do, however what makes this even harder is the fact that her family is struggling financially right now paying for medicine for the both of them. Financially bad that she has had to sell a lot of her possessions and has been working overtime and  in cases like this. This is why I’m trying to crowd fund her younger sisters treatment. I love her so much and I hate seeing her like this. It’s like watching someone being slowly broken down day by day.
Any support would be extremely appreciated seriously, it would mean a lot to help her family. If you want to help dm please. I hate to see her and her family like this</t>
        </is>
      </c>
      <c r="D2676" t="n">
        <v>0</v>
      </c>
      <c r="E2676" t="n">
        <v>0</v>
      </c>
      <c r="F2676">
        <f>HYPERLINK("https://www.reddit.com/r/cancer/comments/bv0ak3/my_19m_girlfriend_20f_younger_sister_diagnosed/")</f>
        <v/>
      </c>
      <c r="G2676" t="inlineStr">
        <is>
          <t>2019-05-30 16:44:39</t>
        </is>
      </c>
      <c r="H2676" t="inlineStr"/>
    </row>
    <row r="2677">
      <c r="A2677" t="inlineStr">
        <is>
          <t>bv161j</t>
        </is>
      </c>
      <c r="B2677" t="inlineStr">
        <is>
          <t>Tonsil cancer?</t>
        </is>
      </c>
      <c r="C2677" t="inlineStr">
        <is>
          <t>I just found a lump on one of my tonsils and I don't know what a tonsil stone would feel/look like on it. It doesn't hurt and I don't think my tonsils is swollen I cannot see it when my mouth is open anyway</t>
        </is>
      </c>
      <c r="D2677" t="n">
        <v>0</v>
      </c>
      <c r="E2677" t="n">
        <v>1</v>
      </c>
      <c r="F2677">
        <f>HYPERLINK("https://www.reddit.com/r/cancer/comments/bv161j/tonsil_cancer/")</f>
        <v/>
      </c>
      <c r="G2677" t="inlineStr">
        <is>
          <t>2019-05-30 18:09:03</t>
        </is>
      </c>
      <c r="H2677" t="inlineStr"/>
    </row>
    <row r="2678">
      <c r="A2678" t="inlineStr">
        <is>
          <t>bv161v</t>
        </is>
      </c>
      <c r="B2678" t="inlineStr">
        <is>
          <t>My mom was told she had a cancerous tumor last November</t>
        </is>
      </c>
      <c r="C2678" t="inlineStr">
        <is>
          <t>She didn’t believe it and the pain just persisted and got worse, all the while she kept saying it was just a fissure, she was in complete denial in my opinion but anyhow she went to get a colonoscopy done today and they confirmed she does in fact have a fissure but also yes a cancerous tumor, she called me and I can tell she’s scared, she’s just now realizing the truth, tomorrow she finds out if it’s contained or if it spread, she gave it six months to do so probably longer. I just don’t have anyone to talk to and needed to vent, I think their gonna finally surgery and fix both issues but I’m so scared about it spreading, I guess if anyone has any information on the odds of cancerous tumors spreading feel free to chime me in, I can’t lose her.</t>
        </is>
      </c>
      <c r="D2678" t="n">
        <v>14</v>
      </c>
      <c r="E2678" t="n">
        <v>5</v>
      </c>
      <c r="F2678">
        <f>HYPERLINK("https://www.reddit.com/r/cancer/comments/bv161v/my_mom_was_told_she_had_a_cancerous_tumor_last/")</f>
        <v/>
      </c>
      <c r="G2678" t="inlineStr">
        <is>
          <t>2019-05-30 18:09:04</t>
        </is>
      </c>
      <c r="H2678" t="inlineStr"/>
    </row>
    <row r="2679">
      <c r="A2679" t="inlineStr">
        <is>
          <t>bv1ezi</t>
        </is>
      </c>
      <c r="B2679" t="inlineStr">
        <is>
          <t>Im angry</t>
        </is>
      </c>
      <c r="C2679" t="inlineStr">
        <is>
          <t>It's not fair. You worked your whole life to give us a decent life- and now when it comes time for you to live yours you are dying. Im tired of hearing "hes a very sick man" and "maybe we should think of hospice care." I know its the reality in the back of my mind but I do not want to hear it. I just dont understand why it had to come to this. He still is fighting. He still thinks there is something to fight for, and who am I to say there isn't, but that is the worst part. How do you tell someone all their fight, all their will doesn't matter and will just prolong their suffering. How do you tell someone who wants so badly to live that they are dying and there is absolutely nothing they can do about it? How do you take away the hope they are fighting and living for and just have them sit around and wait for the moment? The moment that ends it all. How are you supposed to stay happy at the ends of your life when you are just waiting to die? At times I think it would be easier for him just to pass, but then the old him comes back in moments and I can't imagine a world without him. It just isn't fair- not to us and ESPECIALLY not to him. I am just so angry- angry with life, angry with God. I just needed to vent.</t>
        </is>
      </c>
      <c r="D2679" t="n">
        <v>14</v>
      </c>
      <c r="E2679" t="n">
        <v>10</v>
      </c>
      <c r="F2679">
        <f>HYPERLINK("https://www.reddit.com/r/cancer/comments/bv1ezi/im_angry/")</f>
        <v/>
      </c>
      <c r="G2679" t="inlineStr">
        <is>
          <t>2019-05-30 18:33:57</t>
        </is>
      </c>
      <c r="H2679" t="inlineStr"/>
    </row>
    <row r="2680">
      <c r="A2680" t="inlineStr">
        <is>
          <t>bv1xew</t>
        </is>
      </c>
      <c r="B2680" t="inlineStr">
        <is>
          <t>What would you have wished you had when going through radiation and chemo?</t>
        </is>
      </c>
      <c r="C2680" t="inlineStr">
        <is>
          <t>My friend found out she has a rare blood disease and now has to do radiation and chemo. I want to make her a gift basket of things that will be useful for her during this time in her life. Any thoughts?</t>
        </is>
      </c>
      <c r="D2680" t="n">
        <v>8</v>
      </c>
      <c r="E2680" t="n">
        <v>11</v>
      </c>
      <c r="F2680">
        <f>HYPERLINK("https://www.reddit.com/r/cancer/comments/bv1xew/what_would_you_have_wished_you_had_when_going/")</f>
        <v/>
      </c>
      <c r="G2680" t="inlineStr">
        <is>
          <t>2019-05-30 19:23:33</t>
        </is>
      </c>
      <c r="H2680" t="inlineStr"/>
    </row>
    <row r="2681">
      <c r="A2681" t="inlineStr">
        <is>
          <t>bv200v</t>
        </is>
      </c>
      <c r="B2681" t="inlineStr">
        <is>
          <t>First Treatment Jitters</t>
        </is>
      </c>
      <c r="C2681" t="inlineStr">
        <is>
          <t>Tomorrow is my first Opdivo treatment and the jitters are starting to set in. I’ve read nearly every post on here regarding this particular treatment and although I’m positive and remaining hopeful I’m still nervous of what to expect. 
A little back story of what I have...diagnosed with stage 4 melanoma and already have ulcerative colitis. I started last year with a surgery to remove the melanoma from my shoulder and under my armpit. Scans were crystal clear for nearly a year until this past February where my liver started to show lesions. It has since moved to my face, armpit (again), chest and back. 
I refuse for this to be an end all for me and although it may be attacking my body I refuse to let it attack my spirit. My doctor is hopeful about this course of treatment and so am I even after he told me that this will be something I will deal with for the rest of my life.
So tell me what’s your story? Course of action? Success? Words of wisdom? 
To everyone out there suffering from this or any other illnesses out there keep your head up and don’t let the disease break your spirit. Fight the best fight you can. I know you can pull through this in the end!</t>
        </is>
      </c>
      <c r="D2681" t="n">
        <v>9</v>
      </c>
      <c r="E2681" t="n">
        <v>16</v>
      </c>
      <c r="F2681">
        <f>HYPERLINK("https://www.reddit.com/r/cancer/comments/bv200v/first_treatment_jitters/")</f>
        <v/>
      </c>
      <c r="G2681" t="inlineStr">
        <is>
          <t>2019-05-30 19:30:47</t>
        </is>
      </c>
      <c r="H2681" t="inlineStr"/>
    </row>
    <row r="2682">
      <c r="A2682" t="inlineStr">
        <is>
          <t>bv32wd</t>
        </is>
      </c>
      <c r="B2682" t="inlineStr">
        <is>
          <t>Lymphoma causing burning instead of itching? How common is this?</t>
        </is>
      </c>
      <c r="C2682" t="inlineStr">
        <is>
          <t>Before my diagnosis the fronts of the bottom of my legs would feel really hot, and even burn, especially when they touched my blankets in bed. But I didn't have itching.</t>
        </is>
      </c>
      <c r="D2682" t="n">
        <v>3</v>
      </c>
      <c r="E2682" t="n">
        <v>1</v>
      </c>
      <c r="F2682">
        <f>HYPERLINK("https://www.reddit.com/r/cancer/comments/bv32wd/lymphoma_causing_burning_instead_of_itching_how/")</f>
        <v/>
      </c>
      <c r="G2682" t="inlineStr">
        <is>
          <t>2019-05-30 21:25:29</t>
        </is>
      </c>
      <c r="H2682" t="inlineStr"/>
    </row>
    <row r="2683">
      <c r="A2683" t="inlineStr">
        <is>
          <t>bv3l7f</t>
        </is>
      </c>
      <c r="B2683" t="inlineStr">
        <is>
          <t>Chemo fog is finally starting to lift and I’m having some revelations</t>
        </is>
      </c>
      <c r="C2683" t="inlineStr">
        <is>
          <t>Thought I would post to see if anyone else could relate. This is basically one long vent. 
I know a lot of cancer “survivors”—it’s a cringe term *to me*—have stated that they hate being told they’re brave. Or that they’re so strong. Or that they’re a fighter. I know this isn’t a unique thought of my own. I just hate when friends leave comments on social media saying those things, or when my sister posts a photo of us, and I happen to be bald, the whole comment section turns into tagging me and saying how beautiful I am and I have such a nice shaped head for chemo. Thanks? 
I couldn’t figure out why it pissed me off so much to see those comments. And then I realized today when I posted a collage showing hair growth what upset me. I thought how fast my hair suddenly started growing was interesting, and there are a lot of people I know who haven’t seen me in a while, so I thought I’d update. I regret it now. My whole comment section is full of the same thing: you’re so brave, you’re so positive!, way to look at things positively in such a scary fight!, etc etc. Just a million ways of saying the same thing, and all of it saying nothing. 
I just went to show my sister the ONE funny comment a high school friend left on the post, and I told her the rest of the comments pissed me off. 
I don’t feel brave now and I didn’t during chemo. I didn’t feel like I was battling anything. I didn’t feel like I had the heart of a lion, full of courage. I didn’t feel strong. I was at the weakest I have ever been during chemo. And I’m still pretty weak. I have to ask people to help me open jars now and lift boxes at work. I’m the youngest in my department and now I have to ask everyone else to grab heavy equipment for me. 
I **was** a strong and independent woman before chemo. I still feel that deep down, in character I guess, but physically, I am weak and dependent. In all honesty, going through chemo wasn’t brave. __*I felt like a rat. A lab rat that was trapped, and the only way out was to let the doctors experiment on me.*__ That’s not noble or courageous. That’s just allowing things to happen to you. What was my other choice? Literally: just hope that the cancer wouldn’t come back. And surprise! I’m still there now, 3 months out of chemo. Hoping and praying that the cancer doesn’t show up in my lungs or brain. 
What bravery is there when I cry into my pillow, asking God to just take away the pain, the anxiety, to lift the chemo fog? What battle am I fighting when I agreed to have these chemicals put in my body and I’m crumpled on my bed, screaming and begging for the bone pains to go away? What courage is there in going back to work and trying to pretend that I’m okay and everything is fine and I haven’t been absolutely ravaged physically and mentally?</t>
        </is>
      </c>
      <c r="D2683" t="n">
        <v>67</v>
      </c>
      <c r="E2683" t="n">
        <v>37</v>
      </c>
      <c r="F2683">
        <f>HYPERLINK("https://www.reddit.com/r/cancer/comments/bv3l7f/chemo_fog_is_finally_starting_to_lift_and_im/")</f>
        <v/>
      </c>
      <c r="G2683" t="inlineStr">
        <is>
          <t>2019-05-30 22:24:55</t>
        </is>
      </c>
      <c r="H2683" t="inlineStr"/>
    </row>
    <row r="2684">
      <c r="A2684" t="inlineStr">
        <is>
          <t>bv3ugp</t>
        </is>
      </c>
      <c r="B2684" t="inlineStr">
        <is>
          <t>My mom will be in excruciating pain for the rest of her life.</t>
        </is>
      </c>
      <c r="C2684" t="inlineStr">
        <is>
          <t>January 31st. Diagnosed with Stage 4 bile duct cancer.
Started chemo immediately.
She feels fine. 
Didn't even lose a hair.
&amp;amp;#x200B;
April 3rd. CT results are back. The chemo didn't work.
Started salvage treatment immediately. Folfiri.
She feels discomfort in her abdomen.
1 Tylenol a day does the trick.
&amp;amp;#x200B;
April 17th. Second dose of Folfiri.
She feels a stabbing pain, but it goes away.
5mg of oxycontin should do.
&amp;amp;#x200B;
April 27st. She can't stand up.
Folfiri is causing blood clots.
They discharge her from the ER with medication.
&amp;amp;#x200B;
May 17th. She's in the ER again.
Low magnesium leading to low red blood cell count.
Get a blood infusion and an infection.
Second blood infusion.
Now she's bloated and can't eat.
Doctor wants to discharge her but we'll see.
May 20th. She stopped responding to texts.
She hasn't eaten in days.
CT scans and ultrasounds show that there's a blockage.
May 25th. The oncologist gives up.
She's in constant pain. They're giving her morphine.
Oncologist recommends hospice.
The GI doctor wants to try one more thing.
May 30th. A stent is put in her stomach.
She can't eat anything but liquids.
Every waking moment is pain.
She won't stop crying for help.
She's the size of her skeleton.
They use morphine and fentanyl to knock her out.
May 31st.
My mom will be in excruciating pain for the rest of her life.</t>
        </is>
      </c>
      <c r="D2684" t="n">
        <v>36</v>
      </c>
      <c r="E2684" t="n">
        <v>9</v>
      </c>
      <c r="F2684">
        <f>HYPERLINK("https://www.reddit.com/r/cancer/comments/bv3ugp/my_mom_will_be_in_excruciating_pain_for_the_rest/")</f>
        <v/>
      </c>
      <c r="G2684" t="inlineStr">
        <is>
          <t>2019-05-30 22:56:06</t>
        </is>
      </c>
      <c r="H2684" t="inlineStr"/>
    </row>
    <row r="2685">
      <c r="A2685" t="inlineStr">
        <is>
          <t>bv4p50</t>
        </is>
      </c>
      <c r="B2685" t="inlineStr">
        <is>
          <t>I remembered something!</t>
        </is>
      </c>
      <c r="C2685" t="inlineStr">
        <is>
          <t>This morning my wife asked me if I can remember what I did 6 years ago tomorrow...
I remembered that I asked her to marry me 6 years ago tomorrow.
It might be something small for most people, but my memory is shot. I can’t remember most things. Even forgot my phone number, and remembering to drink my meds is a huge issue. Even a pill holder does not help much.
So I hope I remember tomorrow. Chemo screwed my memory big time.</t>
        </is>
      </c>
      <c r="D2685" t="n">
        <v>33</v>
      </c>
      <c r="E2685" t="n">
        <v>11</v>
      </c>
      <c r="F2685">
        <f>HYPERLINK("https://www.reddit.com/r/cancer/comments/bv4p50/i_remembered_something/")</f>
        <v/>
      </c>
      <c r="G2685" t="inlineStr">
        <is>
          <t>2019-05-31 00:49:09</t>
        </is>
      </c>
      <c r="H2685" t="inlineStr"/>
    </row>
    <row r="2686">
      <c r="A2686" t="inlineStr">
        <is>
          <t>bv5xqz</t>
        </is>
      </c>
      <c r="B2686" t="inlineStr">
        <is>
          <t>Cancer hospital in Chandigarh | Grecian Hospital</t>
        </is>
      </c>
      <c r="C2686" t="inlineStr">
        <is>
          <t>Grecian Hospital is [***Best Oncology Specialist Hospital in Chandigarh***](https://www.grecianhospital.com/oncology-specialist-doctor-chandigarh/) and having [***Best Oncology Specialist Doctor in Chandigarh***](https://www.grecianhospital.com/oncology-specialist-doctor-chandigarh/).  Meet our [***Best Cancer Surgeon in Mohali***](https://www.grecianhospital.com/oncology-specialist-doctor-chandigarh/) for Best Cancer Treatment at Grecian Hospital Mohali. We've a best advanced technology to treat cancer. Please visit Grecian Hospital one of the [***Best Cancer Treatment Hospital in India***](https://www.grecianhospital.com/oncology-specialist-doctor-chandigarh/).</t>
        </is>
      </c>
      <c r="D2686" t="n">
        <v>0</v>
      </c>
      <c r="E2686" t="n">
        <v>0</v>
      </c>
      <c r="F2686">
        <f>HYPERLINK("https://www.reddit.com/r/cancer/comments/bv5xqz/cancer_hospital_in_chandigarh_grecian_hospital/")</f>
        <v/>
      </c>
      <c r="G2686" t="inlineStr">
        <is>
          <t>2019-05-31 03:38:45</t>
        </is>
      </c>
      <c r="H2686" t="inlineStr"/>
    </row>
    <row r="2687">
      <c r="A2687" t="inlineStr">
        <is>
          <t>bv6ch5</t>
        </is>
      </c>
      <c r="B2687" t="inlineStr">
        <is>
          <t>My Grandmother's Pancreatic Cancer Fight Timeline</t>
        </is>
      </c>
      <c r="C2687" t="inlineStr">
        <is>
          <t>My grandmother has been diagnosed with Pancreatic Cancer recently. This timeline will be representing her fight against this very dangerous and unfortunate disease.
Since she's at Korea, I will be adjusting the dates to American time.
Thursday, May 23, 2019 - My grandmother has been hospitalized because of extreme stomach pain. No treatment has been given but medicine was prescribed.
Friday, May 24, 2019 - She has been released from the hospital as the doctors have noted that she seemed to be doing just fine the next day.
Sunday, May 26, 2019 - Second hospitalization at a second hospital because of stomach pain. The doctor has suspected that she may have Pancreatic Cancer and told the family to expect it to be Pancreatic Cancer. My family still held onto hope. She got an MRI and results were going to come in the Thursday night of that week.
Thursday, May 31, 2019 - MRI results have come in. The doctor has confirmed that she has Pancreatic Cancer and the tumor has spread to her live and he has given her 8 months to live. Surgery is not an option and she will start the  treatment process immediately on Monday. 
I don't know how detailed I can make these timelike updates because of the distance but I will do my best to keep it as detailed as possible.</t>
        </is>
      </c>
      <c r="D2687" t="n">
        <v>8</v>
      </c>
      <c r="E2687" t="n">
        <v>2</v>
      </c>
      <c r="F2687">
        <f>HYPERLINK("https://www.reddit.com/r/cancer/comments/bv6ch5/my_grandmothers_pancreatic_cancer_fight_timeline/")</f>
        <v/>
      </c>
      <c r="G2687" t="inlineStr">
        <is>
          <t>2019-05-31 04:27:36</t>
        </is>
      </c>
      <c r="H2687" t="inlineStr"/>
    </row>
    <row r="2688">
      <c r="A2688" t="inlineStr">
        <is>
          <t>bv6sgn</t>
        </is>
      </c>
      <c r="B2688" t="inlineStr">
        <is>
          <t>AVM Biotechnology: Bringing Breakthrough Cell Therapy Treatments to Frail Patients by Replacing Toxic Chemotherapy with a Better Alternative</t>
        </is>
      </c>
      <c r="C2688" t="inlineStr">
        <is>
          <t xml:space="preserve"> 
**Bringing Breakthrough Cell Therapy Treatments to Frail Patients by Replacing Toxic Chemotherapy with a Better Alternative**
According to the American Cancer Society, children treated with chemotherapy have 3 to 13 times increased risk of getting another cancer within a span of 20 to 30 years of treatment. Chemotherapy remains widely accepted and standard regimen for children with cancer. Developed as alternative to chemotherapy over the past decade, treatments like Protein Kinase Inhibitors, and new Biologic Antibodies have been disappointment in the community setting and 41% of blood cancer treatments stop taking these treatment due to physical &amp;amp; financial toxicities
[AVM Biotechnologies brought Cell Therapy treatments to frail patients by replacing toxic chemotherapy with better alternative](https://www.mirrorreview.com/avm-biotechnology-cell-therapy-treatment/)</t>
        </is>
      </c>
      <c r="D2688" t="n">
        <v>1</v>
      </c>
      <c r="E2688" t="n">
        <v>0</v>
      </c>
      <c r="F2688">
        <f>HYPERLINK("https://www.reddit.com/r/cancer/comments/bv6sgn/avm_biotechnology_bringing_breakthrough_cell/")</f>
        <v/>
      </c>
      <c r="G2688" t="inlineStr">
        <is>
          <t>2019-05-31 05:15:48</t>
        </is>
      </c>
      <c r="H2688" t="inlineStr"/>
    </row>
    <row r="2689">
      <c r="A2689" t="inlineStr">
        <is>
          <t>bv6wza</t>
        </is>
      </c>
      <c r="B2689" t="inlineStr">
        <is>
          <t>Looking for info on Sunitinib (Sutent) chemo treament</t>
        </is>
      </c>
      <c r="C2689" t="inlineStr">
        <is>
          <t>I have recently found out that the tumor they found on my kindey has spread after my leproscopy. Doctor has decided that chemo treatment is the best option, and is going to start me on Sunitinib in the next 2 weeks. I've read alot of online info about the treatment, and have gotten some good info from my oncology nurse, but I'm wondering if anyone would be willing to share some info about their experience with the treatment. As you can imagine, I'm a little nervous about the whole thing</t>
        </is>
      </c>
      <c r="D2689" t="n">
        <v>6</v>
      </c>
      <c r="E2689" t="n">
        <v>4</v>
      </c>
      <c r="F2689">
        <f>HYPERLINK("https://www.reddit.com/r/cancer/comments/bv6wza/looking_for_info_on_sunitinib_sutent_chemo/")</f>
        <v/>
      </c>
      <c r="G2689" t="inlineStr">
        <is>
          <t>2019-05-31 05:28:49</t>
        </is>
      </c>
      <c r="H2689" t="inlineStr"/>
    </row>
    <row r="2690">
      <c r="A2690" t="inlineStr">
        <is>
          <t>bv7r3b</t>
        </is>
      </c>
      <c r="B2690" t="inlineStr">
        <is>
          <t>I am absolutely distraught. My mom may have cancer.</t>
        </is>
      </c>
      <c r="C2690" t="inlineStr">
        <is>
          <t>I am sorry if the whole text sounds disorganized. I have no idea where to start.
So, my mom has had pain in her lower back for the last 2ish months. She has a history of herniated vertebrae, so she went straight to a neurologist and a rehabilitation therapist. After 2 months of conservative treatment with little to no effect, she had an MRI. The MRI confirmed the herniated vertebrae, but also found a soft-tissue mass of undetermined origin that presses against one of the nerves
A day later (today) we went to the best neurosurgeon in my country and he immediately prescribed a CT scan with 3D reconstruction and a biopsy for next week.
I openly asked him: “Professor, any chance the tumor is benign?”
He said: “Yes, but let’s not speculate and I cannot commit to any diagnosis without a biopsy.” He seemed quite stern and reserved, which truly concerned me.
I came home and I basically fell apart. I could not stop crying for hours. My mom is my closest person. She’s my world, my rock, my best. She’s the kindest person (57y.o.) and the person who would stand up for me always. She goes to annual medical check-ups that include full blood counts, x-rays and everything else (ultrasound of the whole body, eye check, etc). She went in last November and came back perfectly healthy. Absolutely no indication of anything malignant.
The whole waiting game basically kills me. If I have to live in the dark for another 2 weeks, I will just disintegrate entirely. I sleep for 2-3 hours a night, maybe one more hour during the day. I eat meagerly once a day. I love my mom to death and would trade anything I have to live through that situation in her stead.
Please, please...anyone who’s gone through this. How did you hold up? How do you keep your hopes up when you feel the dark hanging over your shoulder? How do you offer moral and emotional support to your closest people when your heart breaks piece by piece every second? 
Anyone who’s had a similar fear, please share your experience. And please keep my mom and my family in your prayers!</t>
        </is>
      </c>
      <c r="D2690" t="n">
        <v>7</v>
      </c>
      <c r="E2690" t="n">
        <v>6</v>
      </c>
      <c r="F2690">
        <f>HYPERLINK("https://www.reddit.com/r/cancer/comments/bv7r3b/i_am_absolutely_distraught_my_mom_may_have_cancer/")</f>
        <v/>
      </c>
      <c r="G2690" t="inlineStr">
        <is>
          <t>2019-05-31 06:49:35</t>
        </is>
      </c>
      <c r="H2690" t="inlineStr"/>
    </row>
    <row r="2691">
      <c r="A2691" t="inlineStr">
        <is>
          <t>bv7wot</t>
        </is>
      </c>
      <c r="B2691" t="inlineStr">
        <is>
          <t>Cancer are for not cool people</t>
        </is>
      </c>
      <c r="C2691" t="inlineStr">
        <is>
          <t>Cancer is not hard to cure, just grow some fucking hair...problem solved</t>
        </is>
      </c>
      <c r="D2691" t="n">
        <v>1</v>
      </c>
      <c r="E2691" t="n">
        <v>0</v>
      </c>
      <c r="F2691">
        <f>HYPERLINK("https://www.reddit.com/r/cancer/comments/bv7wot/cancer_are_for_not_cool_people/")</f>
        <v/>
      </c>
      <c r="G2691" t="inlineStr">
        <is>
          <t>2019-05-31 07:03:33</t>
        </is>
      </c>
      <c r="H2691" t="inlineStr"/>
    </row>
    <row r="2692">
      <c r="A2692" t="inlineStr">
        <is>
          <t>bv8hd4</t>
        </is>
      </c>
      <c r="B2692" t="inlineStr">
        <is>
          <t>Recovery time from chemo?</t>
        </is>
      </c>
      <c r="C2692" t="inlineStr">
        <is>
          <t>Wondering how long it took for side effects of chemo, specifically Taxol, to wear off? I understand some are permanent, but how long did nausea, no appetite, fatigue, etc... lasted. I researched it a bit, 2-4 weeks is about the norm. 
My dad is going through treatment again, it’s been about 5 years since first treatment of chemo and   radiation. He tolerated chemo very well compared to now. I assumed this round was going to be harder on him, just not this bad. 
Any info or experiences would be helpful. Thanks very much!</t>
        </is>
      </c>
      <c r="D2692" t="n">
        <v>13</v>
      </c>
      <c r="E2692" t="n">
        <v>9</v>
      </c>
      <c r="F2692">
        <f>HYPERLINK("https://www.reddit.com/r/cancer/comments/bv8hd4/recovery_time_from_chemo/")</f>
        <v/>
      </c>
      <c r="G2692" t="inlineStr">
        <is>
          <t>2019-05-31 07:52:27</t>
        </is>
      </c>
      <c r="H2692" t="inlineStr"/>
    </row>
    <row r="2693">
      <c r="A2693" t="inlineStr">
        <is>
          <t>bv8uf6</t>
        </is>
      </c>
      <c r="B2693" t="inlineStr">
        <is>
          <t>Hi Reddit, a few questions.</t>
        </is>
      </c>
      <c r="C2693" t="inlineStr">
        <is>
          <t>Earlier today my Dad was diagnosed with Cancer in the Oesophagus (the muscly tube from throat to stomach if I remember correctly)
It hasn’t spread to any other organs, so we think it’s stage 2. My dad is 60, and I’d like some brutal honesty: what’s my dad’s chances of survival, assuming he does chemo and surgery?</t>
        </is>
      </c>
      <c r="D2693" t="n">
        <v>3</v>
      </c>
      <c r="E2693" t="n">
        <v>2</v>
      </c>
      <c r="F2693">
        <f>HYPERLINK("https://www.reddit.com/r/cancer/comments/bv8uf6/hi_reddit_a_few_questions/")</f>
        <v/>
      </c>
      <c r="G2693" t="inlineStr">
        <is>
          <t>2019-05-31 08:22:06</t>
        </is>
      </c>
      <c r="H2693" t="inlineStr"/>
    </row>
    <row r="2694">
      <c r="A2694" t="inlineStr">
        <is>
          <t>bv9wea</t>
        </is>
      </c>
      <c r="B2694" t="inlineStr">
        <is>
          <t>Looking for a university-affiliated oncologist in Greenville, SC area.</t>
        </is>
      </c>
      <c r="C2694" t="inlineStr">
        <is>
          <t>So I recently moved to Greenville, SC, after completing treatment for sarcoma in South Florida through UM Sylvester. Was wondering if anyone might happen to be able to recommend a similar type of university-affiliated cancer center for my after-care scans, checkups, etc. in or around Greenville. Does Clemson have a cancer center? Thanks!</t>
        </is>
      </c>
      <c r="D2694" t="n">
        <v>4</v>
      </c>
      <c r="E2694" t="n">
        <v>0</v>
      </c>
      <c r="F2694">
        <f>HYPERLINK("https://www.reddit.com/r/cancer/comments/bv9wea/looking_for_a_universityaffiliated_oncologist_in/")</f>
        <v/>
      </c>
      <c r="G2694" t="inlineStr">
        <is>
          <t>2019-05-31 09:45:50</t>
        </is>
      </c>
      <c r="H2694" t="inlineStr"/>
    </row>
    <row r="2695">
      <c r="A2695" t="inlineStr">
        <is>
          <t>bvbbqc</t>
        </is>
      </c>
      <c r="B2695" t="inlineStr">
        <is>
          <t>My dad was diagnosed and starting chemo soon. What can I do to help?</t>
        </is>
      </c>
      <c r="C2695" t="inlineStr">
        <is>
          <t>He was diagnosed with a rare cancer called myoxoid lyposarcoma which grows in fat tissue. Generally in the legs from what I can gather. He just got his catheter in yesterday and is going in for his first round soon. Good news is the cancer hasn't spread anywhere else but he may lose his leg if the tumor doesn't shrink in a certain way. He's in his mid 50s was a professional baseball player, always in good shape and healthy. I'm looking for advice on how to care for him/keep his spirits up/comfort him etc. I'd also like to hear from anyone who has had a similar cancer or can help me understand what he's going to go through.</t>
        </is>
      </c>
      <c r="D2695" t="n">
        <v>6</v>
      </c>
      <c r="E2695" t="n">
        <v>7</v>
      </c>
      <c r="F2695">
        <f>HYPERLINK("https://www.reddit.com/r/cancer/comments/bvbbqc/my_dad_was_diagnosed_and_starting_chemo_soon_what/")</f>
        <v/>
      </c>
      <c r="G2695" t="inlineStr">
        <is>
          <t>2019-05-31 11:46:13</t>
        </is>
      </c>
      <c r="H2695" t="inlineStr"/>
    </row>
    <row r="2696">
      <c r="A2696" t="inlineStr">
        <is>
          <t>bvbt2u</t>
        </is>
      </c>
      <c r="B2696" t="inlineStr">
        <is>
          <t>"I have no idea what that is"</t>
        </is>
      </c>
      <c r="C2696" t="inlineStr">
        <is>
          <t>AKA the words you don't wanna hear come out of your doctor's mouth after an endoscopy
I have a history of Crohn's and celiac and wound up in the ER with terrible stomach pain a few nights ago. The doc there wrote me off as drug seeking after the CT for a kidney stone came back clean, but my gastro was like "yeah probably nothing but I just wanna be sure and give you a scope." Went to lala land for a few minutes and came out of it loopy as hell
He starts off "well you have a beautiful esophagus" and then it all went downhill from there leading to him pointing to a pic of an ulcerated but small mass in my stomach and saying "and I don't know what that is". I was so fucked up from the propofol that all I said was "well I don't like that."
Currently waiting for pathology to come back to see if it's cancer. I had a MALT lymphoma scare about a year ago (turned out to be a heterotopic pancreas in my stomach which is wild) and that's on the table again. 
The pancreas thing was a stroke of luck, totally benign. I feel like I can't possibly get that lucky again. If this isn't appropriate feel free to remove but I don't feel like I have anywhere else to turn to talk about this
How do I get my mind off it?</t>
        </is>
      </c>
      <c r="D2696" t="n">
        <v>7</v>
      </c>
      <c r="E2696" t="n">
        <v>4</v>
      </c>
      <c r="F2696">
        <f>HYPERLINK("https://www.reddit.com/r/cancer/comments/bvbt2u/i_have_no_idea_what_that_is/")</f>
        <v/>
      </c>
      <c r="G2696" t="inlineStr">
        <is>
          <t>2019-05-31 12:28:15</t>
        </is>
      </c>
      <c r="H2696" t="inlineStr"/>
    </row>
    <row r="2697">
      <c r="A2697" t="inlineStr">
        <is>
          <t>bvbyls</t>
        </is>
      </c>
      <c r="B2697" t="inlineStr">
        <is>
          <t>A week ago life was normal, and now on Tuesday I say goodbye to my right testicle. Still freaking out big time.</t>
        </is>
      </c>
      <c r="C2697" t="inlineStr">
        <is>
          <t>So a freak accident last Saturday may have inadvertently saved my life.  I was sitting in front of my computer browsing reddit (ironically) and I shifted in my chair to adjust myself down there because I was a little sweaty and stuck, and all the sudden it was like my right ball was in a vice grip for a second or 2.  The pain was unreal, and hadn't really gone away after about 40 minutes, so I talked to a friend who is a RN and did some over the phone diagnosing and testing with her, and we initially thought I had given myself a torsion, so she told me to get to the ER asap.  Went to the ER and got an ultrasound to confirm, but instead the ultrasound revealed a small mass on my right side.  Just got back from my appointment with the urologist and in his experience its pretty clear I've got TC in its early stages.  Early stages was the key words he used though and he emphasized that.  My blood work and urine tests have all come back perfectly clean so it seems like this random accident was a blessing in disguise.  Won't know for absolute certain until the Pathology lab does all it's tests after the surgery but he seemed pretty optimistic that the surgery should be all that's required for me.   Crazy to think all of this because of a simple stupid accident that I somehow managed to press on the exact spot of my testicle where this thing was and set it off.
This has been a ridiculous experience to take in in the span of 6 days.  I'm still in pretty much total numb shock.  I don't know how to feel about any of this, or honestly how I even feel about any of this right now.  I do know I am completely stressed about figuring out the logistics of everything.  Making sure I'm not completely alone my few days after surgery, just in case.  Figuring out Medical Leave paperwork at work to protect my job (I manage receiving docks and the warehouse area for a grocery store, its 880 Union) that I've never dealt with and have to pretty much get squared away tomorrow, and oh god the financial side of this.  I was barely breaking even as it is.   I dunno how the hell the rest of you manage this, and by all accounts this is easy-mode cancer compared to what some of you have to deal with.</t>
        </is>
      </c>
      <c r="D2697" t="n">
        <v>17</v>
      </c>
      <c r="E2697" t="n">
        <v>24</v>
      </c>
      <c r="F2697">
        <f>HYPERLINK("https://www.reddit.com/r/cancer/comments/bvbyls/a_week_ago_life_was_normal_and_now_on_tuesday_i/")</f>
        <v/>
      </c>
      <c r="G2697" t="inlineStr">
        <is>
          <t>2019-05-31 12:41:40</t>
        </is>
      </c>
      <c r="H2697" t="inlineStr"/>
    </row>
    <row r="2698">
      <c r="A2698" t="inlineStr">
        <is>
          <t>bvc589</t>
        </is>
      </c>
      <c r="B2698" t="inlineStr">
        <is>
          <t>OVER IT.</t>
        </is>
      </c>
      <c r="C2698" t="inlineStr">
        <is>
          <t>So I  was diagnosed with defused large B cell back in December, with a tumor the size of a grape fruit blocking my bileducks and  gallbladder so they put a stent in and a tube through my stomach into my gall blather that drains bile into a bag on my leg. Once all that was done I started chemo RCHOP, well the first 3 rounds weren’t to bad, but the 4th and 5th but me in the er all most dead  both times my WBC went down to o.2 with infections, well the tumor has been gone since the 4th round, and I am just a shell of who I was when I started, the side-direct effects of the chemo have almost killed me twice, after a weak in the hospital my WBC is back to 5.1 today and they will probably let me go home today, my doctors want me to do the 6th round  but I’m not going to, I’m 6ft tall and weigh 112 pounds and look and feel like SHIT, I’ll take my chances I’m done if I stay healthy for a month my surgeon will take the tube out of my stomach and remove my port, wish me luck guys I’m not doing this any more,quality of life has not been worth living since round 3 and I think round 6 might kill me so I’ll take my chances I QUIT. I’ll keep you all posted how it gose</t>
        </is>
      </c>
      <c r="D2698" t="n">
        <v>33</v>
      </c>
      <c r="E2698" t="n">
        <v>25</v>
      </c>
      <c r="F2698">
        <f>HYPERLINK("https://www.reddit.com/r/cancer/comments/bvc589/over_it/")</f>
        <v/>
      </c>
      <c r="G2698" t="inlineStr">
        <is>
          <t>2019-05-31 12:58:01</t>
        </is>
      </c>
      <c r="H2698" t="inlineStr"/>
    </row>
    <row r="2699">
      <c r="A2699" t="inlineStr">
        <is>
          <t>bvd6ql</t>
        </is>
      </c>
      <c r="B2699" t="inlineStr">
        <is>
          <t>Need advice</t>
        </is>
      </c>
      <c r="C2699" t="inlineStr">
        <is>
          <t>I have a cancer where my prognosis is pretty poor. It's bumming me out a lot lately. I've fought for 1 year and tried to stay strong but as of recently it's been hard for me to stay positive around the people around me. I just have a sinking feeling that my cancer will relapse after my chemo finishes - it's hard to keep my head up.</t>
        </is>
      </c>
      <c r="D2699" t="n">
        <v>1</v>
      </c>
      <c r="E2699" t="n">
        <v>0</v>
      </c>
      <c r="F2699">
        <f>HYPERLINK("https://www.reddit.com/r/cancer/comments/bvd6ql/need_advice/")</f>
        <v/>
      </c>
      <c r="G2699" t="inlineStr">
        <is>
          <t>2019-05-31 14:31:36</t>
        </is>
      </c>
      <c r="H2699" t="inlineStr"/>
    </row>
    <row r="2700">
      <c r="A2700" t="inlineStr">
        <is>
          <t>bvddua</t>
        </is>
      </c>
      <c r="B2700" t="inlineStr">
        <is>
          <t>Done with chemo!</t>
        </is>
      </c>
      <c r="C2700" t="inlineStr">
        <is>
          <t>I got told today that this was my last one! I thought I had to make up one because my hemoglobin was too low my 1st week,  but nope, I don't,  and my Monday through Friday radiation ends Thursday.  I have to follow with internal radiation after this,  but I'm celebrating my victory for now!</t>
        </is>
      </c>
      <c r="D2700" t="n">
        <v>91</v>
      </c>
      <c r="E2700" t="n">
        <v>17</v>
      </c>
      <c r="F2700">
        <f>HYPERLINK("https://www.reddit.com/r/cancer/comments/bvddua/done_with_chemo/")</f>
        <v/>
      </c>
      <c r="G2700" t="inlineStr">
        <is>
          <t>2019-05-31 14:50:15</t>
        </is>
      </c>
      <c r="H2700" t="inlineStr"/>
    </row>
    <row r="2701">
      <c r="A2701" t="inlineStr">
        <is>
          <t>bvdviy</t>
        </is>
      </c>
      <c r="B2701" t="inlineStr">
        <is>
          <t>I just found out my wife has breast cancer</t>
        </is>
      </c>
      <c r="C2701" t="inlineStr">
        <is>
          <t>They do not know what stage it is. They don’t know if it is anywhere else in the body. She has a few lumps in her breast. One is 3.7 cm.  She is 37 years old and we have three kids from kinder to a teenager.
I am at a loss on what to do. I am an answer guy and I have no answers. I don’t know what my role should be. I don’t know what to say or what not to say to my kids.
Any advice would be appreciated. Anyone that is a breast cancer survivor have suggestions or feedback? 
This sucks</t>
        </is>
      </c>
      <c r="D2701" t="n">
        <v>13</v>
      </c>
      <c r="E2701" t="n">
        <v>9</v>
      </c>
      <c r="F2701">
        <f>HYPERLINK("https://www.reddit.com/r/cancer/comments/bvdviy/i_just_found_out_my_wife_has_breast_cancer/")</f>
        <v/>
      </c>
      <c r="G2701" t="inlineStr">
        <is>
          <t>2019-05-31 15:36:54</t>
        </is>
      </c>
      <c r="H2701" t="inlineStr"/>
    </row>
    <row r="2702">
      <c r="A2702" t="inlineStr">
        <is>
          <t>bve3oo</t>
        </is>
      </c>
      <c r="B2702" t="inlineStr">
        <is>
          <t>My(F24) Aunt was recently diagnosed with cancer and I’d love to send her a care package. What are some things that I could include to help her feel loved?</t>
        </is>
      </c>
      <c r="C2702" t="inlineStr">
        <is>
          <t>My Aunt who is also my Godmother was recently diagnosed with stage 4 lung cancer. It has metastasized and is in her lymph nodes so it is spreading very, very fast. Best case scenario she has 3-4 months without treatment and 6 months to a year with treatment. She’s going through her first 8 hour round of treatment in a few days and will make her decision afterwards if she wants to continue with treatment or move forward with hospice. It’s been extremely hard processing all of this for so many reasons with the major one being that we are currently 1,600 miles apart so I feel useless/helpless because I can’t be there to help take care of her when she needs it most. We’ve always been so close and have formed a strong bond over our love of crafting and love for nature/gardening. I would like to have a few of my favorite pictures of the two of us together framed for her but want to send her some other items to help bring some brightness into a sad situation. What would you recommend?</t>
        </is>
      </c>
      <c r="D2702" t="n">
        <v>3</v>
      </c>
      <c r="E2702" t="n">
        <v>1</v>
      </c>
      <c r="F2702">
        <f>HYPERLINK("https://www.reddit.com/r/cancer/comments/bve3oo/myf24_aunt_was_recently_diagnosed_with_cancer_and/")</f>
        <v/>
      </c>
      <c r="G2702" t="inlineStr">
        <is>
          <t>2019-05-31 15:58:31</t>
        </is>
      </c>
      <c r="H2702" t="inlineStr"/>
    </row>
    <row r="2703">
      <c r="A2703" t="inlineStr">
        <is>
          <t>bvet50</t>
        </is>
      </c>
      <c r="B2703" t="inlineStr">
        <is>
          <t>Mom has multiple abnormal nodules in both breasts and this has potentially affected lymph nodes. She's terrified and doesn't want a biopsy. Don't know how to proceed.</t>
        </is>
      </c>
      <c r="C2703" t="inlineStr">
        <is>
          <t>So background, there is no family history of cancer, but my mom has had previous thyroid issues. She's overweight, very sedentary and has recently been having terrible undiagnosable pains throughout her back. 
She went to a radiology clinic where they performed an ultrasound and things are not looking good: Multiple abnormal growths, very cryptically concluded to need a biopsy, and could be lymphadenopathy.
Although she was advised to get a biopsy she finds that invasive and wants an MRI instead.
She's already thrown herself into a complete misery spiral and believes it's cancer. Despite her self-diagnosis, however, she's already decided against chemo. 
I just don't know how to proceed. I don't know how to comfort her or how to persuade her to not be so fatalistic. I don't believe that cancer is a death sentence but she's just too cynical.
Help?</t>
        </is>
      </c>
      <c r="D2703" t="n">
        <v>8</v>
      </c>
      <c r="E2703" t="n">
        <v>6</v>
      </c>
      <c r="F2703">
        <f>HYPERLINK("https://www.reddit.com/r/cancer/comments/bvet50/mom_has_multiple_abnormal_nodules_in_both_breasts/")</f>
        <v/>
      </c>
      <c r="G2703" t="inlineStr">
        <is>
          <t>2019-05-31 17:10:35</t>
        </is>
      </c>
      <c r="H2703" t="inlineStr"/>
    </row>
    <row r="2704">
      <c r="A2704" t="inlineStr">
        <is>
          <t>bvfhkt</t>
        </is>
      </c>
      <c r="B2704" t="inlineStr">
        <is>
          <t>Silent Killer</t>
        </is>
      </c>
      <c r="C2704" t="inlineStr">
        <is>
          <t>I was staring at him while he was eating and couldn’t believe this seemingly healthy looking person has not only pancreatic cancer but prostate cancer too. It’s really mind blowing. He looks as healthy as a stallion but in reality, he’s dying inside.</t>
        </is>
      </c>
      <c r="D2704" t="n">
        <v>26</v>
      </c>
      <c r="E2704" t="n">
        <v>11</v>
      </c>
      <c r="F2704">
        <f>HYPERLINK("https://www.reddit.com/r/cancer/comments/bvfhkt/silent_killer/")</f>
        <v/>
      </c>
      <c r="G2704" t="inlineStr">
        <is>
          <t>2019-05-31 18:23:25</t>
        </is>
      </c>
      <c r="H2704" t="inlineStr"/>
    </row>
    <row r="2705">
      <c r="A2705" t="inlineStr">
        <is>
          <t>bvgvfj</t>
        </is>
      </c>
      <c r="B2705" t="inlineStr">
        <is>
          <t>Good way to show appreciation to family/staff?</t>
        </is>
      </c>
      <c r="C2705" t="inlineStr">
        <is>
          <t>My brother has been in and out of the hospital due to complications since the diagnosis. He's in remission now, which is great, but he is still going through chemo and having a difficult time with the treatment. I live across the country, so I can't really visit often aside from a few trips every couple of months. Our parents visit him every couple of weeks to help him out with everything which is great. People have told me it helps, but I feel kind of bad only being able to call/text and send him gifts, care packages, and cards. I know my parents have been doing a ton so I have been splurging on birthdays and holidays for them trying to show some more support. They have raved about the quality of a couple of the floor staffs during his admissions with a few floors in particular, they only had complaints about one floor in particular but that's a story I don't want to get it into. Would there be something in particular I could do like a card or phone-call just expressing some appreciation for the people who helped care for him? Would any medical staff be willing to weigh in? I work with IT and computer networks so I'm not very familiar with the medical world and what is deemed as "appropriate" and what is not. I just feel pretty trash not being in a position where I can help out more.</t>
        </is>
      </c>
      <c r="D2705" t="n">
        <v>3</v>
      </c>
      <c r="E2705" t="n">
        <v>2</v>
      </c>
      <c r="F2705">
        <f>HYPERLINK("https://www.reddit.com/r/cancer/comments/bvgvfj/good_way_to_show_appreciation_to_familystaff/")</f>
        <v/>
      </c>
      <c r="G2705" t="inlineStr">
        <is>
          <t>2019-05-31 21:06:52</t>
        </is>
      </c>
      <c r="H2705" t="inlineStr"/>
    </row>
    <row r="2706">
      <c r="A2706" t="inlineStr">
        <is>
          <t>bvhgk2</t>
        </is>
      </c>
      <c r="B2706" t="inlineStr">
        <is>
          <t>Any advice dealing with shortness of breath?</t>
        </is>
      </c>
      <c r="C2706" t="inlineStr">
        <is>
          <t>I was diagnosed with Hodgkins Lymphoma a few months ago and have had five chemo treatments so far, specifically ABVD. The one drug is really hard on the lungs but it hasn’t been too big a problem until recently. I’ve been in the hospital the past week with a fever and have also had major difficulty breathing, which can lead me to have a coughing fit which makes a really fun feedback loop of gasping for air. I had a ct scan today on my lungs and it is not an infection but most likely a result of the chemo that is making me feel this way. If anyone else has had a similar experience what did you do to cope with this? Should I talk to my oncologist about getting some sort of inhaler or other medication?</t>
        </is>
      </c>
      <c r="D2706" t="n">
        <v>6</v>
      </c>
      <c r="E2706" t="n">
        <v>9</v>
      </c>
      <c r="F2706">
        <f>HYPERLINK("https://www.reddit.com/r/cancer/comments/bvhgk2/any_advice_dealing_with_shortness_of_breath/")</f>
        <v/>
      </c>
      <c r="G2706" t="inlineStr">
        <is>
          <t>2019-05-31 22:24:05</t>
        </is>
      </c>
      <c r="H2706" t="inlineStr"/>
    </row>
    <row r="2707">
      <c r="A2707" t="inlineStr">
        <is>
          <t>bvhryb</t>
        </is>
      </c>
      <c r="B2707" t="inlineStr">
        <is>
          <t>Going Flat</t>
        </is>
      </c>
      <c r="C2707" t="inlineStr">
        <is>
          <t>Hello! I will be having a double mastectomy with no reconstruction and going flat in 5 days. As a 28 year old woman with no prior health issues the last few months have been a whirlwind. 
I have what I would love to call...perfect breasts. Haha I mean seriously ! It's so hard to decided against recon, but I know implants will never be able to recreate these beauties. I also am 100% concerned about multiple surgeries and the risks.
I would love any feedback, info, points in the right direction, and support anyone also dealing with this can provide. I have read most webpages &amp;amp; blogs, but there isn't too much on this topic. 
Love you all ❤️
- KC</t>
        </is>
      </c>
      <c r="D2707" t="n">
        <v>7</v>
      </c>
      <c r="E2707" t="n">
        <v>3</v>
      </c>
      <c r="F2707">
        <f>HYPERLINK("https://www.reddit.com/r/cancer/comments/bvhryb/going_flat/")</f>
        <v/>
      </c>
      <c r="G2707" t="inlineStr">
        <is>
          <t>2019-05-31 23:08:26</t>
        </is>
      </c>
      <c r="H2707" t="inlineStr"/>
    </row>
    <row r="2708">
      <c r="A2708" t="inlineStr">
        <is>
          <t>bvi4bq</t>
        </is>
      </c>
      <c r="B2708" t="inlineStr">
        <is>
          <t>Non-US Citizen Dad Diagnosed with Stage 4 NSCLC</t>
        </is>
      </c>
      <c r="C2708" t="inlineStr">
        <is>
          <t>My dad was recently diagnosed with a stage 4 Non-Small Cell Lung Cancer (NSCLC) with detected brain metastases (MRI), sub-type is adenocarcinoma. Through DNA extraction, it was found that he has mutations on EGFR exon 18-20. His treatment is moving fast and he's currently undergoing oral chemo with Gefitinib (Iressa).
The thing is, my dad is an Indonesian living in Indonesia. I'm somewhat relieved that he's under the care of one of the best lung cancer specialists there. However, the fact remains that he doesn't have access to the most advanced treatment options right now. Oversea treatment is not an option as we won't be able to afford it. Does anyone know if it's possible for him to participate in any of the ongoing clinical trials with the doctor's recommendation?
I'm currently trying to find some applicable clinical trials in the NIH database, and maybe will try to contact a rep soon to ask about eligibility of non-US citizens. I'm not sure what else I can do, the news came so suddenly and I have no experience dealing with this kind of situation. Any advice and recommendation would be really, really appreciated.
&amp;amp;#x200B;
Note:
My siblings and I are international students in the US and Canada, and we are taking rotations going back home to help my mom take care of dad. Maybe this information would be useful? We can more easily get into contact with people or organizations in the two countries.</t>
        </is>
      </c>
      <c r="D2708" t="n">
        <v>11</v>
      </c>
      <c r="E2708" t="n">
        <v>2</v>
      </c>
      <c r="F2708">
        <f>HYPERLINK("https://www.reddit.com/r/cancer/comments/bvi4bq/nonus_citizen_dad_diagnosed_with_stage_4_nsclc/")</f>
        <v/>
      </c>
      <c r="G2708" t="inlineStr">
        <is>
          <t>2019-06-01 00:00:04</t>
        </is>
      </c>
      <c r="H2708" t="inlineStr"/>
    </row>
    <row r="2709">
      <c r="A2709" t="inlineStr">
        <is>
          <t>bvij66</t>
        </is>
      </c>
      <c r="B2709" t="inlineStr">
        <is>
          <t>Hair regrowth tips?</t>
        </is>
      </c>
      <c r="C2709" t="inlineStr">
        <is>
          <t>I live in the Mississippi River delta region of the US which is notorious for hot, humid summers. Right now I wear hats whenever I go out to keep my scalp from getting burnt and it’s not bad. But whenever the really hot part of the summer comes around I’d like to get away from that, because hats keep in a lot of heat.  I already sweat easily, and my body is basically a furnace generating heat. I trim my body hair frequently which helps tremendously, but I used to not wear hats at all until I got to college (even then it’s rare) so I haven’t run into this particular problem until now. I’d also like to be able to go without a hat in general. I just started using hair regrowth shampoo earlier this week and it’s helping already. Any tips or advice would be appreciated.</t>
        </is>
      </c>
      <c r="D2709" t="n">
        <v>7</v>
      </c>
      <c r="E2709" t="n">
        <v>5</v>
      </c>
      <c r="F2709">
        <f>HYPERLINK("https://www.reddit.com/r/cancer/comments/bvij66/hair_regrowth_tips/")</f>
        <v/>
      </c>
      <c r="G2709" t="inlineStr">
        <is>
          <t>2019-06-01 01:05:15</t>
        </is>
      </c>
      <c r="H2709" t="inlineStr"/>
    </row>
    <row r="2710">
      <c r="A2710" t="inlineStr">
        <is>
          <t>bvjcxq</t>
        </is>
      </c>
      <c r="B2710" t="inlineStr">
        <is>
          <t>How am I suppose to feel?</t>
        </is>
      </c>
      <c r="C2710" t="inlineStr">
        <is>
          <t>As dumb as this rant may sound, I consider myself one of the lucky ones and I hate it. I was diagnosed with stage 3 Hodgkins November 16th last year. I knew nothing about it so naturally I thought my life was over and I was going to end up bald, weak and in the hospital 24/7 
But now I’m done with chemo. I still need 6-8 weeks of radiation and I had some gnarly bone pain but not once have I been nauseous enough to puke, my hair only thinned and is now almost completely back, and I’ve been out and about living an almost normal life 75% of the time. I’ve just turned 21, moved back home, made so many new friends and I love my new base (military) 
But still, I’m sad for various reasons. I get anxious even around my best friends. I cry sometimes. I get angry and just want to scream somewhere no one will hear me. 
But then I remember I have it so much better than most people do and I don’t get it. I just don’t know how to feel. I wish we all had it the same. There was a guy when i first started treatment. He looked terrible. Had to be put to sleep before each treatment just so he wouldn’t get nauseous. Why can we go through the same exact treatment for the same exact cancer but respond so differently? Why do good people have to die because they just so happened to end up with a tougher cancer. I hate it. Fuck cancer.</t>
        </is>
      </c>
      <c r="D2710" t="n">
        <v>5</v>
      </c>
      <c r="E2710" t="n">
        <v>2</v>
      </c>
      <c r="F2710">
        <f>HYPERLINK("https://www.reddit.com/r/cancer/comments/bvjcxq/how_am_i_suppose_to_feel/")</f>
        <v/>
      </c>
      <c r="G2710" t="inlineStr">
        <is>
          <t>2019-06-01 03:20:36</t>
        </is>
      </c>
      <c r="H2710" t="inlineStr"/>
    </row>
    <row r="2711">
      <c r="A2711" t="inlineStr">
        <is>
          <t>bvkrui</t>
        </is>
      </c>
      <c r="B2711" t="inlineStr">
        <is>
          <t>Moisturizing hair conditioner for someone going through chemo?</t>
        </is>
      </c>
      <c r="C2711" t="inlineStr">
        <is>
          <t>Hi board, I'm hoping to help my MIL, who has been on chemo for years for multiple cancers. She doesn't lose her hair but the chemo makes her hair so dry and brittle. I'd love to recommend some hair products to her to maybe help her out a little bit. I know that the chemo is so strong, and it might be the case that nothing will help, but I'd love to try. Any recommendations? She is willing to try anything.</t>
        </is>
      </c>
      <c r="D2711" t="n">
        <v>4</v>
      </c>
      <c r="E2711" t="n">
        <v>6</v>
      </c>
      <c r="F2711">
        <f>HYPERLINK("https://www.reddit.com/r/cancer/comments/bvkrui/moisturizing_hair_conditioner_for_someone_going/")</f>
        <v/>
      </c>
      <c r="G2711" t="inlineStr">
        <is>
          <t>2019-06-01 06:26:11</t>
        </is>
      </c>
      <c r="H2711" t="inlineStr"/>
    </row>
    <row r="2712">
      <c r="A2712" t="inlineStr">
        <is>
          <t>bvmlm1</t>
        </is>
      </c>
      <c r="B2712" t="inlineStr">
        <is>
          <t>Too much of a good thing?</t>
        </is>
      </c>
      <c r="C2712" t="inlineStr">
        <is>
          <t>So my dad is dying from cancer. Probably within the next few days. My mom is a trooper, she has a lot of experience working in the healthcare system and running a big house and she’s caring for him at home. My brothers and I have all practically moved back home for the past few weeks in order to provide help and support for our mom and be with our dad. My father is one of 7 siblings and his 90 year old mother is alive and kicking. Our family is very close-knit and we all feel the love and support provided especially by my aunts who come by every day, bringing food or baked goods, trying to ease the pain and stress of the situation. I know that when my dad is awake and lucid he is happy to see them and listen to everyone chatting away. I know we are all fortunate to be so surrounded by such loving and supportive family. But. Lately I’ve almost started to resent their daily visits, carrying stuffed grocery bags, fussing around my dad as if we haven’t taken enough care with his pillows or his liquid intake or the music we play him. They sit around and talk and talk and they stay for ever. It’s beginning to feel a little claustrophobic and annoying and I know my mom feels like she hardly ever has a quiet moment just to sit with my dad and be sad. Someone is always washing the dishes and the coffee cups, setting the table or clearing it, ringing the doorbell or leaving. She has mentioned it to me a few times and she’s sometimes fed up but I think she feels like it would be unfrateful to ask them not to come or to not stay for so long once sometimes. This weekend might well be his last and I know she told some of his sisters yesterday that she would like to be alone with him and with us, his children, in his final hours. Yet, they all came today with their lunch and their coffee and their cookies and their talking and just filled the house. My mom gets overwhelmed and goes sort of stiff and quiet but she won’t ask them to leave. They are his sisters, after all. We don’t want to stop them from visiting him, grieving for him or saying goodbye.... and we all do appreciate their support. 
I think I just needed to vent but if anyone has had a similar experience or has any thoughts, I would love to hear them.</t>
        </is>
      </c>
      <c r="D2712" t="n">
        <v>31</v>
      </c>
      <c r="E2712" t="n">
        <v>9</v>
      </c>
      <c r="F2712">
        <f>HYPERLINK("https://www.reddit.com/r/cancer/comments/bvmlm1/too_much_of_a_good_thing/")</f>
        <v/>
      </c>
      <c r="G2712" t="inlineStr">
        <is>
          <t>2019-06-01 09:27:32</t>
        </is>
      </c>
      <c r="H2712" t="inlineStr"/>
    </row>
    <row r="2713">
      <c r="A2713" t="inlineStr">
        <is>
          <t>bvnmxt</t>
        </is>
      </c>
      <c r="B2713" t="inlineStr">
        <is>
          <t>Multiple brain tumors (mother)</t>
        </is>
      </c>
      <c r="C2713" t="inlineStr">
        <is>
          <t>*I posted in r/braintumor but have gotten no response. I hope it is ok to post here I really need advice/input. *
 Back in March my mother (previous cancer survivor almost 10 years ago) was in to her physician because of ear/sinus ache. He prescribed her antibiotics and sent her on her way. She went back twice more and was prescribed antibiotics again. She then developed vertigo so we took her  to emerge and she was again prescribed antibiotics  and told to follow up with family physician. At this point about 5 weeks ago it was clear to me these "vertigo spells looked alot like seizures or small strokes. 
She followed up with family Dr. Who decided that these issues were seperate to her "ear infection" he made a referral for neurologist but did not mark it urgent so upwards to a 2 year wait. And prescribed her baby asprin. In the last 5 weeks my mom has gone from being her normal self, to requiring a walker, dependant for day to day care and having slow cognitive function. (Not to mention increasing pressure in her head) I also found a dried waxy clot of blood in her ear while doing a face/head/neck massage. We took a picture of it and saved the piece for Dr to inspect. A few days ago my mother had 8 "vertigo spells" my sister and I agreed we would send her by ambulance. After seeing the on call Dr. He made it clear she was being admitted for cat scan immediately. At first he was like why have you guys let this go so long (meaning us) and we explained the lack of care by any physcian we had seen previously. The next day she was diagnosed with multiple brain tumors. (Apperantly secondary) she will see the oncologist next week)
Listen guys. I am not ready to deal with the mortality of my mother but I don't really have a choice here. I need to know the best way to help her through this. I've done enough crying before bed and feeling emotionally tapped and useless during the day. I just want to do whatever I can to help her and I don't know how to do that. I want to give her the best that she deserves and show her she has all of us walking beside her through all this regardless of outcome. I can't even think of things we should be doing. I'm so out of my depth here...
Please any advice.</t>
        </is>
      </c>
      <c r="D2713" t="n">
        <v>5</v>
      </c>
      <c r="E2713" t="n">
        <v>4</v>
      </c>
      <c r="F2713">
        <f>HYPERLINK("https://www.reddit.com/r/cancer/comments/bvnmxt/multiple_brain_tumors_mother/")</f>
        <v/>
      </c>
      <c r="G2713" t="inlineStr">
        <is>
          <t>2019-06-01 11:03:40</t>
        </is>
      </c>
      <c r="H2713" t="inlineStr"/>
    </row>
    <row r="2714">
      <c r="A2714" t="inlineStr">
        <is>
          <t>bvns4h</t>
        </is>
      </c>
      <c r="B2714" t="inlineStr">
        <is>
          <t>Metastasis liver cancer</t>
        </is>
      </c>
      <c r="C2714" t="inlineStr">
        <is>
          <t>Hey guys so my dad just had a surgery on the gastrointestinal track they removed the cancer successfully but he has lost around 40 kgs of weight and was diagnosed with metastasis cancer in the liver I want to help him so he can get strong enough for chemotherapy and hope that he will be cancer free any advice on how to make my dad eat</t>
        </is>
      </c>
      <c r="D2714" t="n">
        <v>4</v>
      </c>
      <c r="E2714" t="n">
        <v>5</v>
      </c>
      <c r="F2714">
        <f>HYPERLINK("https://www.reddit.com/r/cancer/comments/bvns4h/metastasis_liver_cancer/")</f>
        <v/>
      </c>
      <c r="G2714" t="inlineStr">
        <is>
          <t>2019-06-01 11:17:26</t>
        </is>
      </c>
      <c r="H2714" t="inlineStr"/>
    </row>
    <row r="2715">
      <c r="A2715" t="inlineStr">
        <is>
          <t>bvowzz</t>
        </is>
      </c>
      <c r="B2715" t="inlineStr">
        <is>
          <t>In your opinion, does The Fault In Our Stars do a decent job in accurately depicting life with cancer?</t>
        </is>
      </c>
      <c r="C2715" t="inlineStr">
        <is>
          <t>I‘ve heard mixed opinions about this. For those of you who’ve either seen the movie or read the book, what’re your thoughts on how cancer is portrayed? 
Feel free to subtract the seemingly cliché love story. I’m aware the majority of people don’t meet the love of their life in support group.</t>
        </is>
      </c>
      <c r="D2715" t="n">
        <v>6</v>
      </c>
      <c r="E2715" t="n">
        <v>15</v>
      </c>
      <c r="F2715">
        <f>HYPERLINK("https://www.reddit.com/r/cancer/comments/bvowzz/in_your_opinion_does_the_fault_in_our_stars_do_a/")</f>
        <v/>
      </c>
      <c r="G2715" t="inlineStr">
        <is>
          <t>2019-06-01 13:05:28</t>
        </is>
      </c>
      <c r="H2715" t="inlineStr"/>
    </row>
    <row r="2716">
      <c r="A2716" t="inlineStr">
        <is>
          <t>bvp0ls</t>
        </is>
      </c>
      <c r="B2716" t="inlineStr">
        <is>
          <t>Anyone with TC thats had an Orchiectomy wanna talk to me a bit about their recovery?</t>
        </is>
      </c>
      <c r="C2716" t="inlineStr">
        <is>
          <t>Posted over in r/Testicularcancer  but figure may as well post over here for maximum exposure as well.  Very nervous about the surgery and the recovery time, would like to hear from some others about how their experience went.  How were the first few days?  How long did it take before you were back at work? Any tips / suggestions to help make the whole recovery process smoother?</t>
        </is>
      </c>
      <c r="D2716" t="n">
        <v>9</v>
      </c>
      <c r="E2716" t="n">
        <v>12</v>
      </c>
      <c r="F2716">
        <f>HYPERLINK("https://www.reddit.com/r/cancer/comments/bvp0ls/anyone_with_tc_thats_had_an_orchiectomy_wanna/")</f>
        <v/>
      </c>
      <c r="G2716" t="inlineStr">
        <is>
          <t>2019-06-01 13:15:04</t>
        </is>
      </c>
      <c r="H2716" t="inlineStr"/>
    </row>
    <row r="2717">
      <c r="A2717" t="inlineStr">
        <is>
          <t>bvp5l7</t>
        </is>
      </c>
      <c r="B2717" t="inlineStr">
        <is>
          <t>Is it bad if it takes a long time to get ultrasound results?</t>
        </is>
      </c>
      <c r="C2717" t="inlineStr">
        <is>
          <t>Last year I had an abdominal ultrasound to check for cancer and the results were posted online in an hour and it was fine. 
&amp;amp;#x200B;
They checked again this year and it's been 3 days and they haven't posted the results. Could this be a bad sign? Could they be getting a second opinion?</t>
        </is>
      </c>
      <c r="D2717" t="n">
        <v>3</v>
      </c>
      <c r="E2717" t="n">
        <v>4</v>
      </c>
      <c r="F2717">
        <f>HYPERLINK("https://www.reddit.com/r/cancer/comments/bvp5l7/is_it_bad_if_it_takes_a_long_time_to_get/")</f>
        <v/>
      </c>
      <c r="G2717" t="inlineStr">
        <is>
          <t>2019-06-01 13:28:06</t>
        </is>
      </c>
      <c r="H2717" t="inlineStr"/>
    </row>
    <row r="2718">
      <c r="A2718" t="inlineStr">
        <is>
          <t>bvpmy6</t>
        </is>
      </c>
      <c r="B2718" t="inlineStr">
        <is>
          <t>Dad recently went to hospital, wondering if I should head home</t>
        </is>
      </c>
      <c r="C2718" t="inlineStr">
        <is>
          <t>My dad has stage IV prostate cancer, it has metastasized to his bones, and more recently his skull. He recently went through radiation therapy to get rid of the tumors in his skull, and we thought all was fine, other than him being a little spacey at times which makes sense because of the radiation.
However, last night he was admitted to the hospital with pneumonia like symptoms, SOB, coughing up phlegm, the works. They gave him oxygen, and supposably all his levels for blood, platelets, serum and the rest are fine .
He has now developed what seems to be a manic episode which developed late last night. I’ve talked to him on the phone and his speech is slurred and he had a very hard time responding.  They are giving him a CT scan right now and I will be figuring out the details very soon.
The question that I’m pondering is should I go home if the news is bad? I’m in a masters program that is around 3 hours away, and I’m currently studying for a test that is on monday. Usually I would be fine with trying to push back an exam date, however with the way summer class works, I would miss a lot of the class if I went home to be with my dad, which would this result in me having to drop the courses. I can retake the courses in the fall, spring, or summer, but before I left for the program, my dad told me to stay in the school no matter what happens to him.
I’m staying in the school no matter what (I’ve already registered my classes for the fall), however my big issue is that he’s been at the back of my head ever since I moved up here and I can’t stop worrying or wondering about what’s going on. Should I go back home if the results turn out to be bad, or should I follow my father’s wishes and stay in the school for the summer? What I’m worried about is that the cancer has either spread more, or the radiation did not completely get rid of the tumors. 
Sorry for the long post, it’s been a very hectic day and night for me.</t>
        </is>
      </c>
      <c r="D2718" t="n">
        <v>5</v>
      </c>
      <c r="E2718" t="n">
        <v>4</v>
      </c>
      <c r="F2718">
        <f>HYPERLINK("https://www.reddit.com/r/cancer/comments/bvpmy6/dad_recently_went_to_hospital_wondering_if_i/")</f>
        <v/>
      </c>
      <c r="G2718" t="inlineStr">
        <is>
          <t>2019-06-01 14:13:03</t>
        </is>
      </c>
      <c r="H2718" t="inlineStr"/>
    </row>
    <row r="2719">
      <c r="A2719" t="inlineStr">
        <is>
          <t>bvqad6</t>
        </is>
      </c>
      <c r="B2719" t="inlineStr">
        <is>
          <t>To all those taking care of their dying loved one.</t>
        </is>
      </c>
      <c r="C2719" t="inlineStr">
        <is>
          <t>I sympathize with you. Have an internet hug. What you are doing is very much appreciated even though it doesn’t feel that way. You are amazing.</t>
        </is>
      </c>
      <c r="D2719" t="n">
        <v>95</v>
      </c>
      <c r="E2719" t="n">
        <v>22</v>
      </c>
      <c r="F2719">
        <f>HYPERLINK("https://www.reddit.com/r/cancer/comments/bvqad6/to_all_those_taking_care_of_their_dying_loved_one/")</f>
        <v/>
      </c>
      <c r="G2719" t="inlineStr">
        <is>
          <t>2019-06-01 15:13:02</t>
        </is>
      </c>
      <c r="H2719" t="inlineStr"/>
    </row>
    <row r="2720">
      <c r="A2720" t="inlineStr">
        <is>
          <t>bvqffp</t>
        </is>
      </c>
      <c r="B2720" t="inlineStr">
        <is>
          <t>Losing My Job due to Cancer</t>
        </is>
      </c>
      <c r="C2720" t="inlineStr">
        <is>
          <t>Has anyone else been terminated or let go at work due to your absences during treatment? All was well at my job until someone brought HR into the situation. I'd spoken to the regional manager and CEO about working from home while I recover, and 1 week later HR (they've literally never been involved in what goes on at our office, but my "situation" got their attention) that I needed to do everything through them and not tell my managers anything.
Now, I had to sign a list of additional rules and responsibilities, including giving 24 hour notice of any appts, emailing an update daily regarding what I've done on that day, agreeing to my work hours and that I won't deviate from them, acknowledging they will reduce my pay if I work less than 40 hours/week, etc.
I need 1 more surgery currently to determine if I will need to undergo chemo and radiation, and I don't have it scheduled yet. However, there's 6 people coming to interview for my position next week, and the head of HR is coming in from 4 hours away to conduct those interviews. They'd previously said that they'd be hiring a temporary replacement, but we would need the HR Queen to help pick out a temp.
Due to the structure of the company I work for, (each office across the country is a separate entity, with 90% of the employees working as independent contractors), I'm not protected by the ADA nor FMLA.
Is this a common thing that happens, or do I just work for terrible people?? They won't even tell me what their plan is so I could try to work on making arrangements to not be unemployed while going through cancer treatment.
Thanks guys!</t>
        </is>
      </c>
      <c r="D2720" t="n">
        <v>24</v>
      </c>
      <c r="E2720" t="n">
        <v>40</v>
      </c>
      <c r="F2720">
        <f>HYPERLINK("https://www.reddit.com/r/cancer/comments/bvqffp/losing_my_job_due_to_cancer/")</f>
        <v/>
      </c>
      <c r="G2720" t="inlineStr">
        <is>
          <t>2019-06-01 15:26:11</t>
        </is>
      </c>
      <c r="H2720" t="inlineStr"/>
    </row>
    <row r="2721">
      <c r="A2721" t="inlineStr">
        <is>
          <t>bvqlpj</t>
        </is>
      </c>
      <c r="B2721" t="inlineStr">
        <is>
          <t>Should I go home before treatment starts for my father</t>
        </is>
      </c>
      <c r="C2721" t="inlineStr">
        <is>
          <t>My father was diagnosed with stage 4 esophageal cancer four weeks ago. He’s starting chemo and radiation next week. I live 3000 miles away and have some stuff going on in my personal life right now I’m trying to wrap up over the next couple weeks before I come home to be with my family. 
When I return home, I anticipate being there for the duration of this battle. Will it be okay to go home one to two weeks into his treatment? Or will I severely regret not being there before he starts treatment? I know everyone responds differently, however the combination of both at the same time will be pretty intense I assume. I’m trying to salvage a couple more weeks where I live now,  but I feel like anything can happen with him.. Is the first couple weeks of treatment usually not so bad?</t>
        </is>
      </c>
      <c r="D2721" t="n">
        <v>4</v>
      </c>
      <c r="E2721" t="n">
        <v>7</v>
      </c>
      <c r="F2721">
        <f>HYPERLINK("https://www.reddit.com/r/cancer/comments/bvqlpj/should_i_go_home_before_treatment_starts_for_my/")</f>
        <v/>
      </c>
      <c r="G2721" t="inlineStr">
        <is>
          <t>2019-06-01 15:43:23</t>
        </is>
      </c>
      <c r="H2721" t="inlineStr"/>
    </row>
    <row r="2722">
      <c r="A2722" t="inlineStr">
        <is>
          <t>bvrrr6</t>
        </is>
      </c>
      <c r="B2722" t="inlineStr">
        <is>
          <t>How do I do it?</t>
        </is>
      </c>
      <c r="C2722" t="inlineStr">
        <is>
          <t>(mandatory throwaway account...)
I've had prostate cancer for several years. 
My dear wife has been in the hospital ICU for the last week (she's getting better.) We don't know when she'll get out of the hospital yet. She's recovering, but slowly. 
I was just told that my cancer is no longer stage 2, but is now stage 4B. It has invaded T-10, and three ribs (and possibly other areas...) 
I need to know how to tell my dear wife that my future is no longer as bright as we'd thought. 
What the hell do I do?</t>
        </is>
      </c>
      <c r="D2722" t="n">
        <v>8</v>
      </c>
      <c r="E2722" t="n">
        <v>6</v>
      </c>
      <c r="F2722">
        <f>HYPERLINK("https://www.reddit.com/r/cancer/comments/bvrrr6/how_do_i_do_it/")</f>
        <v/>
      </c>
      <c r="G2722" t="inlineStr">
        <is>
          <t>2019-06-01 17:44:10</t>
        </is>
      </c>
      <c r="H2722" t="inlineStr"/>
    </row>
    <row r="2723">
      <c r="A2723" t="inlineStr">
        <is>
          <t>bvskqp</t>
        </is>
      </c>
      <c r="B2723" t="inlineStr">
        <is>
          <t>Trying to spare my family as long as possible</t>
        </is>
      </c>
      <c r="C2723" t="inlineStr">
        <is>
          <t>I found out last week that I have cervical cancer, and it's likely that it's spread to one of my ovaries. I haven't told anyone yet, just can't face the idea of hurting my friends and family this much until my doctor and I have a good plan of attack and some hopeful statistics to soften the blow. I worry that once they find out they might feel betrayed by my secrecy though. Advice? Am I being selfish and cowardly?</t>
        </is>
      </c>
      <c r="D2723" t="n">
        <v>10</v>
      </c>
      <c r="E2723" t="n">
        <v>10</v>
      </c>
      <c r="F2723">
        <f>HYPERLINK("https://www.reddit.com/r/cancer/comments/bvskqp/trying_to_spare_my_family_as_long_as_possible/")</f>
        <v/>
      </c>
      <c r="G2723" t="inlineStr">
        <is>
          <t>2019-06-01 19:11:42</t>
        </is>
      </c>
      <c r="H2723" t="inlineStr"/>
    </row>
    <row r="2724">
      <c r="A2724" t="inlineStr">
        <is>
          <t>bvst5h</t>
        </is>
      </c>
      <c r="B2724" t="inlineStr">
        <is>
          <t>Best medicine for nausea prevention?</t>
        </is>
      </c>
      <c r="C2724" t="inlineStr">
        <is>
          <t>Just curious what is considered the best medicine to prevent/maintain nausea with chemo?
&amp;amp;#x200B;
Thank you</t>
        </is>
      </c>
      <c r="D2724" t="n">
        <v>6</v>
      </c>
      <c r="E2724" t="n">
        <v>14</v>
      </c>
      <c r="F2724">
        <f>HYPERLINK("https://www.reddit.com/r/cancer/comments/bvst5h/best_medicine_for_nausea_prevention/")</f>
        <v/>
      </c>
      <c r="G2724" t="inlineStr">
        <is>
          <t>2019-06-01 19:37:57</t>
        </is>
      </c>
      <c r="H2724" t="inlineStr"/>
    </row>
    <row r="2725">
      <c r="A2725" t="inlineStr">
        <is>
          <t>bvtnlx</t>
        </is>
      </c>
      <c r="B2725" t="inlineStr">
        <is>
          <t>cancer in lungs - necrosis, pneumonia, staph infection</t>
        </is>
      </c>
      <c r="C2725" t="inlineStr">
        <is>
          <t>Hi, first sending my best wishes to all living with cancer or supporting someone who is. 
&amp;amp;#x200B;
My loved one has been fighting cancer for a while and has metastasis in the lungs from a primary site elsewhere in the body. Are currently hospitalized with a staph infection (doesn't seem to be MRSA). There's necrosis around the tumor in at least one lung. 
&amp;amp;#x200B;
If the infections aren't responding to the antibiotics (which seems to be the case at the moment), what next? I'm so worried. Talk to me. I know it's not looking good.</t>
        </is>
      </c>
      <c r="D2725" t="n">
        <v>2</v>
      </c>
      <c r="E2725" t="n">
        <v>0</v>
      </c>
      <c r="F2725">
        <f>HYPERLINK("https://www.reddit.com/r/cancer/comments/bvtnlx/cancer_in_lungs_necrosis_pneumonia_staph_infection/")</f>
        <v/>
      </c>
      <c r="G2725" t="inlineStr">
        <is>
          <t>2019-06-01 21:17:07</t>
        </is>
      </c>
      <c r="H2725" t="inlineStr"/>
    </row>
    <row r="2726">
      <c r="A2726" t="inlineStr">
        <is>
          <t>bvv1em</t>
        </is>
      </c>
      <c r="B2726" t="inlineStr">
        <is>
          <t>Deal with cancer alone</t>
        </is>
      </c>
      <c r="C2726" t="inlineStr">
        <is>
          <t>I am a 39/F, single. Getting through a nonHodgkin lymphoma cancer. I deal with it mostly alone. My folks are old, only few good friends known. Doc said it’s treatable. I won’t died from it. Don’t even lost hair from chemo. I didn’t know need to take lot of pills besides that... it’s tough. 
Recently single before cancer and before lot of guys like me, but now they just run away when they known esp on dating website. So I cancelled all and focus on myself. I stay home almost 24/7 except morning walk for 30 mins. Because need to avoid crowd. (I live in the city) stop working and all. Worst is not only physically also mentally. Feel lonely as ever.</t>
        </is>
      </c>
      <c r="D2726" t="n">
        <v>1</v>
      </c>
      <c r="E2726" t="n">
        <v>0</v>
      </c>
      <c r="F2726">
        <f>HYPERLINK("https://www.reddit.com/r/cancer/comments/bvv1em/deal_with_cancer_alone/")</f>
        <v/>
      </c>
      <c r="G2726" t="inlineStr">
        <is>
          <t>2019-06-02 00:41:19</t>
        </is>
      </c>
      <c r="H2726" t="inlineStr"/>
    </row>
    <row r="2727">
      <c r="A2727" t="inlineStr">
        <is>
          <t>bvv21w</t>
        </is>
      </c>
      <c r="B2727" t="inlineStr">
        <is>
          <t>i need help with a conversation starter...</t>
        </is>
      </c>
      <c r="C2727" t="inlineStr">
        <is>
          <t>a longtime friend of mine has been given “a couple of weeks to a couple of months” to live. they are saying either his heart will give out or his lungs will. he has declined any other interventions (CPR or a tube in his lungs). they’re discharging him from the hospital this tuesday and are trying to keep him as comfortable as possible. then it’ll be hospice care from home. his girlfriend has told me to come visit sooner rather than later. i’m trying to get to him as quickly as i can but we are about six states away and i also have three little ones that i need to arrange to be taken care of while i’m gone (i am a stay at home mom and my husband works full time). i am making arrangements though.
when i get there, i’m scared shitless about my emotions. i know i can’t sit there and cry the whole time. i haven’t seen him in person since october 2018, before he even knew he had cancer, and a brief facetime call after he had shaved his dreads and giving me an update on the progress of his treatment (which seemed like *good* progress). he’s such a great friend of mine and i’m not prepared to lose him. we’ve been friends since freshmen year of high school (2009). he’s attempted to teach my how to drive stick shift on multiple occasions (there were a lot of almost wrecks), and we hung out weekly when we had half-days as seniors. even after high school we’ve always kept in touch. he visited me in college even when we were states away, when i was on bedrest with complications while pregnant with my twins, for their first birthday, and he made it a point to visit often knowing i can’t travel while being a new mom. we’re so close that he and my husband are now buddies and i am very close with his girlfriend. 
minus my emotions, i’m so afraid of what to talk about. he hates talking about his cancer, which is understandable. he got really upset with me once because i asked a lot of questions a few weeks ago. he quickly apologized because he realized he snapped and told me about his pain and the treatments/medications side effects but since then, i took a step back from my questions...which i now regret because this took me completely off guard. he is the type of person to redirect the conversation off himself and onto anything else. so he’ll have me talking about myself - my homebuying process or my kids or an update on my husbands new job. before he was pretty much in the hospital, he was flying back and fourth from MD to TX for treatment and had stopped working and no longer had his condo or truck. so i’m lost about what to talk to him about. what is appropriate and what is not. i don’t want to say anything that’ll make him upset or ask too many questions or bring up something that’ll make him even more upset (involving work or old hobbies that he isn’t about to do). 
i know i’m just rambling at this point but i’ve been trying to put on my big girl panties since i found out thursday. its hard to be mom to my boys and a good wife to my husband knowing i’m about to lose my friend of 10+ years. my familiar all depend on me being on my A-game but it’s really nice to vent. i just need a good cry. i haven’t had anyone i know die of cancer and i’m having a hard time pulling it together. and just now having a time frame and waking up everyday wondering about the possibilities is just making it worse for me. the only other person who has died in my life was my father when i was seven from a gunshot wound, which was abrupt with no heads up or time to say goodbye. i really can’t handle this. 
so please help, what conversation starters should i have? do i just talk about the weather in MD? what should i not say or do? 
thanks for reading my rant.</t>
        </is>
      </c>
      <c r="D2727" t="n">
        <v>9</v>
      </c>
      <c r="E2727" t="n">
        <v>13</v>
      </c>
      <c r="F2727">
        <f>HYPERLINK("https://www.reddit.com/r/cancer/comments/bvv21w/i_need_help_with_a_conversation_starter/")</f>
        <v/>
      </c>
      <c r="G2727" t="inlineStr">
        <is>
          <t>2019-06-02 00:44:20</t>
        </is>
      </c>
      <c r="H2727" t="inlineStr"/>
    </row>
    <row r="2728">
      <c r="A2728" t="inlineStr">
        <is>
          <t>bvxff8</t>
        </is>
      </c>
      <c r="B2728" t="inlineStr">
        <is>
          <t>Iron deficiency and colon cancer severity</t>
        </is>
      </c>
      <c r="C2728" t="inlineStr">
        <is>
          <t>During a colonoscopy the doctors found a tumour in a family member's colon. She is going for further consultation and test results next week but the doctors said that they thought that the tumour was most likely malignant. She has suffered from an inexplicable iron deficiency for a over a year as far as I know and this, coupled with gastrointestinal issues, was the reason that a colonoscopy was performed. My question is: Does this iron deficiency mean that the tumour is in one of the latter stages or that the cancer is more severe? I am of course aware that it is best to await test results and so forth but I would like an indication of what to expect.</t>
        </is>
      </c>
      <c r="D2728" t="n">
        <v>1</v>
      </c>
      <c r="E2728" t="n">
        <v>3</v>
      </c>
      <c r="F2728">
        <f>HYPERLINK("https://www.reddit.com/r/cancer/comments/bvxff8/iron_deficiency_and_colon_cancer_severity/")</f>
        <v/>
      </c>
      <c r="G2728" t="inlineStr">
        <is>
          <t>2019-06-02 06:36:38</t>
        </is>
      </c>
      <c r="H2728" t="inlineStr"/>
    </row>
    <row r="2729">
      <c r="A2729" t="inlineStr">
        <is>
          <t>bvxiq2</t>
        </is>
      </c>
      <c r="B2729" t="inlineStr">
        <is>
          <t>Does anyone have experience with blood clots post treatment?</t>
        </is>
      </c>
      <c r="C2729" t="inlineStr">
        <is>
          <t>Hi all! 
I’m prefacing this as I already have an appointment on the books to see the doctor next week but just looking for some perspective for my own piece of mind.
When I started my journey, I was diagnosed with a blood clot in my jugular vein that stretched down my arm. This was caused by a tumor pressing on my heart. Doctor said I shouldn’t be at risk for more clots anymore since the cancer is gone. 
However, I’ve been noticing recently I’ve been having mild headaches and feel off. When I get tired or agitated, I slur some words, my balance is slightly off and I’m tired still. I finished up treatment at the end of April and can’t tell if some of these symptoms are residual from cancer treatment or if I’m getting another clot. They are all pretty broad symptoms that can point to a lot of things so I’m kinda at a loss. 
Does anyone have experience with clots post treatment? Can it just be that I’m still recovering from the treatment that went on? Can treatment cause clotting issues down the road (I got RCHOP+ radiation)? I’m going to get this checked out but for my own peace of mind I wanted some feedback. 
TIA</t>
        </is>
      </c>
      <c r="D2729" t="n">
        <v>2</v>
      </c>
      <c r="E2729" t="n">
        <v>1</v>
      </c>
      <c r="F2729">
        <f>HYPERLINK("https://www.reddit.com/r/cancer/comments/bvxiq2/does_anyone_have_experience_with_blood_clots_post/")</f>
        <v/>
      </c>
      <c r="G2729" t="inlineStr">
        <is>
          <t>2019-06-02 06:46:56</t>
        </is>
      </c>
      <c r="H2729" t="inlineStr"/>
    </row>
    <row r="2730">
      <c r="A2730" t="inlineStr">
        <is>
          <t>bvxmmh</t>
        </is>
      </c>
      <c r="B2730" t="inlineStr">
        <is>
          <t>Breast cancer story from a husband’s perspective</t>
        </is>
      </c>
      <c r="C2730" t="inlineStr">
        <is>
          <t>I just though I may give periodic updates (hopefully weekly) on what it is like to get a cancer diagnosis unexpectedly. I did not find a lot of stories out there and hopefully this will help someone else. 
Some background: I am over 40 and my wife is 38. We have three kids a teenager, 3rd grader, and a kindergartner. We are Americans. My wife works a job caring for small children. A job she took mainly for health insurance. I own a couple of small businesses. Most of our money is tied up in the businesses and properties that we rent out. We are asset rich and cash poor I guess you could say.
She found a lump in her breast two weeks ago. When I felt it blew my mind...it was big. I was immediately shocked and scared her when I mentioned how big it was. I asked her a couple of times how did she not know that was there. She just didn’t and she was a bit defensive when I asked that so I stopped the questioning.
I have to be honest and tell you that I was a bit perturbed. One of my first thoughts was “with three young kids how are you not checking yourself”. It just blew my mind something the size of a golf ball could grow in someone’s breast and they not notice it.
My wife and I rarely have sex. She has been very low libido our entire marriage. I have been very high libido. All three of our kids were born roughly nine months after my birthday. I kind of felt like...hey if we actually had sex I may have noticed the gold ball in your breast. Anyways, the sex thing is not that big of an issue.
We are both very loyal people and like the status quo. She is a good mother and has been my best friend for two decades. I have never cheated nor really wanted to. Certainly there have been temptations but I value my integrity.
I just tell you that so you can have some in-site into our lives and see that it is not a perfect marriage.
The diagnosis upset her a lot. I am an answer type person so I tried jumping into educating myself via social groups, documentaries, and reading. That is not her thing though. The documentaries upset her. The social groups upset her. Mainly because not everyone has a happy ending and there is pain and tragedy with cancer. I feel knowing is important. I am not sure how she feels.
Our entire marriage she has clammed up. She does not share emotions. She does not communicate. She internalizes everything. Occasionally she will show some emotion by crying but cannot or will not explain why she is crying. 
She has cried more over this than anything else During our marriage and that is totally understandable. I don’t know what to do to help. We don’t have that type of marriage where physical affection plays a large role. I am a hugger, I like pdas, I like physical affection but she has never been one to reciprocate. I stopped trying long ago. It is not that type of relationship where I could just hold her. 
What we know right now is that it is breast cancer. We are waiting for an MRI this upcoming week and to get labs back on biomarkers. A friend of hers from high school connected my wife to a former employee at the Susan G Komem foundation. That lady is awesome. My wife talked to her for a couple of hours this weekend and she has a tremendous network and knowledge. I listened to the conversation and this lady put my mind at ease. I am a planner and I like Plan As and Plan Bs. Right off the bat this lady helped outline a Plan A and gave enough information for a Plan B. I feel like anything can be accomplished with a solid plan and good execution.
However, my wife is still dealing with the emotional aspects. I worry about depression because she internalizes emotions. I don’t think depression is a winning strategy. I don’t see that it has a place in this dynamic. In my perspective she needs to fight that depression as hard as she is fighting cancer.
I may have made the mistake by telling her “you do not have the luxury to be depressed because you have to model strength and how to overcome adversity to your daughters”.
Our teenager knows. My wife told her in passing. I asked my teenage daughter is she had any questions and she said “no”. She is a smart kid and she is very aware of things going on around her. I don’t know what is going on in her head. The little girls do not know anything.
So we wait for the MRI and then for an appointment with a surgeon that will go over the MRI results and the secondary lab results. We are waiting to see what stage it is in. The size makes me fear that it could be stage 4 but I don’t know anything about stages really. I am hopeful that it is stage one. My wife has this cough and I am worried that it may be related. The lady from Susan G said that lungs and throat were typical areas for breast cancer to move to. 
I am trying to pick up more of the responsibilities. I feel a bit frustrated because I cant really do anything but try and be supportive. I ordered a couple of recipe books so that we can go to a healthier diet. I am focusing on working out and lifting weights for myself. I feel like this could affect me emotionally and I need to continue my hobbies and stay focused on my emotional and physical health also. I worry that she may see it as me being self-centered...I dunno.
I do a lot of the cooking so we, as a family will take this opportunity to really move towards a healthier and more active lifestyle. I now worry about my health a lot because we have three young kids. I think “what if it is stage four, what if it is chronic”. I don’t want my kids to have two parents facing this type of adversity. I now feel responsible for making sure that I am in primo health.
This is just a weird and frustrating thing. I see us both as still young and this whole thing has caught both of us off guard. That is it. I will post again once we have rests back and more information.
My heart goes out to anyone else that goes through this. I really feel bad for those that may not have a support structure at home. If you feel like you are alone and are facing a cancer diagnosis then don’t hesitate to message me even if it is just to chat.</t>
        </is>
      </c>
      <c r="D2730" t="n">
        <v>21</v>
      </c>
      <c r="E2730" t="n">
        <v>35</v>
      </c>
      <c r="F2730">
        <f>HYPERLINK("https://www.reddit.com/r/cancer/comments/bvxmmh/breast_cancer_story_from_a_husbands_perspective/")</f>
        <v/>
      </c>
      <c r="G2730" t="inlineStr">
        <is>
          <t>2019-06-02 06:59:18</t>
        </is>
      </c>
      <c r="H2730" t="inlineStr"/>
    </row>
    <row r="2731">
      <c r="A2731" t="inlineStr">
        <is>
          <t>bvxvba</t>
        </is>
      </c>
      <c r="B2731" t="inlineStr">
        <is>
          <t>Hair loss and chemo</t>
        </is>
      </c>
      <c r="C2731" t="inlineStr">
        <is>
          <t>My mom was diagnosed with breast cancer, and has done her second chemo treatment. She has lost all her hair but has noticed her hair is starting to grow back. She is wondering if her hair will fall out again after her next chemo treatment?</t>
        </is>
      </c>
      <c r="D2731" t="n">
        <v>3</v>
      </c>
      <c r="E2731" t="n">
        <v>5</v>
      </c>
      <c r="F2731">
        <f>HYPERLINK("https://www.reddit.com/r/cancer/comments/bvxvba/hair_loss_and_chemo/")</f>
        <v/>
      </c>
      <c r="G2731" t="inlineStr">
        <is>
          <t>2019-06-02 07:24:18</t>
        </is>
      </c>
      <c r="H2731" t="inlineStr"/>
    </row>
    <row r="2732">
      <c r="A2732" t="inlineStr">
        <is>
          <t>bvyn4w</t>
        </is>
      </c>
      <c r="B2732" t="inlineStr">
        <is>
          <t>uveal melanoma</t>
        </is>
      </c>
      <c r="C2732" t="inlineStr">
        <is>
          <t>Hi All,
Not sure if this is a good place to post this or not. if not, can you point me in the right direction?
About a month  a go my wife was diagnosed with uveal melanoma, a medium sized tumor accords to the doctor.  My wife is 45 years old, in great health and has yearly eye exams and gets her physical so needless to say, this news was devastating The recommended treatment is/was radiation plaque treatment of which my wife is currently on day 3 of the implant in her eye.  My wife had the usual battery of testing done prior to the procedure and everything came up as clear as far as spread - just incredibly good news.  We're remaining in good spirits are are very positive about her prognosis and the treatment.   
All that said, I read a lot about the treatment being successful but the cancer still spreading to the liver in 50% of all cases this which does not make me feel all that well.  When that happens, it's almost always fatal within 12 months. Our doctor relay this to us:
&amp;amp;#x200B;
&amp;gt;  First, it is extremely rare for a lesion like this to have spread to other parts of the body by the time it is diagnosed in the eye. Second, the types and success for treatments if it has spread vary based on how aggressive the lesion is and a few other factors. There is no easy answer to give on that front. It is also important to state that the largest predictive factor of whether this spot is likely to spread is based on the genetic characteristics of the lesion, which we will only get after performing the biopsy. Based on the size of the lesion alone, it is a reasonable chance that there will not be spread at all. 
&amp;amp;#x200B;
That being said, I'm looking for real people who have gone through this.  I've read all this material and information on this cancer but am looking for real life cases - people who actually went through this. I guess I'm looking for a way to gauge our case with real life examples vs a percentage in a research paper. When we get through this treatment, how likely is it to spread?
I'm really grasping on to hope and faith but sometimes its all I can do to  stop myself from breaking down in front of my wife and our 8 year old.
&amp;amp;#x200B;
Thanks all,</t>
        </is>
      </c>
      <c r="D2732" t="n">
        <v>9</v>
      </c>
      <c r="E2732" t="n">
        <v>3</v>
      </c>
      <c r="F2732">
        <f>HYPERLINK("https://www.reddit.com/r/cancer/comments/bvyn4w/uveal_melanoma/")</f>
        <v/>
      </c>
      <c r="G2732" t="inlineStr">
        <is>
          <t>2019-06-02 08:41:00</t>
        </is>
      </c>
      <c r="H2732" t="inlineStr"/>
    </row>
    <row r="2733">
      <c r="A2733" t="inlineStr">
        <is>
          <t>bvzpw4</t>
        </is>
      </c>
      <c r="B2733" t="inlineStr">
        <is>
          <t>Sorry for the Negativity.</t>
        </is>
      </c>
      <c r="C2733" t="inlineStr">
        <is>
          <t>What this is doing to my Dad is disgusting. And our family is having such a hard time being kind to each other because we are so angry at this Cancer.
It’s just flipped the world upside down. Feels like we live in a city under constant attack.</t>
        </is>
      </c>
      <c r="D2733" t="n">
        <v>9</v>
      </c>
      <c r="E2733" t="n">
        <v>4</v>
      </c>
      <c r="F2733">
        <f>HYPERLINK("https://www.reddit.com/r/cancer/comments/bvzpw4/sorry_for_the_negativity/")</f>
        <v/>
      </c>
      <c r="G2733" t="inlineStr">
        <is>
          <t>2019-06-02 10:17:39</t>
        </is>
      </c>
      <c r="H2733" t="inlineStr"/>
    </row>
    <row r="2734">
      <c r="A2734" t="inlineStr">
        <is>
          <t>bw28fv</t>
        </is>
      </c>
      <c r="B2734" t="inlineStr">
        <is>
          <t>Out of control nausea/vomiting. Nothing is helping.</t>
        </is>
      </c>
      <c r="C2734" t="inlineStr">
        <is>
          <t>Hi everyone! I have stage 4b hodgekins lymphoma. Just got my fourth dose of chemo. My nausea has been absolutely out of control. I am on compazine, Zofran, Ativan, Medical Marijuana, &amp;amp; Dramamine. It is now to the point that I throw up the tiny sips of water I take with my morning meds. Nothing stays down. I was told the medical marijuana would help, and it does maybe a little. But not enough to quell the constant puking. I’m at a loss. I’m hoping someone else out there has had a similar experience and has some tips? Thanks in advance.</t>
        </is>
      </c>
      <c r="D2734" t="n">
        <v>20</v>
      </c>
      <c r="E2734" t="n">
        <v>54</v>
      </c>
      <c r="F2734">
        <f>HYPERLINK("https://www.reddit.com/r/cancer/comments/bw28fv/out_of_control_nauseavomiting_nothing_is_helping/")</f>
        <v/>
      </c>
      <c r="G2734" t="inlineStr">
        <is>
          <t>2019-06-02 14:01:42</t>
        </is>
      </c>
      <c r="H2734" t="inlineStr"/>
    </row>
    <row r="2735">
      <c r="A2735" t="inlineStr">
        <is>
          <t>bw2rqn</t>
        </is>
      </c>
      <c r="B2735" t="inlineStr">
        <is>
          <t>Back pain after partial kidney removal</t>
        </is>
      </c>
      <c r="C2735" t="inlineStr">
        <is>
          <t>I had cancer last year and had it removed successfully thank god. Few times I’ve had back pain and it doesn’t feel quite right still. I’ve been to the doctor couple times and wasn’t much help(plan on going once more then maybe go private) also went to a chiropractor as well and didn’t seem useful and also very expensive. Seems from all this my right side is weak and ligaments in my back are weak. 
Thinking of doing Pilates for core strength and work on my glutes and legs to strengthen below. Just posting to see if anyone has been threw this as well. 
Thanks for reading.</t>
        </is>
      </c>
      <c r="D2735" t="n">
        <v>5</v>
      </c>
      <c r="E2735" t="n">
        <v>2</v>
      </c>
      <c r="F2735">
        <f>HYPERLINK("https://www.reddit.com/r/cancer/comments/bw2rqn/back_pain_after_partial_kidney_removal/")</f>
        <v/>
      </c>
      <c r="G2735" t="inlineStr">
        <is>
          <t>2019-06-02 14:50:54</t>
        </is>
      </c>
      <c r="H2735" t="inlineStr"/>
    </row>
    <row r="2736">
      <c r="A2736" t="inlineStr">
        <is>
          <t>bw2zbn</t>
        </is>
      </c>
      <c r="B2736" t="inlineStr">
        <is>
          <t>Had a plate round at my apartment failed to get an erection</t>
        </is>
      </c>
      <c r="C2736" t="inlineStr">
        <is>
          <t>Sorry if this is TMI but I had one of my plates “ friend with benefits” at my apartment last night and failed to get an erection. Now she doesn’t know I have cancer, I just met her on tinder few months ago.
I have been tired recently but I’m just wondering if I can get viagra prescribed by a GP in the U.K. 
I’m not trolling I’m 33 and without sex I’ll end up very depressed indeed.</t>
        </is>
      </c>
      <c r="D2736" t="n">
        <v>1</v>
      </c>
      <c r="E2736" t="n">
        <v>10</v>
      </c>
      <c r="F2736">
        <f>HYPERLINK("https://www.reddit.com/r/cancer/comments/bw2zbn/had_a_plate_round_at_my_apartment_failed_to_get/")</f>
        <v/>
      </c>
      <c r="G2736" t="inlineStr">
        <is>
          <t>2019-06-02 15:10:14</t>
        </is>
      </c>
      <c r="H2736" t="inlineStr"/>
    </row>
    <row r="2737">
      <c r="A2737" t="inlineStr">
        <is>
          <t>bw3x58</t>
        </is>
      </c>
      <c r="B2737" t="inlineStr">
        <is>
          <t>Dad might have colon cancer</t>
        </is>
      </c>
      <c r="C2737" t="inlineStr">
        <is>
          <t>Hi everyone, 
My dad recently got admitted to the hospital bc a scan showed a mass on his colon and a blood clot on his spleen. They will be doing a biopsy tomorrow and a colonoscopy tomorrow but for some reason they did a full body scan today and I’m terrified- are they checking to see if it’s cancerous and seeing if it spread to other parts of the body? Or to check for blood clots in the spleen? 
My mother had a conversation earlier today with me to be strong regardless of what it is but I’m terrified. I lost my ex boyfriend in November to suicide, I can’t lose my dad. I can’t imagine him going through chemo, I can’t imagine the toll this will take on his body. 
My dad is really depressed and I keep asking him to talk about it but he won’t. He’s quiet and I think he’s thinking the same thing. I’m completely numb and so his my mother. I’ve done so much research on the topic- what do I do? What can I do to help my family? To help my dad? 
Why is it taking so damn long for them to test him? He was admitted yesterday and I can’t stand not knowing what’s going on.</t>
        </is>
      </c>
      <c r="D2737" t="n">
        <v>2</v>
      </c>
      <c r="E2737" t="n">
        <v>2</v>
      </c>
      <c r="F2737">
        <f>HYPERLINK("https://www.reddit.com/r/cancer/comments/bw3x58/dad_might_have_colon_cancer/")</f>
        <v/>
      </c>
      <c r="G2737" t="inlineStr">
        <is>
          <t>2019-06-02 16:41:41</t>
        </is>
      </c>
      <c r="H2737" t="inlineStr"/>
    </row>
    <row r="2738">
      <c r="A2738" t="inlineStr">
        <is>
          <t>bw44y8</t>
        </is>
      </c>
      <c r="B2738" t="inlineStr">
        <is>
          <t>My week has been one for the books...</t>
        </is>
      </c>
      <c r="C2738" t="inlineStr">
        <is>
          <t>Hey guys, just got diagnosed with Difusse large B cell lymphoma this last Tuesday (28th) and I'm going into chemo exactly one week from then, on the 4th. Originally it was just abdominal pain which I've associated with a bad stomach biome, something along the lines of gastritis or GERD. But this last memorial day weekend after my grandfather's funeral up in the Sacramento area, the pain seemed to work it's way down to my kidneys, with what I imagined a kidney stone felt like. I was bed ridden for 4 days or so, using menthol heat pads to ease the pain. Come Sunday I decide to return home to Santa Barbara making the drive in 6 hours flat as my back is killing me and I want to see my doctor. Upon my return home i decided i could bear the pain until Tuesday to schedule an appointment with the doc. 2 writhing sleepless nights later I convince my dad to take me to the ER at 4 AM on Tuesday morning. The docs first assumption was to look for a Kidney stone, so a couple hours and a blood test, urine sample, and CAT scan later; we're left with a normal results and no stones. But he mentioned a very small undefined mass next to my kidneys that he wanted to get checked through an MRI at the ER across town. So 3 more hours later, and MRI, and many complaints from my impatient dad trying to get to work the doc finally comes in. But he closes the door behind him, and hes very serious, with his assistant in training looking shocked. He stutters, then just says it; you've got a type of lymphoma. Me and my dad look at him, eachother, and back at him in disbelief. He begins to explain the success rates, the team working on it, and asks a few questions about how I'm feeling. As hes prodding my stomach asking about pain, he explains that I have a 9 cm by 6 cm mass in between my kidneys and in front of my spine. I'm a whole 130lbs, so it's pretty dang big for my size, but explained why I could never gain weight in the past. But needless to say I was scared, just never think something like this is gonna happen to you. That evening they kept me there, which stretched on till Friday with each day bringing new information. They did a biopsy along with PET scan and installed my port for chemo while figuring out the correct oral pain medication for when I'm discharged. Which they did Friday afternoon, after the PET scan confirmed I was in no immediate danger for the next few days other than the pain I had been feeling. I know, wall of text. But I'm just still trying to process this all and prepare for chemo. Typing this all out has provided some relief and I hope if anyone reads this whole thing you can provide a bit of info that can do the same. Thanks for your time guys/gals you the best.</t>
        </is>
      </c>
      <c r="D2738" t="n">
        <v>62</v>
      </c>
      <c r="E2738" t="n">
        <v>15</v>
      </c>
      <c r="F2738">
        <f>HYPERLINK("https://www.reddit.com/r/cancer/comments/bw44y8/my_week_has_been_one_for_the_books/")</f>
        <v/>
      </c>
      <c r="G2738" t="inlineStr">
        <is>
          <t>2019-06-02 17:04:35</t>
        </is>
      </c>
      <c r="H2738" t="inlineStr"/>
    </row>
    <row r="2739">
      <c r="A2739" t="inlineStr">
        <is>
          <t>bw5v0p</t>
        </is>
      </c>
      <c r="B2739" t="inlineStr">
        <is>
          <t>Car-t therapy for Non-Hodgkins Lymphoma</t>
        </is>
      </c>
      <c r="C2739" t="inlineStr">
        <is>
          <t>I rarely post on Reddit, so I hope this is the right place to post this. I just received news that my dad, who’s been battling NHL for about two years now, has decided to take part in a car-t therapy trial. It’s a relatively new treatment, and from what he’s told me there are some unpleasant side effects. From what I can understand, they extract some of his cells, genetically engineer them, and then infuse him with the GE cells.
This was a hard decision for him to make, but he believes it is the best way to achieve remission. I’m wondering if anyone on here has experience with car-t therapy, and if they could share what that experience has been. I can’t help but worry about him, although I know I need to stay positive.</t>
        </is>
      </c>
      <c r="D2739" t="n">
        <v>5</v>
      </c>
      <c r="E2739" t="n">
        <v>8</v>
      </c>
      <c r="F2739">
        <f>HYPERLINK("https://www.reddit.com/r/cancer/comments/bw5v0p/cart_therapy_for_nonhodgkins_lymphoma/")</f>
        <v/>
      </c>
      <c r="G2739" t="inlineStr">
        <is>
          <t>2019-06-02 20:05:55</t>
        </is>
      </c>
      <c r="H2739" t="inlineStr"/>
    </row>
    <row r="2740">
      <c r="A2740" t="inlineStr">
        <is>
          <t>bw6o86</t>
        </is>
      </c>
      <c r="B2740" t="inlineStr">
        <is>
          <t>Hello my beautifuls</t>
        </is>
      </c>
      <c r="C2740" t="inlineStr">
        <is>
          <t>Just wanted to say I’m thinking of you all with love and light this evening. Come put your head in my lap and tell me your troubles, if you want. Much love!</t>
        </is>
      </c>
      <c r="D2740" t="n">
        <v>22</v>
      </c>
      <c r="E2740" t="n">
        <v>2</v>
      </c>
      <c r="F2740">
        <f>HYPERLINK("https://www.reddit.com/r/cancer/comments/bw6o86/hello_my_beautifuls/")</f>
        <v/>
      </c>
      <c r="G2740" t="inlineStr">
        <is>
          <t>2019-06-02 21:37:09</t>
        </is>
      </c>
      <c r="H2740" t="inlineStr"/>
    </row>
    <row r="2741">
      <c r="A2741" t="inlineStr">
        <is>
          <t>bw7948</t>
        </is>
      </c>
      <c r="B2741" t="inlineStr">
        <is>
          <t>How can I support my mom after she gets a double mastectomy next week?</t>
        </is>
      </c>
      <c r="C2741" t="inlineStr">
        <is>
          <t>I live about an hour away and I will be working throughout the week. I’ll be coming home every Saturday through Monday to help out at home because I won’t have work those days. During this recovery and my limited time at home, I want to be as supportive as possible.
How can I help her? Is there something you wish people did for you that they didn’t? Do’s and Don’ts? The best ways to make her comfortable?
Any advice is appreciated. I can’t thank you enough. Thank you</t>
        </is>
      </c>
      <c r="D2741" t="n">
        <v>3</v>
      </c>
      <c r="E2741" t="n">
        <v>7</v>
      </c>
      <c r="F2741">
        <f>HYPERLINK("https://www.reddit.com/r/cancer/comments/bw7948/how_can_i_support_my_mom_after_she_gets_a_double/")</f>
        <v/>
      </c>
      <c r="G2741" t="inlineStr">
        <is>
          <t>2019-06-02 22:52:25</t>
        </is>
      </c>
      <c r="H2741" t="inlineStr"/>
    </row>
    <row r="2742">
      <c r="A2742" t="inlineStr">
        <is>
          <t>bw9c9w</t>
        </is>
      </c>
      <c r="B2742" t="inlineStr">
        <is>
          <t>Any advice on how to support my dad following his radical prostatectomy?</t>
        </is>
      </c>
      <c r="C2742" t="inlineStr">
        <is>
          <t>Hi there everyone,
My dad is having his prostate and corresponding lymph nodes removed today after learning of his prostate cancer diagnosis a couple of months ago. 
I was wondering if anyone here has gone through the surgery, or knows of someone who did, and has any advice/recommendations on how to support someone following the operation? 
My dad has had other procedures such as joint replacements, but this is much more serious and sensitive given the part of his body that is affected.
Thank you in advance!</t>
        </is>
      </c>
      <c r="D2742" t="n">
        <v>9</v>
      </c>
      <c r="E2742" t="n">
        <v>2</v>
      </c>
      <c r="F2742">
        <f>HYPERLINK("https://www.reddit.com/r/cancer/comments/bw9c9w/any_advice_on_how_to_support_my_dad_following_his/")</f>
        <v/>
      </c>
      <c r="G2742" t="inlineStr">
        <is>
          <t>2019-06-03 03:58:23</t>
        </is>
      </c>
      <c r="H2742" t="inlineStr"/>
    </row>
    <row r="2743">
      <c r="A2743" t="inlineStr">
        <is>
          <t>bwbox9</t>
        </is>
      </c>
      <c r="B2743" t="inlineStr">
        <is>
          <t>Father of a son with Leukemia - Finished Induction and Consolidation, now wondering what to expect in Interim Maintenance, Delayed Intensification and beyond.</t>
        </is>
      </c>
      <c r="C2743" t="inlineStr">
        <is>
          <t>To make  along story short, my 11 year old son was diagnosed with acute lymphocytic Leukemia in February completely out of the blue. We began treatment and have moved through the induction and consolidations phases and he was just released from his first inpatient stay in interim maintenance where he received high dose Methotrexate, additional Methotrexate through an LP and Vincristine. He's home and seems to be recovering well. Towards the end of consolidation he was constantly nauseous and has lost about 12-13% of his weight but had a three week reprieve while we waited for him to make numbers to proceed into Interim Maintenance. 
As I said, his first high-dose MTX seemed to go well. Had a bit of nausea which we think was the LP and is complaining a bit of some jaw pain from the VCR we presume but all in all he's making it. He was on fluids for around 36 hours after completing the MTX. We've got close to two weeks before his next scheduled infusion and have three more total high-dose MTX infusions on the treatment calendar. From there it's delayed intensification and then hopefully onto maintenance.
We don't know anyone personally who's gone through ALL so if anyone has any experiences to share we'd appreciate it. We're being told that he should be able to go to school through maintenance and just miss for his monthly infusions but at this point I'm having a hard time envisioning what that looks like.</t>
        </is>
      </c>
      <c r="D2743" t="n">
        <v>22</v>
      </c>
      <c r="E2743" t="n">
        <v>18</v>
      </c>
      <c r="F2743">
        <f>HYPERLINK("https://www.reddit.com/r/cancer/comments/bwbox9/father_of_a_son_with_leukemia_finished_induction/")</f>
        <v/>
      </c>
      <c r="G2743" t="inlineStr">
        <is>
          <t>2019-06-03 08:05:35</t>
        </is>
      </c>
      <c r="H2743" t="inlineStr"/>
    </row>
    <row r="2744">
      <c r="A2744" t="inlineStr">
        <is>
          <t>bwddr9</t>
        </is>
      </c>
      <c r="B2744" t="inlineStr">
        <is>
          <t>Elevated liver enzymes on immuno</t>
        </is>
      </c>
      <c r="C2744" t="inlineStr">
        <is>
          <t>I am getting opdivo and yervoy and my liver enzymes were 140 today. Going back for re test on labs on Friday, but going ahead with treatment today.  I didn't have any mets to liver, tumor is on trachea and had a pericardial effusion and a few nodes in my clavicle area. Doc doesn't seem too terribly worried but of course I am. Anyone have this on immuno? she thinks this is drug related and not cancer related since bilirubin and everything else is normal. Thanks!</t>
        </is>
      </c>
      <c r="D2744" t="n">
        <v>3</v>
      </c>
      <c r="E2744" t="n">
        <v>3</v>
      </c>
      <c r="F2744">
        <f>HYPERLINK("https://www.reddit.com/r/cancer/comments/bwddr9/elevated_liver_enzymes_on_immuno/")</f>
        <v/>
      </c>
      <c r="G2744" t="inlineStr">
        <is>
          <t>2019-06-03 10:29:29</t>
        </is>
      </c>
      <c r="H2744" t="inlineStr"/>
    </row>
    <row r="2745">
      <c r="A2745" t="inlineStr">
        <is>
          <t>bwely8</t>
        </is>
      </c>
      <c r="B2745" t="inlineStr">
        <is>
          <t>Just lost my dad to stage 4 lung cancer.</t>
        </is>
      </c>
      <c r="C2745" t="inlineStr">
        <is>
          <t>I just lost my dad to stage 4 lung cancer this morning. I'm not really sure why I'm posting this but to say, tell them you love them all the time and don't hold anything back thinking oh I will tell them the next I see them. I would give anything to have last night back to tell him I love him and that he was my best friend.
I love you dad RIP.</t>
        </is>
      </c>
      <c r="D2745" t="n">
        <v>0</v>
      </c>
      <c r="E2745" t="n">
        <v>0</v>
      </c>
      <c r="F2745">
        <f>HYPERLINK("https://www.reddit.com/r/cancer/comments/bwely8/just_lost_my_dad_to_stage_4_lung_cancer/")</f>
        <v/>
      </c>
      <c r="G2745" t="inlineStr">
        <is>
          <t>2019-06-03 12:10:50</t>
        </is>
      </c>
      <c r="H2745" t="inlineStr"/>
    </row>
    <row r="2746">
      <c r="A2746" t="inlineStr">
        <is>
          <t>bwfdv2</t>
        </is>
      </c>
      <c r="B2746" t="inlineStr">
        <is>
          <t>Brother 42 recently diagnosed with stage 4 colorectal cancer</t>
        </is>
      </c>
      <c r="C2746" t="inlineStr">
        <is>
          <t>My brother has just recently been diagnosed with stage 4 cancer.  He has mets in his intestines, liver, and lung.  He starts chemo on June 11th.  I am trying to get a good idea of what his outcome would be.  He is a meth addict, and is trying to stop but after about a week he gets high again.  I am terrified that if he doesn't quit he will die sooner than the 1-5 year that the doctor told him.</t>
        </is>
      </c>
      <c r="D2746" t="n">
        <v>16</v>
      </c>
      <c r="E2746" t="n">
        <v>14</v>
      </c>
      <c r="F2746">
        <f>HYPERLINK("https://www.reddit.com/r/cancer/comments/bwfdv2/brother_42_recently_diagnosed_with_stage_4/")</f>
        <v/>
      </c>
      <c r="G2746" t="inlineStr">
        <is>
          <t>2019-06-03 13:12:46</t>
        </is>
      </c>
      <c r="H2746" t="inlineStr"/>
    </row>
    <row r="2747">
      <c r="A2747" t="inlineStr">
        <is>
          <t>bwfkd0</t>
        </is>
      </c>
      <c r="B2747" t="inlineStr">
        <is>
          <t>Possible cause for ALCL ALK- in a 32 year old man</t>
        </is>
      </c>
      <c r="C2747" t="inlineStr">
        <is>
          <t>Hey all,
My best friend was just diagnosed with a stage 3 Anaplastic large cell lymphoma.
ALK negative
CD30
I have been reading about it thoroughly and normally ALK negative is something that applies to men over 60.
My friend is 32 years old, in good physical shape, non smoker, and presumably shouldn't have negative ALK.
I tried to find possible causes for ALCL that might explain this, but wasn't able to find anything online.
I was wondering if anyone has any information to share that might shad some light on that.
If there is an artificial cause for this (Cellphone radiation, certain foods, etc.) we need to be aware of this and keep them away from him.
Thanks in advance,
Omer</t>
        </is>
      </c>
      <c r="D2747" t="n">
        <v>7</v>
      </c>
      <c r="E2747" t="n">
        <v>6</v>
      </c>
      <c r="F2747">
        <f>HYPERLINK("https://www.reddit.com/r/cancer/comments/bwfkd0/possible_cause_for_alcl_alk_in_a_32_year_old_man/")</f>
        <v/>
      </c>
      <c r="G2747" t="inlineStr">
        <is>
          <t>2019-06-03 13:27:32</t>
        </is>
      </c>
      <c r="H2747" t="inlineStr"/>
    </row>
    <row r="2748">
      <c r="A2748" t="inlineStr">
        <is>
          <t>bwgafl</t>
        </is>
      </c>
      <c r="B2748" t="inlineStr">
        <is>
          <t>Labs good, but still feel like shit</t>
        </is>
      </c>
      <c r="C2748" t="inlineStr">
        <is>
          <t>My labs from my 4th treatment all came back perfect. The nurse said she hardly ever sees that.  Regardless of that point, I'm still constantly freezing and it always gets worse around 5 or 6 o'clock in the evening.</t>
        </is>
      </c>
      <c r="D2748" t="n">
        <v>3</v>
      </c>
      <c r="E2748" t="n">
        <v>6</v>
      </c>
      <c r="F2748">
        <f>HYPERLINK("https://www.reddit.com/r/cancer/comments/bwgafl/labs_good_but_still_feel_like_shit/")</f>
        <v/>
      </c>
      <c r="G2748" t="inlineStr">
        <is>
          <t>2019-06-03 14:28:34</t>
        </is>
      </c>
      <c r="H2748" t="inlineStr"/>
    </row>
    <row r="2749">
      <c r="A2749" t="inlineStr">
        <is>
          <t>bwhlsn</t>
        </is>
      </c>
      <c r="B2749" t="inlineStr">
        <is>
          <t>Pancreatic cancer diagnosis</t>
        </is>
      </c>
      <c r="C2749" t="inlineStr">
        <is>
          <t>A family member was just diagnosed with pancreatic cancer after developing jaundice. They are not very sophisticated medically and they are being treated in a foreign country so we don’t really have any more information than that diagnosis and the fact that they expect undergo some kind of surgery in the next 4 weeks. they are also a transplant recipient so any immunotherapy options are probably limited. They also don’t really want to talk about the cancer. What would be an average course of disease, treatment course, and prognosis if we don’t get any more information than that? Obviously I know that pancreatic cancer is a very dire diagnosis and I know median survival timing. They are late 70’s.</t>
        </is>
      </c>
      <c r="D2749" t="n">
        <v>5</v>
      </c>
      <c r="E2749" t="n">
        <v>6</v>
      </c>
      <c r="F2749">
        <f>HYPERLINK("https://www.reddit.com/r/cancer/comments/bwhlsn/pancreatic_cancer_diagnosis/")</f>
        <v/>
      </c>
      <c r="G2749" t="inlineStr">
        <is>
          <t>2019-06-03 16:26:42</t>
        </is>
      </c>
      <c r="H2749" t="inlineStr"/>
    </row>
    <row r="2750">
      <c r="A2750" t="inlineStr">
        <is>
          <t>bwhsmy</t>
        </is>
      </c>
      <c r="B2750" t="inlineStr">
        <is>
          <t>Need some advice from other GBM (or any cancer really) families</t>
        </is>
      </c>
      <c r="C2750" t="inlineStr">
        <is>
          <t>So my Dad got diagnosed with GBM back in February, and had 3 tumors removed. Before this, my Dad lived alone, had some land, a wood stove he had to maintain, 4 wheeler, guns and just enjoyed being outside - you get the idea. My Dad has always been a stubborn person. Well, after the surgery he was told he could not stay alone, couldn’t drive etc. I have a one year old son, and a job and couldn’t financially afford to quit my job and be a care taker. His sister unfortunately passed away a year or so ago from the same thing so my uncle said my Dad could stay with him and he would take him to appointments and take care of him because he had an idea of what he was going through and it seemed like a perfect arrangement. This was fine for a few weeks until my Dad started lying and going behind family members backs to stay at his house and just started driving again. All the guns have been removed from his house, but we didn’t know he had a spare car key. We have tried and tried to talk to him and convince him he shouldn’t be staying alone and of course shouldn’t be driving because he could kill himself or lord forbid someone else (a car with a child... anything) and this is to no avail. I hate telling him he can’t do things because I know he doesn’t have much time left, but I still want him to be safe. Oh, and I have taken over paying his bills, and saw he had went to the ABC store. He hasn’t received his full disability check yet, so I have been helping him with money but I am not doing that anymore once I saw that charge - I will buy groceries/food but not cash. My Dad has always been a bit of a drinker - but he is staying alone doing this with the attitude he is dying anyways.
What can we do here? How can we talk to him? I want a way to get to him, but I don’t even know what’s best at this point. I know he is very confused and doesn’t want to admit that.</t>
        </is>
      </c>
      <c r="D2750" t="n">
        <v>10</v>
      </c>
      <c r="E2750" t="n">
        <v>5</v>
      </c>
      <c r="F2750">
        <f>HYPERLINK("https://www.reddit.com/r/cancer/comments/bwhsmy/need_some_advice_from_other_gbm_or_any_cancer/")</f>
        <v/>
      </c>
      <c r="G2750" t="inlineStr">
        <is>
          <t>2019-06-03 16:44:45</t>
        </is>
      </c>
      <c r="H2750" t="inlineStr"/>
    </row>
    <row r="2751">
      <c r="A2751" t="inlineStr">
        <is>
          <t>bwiuz6</t>
        </is>
      </c>
      <c r="B2751" t="inlineStr">
        <is>
          <t>Mom's life expectancy just cut in half</t>
        </is>
      </c>
      <c r="C2751" t="inlineStr">
        <is>
          <t>Hey reddit fam,
Again I'm so thankful for all of you. The support, advice, inspiration we give each other really keeps me going.
My mom had an appointment with her oncologist today. 
Unfortunately her chemo is no longer working for her and we had the hard discussion of future hospice or pallative  care.
We had this discussion before when my mom was in a pretty bad state during the winter time, but we were just so certain she would fully pull through. Today a 2 year life expectancy has turned into 6 months.
As this may be the last few months of her life, we are starting to plan some nice summer vacations with the family. And many family from around Canada will be visiting us.
We still haven't given up hope, but the acceptance is getting easier.
Spread the love everyone!!</t>
        </is>
      </c>
      <c r="D2751" t="n">
        <v>51</v>
      </c>
      <c r="E2751" t="n">
        <v>15</v>
      </c>
      <c r="F2751">
        <f>HYPERLINK("https://www.reddit.com/r/cancer/comments/bwiuz6/moms_life_expectancy_just_cut_in_half/")</f>
        <v/>
      </c>
      <c r="G2751" t="inlineStr">
        <is>
          <t>2019-06-03 18:30:28</t>
        </is>
      </c>
      <c r="H2751" t="inlineStr"/>
    </row>
    <row r="2752">
      <c r="A2752" t="inlineStr">
        <is>
          <t>bwja3o</t>
        </is>
      </c>
      <c r="B2752" t="inlineStr">
        <is>
          <t>Starting chemo Thursday</t>
        </is>
      </c>
      <c r="C2752" t="inlineStr">
        <is>
          <t>As the title says. I’m starting Chemo/ Rads Thursday for stage one cervical cancer. I’m getting carboplatin once a week for six weeks and rads daily. 
I’m freakin the fudge out. I have no idea what to expect. I’m scared I’m gonna be too sick to care for my baby. I’m just really scared of something going wrong and getting sick and ending up hospitalized and all the normal fears. 
I’m so freaking pissed I have go thru this. Every fear I have seems to come true. 
If I get thru this I can get thru anything.</t>
        </is>
      </c>
      <c r="D2752" t="n">
        <v>11</v>
      </c>
      <c r="E2752" t="n">
        <v>15</v>
      </c>
      <c r="F2752">
        <f>HYPERLINK("https://www.reddit.com/r/cancer/comments/bwja3o/starting_chemo_thursday/")</f>
        <v/>
      </c>
      <c r="G2752" t="inlineStr">
        <is>
          <t>2019-06-03 19:12:28</t>
        </is>
      </c>
      <c r="H2752" t="inlineStr"/>
    </row>
    <row r="2753">
      <c r="A2753" t="inlineStr">
        <is>
          <t>bwjc5x</t>
        </is>
      </c>
      <c r="B2753" t="inlineStr">
        <is>
          <t>Father of child with congenital AML</t>
        </is>
      </c>
      <c r="C2753" t="inlineStr">
        <is>
          <t>Our son was born with AML a few months ago. He has been responding well to treatments, to the point that they have released him from the NICU and up to the oncology floor. Immediately upon arrival it was apparent that the oncology floor is not used to dealing with babies. We advocated for our sons care and he was returned to the NICU (over-simplifying mostly due to my own personal emotional and physical exhaustion). It is it not clear how many more round of chemo will be “allowed” for him to have in the NICU. What I am unsure of is to what degree can I as a parent influence his location during treatment? Oncology has stated that they can administer chemo In any isolated location in the hospital. This hospital has no NICU step down unit. Do i have any rights to deny my son’s transfer to a different floor/group of the hospital for his treatment? 
This is my first post here and I would just like to thank you all proactively for any help that you may be able to offer here.</t>
        </is>
      </c>
      <c r="D2753" t="n">
        <v>4</v>
      </c>
      <c r="E2753" t="n">
        <v>1</v>
      </c>
      <c r="F2753">
        <f>HYPERLINK("https://www.reddit.com/r/cancer/comments/bwjc5x/father_of_child_with_congenital_aml/")</f>
        <v/>
      </c>
      <c r="G2753" t="inlineStr">
        <is>
          <t>2019-06-03 19:18:07</t>
        </is>
      </c>
      <c r="H2753" t="inlineStr"/>
    </row>
    <row r="2754">
      <c r="A2754" t="inlineStr">
        <is>
          <t>bwk386</t>
        </is>
      </c>
      <c r="B2754" t="inlineStr">
        <is>
          <t>Refusing to go for Chemo</t>
        </is>
      </c>
      <c r="C2754" t="inlineStr">
        <is>
          <t>My dad was diagnosed with Stage 3 colorectal cancer and has undergone one round of radiotherapy and has had surgery to remove his tumour. However, as the doctors also removed his lymph nodes as they found that the cancer cells had spread there, they are recommending him to go for chemotherapy. My dad (53yo) refuses to go for chemotherapy as he says that the chemotherapy will make him even weaker then now and he will die within a year if he goes for chemo. Is there any way that I can convince him to go for chemo or should I just let him be?</t>
        </is>
      </c>
      <c r="D2754" t="n">
        <v>6</v>
      </c>
      <c r="E2754" t="n">
        <v>19</v>
      </c>
      <c r="F2754">
        <f>HYPERLINK("https://www.reddit.com/r/cancer/comments/bwk386/refusing_to_go_for_chemo/")</f>
        <v/>
      </c>
      <c r="G2754" t="inlineStr">
        <is>
          <t>2019-06-03 20:36:09</t>
        </is>
      </c>
      <c r="H2754" t="inlineStr"/>
    </row>
    <row r="2755">
      <c r="A2755" t="inlineStr">
        <is>
          <t>bwkm1q</t>
        </is>
      </c>
      <c r="B2755" t="inlineStr">
        <is>
          <t>So overwhelmed</t>
        </is>
      </c>
      <c r="C2755" t="inlineStr">
        <is>
          <t>I can’t lose my mom. She is my entire world. I feel so trapped in this cancer roller coaster. I just want to be done with it but know that would be losing her and I can’t handle that either. We are stuck with this freaking awful disease for the rest of her life. It’s not fair. How do other caregivers and family members get through this? I can’t shake the impending doom feeling today and like life will never be close to the same. I don’t find joy in a single thing anymore.</t>
        </is>
      </c>
      <c r="D2755" t="n">
        <v>13</v>
      </c>
      <c r="E2755" t="n">
        <v>8</v>
      </c>
      <c r="F2755">
        <f>HYPERLINK("https://www.reddit.com/r/cancer/comments/bwkm1q/so_overwhelmed/")</f>
        <v/>
      </c>
      <c r="G2755" t="inlineStr">
        <is>
          <t>2019-06-03 21:34:27</t>
        </is>
      </c>
      <c r="H2755" t="inlineStr"/>
    </row>
    <row r="2756">
      <c r="A2756" t="inlineStr">
        <is>
          <t>bwknih</t>
        </is>
      </c>
      <c r="B2756" t="inlineStr">
        <is>
          <t>Finally had my big meltdown... at work.</t>
        </is>
      </c>
      <c r="C2756" t="inlineStr">
        <is>
          <t>Why is it the stupidest shit is what finally gets you? God bless the co-workers who watched me ugly-cry today. 
(I have DCIS that has taken three surgeries for clear margins and hubby has stage IV kidney cancer. Somehow I've been holding it together pretty well till today.)</t>
        </is>
      </c>
      <c r="D2756" t="n">
        <v>19</v>
      </c>
      <c r="E2756" t="n">
        <v>6</v>
      </c>
      <c r="F2756">
        <f>HYPERLINK("https://www.reddit.com/r/cancer/comments/bwknih/finally_had_my_big_meltdown_at_work/")</f>
        <v/>
      </c>
      <c r="G2756" t="inlineStr">
        <is>
          <t>2019-06-03 21:39:19</t>
        </is>
      </c>
      <c r="H2756" t="inlineStr"/>
    </row>
    <row r="2757">
      <c r="A2757" t="inlineStr">
        <is>
          <t>bwltbk</t>
        </is>
      </c>
      <c r="B2757" t="inlineStr">
        <is>
          <t>Opinions :(</t>
        </is>
      </c>
      <c r="C2757" t="inlineStr">
        <is>
          <t>My stupid mind won’t shut up because maybe back in May of 2018 I had a headache automatically I thought hey what if I have cancer/brain tumor and the thought is still in my head, but I’m 14 and I have bad eyesight, I’ve had head surgery when I was like 3, both eyes operated on and yeah but imo with all those surgeries maybe my head is growing and it’s adjusting to how my head is, and im scared to tell my mom these thoughts because of two reasons 1: because I’ve had so many surgery’s in the past and I’m kinda scared of them now. 2: if it’s true I don’t want to make my parents sad. Idk tell me y’alls opinions</t>
        </is>
      </c>
      <c r="D2757" t="n">
        <v>3</v>
      </c>
      <c r="E2757" t="n">
        <v>4</v>
      </c>
      <c r="F2757">
        <f>HYPERLINK("https://www.reddit.com/r/cancer/comments/bwltbk/opinions/")</f>
        <v/>
      </c>
      <c r="G2757" t="inlineStr">
        <is>
          <t>2019-06-04 00:09:22</t>
        </is>
      </c>
      <c r="H2757" t="inlineStr"/>
    </row>
    <row r="2758">
      <c r="A2758" t="inlineStr">
        <is>
          <t>bwmoss</t>
        </is>
      </c>
      <c r="B2758" t="inlineStr">
        <is>
          <t>Sorafenat (sorafenib)|Natco|Anti Cancer Drugs|price in india</t>
        </is>
      </c>
      <c r="C2758" t="inlineStr">
        <is>
          <t>[**Sorafenib**](https://millionpharma.com/sorafenat.php) sold under the brand name Sorafenat. Sorafenat belongs to the group of tyrosine kinase inhibitor or inhibitor of angiogenesis. The drug is a type of targeted therapy Sorafenat is a prescription drug used under the supervision of health care provider @MHP</t>
        </is>
      </c>
      <c r="D2758" t="n">
        <v>1</v>
      </c>
      <c r="E2758" t="n">
        <v>0</v>
      </c>
      <c r="F2758">
        <f>HYPERLINK("https://www.reddit.com/r/cancer/comments/bwmoss/sorafenat_sorafenibnatcoanti_cancer_drugsprice_in/")</f>
        <v/>
      </c>
      <c r="G2758" t="inlineStr">
        <is>
          <t>2019-06-04 02:24:13</t>
        </is>
      </c>
      <c r="H2758" t="inlineStr"/>
    </row>
    <row r="2759">
      <c r="A2759" t="inlineStr">
        <is>
          <t>bwmslt</t>
        </is>
      </c>
      <c r="B2759" t="inlineStr">
        <is>
          <t>Sorafenib Soranib 200mg - Anticancer drugs | Cipla</t>
        </is>
      </c>
      <c r="C2759" t="inlineStr">
        <is>
          <t>[**Sorafenib**](https://millionpharma.com/soranib.php) sold under the brand name Soranib. Soranib belongs to the group of tyrosine kinase inhibitor or inhibitor of angiogenesis. The drug is a type of targeted therapy Soranib is a prescription drug used under the supervision of health care provider @MHP</t>
        </is>
      </c>
      <c r="D2759" t="n">
        <v>0</v>
      </c>
      <c r="E2759" t="n">
        <v>0</v>
      </c>
      <c r="F2759">
        <f>HYPERLINK("https://www.reddit.com/r/cancer/comments/bwmslt/sorafenib_soranib_200mg_anticancer_drugs_cipla/")</f>
        <v/>
      </c>
      <c r="G2759" t="inlineStr">
        <is>
          <t>2019-06-04 02:39:42</t>
        </is>
      </c>
      <c r="H2759" t="inlineStr"/>
    </row>
    <row r="2760">
      <c r="A2760" t="inlineStr">
        <is>
          <t>bwn256</t>
        </is>
      </c>
      <c r="B2760" t="inlineStr">
        <is>
          <t>Erlonat 150 mg (Natco)|Anti cancer Drug|uses,side effects,price India</t>
        </is>
      </c>
      <c r="C2760" t="inlineStr">
        <is>
          <t>[**Erlonat**](https://millionpharma.com/erlonat.php) tablet has active ingredient Erlotinib, used to treat non-small cell lung cancer, pancreatic cancer and other various types of cancer. Erlonat is pharmacologically categorized as a tyrosine kinase inhibitor, acts on epidermal growth factor receptor @MHP</t>
        </is>
      </c>
      <c r="D2760" t="n">
        <v>1</v>
      </c>
      <c r="E2760" t="n">
        <v>0</v>
      </c>
      <c r="F2760">
        <f>HYPERLINK("https://www.reddit.com/r/cancer/comments/bwn256/erlonat_150_mg_natcoanti_cancer_drugusesside/")</f>
        <v/>
      </c>
      <c r="G2760" t="inlineStr">
        <is>
          <t>2019-06-04 03:16:28</t>
        </is>
      </c>
      <c r="H2760" t="inlineStr"/>
    </row>
    <row r="2761">
      <c r="A2761" t="inlineStr">
        <is>
          <t>bwne5f</t>
        </is>
      </c>
      <c r="B2761" t="inlineStr">
        <is>
          <t>Erlocip 150mg - Anticancer drugs | view uses, side effects and price</t>
        </is>
      </c>
      <c r="C2761" t="inlineStr">
        <is>
          <t>[**Erlocip**](https://millionpharma.com/erlocip.php) tablet has active ingredient Erlotinib, used to treat non-small cell lung cancer, pancreatic cancer and other various types of cancer. Erlocip is pharmacologically categorized as a tyrosine kinase inhibitor, acts on epidermal growth factor receptor.  @MHP</t>
        </is>
      </c>
      <c r="D2761" t="n">
        <v>0</v>
      </c>
      <c r="E2761" t="n">
        <v>0</v>
      </c>
      <c r="F2761">
        <f>HYPERLINK("https://www.reddit.com/r/cancer/comments/bwne5f/erlocip_150mg_anticancer_drugs_view_uses_side/")</f>
        <v/>
      </c>
      <c r="G2761" t="inlineStr">
        <is>
          <t>2019-06-04 04:01:40</t>
        </is>
      </c>
      <c r="H2761" t="inlineStr"/>
    </row>
    <row r="2762">
      <c r="A2762" t="inlineStr">
        <is>
          <t>bwnpyn</t>
        </is>
      </c>
      <c r="B2762" t="inlineStr">
        <is>
          <t>Tykerb 250 mg (Lapatinib)|novartis|uses,composition,side effects,price in India</t>
        </is>
      </c>
      <c r="C2762" t="inlineStr">
        <is>
          <t>[**Tykerb**](https://millionpharma.com/tykerb.php) belongs to a class of antineoplastic drugs which prevents the development and spreading of cancer cells all over the body. Tykerb is indicated for metastatic breast cancer and spreading after using of other chemotherapy drugs @MHP</t>
        </is>
      </c>
      <c r="D2762" t="n">
        <v>0</v>
      </c>
      <c r="E2762" t="n">
        <v>0</v>
      </c>
      <c r="F2762">
        <f>HYPERLINK("https://www.reddit.com/r/cancer/comments/bwnpyn/tykerb_250_mg/")</f>
        <v/>
      </c>
      <c r="G2762" t="inlineStr">
        <is>
          <t>2019-06-04 04:41:58</t>
        </is>
      </c>
      <c r="H2762" t="inlineStr"/>
    </row>
    <row r="2763">
      <c r="A2763" t="inlineStr">
        <is>
          <t>bwp5m9</t>
        </is>
      </c>
      <c r="B2763" t="inlineStr">
        <is>
          <t>caring for my mom with metastasized squamous cell carcinoma.</t>
        </is>
      </c>
      <c r="C2763" t="inlineStr">
        <is>
          <t>Just want some opinions on what I should and shouldn’t do to help her in this situation. We can’t have long deep talks like we used to due to a terrible dry cough she’s had for about a month coupled with the initial surgery on her tongue where the cancer first started. Before her cough, I had adjusted to her talking slower and differently, but now she can barely get words out. She barely eats anything solid. She thinks that if she drinks ensure smoothies with strawberries and peanut butter that it’ll be enough to help her get by. She was already a small woman, and now she’s just over 100 pounds with no muscle. In December she completed chemo and radiation but on her 3 month checkup her scan showed the cancer had spread even more. she just left for an appointment that will give her her recent biopsy results to see what their next step should be. I have a terrible feeling they’re  going to tell her she’s too weak to undergo treatment or something. 
She keeps telling me she’s not going to give up and that she’ll do anything to prolong her life, but every time I even mention driving her places, meal prepping for her, etc she gets irritated. I just let her drive to her appointment by herself because I have work and I’m regretting it so much. I feel like I shouldn’t have let her drive. 
I know she doesn’t mean it, but her attitudes towards what’s happening are really making me go crazy. I don’t know what to do to help her. I already lost my dad two years ago to cancer when I was 20 and I’m still not over it. This situation is very different from my dads though. He was sick for 5 years and it didn’t get bad till the very end. We had time to prepare and to communicate with each other. I never thought I’d be thankful for that time the way I am now. My mom was diagnosed in October and now it’s June and I feel like she might not wake up every time she lays down for a nap even though she’s telling me everything’s going to be fine. 
I apologize for any typos or things that don’t make sense in advance, im a real mess this morning.</t>
        </is>
      </c>
      <c r="D2763" t="n">
        <v>15</v>
      </c>
      <c r="E2763" t="n">
        <v>3</v>
      </c>
      <c r="F2763">
        <f>HYPERLINK("https://www.reddit.com/r/cancer/comments/bwp5m9/caring_for_my_mom_with_metastasized_squamous_cell/")</f>
        <v/>
      </c>
      <c r="G2763" t="inlineStr">
        <is>
          <t>2019-06-04 07:12:13</t>
        </is>
      </c>
      <c r="H2763" t="inlineStr"/>
    </row>
    <row r="2764">
      <c r="A2764" t="inlineStr">
        <is>
          <t>bwpbta</t>
        </is>
      </c>
      <c r="B2764" t="inlineStr">
        <is>
          <t>People complaining about piddly health problems drive me nuts</t>
        </is>
      </c>
      <c r="C2764" t="inlineStr">
        <is>
          <t>I love hearing about how you're doing how your kids your family your struggles but sometimes it is so annoying when people complain about small health problems I wish they would tell someone else that was not dealing with the monster that has cancer</t>
        </is>
      </c>
      <c r="D2764" t="n">
        <v>27</v>
      </c>
      <c r="E2764" t="n">
        <v>56</v>
      </c>
      <c r="F2764">
        <f>HYPERLINK("https://www.reddit.com/r/cancer/comments/bwpbta/people_complaining_about_piddly_health_problems/")</f>
        <v/>
      </c>
      <c r="G2764" t="inlineStr">
        <is>
          <t>2019-06-04 07:27:48</t>
        </is>
      </c>
      <c r="H2764" t="inlineStr"/>
    </row>
    <row r="2765">
      <c r="A2765" t="inlineStr">
        <is>
          <t>bwrd4w</t>
        </is>
      </c>
      <c r="B2765" t="inlineStr">
        <is>
          <t>Father has Melanoma</t>
        </is>
      </c>
      <c r="C2765" t="inlineStr">
        <is>
          <t>Hello All,
&amp;amp;#x200B;
My father was diagnosed with Melanoma today (we have to see a specialist to find out what stage). He says he has a lump on his neck though so I am worried that it has already spread to his lymph nodes. His doctor also recommended we see a specialist in Houston, (we are from the Midwest). Do any of you have any recommendations to help him through his troubling time? I just want to support him as best as I can.</t>
        </is>
      </c>
      <c r="D2765" t="n">
        <v>4</v>
      </c>
      <c r="E2765" t="n">
        <v>2</v>
      </c>
      <c r="F2765">
        <f>HYPERLINK("https://www.reddit.com/r/cancer/comments/bwrd4w/father_has_melanoma/")</f>
        <v/>
      </c>
      <c r="G2765" t="inlineStr">
        <is>
          <t>2019-06-04 10:23:07</t>
        </is>
      </c>
      <c r="H2765" t="inlineStr"/>
    </row>
    <row r="2766">
      <c r="A2766" t="inlineStr">
        <is>
          <t>bwrm3o</t>
        </is>
      </c>
      <c r="B2766" t="inlineStr">
        <is>
          <t>Finally moving on to radiation! What's it like?</t>
        </is>
      </c>
      <c r="C2766" t="inlineStr">
        <is>
          <t>Diagnosed with DCIS and needed 3 tries at the lumpectomy to get clear margins. This morning had mammogram and got the thumbs up to start radiation!
I have no idea what to expect. Because the docs have made this whole thing seem SO simple, and the first step wasn't at all, I'm not sure I trust their depictions of boob zapping.
Would appreciate if anyone is comfortable sharing experiences, tips, etc. Thanks!</t>
        </is>
      </c>
      <c r="D2766" t="n">
        <v>9</v>
      </c>
      <c r="E2766" t="n">
        <v>24</v>
      </c>
      <c r="F2766">
        <f>HYPERLINK("https://www.reddit.com/r/cancer/comments/bwrm3o/finally_moving_on_to_radiation_whats_it_like/")</f>
        <v/>
      </c>
      <c r="G2766" t="inlineStr">
        <is>
          <t>2019-06-04 10:43:59</t>
        </is>
      </c>
      <c r="H2766" t="inlineStr"/>
    </row>
    <row r="2767">
      <c r="A2767" t="inlineStr">
        <is>
          <t>bws2x6</t>
        </is>
      </c>
      <c r="B2767" t="inlineStr">
        <is>
          <t>First time post, stage iv stomach cancer- musings and questions</t>
        </is>
      </c>
      <c r="C2767" t="inlineStr">
        <is>
          <t>I'm 28 and was diagnosed in the beginning of May with stage iv stomach cancer with spread to peritoneum. I was pretty floored but at least know, for now, that it isn't terminal so am getting treatment. Due to insurance buggery between private and Medi-Cal, wasn't able to start chemo until I was checked into ER last week under oncologist's orders. And it looks like while finally that quagmire (fingers crossed) is solved, I have more rounds to go. 
I guess dealing with the bloating, nausea, vomiting (from acid reflux, nausea) and all the other uncomfortable things has become par for the course now. But it seems like chemo is helping somewhat. I have to wonder, from other people with similar stomach cancer or situations, does it ever get better enough that you get some semblance of your life back? I know its all a crap-shoot with cancer responding to treatments, so its never a sure-fire thing. But I'd love to think all this suffering, sleepless nights vomiting my guts out wasn't just some prolonging. 
 Sorry if my thoughts are a bit scattered but this is what's been on my mind mostly since symptoms and my condition got worse in the past 2 weeks.</t>
        </is>
      </c>
      <c r="D2767" t="n">
        <v>26</v>
      </c>
      <c r="E2767" t="n">
        <v>27</v>
      </c>
      <c r="F2767">
        <f>HYPERLINK("https://www.reddit.com/r/cancer/comments/bws2x6/first_time_post_stage_iv_stomach_cancer_musings/")</f>
        <v/>
      </c>
      <c r="G2767" t="inlineStr">
        <is>
          <t>2019-06-04 11:22:38</t>
        </is>
      </c>
      <c r="H2767" t="inlineStr"/>
    </row>
    <row r="2768">
      <c r="A2768" t="inlineStr">
        <is>
          <t>bwsn75</t>
        </is>
      </c>
      <c r="B2768" t="inlineStr">
        <is>
          <t>Serious question re: use of drugs via "compassionate care"</t>
        </is>
      </c>
      <c r="C2768" t="inlineStr">
        <is>
          <t>I have an exceedingly rare type of cancer called Adenoid Cystic Carcinoma, a so-called "orphan cancer." It's called that because only 1000 cases are diagnosed in the US annually, and thus, it's given very little attention. As there is no standard treatment for ACC, oncologists run clinical trials and throw random things at it, based on what works against similar cancers.  
Recently, this happened.  
[https://vector.childrenshospital.org/2018/09/zebrafish-reveal-potential-cancer-treatments/](https://vector.childrenshospital.org/2018/09/zebrafish-reveal-potential-cancer-treatments/)  
The Tl;Dr is a doctor found retinoic acid - a derivative of Vitamin A already FDA-approved for certain types of Leukemia - showed very encouraging results in mice injected with human ACC. A clinical trial begins in two-to-three months, and they're using the same dosage used to treat Leukemia. They're not testing it for human safety, they're testing it for specific results.  
So my question is this: Is there any reason any person with ACC - for whom no treatment is working - can't simply ask their oncologist to give them the leukemia standard dosage of retinoic acid under Compassionate Use?  
Thanks for any help, and if you have ACC, I've been doing this for a minute. AMA</t>
        </is>
      </c>
      <c r="D2768" t="n">
        <v>5</v>
      </c>
      <c r="E2768" t="n">
        <v>2</v>
      </c>
      <c r="F2768">
        <f>HYPERLINK("https://www.reddit.com/r/cancer/comments/bwsn75/serious_question_re_use_of_drugs_via/")</f>
        <v/>
      </c>
      <c r="G2768" t="inlineStr">
        <is>
          <t>2019-06-04 12:09:08</t>
        </is>
      </c>
      <c r="H2768" t="inlineStr"/>
    </row>
    <row r="2769">
      <c r="A2769" t="inlineStr">
        <is>
          <t>bwt1i6</t>
        </is>
      </c>
      <c r="B2769" t="inlineStr">
        <is>
          <t>how long does a full stage? diagnosis take?</t>
        </is>
      </c>
      <c r="C2769" t="inlineStr">
        <is>
          <t>new here. wish i wasnt here but im glad this group and you all exist. 
my mom has been in the hospital since last thursday and finally got a comfirmed diagnosis of ovarian cancer but havent said how advanced it is or isnt. 
the doctors and staff are being vague as hell and its really frustrating. theyre formulating plans but not answering her questions or giving detailed direct answers. is this normal?
they had said she would need a few chemo sessions then surgery and a few more sessions. but now the dr is having her port installed today and first chemo tomorrow. she asked what kind of intensity it would be at and was met with "we'll discuss it tomorrow"
should we seek out a different doctor? this is just who she got stuck with at the hospital and im not sure i like how hes handling this.
any advice?</t>
        </is>
      </c>
      <c r="D2769" t="n">
        <v>6</v>
      </c>
      <c r="E2769" t="n">
        <v>13</v>
      </c>
      <c r="F2769">
        <f>HYPERLINK("https://www.reddit.com/r/cancer/comments/bwt1i6/how_long_does_a_full_stage_diagnosis_take/")</f>
        <v/>
      </c>
      <c r="G2769" t="inlineStr">
        <is>
          <t>2019-06-04 12:40:25</t>
        </is>
      </c>
      <c r="H2769" t="inlineStr"/>
    </row>
    <row r="2770">
      <c r="A2770" t="inlineStr">
        <is>
          <t>bwtwc6</t>
        </is>
      </c>
      <c r="B2770" t="inlineStr">
        <is>
          <t>Awaiting biopsy results. Nervous due to weightloss as additional symptom</t>
        </is>
      </c>
      <c r="C2770" t="inlineStr">
        <is>
          <t>Before I found my lump, I had lost 20 lbs in 3 months without trying due to sudden appetite loss that I chalked up to my anxiety and depression getting worse. I also think I have a swollen lymph node in my neck. 
The lump was the size of a golfball and moved so we thought it was a fibroadenoma but then they call me in for an excisional biopsy. If it weren't for the other symptoms, I'd be sure it was a fibroadenoma but I can't help but worry it's stage 4 BC. Am I really just making myself crazy for no good reason? My friend said I was but I just know tumor+weightloss is kinda a bad sign ya know? If there's anyone without an actual cancer diagnosis that can worry about cancer, is it not the people who just had a tumor cut out AND lost a lot of weight?</t>
        </is>
      </c>
      <c r="D2770" t="n">
        <v>2</v>
      </c>
      <c r="E2770" t="n">
        <v>0</v>
      </c>
      <c r="F2770">
        <f>HYPERLINK("https://www.reddit.com/r/cancer/comments/bwtwc6/awaiting_biopsy_results_nervous_due_to_weightloss/")</f>
        <v/>
      </c>
      <c r="G2770" t="inlineStr">
        <is>
          <t>2019-06-04 13:50:51</t>
        </is>
      </c>
      <c r="H2770" t="inlineStr"/>
    </row>
    <row r="2771">
      <c r="A2771" t="inlineStr">
        <is>
          <t>bwuqr5</t>
        </is>
      </c>
      <c r="B2771" t="inlineStr">
        <is>
          <t>Partial nephrectomy for renal cell carcinoma</t>
        </is>
      </c>
      <c r="C2771" t="inlineStr">
        <is>
          <t>Hello. I was recently diagnosed with stage 1 renal cell carcinoma. After discussing various options with my urologist/surgeon, I'm having a partial nephrectomy of my right kidney this Thursday. 
I've done quite a bit of research online, but I'm curious about other people's experiences with the surgery and the recovery. 
What should I expect in terms of pain? Nausea? How long did you stay in the hospital? How long till you went back to work after the surgery? Any general recommendations for recovery? Any other pertinent information I should know?
I've had minor procedures before, but this will be my first major surgery. I'm feeling a little anxious about it, so I'd love to hear from anyone else who's been through the same thing!</t>
        </is>
      </c>
      <c r="D2771" t="n">
        <v>14</v>
      </c>
      <c r="E2771" t="n">
        <v>40</v>
      </c>
      <c r="F2771">
        <f>HYPERLINK("https://www.reddit.com/r/cancer/comments/bwuqr5/partial_nephrectomy_for_renal_cell_carcinoma/")</f>
        <v/>
      </c>
      <c r="G2771" t="inlineStr">
        <is>
          <t>2019-06-04 15:01:52</t>
        </is>
      </c>
      <c r="H2771" t="inlineStr"/>
    </row>
    <row r="2772">
      <c r="A2772" t="inlineStr">
        <is>
          <t>bwuwot</t>
        </is>
      </c>
      <c r="B2772" t="inlineStr">
        <is>
          <t>Totally weird cancer side effect...</t>
        </is>
      </c>
      <c r="C2772" t="inlineStr">
        <is>
          <t>Stage ii head/neck cancer patient here (weird to write that).  About to start chemo and radiation.  
Anyway...I've had diagnosed guttate psoriasis for over 15 years.  It always showed up on my shins, my breastbone and the small of my back.   Topical meds would mostly keep it at bay, but a few days off the meds and the rash would reappear.  A week and it would be in wide swaths.  
Since April, when I began working through swollen lymph nodes with my doctor that eventually lead to diagnosis, all spots receded and have fully cleared.  The hair on my shins (normally wiped out by topical meds for years) has grown back and there's no trace of it in any of the prior three spots.  
Totally bizarre.  All I can think is my immune system is in overdrive elsewhere so the psoriatic reaction isn't manifesting itself.</t>
        </is>
      </c>
      <c r="D2772" t="n">
        <v>16</v>
      </c>
      <c r="E2772" t="n">
        <v>6</v>
      </c>
      <c r="F2772">
        <f>HYPERLINK("https://www.reddit.com/r/cancer/comments/bwuwot/totally_weird_cancer_side_effect/")</f>
        <v/>
      </c>
      <c r="G2772" t="inlineStr">
        <is>
          <t>2019-06-04 15:15:50</t>
        </is>
      </c>
      <c r="H2772" t="inlineStr"/>
    </row>
    <row r="2773">
      <c r="A2773" t="inlineStr">
        <is>
          <t>bwv817</t>
        </is>
      </c>
      <c r="B2773" t="inlineStr">
        <is>
          <t>Dad just got diagnosed with multiple myeloma</t>
        </is>
      </c>
      <c r="C2773" t="inlineStr">
        <is>
          <t>Hi guys! So I always hoped I would never have to enter the cancer world whether it be for me or a close family member but a couple weeks ago my dad got diagnosed with multiple myeloma. Let me give a little back story for some context. My dad has always been relatively healthy his whole life until he was 55 when he got adult onset type 2 diabetes. Then at age 63 he was diagnosed with end stage renal failure, a year later he started dialysis. Now at age 66 he’s been on the kidney transplant list for 3 years and continues to keep perfect levels needed for a transplant. While we were hoping for a transplant sometime this year(2019) he started showing low red blood cell count on his labs so he was sent for a bone marrow biopsy. About a week and a half ago he got a call from his doctor saying he has multiple myeloma. Now our hopes for a kidney transplant are no longer so he will be on dialysis for the rest of his life. Doctor doesn’t know how long he’s had it but he is classifying my dad as “high risk” because apparently there is not a staging system for this type of cancer. Doctor also does not give timeline because every multiple myeloma patient is so different. Good news is looks like treatment only consists of 1 chemo shot a week and 2 oral pills at home. I was curious if anybody has had any experience with this disease or the type of treatments for it?</t>
        </is>
      </c>
      <c r="D2773" t="n">
        <v>2</v>
      </c>
      <c r="E2773" t="n">
        <v>14</v>
      </c>
      <c r="F2773">
        <f>HYPERLINK("https://www.reddit.com/r/cancer/comments/bwv817/dad_just_got_diagnosed_with_multiple_myeloma/")</f>
        <v/>
      </c>
      <c r="G2773" t="inlineStr">
        <is>
          <t>2019-06-04 15:44:08</t>
        </is>
      </c>
      <c r="H2773" t="inlineStr"/>
    </row>
    <row r="2774">
      <c r="A2774" t="inlineStr">
        <is>
          <t>bwvhmk</t>
        </is>
      </c>
      <c r="B2774" t="inlineStr">
        <is>
          <t>What was the weirdest food you wanted to eat when you where undergoing chemo?</t>
        </is>
      </c>
      <c r="C2774" t="inlineStr">
        <is>
          <t>Just curious. For me doing my first chemo as I was 13 now 18 (osteosarcom high grade) my weirdest thing I ever wanted to eat was citron with salt. 
Funny thing till this day there is always a joke about me wanting a tequilla minus the tequilla😅😁.</t>
        </is>
      </c>
      <c r="D2774" t="n">
        <v>10</v>
      </c>
      <c r="E2774" t="n">
        <v>15</v>
      </c>
      <c r="F2774">
        <f>HYPERLINK("https://www.reddit.com/r/cancer/comments/bwvhmk/what_was_the_weirdest_food_you_wanted_to_eat_when/")</f>
        <v/>
      </c>
      <c r="G2774" t="inlineStr">
        <is>
          <t>2019-06-04 16:09:24</t>
        </is>
      </c>
      <c r="H2774" t="inlineStr"/>
    </row>
    <row r="2775">
      <c r="A2775" t="inlineStr">
        <is>
          <t>bwvsbl</t>
        </is>
      </c>
      <c r="B2775" t="inlineStr">
        <is>
          <t>4 Weeks post VATS ULL. Pain in back/shoulder area?</t>
        </is>
      </c>
      <c r="C2775" t="inlineStr">
        <is>
          <t>I know it's probably shit waking up, but does anyone have any tips or tricks to alleviate the pain outside of narcotic painmeds?  I've got a prescription for tramadol I use very very very sparingly but have had to rely on them to try and get this back under control.  I'm sure it's part of the normal healing process, but has anyone else experienced similar pain issues?</t>
        </is>
      </c>
      <c r="D2775" t="n">
        <v>2</v>
      </c>
      <c r="E2775" t="n">
        <v>4</v>
      </c>
      <c r="F2775">
        <f>HYPERLINK("https://www.reddit.com/r/cancer/comments/bwvsbl/4_weeks_post_vats_ull_pain_in_backshoulder_area/")</f>
        <v/>
      </c>
      <c r="G2775" t="inlineStr">
        <is>
          <t>2019-06-04 16:37:47</t>
        </is>
      </c>
      <c r="H2775" t="inlineStr"/>
    </row>
    <row r="2776">
      <c r="A2776" t="inlineStr">
        <is>
          <t>bwwo3j</t>
        </is>
      </c>
      <c r="B2776" t="inlineStr">
        <is>
          <t>Friend passed away to cancer</t>
        </is>
      </c>
      <c r="C2776" t="inlineStr">
        <is>
          <t>Hey everyone,
I'm not sure if posts like these are normal on this sub, but I didn't know where else to turn.
My best friend passed away to cancer (don't know what kind) late March. I've felt quite broken since, and I feel like I need support. The problem is I don't have access to therapy right now, so I'd like to know if anyone can recommend a community or somewhere to turn to seeing as I'm not handling this very well.
Thank you.</t>
        </is>
      </c>
      <c r="D2776" t="n">
        <v>11</v>
      </c>
      <c r="E2776" t="n">
        <v>2</v>
      </c>
      <c r="F2776">
        <f>HYPERLINK("https://www.reddit.com/r/cancer/comments/bwwo3j/friend_passed_away_to_cancer/")</f>
        <v/>
      </c>
      <c r="G2776" t="inlineStr">
        <is>
          <t>2019-06-04 18:07:02</t>
        </is>
      </c>
      <c r="H2776" t="inlineStr"/>
    </row>
    <row r="2777">
      <c r="A2777" t="inlineStr">
        <is>
          <t>bwwswx</t>
        </is>
      </c>
      <c r="B2777" t="inlineStr">
        <is>
          <t>Just found out my grandmother has stage 4 pancreatic and my grandfather has bladder cancer (not sure what stage yet) What should I be doing to make their time left easier, and what should I do that I may regret not doing in the future?</t>
        </is>
      </c>
      <c r="C2777" t="inlineStr">
        <is>
          <t>Title kind of sums it up. My grandmother had her biopsy last week and results came back stage 4 pancreatic cancer. My grandfather was admitted to the hospital a week later and diagnosed with bladder cancer but we don't know what stage yet because he needs another biopsy done.
What can I do for my grandmother to make her remaining time left the best and painless it can be? They have given her six months. My grandfather (her husband) is expected to have a longer lifespan.
Also what should I be doing now that I may regret not doing in the future looking back?</t>
        </is>
      </c>
      <c r="D2777" t="n">
        <v>8</v>
      </c>
      <c r="E2777" t="n">
        <v>3</v>
      </c>
      <c r="F2777">
        <f>HYPERLINK("https://www.reddit.com/r/cancer/comments/bwwswx/just_found_out_my_grandmother_has_stage_4/")</f>
        <v/>
      </c>
      <c r="G2777" t="inlineStr">
        <is>
          <t>2019-06-04 18:20:46</t>
        </is>
      </c>
      <c r="H2777" t="inlineStr"/>
    </row>
    <row r="2778">
      <c r="A2778" t="inlineStr">
        <is>
          <t>bwwutl</t>
        </is>
      </c>
      <c r="B2778" t="inlineStr">
        <is>
          <t>Surgery Tomorrow</t>
        </is>
      </c>
      <c r="C2778" t="inlineStr">
        <is>
          <t>Hey guys.
I'm having surgery tomorrow for breast cancer, a double mastectomy. I'm not really worried about the surgery as much as the pathology &amp;amp; everything that comes afterwards. I'm just so worried it will be metastatic.
Right now I feel so sick to my stomach. Should I make myself throw up ? Lol UGH I never feel like this and it's worse than just mental anguish. Every smell is making me sick too. 
Anyways I'm not sure, just rambling now. I have to go take a shower with that pink soap shit now. 
🙃</t>
        </is>
      </c>
      <c r="D2778" t="n">
        <v>40</v>
      </c>
      <c r="E2778" t="n">
        <v>13</v>
      </c>
      <c r="F2778">
        <f>HYPERLINK("https://www.reddit.com/r/cancer/comments/bwwutl/surgery_tomorrow/")</f>
        <v/>
      </c>
      <c r="G2778" t="inlineStr">
        <is>
          <t>2019-06-04 18:26:26</t>
        </is>
      </c>
      <c r="H2778" t="inlineStr"/>
    </row>
    <row r="2779">
      <c r="A2779" t="inlineStr">
        <is>
          <t>bwxf0m</t>
        </is>
      </c>
      <c r="B2779" t="inlineStr">
        <is>
          <t>Breast cancer and weight loss</t>
        </is>
      </c>
      <c r="C2779" t="inlineStr">
        <is>
          <t>I had a golfball sized tumor removed Friday to be checked for cancer and my mind is racing because I lost 20 lbs due to appetite loss before I found it and I have a swollen lymph node in my neck.  It moved back and forth so we thought fibroadenoma but I've seen posts where that was diagnosed with just an U.S., this was upstaged to the highest degree.  Could I really just get to stage 4 like that and not know it?  I thought my weight loss was due to depression which had and continues to be awful.  I have no idea what to think. Am I worrying over nothing?</t>
        </is>
      </c>
      <c r="D2779" t="n">
        <v>0</v>
      </c>
      <c r="E2779" t="n">
        <v>0</v>
      </c>
      <c r="F2779">
        <f>HYPERLINK("https://www.reddit.com/r/cancer/comments/bwxf0m/breast_cancer_and_weight_loss/")</f>
        <v/>
      </c>
      <c r="G2779" t="inlineStr">
        <is>
          <t>2019-06-04 19:24:17</t>
        </is>
      </c>
      <c r="H2779" t="inlineStr"/>
    </row>
    <row r="2780">
      <c r="A2780" t="inlineStr">
        <is>
          <t>bwxpen</t>
        </is>
      </c>
      <c r="B2780" t="inlineStr">
        <is>
          <t>Breast cancer and weight loss</t>
        </is>
      </c>
      <c r="C2780" t="inlineStr">
        <is>
          <t>I had a golfball sized tumor removed Friday to be checked for cancer and my mind is racing because I lost 20 lbs due to appetite loss before I found it and I have a swollen lymph node in my neck. The tumor moved back and forth so we thought fibroadenoma but I've seen posts where that was diagnosed with just an U.S., this was upstaged to the highest degree. Could I really just get to stage 4 like that and not know it? I thought my weight loss was due to depression which had and continues to be awful. I have no idea what to think. Am I worrying over nothing?</t>
        </is>
      </c>
      <c r="D2780" t="n">
        <v>1</v>
      </c>
      <c r="E2780" t="n">
        <v>0</v>
      </c>
      <c r="F2780">
        <f>HYPERLINK("https://www.reddit.com/r/cancer/comments/bwxpen/breast_cancer_and_weight_loss/")</f>
        <v/>
      </c>
      <c r="G2780" t="inlineStr">
        <is>
          <t>2019-06-04 19:55:09</t>
        </is>
      </c>
      <c r="H2780" t="inlineStr"/>
    </row>
    <row r="2781">
      <c r="A2781" t="inlineStr">
        <is>
          <t>bwxuls</t>
        </is>
      </c>
      <c r="B2781" t="inlineStr">
        <is>
          <t>It all happened so fast....</t>
        </is>
      </c>
      <c r="C2781" t="inlineStr">
        <is>
          <t>I was diagnosed with metastatic breast cancer that has spread to the lymph nodes last Tuesday.  Since then I have met with a surgeon, had power port surgery yesterday, a petscan this morning, met with my kick ass oncologist  twice, and chemo starts Friday.     Hopefully we are moving faster then the cancer.   I have no idea what to expect on Friday.  I'm 40.  Pretty healthy.  Starting with Taxol and Carboplatin first.   Any tips, suggestions, horror stories?  I hate sugar coating unless it's edible....</t>
        </is>
      </c>
      <c r="D2781" t="n">
        <v>43</v>
      </c>
      <c r="E2781" t="n">
        <v>12</v>
      </c>
      <c r="F2781">
        <f>HYPERLINK("https://www.reddit.com/r/cancer/comments/bwxuls/it_all_happened_so_fast/")</f>
        <v/>
      </c>
      <c r="G2781" t="inlineStr">
        <is>
          <t>2019-06-04 20:10:53</t>
        </is>
      </c>
      <c r="H2781" t="inlineStr"/>
    </row>
    <row r="2782">
      <c r="A2782" t="inlineStr">
        <is>
          <t>bwy8q5</t>
        </is>
      </c>
      <c r="B2782" t="inlineStr">
        <is>
          <t>Chemo Side Affect?</t>
        </is>
      </c>
      <c r="C2782" t="inlineStr">
        <is>
          <t>what’s up,  every time i get one of my chemos (methotrexate) a couple days later i develop Pleurisy (inflamed lung lining) and was wondering if anyone had that same issue or am i just getting it coincidentally. My doctors don’t know why i’m getting it :(</t>
        </is>
      </c>
      <c r="D2782" t="n">
        <v>0</v>
      </c>
      <c r="E2782" t="n">
        <v>1</v>
      </c>
      <c r="F2782">
        <f>HYPERLINK("https://www.reddit.com/r/cancer/comments/bwy8q5/chemo_side_affect/")</f>
        <v/>
      </c>
      <c r="G2782" t="inlineStr">
        <is>
          <t>2019-06-04 20:55:24</t>
        </is>
      </c>
      <c r="H2782" t="inlineStr"/>
    </row>
    <row r="2783">
      <c r="A2783" t="inlineStr">
        <is>
          <t>bwypnj</t>
        </is>
      </c>
      <c r="B2783" t="inlineStr">
        <is>
          <t>Gift Ideas for Cancer Patient</t>
        </is>
      </c>
      <c r="C2783" t="inlineStr">
        <is>
          <t>My dear friend (~68M) just found out his prostate cancer has returned. I would like to support him however I can. Does anyone have any gift ideas?
I asked him how he was doing the other day and what, if anything, has helped him during his return to chemo. He said it's helpful to have distractions and that he is working on his house/garden a lot. If anyone has any gift ideas that would be great! I just want to give him a gift basket of sorts to show I am thinking of him and wishing him well.
Thanks for any ideas!</t>
        </is>
      </c>
      <c r="D2783" t="n">
        <v>4</v>
      </c>
      <c r="E2783" t="n">
        <v>5</v>
      </c>
      <c r="F2783">
        <f>HYPERLINK("https://www.reddit.com/r/cancer/comments/bwypnj/gift_ideas_for_cancer_patient/")</f>
        <v/>
      </c>
      <c r="G2783" t="inlineStr">
        <is>
          <t>2019-06-04 21:51:52</t>
        </is>
      </c>
      <c r="H2783" t="inlineStr"/>
    </row>
    <row r="2784">
      <c r="A2784" t="inlineStr">
        <is>
          <t>bwz0dq</t>
        </is>
      </c>
      <c r="B2784" t="inlineStr">
        <is>
          <t>In about 2 hours I'll know what stage the Hodgkins Lymphoma I have, is.</t>
        </is>
      </c>
      <c r="C2784" t="inlineStr">
        <is>
          <t>I don't really know why I'm sharing it with you all. What I do know is that I can't wait to get this all over with..</t>
        </is>
      </c>
      <c r="D2784" t="n">
        <v>4</v>
      </c>
      <c r="E2784" t="n">
        <v>12</v>
      </c>
      <c r="F2784">
        <f>HYPERLINK("https://www.reddit.com/r/cancer/comments/bwz0dq/in_about_2_hours_ill_know_what_stage_the_hodgkins/")</f>
        <v/>
      </c>
      <c r="G2784" t="inlineStr">
        <is>
          <t>2019-06-04 22:30:34</t>
        </is>
      </c>
      <c r="H2784" t="inlineStr"/>
    </row>
    <row r="2785">
      <c r="A2785" t="inlineStr">
        <is>
          <t>bwzc82</t>
        </is>
      </c>
      <c r="B2785" t="inlineStr">
        <is>
          <t>32 years old, struggling with coping. What helped you feel ‘normal’ when/if remission began?</t>
        </is>
      </c>
      <c r="C2785" t="inlineStr">
        <is>
          <t>This is definitely a half venting/half hopeful kind of post. 
Diagnosed with a very rare type of leukaemia in January at the age of 31, and told to celebrate my 32nd birthday before April if possible - but I got incredibly lucky and accepted into a ‘Biologic Immunotherapy’ trial that ultimately seems to have saved my life.
At my last appointment my Oncologist wasn’t ready to say I’m in remission, but definitely felt like I am headed into it, and should ‘start planning a future’ for myself. Which is great, and I feel like I should be excited, but when I went into this the chance of me making it were so low we barely discussed the long term effects. I also let my past experience with this (being on the family/support side 4 separate times in the past).
The thing is I don’t feel ‘normal’ even though I’m getting better. I’m still constantly feeling like I’m run down, forgetful, and physically weak. I’ve started (per doctors ‘orders’) being more active, but this is the first time in my life I’ve been ‘out of shape’ physically, and it’s beating my mental health to shit.
I’m constantly struggling with doubts of being of any value to anyone anymore, and being my primary caregiver since this started has left my spouse depressed and I can’t not feel like it’s my fault. I try to be hopeful, but the treatment combined with not catching things early has left me with an immune system that’s permanently weakened, and all of the restrictions that come with that:
•Monthly injections to keep my immune system functional
•Told to avoid working directly with the public when I’m better, and to not visit my friends/family with kids while they’re in school due to risk
•The slightest cold will hit me like the flu, the flu means hospital
And the various bits of nerve damage, and hand tremors, that make it hard for me to continue in my current career field (Industrial Designer). 
All of the things that made me who I was have left me feeling like I came out of this a completely different person, and I don’t know how to start to feel better about this. I miss having friends, seeing my family. I miss having a career that let me travel through Europe and Asia multiple times a year, and gave access to new experiences and events that I can’t even attend now. I miss morning runs, and hiking into the furthest lookout tower I could reach for a summer campout. I miss being able to financially support not just myself but my immediate family as well. 
I downloaded the ‘Bumble BFF’ app to try and meet people to just talk to, and when I’m well enough to hang out with. I took so long to fill out the profile text (just filled it with photos of me from about 6 months before I got sick, doing things I enjoyed) that I had a stack of “matches”(?) waiting, but then watched them all ‘unmatch’ before the time ran out as soon as I put in my profile that I was in treatment for cancer.
I felt like I would be leading people on if I didn’t tell them ahead of time “Hey, I’m on the winning side of treatment for cancer but I need another monthish until I can go ‘do things’) - a timeline my doctor gave to start going out to parks, short hikes, etc. but I was fearful of people just seeing me as ‘too broken’ to put it in right away. It looks like it wasn’t a misplaced fear.
What do I do to start feeling normal again?
How do I meet people and rebuild my friend group? Most of my old friends live abroad, sustained by a decade+ of me constantly travelling - something I can’t do anymore.
Most importantly...
...How do you find happiness in life after making it through treatment as less of a person than when you started?</t>
        </is>
      </c>
      <c r="D2785" t="n">
        <v>1</v>
      </c>
      <c r="E2785" t="n">
        <v>0</v>
      </c>
      <c r="F2785">
        <f>HYPERLINK("https://www.reddit.com/r/cancer/comments/bwzc82/32_years_old_struggling_with_coping_what_helped/")</f>
        <v/>
      </c>
      <c r="G2785" t="inlineStr">
        <is>
          <t>2019-06-04 23:14:27</t>
        </is>
      </c>
      <c r="H2785" t="inlineStr"/>
    </row>
    <row r="2786">
      <c r="A2786" t="inlineStr">
        <is>
          <t>bx0ngs</t>
        </is>
      </c>
      <c r="B2786" t="inlineStr">
        <is>
          <t>Best Breast Cancer Test Company in India | Most Accurate Results | Cancer Diagnosis</t>
        </is>
      </c>
      <c r="C2786" t="inlineStr">
        <is>
          <t xml:space="preserve"> 
Know your increased cancer risk, get a  free consultation and [**Breast Cancer Treatment Help**](https://positivebioscience.com/positive-bioscience-myriad-genetics-endopredict-breast-cancer-test/) in India from a highly professional team and diagnose your cancer at an early stage at **Positive Bioscience**. We offer PositiveSelect, EndoPredict, and Caris Molecular Intelligence tests as well at best price with the most accurate results.</t>
        </is>
      </c>
      <c r="D2786" t="n">
        <v>1</v>
      </c>
      <c r="E2786" t="n">
        <v>0</v>
      </c>
      <c r="F2786">
        <f>HYPERLINK("https://www.reddit.com/r/cancer/comments/bx0ngs/best_breast_cancer_test_company_in_india_most/")</f>
        <v/>
      </c>
      <c r="G2786" t="inlineStr">
        <is>
          <t>2019-06-05 02:33:15</t>
        </is>
      </c>
      <c r="H2786" t="inlineStr"/>
    </row>
    <row r="2787">
      <c r="A2787" t="inlineStr">
        <is>
          <t>bx2huv</t>
        </is>
      </c>
      <c r="B2787" t="inlineStr">
        <is>
          <t>I feel like I missed a whole year of my life</t>
        </is>
      </c>
      <c r="C2787" t="inlineStr">
        <is>
          <t>I was diagnosed with cancer at the end of 6th grade year and they put me on the high dose steroids bc my cancer is so rare they couldn’t find another treatment. I ended up having a seizure in seventh grade and hallucinated afterwards and it took me so long to recover. They also drugged me with kepra (and later a different anti-seizure medication bc the previous one made me suicidal). The anti-seizure meds + steroids made me crazzzzyyy. I finally was able to find a better treatment and am not taking those horrible drugs anymore but I feel like I totally missed a whole year of my life. Seventh grade is pretty much a blur lol.</t>
        </is>
      </c>
      <c r="D2787" t="n">
        <v>2</v>
      </c>
      <c r="E2787" t="n">
        <v>2</v>
      </c>
      <c r="F2787">
        <f>HYPERLINK("https://www.reddit.com/r/cancer/comments/bx2huv/i_feel_like_i_missed_a_whole_year_of_my_life/")</f>
        <v/>
      </c>
      <c r="G2787" t="inlineStr">
        <is>
          <t>2019-06-05 06:22:08</t>
        </is>
      </c>
      <c r="H2787" t="inlineStr"/>
    </row>
    <row r="2788">
      <c r="A2788" t="inlineStr">
        <is>
          <t>bx31we</t>
        </is>
      </c>
      <c r="B2788" t="inlineStr">
        <is>
          <t>Fuck Cancer</t>
        </is>
      </c>
      <c r="C2788" t="inlineStr">
        <is>
          <t>Stage 4 colon with Mets to liver lungs here, been through all the surgeries and radiation.  Tried Keytruda (failed), tried maintenance chemo (failed), the only thing that works is FOLFURI.  I have my 87th chemo infusion today, I hate it.  I have to decide if I hate it more than life itself to quit and I’m close.  I have a wife and two preteens, it’s the only reason I’m trying.  Fuck cancer.</t>
        </is>
      </c>
      <c r="D2788" t="n">
        <v>135</v>
      </c>
      <c r="E2788" t="n">
        <v>56</v>
      </c>
      <c r="F2788">
        <f>HYPERLINK("https://www.reddit.com/r/cancer/comments/bx31we/fuck_cancer/")</f>
        <v/>
      </c>
      <c r="G2788" t="inlineStr">
        <is>
          <t>2019-06-05 07:15:49</t>
        </is>
      </c>
      <c r="H2788" t="inlineStr"/>
    </row>
    <row r="2789">
      <c r="A2789" t="inlineStr">
        <is>
          <t>bx3opv</t>
        </is>
      </c>
      <c r="B2789" t="inlineStr">
        <is>
          <t>freckle chemo side effect?</t>
        </is>
      </c>
      <c r="C2789" t="inlineStr">
        <is>
          <t>i had my first round of chemo almost a month ago and noticed that i have been getting more and more freckles/beauty marks, is this normal?</t>
        </is>
      </c>
      <c r="D2789" t="n">
        <v>4</v>
      </c>
      <c r="E2789" t="n">
        <v>6</v>
      </c>
      <c r="F2789">
        <f>HYPERLINK("https://www.reddit.com/r/cancer/comments/bx3opv/freckle_chemo_side_effect/")</f>
        <v/>
      </c>
      <c r="G2789" t="inlineStr">
        <is>
          <t>2019-06-05 08:12:59</t>
        </is>
      </c>
      <c r="H2789" t="inlineStr"/>
    </row>
    <row r="2790">
      <c r="A2790" t="inlineStr">
        <is>
          <t>bx4fxd</t>
        </is>
      </c>
      <c r="B2790" t="inlineStr">
        <is>
          <t>Frequent Urination</t>
        </is>
      </c>
      <c r="C2790" t="inlineStr">
        <is>
          <t xml:space="preserve">  
Most **Symptoms of Cancer** like **Night Sweats,** [Frequent Urination](http://cancergenomictest.com), Fever are also found in a wide range of diseases. So, a predictive testing technique helps you find the exact cause of them. To check if any of your family members were affected by Cancer, visit http://cancergenomictest.com or call us on 1-800-339-0813.</t>
        </is>
      </c>
      <c r="D2790" t="n">
        <v>0</v>
      </c>
      <c r="E2790" t="n">
        <v>0</v>
      </c>
      <c r="F2790">
        <f>HYPERLINK("https://www.reddit.com/r/cancer/comments/bx4fxd/frequent_urination/")</f>
        <v/>
      </c>
      <c r="G2790" t="inlineStr">
        <is>
          <t>2019-06-05 09:18:08</t>
        </is>
      </c>
      <c r="H2790" t="inlineStr"/>
    </row>
    <row r="2791">
      <c r="A2791" t="inlineStr">
        <is>
          <t>bx4zgw</t>
        </is>
      </c>
      <c r="B2791" t="inlineStr">
        <is>
          <t>My mom is going through radiation/chemo for small cell lung cancer. I have a few questions for anyone that has gone through this</t>
        </is>
      </c>
      <c r="C2791" t="inlineStr">
        <is>
          <t>Her doctors are saying that this type of cancer likes to go to the brain, so they are suggesting that she get 10 treatments of radiation for her brain after her normal course of treatments. She's got a week and a half left of radiation for her lungs. Having said that, my dad died a few years ago from Glioblastoma brain cancer and the radiation/chemo that followed, and my brother and I have heard about bad side effects from radiation being done on the brain pre-emptively for our moms type of cancer.
My question is has anyone here done the pre-emptive brain radiation treatment? How did it go? Were there any complications? We'd like to trust our doctors but all of us are really nervous about this.</t>
        </is>
      </c>
      <c r="D2791" t="n">
        <v>2</v>
      </c>
      <c r="E2791" t="n">
        <v>7</v>
      </c>
      <c r="F2791">
        <f>HYPERLINK("https://www.reddit.com/r/cancer/comments/bx4zgw/my_mom_is_going_through_radiationchemo_for_small/")</f>
        <v/>
      </c>
      <c r="G2791" t="inlineStr">
        <is>
          <t>2019-06-05 10:03:13</t>
        </is>
      </c>
      <c r="H2791" t="inlineStr"/>
    </row>
    <row r="2792">
      <c r="A2792" t="inlineStr">
        <is>
          <t>bx53d5</t>
        </is>
      </c>
      <c r="B2792" t="inlineStr">
        <is>
          <t>Parents with cancer, what would you include in a video for your children?</t>
        </is>
      </c>
      <c r="C2792" t="inlineStr">
        <is>
          <t>Hi everyone, 
One of my very close family friends (Regina) battled pancreatic cancer a couple years ago and initially beat it but now has cancer in other organs and does not have a good prognosis. She is a single mom to a 19 year old daughter (Maci). I'm helping her to make a video for her daughter and these are all of our ideas so far: 
- The full story of her adoption (she adopted Maci as a single mother) 
- Favorite memories of/with Maci 
- Things she loves and admires about Maci
- Something to make Maci happy or laugh on a bad day 
- Life advice 
Additionally, we are making separate videos for Maci that I will give to her later on if Regina doesn't make it 
- Maci's college graduation
- Maci's wedding day (as well as video specifically for the person Maci is marrying)
- When Maci becomes a parent (as well a video specifically for Maci's kids/Regina's grandkids)  
So parents with cancer, what else would you include in a video for your children? I really appreciate any help or guidance you can give me as this is a really difficult time for everyone ❤️</t>
        </is>
      </c>
      <c r="D2792" t="n">
        <v>2</v>
      </c>
      <c r="E2792" t="n">
        <v>7</v>
      </c>
      <c r="F2792">
        <f>HYPERLINK("https://www.reddit.com/r/cancer/comments/bx53d5/parents_with_cancer_what_would_you_include_in_a/")</f>
        <v/>
      </c>
      <c r="G2792" t="inlineStr">
        <is>
          <t>2019-06-05 10:12:18</t>
        </is>
      </c>
      <c r="H2792" t="inlineStr"/>
    </row>
    <row r="2793">
      <c r="A2793" t="inlineStr">
        <is>
          <t>bx6ab7</t>
        </is>
      </c>
      <c r="B2793" t="inlineStr">
        <is>
          <t>Is it possible to determine what stage colon cancer may be at based on severity of symptoms?</t>
        </is>
      </c>
      <c r="C2793" t="inlineStr">
        <is>
          <t>My wife (29 years old) is about 26 weeks pregnant and has been experiencing symptoms of colon cancer for most of the pregnancy. Symtoms now include blood in stool, mucus in stool, irregular bowel movements and consistent abdominal pain. We wrote things off longer than we should have for the first few months of pregnancy since there was only occasional occurrences of symptoms and we figured it was due to diet changes or the pregnancy. We've since had her checked for hemorrhoids (none found) and have her on a waiting list to see a gastroenterologist. We've been fortunate enough to jump ahead on the wait list since symptoms have recently become sever... we should be able to get her in next week.
The timing of this is terrible with the pregnancy, which has been rough on her in and of itself and we are extremely concerned that she has colon cancer. She has a family history of it and has lost relatives to it. Additionally, she was previously diagnosed with endocrine cancer (MEN II) about 7 years ago and had a complete thyroidectomy. She is in remission, as far as we know. She's really been dealt a shit hand in terms of health, she's only 29 and is really struggling with this and I wish there was more I could do than providing support.
**Is it possible to determine or make any reasonable sort of speculation as to what stage the cancer might be in if there's a consistently large amount of blood/mucus in stool and ongoing abdominal pain?** We should know more next week but It would be nice to know how far it may have progressed as soon as possible. We don't have a diagnosis yet but all signs point towards colon cancer and I'm trying to prepare myself for that. I would love to find out that we caught this early but there's so much blood and she's always in a lot of pain. It's hard to imagine these being early symptoms.</t>
        </is>
      </c>
      <c r="D2793" t="n">
        <v>0</v>
      </c>
      <c r="E2793" t="n">
        <v>3</v>
      </c>
      <c r="F2793">
        <f>HYPERLINK("https://www.reddit.com/r/cancer/comments/bx6ab7/is_it_possible_to_determine_what_stage_colon/")</f>
        <v/>
      </c>
      <c r="G2793" t="inlineStr">
        <is>
          <t>2019-06-05 11:50:48</t>
        </is>
      </c>
      <c r="H2793" t="inlineStr"/>
    </row>
    <row r="2794">
      <c r="A2794" t="inlineStr">
        <is>
          <t>bx6u4f</t>
        </is>
      </c>
      <c r="B2794" t="inlineStr">
        <is>
          <t>I am tired and overwhelmed. I guess the option of stopping treatments starts to lingers in my mind.</t>
        </is>
      </c>
      <c r="C2794" t="inlineStr">
        <is>
          <t>The past 4 and a half years have been horrendous. Diagnosed with stage III breast cancer, chemotherapy, 4 surgeries, radiation therapy, disastrous return to work because of discrimination and psychological harassment, left my job, started my private practice, 3 more surgeries, recurrence of cancer that is now incurable, resection of a metastasis to my brain, radiation to my brain, toxic reaction to chemo, 6 months of vomiting and diarrhea  with 3 hospital stays, antibodies treatments every 3 weeks and full hysterectomy 8 weeks ago. 
These are my past 4 and a half years. Oh, I forgot : my two rescue cats died while I was in chemotherapy for the stage III cancer. I don't work anymore, I lost most of my friends and I can't run anymore which was my passion. 
The past few weeks, I started having pain in my hips, lower back and sacral region. They found a little mass near S2 but can't say for sure if it's a metastasis. The diarrhea is back again and my oncologist is pretty sure it means I don't tolerate the antibodies anymore (Herceptin and Perjeta). My treatments are going to be reevaluated. 
I've been thinking the past few days and I was wondering why I kept on going. Quite honestly, I struggled to find reasons. I feel I spend my time subjecting to medical appointments, investigations, treatments and what not, but to no gain in my quality of life. On the contrary, it gets worse. 
It's difficult talking about these feelings with friends and family because, from my own personal experience, I notice it triggers a very strong emotional  response. And often, it's negative. 
Thank you for reading.</t>
        </is>
      </c>
      <c r="D2794" t="n">
        <v>35</v>
      </c>
      <c r="E2794" t="n">
        <v>27</v>
      </c>
      <c r="F2794">
        <f>HYPERLINK("https://www.reddit.com/r/cancer/comments/bx6u4f/i_am_tired_and_overwhelmed_i_guess_the_option_of/")</f>
        <v/>
      </c>
      <c r="G2794" t="inlineStr">
        <is>
          <t>2019-06-05 12:35:58</t>
        </is>
      </c>
      <c r="H2794" t="inlineStr"/>
    </row>
    <row r="2795">
      <c r="A2795" t="inlineStr">
        <is>
          <t>bx74pr</t>
        </is>
      </c>
      <c r="B2795" t="inlineStr">
        <is>
          <t>How to stay safe post-testicular cancer?</t>
        </is>
      </c>
      <c r="C2795" t="inlineStr">
        <is>
          <t>Hello people, first of all I want to say that cancer is a bitch and I hope that everyone here that has it will make it through okay. 
I got through stage 1 testicular cancer last March-June. Had to go under two cycles of chemo and I'm fine now. My doctor said that I need to watch what I consume for the next 4-5 years. I lasted about 7 months. After that I started eating fast food and sweets and chocolate and all that. I don't eat much fast food but I consume sugar everyday. My check-up is in July and I am worried about catching it again. I promised myself to get my eating habits under control but it isn't too late is it? It sucked the first time and I don't know if I can handle it again, and this time it would be my fault. I'm really sorry if this is a stupid question but I had to ask. Thank you in advance and best of luck to everyone.</t>
        </is>
      </c>
      <c r="D2795" t="n">
        <v>1</v>
      </c>
      <c r="E2795" t="n">
        <v>6</v>
      </c>
      <c r="F2795">
        <f>HYPERLINK("https://www.reddit.com/r/cancer/comments/bx74pr/how_to_stay_safe_posttesticular_cancer/")</f>
        <v/>
      </c>
      <c r="G2795" t="inlineStr">
        <is>
          <t>2019-06-05 13:00:21</t>
        </is>
      </c>
      <c r="H2795" t="inlineStr"/>
    </row>
    <row r="2796">
      <c r="A2796" t="inlineStr">
        <is>
          <t>bx7lfs</t>
        </is>
      </c>
      <c r="B2796" t="inlineStr">
        <is>
          <t>Boyfriends dad has stage 4 liver cancer</t>
        </is>
      </c>
      <c r="C2796" t="inlineStr">
        <is>
          <t>My boyfriends dad has stage 4 liver cancer and it’s spread all around his body. They gave him less than 6 months to live and he’s at the end with jaundice &amp;amp; a failing liver. 
My boyfriend (20)  and I (19 F) have known each other for almost 3 1/2 years and we just started dating last November. My boyfriend has a history abusing substances (sober for over a year) and when his dad passes I want to avoid him turning to those. He’s already depressed, he won’t clean, and he hides in his room all day and night and dreads going places. 
I understand why he’s depressed but my question is how can I “lighten” the situation after his dad passes? How can I steer him away from being more depressed? How can I be there without getting in the way of however he copes?</t>
        </is>
      </c>
      <c r="D2796" t="n">
        <v>4</v>
      </c>
      <c r="E2796" t="n">
        <v>7</v>
      </c>
      <c r="F2796">
        <f>HYPERLINK("https://www.reddit.com/r/cancer/comments/bx7lfs/boyfriends_dad_has_stage_4_liver_cancer/")</f>
        <v/>
      </c>
      <c r="G2796" t="inlineStr">
        <is>
          <t>2019-06-05 13:38:37</t>
        </is>
      </c>
      <c r="H2796" t="inlineStr"/>
    </row>
    <row r="2797">
      <c r="A2797" t="inlineStr">
        <is>
          <t>bx7x1v</t>
        </is>
      </c>
      <c r="B2797" t="inlineStr">
        <is>
          <t>1 week down</t>
        </is>
      </c>
      <c r="C2797" t="inlineStr">
        <is>
          <t>I’m a week into remission today. New redditor and am glad to have found this community. My heart goes out to everyone still fighting and looking forward to your stories of whoopin ass.</t>
        </is>
      </c>
      <c r="D2797" t="n">
        <v>24</v>
      </c>
      <c r="E2797" t="n">
        <v>2</v>
      </c>
      <c r="F2797">
        <f>HYPERLINK("https://www.reddit.com/r/cancer/comments/bx7x1v/1_week_down/")</f>
        <v/>
      </c>
      <c r="G2797" t="inlineStr">
        <is>
          <t>2019-06-05 14:05:35</t>
        </is>
      </c>
      <c r="H2797" t="inlineStr"/>
    </row>
    <row r="2798">
      <c r="A2798" t="inlineStr">
        <is>
          <t>bx8lfe</t>
        </is>
      </c>
      <c r="B2798" t="inlineStr">
        <is>
          <t>You're all great</t>
        </is>
      </c>
      <c r="C2798" t="inlineStr">
        <is>
          <t>I just wanted to say to everyone here, if you're battling cancer or if someone close to you is, that you're doing a great job. Even if you don't feel like it somedays, I promise you, you're golden. I have so much love for you and I'm always here to chat to anyone.</t>
        </is>
      </c>
      <c r="D2798" t="n">
        <v>28</v>
      </c>
      <c r="E2798" t="n">
        <v>1</v>
      </c>
      <c r="F2798">
        <f>HYPERLINK("https://www.reddit.com/r/cancer/comments/bx8lfe/youre_all_great/")</f>
        <v/>
      </c>
      <c r="G2798" t="inlineStr">
        <is>
          <t>2019-06-05 15:04:20</t>
        </is>
      </c>
      <c r="H2798" t="inlineStr"/>
    </row>
    <row r="2799">
      <c r="A2799" t="inlineStr">
        <is>
          <t>bxaell</t>
        </is>
      </c>
      <c r="B2799" t="inlineStr">
        <is>
          <t>Art</t>
        </is>
      </c>
      <c r="C2799" t="inlineStr">
        <is>
          <t>I have drawn some pieces of art related to cancer and my experience with it, I’m not sure if I should/can share on this community. If anyone has any advice or thinks I should or shouldn’t please lmk. Thank you</t>
        </is>
      </c>
      <c r="D2799" t="n">
        <v>9</v>
      </c>
      <c r="E2799" t="n">
        <v>5</v>
      </c>
      <c r="F2799">
        <f>HYPERLINK("https://www.reddit.com/r/cancer/comments/bxaell/art/")</f>
        <v/>
      </c>
      <c r="G2799" t="inlineStr">
        <is>
          <t>2019-06-05 17:57:09</t>
        </is>
      </c>
      <c r="H2799" t="inlineStr"/>
    </row>
    <row r="2800">
      <c r="A2800" t="inlineStr">
        <is>
          <t>bxampk</t>
        </is>
      </c>
      <c r="B2800" t="inlineStr">
        <is>
          <t>My 3.5 year old nephew has Rhabdomyosarcoma in his cheek. His current team of specialists gave us not great news yesterday. Any help out there?</t>
        </is>
      </c>
      <c r="C2800" t="inlineStr">
        <is>
          <t>Hi, this is hard to write but we're getting desperate now. My 3 year old nephew was diagnosed with rhabdomyosarcoma back in March. The tumour is in his face and he has been in chemo for weekly since the diagnosis. The chemo has reduced it by 59% but they have been told that it will slow down from here and and the chemo will now basically become maintenance care. The location makes it inoperable as it has shrunk up behind his cheek bone. Radio therapy is also not an option because it would do too much damage to surrounding areas, again due to the location. 
I'm not here to ask for funding or farm karma, I'm here because we were told yesterday we need to search the world for a specialist who can do something for him. I'm living far away and I can't do anything physically so I'm hoping this may be able to help in some way. The hospital currently caring for him will send his details to any specialist we find for evaluation, so now we need names. Literally anywhere in the world will be considered. The family group will make sure the funding happens one way or another so cost shouldn't come into it. We just want him fixed and to get his life back. He's such an amazing little guy and has handled it all like a champion, probably better than most of the adults around him. If anyone can point me anywhere that could be of value I would be infinitely grateful.
He doesn't deserve this, nobody does but being told that his current team can do no more to improve it has been a hammer blow. I only found this out an hour ago, my head is spinning but I'm hoping the combined strength of Reddit might have a solution or suggestion that can keep us going on the road to recovery. Thanks for your time everyone, can PM me if you don't want to post publicly. I have a kid around the same age and I can't even think about how this feels for my brother and sis in law. No suggestions will be ignored, so if you have any info whatsoever please post. Thanks again ❤️</t>
        </is>
      </c>
      <c r="D2800" t="n">
        <v>14</v>
      </c>
      <c r="E2800" t="n">
        <v>17</v>
      </c>
      <c r="F2800">
        <f>HYPERLINK("https://www.reddit.com/r/cancer/comments/bxampk/my_35_year_old_nephew_has_rhabdomyosarcoma_in_his/")</f>
        <v/>
      </c>
      <c r="G2800" t="inlineStr">
        <is>
          <t>2019-06-05 18:18:50</t>
        </is>
      </c>
      <c r="H2800" t="inlineStr"/>
    </row>
    <row r="2801">
      <c r="A2801" t="inlineStr">
        <is>
          <t>bxbg4l</t>
        </is>
      </c>
      <c r="B2801" t="inlineStr">
        <is>
          <t>Cervical cancer treatment question</t>
        </is>
      </c>
      <c r="C2801" t="inlineStr">
        <is>
          <t>I'm finishing up radiation/chemo treatments for stage II2B cervical cancer this week. I couldn't do brachytherapy because it would have meant a 4 hour round trip and they insisted it be done during my regular, local treatments.
Earlier this week my radiation oncologist said that though the tumor has shrunk he would need to do another 5-6 sessions at a higher dose. 
He said without it I'd die in a year or two. But I'm also concerned about long term effects of this and potential quality of life issues.
Any thoughts?</t>
        </is>
      </c>
      <c r="D2801" t="n">
        <v>7</v>
      </c>
      <c r="E2801" t="n">
        <v>14</v>
      </c>
      <c r="F2801">
        <f>HYPERLINK("https://www.reddit.com/r/cancer/comments/bxbg4l/cervical_cancer_treatment_question/")</f>
        <v/>
      </c>
      <c r="G2801" t="inlineStr">
        <is>
          <t>2019-06-05 19:40:02</t>
        </is>
      </c>
      <c r="H2801" t="inlineStr"/>
    </row>
    <row r="2802">
      <c r="A2802" t="inlineStr">
        <is>
          <t>bxdfzx</t>
        </is>
      </c>
      <c r="B2802" t="inlineStr">
        <is>
          <t>A month out from transplant</t>
        </is>
      </c>
      <c r="C2802" t="inlineStr">
        <is>
          <t>In a month I go in for a bone marrow transplant. None of my family was a match for marrow but they found one through the network. There is a hero out there that will save my life. It seems crazy that a random person on the other side of the world is a better marrow match than my direct family. What is also crazy is there are people willing to give a part of their life for another person that they have never met. Thanks to everyone out there willing to help others, even in the smallest of ways.
[Be The Match](www.BeTheMatch.org)</t>
        </is>
      </c>
      <c r="D2802" t="n">
        <v>55</v>
      </c>
      <c r="E2802" t="n">
        <v>11</v>
      </c>
      <c r="F2802">
        <f>HYPERLINK("https://www.reddit.com/r/cancer/comments/bxdfzx/a_month_out_from_transplant/")</f>
        <v/>
      </c>
      <c r="G2802" t="inlineStr">
        <is>
          <t>2019-06-05 23:32:25</t>
        </is>
      </c>
      <c r="H2802" t="inlineStr"/>
    </row>
    <row r="2803">
      <c r="A2803" t="inlineStr">
        <is>
          <t>bxdg10</t>
        </is>
      </c>
      <c r="B2803" t="inlineStr">
        <is>
          <t>Can you explain how cancer works?</t>
        </is>
      </c>
      <c r="C2803" t="inlineStr">
        <is>
          <t>Sorry if this sounds like the stupidest thing ever. I'm really ignorant and I have some questions about cancer. 
-Does all cancer start as tumors?
-If so, why can't the tumors be surgically removed?
-How does cancer spread if it's contained in a tumor?
-Why are some types of cancer more treatable than other types, if it's all the same? Does it have to do with the location?
-What's the difference between radiation therapy and chemotherapy?
-Doesn't raditaion CAUSE cancer? How can it kill it as well?
Again I'm really sorry if this is insultingly stupid, I'm trying to understand it better and I wanted to ask real people instead of consulting WebMD</t>
        </is>
      </c>
      <c r="D2803" t="n">
        <v>3</v>
      </c>
      <c r="E2803" t="n">
        <v>4</v>
      </c>
      <c r="F2803">
        <f>HYPERLINK("https://www.reddit.com/r/cancer/comments/bxdg10/can_you_explain_how_cancer_works/")</f>
        <v/>
      </c>
      <c r="G2803" t="inlineStr">
        <is>
          <t>2019-06-05 23:32:33</t>
        </is>
      </c>
      <c r="H2803" t="inlineStr"/>
    </row>
    <row r="2804">
      <c r="A2804" t="inlineStr">
        <is>
          <t>bxe7az</t>
        </is>
      </c>
      <c r="B2804" t="inlineStr">
        <is>
          <t>I don’t know what I’ll do without him</t>
        </is>
      </c>
      <c r="C2804" t="inlineStr">
        <is>
          <t>I’m 22 about to graduate college, and my dad is dying of cancer. He is truly the hero of my life, an all around incredible human. I know a lot of people think that about their parents, but I really mean it. Never once in my life did I ever see him angry, he never once fought with my mom or me, he is so talented and smart, has the best sense of humor, taught me how to enjoy life, and incredibly humble. I feel like I’m finally at an age where I can really enjoy and appreciate my parents, but I only have a matter of months to spend with him. My heart breaks everyday, he is the last person to ever deserve this. There is no future I can see without him. He is only in his 50s and worked so hard his entire life for our family, he deserved to enjoy retirement. He always talked about wanting grandchildren and to be at my wedding. There is no history of cancer in his family, his dad is still living at 95, he had no symptoms, and was otherwise in good health so this came as such a shock that is incredibly hard to accept. And I’m so worried about what my mom will do when he’s gone. He has been her entire life since she was 19, she will be so depressed and lonely I worry, I can’t lose them both. I can’t. I can’t believe this is happening. Life is so unfair, hug your parents tight</t>
        </is>
      </c>
      <c r="D2804" t="n">
        <v>40</v>
      </c>
      <c r="E2804" t="n">
        <v>8</v>
      </c>
      <c r="F2804">
        <f>HYPERLINK("https://www.reddit.com/r/cancer/comments/bxe7az/i_dont_know_what_ill_do_without_him/")</f>
        <v/>
      </c>
      <c r="G2804" t="inlineStr">
        <is>
          <t>2019-06-06 01:15:43</t>
        </is>
      </c>
      <c r="H2804" t="inlineStr"/>
    </row>
    <row r="2805">
      <c r="A2805" t="inlineStr">
        <is>
          <t>bxetg4</t>
        </is>
      </c>
      <c r="B2805" t="inlineStr">
        <is>
          <t>Could a brain tumour affect gut function?</t>
        </is>
      </c>
      <c r="C2805" t="inlineStr">
        <is>
          <t xml:space="preserve"> MY sister has had a bit of a dodge stomach for sometime. She used to explain it as having all the problems you could think of together, so one day it is constipation, the next its gas, then diarrhea. 
She has tried gluten free, vegan, keto, intermittent fasting along with many more to try to fix it.   She recently was diagnosed with a 7cm glioma grade II (we are in the process of finding out the exact type).   
I read a Harvard Health article saying there is a gut-brain connection.  Could the tumour affect her gut function.?</t>
        </is>
      </c>
      <c r="D2805" t="n">
        <v>3</v>
      </c>
      <c r="E2805" t="n">
        <v>1</v>
      </c>
      <c r="F2805">
        <f>HYPERLINK("https://www.reddit.com/r/cancer/comments/bxetg4/could_a_brain_tumour_affect_gut_function/")</f>
        <v/>
      </c>
      <c r="G2805" t="inlineStr">
        <is>
          <t>2019-06-06 02:45:12</t>
        </is>
      </c>
      <c r="H2805" t="inlineStr"/>
    </row>
    <row r="2806">
      <c r="A2806" t="inlineStr">
        <is>
          <t>bxgi09</t>
        </is>
      </c>
      <c r="B2806" t="inlineStr">
        <is>
          <t>Skin reaction to radiation MARKS</t>
        </is>
      </c>
      <c r="C2806" t="inlineStr">
        <is>
          <t xml:space="preserve"> Omg so my skin is having a reaction to the ink they used to mark me for radiation - not the radiation itself 🙅 I just need to be careful with washing. It's itchy and bumpy.Nurse said it's rare but my skin is sensitive to allergy stuff I guess</t>
        </is>
      </c>
      <c r="D2806" t="n">
        <v>9</v>
      </c>
      <c r="E2806" t="n">
        <v>0</v>
      </c>
      <c r="F2806">
        <f>HYPERLINK("https://www.reddit.com/r/cancer/comments/bxgi09/skin_reaction_to_radiation_marks/")</f>
        <v/>
      </c>
      <c r="G2806" t="inlineStr">
        <is>
          <t>2019-06-06 06:05:16</t>
        </is>
      </c>
      <c r="H2806" t="inlineStr"/>
    </row>
    <row r="2807">
      <c r="A2807" t="inlineStr">
        <is>
          <t>bxgzal</t>
        </is>
      </c>
      <c r="B2807" t="inlineStr">
        <is>
          <t>Neck CT Results</t>
        </is>
      </c>
      <c r="C2807" t="inlineStr">
        <is>
          <t>Update: 
About a month ago I started having very weird symptoms. It stated with a tooth ache, which developed into jaw pain. From there I went to multiple doctors and saw a dentist who thought I had TMJ. Not too much after this I started developing more symptoms, my throat started closing up and it was incredibly painful to swollow. They did strep test and found no signs of infection. The throat pain got worse, and the sinus pressure got worse as well. My left temple felt like there was pressure there for almost a month. 
They treated me for an unchecked sinus infection and couldn't quite figure out what was going on still. Whatever is going on with me, it's been effecting specifically the left side of my body. After a week of anti biotics the pain in my throat went away, but it started feeling numb, and still does. It's still kind of difficult to swollow, and I'm getting pains and burning sensations on the left side of my neck, and my left arm. My chest/esophagus has been hurting progressively worse and worse to the point I've never had indigestion pain like this before. It's significantly worse then just your normal heartburn. 
They finally order a stat CT yesterday after a month of me asking for one and the results came back as normal. Although this should make me feel relieved since there was a lump on the side of my neck, it doesn't. The not knowing is so much worse then just being told, "here is what's wrong, now here's what we can do to fix it". 
I'm 26 years old and getting sicker every day. Doctors can't figure out what's wrong and I've been to 4 different kinds of specialists. The only thing they can tell me is my lymph nodes on the left side are swollen, and my thyroid is enlarged. I'm not looking for answers... Just looking to vent a little bit because of how stressed out I've been the last month. The pain has gotten unbearable and since docs can't figure out what's wrong they wont prescribe anything for pain. 
I just need this to be over, I want to go back to work so badly. I don't even have a legitimate medical excuse to NOT be working. Thanks for taking the time to read.</t>
        </is>
      </c>
      <c r="D2807" t="n">
        <v>7</v>
      </c>
      <c r="E2807" t="n">
        <v>12</v>
      </c>
      <c r="F2807">
        <f>HYPERLINK("https://www.reddit.com/r/cancer/comments/bxgzal/neck_ct_results/")</f>
        <v/>
      </c>
      <c r="G2807" t="inlineStr">
        <is>
          <t>2019-06-06 06:53:42</t>
        </is>
      </c>
      <c r="H2807" t="inlineStr"/>
    </row>
    <row r="2808">
      <c r="A2808" t="inlineStr">
        <is>
          <t>bxhjiw</t>
        </is>
      </c>
      <c r="B2808" t="inlineStr">
        <is>
          <t>Desperate for a clinical trial</t>
        </is>
      </c>
      <c r="C2808" t="inlineStr">
        <is>
          <t>Is anyone on or aware of any promising clinical trials for relapsed/metastatic Osteosarcoma? I've completed just about every systemic chemotherapy option and all the surgeons I have seen have determined my tumor is unresectable. I'm desperate for anything at this point. Thanks in advance!</t>
        </is>
      </c>
      <c r="D2808" t="n">
        <v>10</v>
      </c>
      <c r="E2808" t="n">
        <v>4</v>
      </c>
      <c r="F2808">
        <f>HYPERLINK("https://www.reddit.com/r/cancer/comments/bxhjiw/desperate_for_a_clinical_trial/")</f>
        <v/>
      </c>
      <c r="G2808" t="inlineStr">
        <is>
          <t>2019-06-06 07:45:44</t>
        </is>
      </c>
      <c r="H2808" t="inlineStr"/>
    </row>
    <row r="2809">
      <c r="A2809" t="inlineStr">
        <is>
          <t>bxic35</t>
        </is>
      </c>
      <c r="B2809" t="inlineStr">
        <is>
          <t>Flying home this morning</t>
        </is>
      </c>
      <c r="C2809" t="inlineStr">
        <is>
          <t>I am from Hawai’i and my family still resides there. Mom was diagnosed with cancer in October 2017. I can still remember that day when Dad called me to give me the news. Flash forward to this year, Mom got news her liver was severely compromised. I got engaged to the best man I’ve ever met in March. We got the news that she was no longer responding to chemo just last month. My parents called me and when my Mom got on the phone, she said “I’m SO sorry, all I wanted to do was see you get married”. So that’s what we did. My hubby and I were married just a couple of weeks ago. 
Last night I got the call that her liver was failing. It could be a day or two or three but it was going to happen. She refused treatment because there was a significant chance it wasn’t going to work and was just going to continue to decrease her quality of life. I am hope I am that graceful when I meet death. That I can yield to God when it’s right.
So here I am, on a flight home to see her, be there for my family. Such a mix of emotions: sadness, sorrow, anxiety, relief. I can hardly say it out loud, but she’s really dying. 
p.s. Can I just say how much comfort I have gathered from reading your stories, from big to small victories, stories of remembrance and love. This is an amazing community.</t>
        </is>
      </c>
      <c r="D2809" t="n">
        <v>46</v>
      </c>
      <c r="E2809" t="n">
        <v>8</v>
      </c>
      <c r="F2809">
        <f>HYPERLINK("https://www.reddit.com/r/cancer/comments/bxic35/flying_home_this_morning/")</f>
        <v/>
      </c>
      <c r="G2809" t="inlineStr">
        <is>
          <t>2019-06-06 08:54:50</t>
        </is>
      </c>
      <c r="H2809" t="inlineStr"/>
    </row>
    <row r="2810">
      <c r="A2810" t="inlineStr">
        <is>
          <t>bxj6yb</t>
        </is>
      </c>
      <c r="B2810" t="inlineStr">
        <is>
          <t>The War on Cancer pt.1</t>
        </is>
      </c>
      <c r="C2810" t="inlineStr">
        <is>
          <t>There hаѕ bееn a "war оn саnсеr" fоr over five decades now, аnd it ѕееmѕ little has сhаngеd, аnd mоrе and mоrе people are diаgnоѕеd with саnсеr аnd diе from саnсеr еасh day. Wе have mаdе grеаt аdvаnсеѕ оur undеrѕtаnding of thе diѕеаѕе аnd in diagnosis and trеаtmеnt
Unfоrtunаtеlу, thе complexity оf the рrоblеm ѕееmѕ tо grow with оur undеrѕtаnding. Cоnѕidеr this; Cаnсеr iѕ оvеr one hundrеd diseases, which are аll diffеrеnt but аll the same. Sауing a diѕеаѕе iѕ саnсеr is like саlling a vеhiсlе аn automobile. All cars hаvе four tires, windѕhiеld wipers, and a steering whееl, еtс., but a dunе buggy has vеrу diffеrеnt раrtѕ thаn a Vоlvо.
Likеwiѕе, breast cancer is diffеrеnt frоm рrоѕtаtе саnсеr, аnd colon саnсеr iѕ diffеrеnt frоm lung саnсеr. Thuѕ their ѕуmрtоmѕ of presentation, patterns оf ѕрrеаd, аnd trеаtmеnt аrе different. It iѕ unlikely thеrе will be one ѕimрlе solution fоr all thеѕе different diѕеаѕеѕ wе саll cancer.
Consider what wе аrе trуing tо ассоmрliѕh whеn wе trу tо аnаlуzе аll thе different kinds оf саnсеr. Yоu аrе lооking thrоugh a telescope at thе раrking gаrаgе аt Yankee Stadium, 100 milеѕ away.
There аrе twо idеntiсаl lооking red cars. Frоm уоur vаntаgе point, уоu hаvе to tеll whаt kind оf cars they аrе, and what kind оf еnginеѕ thе cars have. And you have tо bе аblе tо lооk deeper, whаt color iѕ the interior, аnd whаt tуре оf ѕоund ѕуѕtеm does it have?
Nоw lооk аt the CD рlауеr аnd ѕее there is a Billy Jоеl Album, maybe Piano Mаn. Is it рlауing? Whаt trасk iѕ it оn? Lооk аt thе third trасk аnd thе 405th nоtе in thаt trасk. Thеrе iѕ a scratch аltеring thе machines ability to rеndеr thе ѕоng аnd сhаnging the mеlоdу tо a repetitive cacophony.
Nоw fix thе ѕсrаtсh аnd сhаngе thе diѕс back tо nоrmаl, withоut hurting аnуthing in thе саr or оthеr саrѕ аrоund it. Oh, аnd rеmеmbеr that уоu muѕt bе able to dо thiѕ from 100 milеѕ аwау.
Thе research that has been соnduсtеd hаѕ given us tremendous inѕight into thе mоlесulаr funсtiоn оf the cell, аnd сhеmiсаl раthwауѕ whiсh аrе damaged in a саnсеrоuѕ cell.
Wе have dеmоnѕtrаtеd hоw саnсеr cells саn bе inасtivаtеd оr turned back to nоrmаl by changing thеѕе chemical раthwауѕ. DMT is thе "Hоlу Grаil" - by repairing the dаmаgе thаt causes a cell tо bеhаvе wrоng, аnd сurе саnсеr.
Fixing the ѕсrаtсh оn the CD, from 100 уаrdѕ аwау. In ѕоmе саѕеѕ, thе rеѕultѕ hаvе been very еnсоurаging, аnd in оthеrѕ, wе have lеаrnеd hоw rарidlу nаturе аdарtѕ and findѕ wауѕ around оur сhеmiсаl rоаdblосkѕ.
Pt 2. If anyone is interested reply</t>
        </is>
      </c>
      <c r="D2810" t="n">
        <v>0</v>
      </c>
      <c r="E2810" t="n">
        <v>1</v>
      </c>
      <c r="F2810">
        <f>HYPERLINK("https://www.reddit.com/r/cancer/comments/bxj6yb/the_war_on_cancer_pt1/")</f>
        <v/>
      </c>
      <c r="G2810" t="inlineStr">
        <is>
          <t>2019-06-06 10:07:29</t>
        </is>
      </c>
      <c r="H2810" t="inlineStr"/>
    </row>
    <row r="2811">
      <c r="A2811" t="inlineStr">
        <is>
          <t>bxlozi</t>
        </is>
      </c>
      <c r="B2811" t="inlineStr">
        <is>
          <t>Looking for advice/opinions</t>
        </is>
      </c>
      <c r="C2811" t="inlineStr">
        <is>
          <t>My brother has just been diagnosed with tongue cancer. He had a biopsy, came back squamous cell carcinoma.  We live in Alabama. The oral surgeon who did the biopsy recommended a surgeon/oncologist in Birmingham, at UAB.  However, when he told his general practitioner what was going on, he said, “Do not go to UAB, they will kill you. You need to go do MD Anderson in Houston, TX.”  
Thoughts?  We are at a loss and want to do the best thing.</t>
        </is>
      </c>
      <c r="D2811" t="n">
        <v>4</v>
      </c>
      <c r="E2811" t="n">
        <v>3</v>
      </c>
      <c r="F2811">
        <f>HYPERLINK("https://www.reddit.com/r/cancer/comments/bxlozi/looking_for_adviceopinions/")</f>
        <v/>
      </c>
      <c r="G2811" t="inlineStr">
        <is>
          <t>2019-06-06 13:40:01</t>
        </is>
      </c>
      <c r="H2811" t="inlineStr"/>
    </row>
    <row r="2812">
      <c r="A2812" t="inlineStr">
        <is>
          <t>bxlpqk</t>
        </is>
      </c>
      <c r="B2812" t="inlineStr">
        <is>
          <t>I am so sad... every thought makes me cry... Father-in-law has cancer</t>
        </is>
      </c>
      <c r="C2812" t="inlineStr">
        <is>
          <t>I just needed to share how I feel... 
We will lose sich a great person. 
I got to know him nearly 6 years ago when I was introduced to the incredible family of my fiancé. 
Now my fiancé’s dad has cancer (lung cancer with fast growing metastasis in the liver). The doctors changed the chemo. 
He doesn’t feel so well. He sleeps a lot and doesn’t go out much. But he still smiles and does not complain about the pain he has. 
I cry so much lately. The thought of him being dead makes my cry; thinking about the funeral makes me cry; thinking about how my fiancé will feel without his dad; How incredible sad it will be without him; even beautiful things makes me cry (a photograph with him, as I am thinking “there will come a day, when we cannot take any more photos with him”); how this will effect his mom and all the people around him; how everything will change... 
I sometimes think, that I do not have the right to be so sad, as he is not my dad. But I can’t help to feel the way I do... I just love his family and felt for the first time like I belonged to a family. I feel secure and loved and taken seriously and being welcomed and being seen as who I am. 
I try to trivialize things (“we will all die and by the way the sun will expand one day and will kill all living things, so why should I be sad?”). I never was so sad about someone’s illness. Not even when my mother had breast cancer (which was detected early enough and everything’s good). 
I am also thinking about my own health and my own mortality a lot. 
Life is so damn short... 
And this makes me cry, too. 
I don’t know what to expect by posting this. I just had to share it...</t>
        </is>
      </c>
      <c r="D2812" t="n">
        <v>15</v>
      </c>
      <c r="E2812" t="n">
        <v>3</v>
      </c>
      <c r="F2812">
        <f>HYPERLINK("https://www.reddit.com/r/cancer/comments/bxlpqk/i_am_so_sad_every_thought_makes_me_cry/")</f>
        <v/>
      </c>
      <c r="G2812" t="inlineStr">
        <is>
          <t>2019-06-06 13:41:53</t>
        </is>
      </c>
      <c r="H2812" t="inlineStr"/>
    </row>
    <row r="2813">
      <c r="A2813" t="inlineStr">
        <is>
          <t>bxmmco</t>
        </is>
      </c>
      <c r="B2813" t="inlineStr">
        <is>
          <t>Terminal cancer</t>
        </is>
      </c>
      <c r="C2813" t="inlineStr">
        <is>
          <t>Dad was diagnosed with pancreatic cancer in October last year. In May it was confirmed it had spread to his liver and on Tuesday it was confirmed he had only a few months left to live.
I'm broken and have no idea how to deal with us. 
He's moved back from Europe and is now living with me and my husband. I'm staying strong all I can but had to leave the house last night to have a panic attack and cry, scream, shout. 
It's so fucking unfair and I HATE what it is doing to him :(</t>
        </is>
      </c>
      <c r="D2813" t="n">
        <v>58</v>
      </c>
      <c r="E2813" t="n">
        <v>16</v>
      </c>
      <c r="F2813">
        <f>HYPERLINK("https://www.reddit.com/r/cancer/comments/bxmmco/terminal_cancer/")</f>
        <v/>
      </c>
      <c r="G2813" t="inlineStr">
        <is>
          <t>2019-06-06 15:00:27</t>
        </is>
      </c>
      <c r="H2813" t="inlineStr"/>
    </row>
    <row r="2814">
      <c r="A2814" t="inlineStr">
        <is>
          <t>bxmnbr</t>
        </is>
      </c>
      <c r="B2814" t="inlineStr">
        <is>
          <t>Terminal cancer, looking for second opinions or ideas.</t>
        </is>
      </c>
      <c r="C2814" t="inlineStr">
        <is>
          <t>Hello,
&amp;amp;#x200B;
I had testiculer cancer for a few years now (Seminoma). I went through the initial 4 cycles of chemo, then went through another 4 cycles of salvage. After that I did the RPLND surgery because the cancer was confined to a few lymph nodes in the abdomen according to the pet scan. Well six months went by till my next cat scan, and it has returned in more lymph nodes in the abdomen. So now they wanted to pursue a stem cell transplant, but before that they needed to put a nephrostomy tube in to protect one of my kidneys because a lymph node was pushing up against the ureter/kidney. Besides putting in the nephrostomy tube, they wanted me to get started on chemo right away, so I did that. This particular time when I did chemo(cisplatin), it hurt my kidney, so I guess I have acute kidney injury, I am not sure if the kidneys will return to normal or not, but the stem cell oncologist won't do anything until the creatinine gets back down where it needs to be. So my only option left is to do Radiation therapy, which isn't a cure and even if they do shrink the tumors and maybe the Kidney function improves over time. I still will have to do high dose chemo and that will just destroy the kidneys before I do a stem cell transplant. Is there away around this? Does anybody have a different opinion advice, or this is it for me. I think even my doctors are thinking this is way too optimistic. The stem cell oncologist said he would do it, via his nurse.</t>
        </is>
      </c>
      <c r="D2814" t="n">
        <v>15</v>
      </c>
      <c r="E2814" t="n">
        <v>8</v>
      </c>
      <c r="F2814">
        <f>HYPERLINK("https://www.reddit.com/r/cancer/comments/bxmnbr/terminal_cancer_looking_for_second_opinions_or/")</f>
        <v/>
      </c>
      <c r="G2814" t="inlineStr">
        <is>
          <t>2019-06-06 15:02:28</t>
        </is>
      </c>
      <c r="H2814" t="inlineStr"/>
    </row>
    <row r="2815">
      <c r="A2815" t="inlineStr">
        <is>
          <t>bxms9r</t>
        </is>
      </c>
      <c r="B2815" t="inlineStr">
        <is>
          <t>Bleaching hair after HIPEC?</t>
        </is>
      </c>
      <c r="C2815" t="inlineStr">
        <is>
          <t>So one year and one month ago I had cytoredcutive surgery and HIPEC for appendix cancer/pmp. Other than that I had no other chemo treatments and i didn’t have any radiation. From the HIPEC procedure I’d say about 10% of my hair broke off based on the shorter hairs i have mixed in now. My hairs fairly long and was previously highlighted using bleach. Now my roots are grown out a years worth and I want to finally get my hair done. 
Does anyone know if my hair will break off if i get it highlighted? Or does anyone have any experience/knowledge on this kind of thing?</t>
        </is>
      </c>
      <c r="D2815" t="n">
        <v>2</v>
      </c>
      <c r="E2815" t="n">
        <v>8</v>
      </c>
      <c r="F2815">
        <f>HYPERLINK("https://www.reddit.com/r/cancer/comments/bxms9r/bleaching_hair_after_hipec/")</f>
        <v/>
      </c>
      <c r="G2815" t="inlineStr">
        <is>
          <t>2019-06-06 15:14:22</t>
        </is>
      </c>
      <c r="H2815" t="inlineStr"/>
    </row>
    <row r="2816">
      <c r="A2816" t="inlineStr">
        <is>
          <t>bxmuup</t>
        </is>
      </c>
      <c r="B2816" t="inlineStr">
        <is>
          <t>Quick question for breast cancer survivors</t>
        </is>
      </c>
      <c r="C2816" t="inlineStr">
        <is>
          <t>Quick question. Hoping someone with similar circumstances can give me a clue to when or if I will have better range of mobility in my uppers arms and the tightness and pain will diminish. 
Details: 
Her 2 positive stage three breast cancer
Full cocktail of chemo, honestly don’t know the names of all 8 of them, pretty strong stuff, lost my hair, 60 lbs, and most of my muscle mass. 
Double mastectomy with reconstruction at the same time. Over the muscle size d cups.  Couldn’t save either of my nipples. Removal of all lymph nodes on left side. 
Radiation of my left breast and armpit. 
Almost a year later, I’m sill have sharp pains, terrible soreness. Pain factor is about 7 on bad days. Should I even be expecting to be pain free?</t>
        </is>
      </c>
      <c r="D2816" t="n">
        <v>3</v>
      </c>
      <c r="E2816" t="n">
        <v>0</v>
      </c>
      <c r="F2816">
        <f>HYPERLINK("https://www.reddit.com/r/cancer/comments/bxmuup/quick_question_for_breast_cancer_survivors/")</f>
        <v/>
      </c>
      <c r="G2816" t="inlineStr">
        <is>
          <t>2019-06-06 15:21:05</t>
        </is>
      </c>
      <c r="H2816" t="inlineStr"/>
    </row>
    <row r="2817">
      <c r="A2817" t="inlineStr">
        <is>
          <t>bxn58b</t>
        </is>
      </c>
      <c r="B2817" t="inlineStr">
        <is>
          <t>Do tumors eject liquid</t>
        </is>
      </c>
      <c r="C2817" t="inlineStr">
        <is>
          <t>I am just wondering do cancerous tumors eject liquid?</t>
        </is>
      </c>
      <c r="D2817" t="n">
        <v>1</v>
      </c>
      <c r="E2817" t="n">
        <v>0</v>
      </c>
      <c r="F2817">
        <f>HYPERLINK("https://www.reddit.com/r/cancer/comments/bxn58b/do_tumors_eject_liquid/")</f>
        <v/>
      </c>
      <c r="G2817" t="inlineStr">
        <is>
          <t>2019-06-06 15:48:10</t>
        </is>
      </c>
      <c r="H2817" t="inlineStr"/>
    </row>
    <row r="2818">
      <c r="A2818" t="inlineStr">
        <is>
          <t>bxng6o</t>
        </is>
      </c>
      <c r="B2818" t="inlineStr">
        <is>
          <t>Brain Mets</t>
        </is>
      </c>
      <c r="C2818" t="inlineStr">
        <is>
          <t>We just got the news that my mum(f44) has two brain Mets, one in the right frontal lobe and one in the left Syvian cortex. Just wondering what is ahead of us with this news? What should we expect? What should we look out for symptom wise. Thanks in advance</t>
        </is>
      </c>
      <c r="D2818" t="n">
        <v>5</v>
      </c>
      <c r="E2818" t="n">
        <v>6</v>
      </c>
      <c r="F2818">
        <f>HYPERLINK("https://www.reddit.com/r/cancer/comments/bxng6o/brain_mets/")</f>
        <v/>
      </c>
      <c r="G2818" t="inlineStr">
        <is>
          <t>2019-06-06 16:17:01</t>
        </is>
      </c>
      <c r="H2818" t="inlineStr"/>
    </row>
    <row r="2819">
      <c r="A2819" t="inlineStr">
        <is>
          <t>bxnv1o</t>
        </is>
      </c>
      <c r="B2819" t="inlineStr">
        <is>
          <t>Insufficiency fractures?</t>
        </is>
      </c>
      <c r="C2819" t="inlineStr">
        <is>
          <t>Anyone else? I had cervical cancer and 30 external/2 internal radiation sessions. I’m just 3 years out from NED. I had a sacral IF a couple years ago, and now I found out I have a suspected one of my femur/hip. 
Had my MRI today but won’t know the results for a week. In the meantime, I’m on crutches with strict instructions not to even touch my foot to the ground. 
Anyone had treatment? With my sacrum, they wanted to do cement (?) injections, but insurance would only cover an open repair and I opted not to have surgery.</t>
        </is>
      </c>
      <c r="D2819" t="n">
        <v>2</v>
      </c>
      <c r="E2819" t="n">
        <v>2</v>
      </c>
      <c r="F2819">
        <f>HYPERLINK("https://www.reddit.com/r/cancer/comments/bxnv1o/insufficiency_fractures/")</f>
        <v/>
      </c>
      <c r="G2819" t="inlineStr">
        <is>
          <t>2019-06-06 16:58:06</t>
        </is>
      </c>
      <c r="H2819" t="inlineStr"/>
    </row>
    <row r="2820">
      <c r="A2820" t="inlineStr">
        <is>
          <t>bxo887</t>
        </is>
      </c>
      <c r="B2820" t="inlineStr">
        <is>
          <t>The Doctor messed up with my aunt.</t>
        </is>
      </c>
      <c r="C2820" t="inlineStr">
        <is>
          <t>Around the end of May, I don’t remember the exact date,  my aunt was diagnosed with lymphoma that spread to the lungs and bladder.
We were told that she had a 100% survival chance and it rarely came back.
He didn’t look at her medical records. She has Addisons a missing chromosome. We spent weeks thinking this would be all over in November. 
This morning this was rushed to hospital after an episode of Addisons, bloods were taken. We found out that there’s only one possible treatment option, the addisons sped the cancer up.
She’s currently in ICU. We know nothing,  all the results are coming back tomorrow. My grandmother is destroyed. she has a gut feeling that this is the end. She had the same feeling when my grandfather died 
We wanted to go to Spain next year, we were celebrating her leg amputation as it was a new beginning. We were told she’d survive this</t>
        </is>
      </c>
      <c r="D2820" t="n">
        <v>8</v>
      </c>
      <c r="E2820" t="n">
        <v>7</v>
      </c>
      <c r="F2820">
        <f>HYPERLINK("https://www.reddit.com/r/cancer/comments/bxo887/the_doctor_messed_up_with_my_aunt/")</f>
        <v/>
      </c>
      <c r="G2820" t="inlineStr">
        <is>
          <t>2019-06-06 17:35:19</t>
        </is>
      </c>
      <c r="H2820" t="inlineStr"/>
    </row>
    <row r="2821">
      <c r="A2821" t="inlineStr">
        <is>
          <t>bxobyk</t>
        </is>
      </c>
      <c r="B2821" t="inlineStr">
        <is>
          <t>MIL had unchecked cancer for last 6 years</t>
        </is>
      </c>
      <c r="C2821" t="inlineStr">
        <is>
          <t>I started dating my wife 3 years back and just got married a few months ago. Wife has a widowed mother and 3 elder sisters. MIL had her left breast removed 6 years ago because of cancer. The surgeon told them that he had removed the whole breast, including the axilla, and there's no need to worry anymore. Her sample was sent for histopathology but they never went back to collect it, thought that the matter was closed and nobody bothered to give her chemo/radio after the procedure
Soon after our marriage, MIL had lower back pain and the doctor told her to get an MRI, which indicated cancer. This oncologist asked us to get the histopathology report of last operation's sample, luckily the lab still had the sample in storage, which revealed that she had triple negative breast cancer back then. The oncologist said it could be multiple myeloma but would not give a definite answer before biopsy. We went for a second opinion and this one says it is stage 4 breast cancer which has spread to the bones and that there's no need for biopsy and chemo should start right away.
I'm shaken by how stupidly the matter was handled 6 years ago both by the doctor and by my wife's older sisters. I'm also confused as to how can someone with stage 3 triple negative breast cancer 6 years ago, now progressed to stage 4, can be as stable and normal as my MIL. She has no real discomfort aside from the lower back pain. Most of her blood test results were in normal ranges, except 1 or 2. Shouldn't someone with untreated advanced stage cancer for 6 years be weaker and sicker? Shouldn't it be more obvious? How is she even alive right now if she had cancer all this time?
I know it might sound stupid to a lot of you, but this is the first time any of us are dealing with a cancer patient and don't know much about it. Any help, tip, guidance, info is welcome.</t>
        </is>
      </c>
      <c r="D2821" t="n">
        <v>20</v>
      </c>
      <c r="E2821" t="n">
        <v>15</v>
      </c>
      <c r="F2821">
        <f>HYPERLINK("https://www.reddit.com/r/cancer/comments/bxobyk/mil_had_unchecked_cancer_for_last_6_years/")</f>
        <v/>
      </c>
      <c r="G2821" t="inlineStr">
        <is>
          <t>2019-06-06 17:46:11</t>
        </is>
      </c>
      <c r="H2821" t="inlineStr"/>
    </row>
    <row r="2822">
      <c r="A2822" t="inlineStr">
        <is>
          <t>bxofz5</t>
        </is>
      </c>
      <c r="B2822" t="inlineStr">
        <is>
          <t>Good news today</t>
        </is>
      </c>
      <c r="C2822" t="inlineStr">
        <is>
          <t>First I’d like to tell anyone getting started with treatment that it isn’t always as bad as people say it will be. Everyone’s body reacts differently to this stuff and we don’t all get the same treatment protocols. So keep your head up because you might be that “unicorn” that doesn’t end up with a lot of side effects. 
I finished my chemotherapy for stage 3 Hodgkins a couple weeks ago. And I know what you’re going to say - Hodgkins can be the easy one and i get that. 
I almost died from cardiac tamponade in the beginning but after surgery it was smooth sailing through chemo. And today I got the call from my oncologist telling me that the last tumor in my chest is still shrinking and with how it’s looking the radiation I’m starting soon should get the job done. 
My hair thinned but has already grown back completely. I got nauseous only a handful of times but never puked. Food tasted a little weird for a couple days after each treatment and I’m a little tired after I walk up some stairs. That’s it. I’ve been in the gym at least 3-4 days a week every week and I’ve still kept up my love for driving and going to car events. Things have been pretty close to normal if you ask me. 
I understand radiation can be a different beast but I’m keeping my head up and staying optimistic. I’m going to be healthy again and I think my body handled chemo so well because I was in such good shape before things went downhill. I might not be done yet but today is a good day. 
I just wish it was the same for everyone else...I hate seeing the sad stories about people who weren’t as fortunate. I really do. Fuck cancer, and I wish you all the best in your journeys.</t>
        </is>
      </c>
      <c r="D2822" t="n">
        <v>32</v>
      </c>
      <c r="E2822" t="n">
        <v>3</v>
      </c>
      <c r="F2822">
        <f>HYPERLINK("https://www.reddit.com/r/cancer/comments/bxofz5/good_news_today/")</f>
        <v/>
      </c>
      <c r="G2822" t="inlineStr">
        <is>
          <t>2019-06-06 17:57:50</t>
        </is>
      </c>
      <c r="H2822" t="inlineStr"/>
    </row>
    <row r="2823">
      <c r="A2823" t="inlineStr">
        <is>
          <t>bxq5nk</t>
        </is>
      </c>
      <c r="B2823" t="inlineStr">
        <is>
          <t>Cervical cancer just diagnosed</t>
        </is>
      </c>
      <c r="C2823" t="inlineStr">
        <is>
          <t>Hello everyone. I'm new here. I just got the call today from my dr that my pathology shows I have cervical cancer. They will be setting me up with an oncologist next week. As of now I know nothing. Size of the tumor, stages, if its spread, ect.
I am just freaking out inside my own head, because I don't know anything yet. 
So ladies, what were your experiences with cervical cancer? The good, the bad, the ugly. I just want information. 
Thank you. ❤</t>
        </is>
      </c>
      <c r="D2823" t="n">
        <v>1</v>
      </c>
      <c r="E2823" t="n">
        <v>0</v>
      </c>
      <c r="F2823">
        <f>HYPERLINK("https://www.reddit.com/r/cancer/comments/bxq5nk/cervical_cancer_just_diagnosed/")</f>
        <v/>
      </c>
      <c r="G2823" t="inlineStr">
        <is>
          <t>2019-06-06 20:58:49</t>
        </is>
      </c>
      <c r="H2823" t="inlineStr"/>
    </row>
    <row r="2824">
      <c r="A2824" t="inlineStr">
        <is>
          <t>bxr7k5</t>
        </is>
      </c>
      <c r="B2824" t="inlineStr">
        <is>
          <t>Just diagnosed with cervical cancer.</t>
        </is>
      </c>
      <c r="C2824" t="inlineStr">
        <is>
          <t>Hello, I'm new here. 30 years old. I just got the call that the "fibroid" in my cervix is actually cancer. They are setting me up with an oncologist next week. As of now I know nothing. Size, type, stage, ect. 
I am a very anxious person and lost my dad to lung cancer a few years ago. Cancer is my worst nightmare. 
What have your experiences with cervical cancer been like? Any info or advice is very appreciated. 
Thank you. ❤</t>
        </is>
      </c>
      <c r="D2824" t="n">
        <v>4</v>
      </c>
      <c r="E2824" t="n">
        <v>10</v>
      </c>
      <c r="F2824">
        <f>HYPERLINK("https://www.reddit.com/r/cancer/comments/bxr7k5/just_diagnosed_with_cervical_cancer/")</f>
        <v/>
      </c>
      <c r="G2824" t="inlineStr">
        <is>
          <t>2019-06-06 23:21:37</t>
        </is>
      </c>
      <c r="H2824" t="inlineStr"/>
    </row>
    <row r="2825">
      <c r="A2825" t="inlineStr">
        <is>
          <t>bxt56w</t>
        </is>
      </c>
      <c r="B2825" t="inlineStr">
        <is>
          <t>2 degrees for cancer - everyone knows someone</t>
        </is>
      </c>
      <c r="C2825" t="inlineStr">
        <is>
          <t>Hi everyone. When I was early teens, my parents split up (amicably). My dad went on to meet a lovely lady, and they married. Love them both. My mum met a lovely lady herself. They’ve been together 23 years, now. Mums partner, Jacky, suffered through breast cancer before they met and got through it. Then she got it again, and decided to do what needed to be done to get rid of it. (Sorry, not trying to use specifics). 
Her eldest son got cancer. A very positive, sporty can-do guy. Loved cycling. He was also a very good doctor.
And while he was battling through it, my second mum, Jacky, got told she has cancer, too. Not breast this time. Pancreatic.
I remember mum coming to tell me “bad news”.
“Andrew?” I asked. (Mums older brother, who was also ill)
“Omg - Paul??””
No.
The past 6 months I’ve watched Jacky get frailer. She weighs fuck all. I rubbed her back today and all I felt were bones. 
Her eldest son died last Thursday, and we had his funeral today. 
Pardon my French, but FUCK CANCER</t>
        </is>
      </c>
      <c r="D2825" t="n">
        <v>8</v>
      </c>
      <c r="E2825" t="n">
        <v>5</v>
      </c>
      <c r="F2825">
        <f>HYPERLINK("https://www.reddit.com/r/cancer/comments/bxt56w/2_degrees_for_cancer_everyone_knows_someone/")</f>
        <v/>
      </c>
      <c r="G2825" t="inlineStr">
        <is>
          <t>2019-06-07 03:47:58</t>
        </is>
      </c>
      <c r="H2825" t="inlineStr"/>
    </row>
    <row r="2826">
      <c r="A2826" t="inlineStr">
        <is>
          <t>bxts2w</t>
        </is>
      </c>
      <c r="B2826" t="inlineStr">
        <is>
          <t>Unfortunately I think cancer is one of the few things everyone can relate to</t>
        </is>
      </c>
      <c r="C2826" t="inlineStr">
        <is>
          <t>Cancer is one of the most horrible diseases I can think of. I have it, I know so many people who have it and are affected by it. Its just horrible. It’s unbiased: it preys on the poor, the rich, any race, and country, any gender. So many people have been affected by this monstrous disease all over the world. It continues to spread and more people are diagnosed every day. It’s the one thing everyone can agree that they hate. In a way, it does bring our community together, but I hate that it’s become so frequent that more and more people are involved in it. I wish to god there was a cure other than drugs with sickening side effects.</t>
        </is>
      </c>
      <c r="D2826" t="n">
        <v>0</v>
      </c>
      <c r="E2826" t="n">
        <v>1</v>
      </c>
      <c r="F2826">
        <f>HYPERLINK("https://www.reddit.com/r/cancer/comments/bxts2w/unfortunately_i_think_cancer_is_one_of_the_few/")</f>
        <v/>
      </c>
      <c r="G2826" t="inlineStr">
        <is>
          <t>2019-06-07 05:01:53</t>
        </is>
      </c>
      <c r="H2826" t="inlineStr"/>
    </row>
    <row r="2827">
      <c r="A2827" t="inlineStr">
        <is>
          <t>bxuhzj</t>
        </is>
      </c>
      <c r="B2827" t="inlineStr">
        <is>
          <t>Emergency funds. Please help</t>
        </is>
      </c>
      <c r="C2827" t="inlineStr">
        <is>
          <t>Does anyone know anywhere to get emergency funds?
I'm completely broke with no groceries for my family. No money to do anything with them as activities. No gas money to drive anywhere. 
And my car is broken.  Definitely no money for that.
I had a gofundme through my cancer.  But I dont have much for family or friends so I think it was like 500?
I've been put of work for a year now due to my cancer chemo and resulting ptsd.
I honestly dont know what to do.</t>
        </is>
      </c>
      <c r="D2827" t="n">
        <v>0</v>
      </c>
      <c r="E2827" t="n">
        <v>19</v>
      </c>
      <c r="F2827">
        <f>HYPERLINK("https://www.reddit.com/r/cancer/comments/bxuhzj/emergency_funds_please_help/")</f>
        <v/>
      </c>
      <c r="G2827" t="inlineStr">
        <is>
          <t>2019-06-07 06:16:35</t>
        </is>
      </c>
      <c r="H2827" t="inlineStr"/>
    </row>
    <row r="2828">
      <c r="A2828" t="inlineStr">
        <is>
          <t>bxv5hp</t>
        </is>
      </c>
      <c r="B2828" t="inlineStr">
        <is>
          <t>How to handle the anxiety of waiting for biopsy results?</t>
        </is>
      </c>
      <c r="C2828" t="inlineStr">
        <is>
          <t>This is the first time I've ever visited this subreddit. After reading through many of the recent posts me heart goes out to everyone who is going through trying times, be it their loved ones or themselves. Honestly it makes my concerns feel largely insignificant, but I can't shake the anxiety.
I'm a dad (my daughter is turning 4 in a few weeks), 39, in great physical health. Just this past week I had a mole biopsied by my dermatologist who said she's not at all concerned but "let's just make 100% sure you're all good". The following day, while at my dentist, she saw a lesion on my tongue that she thinks is a result of trauma and isn't overly concerned, but wanted me to see her oral surgeon just to be certain. She said he might look at it and simply kick me out. I saw him the same day. he said his unofficial opinion is that he's not concerned, but that he wants to do a biopsy just to confirm. He said my concern level should be close to zero.
That said, I can't help but walk away from these experiences with a huge amount of regret for all of the poor choices I've made in the past. I smoked in my 20s, and was a casual smoker throughout my 30s. I've quit any kind of smoking this year. I also, just last night, decided I'm not touching alcohol again. I've been drinking more than I should these past couple of years. I just can't believe I am in this situation. 
Despite what the doctors are saying regarding their relative non-concern, I can't shake this anxiety. Part of my brain is telling me that doctors always say "hey no worries" to everyone even if they are concerned. I simply don';t know. I've never been in this situation before. I want to see my daughter graduate high school, graduate fro college and grad school (if that's what she wants to do). There are so many things I want to do with her and my wife and share with them. I usually get out of bed at 5:30am sharp and go for a run and/or go to the gym. This morning I could barely get out of bed at 7:30am. 
I find the results of both biopsies at the end of next week. I can't tell you how much I want to just sit in the corner with a couple glasses of whisky and just stare off into space. I'm really hoping that by next weekend I can simply put this past week into the "shitty week" column and learn from it and move on. Sigh. Ok, rant over. 
thanks for listening.</t>
        </is>
      </c>
      <c r="D2828" t="n">
        <v>2</v>
      </c>
      <c r="E2828" t="n">
        <v>3</v>
      </c>
      <c r="F2828">
        <f>HYPERLINK("https://www.reddit.com/r/cancer/comments/bxv5hp/how_to_handle_the_anxiety_of_waiting_for_biopsy/")</f>
        <v/>
      </c>
      <c r="G2828" t="inlineStr">
        <is>
          <t>2019-06-07 07:18:44</t>
        </is>
      </c>
      <c r="H2828" t="inlineStr"/>
    </row>
    <row r="2829">
      <c r="A2829" t="inlineStr">
        <is>
          <t>bxvka8</t>
        </is>
      </c>
      <c r="B2829" t="inlineStr">
        <is>
          <t>Next Generation Sequencing</t>
        </is>
      </c>
      <c r="C2829" t="inlineStr">
        <is>
          <t xml:space="preserve">  
[Next Generation Sequencing](http://cancergenomictest.com) is a high-throughput DNA sequencing technologies. CancerGenomicTest uses this advanced technology to give the exact result of any cancer history running in your family. To know more, sign up now at http://cancergenomictest.com or give us a call on 1-800-339-0813.</t>
        </is>
      </c>
      <c r="D2829" t="n">
        <v>1</v>
      </c>
      <c r="E2829" t="n">
        <v>0</v>
      </c>
      <c r="F2829">
        <f>HYPERLINK("https://www.reddit.com/r/cancer/comments/bxvka8/next_generation_sequencing/")</f>
        <v/>
      </c>
      <c r="G2829" t="inlineStr">
        <is>
          <t>2019-06-07 07:56:41</t>
        </is>
      </c>
      <c r="H2829" t="inlineStr"/>
    </row>
    <row r="2830">
      <c r="A2830" t="inlineStr">
        <is>
          <t>bxvzlp</t>
        </is>
      </c>
      <c r="B2830" t="inlineStr">
        <is>
          <t>1 year cancer free</t>
        </is>
      </c>
      <c r="C2830" t="inlineStr">
        <is>
          <t>So today is the day, 1 year ago, that I was having surgery to remove a tumour from tongue. I am 1 year cancer free and I am the most depressed I have ever been. Today is also the day 1 year ago that my sister got married and I didn't want to put anything on social media about my cancer that would ruin all her happy 1 year anniversary posts and make her feel sad on a happy day. So here I am on Reddit. I wish I could be off on charity hikes and out having the time of my life everyday, but for a lot of people like me life just gets worse after cancer. I'm just wasting my 2nd chance, cancer fucking sucks.</t>
        </is>
      </c>
      <c r="D2830" t="n">
        <v>79</v>
      </c>
      <c r="E2830" t="n">
        <v>41</v>
      </c>
      <c r="F2830">
        <f>HYPERLINK("https://www.reddit.com/r/cancer/comments/bxvzlp/1_year_cancer_free/")</f>
        <v/>
      </c>
      <c r="G2830" t="inlineStr">
        <is>
          <t>2019-06-07 08:33:10</t>
        </is>
      </c>
      <c r="H2830" t="inlineStr"/>
    </row>
    <row r="2831">
      <c r="A2831" t="inlineStr">
        <is>
          <t>bxx410</t>
        </is>
      </c>
      <c r="B2831" t="inlineStr">
        <is>
          <t>My art</t>
        </is>
      </c>
      <c r="C2831" t="inlineStr">
        <is>
          <t>Regarding my post about uploading some art, here is the link and a description below:
https://m.imgur.com/cKgvUj0
Some cancers are bigger than others
Some spread more quickly, and grow faster than others.
Some cancers start off slow, and then grow throughout time
And other cancers start off small and have been there for a while, they can be treated easily.
Though there are different types of cancer, cancer is cancer no matter how big or small. Some people’s fights may be harder than others, but that doesn’t take away each persons fight. 
Interpret the flowers how you please, I hope this was an okay post to make</t>
        </is>
      </c>
      <c r="D2831" t="n">
        <v>36</v>
      </c>
      <c r="E2831" t="n">
        <v>4</v>
      </c>
      <c r="F2831">
        <f>HYPERLINK("https://www.reddit.com/r/cancer/comments/bxx410/my_art/")</f>
        <v/>
      </c>
      <c r="G2831" t="inlineStr">
        <is>
          <t>2019-06-07 10:09:32</t>
        </is>
      </c>
      <c r="H2831" t="inlineStr"/>
    </row>
    <row r="2832">
      <c r="A2832" t="inlineStr">
        <is>
          <t>bxxgcq</t>
        </is>
      </c>
      <c r="B2832" t="inlineStr">
        <is>
          <t>A Poem</t>
        </is>
      </c>
      <c r="C2832" t="inlineStr">
        <is>
          <t xml:space="preserve"> This was written by my husband, just wanted to share.
&amp;amp;#x200B;
Waiting for cancer to pass
Tick tock goes the clock  
I wonder if she might wake up  
Today she had chemo for five  
I really hope she doesn't die  
Tick tock goes the clock
Tick tock goes the clock  
I have not spoken to her   
I checked on her and she is asleep  
The radiation really did her in  
Tick tock goes the clock
Tick tock goes the clock  
Today she slept for 15 hours  
I check on her now and then  
Just to know she is breathing  
Tick tock goes the clock
Tick tock goes the clock  
In the time you have finished reading  
Most likely another unfortunate soul  
Will have been diagnosed with cancer  
Tick tock goes the clock</t>
        </is>
      </c>
      <c r="D2832" t="n">
        <v>1</v>
      </c>
      <c r="E2832" t="n">
        <v>0</v>
      </c>
      <c r="F2832">
        <f>HYPERLINK("https://www.reddit.com/r/cancer/comments/bxxgcq/a_poem/")</f>
        <v/>
      </c>
      <c r="G2832" t="inlineStr">
        <is>
          <t>2019-06-07 10:39:35</t>
        </is>
      </c>
      <c r="H2832" t="inlineStr"/>
    </row>
    <row r="2833">
      <c r="A2833" t="inlineStr">
        <is>
          <t>bxxm78</t>
        </is>
      </c>
      <c r="B2833" t="inlineStr">
        <is>
          <t>A Poem</t>
        </is>
      </c>
      <c r="C2833" t="inlineStr">
        <is>
          <t>My husband wrote this to express his view of this journey we're on.
Waiting for cancer to pass  
Tick tock goes the clock    
I wonder if she might wake up    
Today she had chemo for five    
I really hope she doesn't die    
Tick tock goes the clock  
&amp;amp;#x200B;
Tick tock goes the clock    
I have not spoken to her     
I checked on her and she is asleep    
The radiation really did her in    
Tick tock goes the clock  
&amp;amp;#x200B;
Tick tock goes the clock    
Today she slept for 15 hours    
I check on her now and then    
Just to know she is breathing    
Tick tock goes the clock  
&amp;amp;#x200B;
Tick tock goes the clock    
In the time you have finished reading    
Most likely another unfortunate soul    
Will have been diagnosed with cancer    
Tick tock goes the clock</t>
        </is>
      </c>
      <c r="D2833" t="n">
        <v>8</v>
      </c>
      <c r="E2833" t="n">
        <v>1</v>
      </c>
      <c r="F2833">
        <f>HYPERLINK("https://www.reddit.com/r/cancer/comments/bxxm78/a_poem/")</f>
        <v/>
      </c>
      <c r="G2833" t="inlineStr">
        <is>
          <t>2019-06-07 10:52:26</t>
        </is>
      </c>
      <c r="H2833" t="inlineStr"/>
    </row>
    <row r="2834">
      <c r="A2834" t="inlineStr">
        <is>
          <t>bxywp3</t>
        </is>
      </c>
      <c r="B2834" t="inlineStr">
        <is>
          <t>It's worse</t>
        </is>
      </c>
      <c r="C2834" t="inlineStr">
        <is>
          <t>I had a CT scan today  for some pain I've been having.  My chemo was working but since I stopped and continued on the immunotherapy it has become active again and gotten worse. I'm in pain. They want to start a new chemo on Tuesday.  I was so hopeful that the immunotherapy would work but the whole time I had doubts. I'm so defeated. He said he would say it's significantly worse but it's only been less than 2 months since I stopped chemo.  
I don't know what to think. Is this it? Could the new chemo work or am I just buying time at this point? Has anyone dealt with this and had success with 2nd line?</t>
        </is>
      </c>
      <c r="D2834" t="n">
        <v>10</v>
      </c>
      <c r="E2834" t="n">
        <v>12</v>
      </c>
      <c r="F2834">
        <f>HYPERLINK("https://www.reddit.com/r/cancer/comments/bxywp3/its_worse/")</f>
        <v/>
      </c>
      <c r="G2834" t="inlineStr">
        <is>
          <t>2019-06-07 12:43:00</t>
        </is>
      </c>
      <c r="H2834" t="inlineStr"/>
    </row>
    <row r="2835">
      <c r="A2835" t="inlineStr">
        <is>
          <t>by0bjq</t>
        </is>
      </c>
      <c r="B2835" t="inlineStr">
        <is>
          <t>Just had my lung cancer removed.</t>
        </is>
      </c>
      <c r="C2835" t="inlineStr">
        <is>
          <t>I'm in the hospital right now, 1 day post-op. Still have a chest tube in and it's killing me. Hopefully that will come out tomorrow.
I posted on here a few weeks back that I had a ground glass lung nodule that we've been tracking for about three years now. It kept growing in small amounts. Given my history of being a former smoker, we decided to just take it out. So we scheduled a wedge resection, and then the pathologist said that it was cancer. So the doctor removed my lower lobe, along with some lymph nodes. He feels he got it all and I won't need further treatment.
It hasn't sunk in that I had cancer growing in my lungs. But what I do realize is how lucky I am that we found it so early. Even 25 years ago, it would have been a death sentence.</t>
        </is>
      </c>
      <c r="D2835" t="n">
        <v>27</v>
      </c>
      <c r="E2835" t="n">
        <v>13</v>
      </c>
      <c r="F2835">
        <f>HYPERLINK("https://www.reddit.com/r/cancer/comments/by0bjq/just_had_my_lung_cancer_removed/")</f>
        <v/>
      </c>
      <c r="G2835" t="inlineStr">
        <is>
          <t>2019-06-07 14:49:39</t>
        </is>
      </c>
      <c r="H2835" t="inlineStr"/>
    </row>
    <row r="2836">
      <c r="A2836" t="inlineStr">
        <is>
          <t>by0h0a</t>
        </is>
      </c>
      <c r="B2836" t="inlineStr">
        <is>
          <t>Thought it was ovarian</t>
        </is>
      </c>
      <c r="C2836" t="inlineStr">
        <is>
          <t>So as per my previous posts, on New Year’s Eve we thought that my mum has been diagnosed with ovarian cancer (stage 4, aggressive). She’s had chemotherapy and her CA levels are at 28 and key hole surgery. (I can’t spell the same!) but it’s come back that it’s not ovarian but cancer of the peritoneal. I’m so scared. I’m 24, no kids, not married. I want my mum to stay, I’m just so scared</t>
        </is>
      </c>
      <c r="D2836" t="n">
        <v>8</v>
      </c>
      <c r="E2836" t="n">
        <v>8</v>
      </c>
      <c r="F2836">
        <f>HYPERLINK("https://www.reddit.com/r/cancer/comments/by0h0a/thought_it_was_ovarian/")</f>
        <v/>
      </c>
      <c r="G2836" t="inlineStr">
        <is>
          <t>2019-06-07 15:03:03</t>
        </is>
      </c>
      <c r="H2836" t="inlineStr"/>
    </row>
    <row r="2837">
      <c r="A2837" t="inlineStr">
        <is>
          <t>by0qbq</t>
        </is>
      </c>
      <c r="B2837" t="inlineStr">
        <is>
          <t>Understanding 5-year relative survival rates</t>
        </is>
      </c>
      <c r="C2837" t="inlineStr">
        <is>
          <t>My father was recently diagnosed with prostate cancer at 67. It's currently in the 'localized' SEER stage.  [ACS](https://www.cancer.org/cancer/prostate-cancer/detection-diagnosis-staging/survival-rates.html) claims that the 5-year relative survival rate for this stage is nearly 100%. If 5 years have passed since DX, and he's still in the 'localized' stage. Is it wrong to conclude that the relative survival rate for the next 5 years is still nearly 100%?
&amp;amp;#x200B;
A different take on the question above. ACS says: "These numbers apply only to the stage of the cancer when it is first diagnosed. They do not apply later on if the cancer grows, spreads, or comes back after treatment."  If 3 years have passed and the cancer has now progressed to 'distant', is the orig relative survival rate of nearly 100% thrown out and the new rate is now 30% for the next 5 years (starting from when the 'distant' stage was detected)?</t>
        </is>
      </c>
      <c r="D2837" t="n">
        <v>11</v>
      </c>
      <c r="E2837" t="n">
        <v>7</v>
      </c>
      <c r="F2837">
        <f>HYPERLINK("https://www.reddit.com/r/cancer/comments/by0qbq/understanding_5year_relative_survival_rates/")</f>
        <v/>
      </c>
      <c r="G2837" t="inlineStr">
        <is>
          <t>2019-06-07 15:26:38</t>
        </is>
      </c>
      <c r="H2837" t="inlineStr"/>
    </row>
    <row r="2838">
      <c r="A2838" t="inlineStr">
        <is>
          <t>by0t4q</t>
        </is>
      </c>
      <c r="B2838" t="inlineStr">
        <is>
          <t>Two months left. Estimated of course.</t>
        </is>
      </c>
      <c r="C2838" t="inlineStr">
        <is>
          <t>Makes me sad. And scared. That is all.</t>
        </is>
      </c>
      <c r="D2838" t="n">
        <v>75</v>
      </c>
      <c r="E2838" t="n">
        <v>28</v>
      </c>
      <c r="F2838">
        <f>HYPERLINK("https://www.reddit.com/r/cancer/comments/by0t4q/two_months_left_estimated_of_course/")</f>
        <v/>
      </c>
      <c r="G2838" t="inlineStr">
        <is>
          <t>2019-06-07 15:34:01</t>
        </is>
      </c>
      <c r="H2838" t="inlineStr"/>
    </row>
    <row r="2839">
      <c r="A2839" t="inlineStr">
        <is>
          <t>by2jmz</t>
        </is>
      </c>
      <c r="B2839" t="inlineStr">
        <is>
          <t>a song for anyone who has lost their love to cancer...</t>
        </is>
      </c>
      <c r="C2839" t="inlineStr">
        <is>
          <t>i hope it helps to tell our story &amp;lt;3 
[https://www.youtube.com/watch?v=3bAstL9G\_QI&amp;amp;fbclid=IwAR0-gi34h3uCsn6xOaBe1DwV6z1Sea3-IpMK5ZXrXEE7o5JYclS4K2yfUbU](https://www.youtube.com/watch?v=3bAstL9G_QI&amp;amp;fbclid=IwAR0-gi34h3uCsn6xOaBe1DwV6z1Sea3-IpMK5ZXrXEE7o5JYclS4K2yfUbU)</t>
        </is>
      </c>
      <c r="D2839" t="n">
        <v>1</v>
      </c>
      <c r="E2839" t="n">
        <v>0</v>
      </c>
      <c r="F2839">
        <f>HYPERLINK("https://www.reddit.com/r/cancer/comments/by2jmz/a_song_for_anyone_who_has_lost_their_love_to/")</f>
        <v/>
      </c>
      <c r="G2839" t="inlineStr">
        <is>
          <t>2019-06-07 18:36:15</t>
        </is>
      </c>
      <c r="H2839" t="inlineStr"/>
    </row>
    <row r="2840">
      <c r="A2840" t="inlineStr">
        <is>
          <t>by3zmk</t>
        </is>
      </c>
      <c r="B2840" t="inlineStr">
        <is>
          <t>Questions to ask</t>
        </is>
      </c>
      <c r="C2840" t="inlineStr">
        <is>
          <t>I am 20 years old and have recently been told that my dad will likely not make it to the years end. Amongst all the sadness, the challenge of learning as much about him and his memories as I can before he passes gives me great excitement. For those with unfortunate experience in similar situations, what are some questions you would ask or wished you had asked? With such a daunting and emotional task ahead I would greatly appreciate experienced guidance.</t>
        </is>
      </c>
      <c r="D2840" t="n">
        <v>5</v>
      </c>
      <c r="E2840" t="n">
        <v>3</v>
      </c>
      <c r="F2840">
        <f>HYPERLINK("https://www.reddit.com/r/cancer/comments/by3zmk/questions_to_ask/")</f>
        <v/>
      </c>
      <c r="G2840" t="inlineStr">
        <is>
          <t>2019-06-07 21:22:26</t>
        </is>
      </c>
      <c r="H2840" t="inlineStr"/>
    </row>
    <row r="2841">
      <c r="A2841" t="inlineStr">
        <is>
          <t>by5h7i</t>
        </is>
      </c>
      <c r="B2841" t="inlineStr">
        <is>
          <t>Dealing with anticipatory grief and stress in the wake of husband's terminal diagnosis</t>
        </is>
      </c>
      <c r="C2841" t="inlineStr">
        <is>
          <t>A few days ago my 34 year old husband received a diagnosis of grade IV brain cancer. It's a recurrence of a previously low-grade glioma that he received radiation treatment for 12 years ago and it's inoperable. We've been together 5 years, married for nearly 2.
The biopsy that gave the diagnosis has messed up some of his cranial nerves so that he's struggling and dependent on care right now with no guarantee of getting back the deficits and no idea when it might happen.
I'm pregnant and due in late September with our first child that he wanted so much. We're hoping that with treatment he may rally for some time and meet his daughter but over the last few days he has been doing very badly in hospital and I feel so frightened we'll never have anymore happy times before he goes. 
I'm not coping well myself, struggling to sleep constantly shaking and my heart feels like it's going to burst out of chest. I'm only eating a little because of the baby but I don't think it's enough. I'm grieving him while he's still here and I don't know how to cope with it as I still want to spend as much time with him as possible at the hospital. It's a grief I can't give in to as I have to keep functioning to see him each day and also not cause any harm to my pregnancy. I know this is unsustainable and I'm meeting mental health midwives on Tuesday but feel so weak and worried I won't be there to support him and will regret it forever. 
We will start meeting with the oncologist and radiotherapkst next week, but he doesn't want to live the way he is and is saying he's worried he won't be able to end it himself if he declines further. Asking for my forgiveness if he kills himself. I can't help thinking he won't even get those months the doctors have said they will give him. He regrets the biopsy but it was the only way to get treatment. What can I do? I don't know how to help either of us.</t>
        </is>
      </c>
      <c r="D2841" t="n">
        <v>17</v>
      </c>
      <c r="E2841" t="n">
        <v>28</v>
      </c>
      <c r="F2841">
        <f>HYPERLINK("https://www.reddit.com/r/cancer/comments/by5h7i/dealing_with_anticipatory_grief_and_stress_in_the/")</f>
        <v/>
      </c>
      <c r="G2841" t="inlineStr">
        <is>
          <t>2019-06-08 00:26:14</t>
        </is>
      </c>
      <c r="H2841" t="inlineStr"/>
    </row>
    <row r="2842">
      <c r="A2842" t="inlineStr">
        <is>
          <t>by5hqd</t>
        </is>
      </c>
      <c r="B2842" t="inlineStr">
        <is>
          <t>My GF has these...lumps growing under her skin. We have an ultrasound to examine them on tuesday but in 1 month, it went from 2 to 9 lumps....I'm really scared for her.</t>
        </is>
      </c>
      <c r="C2842" t="inlineStr">
        <is>
          <t>Title says most of it.
The lumps are kind ofnhard, and can be grabbed. It hurts to move them, and they are showing up randomly, and in multple spots on her body.....
I'm glad I was able to say that...</t>
        </is>
      </c>
      <c r="D2842" t="n">
        <v>1</v>
      </c>
      <c r="E2842" t="n">
        <v>2</v>
      </c>
      <c r="F2842">
        <f>HYPERLINK("https://www.reddit.com/r/cancer/comments/by5hqd/my_gf_has_theselumps_growing_under_her_skin_we/")</f>
        <v/>
      </c>
      <c r="G2842" t="inlineStr">
        <is>
          <t>2019-06-08 00:28:25</t>
        </is>
      </c>
      <c r="H2842" t="inlineStr"/>
    </row>
    <row r="2843">
      <c r="A2843" t="inlineStr">
        <is>
          <t>by5nds</t>
        </is>
      </c>
      <c r="B2843" t="inlineStr">
        <is>
          <t>We all had a good laugh about my husband forgetting to draw cards on his turn....</t>
        </is>
      </c>
      <c r="C2843" t="inlineStr">
        <is>
          <t>But my heart and my mind were saddened and broken because I know it’s not really funny at all and just another reminder of how cancer is permeating every part of our lives. :(</t>
        </is>
      </c>
      <c r="D2843" t="n">
        <v>21</v>
      </c>
      <c r="E2843" t="n">
        <v>2</v>
      </c>
      <c r="F2843">
        <f>HYPERLINK("https://www.reddit.com/r/cancer/comments/by5nds/we_all_had_a_good_laugh_about_my_husband/")</f>
        <v/>
      </c>
      <c r="G2843" t="inlineStr">
        <is>
          <t>2019-06-08 00:53:52</t>
        </is>
      </c>
      <c r="H2843" t="inlineStr"/>
    </row>
    <row r="2844">
      <c r="A2844" t="inlineStr">
        <is>
          <t>by64pv</t>
        </is>
      </c>
      <c r="B2844" t="inlineStr">
        <is>
          <t>alone.</t>
        </is>
      </c>
      <c r="C2844" t="inlineStr">
        <is>
          <t>Hello. I don't know how to begin with this text, but i will keep it short. I'm an 18 y/o electrician apprentice, and i lost my dad to cancer in 2016, when i was 15. He was diagnosed with a non lethal cancer type in 2010, but it evolved and he got worse every week, and passed due to liver failure in the hospital. I feel like i have at last come to terms with his passing, but earlier today my mother told me that she had gone to the doctors for a normal check up, where they found a lump in her chest, and she is scheduled for operation later this week. I don't know what to say to her. I feel already so hopeless, and i don't want to go through the same experience that i have before. I feel empty and alone, as she always was the rock in the family who never cared about herself, but put the health of my dad and my brothers before herself. I don't have an agenda posting this here, but if anyone has any sort of advice or guidance for what i can do in this situation i would appreciate it. -g</t>
        </is>
      </c>
      <c r="D2844" t="n">
        <v>61</v>
      </c>
      <c r="E2844" t="n">
        <v>17</v>
      </c>
      <c r="F2844">
        <f>HYPERLINK("https://www.reddit.com/r/cancer/comments/by64pv/alone/")</f>
        <v/>
      </c>
      <c r="G2844" t="inlineStr">
        <is>
          <t>2019-06-08 02:10:36</t>
        </is>
      </c>
      <c r="H2844" t="inlineStr"/>
    </row>
    <row r="2845">
      <c r="A2845" t="inlineStr">
        <is>
          <t>by6j3v</t>
        </is>
      </c>
      <c r="B2845" t="inlineStr">
        <is>
          <t>Breast Cancer Signs, Symptoms, Causes, Treatments &amp;amp; Pictures</t>
        </is>
      </c>
      <c r="C2845" t="inlineStr">
        <is>
          <t>More than 180,000 women are diagnosed with breast cancer each year. The breast cancer guide is for helping patients with breast cancer and their families and friends better understand this disease. We hope others will read it as well to learn more about breast cancer. [Read More](https://top-doctors.us/blogs/breast-cancer-signs-symptoms-causes-treatments-pictures/)
&amp;amp;#x200B;
https://i.redd.it/5td0c63fv3331.jpg</t>
        </is>
      </c>
      <c r="D2845" t="n">
        <v>0</v>
      </c>
      <c r="E2845" t="n">
        <v>0</v>
      </c>
      <c r="F2845">
        <f>HYPERLINK("https://www.reddit.com/r/cancer/comments/by6j3v/breast_cancer_signs_symptoms_causes_treatments/")</f>
        <v/>
      </c>
      <c r="G2845" t="inlineStr">
        <is>
          <t>2019-06-08 03:10:12</t>
        </is>
      </c>
      <c r="H2845" t="inlineStr"/>
    </row>
    <row r="2846">
      <c r="A2846" t="inlineStr">
        <is>
          <t>by6z0t</t>
        </is>
      </c>
      <c r="B2846" t="inlineStr">
        <is>
          <t>#CARCINOID #TUMORS Prescription Medications</t>
        </is>
      </c>
      <c r="C2846" t="inlineStr">
        <is>
          <t>&amp;amp;#x200B;
&amp;amp;#x200B;
Purchase Directly from Legal &amp;amp; Licensed International Pharmacies in Australia, Canada, EU, India, Mauritius, NZ, Singapore, Turkey, UK &amp;amp; USA
&amp;amp;#x200B;
&amp;amp;#x200B;
Source :- [https://bit.ly/2EVuqk6](https://bit.ly/2EVuqk6)
&amp;amp;#x200B;
&amp;amp;#x200B;
*Processing img 4ihgmzsm94331...*</t>
        </is>
      </c>
      <c r="D2846" t="n">
        <v>1</v>
      </c>
      <c r="E2846" t="n">
        <v>0</v>
      </c>
      <c r="F2846">
        <f>HYPERLINK("https://www.reddit.com/r/cancer/comments/by6z0t/carcinoid_tumors_prescription_medications/")</f>
        <v/>
      </c>
      <c r="G2846" t="inlineStr">
        <is>
          <t>2019-06-08 04:18:01</t>
        </is>
      </c>
      <c r="H2846" t="inlineStr"/>
    </row>
    <row r="2847">
      <c r="A2847" t="inlineStr">
        <is>
          <t>by7cgo</t>
        </is>
      </c>
      <c r="B2847" t="inlineStr">
        <is>
          <t>Caressing chemo aside using a football...</t>
        </is>
      </c>
      <c r="C2847" t="inlineStr">
        <is>
          <t>An open field &amp;amp; two twin brothers, one of whom is recovering from cancer &amp;amp; chemotherapy, enjoying the art of football by caressing &amp;amp; finessing the ball with rhythm, flow &amp;amp; ultimate control...[https://www.youtube.com/watch?v=B117ZHrjEdQ](https://www.youtube.com/watch?v=B117ZHrjEdQ)</t>
        </is>
      </c>
      <c r="D2847" t="n">
        <v>1</v>
      </c>
      <c r="E2847" t="n">
        <v>0</v>
      </c>
      <c r="F2847">
        <f>HYPERLINK("https://www.reddit.com/r/cancer/comments/by7cgo/caressing_chemo_aside_using_a_football/")</f>
        <v/>
      </c>
      <c r="G2847" t="inlineStr">
        <is>
          <t>2019-06-08 05:09:30</t>
        </is>
      </c>
      <c r="H2847" t="inlineStr"/>
    </row>
    <row r="2848">
      <c r="A2848" t="inlineStr">
        <is>
          <t>by8gr1</t>
        </is>
      </c>
      <c r="B2848" t="inlineStr">
        <is>
          <t>I want my hair back</t>
        </is>
      </c>
      <c r="C2848" t="inlineStr">
        <is>
          <t>Does anyone have tips to stop obsessing over hair loss? I don't think other people look bad bald at all! But I have a very feminine style and loved my hair a lot.
In fact I really loved how I looked before my diagnosis, but now I can't recognize myself at all. Every time I catch my reflection in a window or mirror I'm shocked to see what looks like a goblin.
People keep trying to reassure me by saying that it will grow back. Even if I make it through treatment I know it will take YEARS to grow to where it was.
I really try to get dressed up and do my makeup really well. I have tried fancy head wraps and spent more money than I should have on a wig that doesn't look the way I wanted.  In the end I end up looking like a freak who is trying way too hard.
It is so hard to get out and do normal things. I feel so scared for people to see me. I just don't want to be bald anymore. I want to be able to think about other things.</t>
        </is>
      </c>
      <c r="D2848" t="n">
        <v>23</v>
      </c>
      <c r="E2848" t="n">
        <v>23</v>
      </c>
      <c r="F2848">
        <f>HYPERLINK("https://www.reddit.com/r/cancer/comments/by8gr1/i_want_my_hair_back/")</f>
        <v/>
      </c>
      <c r="G2848" t="inlineStr">
        <is>
          <t>2019-06-08 07:23:26</t>
        </is>
      </c>
      <c r="H2848" t="inlineStr"/>
    </row>
    <row r="2849">
      <c r="A2849" t="inlineStr">
        <is>
          <t>by8rxd</t>
        </is>
      </c>
      <c r="B2849" t="inlineStr">
        <is>
          <t>Question about a diagnosis</t>
        </is>
      </c>
      <c r="C2849" t="inlineStr">
        <is>
          <t>I really don’t know anything about cancer and I am a bit confused.
Two weeks ago my wife was told she had cancer. On Wednesday we met with a local surgeon for the pathology results.
High Grade Mammary Carcinoma, Invasive, Showing Neuroendocrine Features
Stage 2
Ki67 100%
The surgeon says that is very rare and wants to do a presentation to his board.
Yesterday we meet with the oncologist. I have a list of a dozen questions. I barely ask half of them because of our interaction.
He says that this is breast cancer and says that it is not Neuroendocrine. It only shows features. That it needs to be treated as breast cancer. 
I read a half dozen peer reviewed articles and neuroendocrine is a different type of beast to tackle compared to more common types of breast cancer. It does not respond to some chemos. It has a much lower OS.
I love my wife. It is Neuroendocrine I would like the opportunity to start the best treatment for Neuroendocrine. Which has a much larger reoccurrence rate. She is stage 2. There is hop of knocking it out and keeping it knocked out.
My issue is the oncologist seems very dismissive of the Neuronendocrine. I don’t know that he has ever treated a Neuronendocrine patient...a question I did not ask as he already seemed defensive. When I challenged him a but he did admit it was rare in the breast. Less than 5% of all breast cancers. Very rare in patients under 40. 
I asked for a 2nd opinion on pathology. The Neuroendocrine was found during a QA and the diagnosis was changed due to biomarkers for neuroendocrine being positive.
I only found a few other patients online that had neuroendocrine in the best and a couple of them said that were given chemo based on breast cancer factors and had fast reoccurrence and were out on neuroendocrine chemo. The peer reviewed articles said that less than 1/3rd of neuroendocrine in the breast are diagnosed correctly in the beginning. 
We are considering trying to get a different opinion from another oncologist.
Any advice here. I am just so lost and confused. We have three young kids and I really want to make sure were are putting the right plan in place. 
In my logic the oncologist was saying “this is a Ford dealership that features Chevrolet cars”. It makes no sense to me. Either it is Neuroendocrine or it is not.
Thanks for any feedback</t>
        </is>
      </c>
      <c r="D2849" t="n">
        <v>11</v>
      </c>
      <c r="E2849" t="n">
        <v>13</v>
      </c>
      <c r="F2849">
        <f>HYPERLINK("https://www.reddit.com/r/cancer/comments/by8rxd/question_about_a_diagnosis/")</f>
        <v/>
      </c>
      <c r="G2849" t="inlineStr">
        <is>
          <t>2019-06-08 07:57:16</t>
        </is>
      </c>
      <c r="H2849" t="inlineStr"/>
    </row>
    <row r="2850">
      <c r="A2850" t="inlineStr">
        <is>
          <t>by9qor</t>
        </is>
      </c>
      <c r="B2850" t="inlineStr">
        <is>
          <t>Kidney removed due to cancer, please share your diet?</t>
        </is>
      </c>
      <c r="C2850" t="inlineStr">
        <is>
          <t>Long story short. I just got my kidney removed because of cancer and I know I have to go to the nutritionist, but I really need to know what to eat for the next days before I can go to the nutritionist.
If you got your kidney removed or know someone who did, please share your diet. Like just telling me what I should NOT eat at all, and what I can eat but just sometimes, like once or twice a week. That would help me a lot. Thank you!</t>
        </is>
      </c>
      <c r="D2850" t="n">
        <v>5</v>
      </c>
      <c r="E2850" t="n">
        <v>12</v>
      </c>
      <c r="F2850">
        <f>HYPERLINK("https://www.reddit.com/r/cancer/comments/by9qor/kidney_removed_due_to_cancer_please_share_your/")</f>
        <v/>
      </c>
      <c r="G2850" t="inlineStr">
        <is>
          <t>2019-06-08 09:32:06</t>
        </is>
      </c>
      <c r="H2850" t="inlineStr"/>
    </row>
    <row r="2851">
      <c r="A2851" t="inlineStr">
        <is>
          <t>by9r3p</t>
        </is>
      </c>
      <c r="B2851" t="inlineStr">
        <is>
          <t>Fatigue after prednisone?</t>
        </is>
      </c>
      <c r="C2851" t="inlineStr">
        <is>
          <t>My husband was on high dose prednisone for about two months (most of that spent slowly tapering down) to deal with very serious side effects from the immunotherapy he was on.
He felt great while on it! He went from sleeping all day, vomiting every morning, not eating and requiring a wheelchair outside the home to walking 30 minutes every day, going to the gym, starting an online course and generally being happy and energetic.
He finally tapered down to no prednisone at all about 2.5 weeks ago. Since then, he’s vomiting every morning again and spending most of the day in bed resting. It’s not as bad as it was pre-prednisone, but it’s very noticeably different.
I thought the slow prednisone taper would have prevented this kind of thing. Is this prednisone withdrawal? Is it just cancer problems? We’re getting his PET scan results next week. It’s just so disheartening that he was getting back to normal for a couple months and now he’s beginning to crash again.
Anybody else here have prednisone experiences? He was on 85mg per day and then tapered down over 2 months.</t>
        </is>
      </c>
      <c r="D2851" t="n">
        <v>8</v>
      </c>
      <c r="E2851" t="n">
        <v>11</v>
      </c>
      <c r="F2851">
        <f>HYPERLINK("https://www.reddit.com/r/cancer/comments/by9r3p/fatigue_after_prednisone/")</f>
        <v/>
      </c>
      <c r="G2851" t="inlineStr">
        <is>
          <t>2019-06-08 09:33:12</t>
        </is>
      </c>
      <c r="H2851" t="inlineStr"/>
    </row>
    <row r="2852">
      <c r="A2852" t="inlineStr">
        <is>
          <t>by9vww</t>
        </is>
      </c>
      <c r="B2852" t="inlineStr">
        <is>
          <t>The Happy Ending For Women Who Think Of Cancer But Turns Out To Be Tapeworm Parasites In The Brain</t>
        </is>
      </c>
      <c r="C2852" t="inlineStr">
        <is>
          <t xml:space="preserve"> 
With these conditions, doctors at Mount Sinai Hospital, New York, told Rachel Palma that they suspected a lesion in her brain was a tumor. Even the scan results showed that it was cancer.
The woman from Middletown was shocked, not wanting to believe it was true.
Jonathan Rasouli, head of neurosurgery at Icahn School of Medicine, Mount Sinai Hospital said: In September last year, surgeons carefully prepared the operation of Palma's skull to search for a block. u.
However, they did not see any tumors, instead there was a round bun of the same size as a quail egg.
They removed it from Palma's brain, sliced ​​and placed under a microscope: It was a tapeworm.
*"Of course I feel very disgusting,"* 42-year-old female patient said. *"I feel much more relieved, the doctors say they need to follow up but have to treat more."*
&amp;amp;#x200B;
https://i.redd.it/v63hypmwv5331.jpg
Palma said she struggled with insomnia and nightmares for a long time. Even appearing hallucinations, imagining things that are not real.
By about 1/2018, the symptoms became much worse. At this stage, she began to have difficulty grasping furniture, such as frequently dropping coffee cups.
Holding a smartphone for texting is also very difficult, Palma has to switch to phone calls.
The poor woman felt bewildered, she used to lock herself in the house or go to work without a uniform, to the place where she could only look at the screen unconsciously.
Feeling unbearable, Palm went to the hospital and was immediately taken to the emergency room of Mount Sinai – where brain experts discovered lesions in the left frontal lobe, near the speech control area.
Dr. Rasouli said that the shape and way of the lesions that appear on the MRI test make them diagnose grief for Palma: Brain cancer.
But what Palma first showed was not cancer, but neurosis caused by parasitic Taenia solium tapering in the brain.
Bobbi Pritt, director of the Clinical Parasitology Laboratory at the Clinic and Mayo Clinic, said Taenia solium is not common in the United States, but when humans are infected, parasites can appear in two forms. different.
The most common type is adult tapeworm, which usually infects the body through uncooked meat, which is often parasitic in the intestine.
The second type, more rarely, is the tapeworm's eggs that hatch into larvae, enter the intestinal wall and follow the blood that moves throughout the body, including the brain. Larvae exist as cysts filled with fluids.
Pritt said adults can be easily treated with antiparasitic drugs. The larval form may be more complicated, depending on the location and stage of infection.
*"I want people to understand that this incident rarely happens and, a headache doesn't mean you have tapeworms in your brain."*
The most important part of this story, is the happy ending for 42-year-old women.
 [https://electrodealpro.com/the-happy-ending-for-women-who-think-of-cancer-but-turns-out-to-be-tapeworm-parasites-in-the-brain/](https://electrodealpro.com/the-happy-ending-for-women-who-think-of-cancer-but-turns-out-to-be-tapeworm-parasites-in-the-brain/)</t>
        </is>
      </c>
      <c r="D2852" t="n">
        <v>9</v>
      </c>
      <c r="E2852" t="n">
        <v>0</v>
      </c>
      <c r="F2852">
        <f>HYPERLINK("https://www.reddit.com/r/cancer/comments/by9vww/the_happy_ending_for_women_who_think_of_cancer/")</f>
        <v/>
      </c>
      <c r="G2852" t="inlineStr">
        <is>
          <t>2019-06-08 09:45:51</t>
        </is>
      </c>
      <c r="H2852" t="inlineStr"/>
    </row>
    <row r="2853">
      <c r="A2853" t="inlineStr">
        <is>
          <t>byblja</t>
        </is>
      </c>
      <c r="B2853" t="inlineStr">
        <is>
          <t>My father passed from cholangiocarcinoma</t>
        </is>
      </c>
      <c r="C2853" t="inlineStr">
        <is>
          <t>He was 41 years old. I am his 23 year old daughter. I don't know if I should post here but I haven't found another group that I feel will understand. My father had a portion of his colon removed due to a severe case of diverticulitis in February. This was unrelated to the cancer, but during that time they did multiple CTs that showed small spots in one corner of his liver. They said it may be the beginnings of cirrhosis or another liver disease, and to follow up with someone to check it once they get the immediate issue resolved. He had a small surgery, then a big surgery, and was sent home. He went to all his follow ups, they said he was healing well. He was feeling worse, and I could see him getting worse. They assured him it was post-op soreness. On March 31st my mom called and said she was scared for him, that he didn't know where the bathroom was in their home. He couldn't figure out how to use his phone, the tv remote. I told her I will come over tomorrow and check on him. When I got there, he barely recognized who I was. He was very out of it. I immediately tried to take him to the ER, he needed help to get dressed. And I couldn't get him up the stairs to the car. I called an ambulance and rode with him. Hepatic encephalopathy, they said. His liver is failing, very high ammonia levels. More CTs, MRIs.  Liver biopsy. I stayed with him the whole time. On April 6th we're told its cancer, originating in the liver. The oncologist comes to talk to us, its terminal and its bad. turns out its originating in the bile ducts, new CTs have shown that its consumed his liver in the 5 weeks since the first CT. Dr said that we can start chemo to prolong the inevitable. Maybe give him 6 months-1 year. He is released on the 8th. The next few weeks are a blur of home health nurses, physical therapists, appointments to get a port put in, appointments to set up financial assistance (chemo is expensive even with insurance). In these weeks, he is deteriorating so quickly. He didnt eat that whole time, maybe 1 ensure a day. He could no longer walk unassisted, he got a walker and then a wheelchair. His mental state, which had gotten better in the hospital had gotten worse again. He lost bladder control and had to wear "briefs". In these weeks though, he was present with my kids and I will always treasure that. He spent time with my 4 year old son, watched movies and played games that didnt require too much moving. my dad called him his best friend. He was there for my daughters first birthday in that time. On May 1st he finally has his first chemo appointment. On May 5th he had a bad fall and hit his head, and it took 3 of us to get him back in his chair. I struggle with this because i was the one supposed to be helping him while my mom cleaned his pee from the bathroom. He was 6'0 260ish lbs (with severe swelling, truly he had lost so much weight from not eating for a month). I am 5'5 120lbs. I tried to catch the fall, I did not. We took him back to the hospital on the 6th, the oncologist came to see him the 7th, told us its too late for chemo now and its time for hospice. He was transferred to a hospice facility the 8th, I took my kids to see him that day. He waved at them and said hi. Its all he could manage. The plan was to have the equipment delivered the 9th to the house and have him set up there on the 10th for the rest of his time. I went to see him the morning of the 9th, he was mostly asleep. Could no longer move to hold a cup, so I fed him water and sat in the bed with him. It took many tries to wake him up, but he did eventually snap back enough to look at me and talk a little bit. I told him how much I love him, how important he was to me, that he was a good father. He said he loves me and he knew how much I loved him. That was the last time he was ever alert. I went to check on my kids and came back around 3pm, he was unresponsive and his breathing was loud and labored. What I now recognize as a "death rattle" as the nurse called it. I left again to sleep at home. At 9pm my mom called and said he wasn't going to make it through the night. I rushed back, and I will never forget that night. I will never forget how loud and scary his breathing was. I held his hand for 4 hours, I told him everything will be okay. I told him I will take care of things, he doesn't need to worry about anything. At 1am he stopped breathing. and it was the most deafening silence I've ever experienced after hours of the only noise being his breathing and my mothers and grandparents crying. I don't know how to cope with this. He was my favorite person. Everything I am is based off who he was. I thought I was strong enough to deal with this. I stayed strong through his sickness, I maintained my grades (ended this semester with all As somehow). I stayed strong to plan his funeral. And its all over now and I can feel myself crumbling. I can't do that. I have so many people depending on me now. My kids, my husband, my mom and my sister. I cannot spiral. But I feel like I spent all my strength on my dad, and now there's none left for anyone else. I don't know what to do.</t>
        </is>
      </c>
      <c r="D2853" t="n">
        <v>59</v>
      </c>
      <c r="E2853" t="n">
        <v>23</v>
      </c>
      <c r="F2853">
        <f>HYPERLINK("https://www.reddit.com/r/cancer/comments/byblja/my_father_passed_from_cholangiocarcinoma/")</f>
        <v/>
      </c>
      <c r="G2853" t="inlineStr">
        <is>
          <t>2019-06-08 12:29:26</t>
        </is>
      </c>
      <c r="H2853" t="inlineStr"/>
    </row>
    <row r="2854">
      <c r="A2854" t="inlineStr">
        <is>
          <t>bydltc</t>
        </is>
      </c>
      <c r="B2854" t="inlineStr">
        <is>
          <t>Coping with anxiety</t>
        </is>
      </c>
      <c r="C2854" t="inlineStr">
        <is>
          <t>I have stage 4 breast cancer, diagnosed 2 years ago. Am alive by grace of a clinical trial... Which has stopped working. The cancer has spread. 
I'm trying to live each day to the fullest. After the first dx, I was a walking zombie for months. I can't do that again, will not do that again.
I am having a lot of anxiety and would like to know what has worked for others? Should I get some xanax, smoke pot, counseling, etc?</t>
        </is>
      </c>
      <c r="D2854" t="n">
        <v>31</v>
      </c>
      <c r="E2854" t="n">
        <v>9</v>
      </c>
      <c r="F2854">
        <f>HYPERLINK("https://www.reddit.com/r/cancer/comments/bydltc/coping_with_anxiety/")</f>
        <v/>
      </c>
      <c r="G2854" t="inlineStr">
        <is>
          <t>2019-06-08 15:49:37</t>
        </is>
      </c>
      <c r="H2854" t="inlineStr"/>
    </row>
    <row r="2855">
      <c r="A2855" t="inlineStr">
        <is>
          <t>bye25p</t>
        </is>
      </c>
      <c r="B2855" t="inlineStr">
        <is>
          <t>My friend is dying from stage four lung cancer and everyone is pretty tight lipped about it.</t>
        </is>
      </c>
      <c r="C2855" t="inlineStr">
        <is>
          <t>I’m the type of person where information is comforting to me. But in this instance, I feel like she doesn’t want to talk about her prognosis and of course anything she wants or doesn’t want goes. Meanwhile I’m sort of left to the internet research and wondering. She certainly isn’t in bed all day long but does take rests to lie down. She has always been more productive than anyone I’ve ever known in my entire life so it’s difficult to judge her productivity level. Anything less than her normal would be amazing for a normal person. 
In therms of what I do know, the cancer is inoperable. She was a candidate for immunotherapy but opted not to do that for reasons I don’t know. She mentioned that Hospice has been to her house to survey the space. I don’t know where the cancer has spread yet. She’s always been very thin so I can’t report extreme weight loss. 
I guess I just don’t want to be in her face over her house all the time but I also want to be as loving and helpful as I can in these days. I want to know if we are talking about months or weeks or days. I want more information but I don’t know who to ask. I don’t know what to expect but I want to know what I can expect. 
So can anyone tell me, based on what little information I have, what to reasonably expect?</t>
        </is>
      </c>
      <c r="D2855" t="n">
        <v>5</v>
      </c>
      <c r="E2855" t="n">
        <v>11</v>
      </c>
      <c r="F2855">
        <f>HYPERLINK("https://www.reddit.com/r/cancer/comments/bye25p/my_friend_is_dying_from_stage_four_lung_cancer/")</f>
        <v/>
      </c>
      <c r="G2855" t="inlineStr">
        <is>
          <t>2019-06-08 16:37:39</t>
        </is>
      </c>
      <c r="H2855" t="inlineStr"/>
    </row>
    <row r="2856">
      <c r="A2856" t="inlineStr">
        <is>
          <t>byh746</t>
        </is>
      </c>
      <c r="B2856" t="inlineStr">
        <is>
          <t>Whole brain radiation and melanoma</t>
        </is>
      </c>
      <c r="C2856" t="inlineStr">
        <is>
          <t>Can anyone share their experiences with whole brain radiation and progressed melanoma?
My mom was diagnosed about 15 diagnosed. She had a seizure in April and they found 6 or 7 small (mms) lesions in her brain. Did 10 treatments of whole brain radiation. Now we're just waiting and I have no clue what to expect.</t>
        </is>
      </c>
      <c r="D2856" t="n">
        <v>14</v>
      </c>
      <c r="E2856" t="n">
        <v>4</v>
      </c>
      <c r="F2856">
        <f>HYPERLINK("https://www.reddit.com/r/cancer/comments/byh746/whole_brain_radiation_and_melanoma/")</f>
        <v/>
      </c>
      <c r="G2856" t="inlineStr">
        <is>
          <t>2019-06-08 22:50:12</t>
        </is>
      </c>
      <c r="H2856" t="inlineStr"/>
    </row>
    <row r="2857">
      <c r="A2857" t="inlineStr">
        <is>
          <t>byhex6</t>
        </is>
      </c>
      <c r="B2857" t="inlineStr">
        <is>
          <t>32/f - found out I have pre-cancerous moles (specifically for cervical cancer) that I have scheduled to get surgically removed by a very concerned oncologist who says how I am presenting is abnormal. Not sure how to process it. Advice is welcome.</t>
        </is>
      </c>
      <c r="C2857" t="inlineStr">
        <is>
          <t>I keep thinking about my mortality. I cry a lot. Never been married and don’t have kids. Not sure what to do other than go through the motions. Have been to a handful of doctors with the surgery already scheduled in the coming weeks (vulva laser ablation). It feels heavy and I haven’t told my family because I’m just not that close to them.</t>
        </is>
      </c>
      <c r="D2857" t="n">
        <v>2</v>
      </c>
      <c r="E2857" t="n">
        <v>4</v>
      </c>
      <c r="F2857">
        <f>HYPERLINK("https://www.reddit.com/r/cancer/comments/byhex6/32f_found_out_i_have_precancerous_moles/")</f>
        <v/>
      </c>
      <c r="G2857" t="inlineStr">
        <is>
          <t>2019-06-08 23:22:31</t>
        </is>
      </c>
      <c r="H2857" t="inlineStr"/>
    </row>
    <row r="2858">
      <c r="A2858" t="inlineStr">
        <is>
          <t>bykg2v</t>
        </is>
      </c>
      <c r="B2858" t="inlineStr">
        <is>
          <t>Should I be concerned/ should I talk to my Doctor?</t>
        </is>
      </c>
      <c r="C2858" t="inlineStr">
        <is>
          <t>Hello, so recently I have been feeling just a little off lately and I am not sure if it is worrisome enough that I need to get in touch with my doctor or if I should just wait it out and hope it passes. I was diagnosed with stage 2B Hodgkins Lymphoma and just finished chemo early this past December. I have been feeling well and healthy up until somewhat recently...
Recently I have begun to feel some minor headaches and general feelings of fatigue and weariness. I have also been experiencing some irregularity with my bowels and have had (not quite diarrhea) looser stool. My last period also was irregular and only lasted one day. All of these minor symptoms, among just generally feeling not quite at 100%, wouldn't normally have been a cause for concern for me. But before I was diagnosed I definitely had minor symptoms that I had chalked up to being nothing (when they were in fact something). 
I also recently had bloodwork done and my doctor put me on B12 because I was low (she also had me get more bloodwork done following the results of the first? not sure if this means anything since I haven't heard from them since). 
Normally, before having cancer, I wouldn't have necessarily noticed these little things or worried about it, but now I definitely pay more attention to my body and feel there may be something going on? I am just not sure what the protocol for this is and don't want to bother my doctor if it is nothing to be concerned about.... 
I could definitely use some advice on what I should do here!</t>
        </is>
      </c>
      <c r="D2858" t="n">
        <v>27</v>
      </c>
      <c r="E2858" t="n">
        <v>24</v>
      </c>
      <c r="F2858">
        <f>HYPERLINK("https://www.reddit.com/r/cancer/comments/bykg2v/should_i_be_concerned_should_i_talk_to_my_doctor/")</f>
        <v/>
      </c>
      <c r="G2858" t="inlineStr">
        <is>
          <t>2019-06-09 06:56:16</t>
        </is>
      </c>
      <c r="H2858" t="inlineStr"/>
    </row>
    <row r="2859">
      <c r="A2859" t="inlineStr">
        <is>
          <t>byo18f</t>
        </is>
      </c>
      <c r="B2859" t="inlineStr">
        <is>
          <t>Nearing the end?</t>
        </is>
      </c>
      <c r="C2859" t="inlineStr">
        <is>
          <t>Hello everyone, I’m a long time lurker and first time poster. My best friend’s grandpa has myelodysplastic syndrome and previously beat leukemia. He was given 1-2 months at the beginning of May, and was actually feeling great for the duration of May. We visit him and grandma every week to keep them company and help grandma with some things like putting groceries away, sorting through stuff, etc. and of course we always ask first to make sure it’s okay for us to come over.
Today grandpa was really unwell. He’s been lucid for the most part, able to sit outside and enjoy ice cream with us, but today he was very confused and upset. He kept getting up and going from room to room, spilling things, and even fell. We’re sure he’s getting ready to pass on.
My main question is, what can I do to help my best friend through the grieving process? I know everyone feels differently throughout the process but I would like to help any way that I can. I don’t want to overwhelm her. Is there anything that helped you or your love ones through the process or is it best to just be there to listen? Thanks in advance.</t>
        </is>
      </c>
      <c r="D2859" t="n">
        <v>14</v>
      </c>
      <c r="E2859" t="n">
        <v>9</v>
      </c>
      <c r="F2859">
        <f>HYPERLINK("https://www.reddit.com/r/cancer/comments/byo18f/nearing_the_end/")</f>
        <v/>
      </c>
      <c r="G2859" t="inlineStr">
        <is>
          <t>2019-06-09 12:29:47</t>
        </is>
      </c>
      <c r="H2859" t="inlineStr"/>
    </row>
    <row r="2860">
      <c r="A2860" t="inlineStr">
        <is>
          <t>byo8fg</t>
        </is>
      </c>
      <c r="B2860" t="inlineStr">
        <is>
          <t>I think I might have leukemia, I need help - freaking out</t>
        </is>
      </c>
      <c r="C2860" t="inlineStr">
        <is>
          <t>I just had a blood test done three weeks ago and it came back normal, my white and red blood cell counts were normal. However, this past week I have been super fatigued. Two days ago I noticed bruising with reddish/purple dots that has since enlarged all on my lower legs. I've been having stomach pains, kidney pains, and bone aches. I also have a UTI now and I've broken out in tiny red itchy bumps all over my bottom and thighs. This all seemed to have happened overnight. I'm really terrified, I read somewhere that acute leukemia can happen super quickly. Does this sound like I need to see a doctor ASAP or wait it out? I have an appointment on July 2, but I will call and make a sooner appointment if I have to. Any feedback would be appreciated, thank you!</t>
        </is>
      </c>
      <c r="D2860" t="n">
        <v>0</v>
      </c>
      <c r="E2860" t="n">
        <v>1</v>
      </c>
      <c r="F2860">
        <f>HYPERLINK("https://www.reddit.com/r/cancer/comments/byo8fg/i_think_i_might_have_leukemia_i_need_help/")</f>
        <v/>
      </c>
      <c r="G2860" t="inlineStr">
        <is>
          <t>2019-06-09 12:47:26</t>
        </is>
      </c>
      <c r="H2860" t="inlineStr"/>
    </row>
    <row r="2861">
      <c r="A2861" t="inlineStr">
        <is>
          <t>bypiba</t>
        </is>
      </c>
      <c r="B2861" t="inlineStr">
        <is>
          <t>Need advice</t>
        </is>
      </c>
      <c r="C2861" t="inlineStr">
        <is>
          <t>My Mother is dying from cancer, her tounge and throat. We have her at home and keeping her comfortable as possible,but, as she gets worse... I feel bad saying this, but the smell gets worse. It coming from her mouth and the tumors in her tounge. It's the smell of dying rotting flesh. We are trying our best to keep the smell under controle but we are losing the battle. I am hoping someone has experiance with this and has an idea of what we can do. We keep the room extreamly clean as we are trying to keep her from getting sick and ending up with pneumonia. We air out as much as we can but it ends up irritating her sinuses.... anyone have ideas?</t>
        </is>
      </c>
      <c r="D2861" t="n">
        <v>18</v>
      </c>
      <c r="E2861" t="n">
        <v>8</v>
      </c>
      <c r="F2861">
        <f>HYPERLINK("https://www.reddit.com/r/cancer/comments/bypiba/need_advice/")</f>
        <v/>
      </c>
      <c r="G2861" t="inlineStr">
        <is>
          <t>2019-06-09 14:42:00</t>
        </is>
      </c>
      <c r="H2861" t="inlineStr"/>
    </row>
    <row r="2862">
      <c r="A2862" t="inlineStr">
        <is>
          <t>byq62m</t>
        </is>
      </c>
      <c r="B2862" t="inlineStr">
        <is>
          <t>A poem about my dad's pancreatic cancer</t>
        </is>
      </c>
      <c r="C2862" t="inlineStr">
        <is>
          <t>Mourning a pulse  each morning
burnout from before diagnosis.
40 tumors of liver failure
One of death, the pancreas;
&amp;amp;#x200B;
But still absurd.
If it were 42 maybe it could be meaningful,
Maybe it could transcend the cachexia and provide hope.
But nope!
Abandon hope all ye who enter the infusion room.
The gemcitibine abraxane infusion causing confusion
&amp;amp;#x200B;
Sepsis.
&amp;amp;#x200B;
Coma.
&amp;amp;#x200B;
ICU week.
Week for them years for us.
&amp;amp;#x200B;
He read the fucking newspaper like the wasting was nothing.
Like the needles were nothing.
He always did have a high pain threshold.
Too noble for pot,
probably afraid I'd touch it.
Maybe I'm so shitty that he could've been right.
&amp;amp;#x200B;
He wouldn't want me thinking that though,
and he'd tell me I was wrong and he'd be right.
&amp;amp;#x200B;
But I miss him.
Taking me fishing: the boston cream donuts, gatorade frost, and his coffee &amp;amp; newspaper.
The forced marches we compared to death marches.
To be fair, sometimes there was an inch of slick ice on the ground, but it was fucked up of us
to compare the only way he knew how to force me into prolonged conversation
to Nazi Germany or Andrew Jackson's genocide.
&amp;amp;#x200B;
Maybe falling for Godwin's Law was his way of saying I'm sorry I don't know how to enjoy spending time with you without making you unhappy.
&amp;amp;#x200B;
Until cancer anyway.
Fuck is it depressing feeling like your father never wanted to spend time with you until he had five months to live.
Not even at diagnosis did it feel like he wanted to.
Not that I blame him, I think at diagnosis all he wanted was to be in fisherman heaven and away from the pain.
It wasn't until he grew too weak to walk and rebounded (THANK GOD!) that he sought out time with me.
&amp;amp;#x200B;
Fuck knows I was too busy from burnout not knowing how to help to ask for time from him.
He'd always been too busy.
Then too sick.
Finally just healthy enough to watch tv with me.
Made up for telling me no to joining him to watch cartoons when I was chronically depressed as a kid.
He was the furthest thing from Homer.
&amp;amp;#x200B;
Still is.
He's looking out for me on the far side of Valhalla's rainbow bridge up in the sky.
I'll look out for him, but by God was I a shithead to him.
I took him for granted and didn't ask for time with him because it always felt like an interrogation.
He just wanted to get to know the son who never chose to open up to him once diablo 2 was released
or once I went to college and couldn't stop skyping my friends.
&amp;amp;#x200B;
I think asking questions I didn't want to answer was the only way he had to get to know me
Until he finally stopped trying to get to know me and decided I was good enough and could just
chill.
&amp;amp;#x200B;
So Diagnosis plus six months we started watching Syfy shows and bonded for the first time
since before I resented getting up before the buttcrack of dawn to go fishing in the cold.
&amp;amp;#x200B;
So since I think you'd like it a bit more Dad, instead of watching science fiction, I'll try to get some fishing line wet and not lose your creek chubs to "the sea gods," whoever they are and wherever they might be.
&amp;amp;#x200B;
No boston cream needed, just your memory.
&amp;amp;#x200B;
Thanks pa. I'm missing you.</t>
        </is>
      </c>
      <c r="D2862" t="n">
        <v>48</v>
      </c>
      <c r="E2862" t="n">
        <v>15</v>
      </c>
      <c r="F2862">
        <f>HYPERLINK("https://www.reddit.com/r/cancer/comments/byq62m/a_poem_about_my_dads_pancreatic_cancer/")</f>
        <v/>
      </c>
      <c r="G2862" t="inlineStr">
        <is>
          <t>2019-06-09 15:42:50</t>
        </is>
      </c>
      <c r="H2862" t="inlineStr"/>
    </row>
    <row r="2863">
      <c r="A2863" t="inlineStr">
        <is>
          <t>byqy6g</t>
        </is>
      </c>
      <c r="B2863" t="inlineStr">
        <is>
          <t>Don't know if it's BS</t>
        </is>
      </c>
      <c r="C2863" t="inlineStr">
        <is>
          <t>I have a friend who is a pathological liar, especially about her health. She will have a normal cold and say it's some rate disease. She once said she broke her arm but the doctor refused to put a cast on it. Said she's lactose and can't eat pizza, then eats ice cream. 
This evening I got a text. She apparently had just woken up from a drug induced sleep. Earlier that morning she had gone to the ER for severe back pains ( could barely move). They found a tumor on her spine, she won't know if it's cancerous until the biopsy, 2 months from now. Sent her home with 10 pain pills and told her to stay in bed for a week. 
I knew she cries wild all the time but I am desperately hoping that cancer is not something she would like about. At least not with me. I have lost too many to cancer and it is not something that you lie about to get sympathy. I feel like a horrible friend to have my doubts but things in her story don't seem right. Does it really take 2 months to find out if it's cancer? Would they really just send her home with some pain meds and a week of bed rest? 
Please let me know if this is normal because I will need to build up my strength mentally to support her. 
p.s She doesn't know I have my doubts, I have already told her I would support her with any outcome. This is mainly for my state of mind.</t>
        </is>
      </c>
      <c r="D2863" t="n">
        <v>1</v>
      </c>
      <c r="E2863" t="n">
        <v>1</v>
      </c>
      <c r="F2863">
        <f>HYPERLINK("https://www.reddit.com/r/cancer/comments/byqy6g/dont_know_if_its_bs/")</f>
        <v/>
      </c>
      <c r="G2863" t="inlineStr">
        <is>
          <t>2019-06-09 16:59:48</t>
        </is>
      </c>
      <c r="H2863" t="inlineStr"/>
    </row>
    <row r="2864">
      <c r="A2864" t="inlineStr">
        <is>
          <t>byrzrc</t>
        </is>
      </c>
      <c r="B2864" t="inlineStr">
        <is>
          <t>going bald</t>
        </is>
      </c>
      <c r="C2864" t="inlineStr">
        <is>
          <t>I find it better to shop online then have a bunch of people looking at my head and wondering if I'm going through a Britney  spears moment or sick.
my favorite site it [bluejayhair.com](https://bluejayhair.com)
 they have wonderful hair with fast shipping.
what site do you guys use?</t>
        </is>
      </c>
      <c r="D2864" t="n">
        <v>3</v>
      </c>
      <c r="E2864" t="n">
        <v>6</v>
      </c>
      <c r="F2864">
        <f>HYPERLINK("https://www.reddit.com/r/cancer/comments/byrzrc/going_bald/")</f>
        <v/>
      </c>
      <c r="G2864" t="inlineStr">
        <is>
          <t>2019-06-09 18:50:01</t>
        </is>
      </c>
      <c r="H2864" t="inlineStr"/>
    </row>
    <row r="2865">
      <c r="A2865" t="inlineStr">
        <is>
          <t>bys6an</t>
        </is>
      </c>
      <c r="B2865" t="inlineStr">
        <is>
          <t>Just watched the movie 50/50</t>
        </is>
      </c>
      <c r="C2865" t="inlineStr">
        <is>
          <t>I've been in remission for 5 years, I thought, no sweat its just a movie.
Three moments really fucked with me.
1) When he was shaving his head, it reminded me of the calm before the storm. I shaved my head with my mom and girlfriend and it was a great time but we all knew the good times wouldnt last. 
2) When it showed the red chemo (I've forgotten the name), I vomited. Actually vomited. Pizza came up. This was the weirdest moment of the whole movie. Haven't had chemo in forever and I still get that reaction to SEEING IT. Insane.
3) I lost control of my emotions when he was going in for the surgery and they were rushing him along. They gave him the anaesthesia and he said "wait we're going already?" and looked at his mom. Immediate tears. 
I don't know if anyone gives a shit but ya'll are the only ones who might. Just wanted to tell someone this.
I highly recommend 50/50 if you can handle the emotions.</t>
        </is>
      </c>
      <c r="D2865" t="n">
        <v>12</v>
      </c>
      <c r="E2865" t="n">
        <v>12</v>
      </c>
      <c r="F2865">
        <f>HYPERLINK("https://www.reddit.com/r/cancer/comments/bys6an/just_watched_the_movie_5050/")</f>
        <v/>
      </c>
      <c r="G2865" t="inlineStr">
        <is>
          <t>2019-06-09 19:08:23</t>
        </is>
      </c>
      <c r="H2865" t="inlineStr"/>
    </row>
    <row r="2866">
      <c r="A2866" t="inlineStr">
        <is>
          <t>bysj0s</t>
        </is>
      </c>
      <c r="B2866" t="inlineStr">
        <is>
          <t>HOT HELP</t>
        </is>
      </c>
      <c r="C2866" t="inlineStr">
        <is>
          <t>Could be the wrong area to look, but i have ovarian cancer (23yrs old) and had to have one ovary removed and now with warmer montha im getting hot flashes from the hormone imbalance and looking for ways to help the heat?? Thanks in,advanve for advice</t>
        </is>
      </c>
      <c r="D2866" t="n">
        <v>7</v>
      </c>
      <c r="E2866" t="n">
        <v>3</v>
      </c>
      <c r="F2866">
        <f>HYPERLINK("https://www.reddit.com/r/cancer/comments/bysj0s/hot_help/")</f>
        <v/>
      </c>
      <c r="G2866" t="inlineStr">
        <is>
          <t>2019-06-09 19:45:17</t>
        </is>
      </c>
      <c r="H2866" t="inlineStr"/>
    </row>
    <row r="2867">
      <c r="A2867" t="inlineStr">
        <is>
          <t>bysl2g</t>
        </is>
      </c>
      <c r="B2867" t="inlineStr">
        <is>
          <t>My dad moaning when he breaths while lying down or trying to sleep</t>
        </is>
      </c>
      <c r="C2867" t="inlineStr">
        <is>
          <t>It’s so difficult to listen to, it’s like he’s
In pain or having nightmares.</t>
        </is>
      </c>
      <c r="D2867" t="n">
        <v>6</v>
      </c>
      <c r="E2867" t="n">
        <v>6</v>
      </c>
      <c r="F2867">
        <f>HYPERLINK("https://www.reddit.com/r/cancer/comments/bysl2g/my_dad_moaning_when_he_breaths_while_lying_down/")</f>
        <v/>
      </c>
      <c r="G2867" t="inlineStr">
        <is>
          <t>2019-06-09 19:51:37</t>
        </is>
      </c>
      <c r="H2867" t="inlineStr"/>
    </row>
    <row r="2868">
      <c r="A2868" t="inlineStr">
        <is>
          <t>byt5ex</t>
        </is>
      </c>
      <c r="B2868" t="inlineStr">
        <is>
          <t>I will find out whether I have cancer this week</t>
        </is>
      </c>
      <c r="C2868" t="inlineStr">
        <is>
          <t>This post is not necessarily seeking advice, but really just more of me venting what’s to come in a couple days.  My bloodwork always came back normal, but I had always had headaches behind my right eye.  
During a routine eye exam late last year my optometrist found an abnormal mass centered nestled behind my retina.  The mass was a bit larger than what she normally sees of such growths, but was concerned nonetheless of its location and size. 
Today, while I was checking my eyes I found a black spot on my left eye.  My eye doctor never mentioned this spot during that visit, and so, I am worried that it suddenly appeared from then to now.  Perhaps she didn’t see any concern in mentioning it? 
I jokingly laugh the situation off whenever asked about it.  However, I am deeply terrified of having to face the unknown.</t>
        </is>
      </c>
      <c r="D2868" t="n">
        <v>2</v>
      </c>
      <c r="E2868" t="n">
        <v>1</v>
      </c>
      <c r="F2868">
        <f>HYPERLINK("https://www.reddit.com/r/cancer/comments/byt5ex/i_will_find_out_whether_i_have_cancer_this_week/")</f>
        <v/>
      </c>
      <c r="G2868" t="inlineStr">
        <is>
          <t>2019-06-09 20:53:21</t>
        </is>
      </c>
      <c r="H2868" t="inlineStr"/>
    </row>
    <row r="2869">
      <c r="A2869" t="inlineStr">
        <is>
          <t>byt5is</t>
        </is>
      </c>
      <c r="B2869" t="inlineStr">
        <is>
          <t>I don't know what to expect</t>
        </is>
      </c>
      <c r="C2869" t="inlineStr">
        <is>
          <t>I'm sorry if I don't belong here. Just delete if this doesn't belong.
I've had precancerous cells removed from my cervix 3 times, and when they came back the 4th time, I opted for a partial hysterectomy instead.
Now I have a growth very close to my vaginal opening. I had it tested and it came back as 'suspicious' and now I have to see a cancer doctor.
If it is cancer... what next? Does that mean I'll die?</t>
        </is>
      </c>
      <c r="D2869" t="n">
        <v>5</v>
      </c>
      <c r="E2869" t="n">
        <v>2</v>
      </c>
      <c r="F2869">
        <f>HYPERLINK("https://www.reddit.com/r/cancer/comments/byt5is/i_dont_know_what_to_expect/")</f>
        <v/>
      </c>
      <c r="G2869" t="inlineStr">
        <is>
          <t>2019-06-09 20:53:42</t>
        </is>
      </c>
      <c r="H2869" t="inlineStr"/>
    </row>
    <row r="2870">
      <c r="A2870" t="inlineStr">
        <is>
          <t>byuaei</t>
        </is>
      </c>
      <c r="B2870" t="inlineStr">
        <is>
          <t>Did chemo ever slightly raise your ALT levels?</t>
        </is>
      </c>
      <c r="C2870" t="inlineStr">
        <is>
          <t>I saw some online results for blood work I had done yesterday while I'm on my break from Temozolomide. The normal range for ALT enzymes is under 36 and mine are elevated at 48. I can't talk to my Oncologist until Monday an I'm concerned about this. I'm still pretty new to chemo so I'm not sure if this is just a normal thing that happens during chemo or what. My platelets, hemoglobin and hemocrit are also a touch low but I understand that's par for the course at this point.</t>
        </is>
      </c>
      <c r="D2870" t="n">
        <v>1</v>
      </c>
      <c r="E2870" t="n">
        <v>3</v>
      </c>
      <c r="F2870">
        <f>HYPERLINK("https://www.reddit.com/r/cancer/comments/byuaei/did_chemo_ever_slightly_raise_your_alt_levels/")</f>
        <v/>
      </c>
      <c r="G2870" t="inlineStr">
        <is>
          <t>2019-06-09 23:09:24</t>
        </is>
      </c>
      <c r="H2870" t="inlineStr"/>
    </row>
    <row r="2871">
      <c r="A2871" t="inlineStr">
        <is>
          <t>byvb6d</t>
        </is>
      </c>
      <c r="B2871" t="inlineStr">
        <is>
          <t>Boyfriend acts weird when I bring up cancer related things</t>
        </is>
      </c>
      <c r="C2871" t="inlineStr">
        <is>
          <t>I’ve been in remission of Hodgkins Lymphoma for the past 9 months. I met my boyfriend after treatment so he was never there for any of the shit I went through. Even though I am no longer in treatment, cancer still is such a big part of my life. From follow up scans, PTSD, my cancer friends, lingering chemo side effects etc. I feel so close to my boyfriend and I have shared a lot of my experience with him. It seems like whenever I bring up cancer, survivors guilt, my friends who are dying from the same disease I had or my scanxiety he seems to get really quiet and tune out. I love him so much but he never knows what to say and seems uncomfortable. I’ve asked him before if it’s okay that I talk to him about it and he’s told me that it is. I’m not sure if this is the right place to put this but I’m wondering how other people communicate with their SO about cancer things? Is it me being too open and maybe talking about it too much? I don’t know.</t>
        </is>
      </c>
      <c r="D2871" t="n">
        <v>25</v>
      </c>
      <c r="E2871" t="n">
        <v>4</v>
      </c>
      <c r="F2871">
        <f>HYPERLINK("https://www.reddit.com/r/cancer/comments/byvb6d/boyfriend_acts_weird_when_i_bring_up_cancer/")</f>
        <v/>
      </c>
      <c r="G2871" t="inlineStr">
        <is>
          <t>2019-06-10 01:26:03</t>
        </is>
      </c>
      <c r="H2871" t="inlineStr"/>
    </row>
    <row r="2872">
      <c r="A2872" t="inlineStr">
        <is>
          <t>byvp51</t>
        </is>
      </c>
      <c r="B2872" t="inlineStr">
        <is>
          <t>This sucks</t>
        </is>
      </c>
      <c r="C2872" t="inlineStr">
        <is>
          <t>My health has been failing.  I haven't come out to anyone . My bones have been breaking, teeth been cracking.  I want it to be over with. Part of me wants to hurry it up. Just wanted to vent anonymously</t>
        </is>
      </c>
      <c r="D2872" t="n">
        <v>9</v>
      </c>
      <c r="E2872" t="n">
        <v>2</v>
      </c>
      <c r="F2872">
        <f>HYPERLINK("https://www.reddit.com/r/cancer/comments/byvp51/this_sucks/")</f>
        <v/>
      </c>
      <c r="G2872" t="inlineStr">
        <is>
          <t>2019-06-10 02:22:38</t>
        </is>
      </c>
      <c r="H2872" t="inlineStr"/>
    </row>
    <row r="2873">
      <c r="A2873" t="inlineStr">
        <is>
          <t>byx1iw</t>
        </is>
      </c>
      <c r="B2873" t="inlineStr">
        <is>
          <t>When's the right time to call the oncologists office post PET scan results?</t>
        </is>
      </c>
      <c r="C2873" t="inlineStr">
        <is>
          <t>I was diagnosed with a slow progessing lymphoma weeks ago and had my PET scan results released online Thursday afternoon. Even after surgery to remove the malignancy in the affected area, there was a soft tissue mass measuring 4 SUV. I have an appointment late next week, but is it too much to call the office and ask if an earlier appointment should be scheduled? If I need radiation I'd rather get it over with sooner rather than later, but I'm not certain that's the treatment my oncologist will recommend (if any)</t>
        </is>
      </c>
      <c r="D2873" t="n">
        <v>1</v>
      </c>
      <c r="E2873" t="n">
        <v>0</v>
      </c>
      <c r="F2873">
        <f>HYPERLINK("https://www.reddit.com/r/cancer/comments/byx1iw/whens_the_right_time_to_call_the_oncologists/")</f>
        <v/>
      </c>
      <c r="G2873" t="inlineStr">
        <is>
          <t>2019-06-10 05:05:59</t>
        </is>
      </c>
      <c r="H2873" t="inlineStr"/>
    </row>
    <row r="2874">
      <c r="A2874" t="inlineStr">
        <is>
          <t>byy5fd</t>
        </is>
      </c>
      <c r="B2874" t="inlineStr">
        <is>
          <t>I think I said my last farewell to my uncle today. Doctor said it could be a matter of hours now.</t>
        </is>
      </c>
      <c r="C2874" t="inlineStr">
        <is>
          <t>My uncle have been in pain for months. But a mistake happened in the Hospital. The scanning result for cancer was blurred. So instead of taking a new scanning, they said they couldn't see cancer and sent him home. 2 weeks ago the pain was to much and he went back to the hospital because of a recommendation from physiotherapists who were trying to figure out why he had so much back and shoulder pain and came to conclusion that it must be something serious causing the pain and they sent him back to hospital. 
The doctors found that cancer have spread to lungs, kidney, liver, gallbladder, bladder...basically everything.
Now today it was my first time seeing him after the diagnosis. I told him I loved him  and he told me that he was happy that we both have been there for eachother and then he fell asleep. 
Because his liver is not working anymore he has been poisoned and it affects his brain. He is now in a confused state of mind. Sometimes he doesn't know he is in a hospital or whats wrong or going on. 
The doctor said he would die from internal bleeding and it could be a matter of hours now.
I have cried many times, it all happened so sudden. I am not prepared for this. He came and celebrated my birthday the 2nd March and looked great and was happy. I didn't knew cancer could be so fast.</t>
        </is>
      </c>
      <c r="D2874" t="n">
        <v>54</v>
      </c>
      <c r="E2874" t="n">
        <v>8</v>
      </c>
      <c r="F2874">
        <f>HYPERLINK("https://www.reddit.com/r/cancer/comments/byy5fd/i_think_i_said_my_last_farewell_to_my_uncle_today/")</f>
        <v/>
      </c>
      <c r="G2874" t="inlineStr">
        <is>
          <t>2019-06-10 06:55:55</t>
        </is>
      </c>
      <c r="H2874" t="inlineStr"/>
    </row>
    <row r="2875">
      <c r="A2875" t="inlineStr">
        <is>
          <t>byyb0q</t>
        </is>
      </c>
      <c r="B2875" t="inlineStr">
        <is>
          <t>Scanxiety, kinda...</t>
        </is>
      </c>
      <c r="C2875" t="inlineStr">
        <is>
          <t>I went for my annual mammogram today and as I walked into the waiting room I got hit hard by a flush of emotion and became incredibly weepy.
Since I was alone (I think they schedule recovered patients first so we don't have to wait) I sat and leaked a bit and examined how I felt. No anxiety, no nerves, no distress. Just weepy. By this point someone else had turned up do I stiffened my upper lip and waited till I got called through.
Then I told the nurse and explained that I wasn't distressed but I needed a weep. So she got tissues and sat with me whilst I did. Then we did the scan and away I came.
I'm thinking that despite its six years ago I finally let something go today. Has anyone else experienced anything like this?
Oh, and I just posted on another thread. I messaged both my OH and my best friend during this. Bless him boyf didn't understand it but bestie did. Sometimes you just need to share without needing a solution.</t>
        </is>
      </c>
      <c r="D2875" t="n">
        <v>6</v>
      </c>
      <c r="E2875" t="n">
        <v>3</v>
      </c>
      <c r="F2875">
        <f>HYPERLINK("https://www.reddit.com/r/cancer/comments/byyb0q/scanxiety_kinda/")</f>
        <v/>
      </c>
      <c r="G2875" t="inlineStr">
        <is>
          <t>2019-06-10 07:09:45</t>
        </is>
      </c>
      <c r="H2875" t="inlineStr"/>
    </row>
    <row r="2876">
      <c r="A2876" t="inlineStr">
        <is>
          <t>byzzsy</t>
        </is>
      </c>
      <c r="B2876" t="inlineStr">
        <is>
          <t>Immunization for a surviving cancer patient?</t>
        </is>
      </c>
      <c r="C2876" t="inlineStr">
        <is>
          <t>Hi I am a survivor of ALL Leukemia, I was diagnosed when I was around 4 and am now 28 and have been in remission since I was around 12 I believe, not really sure of the exact dates. However I have recently decided to go back to College and have received my AA and decided to transfer to a bigger university, however, I never received my MMR immunization which is required to attend college. My parents told me that I wasn't allowed to receive these when I was younger because of a weakened immune system as I had to go through chemo and such. I was wondering if anyone knew more information on this subject and had some advice on how I would find out if it was safe to receive these immunizations now?</t>
        </is>
      </c>
      <c r="D2876" t="n">
        <v>4</v>
      </c>
      <c r="E2876" t="n">
        <v>3</v>
      </c>
      <c r="F2876">
        <f>HYPERLINK("https://www.reddit.com/r/cancer/comments/byzzsy/immunization_for_a_surviving_cancer_patient/")</f>
        <v/>
      </c>
      <c r="G2876" t="inlineStr">
        <is>
          <t>2019-06-10 09:34:37</t>
        </is>
      </c>
      <c r="H2876" t="inlineStr"/>
    </row>
    <row r="2877">
      <c r="A2877" t="inlineStr">
        <is>
          <t>bz0l99</t>
        </is>
      </c>
      <c r="B2877" t="inlineStr">
        <is>
          <t>Finished colonoscopy</t>
        </is>
      </c>
      <c r="C2877" t="inlineStr">
        <is>
          <t>Hey I’m 21 years old and I just had my first colonoscopy. I was told two polpys were found and removed? The nurse didn’t really tell me much just that I needed to come back in in a week or so for an mri or something? I tried to ask to speak with the doctor to figure out what exactly this is cause I have no clue but I guess she was busy. Should I be worried? I have the paper work with more details if someone could help me better understand this I would be very appreciative.</t>
        </is>
      </c>
      <c r="D2877" t="n">
        <v>4</v>
      </c>
      <c r="E2877" t="n">
        <v>6</v>
      </c>
      <c r="F2877">
        <f>HYPERLINK("https://www.reddit.com/r/cancer/comments/bz0l99/finished_colonoscopy/")</f>
        <v/>
      </c>
      <c r="G2877" t="inlineStr">
        <is>
          <t>2019-06-10 10:23:08</t>
        </is>
      </c>
      <c r="H2877" t="inlineStr"/>
    </row>
    <row r="2878">
      <c r="A2878" t="inlineStr">
        <is>
          <t>bz0ry0</t>
        </is>
      </c>
      <c r="B2878" t="inlineStr">
        <is>
          <t>Need some help fast please!</t>
        </is>
      </c>
      <c r="C2878" t="inlineStr">
        <is>
          <t>Hello, I have stomach cancer, and I can not smell a smell that is not sweet
It's like hell
If for example my mother decides to make dishes with salty smells, is there a way to not smell like putting on an oxygen mask or a kind of mask that filters the air?
How am I supposed to shower? I deserve a woman to shower me from the government? I have no energy in my body</t>
        </is>
      </c>
      <c r="D2878" t="n">
        <v>0</v>
      </c>
      <c r="E2878" t="n">
        <v>1</v>
      </c>
      <c r="F2878">
        <f>HYPERLINK("https://www.reddit.com/r/cancer/comments/bz0ry0/need_some_help_fast_please/")</f>
        <v/>
      </c>
      <c r="G2878" t="inlineStr">
        <is>
          <t>2019-06-10 10:38:12</t>
        </is>
      </c>
      <c r="H2878" t="inlineStr"/>
    </row>
    <row r="2879">
      <c r="A2879" t="inlineStr">
        <is>
          <t>bz12eu</t>
        </is>
      </c>
      <c r="B2879" t="inlineStr">
        <is>
          <t>+17 days SCT and I’m still furious</t>
        </is>
      </c>
      <c r="C2879" t="inlineStr">
        <is>
          <t>I was diagnosed with ALL in January. I underwent 2 cycles of chemo, 8 rounds of radiation, and a allo-SCT from my brother. I was discharged 3 days ago after experiencing none to little complications. My counts are slowly coming up, slower than anticipated. I should be happy that this is almost over, but I’m angrier than ever. I feel robbed and cheated. I’ve lost all my muscle, my hair, my spirit, my soul, my job, and lastly my mental health. 
It sucks to see all my friends progress in life and that I’ve been held back and essentially starting from 0. 
Why do I feel like this? I can’t be alone. I hate that people will always refer to me as the girl who had cancer. I hate that people know. I hate how my support system didn’t respect my wishes in keeping this a secret. I’m a time where I should be happy and blessed...I’m just so angry. I’d like to seek professional help but I don’t want people to know I’ve sought that out seeing as they can’t keep a secret. What can I do?</t>
        </is>
      </c>
      <c r="D2879" t="n">
        <v>18</v>
      </c>
      <c r="E2879" t="n">
        <v>20</v>
      </c>
      <c r="F2879">
        <f>HYPERLINK("https://www.reddit.com/r/cancer/comments/bz12eu/17_days_sct_and_im_still_furious/")</f>
        <v/>
      </c>
      <c r="G2879" t="inlineStr">
        <is>
          <t>2019-06-10 11:01:45</t>
        </is>
      </c>
      <c r="H2879" t="inlineStr"/>
    </row>
    <row r="2880">
      <c r="A2880" t="inlineStr">
        <is>
          <t>bz2bdj</t>
        </is>
      </c>
      <c r="B2880" t="inlineStr">
        <is>
          <t>I think my mum has cancer</t>
        </is>
      </c>
      <c r="C2880" t="inlineStr">
        <is>
          <t>I’m saying this because on her bed side table there was a letter and it said her GP has told her to get a mammogram and do I ask her about it or do I not I don’t know what to do I’m only 13 please help me</t>
        </is>
      </c>
      <c r="D2880" t="n">
        <v>4</v>
      </c>
      <c r="E2880" t="n">
        <v>4</v>
      </c>
      <c r="F2880">
        <f>HYPERLINK("https://www.reddit.com/r/cancer/comments/bz2bdj/i_think_my_mum_has_cancer/")</f>
        <v/>
      </c>
      <c r="G2880" t="inlineStr">
        <is>
          <t>2019-06-10 12:42:42</t>
        </is>
      </c>
      <c r="H2880" t="inlineStr"/>
    </row>
    <row r="2881">
      <c r="A2881" t="inlineStr">
        <is>
          <t>bz3sps</t>
        </is>
      </c>
      <c r="B2881" t="inlineStr">
        <is>
          <t>Angry</t>
        </is>
      </c>
      <c r="C2881" t="inlineStr">
        <is>
          <t>I’ve been helping to care for my dad since his bone marrow transplant 10 months ago. At the risk of severely oversimplifying what it has been like, I’ll just say it has been a crazy rollercoaster of emotions. Lately however, I just fucking hate him. He pisses me off with every little thing he does and I just can’t stand the sight of him. I don’t express it and I’m not saying it to be mean, I’m just so fucking furious and I don’t want to be around him anymore. I hope this passes.</t>
        </is>
      </c>
      <c r="D2881" t="n">
        <v>13</v>
      </c>
      <c r="E2881" t="n">
        <v>16</v>
      </c>
      <c r="F2881">
        <f>HYPERLINK("https://www.reddit.com/r/cancer/comments/bz3sps/angry/")</f>
        <v/>
      </c>
      <c r="G2881" t="inlineStr">
        <is>
          <t>2019-06-10 14:46:43</t>
        </is>
      </c>
      <c r="H2881" t="inlineStr"/>
    </row>
    <row r="2882">
      <c r="A2882" t="inlineStr">
        <is>
          <t>bz5vml</t>
        </is>
      </c>
      <c r="B2882" t="inlineStr">
        <is>
          <t>My dad passed today</t>
        </is>
      </c>
      <c r="C2882" t="inlineStr">
        <is>
          <t>I honestly can’t phantom it. It doesn’t make any sense. I wasn’t there, I’ve been living abroad since before he got the diagnosis, and I got to go home twice after that. I’ll have to go home soon again for the funeral. 
I’ll just try my best to live for him too. He hated how sad it made everyone that he was in that situation. 
I don’t really know how to react. It doesn’t make any sense. It was way too soon... just short of his 55th birthday. Thank you for fighting for me dad, and for everyone who loved you. You were and are so loved. You’re the most badass person I know. I’ll just do my best to live up to your amazing strength. I was looking forward to seeing you this summer, I’m sad I didn’t get to. I love you so much, dad</t>
        </is>
      </c>
      <c r="D2882" t="n">
        <v>63</v>
      </c>
      <c r="E2882" t="n">
        <v>26</v>
      </c>
      <c r="F2882">
        <f>HYPERLINK("https://www.reddit.com/r/cancer/comments/bz5vml/my_dad_passed_today/")</f>
        <v/>
      </c>
      <c r="G2882" t="inlineStr">
        <is>
          <t>2019-06-10 17:54:22</t>
        </is>
      </c>
      <c r="H2882" t="inlineStr"/>
    </row>
    <row r="2883">
      <c r="A2883" t="inlineStr">
        <is>
          <t>bz63ln</t>
        </is>
      </c>
      <c r="B2883" t="inlineStr">
        <is>
          <t>Husband has limited stage small cell lung cancer</t>
        </is>
      </c>
      <c r="C2883" t="inlineStr">
        <is>
          <t>My husband was diagnosed with limited stage 3 small cell lung cancer in April. He has received 2 of 4 chemo treatments and is starting week 3 of a six week radiation therapy regimen. 
So far, his labs have been normal and he has had minimal side effects except losing his hair and dealing with fatigue. We are blessed with an excellent cancer center located in a medium sized city.
What can we except as treatment continues? I am a nursing student and part-time oncology CNA at our local hospital. The diagnosis leaves me scared shitless. Have not shared my feelings with husband. His family has not provided the support that I would have expected.</t>
        </is>
      </c>
      <c r="D2883" t="n">
        <v>7</v>
      </c>
      <c r="E2883" t="n">
        <v>2</v>
      </c>
      <c r="F2883">
        <f>HYPERLINK("https://www.reddit.com/r/cancer/comments/bz63ln/husband_has_limited_stage_small_cell_lung_cancer/")</f>
        <v/>
      </c>
      <c r="G2883" t="inlineStr">
        <is>
          <t>2019-06-10 18:16:21</t>
        </is>
      </c>
      <c r="H2883" t="inlineStr"/>
    </row>
    <row r="2884">
      <c r="A2884" t="inlineStr">
        <is>
          <t>bz6dy9</t>
        </is>
      </c>
      <c r="B2884" t="inlineStr">
        <is>
          <t>Bummed out. 3rd round of chemo got delayed</t>
        </is>
      </c>
      <c r="C2884" t="inlineStr">
        <is>
          <t>I’m on 260mg Temodar for 5 days on, 23 days off. I was supposed to start my 3rd round today but my platelets are below the required 100 (55 actually). I will have to wait a week and try again. Are delays like that common occurrences? All my other counts are mostly spot on except my platelets. I’m worried that the delay will affect the effectiveness of the chemo. I’m taking it for recurrent grade 2 Ependymomas that has disseminated throughout my nervous system.</t>
        </is>
      </c>
      <c r="D2884" t="n">
        <v>1</v>
      </c>
      <c r="E2884" t="n">
        <v>11</v>
      </c>
      <c r="F2884">
        <f>HYPERLINK("https://www.reddit.com/r/cancer/comments/bz6dy9/bummed_out_3rd_round_of_chemo_got_delayed/")</f>
        <v/>
      </c>
      <c r="G2884" t="inlineStr">
        <is>
          <t>2019-06-10 18:45:39</t>
        </is>
      </c>
      <c r="H2884" t="inlineStr"/>
    </row>
    <row r="2885">
      <c r="A2885" t="inlineStr">
        <is>
          <t>bz6hh7</t>
        </is>
      </c>
      <c r="B2885" t="inlineStr">
        <is>
          <t>My Mom’s oncologist said to get hospice scenario in order.</t>
        </is>
      </c>
      <c r="C2885" t="inlineStr">
        <is>
          <t>Last year my Mom was diagnosed with stage 4 RCC.  since then she’s had two hip replacements it’s spread to her right shoulder, and today they said they were gonna stop the chemo pills she’s been taking. i spend alot of time with her and we have good conversations and she’s coherent and looks as fine as she can be but it’s i feel like now its gonna be hard because i feel like all i’ll want to do is grieve and cry. how do i stop this from happening?</t>
        </is>
      </c>
      <c r="D2885" t="n">
        <v>14</v>
      </c>
      <c r="E2885" t="n">
        <v>1</v>
      </c>
      <c r="F2885">
        <f>HYPERLINK("https://www.reddit.com/r/cancer/comments/bz6hh7/my_moms_oncologist_said_to_get_hospice_scenario/")</f>
        <v/>
      </c>
      <c r="G2885" t="inlineStr">
        <is>
          <t>2019-06-10 18:55:17</t>
        </is>
      </c>
      <c r="H2885" t="inlineStr"/>
    </row>
    <row r="2886">
      <c r="A2886" t="inlineStr">
        <is>
          <t>bz75s3</t>
        </is>
      </c>
      <c r="B2886" t="inlineStr">
        <is>
          <t>Feeling defeated after two major surgeries in seven months</t>
        </is>
      </c>
      <c r="C2886" t="inlineStr">
        <is>
          <t>I couldn't decide whether to post this in r/gastricsleeve or here or both, but I figured I try the cancer sub because cancer patients and caretakers might have a better insight.
I had the gastric sleeve in October and only lost about 50 pounds (about  a third of my excess weight) because of my age: F/58 and some emotional difficulties I've been dealing with.  I'm bipolar so this has always been an issue, but it's been kind of extreme in recent months for reasons I won't go into.  
Then I got cancer and had to have a hysterectomy.  The pathology came back clean and I don't have to have chemo or radiation, but instead of feeling relieved I am just feeling altered.  Tonight I told a guy I've known for ten years that I had cancer and it was obvious he didn't give a shit.  This is in part because we had a disagreement last fall but more because I became very emotional a few months ago and told him I was bipolar, something I hadn't told him before.  So hands off, you know.  This isn't a person I'm interested in romantically, I was just taken aback by the lack of caring, which used to be there.  It seems to me now that he only liked me because I used to work in radio and TV, which impressed him. I made him stop remarking on it because it only brought back unpleasant memories.  
So perhaps I am just venting, but I'm also feeling the sting because of  missing out on so much because of my bipolar illness.  I never married or had children, and have had all types of bizarre experiences, some of them quite tragic.  
But I survived.  And now I have got through cancer as well, at least for the time being.  But I don't have much of a support system.  I live with my 93 year old mother, so much of my day is taking care of her. I love her but sometimes it is draining.
I thought after I had the first operaton that my life would change for the better but somehow it is more challenging.  When you stop eating to excess to cover your feelings they all come crashing out, and mine are intense.  I know it can sometimes be frightening and disturbing to other people, but I have never been violent.  I am just frustrated and can still hardly walk because I ruined my knees.   And I have to admit, I worry about the cancer coming back.
I hesitate to post here because so many people are so much worse off.  But perhaps someone will find something insightful to say.  I am dealing with an emotional loss, one of the worst ones I've had in my entire life, and I question why it happened now.  
So thanks for listening. I will wait to hear if others have anything to say. And I would particularly like to hear from another mentally ill person who has cancer or had it.  It is definitely a challenge.</t>
        </is>
      </c>
      <c r="D2886" t="n">
        <v>9</v>
      </c>
      <c r="E2886" t="n">
        <v>4</v>
      </c>
      <c r="F2886">
        <f>HYPERLINK("https://www.reddit.com/r/cancer/comments/bz75s3/feeling_defeated_after_two_major_surgeries_in/")</f>
        <v/>
      </c>
      <c r="G2886" t="inlineStr">
        <is>
          <t>2019-06-10 20:01:08</t>
        </is>
      </c>
      <c r="H2886" t="inlineStr"/>
    </row>
    <row r="2887">
      <c r="A2887" t="inlineStr">
        <is>
          <t>bz8282</t>
        </is>
      </c>
      <c r="B2887" t="inlineStr">
        <is>
          <t>Morphine</t>
        </is>
      </c>
      <c r="C2887" t="inlineStr">
        <is>
          <t>My father took his first dose of morphine today as there is nothing else left to cure him, i am just interested how long can a person live after taking this medication...</t>
        </is>
      </c>
      <c r="D2887" t="n">
        <v>2</v>
      </c>
      <c r="E2887" t="n">
        <v>6</v>
      </c>
      <c r="F2887">
        <f>HYPERLINK("https://www.reddit.com/r/cancer/comments/bz8282/morphine/")</f>
        <v/>
      </c>
      <c r="G2887" t="inlineStr">
        <is>
          <t>2019-06-10 21:38:28</t>
        </is>
      </c>
      <c r="H2887" t="inlineStr"/>
    </row>
    <row r="2888">
      <c r="A2888" t="inlineStr">
        <is>
          <t>bz86u3</t>
        </is>
      </c>
      <c r="B2888" t="inlineStr">
        <is>
          <t>Hair thinning 4 months after chemo?</t>
        </is>
      </c>
      <c r="C2888" t="inlineStr">
        <is>
          <t>I finished chemo about 4 months ago for Hodgkin’s Lymphoma. My eyebrows and eyelashes seemed to grow back pretty quickly and thicker than ever before, but now they are thinning out again. Is this normal?</t>
        </is>
      </c>
      <c r="D2888" t="n">
        <v>2</v>
      </c>
      <c r="E2888" t="n">
        <v>0</v>
      </c>
      <c r="F2888">
        <f>HYPERLINK("https://www.reddit.com/r/cancer/comments/bz86u3/hair_thinning_4_months_after_chemo/")</f>
        <v/>
      </c>
      <c r="G2888" t="inlineStr">
        <is>
          <t>2019-06-10 21:52:51</t>
        </is>
      </c>
      <c r="H2888" t="inlineStr"/>
    </row>
    <row r="2889">
      <c r="A2889" t="inlineStr">
        <is>
          <t>bz89xr</t>
        </is>
      </c>
      <c r="B2889" t="inlineStr">
        <is>
          <t>What will I feel like after biopsy?</t>
        </is>
      </c>
      <c r="C2889" t="inlineStr">
        <is>
          <t>I have a lump on my groin/ bikini area. I'm having a biospy this week and wondered has anyone had that same area done before. Will I be able to walk after? Will my leg hurt? 
What other questions should I ask the doctor's because I don't even know.</t>
        </is>
      </c>
      <c r="D2889" t="n">
        <v>1</v>
      </c>
      <c r="E2889" t="n">
        <v>4</v>
      </c>
      <c r="F2889">
        <f>HYPERLINK("https://www.reddit.com/r/cancer/comments/bz89xr/what_will_i_feel_like_after_biopsy/")</f>
        <v/>
      </c>
      <c r="G2889" t="inlineStr">
        <is>
          <t>2019-06-10 22:02:39</t>
        </is>
      </c>
      <c r="H2889" t="inlineStr"/>
    </row>
    <row r="2890">
      <c r="A2890" t="inlineStr">
        <is>
          <t>bz8syi</t>
        </is>
      </c>
      <c r="B2890" t="inlineStr">
        <is>
          <t>Anyone else bruise more easily while on chemo</t>
        </is>
      </c>
      <c r="C2890" t="inlineStr">
        <is>
          <t>I’m on temodar and it’s been rough on my platelets (they are in the 50s) right now. Tonight in the shower I noticed a few decent bruises on my legs. Did you have this side effect too? Is it common?</t>
        </is>
      </c>
      <c r="D2890" t="n">
        <v>3</v>
      </c>
      <c r="E2890" t="n">
        <v>3</v>
      </c>
      <c r="F2890">
        <f>HYPERLINK("https://www.reddit.com/r/cancer/comments/bz8syi/anyone_else_bruise_more_easily_while_on_chemo/")</f>
        <v/>
      </c>
      <c r="G2890" t="inlineStr">
        <is>
          <t>2019-06-10 23:06:13</t>
        </is>
      </c>
      <c r="H2890" t="inlineStr"/>
    </row>
    <row r="2891">
      <c r="A2891" t="inlineStr">
        <is>
          <t>bzbhxz</t>
        </is>
      </c>
      <c r="B2891" t="inlineStr">
        <is>
          <t>I made it this far finishing chemo and radiation and now just want to give up because I feel lonely</t>
        </is>
      </c>
      <c r="C2891" t="inlineStr">
        <is>
          <t>Hey guys, i just needed a place to blow off some steam, but long story short i made it so far finishing treatment and working for things I wanted and now I just want to throw the towel in and go home.
I was so optimistic finishing chemo and radiation and felt like I had the world by the balls. I got the internship I wanted and had a girl I cared about but it seems like once I finished things kinda fell apart. I broke up with the girl I cared about, I moved out to the middle of no where for the internship and now I just feel alone. All my friends and family are far away and I feel don’t get how I’m feeling. Not to sound like a teenage asshole, but the whole idea of my family saying “oooh no your fine” kinda defies the logic of the last 6 months. 
I spoke to my doctor and he said there’s pharmacologic options if I’m not feeling better but to be honest I kinda just want to give up and go home. I thought finishing treatment would make me feel better but to be honest the whole process just made me feel ostracized and alone. I guess I’m just having a hard time coping. 
I know people are on here talking about last moments with their loved ones and I feel like a jerk bringing my loneliness to the table but, it hurts and I’m not quite sure how to play my hand. 
Anyway end rant. Thanks for hearing me out.</t>
        </is>
      </c>
      <c r="D2891" t="n">
        <v>46</v>
      </c>
      <c r="E2891" t="n">
        <v>18</v>
      </c>
      <c r="F2891">
        <f>HYPERLINK("https://www.reddit.com/r/cancer/comments/bzbhxz/i_made_it_this_far_finishing_chemo_and_radiation/")</f>
        <v/>
      </c>
      <c r="G2891" t="inlineStr">
        <is>
          <t>2019-06-11 04:52:43</t>
        </is>
      </c>
      <c r="H2891" t="inlineStr"/>
    </row>
    <row r="2892">
      <c r="A2892" t="inlineStr">
        <is>
          <t>bzc3pn</t>
        </is>
      </c>
      <c r="B2892" t="inlineStr">
        <is>
          <t>I have leukaemia</t>
        </is>
      </c>
      <c r="C2892" t="inlineStr">
        <is>
          <t>So recently I joined this subreddit as I myself has leukaemia. I want to know if there is anyone else out there going through the same thing. I have acute lymphoblastic leukaemia to be precise. I have to take mecactopourine daily and septrins on Monday and Tuesdays and I get vin-Christine once a month. That aside I hope other cancer patients on this subreddit makes a full recovery.</t>
        </is>
      </c>
      <c r="D2892" t="n">
        <v>16</v>
      </c>
      <c r="E2892" t="n">
        <v>4</v>
      </c>
      <c r="F2892">
        <f>HYPERLINK("https://www.reddit.com/r/cancer/comments/bzc3pn/i_have_leukaemia/")</f>
        <v/>
      </c>
      <c r="G2892" t="inlineStr">
        <is>
          <t>2019-06-11 05:53:17</t>
        </is>
      </c>
      <c r="H2892" t="inlineStr"/>
    </row>
    <row r="2893">
      <c r="A2893" t="inlineStr">
        <is>
          <t>bzdudh</t>
        </is>
      </c>
      <c r="B2893" t="inlineStr">
        <is>
          <t>Life after cancer? How do YOU deal?</t>
        </is>
      </c>
      <c r="C2893" t="inlineStr">
        <is>
          <t>After all the chemo, radiation, surgery, and appointment after appointment, when they finally say “All is clear, you’re good to go!”
I was so happy to hear that. Excited to get my life back, to make it even better.  
I’m gonna be completely honest, there are times I miss it. My family was nicer to me, and even complete strangers.  Now that I have hair and I don’t look like I’m about to die of malnourishment, things are different. No more phone calls checking on me, no more strangers calling me a warrior, no one is running a race in my honor, no more pink ribbons. 
This is a different kind hard. I’m wondering how other survivors cope with life after cancer?</t>
        </is>
      </c>
      <c r="D2893" t="n">
        <v>70</v>
      </c>
      <c r="E2893" t="n">
        <v>45</v>
      </c>
      <c r="F2893">
        <f>HYPERLINK("https://www.reddit.com/r/cancer/comments/bzdudh/life_after_cancer_how_do_you_deal/")</f>
        <v/>
      </c>
      <c r="G2893" t="inlineStr">
        <is>
          <t>2019-06-11 08:24:07</t>
        </is>
      </c>
      <c r="H2893" t="inlineStr"/>
    </row>
    <row r="2894">
      <c r="A2894" t="inlineStr">
        <is>
          <t>bzdxju</t>
        </is>
      </c>
      <c r="B2894" t="inlineStr">
        <is>
          <t>Had my first chemo treatment and have some questions</t>
        </is>
      </c>
      <c r="C2894" t="inlineStr">
        <is>
          <t xml:space="preserve"> 
Hey,
So I was diagnosed with Hodgkin's Lymphoma Stage III (Had the PET/CT about 2 weeks ago) and I've had my first treatment yesterday (I'm supposed to do 6 cycles of ABVD).
but I have this fear that I didn't respond because after the treatment, yesterday and today I didn't have any side effects at all, I'm not tired, I don't have metalic taste in my mouth and in addition the lump on my shoulder didn't go down in size at all, is this normal that im feeling really good after chemo? I'm supposed to do another pet scan in 3 more treatments (at the end of the 2nd cycle) to see if I dont have any cancer and im quiet restless tbh..</t>
        </is>
      </c>
      <c r="D2894" t="n">
        <v>8</v>
      </c>
      <c r="E2894" t="n">
        <v>17</v>
      </c>
      <c r="F2894">
        <f>HYPERLINK("https://www.reddit.com/r/cancer/comments/bzdxju/had_my_first_chemo_treatment_and_have_some/")</f>
        <v/>
      </c>
      <c r="G2894" t="inlineStr">
        <is>
          <t>2019-06-11 08:31:18</t>
        </is>
      </c>
      <c r="H2894" t="inlineStr"/>
    </row>
    <row r="2895">
      <c r="A2895" t="inlineStr">
        <is>
          <t>bzeyzv</t>
        </is>
      </c>
      <c r="B2895" t="inlineStr">
        <is>
          <t>Nice wigs</t>
        </is>
      </c>
      <c r="C2895" t="inlineStr">
        <is>
          <t>The hair is going. I'm looking for an online store that sells high quality wigs, especially if they have fun colors. Price isn't an issue.</t>
        </is>
      </c>
      <c r="D2895" t="n">
        <v>6</v>
      </c>
      <c r="E2895" t="n">
        <v>3</v>
      </c>
      <c r="F2895">
        <f>HYPERLINK("https://www.reddit.com/r/cancer/comments/bzeyzv/nice_wigs/")</f>
        <v/>
      </c>
      <c r="G2895" t="inlineStr">
        <is>
          <t>2019-06-11 09:54:30</t>
        </is>
      </c>
      <c r="H2895" t="inlineStr"/>
    </row>
    <row r="2896">
      <c r="A2896" t="inlineStr">
        <is>
          <t>bzff4a</t>
        </is>
      </c>
      <c r="B2896" t="inlineStr">
        <is>
          <t>Small portion food with high calories</t>
        </is>
      </c>
      <c r="C2896" t="inlineStr">
        <is>
          <t>Hello!
Wanted to seek everyone's "go-to" high calorie small meals or snacks. 
Looking forward to your replies!</t>
        </is>
      </c>
      <c r="D2896" t="n">
        <v>1</v>
      </c>
      <c r="E2896" t="n">
        <v>8</v>
      </c>
      <c r="F2896">
        <f>HYPERLINK("https://www.reddit.com/r/cancer/comments/bzff4a/small_portion_food_with_high_calories/")</f>
        <v/>
      </c>
      <c r="G2896" t="inlineStr">
        <is>
          <t>2019-06-11 10:26:46</t>
        </is>
      </c>
      <c r="H2896" t="inlineStr"/>
    </row>
    <row r="2897">
      <c r="A2897" t="inlineStr">
        <is>
          <t>bzfl4a</t>
        </is>
      </c>
      <c r="B2897" t="inlineStr">
        <is>
          <t>The good thing about terminal cancer that I noticed</t>
        </is>
      </c>
      <c r="C2897" t="inlineStr">
        <is>
          <t>Luckily I feel healthy at the moment, but one thing I like about terminal cancer is the ability to make up my own cure instead of following the standard regimens the doctors prescribed. Not that they have a chance of working, but it just feels like I have sense of freedom and control again.  My current cure plan consists of Radiation to reduce the tumors, coconut water, chamomile tea, and Fenbendazole dog dewormer. No Alcohol or smoking. If somebody wants to add to my cure, please feel free to do so. I will take everything into consideration.</t>
        </is>
      </c>
      <c r="D2897" t="n">
        <v>16</v>
      </c>
      <c r="E2897" t="n">
        <v>18</v>
      </c>
      <c r="F2897">
        <f>HYPERLINK("https://www.reddit.com/r/cancer/comments/bzfl4a/the_good_thing_about_terminal_cancer_that_i/")</f>
        <v/>
      </c>
      <c r="G2897" t="inlineStr">
        <is>
          <t>2019-06-11 10:38:56</t>
        </is>
      </c>
      <c r="H2897" t="inlineStr"/>
    </row>
    <row r="2898">
      <c r="A2898" t="inlineStr">
        <is>
          <t>bzgozr</t>
        </is>
      </c>
      <c r="B2898" t="inlineStr">
        <is>
          <t>This is the last song that my sister ever heard, I hope this gives you hope!</t>
        </is>
      </c>
      <c r="C2898" t="inlineStr">
        <is>
          <t>Elda, my sister, unfortunately, passed away two months ago after a long battle against cancer. 
I started to compose a song while she was still alive and this is the last song she has ever listened to. I keep as a treasure the last WhatsApp message she sent me after listening to this song, luckily she liked it a lot. Just 24 hours later she was gone.
We will all suffer some losses during our lifetime but we need to go on and honor the people we loved while we all are still alive.
The only way for me to honor my sister was to dedicate her a song and so I did it. I hope you like it, I put my heart and souls into these notes and this is for sure the most important song I've ever written. 
My sister before passing she told me that she never felt so peaceful, relieved. Something changed inside her. She was a very successful woman with her company (em.conservazione paintings restorations) she worked on Caravaggio, Giotto, and many others, she had also a great family, a wonderful husband, and son. Her life was frenetic and she was always busy... so when she told me that she was feeling calm and not in need to prove something to other people I literally felt that something good was happening to her. I'm not sure how to explain this but I felt it, obviously was something metaphysical related to her soul not to her body.
For that reason, in the song, I write "can you believe there's another way to cry and smile, to live or die" because I'm sure that my sister found a better way to die.
This song is full of hope and I hope that other people will benefit from it.
I am promoting this song because I want the name of my sister to travel around the world as much as possible (I want her to be remembered) and I want to suggest the name Elda to as many people as possible if they don't know yet how to call their daughters, it's a beautiful name. #elda #nameyourdaughterelda
This is just a way for me to keep her alive and I hope you can help me to reach more people.
Here the song:
[http://found.ee/eldaspotify](http://found.ee/eldaspotify)
and the video
[https://found.ee/eldavideo](https://found.ee/eldavideo)</t>
        </is>
      </c>
      <c r="D2898" t="n">
        <v>5</v>
      </c>
      <c r="E2898" t="n">
        <v>0</v>
      </c>
      <c r="F2898">
        <f>HYPERLINK("https://www.reddit.com/r/cancer/comments/bzgozr/this_is_the_last_song_that_my_sister_ever_heard_i/")</f>
        <v/>
      </c>
      <c r="G2898" t="inlineStr">
        <is>
          <t>2019-06-11 12:03:29</t>
        </is>
      </c>
      <c r="H2898" t="inlineStr"/>
    </row>
    <row r="2899">
      <c r="A2899" t="inlineStr">
        <is>
          <t>bzgzn8</t>
        </is>
      </c>
      <c r="B2899" t="inlineStr">
        <is>
          <t>Radiation burn help.</t>
        </is>
      </c>
      <c r="C2899" t="inlineStr">
        <is>
          <t>Hi there, I received radiotherapy to my neck for mets in my lymph nodes and the resulting burns are getting too painful to cope with. I am currently cleaning the wounds a couple of times a day and applying biafine cream periodically. Trying to keep myself hydrated dispite the stricture I have due to swelling from the radiation.
The burns are open wounds and keep lightly scabbing over but everytime I wash them the tops come away and the painful raw skin is exposed underneath. I'm not sure what to do for the best.
My treatment ended a week ago nearly and the burns continue to worsen, at what point do I need to go see a doctor about this? Is there anything else I can do to help my sulituation at all you all know of? 
Thanks in advance for any help.</t>
        </is>
      </c>
      <c r="D2899" t="n">
        <v>7</v>
      </c>
      <c r="E2899" t="n">
        <v>14</v>
      </c>
      <c r="F2899">
        <f>HYPERLINK("https://www.reddit.com/r/cancer/comments/bzgzn8/radiation_burn_help/")</f>
        <v/>
      </c>
      <c r="G2899" t="inlineStr">
        <is>
          <t>2019-06-11 12:27:30</t>
        </is>
      </c>
      <c r="H2899" t="inlineStr"/>
    </row>
    <row r="2900">
      <c r="A2900" t="inlineStr">
        <is>
          <t>bzh416</t>
        </is>
      </c>
      <c r="B2900" t="inlineStr">
        <is>
          <t>New to this. First biopsy today was hell. How was yours?</t>
        </is>
      </c>
      <c r="C2900" t="inlineStr">
        <is>
          <t>After a CAT scan and an MRI, doctors found an 11cm x 5 x 4 tumor in my back, suspecting that it’s a liposarcoma. They ordered a biopsy for this morning to get the full picture, which I should get next week. 
It was one of the most unpleasant experiences of my life, like a knife being twisted in my back. The pain was so severe I almost puked there on the table. Even with local anaesthetic it was close to unbearable. 
Anyone have a similar experience? I heard that most biopsies are mostly painless, so was really shocked by it.</t>
        </is>
      </c>
      <c r="D2900" t="n">
        <v>3</v>
      </c>
      <c r="E2900" t="n">
        <v>14</v>
      </c>
      <c r="F2900">
        <f>HYPERLINK("https://www.reddit.com/r/cancer/comments/bzh416/new_to_this_first_biopsy_today_was_hell_how_was/")</f>
        <v/>
      </c>
      <c r="G2900" t="inlineStr">
        <is>
          <t>2019-06-11 12:37:35</t>
        </is>
      </c>
      <c r="H2900" t="inlineStr"/>
    </row>
    <row r="2901">
      <c r="A2901" t="inlineStr">
        <is>
          <t>bzij7d</t>
        </is>
      </c>
      <c r="B2901" t="inlineStr">
        <is>
          <t>Fathers time left</t>
        </is>
      </c>
      <c r="C2901" t="inlineStr">
        <is>
          <t>My father has been battling cancer for about 5 years now. It started as prostate cancer, but after numerous surgeries and chemo sessions, the cancer has spread from the prostate, to the bones, then brain, then liver, and as of last month, the spine. It has become very obvious in the past two weeks that he is entering the final weeks of his life.
I just want to know how much time we have left based on maybe others knowledge or experience. I understand each cancer is different and each patient lifespan differs but maybe if anyone has had a similar situation, they can enlighten me.
His speech his slurred, he consistently drifts in and out of consciousness. He shows little interest in food. Maybe loss of memory (we asked him today if he ate, he said yes, but then when we asked what, he said he didnt remember. This could be a loss of memory, or him lying about his eating habits, but nevertheless both are bad) Last night he had a fever which luckily broke this morning. The only positive thing left is his recall of current events. We talked today about the recent David Ortiz incident. He has been this way for about a week and a half now. Has anyone had any similar situations, and if so, how long did you have left with your loved one.</t>
        </is>
      </c>
      <c r="D2901" t="n">
        <v>8</v>
      </c>
      <c r="E2901" t="n">
        <v>6</v>
      </c>
      <c r="F2901">
        <f>HYPERLINK("https://www.reddit.com/r/cancer/comments/bzij7d/fathers_time_left/")</f>
        <v/>
      </c>
      <c r="G2901" t="inlineStr">
        <is>
          <t>2019-06-11 14:36:30</t>
        </is>
      </c>
      <c r="H2901" t="inlineStr"/>
    </row>
    <row r="2902">
      <c r="A2902" t="inlineStr">
        <is>
          <t>bzjpjn</t>
        </is>
      </c>
      <c r="B2902" t="inlineStr">
        <is>
          <t>A poem for all the survivors out there</t>
        </is>
      </c>
      <c r="C2902" t="inlineStr">
        <is>
          <t>~a cancer poem~
Out among the blueberry bushes 
and the sweet, thorny wild roses
In the blessed summer heat
Sweating out a lifetime worth
of poisons great and terrible
Getting serious 
oh so serious
About pulling invasive species
From a little plot of family land
Trying not to stress
About that follow up scan I finally got scheduled
Thinking dear sweet God
At least there's a good metaphor and
Something I can do
To pass the time and cherish
The simple, subtle joys</t>
        </is>
      </c>
      <c r="D2902" t="n">
        <v>4</v>
      </c>
      <c r="E2902" t="n">
        <v>0</v>
      </c>
      <c r="F2902">
        <f>HYPERLINK("https://www.reddit.com/r/cancer/comments/bzjpjn/a_poem_for_all_the_survivors_out_there/")</f>
        <v/>
      </c>
      <c r="G2902" t="inlineStr">
        <is>
          <t>2019-06-11 16:22:33</t>
        </is>
      </c>
      <c r="H2902" t="inlineStr"/>
    </row>
    <row r="2903">
      <c r="A2903" t="inlineStr">
        <is>
          <t>bzlcs1</t>
        </is>
      </c>
      <c r="B2903" t="inlineStr">
        <is>
          <t>Dealing with neuropathy after chemotherapy</t>
        </is>
      </c>
      <c r="C2903" t="inlineStr">
        <is>
          <t>I ended chemo for Hodgkin’s Lymphoma almost 4 months ago. Recently in the past month my hand have become more numb and in pain. My family doctors told me it was probably neuropathy from the chemo and to talk to my oncologist. My oncologist just told me to talk to my family doctor because it’s been to long. 
Has anyone experienced this? It’s getting so bad it’s hard to hold a pencil or even type this message.  I don’t want to keep going doctor to doctor.</t>
        </is>
      </c>
      <c r="D2903" t="n">
        <v>2</v>
      </c>
      <c r="E2903" t="n">
        <v>7</v>
      </c>
      <c r="F2903">
        <f>HYPERLINK("https://www.reddit.com/r/cancer/comments/bzlcs1/dealing_with_neuropathy_after_chemotherapy/")</f>
        <v/>
      </c>
      <c r="G2903" t="inlineStr">
        <is>
          <t>2019-06-11 19:06:31</t>
        </is>
      </c>
      <c r="H2903" t="inlineStr"/>
    </row>
    <row r="2904">
      <c r="A2904" t="inlineStr">
        <is>
          <t>bzlmjv</t>
        </is>
      </c>
      <c r="B2904" t="inlineStr">
        <is>
          <t>Muscle side effects post chemo</t>
        </is>
      </c>
      <c r="C2904" t="inlineStr">
        <is>
          <t>I've been cancer free for 4 months now (hooray!!), but I still feel like every day is a struggle against "the side effects of chemo." I feel like it's become a blanket stament for every health care provider. I've been having a lot of leg pain and I have been told multiple times it's just a side effect and to take ibuprofen, but today I went to a physical therapist and she told me it was hip bursitis. Just wondering if anyone else has had symptoms pop up months later.
 I'm just feeling really worn down lately. I am cancer free so I should be ecstatic, but instead  I'm in my mid 20's and can hardly walk due to pain.</t>
        </is>
      </c>
      <c r="D2904" t="n">
        <v>4</v>
      </c>
      <c r="E2904" t="n">
        <v>9</v>
      </c>
      <c r="F2904">
        <f>HYPERLINK("https://www.reddit.com/r/cancer/comments/bzlmjv/muscle_side_effects_post_chemo/")</f>
        <v/>
      </c>
      <c r="G2904" t="inlineStr">
        <is>
          <t>2019-06-11 19:34:06</t>
        </is>
      </c>
      <c r="H2904" t="inlineStr"/>
    </row>
    <row r="2905">
      <c r="A2905" t="inlineStr">
        <is>
          <t>bzmexb</t>
        </is>
      </c>
      <c r="B2905" t="inlineStr">
        <is>
          <t>Sorry if not allowed... How do you deal with waiting</t>
        </is>
      </c>
      <c r="C2905" t="inlineStr">
        <is>
          <t>I've had terrible increasing back pain since December. Physical therapy.  Muscle relaxers.  Pain med. None of it helps. I have an MRI on Friday that has been waiting for insurance approval since may 30.  I'm stressed.  How did you deal with the time as you went through tests during your diagnosis? Did you have a suspicion or just assumed it would be mild?  I am a mess over the possibility of cancer and I don't know what to do.</t>
        </is>
      </c>
      <c r="D2905" t="n">
        <v>0</v>
      </c>
      <c r="E2905" t="n">
        <v>1</v>
      </c>
      <c r="F2905">
        <f>HYPERLINK("https://www.reddit.com/r/cancer/comments/bzmexb/sorry_if_not_allowed_how_do_you_deal_with_waiting/")</f>
        <v/>
      </c>
      <c r="G2905" t="inlineStr">
        <is>
          <t>2019-06-11 20:59:08</t>
        </is>
      </c>
      <c r="H2905" t="inlineStr"/>
    </row>
    <row r="2906">
      <c r="A2906" t="inlineStr">
        <is>
          <t>bznc5d</t>
        </is>
      </c>
      <c r="B2906" t="inlineStr">
        <is>
          <t>My mom had cancer</t>
        </is>
      </c>
      <c r="C2906" t="inlineStr">
        <is>
          <t>So, in 2013 my mother who was [47] at that time, got diagnosed with ovarian cancer. Shortly after the diagnosis she underwent surgery and had removed all the reproductive system I think - uterus, ovaries etc. I believe it was a very early stage because her oncologist said she doesn't need any chemo. For a few months now she has abdominal pain and after a CT scan she's been told she has the liver enlarged. Is there a chance that she has metastasis in her liver ?
tl;dr -- chance of metastasis from early stage cancer</t>
        </is>
      </c>
      <c r="D2906" t="n">
        <v>6</v>
      </c>
      <c r="E2906" t="n">
        <v>4</v>
      </c>
      <c r="F2906">
        <f>HYPERLINK("https://www.reddit.com/r/cancer/comments/bznc5d/my_mom_had_cancer/")</f>
        <v/>
      </c>
      <c r="G2906" t="inlineStr">
        <is>
          <t>2019-06-11 22:47:49</t>
        </is>
      </c>
      <c r="H2906" t="inlineStr"/>
    </row>
    <row r="2907">
      <c r="A2907" t="inlineStr">
        <is>
          <t>bznx1f</t>
        </is>
      </c>
      <c r="B2907" t="inlineStr">
        <is>
          <t>I [27f] was informed by my girlfriend [23f] that she had stomach cancer before the results, is this normal?</t>
        </is>
      </c>
      <c r="C2907" t="inlineStr">
        <is>
          <t>I’m wondering if this is normal or against policy for a doctor to tell you that you have cancer before the results come in. And to be clear, the doctor said it was most likely stomach cancer. He didn’t flat out say that she had stomach cancer.
BACKSTORY: A month and a half ago, my girlfriend was in the bathroom and let out a frustrated groan and came out. I asked her if everything was okay and she told me that she was bleeding out of her butt again. I asked how long it had been going on and she said 3 months and she was assuming it was from stress. I urged her to go get it checked out since I knew that anal bleeding could be a serious symptom. She hates doctors and said she would just watch her diet more carefully since she was getting black stools too. I kept urging her to go, and she finally set up an appointment.
So about 2 weeks ago on a Friday night. She texted me that she was feeling down so I told her I would spend the night at her place once I got done hanging with my friends at the bar. I ended up getting super tired once I dropped my friend off so I texted her letting her know that I was just going to head home and crash. She responded 20mins later with a lengthy text on how much of a bad girlfriend I was and that she would of sucked it up and came over if I was feeling down and blah blah blah. Which was very unlike her to say something like that. We use to get into petty fights in the beginning of our relationship, but we worked it out months ago. So for her to say this was out of the blue. I tried to call her and she wouldn’t pick up, and she texted me that we should end things and to have her stuff ready to pick up for her tomorrow.  
I was in shock of this all and agreed for her to come by the next day so she could pick up her things. About 10mins later she calls and she sounded like she had been crying for the entire night and not just us texting. She asked if she could come over and I agreed. So she comes by and takes a seat at the kitchen table balling her eyes out, and she told me that she didn’t want me to be with a sick girlfriend, and that I should be with someone healthy and happy. That’s when she informed me that the doctor said he was sure she had stomach cancer. Just off the top of my head, I knew the survival rate for stomach cancer was low.
The doctor told her she was tender on one side of her stomach and hard on the other side. She has black stools, blood, and colon cancer runs in her family. Her appetite is still okay in my opinion. She’s never been a big eater but the doctor thinks it’s low. She also gained about 9lbs which might be unrelated. The doctor is doing a process of elimination and set her up to do a colonoscopy first before doing an endoscopy. 
She’s getting the colonoscopy done next week and she asked me not to come. She hasn’t told anyone besides me and her best friend. Her sister is taking her and my girlfriend would rather have me be with her when she’s recovering the following day. I’m still trying to convince her to let me come but she’s scared I’ll let it slip that she might have cancer to her sister.
I’m beyond scared. I have the most beautiful perfect girlfriend who loves me for who I am. I’m also not mad at her for trying to break up with me, she was only thinking of me after all and just wanted me to be happy. We’re both so young so I’m hoping for negative results and will give her the best life possible if the results come out bad. I’m really hoping that she will be in that 30% survival rate.</t>
        </is>
      </c>
      <c r="D2907" t="n">
        <v>22</v>
      </c>
      <c r="E2907" t="n">
        <v>23</v>
      </c>
      <c r="F2907">
        <f>HYPERLINK("https://www.reddit.com/r/cancer/comments/bznx1f/i_27f_was_informed_by_my_girlfriend_23f_that_she/")</f>
        <v/>
      </c>
      <c r="G2907" t="inlineStr">
        <is>
          <t>2019-06-12 00:00:46</t>
        </is>
      </c>
      <c r="H2907" t="inlineStr"/>
    </row>
    <row r="2908">
      <c r="A2908" t="inlineStr">
        <is>
          <t>bznxnp</t>
        </is>
      </c>
      <c r="B2908" t="inlineStr">
        <is>
          <t>My dad is in the end stages of cancer. His lucidity goes in and out. How should we communicate with him during our final days together without being patronising?</t>
        </is>
      </c>
      <c r="C2908" t="inlineStr">
        <is>
          <t>My dad as of yesterday is in the end stages of death. He was extremely attentive and his usual self only two days ago albeit tired but his condition has drastically changed to having random thoughts and conversations, something I rememeber talking to folks at the old folks home.
It's been a really painful journey in the past two days for our family but we're determined to make my dad's final days here with us as peaceful as possible with palliative aids. We also want to keep communicating with him along this path but sometimes it feels like I'm being patronising when he's talking about random things and mumbling and I'll play along. Or should I try to steer him back to lucid conversations? 
Thanks guys</t>
        </is>
      </c>
      <c r="D2908" t="n">
        <v>11</v>
      </c>
      <c r="E2908" t="n">
        <v>7</v>
      </c>
      <c r="F2908">
        <f>HYPERLINK("https://www.reddit.com/r/cancer/comments/bznxnp/my_dad_is_in_the_end_stages_of_cancer_his/")</f>
        <v/>
      </c>
      <c r="G2908" t="inlineStr">
        <is>
          <t>2019-06-12 00:02:46</t>
        </is>
      </c>
      <c r="H2908" t="inlineStr"/>
    </row>
    <row r="2909">
      <c r="A2909" t="inlineStr">
        <is>
          <t>bzoubv</t>
        </is>
      </c>
      <c r="B2909" t="inlineStr">
        <is>
          <t>How do I go through cancer treatment again?</t>
        </is>
      </c>
      <c r="C2909" t="inlineStr">
        <is>
          <t>I was diagnosed with bladder cancer when I was 21, and now have lost remission again at 28. Last time treatment was insane. Chemo, radiation, multiple surgeries including a neobladder. Many complications, further surgeries, incredible amounts of pain. This disrupted my entire life - relationships, education, self esteem, fertility.  I finally seemed to be headed in the right direction, became a nurse, started feeling “normal” ie less anxiety, depression, I found out that I have lost remission. I don’t know how to handle it. I’m scared - of the painful procedures, more so now than before because I know what’s really happening now , of treatment not working, of being a burden again. Any encouraging words at this point would be a blessing.</t>
        </is>
      </c>
      <c r="D2909" t="n">
        <v>32</v>
      </c>
      <c r="E2909" t="n">
        <v>14</v>
      </c>
      <c r="F2909">
        <f>HYPERLINK("https://www.reddit.com/r/cancer/comments/bzoubv/how_do_i_go_through_cancer_treatment_again/")</f>
        <v/>
      </c>
      <c r="G2909" t="inlineStr">
        <is>
          <t>2019-06-12 02:04:45</t>
        </is>
      </c>
      <c r="H2909" t="inlineStr"/>
    </row>
    <row r="2910">
      <c r="A2910" t="inlineStr">
        <is>
          <t>bzow9q</t>
        </is>
      </c>
      <c r="B2910" t="inlineStr">
        <is>
          <t>Cancer Screening: What, When and How?</t>
        </is>
      </c>
      <c r="C2910" t="inlineStr">
        <is>
          <t>Cancer screening tests increases the chances of detecting certain cancer types so it’s easier to identify and treat most of the cancer diseases and disorders.</t>
        </is>
      </c>
      <c r="D2910" t="n">
        <v>1</v>
      </c>
      <c r="E2910" t="n">
        <v>1</v>
      </c>
      <c r="F2910">
        <f>HYPERLINK("https://www.reddit.com/r/cancer/comments/bzow9q/cancer_screening_what_when_and_how/")</f>
        <v/>
      </c>
      <c r="G2910" t="inlineStr">
        <is>
          <t>2019-06-12 02:11:44</t>
        </is>
      </c>
      <c r="H2910" t="inlineStr"/>
    </row>
    <row r="2911">
      <c r="A2911" t="inlineStr">
        <is>
          <t>bzpr6g</t>
        </is>
      </c>
      <c r="B2911" t="inlineStr">
        <is>
          <t>User research for cancer awareness and holistic health media site</t>
        </is>
      </c>
      <c r="C2911" t="inlineStr">
        <is>
          <t>Hi, we're working on a website that aims to provide information on cancer awareness and holistic health. We understand that this can be an extremely sensitive topic, so we hope you are not triggered by any of these questions and please only answer questions that you are comfortable with. Your answers will be anonymous and won't be used anywhere except for our project. Thanks!</t>
        </is>
      </c>
      <c r="D2911" t="n">
        <v>0</v>
      </c>
      <c r="E2911" t="n">
        <v>0</v>
      </c>
      <c r="F2911">
        <f>HYPERLINK("https://www.reddit.com/r/cancer/comments/bzpr6g/user_research_for_cancer_awareness_and_holistic/")</f>
        <v/>
      </c>
      <c r="G2911" t="inlineStr">
        <is>
          <t>2019-06-12 03:56:46</t>
        </is>
      </c>
      <c r="H2911" t="inlineStr"/>
    </row>
    <row r="2912">
      <c r="A2912" t="inlineStr">
        <is>
          <t>bzpvar</t>
        </is>
      </c>
      <c r="B2912" t="inlineStr">
        <is>
          <t>Post chemo night sweats question</t>
        </is>
      </c>
      <c r="C2912" t="inlineStr">
        <is>
          <t>Hey, was looking for some advice for my girlfriend who is suffering terribly from overheating at night. She has asthma so I've been reluctant to get her a fan, as that can aggrivate it. I was wondering if anyone had similar experiences?
I was thinking of getting an air purifier but I'm unsure of their cooling properties.
Any help would be greatly appreciated, thanks</t>
        </is>
      </c>
      <c r="D2912" t="n">
        <v>1</v>
      </c>
      <c r="E2912" t="n">
        <v>13</v>
      </c>
      <c r="F2912">
        <f>HYPERLINK("https://www.reddit.com/r/cancer/comments/bzpvar/post_chemo_night_sweats_question/")</f>
        <v/>
      </c>
      <c r="G2912" t="inlineStr">
        <is>
          <t>2019-06-12 04:09:29</t>
        </is>
      </c>
      <c r="H2912" t="inlineStr"/>
    </row>
    <row r="2913">
      <c r="A2913" t="inlineStr">
        <is>
          <t>bzqbei</t>
        </is>
      </c>
      <c r="B2913" t="inlineStr">
        <is>
          <t>A new place for those affected by cancer</t>
        </is>
      </c>
      <c r="C2913" t="inlineStr">
        <is>
          <t>Cancer Talk is an all-new website for young people whose lives have been affected by cancer. Cancer Talk was created by someone who has been through the cancer journey and knows how tough it can be. I created this site as I found it difficult to find support and others going through a similar journey. I felt so alone and I didn't want others to feel like I did. Cancer Talk offers advice and tips on during and after treatment, real-life stories, blog posts and a forum where you can connect with others going through similar experiences. Please feel free to check out the Cancer Talk website here: [https://www.cancertalkfoundation.org/](https://www.cancertalkfoundation.org/)</t>
        </is>
      </c>
      <c r="D2913" t="n">
        <v>1</v>
      </c>
      <c r="E2913" t="n">
        <v>0</v>
      </c>
      <c r="F2913">
        <f>HYPERLINK("https://www.reddit.com/r/cancer/comments/bzqbei/a_new_place_for_those_affected_by_cancer/")</f>
        <v/>
      </c>
      <c r="G2913" t="inlineStr">
        <is>
          <t>2019-06-12 04:59:03</t>
        </is>
      </c>
      <c r="H2913" t="inlineStr"/>
    </row>
    <row r="2914">
      <c r="A2914" t="inlineStr">
        <is>
          <t>bztri4</t>
        </is>
      </c>
      <c r="B2914" t="inlineStr">
        <is>
          <t>Is it true you need more calories during cancer/ chemo?</t>
        </is>
      </c>
      <c r="C2914" t="inlineStr">
        <is>
          <t>My GI dr told me I'd have to double my calorie intake but my weight is going up fast! I know some of it is feet swelling/ water retention but I'm wondering if this is true? My GI does not specialize in cancer. Thanks!</t>
        </is>
      </c>
      <c r="D2914" t="n">
        <v>3</v>
      </c>
      <c r="E2914" t="n">
        <v>9</v>
      </c>
      <c r="F2914">
        <f>HYPERLINK("https://www.reddit.com/r/cancer/comments/bztri4/is_it_true_you_need_more_calories_during_cancer/")</f>
        <v/>
      </c>
      <c r="G2914" t="inlineStr">
        <is>
          <t>2019-06-12 10:04:15</t>
        </is>
      </c>
      <c r="H2914" t="inlineStr"/>
    </row>
    <row r="2915">
      <c r="A2915" t="inlineStr">
        <is>
          <t>bzu8af</t>
        </is>
      </c>
      <c r="B2915" t="inlineStr">
        <is>
          <t>Treatment ended 1.5 years ago and I still have chemo brain</t>
        </is>
      </c>
      <c r="C2915" t="inlineStr">
        <is>
          <t>I don’t know why but I haven’t been have to overcome my somewhat constant cognitive fog known as “chemo brain”. I always find myself forgetting things and taking an absurd amount of effort to focus on complex tasks. It’s extremely discouraging, especially as I progress into adulthood and need all of the cognitive ability that I can muster to advance in a career or learn new skills. I’ve seen the a neuropsychologist and have been evaluated, only to be told that I’m basically fine. It’s frustrating to say the least, and I get anxious as I have to face new and difficult challenges that require problem solving and memory. 
Can anyone else relate? I’m 24, had Ewing’s Sarcoma at 22, and took the following chemotherapy medications:
Doxorubicin
Cyclophosphamide
Etopiside
Ifosphamide
Vincristine</t>
        </is>
      </c>
      <c r="D2915" t="n">
        <v>14</v>
      </c>
      <c r="E2915" t="n">
        <v>11</v>
      </c>
      <c r="F2915">
        <f>HYPERLINK("https://www.reddit.com/r/cancer/comments/bzu8af/treatment_ended_15_years_ago_and_i_still_have/")</f>
        <v/>
      </c>
      <c r="G2915" t="inlineStr">
        <is>
          <t>2019-06-12 10:41:51</t>
        </is>
      </c>
      <c r="H2915" t="inlineStr"/>
    </row>
    <row r="2916">
      <c r="A2916" t="inlineStr">
        <is>
          <t>bzuszg</t>
        </is>
      </c>
      <c r="B2916" t="inlineStr">
        <is>
          <t>Rollercoasters?</t>
        </is>
      </c>
      <c r="C2916" t="inlineStr">
        <is>
          <t>Hey y’all, my brain tumor resection happened about a year ago do you think I can get on rollercoasters yet? I’m 17</t>
        </is>
      </c>
      <c r="D2916" t="n">
        <v>2</v>
      </c>
      <c r="E2916" t="n">
        <v>2</v>
      </c>
      <c r="F2916">
        <f>HYPERLINK("https://www.reddit.com/r/cancer/comments/bzuszg/rollercoasters/")</f>
        <v/>
      </c>
      <c r="G2916" t="inlineStr">
        <is>
          <t>2019-06-12 11:28:27</t>
        </is>
      </c>
      <c r="H2916" t="inlineStr"/>
    </row>
    <row r="2917">
      <c r="A2917" t="inlineStr">
        <is>
          <t>bzv1yi</t>
        </is>
      </c>
      <c r="B2917" t="inlineStr">
        <is>
          <t>End of the road</t>
        </is>
      </c>
      <c r="C2917" t="inlineStr">
        <is>
          <t>I met with the doctor yesterday.  My first stage chemo stopped working almost immediately after I stopped it.  I only have a few months left.  2nd stage may give me a few more months.  
I don't know if I'm scared of dying.  I hope it happens in my sleep. I hope I don't suffer. I hope the road is comfortable and happy on the way there.  I'm in a little pain now but the drugs help for the most part. I'd like it if they made me less tired.  I'd like it if I had more time left. I had so many plans. I may not even make it to 33.</t>
        </is>
      </c>
      <c r="D2917" t="n">
        <v>131</v>
      </c>
      <c r="E2917" t="n">
        <v>36</v>
      </c>
      <c r="F2917">
        <f>HYPERLINK("https://www.reddit.com/r/cancer/comments/bzv1yi/end_of_the_road/")</f>
        <v/>
      </c>
      <c r="G2917" t="inlineStr">
        <is>
          <t>2019-06-12 11:49:00</t>
        </is>
      </c>
      <c r="H2917" t="inlineStr"/>
    </row>
    <row r="2918">
      <c r="A2918" t="inlineStr">
        <is>
          <t>bzw3a5</t>
        </is>
      </c>
      <c r="B2918" t="inlineStr">
        <is>
          <t>Does anyone have any guidance to getting my dad into Hopkins or Mayo Clinic - Stage IV PC non responsive to Folfinirox and Gem/Abrax</t>
        </is>
      </c>
      <c r="C2918" t="inlineStr">
        <is>
          <t>Please help. We are ready to do something weird. Our doctor is great but his treatments are not radical enough and they are not working.</t>
        </is>
      </c>
      <c r="D2918" t="n">
        <v>1</v>
      </c>
      <c r="E2918" t="n">
        <v>4</v>
      </c>
      <c r="F2918">
        <f>HYPERLINK("https://www.reddit.com/r/cancer/comments/bzw3a5/does_anyone_have_any_guidance_to_getting_my_dad/")</f>
        <v/>
      </c>
      <c r="G2918" t="inlineStr">
        <is>
          <t>2019-06-12 13:12:23</t>
        </is>
      </c>
      <c r="H2918" t="inlineStr"/>
    </row>
    <row r="2919">
      <c r="A2919" t="inlineStr">
        <is>
          <t>bzw6s5</t>
        </is>
      </c>
      <c r="B2919" t="inlineStr">
        <is>
          <t>HELP MY FAMILY SERVE KIDS WITH CANCER</t>
        </is>
      </c>
      <c r="C2919" t="inlineStr">
        <is>
          <t>https://www.classy.org/fundraiser/2156541[fundraiser link](https://www.classy.org/fundraiser/2156541)
I would like to begin by saying thank you for taking the time to read. With the kindest regards, I seek the goodness in your heart to help such beautiful and moving cause. 
All my life I have seen sicknesses such as cancer in my household. My brother is a survivor, and is healthy nowadays. Unfortunately, my father was not as lucky, as he passed away late last year. He died of a rare disease that had no type of cure or treatment. It is horrible to hear the news that a family member is sick, and even more daunting when such sickness does not even have a cure. This is the case with childhood cancer. Children should be outside playing with friends, while thinking about the newest toys. Instead, children with cancer must be stay in hospitals 24/7, wondering why their entire family is always constantly crying. For this very reason, a foundation called Blue Skies Ministries provides families that have a child with cancer, an opportunity to experience an all paid vacation. I am sure you can imagine the joy this brings to that child and their entire family. My family of four experienced this, and that is something I will never forget. A few years later, my family of now 3, would love to now volunteer in this foundation. I would love it if you could help my family make a memory with families who are going though tough times. My family plans on volunteering with blue skies from July 6-13. This is a week where we would serve these families to the best of our ability, to give them the time of their life. I very much appreciate your time. All donations, even small will impact a family with a child that has cancer. Please share with anyone who you think could help. Again, from the bottom of my heart and my family’s, thank you!</t>
        </is>
      </c>
      <c r="D2919" t="n">
        <v>3</v>
      </c>
      <c r="E2919" t="n">
        <v>0</v>
      </c>
      <c r="F2919">
        <f>HYPERLINK("https://www.reddit.com/r/cancer/comments/bzw6s5/help_my_family_serve_kids_with_cancer/")</f>
        <v/>
      </c>
      <c r="G2919" t="inlineStr">
        <is>
          <t>2019-06-12 13:20:25</t>
        </is>
      </c>
      <c r="H2919" t="inlineStr"/>
    </row>
    <row r="2920">
      <c r="A2920" t="inlineStr">
        <is>
          <t>bzw99a</t>
        </is>
      </c>
      <c r="B2920" t="inlineStr">
        <is>
          <t>What to expect at my first relay?</t>
        </is>
      </c>
      <c r="C2920" t="inlineStr">
        <is>
          <t>Hi all. I'm attending my first relay event this month and I don't know what I should expect. I lost my grandma to cancer back in September and it still gets me sometimes. Should I expect it to be emotional? I know I want to be there for the luminary event but beyond that what should I do/expect? Thanks!</t>
        </is>
      </c>
      <c r="D2920" t="n">
        <v>2</v>
      </c>
      <c r="E2920" t="n">
        <v>0</v>
      </c>
      <c r="F2920">
        <f>HYPERLINK("https://www.reddit.com/r/cancer/comments/bzw99a/what_to_expect_at_my_first_relay/")</f>
        <v/>
      </c>
      <c r="G2920" t="inlineStr">
        <is>
          <t>2019-06-12 13:26:07</t>
        </is>
      </c>
      <c r="H2920" t="inlineStr"/>
    </row>
    <row r="2921">
      <c r="A2921" t="inlineStr">
        <is>
          <t>bzwk32</t>
        </is>
      </c>
      <c r="B2921" t="inlineStr">
        <is>
          <t>Colon cancer</t>
        </is>
      </c>
      <c r="C2921" t="inlineStr">
        <is>
          <t>Erhm. So just got some news. My brother apparently has colon cancer. He says he’s known since April. It has spread to the liver. Don’t know my much more. He’s a few hundred miles away and don’t see him that often. Called him and he sounded drunk. Says he’s had a stroke. Can this be related?
Don’t know anything about this. What kind of prognosis is there for this? He sounded resigned. Said that doctors didn’t give him much of a chance</t>
        </is>
      </c>
      <c r="D2921" t="n">
        <v>1</v>
      </c>
      <c r="E2921" t="n">
        <v>5</v>
      </c>
      <c r="F2921">
        <f>HYPERLINK("https://www.reddit.com/r/cancer/comments/bzwk32/colon_cancer/")</f>
        <v/>
      </c>
      <c r="G2921" t="inlineStr">
        <is>
          <t>2019-06-12 13:51:02</t>
        </is>
      </c>
      <c r="H2921" t="inlineStr"/>
    </row>
    <row r="2922">
      <c r="A2922" t="inlineStr">
        <is>
          <t>bzwron</t>
        </is>
      </c>
      <c r="B2922" t="inlineStr">
        <is>
          <t>Letters to loved ones</t>
        </is>
      </c>
      <c r="C2922" t="inlineStr">
        <is>
          <t>Has anyone written letters to their loved ones to be read after you pass? 
I'm not trying to be negative.  My cancer has recurred and spread, I just have been thinking about this and want to write while I'm still feeling peaceful. 
What do you include? Is there some guide out there? I really want to do this but am just stumped.</t>
        </is>
      </c>
      <c r="D2922" t="n">
        <v>8</v>
      </c>
      <c r="E2922" t="n">
        <v>7</v>
      </c>
      <c r="F2922">
        <f>HYPERLINK("https://www.reddit.com/r/cancer/comments/bzwron/letters_to_loved_ones/")</f>
        <v/>
      </c>
      <c r="G2922" t="inlineStr">
        <is>
          <t>2019-06-12 14:08:05</t>
        </is>
      </c>
      <c r="H2922" t="inlineStr"/>
    </row>
    <row r="2923">
      <c r="A2923" t="inlineStr">
        <is>
          <t>bzy6hl</t>
        </is>
      </c>
      <c r="B2923" t="inlineStr">
        <is>
          <t>How did you know your cancer came back</t>
        </is>
      </c>
      <c r="C2923" t="inlineStr">
        <is>
          <t>I have some scans coming up soon and I'm insanely nervous about them. I keep feeling like somethings going to be on them and I'll have to go through everything again. I had Ewing sarcoma grade 4, the first time I was told there was a few spots on my lungs but they ruled it out to be scarring (my lungs slightly collapsed after surgery which I guess is normal?)
Anyway Im nervous it actually was something because now my right side ribs/lungs are bothering me and I have been coughing a little bit, I could just be being paranoid but just wondering how you knew your cancer came back after being done with chemo and all your treatments, talking about it like this or hearing from other people that went through similar things really helps me ease out.</t>
        </is>
      </c>
      <c r="D2923" t="n">
        <v>1</v>
      </c>
      <c r="E2923" t="n">
        <v>5</v>
      </c>
      <c r="F2923">
        <f>HYPERLINK("https://www.reddit.com/r/cancer/comments/bzy6hl/how_did_you_know_your_cancer_came_back/")</f>
        <v/>
      </c>
      <c r="G2923" t="inlineStr">
        <is>
          <t>2019-06-12 16:09:39</t>
        </is>
      </c>
      <c r="H2923" t="inlineStr"/>
    </row>
    <row r="2924">
      <c r="A2924" t="inlineStr">
        <is>
          <t>bzysnl</t>
        </is>
      </c>
      <c r="B2924" t="inlineStr">
        <is>
          <t>Fear of liver biopsy</t>
        </is>
      </c>
      <c r="C2924" t="inlineStr">
        <is>
          <t>Can someone explain what they went through for their liver biopsy?   My oncologist is encouraging me to get this done due to liver enzyme tests.  I heard it’s quite painful.  I’m kinda tired of docs, tests, and hospitals.  Not sure I’m up for more.  Thank you.</t>
        </is>
      </c>
      <c r="D2924" t="n">
        <v>2</v>
      </c>
      <c r="E2924" t="n">
        <v>6</v>
      </c>
      <c r="F2924">
        <f>HYPERLINK("https://www.reddit.com/r/cancer/comments/bzysnl/fear_of_liver_biopsy/")</f>
        <v/>
      </c>
      <c r="G2924" t="inlineStr">
        <is>
          <t>2019-06-12 17:08:23</t>
        </is>
      </c>
      <c r="H2924" t="inlineStr"/>
    </row>
    <row r="2925">
      <c r="A2925" t="inlineStr">
        <is>
          <t>bzz967</t>
        </is>
      </c>
      <c r="B2925" t="inlineStr">
        <is>
          <t>1am outbreak</t>
        </is>
      </c>
      <c r="C2925" t="inlineStr">
        <is>
          <t>I saw my friends tonight. We hung out like old times and talked about politics and house prices and played games. I came home to pouring rain and now I'm listening to Lorde and enjoying the peace. I feel calm but it was hard to sit there and talk about the future with all these people that I grew up with. I don't have a future. They'll all get older and become new people and I will be 23 forever. It feels like I'm being left behind.</t>
        </is>
      </c>
      <c r="D2925" t="n">
        <v>26</v>
      </c>
      <c r="E2925" t="n">
        <v>6</v>
      </c>
      <c r="F2925">
        <f>HYPERLINK("https://www.reddit.com/r/cancer/comments/bzz967/1am_outbreak/")</f>
        <v/>
      </c>
      <c r="G2925" t="inlineStr">
        <is>
          <t>2019-06-12 17:54:18</t>
        </is>
      </c>
      <c r="H2925" t="inlineStr"/>
    </row>
    <row r="2926">
      <c r="A2926" t="inlineStr">
        <is>
          <t>bzzv11</t>
        </is>
      </c>
      <c r="B2926" t="inlineStr">
        <is>
          <t>Childhood survivor here</t>
        </is>
      </c>
      <c r="C2926" t="inlineStr">
        <is>
          <t>I was diagnosed with ALL when i was about 3, and entered remission when i was 6. I’ve never really given much thought as to why i made it when so many more didn’t. Is this normal?</t>
        </is>
      </c>
      <c r="D2926" t="n">
        <v>1</v>
      </c>
      <c r="E2926" t="n">
        <v>3</v>
      </c>
      <c r="F2926">
        <f>HYPERLINK("https://www.reddit.com/r/cancer/comments/bzzv11/childhood_survivor_here/")</f>
        <v/>
      </c>
      <c r="G2926" t="inlineStr">
        <is>
          <t>2019-06-12 18:55:36</t>
        </is>
      </c>
      <c r="H2926" t="inlineStr"/>
    </row>
    <row r="2927">
      <c r="A2927" t="inlineStr">
        <is>
          <t>bzzzl2</t>
        </is>
      </c>
      <c r="B2927" t="inlineStr">
        <is>
          <t>Cervical cancer MRI results.</t>
        </is>
      </c>
      <c r="C2927" t="inlineStr">
        <is>
          <t>I found out that the tumor is about the size of a lime and seems contained in/around the cervix. But the nearby lymph nodes are involved and quite large. A few are even necrotic. Still don't know the stage or anything yet, but does anyone have any advice?
Anything helps. Thanks. ❤</t>
        </is>
      </c>
      <c r="D2927" t="n">
        <v>2</v>
      </c>
      <c r="E2927" t="n">
        <v>7</v>
      </c>
      <c r="F2927">
        <f>HYPERLINK("https://www.reddit.com/r/cancer/comments/bzzzl2/cervical_cancer_mri_results/")</f>
        <v/>
      </c>
      <c r="G2927" t="inlineStr">
        <is>
          <t>2019-06-12 19:08:00</t>
        </is>
      </c>
      <c r="H2927" t="inlineStr"/>
    </row>
    <row r="2928">
      <c r="A2928" t="inlineStr">
        <is>
          <t>c01by4</t>
        </is>
      </c>
      <c r="B2928" t="inlineStr">
        <is>
          <t>Feeling Tingly</t>
        </is>
      </c>
      <c r="C2928" t="inlineStr">
        <is>
          <t>Hey guys.
I'm one week post double mastectomy no recon. I'm feeling so great. Soo much better than I expected so I'm really glad I chose no recon.
Anyways I have the craziest goosebumps and tingling going on in my arms. I knew the tingling would happen, but the goosebumps are interesting. When I walk outside (we have a ton of bugs in FL) anytime anything touches my legs it feels 10x stronger than before. 
Just wondering others experiences with nerve regrowth &amp;amp; sensations after mastectomy or any surgery really !
❤️</t>
        </is>
      </c>
      <c r="D2928" t="n">
        <v>3</v>
      </c>
      <c r="E2928" t="n">
        <v>2</v>
      </c>
      <c r="F2928">
        <f>HYPERLINK("https://www.reddit.com/r/cancer/comments/c01by4/feeling_tingly/")</f>
        <v/>
      </c>
      <c r="G2928" t="inlineStr">
        <is>
          <t>2019-06-12 21:29:03</t>
        </is>
      </c>
      <c r="H2928" t="inlineStr"/>
    </row>
    <row r="2929">
      <c r="A2929" t="inlineStr">
        <is>
          <t>c020dd</t>
        </is>
      </c>
      <c r="B2929" t="inlineStr">
        <is>
          <t>Does a ruptured tumor GUARANTEE that the cancer cells will spread?</t>
        </is>
      </c>
      <c r="C2929" t="inlineStr">
        <is>
          <t>Hello, 
I apologize for the morbid question, but this is very personal and important. 
For example, if your cancerous tumor (let us say an ovarian cyst) ruptures and leaks into your body (abdomen, for example), does it always end up spreading due to that? I heard that is the main reason why a low grade tumor can get a higher grade: because it leaked. Is this true? 
No judgement, please. Thank you.</t>
        </is>
      </c>
      <c r="D2929" t="n">
        <v>1</v>
      </c>
      <c r="E2929" t="n">
        <v>1</v>
      </c>
      <c r="F2929">
        <f>HYPERLINK("https://www.reddit.com/r/cancer/comments/c020dd/does_a_ruptured_tumor_guarantee_that_the_cancer/")</f>
        <v/>
      </c>
      <c r="G2929" t="inlineStr">
        <is>
          <t>2019-06-12 22:49:05</t>
        </is>
      </c>
      <c r="H2929" t="inlineStr"/>
    </row>
    <row r="2930">
      <c r="A2930" t="inlineStr">
        <is>
          <t>c02w71</t>
        </is>
      </c>
      <c r="B2930" t="inlineStr">
        <is>
          <t>Half of my beard is white now</t>
        </is>
      </c>
      <c r="C2930" t="inlineStr">
        <is>
          <t>I finished my radiation treatments about 2 months ago. My beard is finally growing back. It is red on the left side and on the right side of my face is a lot thinner and white, almost like peach fuzz. Has anyone experienced this?</t>
        </is>
      </c>
      <c r="D2930" t="n">
        <v>6</v>
      </c>
      <c r="E2930" t="n">
        <v>4</v>
      </c>
      <c r="F2930">
        <f>HYPERLINK("https://www.reddit.com/r/cancer/comments/c02w71/half_of_my_beard_is_white_now/")</f>
        <v/>
      </c>
      <c r="G2930" t="inlineStr">
        <is>
          <t>2019-06-13 00:41:22</t>
        </is>
      </c>
      <c r="H2930" t="inlineStr"/>
    </row>
    <row r="2931">
      <c r="A2931" t="inlineStr">
        <is>
          <t>c04urr</t>
        </is>
      </c>
      <c r="B2931" t="inlineStr">
        <is>
          <t>How do I help my uncle who is living with us?</t>
        </is>
      </c>
      <c r="C2931" t="inlineStr">
        <is>
          <t>So I'm a 18 year old guy living at home. My stepmom's cousin and his wife were planning to move to Spain and my parents said they could live with us while their house there wasn't ready. I don't know them very well but I like them a lot whenever they come over so I didn't mind at all. A couple weeks before they were supposed to move in with us my uncle heard he had cancer and a couple days ago they heard the doctors are not going to be able to heal him. Right now all they can do is give him chemo and try to lengthen his life as long as possible. It was a shock for everyone in the family. They move in today and I would like to know if there are specific things I can do to help them apart from giving them a rest and picking up the daily tasks for them. Thanks a lot!</t>
        </is>
      </c>
      <c r="D2931" t="n">
        <v>8</v>
      </c>
      <c r="E2931" t="n">
        <v>3</v>
      </c>
      <c r="F2931">
        <f>HYPERLINK("https://www.reddit.com/r/cancer/comments/c04urr/how_do_i_help_my_uncle_who_is_living_with_us/")</f>
        <v/>
      </c>
      <c r="G2931" t="inlineStr">
        <is>
          <t>2019-06-13 04:52:02</t>
        </is>
      </c>
      <c r="H2931" t="inlineStr"/>
    </row>
    <row r="2932">
      <c r="A2932" t="inlineStr">
        <is>
          <t>c0545e</t>
        </is>
      </c>
      <c r="B2932" t="inlineStr">
        <is>
          <t>Multiple cancerous moles?</t>
        </is>
      </c>
      <c r="C2932" t="inlineStr">
        <is>
          <t>So recently my dad was diagnosed with an early stage basal cell carcinoma - biopsy was all that was needed, according to the doctor. However, today he found another potentially cancerous mole thats is due to be removed in 3 weeks time. Does anyone have a similar experience? Does that essentially mean that the cancer has spread (since the first mole was on the thight, and this one is on the elbow)? Or maybe it could be something completely different? Dad has had this mole on the elbow for years, if that's of any information</t>
        </is>
      </c>
      <c r="D2932" t="n">
        <v>8</v>
      </c>
      <c r="E2932" t="n">
        <v>5</v>
      </c>
      <c r="F2932">
        <f>HYPERLINK("https://www.reddit.com/r/cancer/comments/c0545e/multiple_cancerous_moles/")</f>
        <v/>
      </c>
      <c r="G2932" t="inlineStr">
        <is>
          <t>2019-06-13 05:19:04</t>
        </is>
      </c>
      <c r="H2932" t="inlineStr"/>
    </row>
    <row r="2933">
      <c r="A2933" t="inlineStr">
        <is>
          <t>c068m4</t>
        </is>
      </c>
      <c r="B2933" t="inlineStr">
        <is>
          <t>Can't think of any title</t>
        </is>
      </c>
      <c r="C2933" t="inlineStr">
        <is>
          <t>Mother has stage IV gall bladder cancer, she is reluctant to undergo chemo. Doctors also don't say for certain how much treatment is gonna benefit her... they say she has atmost 6 months to live with chemo and that too is a grey area.
She is in ICU for 5 days and desperately wants to go home.
I am in a jeopardy, being elder son what to do. How to provide her best care.
I can't think anything straight ...</t>
        </is>
      </c>
      <c r="D2933" t="n">
        <v>6</v>
      </c>
      <c r="E2933" t="n">
        <v>8</v>
      </c>
      <c r="F2933">
        <f>HYPERLINK("https://www.reddit.com/r/cancer/comments/c068m4/cant_think_of_any_title/")</f>
        <v/>
      </c>
      <c r="G2933" t="inlineStr">
        <is>
          <t>2019-06-13 07:06:04</t>
        </is>
      </c>
      <c r="H2933" t="inlineStr"/>
    </row>
    <row r="2934">
      <c r="A2934" t="inlineStr">
        <is>
          <t>c06bus</t>
        </is>
      </c>
      <c r="B2934" t="inlineStr">
        <is>
          <t>What are activities a bedridden man with minimal hearing and nausea can do?</t>
        </is>
      </c>
      <c r="C2934" t="inlineStr">
        <is>
          <t>My father in law is most likely in the last year of his life. He has cancer in his bones and in several organs. He's going insane just sitting all day. His hearing is shot and he reads all the time, but he's getting bored. Last week he decided he wanted to mow the lawn to be productive and he ended up running the tractor through the gate because the morphine he's on messes with his reaction time. Are there any hobbies or acttivites I could reccomend to him to keep him from justing being bored out of his mind? Are they things that he would feel like he was being helpful or "productive"? Although he would never say it, I think mentally his biggest challenge is feeling like a burden to everyone around him.</t>
        </is>
      </c>
      <c r="D2934" t="n">
        <v>5</v>
      </c>
      <c r="E2934" t="n">
        <v>13</v>
      </c>
      <c r="F2934">
        <f>HYPERLINK("https://www.reddit.com/r/cancer/comments/c06bus/what_are_activities_a_bedridden_man_with_minimal/")</f>
        <v/>
      </c>
      <c r="G2934" t="inlineStr">
        <is>
          <t>2019-06-13 07:13:50</t>
        </is>
      </c>
      <c r="H2934" t="inlineStr"/>
    </row>
    <row r="2935">
      <c r="A2935" t="inlineStr">
        <is>
          <t>c06k5p</t>
        </is>
      </c>
      <c r="B2935" t="inlineStr">
        <is>
          <t>What to expect with radiation therapy?</t>
        </is>
      </c>
      <c r="C2935" t="inlineStr">
        <is>
          <t>Hi all,
My cancer is spreading. My metastasis that is in my spine is impinging on a nerve causing some painful physical symptoms. They are planning on starting radiation therapy next week.
I meet with the doctor on Monday, but just thinking a lot and it would be helpful to know what to expect.
How long do sessions last?
Is everyone "radioactive" after treatment and shouldn't be around people? (I've only seen a few instances of this online, I'm thinking this is a different scenario than mine)
Do you need a driver after?
How do you feel immediately after? Hours after?
I've heard of skin changes at the site, any other localized symptoms?
I know I can look up much of this online, but this subreddit has given me strength and it helps to have the support of y'all. Thanks in advance.</t>
        </is>
      </c>
      <c r="D2935" t="n">
        <v>18</v>
      </c>
      <c r="E2935" t="n">
        <v>17</v>
      </c>
      <c r="F2935">
        <f>HYPERLINK("https://www.reddit.com/r/cancer/comments/c06k5p/what_to_expect_with_radiation_therapy/")</f>
        <v/>
      </c>
      <c r="G2935" t="inlineStr">
        <is>
          <t>2019-06-13 07:34:02</t>
        </is>
      </c>
      <c r="H2935" t="inlineStr"/>
    </row>
    <row r="2936">
      <c r="A2936" t="inlineStr">
        <is>
          <t>c07dus</t>
        </is>
      </c>
      <c r="B2936" t="inlineStr">
        <is>
          <t>No follow up</t>
        </is>
      </c>
      <c r="C2936" t="inlineStr">
        <is>
          <t>I was supposed to have a 1 year follow up appointment with my surgeon, and it’s been a week since then and no one from his office has called or said anything. I know that isn’t how the healthcare system works, and that you need to advocate for yourself, but it makes me sad. I’m 19 and my parents helped me through scheduling appointments and working out dates and everything, but then nobody kept helping me after my last scan. I think it is because I had thyroid cancer and not a very dangerous kind that all my doctors kind of said “you will be fine”. I loved my surgeon he was amazing always, and I was looking forward to seeing him. I was going to tell him some things like I can’t really swallow or lift my head past a certain point, and that I have nerve damage. Stupid little things that don’t matter but that maybe he could help me with, but now I don’t get that chance. 
Even with my endocrinologist, I feel like he doesn’t care anymore because 1) he has so many patients, and 2) My last scan was perfectly normal. I’m supposed to have blood tests done in July but I doubt they will be done.
They say that after the cancer is gone that there will be close monitoring, but that isn’t the case with me, I feel forgotten. I just needed to let this out somewhere because no one in my real life will really listen when I try to talk about it. 
I know I’m not the most important case that needs to be dealt with, but I hate feeling like I’m being put to the side now after all of this. 
TLDR: I had no one year follow up appointment with surgeon after total thyroidectomy. Very sad. Feel forgotten or neglected. I know my case isn’t that important. No one really listens to me. Blah blah blah I need to vent</t>
        </is>
      </c>
      <c r="D2936" t="n">
        <v>0</v>
      </c>
      <c r="E2936" t="n">
        <v>4</v>
      </c>
      <c r="F2936">
        <f>HYPERLINK("https://www.reddit.com/r/cancer/comments/c07dus/no_follow_up/")</f>
        <v/>
      </c>
      <c r="G2936" t="inlineStr">
        <is>
          <t>2019-06-13 08:42:43</t>
        </is>
      </c>
      <c r="H2936" t="inlineStr"/>
    </row>
    <row r="2937">
      <c r="A2937" t="inlineStr">
        <is>
          <t>c09531</t>
        </is>
      </c>
      <c r="B2937" t="inlineStr">
        <is>
          <t>I had my last round of chemo today. And I have no idea what to do now or how to feel.....</t>
        </is>
      </c>
      <c r="C2937" t="inlineStr">
        <is>
          <t>I’m 14. I had my (hopefully) last ever round of chemo. I don’t know what to do. 
This has been my life for the last 2 1/2 years. I know a lot of you have it worse. And I wanna a lot worse, so, I just want you to know, I dont want to complain or seem like I am boasting. 
I had my last vincristine today, and I just have tablets until 3rd July. I officially go into remission 4th July.
I don’t know how to feel. On one hand, it’s a relief. I have finally stopped and I can go back to normal. But on the other hand, I’m scared. I’m scared that my leukaemia will relapse. I’m scared to have my bone marrow test and portacath removal surgery. 
I’m scared that my friends I have made since I was diagnosed will leave me. I feel like they were only friends out of sympathy. They tell me that’s stupid, but I really think that. 
I’m nervous to go back to  school full time, after 2 1/2 years out of school.
I’m frustrated that it has robbed my life.
I’m guilty for surviving this, when my friend didn’t survive (he was 13. Rest his soul).
I’m annoyed that I’m covered in scars.
I’m upset that I have gained 20lbs since starting treatment. I look fat now.
I’m annoyed at how the medications made me ugly (chubby face, gained weight, chemo spots, rashes,etc) 
I’m annoyed at how it’s changed me.
I’m annoyed that it has stolen my teenage years, and will rob the rest of them as I have been forced to grow up. 
As well as this, I don’t know what to do with my life. I mean, I get to start going to my drama group soon, swimming club, school. But I don’t know what to do in between now and when I’m back in those groups. Like, what do i do?
Im sorry if this is seen as boasty/gloating for the fact I have beat cancer. I’m just really unsure in what do do now that this chapter of my life is over. :/</t>
        </is>
      </c>
      <c r="D2937" t="n">
        <v>82</v>
      </c>
      <c r="E2937" t="n">
        <v>23</v>
      </c>
      <c r="F2937">
        <f>HYPERLINK("https://www.reddit.com/r/cancer/comments/c09531/i_had_my_last_round_of_chemo_today_and_i_have_no/")</f>
        <v/>
      </c>
      <c r="G2937" t="inlineStr">
        <is>
          <t>2019-06-13 11:02:26</t>
        </is>
      </c>
      <c r="H2937" t="inlineStr"/>
    </row>
    <row r="2938">
      <c r="A2938" t="inlineStr">
        <is>
          <t>c09pg3</t>
        </is>
      </c>
      <c r="B2938" t="inlineStr">
        <is>
          <t>Shaved biopsy on mole. I’m just feeling a lot of emotions</t>
        </is>
      </c>
      <c r="C2938" t="inlineStr">
        <is>
          <t>First let me start by saying hello 👋🏼 my names Ashley I’m 27f in NY (so hey any fellow New Yorkers!) i have NOT been diagnosed with cancer but came to this forum in order to prepare myself and honestly I’m just very anxious and needed to talk. 
I went a few days ago to a dermatologist to get some moles checked out because 20 years ago my grandma passed from melanoma. The PA-C at the dermatologist office looked me over with her little microscope and told me what moles looked friendly and checked my legs where she stumbled upon one that she didn’t like on my shin....the dreaded ugly duckling. I tried to be calm but she asked if she could biopsy it because she said it looked suspicious and that it would take two seconds. She had mentioned we could wait and watch it for a year for changes but i couldnt bring myself to say yes to that because i said to myself she obviously is concerned so you need to let her do it, so I said of course. She did a shave biopsy I’m pretty sure using the little razor. The mole/freckle? Was roughly 1-2mm big it wasn’t raised but it was dark. So she does the biopsy and said to me when she was done that it looked superficial, did not ulcerate or bleed when she took it (i don’t know what that means in regard to skin cancer) i tried to ask her if she thought it was cancer and she said very sternly but nice “i can’t tell you because i don’t know that’s why I’m sending it to pathology. It just looks suspicious to me” She put a little band aid on it and that was that.
Looking at it now I’m worried she didn’t get it all there’s like a tiny little point at the bottom and I’m worrying that it’s very deep or that she should have done a punch biopsy or an incisional. Or that I should have asked for one. I know i have to trust my doctors but i try to advocate for myself when possible - it’s only been two days and she said it will take two weeks for pathology. Just looking for some insight i guess on your stories or what the process was like, any info. I know everyone’s case is different but I’m trying to mentally prepare. 
Thanks to anyone who took time to read.
This is a picture of my biopsy. 
https://ibb.co/t805cRL
https://ibb.co/2WRGL7q</t>
        </is>
      </c>
      <c r="D2938" t="n">
        <v>0</v>
      </c>
      <c r="E2938" t="n">
        <v>0</v>
      </c>
      <c r="F2938">
        <f>HYPERLINK("https://www.reddit.com/r/cancer/comments/c09pg3/shaved_biopsy_on_mole_im_just_feeling_a_lot_of/")</f>
        <v/>
      </c>
      <c r="G2938" t="inlineStr">
        <is>
          <t>2019-06-13 11:47:08</t>
        </is>
      </c>
      <c r="H2938" t="inlineStr"/>
    </row>
    <row r="2939">
      <c r="A2939" t="inlineStr">
        <is>
          <t>c0a2c8</t>
        </is>
      </c>
      <c r="B2939" t="inlineStr">
        <is>
          <t>Job search after cancer?</t>
        </is>
      </c>
      <c r="C2939" t="inlineStr">
        <is>
          <t>Anyone have any tips or advice about navigating a job search after cancer? I've been cleared of cancer and out of treatment for over a year now, and back at my current job for about 10 months. Unfortunately, I'm having trouble keeping up with the pace of my current job and have been looking for something new that might be a better fit.
Is it always off-limits to mention a (past, not ongoing) cancer experience? My perspective is that cancer made me a stronger person, and it is by far the hardest thing that I have ever dealt with in my life, and here I am on the other side, stronger and better for it. I don't anticipate leading with this or anything, I'm just wondering if it comes up in conversation, is it always taboo to talk about it?</t>
        </is>
      </c>
      <c r="D2939" t="n">
        <v>4</v>
      </c>
      <c r="E2939" t="n">
        <v>5</v>
      </c>
      <c r="F2939">
        <f>HYPERLINK("https://www.reddit.com/r/cancer/comments/c0a2c8/job_search_after_cancer/")</f>
        <v/>
      </c>
      <c r="G2939" t="inlineStr">
        <is>
          <t>2019-06-13 12:16:16</t>
        </is>
      </c>
      <c r="H2939" t="inlineStr"/>
    </row>
    <row r="2940">
      <c r="A2940" t="inlineStr">
        <is>
          <t>c0abpr</t>
        </is>
      </c>
      <c r="B2940" t="inlineStr">
        <is>
          <t>Side effects with chemo pill - stivarga</t>
        </is>
      </c>
      <c r="C2940" t="inlineStr">
        <is>
          <t>Does anyone have any tips for sores on feet from chemo? The Dr advised us to  apply aquaphor as often as possible. I am just wondering if anyone has found any other remedies. Thank you so much.</t>
        </is>
      </c>
      <c r="D2940" t="n">
        <v>3</v>
      </c>
      <c r="E2940" t="n">
        <v>4</v>
      </c>
      <c r="F2940">
        <f>HYPERLINK("https://www.reddit.com/r/cancer/comments/c0abpr/side_effects_with_chemo_pill_stivarga/")</f>
        <v/>
      </c>
      <c r="G2940" t="inlineStr">
        <is>
          <t>2019-06-13 12:37:29</t>
        </is>
      </c>
      <c r="H2940" t="inlineStr"/>
    </row>
    <row r="2941">
      <c r="A2941" t="inlineStr">
        <is>
          <t>c0at8y</t>
        </is>
      </c>
      <c r="B2941" t="inlineStr">
        <is>
          <t>I feel bad for not spending enough time with my dad who has leukemia</t>
        </is>
      </c>
      <c r="C2941" t="inlineStr">
        <is>
          <t>I’m 20 y/o, and my father was diagnosed with leukemia a couple months ago. He’s been in and out of the hospital a lot which is an hour away from where I live and between working and the long drive I haven’t been able to see him much. When I went to go visit him, we would visit for at least 3-4 hours and we talked about a lot of things (pretty much everything) and I just don’t know what to talk to him about anymore. He recently got out of the hospital and came back home for a couple weeks and I haven’t been really visiting with him. He only really watches movies all day, even before he had cancer, and it just gets really boring sitting in silence after we talked about pretty much everything and just sitting there in silence. When I’m not working, I just sit in my room and play video games or go out and do stuff and leave my dad at home and never really spend time with him anymore. I feel bad because if something happens to him I feel I’ll regret it but I just can’t take the silence and watching movies I don’t like. I go back to college and the fall and I’m worried it’s going to be too late if something happens and wish I did more. Thanks for listening to my rant.</t>
        </is>
      </c>
      <c r="D2941" t="n">
        <v>5</v>
      </c>
      <c r="E2941" t="n">
        <v>7</v>
      </c>
      <c r="F2941">
        <f>HYPERLINK("https://www.reddit.com/r/cancer/comments/c0at8y/i_feel_bad_for_not_spending_enough_time_with_my/")</f>
        <v/>
      </c>
      <c r="G2941" t="inlineStr">
        <is>
          <t>2019-06-13 13:16:57</t>
        </is>
      </c>
      <c r="H2941" t="inlineStr"/>
    </row>
    <row r="2942">
      <c r="A2942" t="inlineStr">
        <is>
          <t>c0bi0p</t>
        </is>
      </c>
      <c r="B2942" t="inlineStr">
        <is>
          <t>2 years of chemo, surgeries, and memories</t>
        </is>
      </c>
      <c r="C2942" t="inlineStr">
        <is>
          <t>Today I got to take another "last day of school" picture. I saw my youngest stand proudly with her awards (3rd overall in her grade for math and 3rd overall in math gains). I got to see my middle "graduate" from intermediate school to junior high. I got to hug my oldest and congratulate her on finishing her (very rough) first year of jr high.  
I wasn't expected to make it this long. They gave me 4-6 months. I crossed my 2 year mark last month and I'm still going. Treatment can be hell, but it is so worth doing. Today was a big day and I got to share it with my kids:) 
Tomorrow I go in for my 35th chemo...
Strength to you all, against all odds.</t>
        </is>
      </c>
      <c r="D2942" t="n">
        <v>103</v>
      </c>
      <c r="E2942" t="n">
        <v>38</v>
      </c>
      <c r="F2942">
        <f>HYPERLINK("https://www.reddit.com/r/cancer/comments/c0bi0p/2_years_of_chemo_surgeries_and_memories/")</f>
        <v/>
      </c>
      <c r="G2942" t="inlineStr">
        <is>
          <t>2019-06-13 14:14:47</t>
        </is>
      </c>
      <c r="H2942" t="inlineStr"/>
    </row>
    <row r="2943">
      <c r="A2943" t="inlineStr">
        <is>
          <t>c0caue</t>
        </is>
      </c>
      <c r="B2943" t="inlineStr">
        <is>
          <t>Nodular Malignant Carcinoma with Ulceration; my father was diagnosed, need advice. What should we know and what should we ask?</t>
        </is>
      </c>
      <c r="C2943" t="inlineStr">
        <is>
          <t>Hey everyone. Thank you in advance for reading this and for any advice/suggestions you may have to share. 
I found out today my dad was diagnosed with Nodular Malignant Carcinoma that's ulcerative. My mom had noticed it on his back 6 months ago and finally got him to go to the doctor about it. 
They removed it 5 days after his diagnosis (late May). The doctors wanted to remove a larger section, but my dad, being the stubborn man that he is, only allowed them to remove the cancer specifically. No surrounding tissue. From what I've read, that was a terrible decision because of the likelihood of reoccurrence with this particular kind of cancer is quite high. 
The information I've gathered so far is that it was 4mm in depth and a level 4. They still haven't found out what stage it is yet. 
He got a PET scan and will be getting those results tomorrow. What kind of results can they get through a PET scan? 
They already scheduled him for a brain scan on the 27th. Could that be related to what they saw in the PET scan or just an abundance of caution? 
I'm working with a lack of information because my dad doesn't want to talk about it and my mom, bless her heart, isn't very adept at understanding a lot of this. They live a few hours away and I'm doing the best to get as much info from her to look at his prognosis and options.
What questions should I be asking? What should I know about this type of cancer? Are there any specific things I should be familiarizing myself with?
I will update this with anything else I find out. Any and all insight offered would be grateful appreciated. Don't sugar coat anything you may have to say.</t>
        </is>
      </c>
      <c r="D2943" t="n">
        <v>2</v>
      </c>
      <c r="E2943" t="n">
        <v>4</v>
      </c>
      <c r="F2943">
        <f>HYPERLINK("https://www.reddit.com/r/cancer/comments/c0caue/nodular_malignant_carcinoma_with_ulceration_my/")</f>
        <v/>
      </c>
      <c r="G2943" t="inlineStr">
        <is>
          <t>2019-06-13 15:22:34</t>
        </is>
      </c>
      <c r="H2943" t="inlineStr"/>
    </row>
    <row r="2944">
      <c r="A2944" t="inlineStr">
        <is>
          <t>c0g3ib</t>
        </is>
      </c>
      <c r="B2944" t="inlineStr">
        <is>
          <t>Clinical Study: This Indian village has atleast one cancer patient in every home!</t>
        </is>
      </c>
      <c r="C2944" t="inlineStr">
        <is>
          <t>Hello!
India got its independence in 1947! From 1950 to 1970, Indian villages (mainly from the Punjab region) saw a green revolution in the form of surplus grain production. This was due to the massive use of pesticides in some of the regions of Punjab.
After 25 years of this Green Revolution, there have been reported cases of [almost every kind of Cancer](http://www.basicthinking.in/what-is-cancer/) in some parts of the Punjab province. Bhatinda, a city in Punjab, India has reported a huge outburst of the Cancer cases in the last 15 years. PGI, Chandigarh conducted some studies and found that mishandling and overuse of pesticides have been the major issue in this influx.
[Villagers in India getting on 'The Cancer Train'](https://i.redd.it/qhv7j0xg79431.jpg)
There is a train which moves from Bhatinda to Bikaner (Cancer Hospital hub in North-West India) that carries over 80% cancer patients each day, thus [calling it unofficially as 'The Cancer Train of India.'](http://www.basicthinking.in/cancer-train-in-india/)</t>
        </is>
      </c>
      <c r="D2944" t="n">
        <v>7</v>
      </c>
      <c r="E2944" t="n">
        <v>0</v>
      </c>
      <c r="F2944">
        <f>HYPERLINK("https://www.reddit.com/r/cancer/comments/c0g3ib/clinical_study_this_indian_village_has_atleast/")</f>
        <v/>
      </c>
      <c r="G2944" t="inlineStr">
        <is>
          <t>2019-06-13 21:59:27</t>
        </is>
      </c>
      <c r="H2944" t="inlineStr"/>
    </row>
    <row r="2945">
      <c r="A2945" t="inlineStr">
        <is>
          <t>c0gtps</t>
        </is>
      </c>
      <c r="B2945" t="inlineStr">
        <is>
          <t>Already had an MRI(?), but blood in stool after?</t>
        </is>
      </c>
      <c r="C2945" t="inlineStr">
        <is>
          <t>Hi all,
I’m a 21 year old male and around a year ago due to stomach problems had gone in to get an MRI (I believe? I had iodine injected and had to drink a lot of chalky fluid the night before) I hated it, the chalky fluid was terrible and I had no idea I had claustrophobia until I went in that machine. 
A year later or so now, and I’ve had some symptoms I’ve probably ignorantly put off. My bowel movements are anything but regular (to be fair, they never have been). I had some times where my stool was almost black, which I’ve read can be caused by things aside from blood, but had blood upon clean up on toilet paper (which I’ve also read could be hemorrhoids).  I now am fearful that I got the MRI scan early and am now experiencing the worse symptoms. After a lot of meals my stool can be extremely runny/lacking consistency, and I’ve had abdominal pains lately that I really can’t tell is cancer or not.
I guess I’m paranoid. Is it likely that they missed something/something could develop in that time? Should I call about a colonoscopy? I’m not covered by my schools insurance now would it be a fatal mistake to wait until August to proceed with it if I’ve already put it quite a few months out of fear/anxiety?</t>
        </is>
      </c>
      <c r="D2945" t="n">
        <v>1</v>
      </c>
      <c r="E2945" t="n">
        <v>7</v>
      </c>
      <c r="F2945">
        <f>HYPERLINK("https://www.reddit.com/r/cancer/comments/c0gtps/already_had_an_mri_but_blood_in_stool_after/")</f>
        <v/>
      </c>
      <c r="G2945" t="inlineStr">
        <is>
          <t>2019-06-13 23:29:04</t>
        </is>
      </c>
      <c r="H2945" t="inlineStr"/>
    </row>
    <row r="2946">
      <c r="A2946" t="inlineStr">
        <is>
          <t>c0lm8v</t>
        </is>
      </c>
      <c r="B2946" t="inlineStr">
        <is>
          <t>Hands have a tremble to them after chemotherapy. How long did it take you before this started getting better?</t>
        </is>
      </c>
      <c r="C2946" t="inlineStr">
        <is>
          <t>I'm having trouble writing legibly right now, and since I'm a student at the moment, I'd really prefer if my professor could read my writing.</t>
        </is>
      </c>
      <c r="D2946" t="n">
        <v>10</v>
      </c>
      <c r="E2946" t="n">
        <v>21</v>
      </c>
      <c r="F2946">
        <f>HYPERLINK("https://www.reddit.com/r/cancer/comments/c0lm8v/hands_have_a_tremble_to_them_after_chemotherapy/")</f>
        <v/>
      </c>
      <c r="G2946" t="inlineStr">
        <is>
          <t>2019-06-14 08:45:47</t>
        </is>
      </c>
      <c r="H2946" t="inlineStr"/>
    </row>
    <row r="2947">
      <c r="A2947" t="inlineStr">
        <is>
          <t>c0murr</t>
        </is>
      </c>
      <c r="B2947" t="inlineStr">
        <is>
          <t>My little sister [19F] has Hodgkin Lymphoma. Can you share your experience with me? Can it really be cured?</t>
        </is>
      </c>
      <c r="C2947" t="inlineStr">
        <is>
          <t>So today we just learned that my little sister has Hodgkin Lymphoma, a type of lymphatic system cancer. She’s the youngest in my family so it was a huge shock to us. Cancer isn’t common in our family so this is a new experience for us. 
I want to support her but i don’t know what to say or do. She got mad at me when i tried to reassure her so i just stopped talking :((
I don’t want to hurt her feelings but i need to be there for her. I want to make her feel better.
She’s worried about the side effects of chemo like losing hair which she loves a lot, and the pain. She just started college this year too so I’m worried about how her classmates will look at her. 
If you could share your experience with me, and if you have some tips or advice, I’d really appreciate it. 
Thank you :)</t>
        </is>
      </c>
      <c r="D2947" t="n">
        <v>2</v>
      </c>
      <c r="E2947" t="n">
        <v>25</v>
      </c>
      <c r="F2947">
        <f>HYPERLINK("https://www.reddit.com/r/cancer/comments/c0murr/my_little_sister_19f_has_hodgkin_lymphoma_can_you/")</f>
        <v/>
      </c>
      <c r="G2947" t="inlineStr">
        <is>
          <t>2019-06-14 10:31:08</t>
        </is>
      </c>
      <c r="H2947" t="inlineStr"/>
    </row>
    <row r="2948">
      <c r="A2948" t="inlineStr">
        <is>
          <t>c0n6sx</t>
        </is>
      </c>
      <c r="B2948" t="inlineStr">
        <is>
          <t>Diagnosed today.</t>
        </is>
      </c>
      <c r="C2948" t="inlineStr">
        <is>
          <t>I am 21 years old, male, and recently went through a lymphadectomy to remove a suspicious inguinal lymph node. Today I received a call that I have diffuse large B cell lymphoma. I was told to come to the hospital and that my treatment will start right away. Prayers and advice would be appreciated right now. Thank you.</t>
        </is>
      </c>
      <c r="D2948" t="n">
        <v>94</v>
      </c>
      <c r="E2948" t="n">
        <v>36</v>
      </c>
      <c r="F2948">
        <f>HYPERLINK("https://www.reddit.com/r/cancer/comments/c0n6sx/diagnosed_today/")</f>
        <v/>
      </c>
      <c r="G2948" t="inlineStr">
        <is>
          <t>2019-06-14 11:00:02</t>
        </is>
      </c>
      <c r="H2948" t="inlineStr"/>
    </row>
    <row r="2949">
      <c r="A2949" t="inlineStr">
        <is>
          <t>c0oiau</t>
        </is>
      </c>
      <c r="B2949" t="inlineStr">
        <is>
          <t>U can win.</t>
        </is>
      </c>
      <c r="C2949" t="inlineStr">
        <is>
          <t>I was diagnosed with stage 3 colon cancer. Went through radiation &amp;amp; oral chemo, surgery and finally full infusion Chemotherapy - Or as I call it taking poison that might get u worse than the cancer. I ended up a colostomy for life. But I'm now 5+ yrs cancer free. I really feel it's based on how sick u are when they start chemo. That oxyoplatin killed my feeling in my legs. But I'm here with my family. 
My advise question ur Doctors. Make sure they tell u everything. Then fuck cancer. And insurance companies. There in it for money not cures.  It doesn't get us all.</t>
        </is>
      </c>
      <c r="D2949" t="n">
        <v>17</v>
      </c>
      <c r="E2949" t="n">
        <v>6</v>
      </c>
      <c r="F2949">
        <f>HYPERLINK("https://www.reddit.com/r/cancer/comments/c0oiau/u_can_win/")</f>
        <v/>
      </c>
      <c r="G2949" t="inlineStr">
        <is>
          <t>2019-06-14 12:54:37</t>
        </is>
      </c>
      <c r="H2949" t="inlineStr"/>
    </row>
    <row r="2950">
      <c r="A2950" t="inlineStr">
        <is>
          <t>c0ouc9</t>
        </is>
      </c>
      <c r="B2950" t="inlineStr">
        <is>
          <t>Squamous cell carcinoma of the anus</t>
        </is>
      </c>
      <c r="C2950" t="inlineStr">
        <is>
          <t>Hi everyone,
I am in a daze right now. My 65 year old mother was just diagnosed with squamous cell carcinoma of the anus.  The GP wasnt able to tell her anymore. She has a specialist appt on Tuesday. 
Does anyone have any experience with type of cancer, especially in this area? We have no idea and we are all a total mess. I have no words. 
Thank you in advance.</t>
        </is>
      </c>
      <c r="D2950" t="n">
        <v>6</v>
      </c>
      <c r="E2950" t="n">
        <v>7</v>
      </c>
      <c r="F2950">
        <f>HYPERLINK("https://www.reddit.com/r/cancer/comments/c0ouc9/squamous_cell_carcinoma_of_the_anus/")</f>
        <v/>
      </c>
      <c r="G2950" t="inlineStr">
        <is>
          <t>2019-06-14 13:24:47</t>
        </is>
      </c>
      <c r="H2950" t="inlineStr"/>
    </row>
    <row r="2951">
      <c r="A2951" t="inlineStr">
        <is>
          <t>c0p7mz</t>
        </is>
      </c>
      <c r="B2951" t="inlineStr">
        <is>
          <t>Terminal Sarcoma patients last WSOP wish</t>
        </is>
      </c>
      <c r="C2951" t="inlineStr">
        <is>
          <t>https://youtu.be/2Ctul34Hv4U</t>
        </is>
      </c>
      <c r="D2951" t="n">
        <v>9</v>
      </c>
      <c r="E2951" t="n">
        <v>0</v>
      </c>
      <c r="F2951">
        <f>HYPERLINK("https://www.reddit.com/r/cancer/comments/c0p7mz/terminal_sarcoma_patients_last_wsop_wish/")</f>
        <v/>
      </c>
      <c r="G2951" t="inlineStr">
        <is>
          <t>2019-06-14 13:58:36</t>
        </is>
      </c>
      <c r="H2951" t="inlineStr"/>
    </row>
    <row r="2952">
      <c r="A2952" t="inlineStr">
        <is>
          <t>c0qm0u</t>
        </is>
      </c>
      <c r="B2952" t="inlineStr">
        <is>
          <t>My mom got the first surgery to her Double Mastectomy and Reconstruction today</t>
        </is>
      </c>
      <c r="C2952" t="inlineStr">
        <is>
          <t>All I have to say is Fuck Cancer</t>
        </is>
      </c>
      <c r="D2952" t="n">
        <v>7</v>
      </c>
      <c r="E2952" t="n">
        <v>5</v>
      </c>
      <c r="F2952">
        <f>HYPERLINK("https://www.reddit.com/r/cancer/comments/c0qm0u/my_mom_got_the_first_surgery_to_her_double/")</f>
        <v/>
      </c>
      <c r="G2952" t="inlineStr">
        <is>
          <t>2019-06-14 16:12:50</t>
        </is>
      </c>
      <c r="H2952" t="inlineStr"/>
    </row>
    <row r="2953">
      <c r="A2953" t="inlineStr">
        <is>
          <t>c0rcb9</t>
        </is>
      </c>
      <c r="B2953" t="inlineStr">
        <is>
          <t>My grandpa has cancer</t>
        </is>
      </c>
      <c r="C2953" t="inlineStr">
        <is>
          <t>His stomach was hurting for months but he never told anyone. He was more tired than usual but we thought it was nothing. He lost his appetite most of time. Only last week he decided to go to the doctor. He's only 73 and my grandpa has been diagnosed with stomach cancer. He's done nothing wrong in his life, he was always a good man and provided to our family. My family has told me that the cancer hasn't spread to other parts, so it should fine, right? I don't know if they're lying to me because I'm young. No one's scared yet I'm the only one scared even when the cancer hasn't spread. I love my grandpa. He's done nothing wrong so why did life decide to screw him over? I just want him to live until he's at least a 100 years old. Our family's generally healthy, so we never had any cases of cancer. If God is truly real, I wonder why he gave my grandpa cancer. But I have hope he'll live. It hasn't spread so he'll live.</t>
        </is>
      </c>
      <c r="D2953" t="n">
        <v>9</v>
      </c>
      <c r="E2953" t="n">
        <v>3</v>
      </c>
      <c r="F2953">
        <f>HYPERLINK("https://www.reddit.com/r/cancer/comments/c0rcb9/my_grandpa_has_cancer/")</f>
        <v/>
      </c>
      <c r="G2953" t="inlineStr">
        <is>
          <t>2019-06-14 17:28:50</t>
        </is>
      </c>
      <c r="H2953" t="inlineStr"/>
    </row>
    <row r="2954">
      <c r="A2954" t="inlineStr">
        <is>
          <t>c0rir9</t>
        </is>
      </c>
      <c r="B2954" t="inlineStr">
        <is>
          <t>Rituxan</t>
        </is>
      </c>
      <c r="C2954" t="inlineStr">
        <is>
          <t>I finished up a six month course of Rituxan and bendamustine for follicular cell NHL in April and my oncologist offered me a maintenance course of just Rituxan every two months for two years. He said it might stave off a relapse but probably wouldn't affect my long term survival.  I was very fortunate in that the only real adverse side affects I felt were real crushing fatigue for a couple of days after my infusion and then a couple more about a week later as my counts fell.  I thought that was mostly due to the bendamustine which is the nastier agent of the two but I find I'm going through the same thing after just the Rituxan.  Has anyone else experienced this on Rituxan alone?  Just curious.  I'm hoping my body adjusts and as I said I've been pretty lucky so far and my last CT showed the masses had shrunk considerably.  The fatigue, though, makes it pretty difficult to get through the day.</t>
        </is>
      </c>
      <c r="D2954" t="n">
        <v>6</v>
      </c>
      <c r="E2954" t="n">
        <v>0</v>
      </c>
      <c r="F2954">
        <f>HYPERLINK("https://www.reddit.com/r/cancer/comments/c0rir9/rituxan/")</f>
        <v/>
      </c>
      <c r="G2954" t="inlineStr">
        <is>
          <t>2019-06-14 17:48:21</t>
        </is>
      </c>
      <c r="H2954" t="inlineStr"/>
    </row>
    <row r="2955">
      <c r="A2955" t="inlineStr">
        <is>
          <t>c0sik9</t>
        </is>
      </c>
      <c r="B2955" t="inlineStr">
        <is>
          <t>Just another girl losing her hair</t>
        </is>
      </c>
      <c r="C2955" t="inlineStr">
        <is>
          <t>Kind of just screaming into the void here but I’m a 25 year old woman and I’ve never had short hair. Everybody’s first compliment to me has always been centred around my hair. Tomorrow I shave it all off. I’m in treatment until November... I’m afraid my boyfriend won’t be attracted to me anymore. Its vain but I’m afraid of being unattractive. I don’t know what to do. I’m so scared...</t>
        </is>
      </c>
      <c r="D2955" t="n">
        <v>29</v>
      </c>
      <c r="E2955" t="n">
        <v>20</v>
      </c>
      <c r="F2955">
        <f>HYPERLINK("https://www.reddit.com/r/cancer/comments/c0sik9/just_another_girl_losing_her_hair/")</f>
        <v/>
      </c>
      <c r="G2955" t="inlineStr">
        <is>
          <t>2019-06-14 19:41:38</t>
        </is>
      </c>
      <c r="H2955" t="inlineStr"/>
    </row>
    <row r="2956">
      <c r="A2956" t="inlineStr">
        <is>
          <t>c0sl0l</t>
        </is>
      </c>
      <c r="B2956" t="inlineStr">
        <is>
          <t>Fuck Cancer</t>
        </is>
      </c>
      <c r="C2956" t="inlineStr">
        <is>
          <t>Just learned that a family member, whose probably one of the nicest people on the planet has stage 4 cancer. His last wife died from cancer years ago and he recently got remarried to a person who also lost their fiancé to cancer. And he has a daughter whose not even 1 years old yet.
He's still in his early thirties.
It's so fucked, I was literally mentioning a story about him earlier today to a friend and then this happens. Its just awful.
Best of luck to everyone going through these kinds of situations.</t>
        </is>
      </c>
      <c r="D2956" t="n">
        <v>8</v>
      </c>
      <c r="E2956" t="n">
        <v>1</v>
      </c>
      <c r="F2956">
        <f>HYPERLINK("https://www.reddit.com/r/cancer/comments/c0sl0l/fuck_cancer/")</f>
        <v/>
      </c>
      <c r="G2956" t="inlineStr">
        <is>
          <t>2019-06-14 19:49:33</t>
        </is>
      </c>
      <c r="H2956" t="inlineStr"/>
    </row>
    <row r="2957">
      <c r="A2957" t="inlineStr">
        <is>
          <t>c0tedy</t>
        </is>
      </c>
      <c r="B2957" t="inlineStr">
        <is>
          <t>Pomacel 2mg capsule - Pomalidomide</t>
        </is>
      </c>
      <c r="C2957" t="inlineStr">
        <is>
          <t>[**Pomacel 2mg**](http://anti-cancer-drugs.com/pomacel-2mg.php) is therapeutically categorized as an anti-neoplastic agent, which is active in multiple myeloma condition, Capsules are used by the patients who are having a prescription specify by a practiced medical oncologist. Capsules are indicated in the patients who are already receiving Lenalidomide &amp;amp; proteasome inhibitors.</t>
        </is>
      </c>
      <c r="D2957" t="n">
        <v>0</v>
      </c>
      <c r="E2957" t="n">
        <v>0</v>
      </c>
      <c r="F2957">
        <f>HYPERLINK("https://www.reddit.com/r/cancer/comments/c0tedy/pomacel_2mg_capsule_pomalidomide/")</f>
        <v/>
      </c>
      <c r="G2957" t="inlineStr">
        <is>
          <t>2019-06-14 21:25:40</t>
        </is>
      </c>
      <c r="H2957" t="inlineStr"/>
    </row>
    <row r="2958">
      <c r="A2958" t="inlineStr">
        <is>
          <t>c0tkkx</t>
        </is>
      </c>
      <c r="B2958" t="inlineStr">
        <is>
          <t>Pomacel 4mg capsule - Pomalidomide</t>
        </is>
      </c>
      <c r="C2958" t="inlineStr">
        <is>
          <t>[**Pomacel 4mg**](http://anti-cancer-drugs.com/pomacel-4mg.php) is therapeutically categorized as an anti-neoplastic agent, which is active in multiple myeloma condition, Capsules are used by the patients who are having a prescription specify by a practiced medical oncologist. Capsules are indicated in the patients who are already receiving Lenalidomide &amp;amp; proteasome inhibitors.</t>
        </is>
      </c>
      <c r="D2958" t="n">
        <v>0</v>
      </c>
      <c r="E2958" t="n">
        <v>0</v>
      </c>
      <c r="F2958">
        <f>HYPERLINK("https://www.reddit.com/r/cancer/comments/c0tkkx/pomacel_4mg_capsule_pomalidomide/")</f>
        <v/>
      </c>
      <c r="G2958" t="inlineStr">
        <is>
          <t>2019-06-14 21:47:09</t>
        </is>
      </c>
      <c r="H2958" t="inlineStr"/>
    </row>
    <row r="2959">
      <c r="A2959" t="inlineStr">
        <is>
          <t>c0tog3</t>
        </is>
      </c>
      <c r="B2959" t="inlineStr">
        <is>
          <t>Pomalex 1mg Capsule:Pomalidomide Price, Uses &amp;amp; Side effects|Apple pharmaceuticals</t>
        </is>
      </c>
      <c r="C2959" t="inlineStr">
        <is>
          <t>[**Pomalex 1mg**](http://anti-cancer-drugs.com/pomalex-1mg.php) capsule (Pomalidomide) is therapeutically categorized as an anti-neoplastic agent, which is active in multiple myeloma condition, these capsules are used by the patients who are having a prescription specify by a practiced medical oncologist.</t>
        </is>
      </c>
      <c r="D2959" t="n">
        <v>0</v>
      </c>
      <c r="E2959" t="n">
        <v>0</v>
      </c>
      <c r="F2959">
        <f>HYPERLINK("https://www.reddit.com/r/cancer/comments/c0tog3/pomalex_1mg_capsulepomalidomide_price_uses_side/")</f>
        <v/>
      </c>
      <c r="G2959" t="inlineStr">
        <is>
          <t>2019-06-14 22:00:50</t>
        </is>
      </c>
      <c r="H2959" t="inlineStr"/>
    </row>
    <row r="2960">
      <c r="A2960" t="inlineStr">
        <is>
          <t>c0tow1</t>
        </is>
      </c>
      <c r="B2960" t="inlineStr">
        <is>
          <t>How do I know for sure if I have testicular cancer?</t>
        </is>
      </c>
      <c r="C2960" t="inlineStr">
        <is>
          <t>I can feel a lump on my left testicle and its squishy and when I press it it doesnt hurt. The only simpoms I have is a violent cough. I dont experience any pain or anything else.</t>
        </is>
      </c>
      <c r="D2960" t="n">
        <v>0</v>
      </c>
      <c r="E2960" t="n">
        <v>4</v>
      </c>
      <c r="F2960">
        <f>HYPERLINK("https://www.reddit.com/r/cancer/comments/c0tow1/how_do_i_know_for_sure_if_i_have_testicular_cancer/")</f>
        <v/>
      </c>
      <c r="G2960" t="inlineStr">
        <is>
          <t>2019-06-14 22:02:23</t>
        </is>
      </c>
      <c r="H2960" t="inlineStr"/>
    </row>
    <row r="2961">
      <c r="A2961" t="inlineStr">
        <is>
          <t>c0tsyd</t>
        </is>
      </c>
      <c r="B2961" t="inlineStr">
        <is>
          <t>The taste of water.</t>
        </is>
      </c>
      <c r="C2961" t="inlineStr">
        <is>
          <t>During chemotherapy I could not stand the taste of water. It tasted like muddy dish water. It actually took a number of weeks after my final infusion before I could drink it again. I'm now almost a year out but tonight, after eating some strawberries, I took a drink of water and for a second it was that muddy dish water again. But only for a second.
It's like it's haunting me.</t>
        </is>
      </c>
      <c r="D2961" t="n">
        <v>20</v>
      </c>
      <c r="E2961" t="n">
        <v>14</v>
      </c>
      <c r="F2961">
        <f>HYPERLINK("https://www.reddit.com/r/cancer/comments/c0tsyd/the_taste_of_water/")</f>
        <v/>
      </c>
      <c r="G2961" t="inlineStr">
        <is>
          <t>2019-06-14 22:16:23</t>
        </is>
      </c>
      <c r="H2961" t="inlineStr"/>
    </row>
    <row r="2962">
      <c r="A2962" t="inlineStr">
        <is>
          <t>c0tuck</t>
        </is>
      </c>
      <c r="B2962" t="inlineStr">
        <is>
          <t>Pomalex 2mg |Pomalidomide |Apple pharmaceuticals</t>
        </is>
      </c>
      <c r="C2962" t="inlineStr">
        <is>
          <t>[**Pomalex 2mg**](http://anti-cancer-drugs.com/pomalex-2mg.php) capsules are indicated in the patients who are already receiving Lenalidomide &amp;amp; proteasome inhibitors. Pomalex 2mg capsules are endorsed by FDA and which is applicable as orally bioavailable @ Apple pharmaceuticals</t>
        </is>
      </c>
      <c r="D2962" t="n">
        <v>0</v>
      </c>
      <c r="E2962" t="n">
        <v>0</v>
      </c>
      <c r="F2962">
        <f>HYPERLINK("https://www.reddit.com/r/cancer/comments/c0tuck/pomalex_2mg_pomalidomide_apple_pharmaceuticals/")</f>
        <v/>
      </c>
      <c r="G2962" t="inlineStr">
        <is>
          <t>2019-06-14 22:21:29</t>
        </is>
      </c>
      <c r="H2962" t="inlineStr"/>
    </row>
    <row r="2963">
      <c r="A2963" t="inlineStr">
        <is>
          <t>c0tw3t</t>
        </is>
      </c>
      <c r="B2963" t="inlineStr">
        <is>
          <t>Has anyone had successes in remedying there post treatment attention and cognitive issues</t>
        </is>
      </c>
      <c r="C2963" t="inlineStr">
        <is>
          <t>Hi, 
I am a young male adult cancer survivor. I have been struggling a lot with my functioning/inatetivness even many years post treatment. 
I have and continue to to have therapy to try deal with issues however even with improvement in mood the issues appear and now are so distributive that in many things I encounter even fun things I am unable to do them and my brain just shuts down. Everything I am doing I'm seeing the problems in. As you could imagine this is starting to become very disruptive and effecting all aspects of my life like relationships work and study. I am unsure what to do or what the next step is. 
What would the best course of action be, have you had any succes in this matter or do you have any resources or guidance. 
Thanks for any help</t>
        </is>
      </c>
      <c r="D2963" t="n">
        <v>13</v>
      </c>
      <c r="E2963" t="n">
        <v>11</v>
      </c>
      <c r="F2963">
        <f>HYPERLINK("https://www.reddit.com/r/cancer/comments/c0tw3t/has_anyone_had_successes_in_remedying_there_post/")</f>
        <v/>
      </c>
      <c r="G2963" t="inlineStr">
        <is>
          <t>2019-06-14 22:28:10</t>
        </is>
      </c>
      <c r="H2963" t="inlineStr"/>
    </row>
    <row r="2964">
      <c r="A2964" t="inlineStr">
        <is>
          <t>c0txea</t>
        </is>
      </c>
      <c r="B2964" t="inlineStr">
        <is>
          <t>Pomalex 4mg |Pomalidomide</t>
        </is>
      </c>
      <c r="C2964" t="inlineStr">
        <is>
          <t>[**Pomalex 4mg**](http://anti-cancer-drugs.com/pomalex-4mg.php) is therapeutically categorized as an anti-neoplastic agent, which is active in multiple myeloma condition. Pomalex 4mg capsules are used by the patients who are having a prescription specify by practiced medical oncologist @ Apple pharmaceuticals</t>
        </is>
      </c>
      <c r="D2964" t="n">
        <v>1</v>
      </c>
      <c r="E2964" t="n">
        <v>0</v>
      </c>
      <c r="F2964">
        <f>HYPERLINK("https://www.reddit.com/r/cancer/comments/c0txea/pomalex_4mg_pomalidomide/")</f>
        <v/>
      </c>
      <c r="G2964" t="inlineStr">
        <is>
          <t>2019-06-14 22:33:08</t>
        </is>
      </c>
      <c r="H2964" t="inlineStr"/>
    </row>
    <row r="2965">
      <c r="A2965" t="inlineStr">
        <is>
          <t>c0u1n2</t>
        </is>
      </c>
      <c r="B2965" t="inlineStr">
        <is>
          <t>What do I do when my Mom says, "I don't want to eat. Please don't make me eat" ?</t>
        </is>
      </c>
      <c r="C2965" t="inlineStr">
        <is>
          <t>Stage 4 Pancreatic Cancer. It's been 7 weeks since diagnosis. 3 weeks since first chemo. 1 week since getting out of ICU / Oncology unit where she was for 9 days. She won't eat. I need advice.</t>
        </is>
      </c>
      <c r="D2965" t="n">
        <v>13</v>
      </c>
      <c r="E2965" t="n">
        <v>17</v>
      </c>
      <c r="F2965">
        <f>HYPERLINK("https://www.reddit.com/r/cancer/comments/c0u1n2/what_do_i_do_when_my_mom_says_i_dont_want_to_eat/")</f>
        <v/>
      </c>
      <c r="G2965" t="inlineStr">
        <is>
          <t>2019-06-14 22:48:37</t>
        </is>
      </c>
      <c r="H2965" t="inlineStr"/>
    </row>
    <row r="2966">
      <c r="A2966" t="inlineStr">
        <is>
          <t>c0u2y5</t>
        </is>
      </c>
      <c r="B2966" t="inlineStr">
        <is>
          <t>I hope this allowed</t>
        </is>
      </c>
      <c r="C2966" t="inlineStr">
        <is>
          <t>https://youtu.be/tUn1_INmrYE
About a month ago I was diagnosed with Hodgkins Lymphoma and this is a video of me talking about it. 
This was taken 1 month ago</t>
        </is>
      </c>
      <c r="D2966" t="n">
        <v>4</v>
      </c>
      <c r="E2966" t="n">
        <v>0</v>
      </c>
      <c r="F2966">
        <f>HYPERLINK("https://www.reddit.com/r/cancer/comments/c0u2y5/i_hope_this_allowed/")</f>
        <v/>
      </c>
      <c r="G2966" t="inlineStr">
        <is>
          <t>2019-06-14 22:52:45</t>
        </is>
      </c>
      <c r="H2966" t="inlineStr"/>
    </row>
    <row r="2967">
      <c r="A2967" t="inlineStr">
        <is>
          <t>c0ulja</t>
        </is>
      </c>
      <c r="B2967" t="inlineStr">
        <is>
          <t>I just think that with everything going on already, the rest of the body might shut it for a while - a rant</t>
        </is>
      </c>
      <c r="C2967" t="inlineStr">
        <is>
          <t>So I have cancer again, recurrent ovarian, but around my colon, which isn't great, and I have to do half the Chemo (three cycles) before they operate, which does my head in a little. 
Day before yesterday I got the news that my liver was in too bad a shape for the third Chemo, and we need to find out why ASAP. So I went to a hospital I've never been to because they had room, and to be fair, the doctor was amazing. He found out immediately that I have gallstones causing a blockage. The audacity of this body of mine really gets my goat. Anyway the blockage will be cleared Monday and it might just have caused at least some of the nausea, so gallstones is probably the best news I've had this year, in a way. But still. One thing at a time, please. A woman at my clinic has a broken arm, I'd be livid about that as well.</t>
        </is>
      </c>
      <c r="D2967" t="n">
        <v>33</v>
      </c>
      <c r="E2967" t="n">
        <v>3</v>
      </c>
      <c r="F2967">
        <f>HYPERLINK("https://www.reddit.com/r/cancer/comments/c0ulja/i_just_think_that_with_everything_going_on/")</f>
        <v/>
      </c>
      <c r="G2967" t="inlineStr">
        <is>
          <t>2019-06-15 00:01:30</t>
        </is>
      </c>
      <c r="H2967" t="inlineStr"/>
    </row>
    <row r="2968">
      <c r="A2968" t="inlineStr">
        <is>
          <t>c0umly</t>
        </is>
      </c>
      <c r="B2968" t="inlineStr">
        <is>
          <t>My friend died today.</t>
        </is>
      </c>
      <c r="C2968" t="inlineStr">
        <is>
          <t>I haven’t had a chance to process the concept of death since my own diagnosis. I don’t know about y’all, but the first I heard about a tumor, my mind went to severity and the ultimate worst case scenario. I found a whole new perspective on it, since I felt like I was as close as i was going to get. But I haven’t had a total meltdown. 
Until today when I received news my friend had passed in his sleep. This is the first death I’ve dealt with since wondering about my own. Esophageal. 
I kind of don’t know what to do. I feel like this is hitting me harder than a friend death normally would.</t>
        </is>
      </c>
      <c r="D2968" t="n">
        <v>22</v>
      </c>
      <c r="E2968" t="n">
        <v>1</v>
      </c>
      <c r="F2968">
        <f>HYPERLINK("https://www.reddit.com/r/cancer/comments/c0umly/my_friend_died_today/")</f>
        <v/>
      </c>
      <c r="G2968" t="inlineStr">
        <is>
          <t>2019-06-15 00:05:42</t>
        </is>
      </c>
      <c r="H2968" t="inlineStr"/>
    </row>
    <row r="2969">
      <c r="A2969" t="inlineStr">
        <is>
          <t>c0v9h7</t>
        </is>
      </c>
      <c r="B2969" t="inlineStr">
        <is>
          <t>Pomahope 1mg Capsule:Pomalidomide Price, Uses &amp;amp; Side effects|Apple pharmaceuticals</t>
        </is>
      </c>
      <c r="C2969" t="inlineStr">
        <is>
          <t>[Pomahope 1mg](http://anti-cancer-drugs.com/pomahope-1mg.php) capsule (Pomalidomide) is therapeutically categorized as an anti-neoplastic agent, which is active in multiple myeloma condition, these capsules are used by the patients who are having a prescription specify by a practiced medical oncologist.</t>
        </is>
      </c>
      <c r="D2969" t="n">
        <v>0</v>
      </c>
      <c r="E2969" t="n">
        <v>0</v>
      </c>
      <c r="F2969">
        <f>HYPERLINK("https://www.reddit.com/r/cancer/comments/c0v9h7/pomahope_1mg_capsulepomalidomide_price_uses_side/")</f>
        <v/>
      </c>
      <c r="G2969" t="inlineStr">
        <is>
          <t>2019-06-15 01:45:06</t>
        </is>
      </c>
      <c r="H2969" t="inlineStr"/>
    </row>
    <row r="2970">
      <c r="A2970" t="inlineStr">
        <is>
          <t>c0veja</t>
        </is>
      </c>
      <c r="B2970" t="inlineStr">
        <is>
          <t>Pomahope 2mg Capsule:Pomalidomide Price, Uses &amp;amp; Side effects|Apple pharmaceuticals</t>
        </is>
      </c>
      <c r="C2970" t="inlineStr">
        <is>
          <t>[**Pomahope 2mg**](http://anti-cancer-drugs.com/pomahope-2mg.php) capsule (Pomalidomide) is therapeutically categorized as an anti-neoplastic agent, which is active in multiple myeloma condition, these capsules are used by the patients who are having a prescription specify by practiced medical oncologist.</t>
        </is>
      </c>
      <c r="D2970" t="n">
        <v>0</v>
      </c>
      <c r="E2970" t="n">
        <v>0</v>
      </c>
      <c r="F2970">
        <f>HYPERLINK("https://www.reddit.com/r/cancer/comments/c0veja/pomahope_2mg_capsulepomalidomide_price_uses_side/")</f>
        <v/>
      </c>
      <c r="G2970" t="inlineStr">
        <is>
          <t>2019-06-15 02:07:08</t>
        </is>
      </c>
      <c r="H2970" t="inlineStr"/>
    </row>
    <row r="2971">
      <c r="A2971" t="inlineStr">
        <is>
          <t>c0vili</t>
        </is>
      </c>
      <c r="B2971" t="inlineStr">
        <is>
          <t>Dad and lympthoma..</t>
        </is>
      </c>
      <c r="C2971" t="inlineStr">
        <is>
          <t>Hi everyone rushed and panic post - sorry.
My Dad was diagnoised with lympthoma around 5yrs ago and has been unwell for the past year, we've finally got him to go to scans and they have seen lots of tumours around his chest/throat. He has been extremely unwell the past few days, for example, just standing up he's out of breath and almost stumbling over and has to sit / lay down again.
We rang up the hospital and they made him an immediate appointment and as soon as they saw him they said he had to be admitted as an in-patient. He's been extremely worried about going through all of the scans again, and chemo (which he's been told it's going to be a hundred times worse than before). He's supposed to be having another pet scan and biopsy by monday and tuesday however, they put a cannula in him last night and he's had to have a second one today because they used the wrong one. He absolutely hates it and says he's coming home because he's too stressed and in too much pain there and it's making him feel even worse
What do we do? He's extremely stubborn and he's been in-denial for a long time, he struggles to breathe and do anything.
In addition to this, the doctor believes he may have bloodclots which could have potentially spread, which is why he feels so unwell, and a few weeks ago he had a heart scan which showed that something was wrong. The doctor told our mum that if it wasn't for us and her bringing in him, he'd end up dead.. and now he's demanding he's coming home.
He's been in there for one day, my Mum was taking him the rest of the stuff he needs to keep him afloat for the next few days and stay with him for the day but knowing how stubborn he is and how he sounded on the phone, he's coming home.
Any advice is appreciated..
thank you so much</t>
        </is>
      </c>
      <c r="D2971" t="n">
        <v>1</v>
      </c>
      <c r="E2971" t="n">
        <v>3</v>
      </c>
      <c r="F2971">
        <f>HYPERLINK("https://www.reddit.com/r/cancer/comments/c0vili/dad_and_lympthoma/")</f>
        <v/>
      </c>
      <c r="G2971" t="inlineStr">
        <is>
          <t>2019-06-15 02:24:23</t>
        </is>
      </c>
      <c r="H2971" t="inlineStr"/>
    </row>
    <row r="2972">
      <c r="A2972" t="inlineStr">
        <is>
          <t>c0vjj6</t>
        </is>
      </c>
      <c r="B2972" t="inlineStr">
        <is>
          <t>Pomahope 3mg Capsule| Apple pharmaceuticals</t>
        </is>
      </c>
      <c r="C2972" t="inlineStr">
        <is>
          <t>[**Pomahope 3mg**](http://anti-cancer-drugs.com/pomahope-3mg.php) capsule (Pomalidomide) is therapeutically categorized as an anti-neoplastic agent, which is active in multiple myeloma condition, these capsules are used by the patients who are having a prescription specify by a practiced medical oncologist.</t>
        </is>
      </c>
      <c r="D2972" t="n">
        <v>0</v>
      </c>
      <c r="E2972" t="n">
        <v>0</v>
      </c>
      <c r="F2972">
        <f>HYPERLINK("https://www.reddit.com/r/cancer/comments/c0vjj6/pomahope_3mg_capsule_apple_pharmaceuticals/")</f>
        <v/>
      </c>
      <c r="G2972" t="inlineStr">
        <is>
          <t>2019-06-15 02:28:46</t>
        </is>
      </c>
      <c r="H2972" t="inlineStr"/>
    </row>
    <row r="2973">
      <c r="A2973" t="inlineStr">
        <is>
          <t>c0vpoe</t>
        </is>
      </c>
      <c r="B2973" t="inlineStr">
        <is>
          <t>Pomahope 4mg Capsule:Pomalidomide Price, Uses &amp;amp; Side effects|Apple pharmaceuticals</t>
        </is>
      </c>
      <c r="C2973" t="inlineStr">
        <is>
          <t>[**Pomahope 4mg**](http://anti-cancer-drugs.com/pomahope-4mg.php) capsule (Pomalidomide) is therapeutically categorized as an anti-neoplastic agent, which is active in multiple myeloma condition, these capsules are used by the patients who are having a prescription specify by a practiced medical oncologist.</t>
        </is>
      </c>
      <c r="D2973" t="n">
        <v>0</v>
      </c>
      <c r="E2973" t="n">
        <v>0</v>
      </c>
      <c r="F2973">
        <f>HYPERLINK("https://www.reddit.com/r/cancer/comments/c0vpoe/pomahope_4mg_capsulepomalidomide_price_uses_side/")</f>
        <v/>
      </c>
      <c r="G2973" t="inlineStr">
        <is>
          <t>2019-06-15 02:55:44</t>
        </is>
      </c>
      <c r="H2973" t="inlineStr"/>
    </row>
    <row r="2974">
      <c r="A2974" t="inlineStr">
        <is>
          <t>c0x33w</t>
        </is>
      </c>
      <c r="B2974" t="inlineStr">
        <is>
          <t>Everybody STOP eating any processed foods, meat, poultry and dairy, and sugar if you have cancer, Immediately!</t>
        </is>
      </c>
      <c r="C2974" t="inlineStr">
        <is>
          <t>100% Stop. Don't touch icecream, pretty much Anything. Simply fill your body with Greens. Kale, spinach, lettuce, etc etc, and blueberries, black Berries etc. 
If you CAN, buy and blend them, for yourself or for whoever has it. 
The doctors will Not tell you to do this, because they get paid as you get sicker. 
This is very controversial I know. But it's the truth many people, prevent and cure cancers from STOPPING the shit food that goes into their bodies, and immediately replacing it with lots of greens, tumeric, and the other vegetables. 
Processed sugar Feeds the cancer cells, eliminate completely. Eliminate Milk they say does the body good but is causing cancers left and right. (Aside from almond milk, and other plant based milk). 
Carrot juice, juice carrots and drink daily.</t>
        </is>
      </c>
      <c r="D2974" t="n">
        <v>0</v>
      </c>
      <c r="E2974" t="n">
        <v>1</v>
      </c>
      <c r="F2974">
        <f>HYPERLINK("https://www.reddit.com/r/cancer/comments/c0x33w/everybody_stop_eating_any_processed_foods_meat/")</f>
        <v/>
      </c>
      <c r="G2974" t="inlineStr">
        <is>
          <t>2019-06-15 06:05:39</t>
        </is>
      </c>
      <c r="H2974" t="inlineStr"/>
    </row>
    <row r="2975">
      <c r="A2975" t="inlineStr">
        <is>
          <t>c0yxaw</t>
        </is>
      </c>
      <c r="B2975" t="inlineStr">
        <is>
          <t>My beloved mother has liver cancer (any advice?)</t>
        </is>
      </c>
      <c r="C2975" t="inlineStr">
        <is>
          <t>I’m 24 years old. Lived abroad the last 3 years.
I don’t have any other family members (uncle, father, grandmother) to whom I have contact for various reasons.
My mother and I have a special connections, we are always like best friends or even closer.
When I was a teenager we had very violent fights (due to serious problems in our family) but we overcame it.
I never had a childhood friend but managed to become independent and get some close friendships the last years.
Today she told me she has liver cancer.
I feel guilty for not always being the best daughter I could’ve been but want to try to make everything right from now on.
I plan to give up my life in Asia and come back to Germany. Do you guys have any tips? What to do or what to expect? 
I plan to get a therapy to support me. I’m feeling empty and heartbroken right now.</t>
        </is>
      </c>
      <c r="D2975" t="n">
        <v>5</v>
      </c>
      <c r="E2975" t="n">
        <v>3</v>
      </c>
      <c r="F2975">
        <f>HYPERLINK("https://www.reddit.com/r/cancer/comments/c0yxaw/my_beloved_mother_has_liver_cancer_any_advice/")</f>
        <v/>
      </c>
      <c r="G2975" t="inlineStr">
        <is>
          <t>2019-06-15 09:09:19</t>
        </is>
      </c>
      <c r="H2975" t="inlineStr"/>
    </row>
    <row r="2976">
      <c r="A2976" t="inlineStr">
        <is>
          <t>c1042x</t>
        </is>
      </c>
      <c r="B2976" t="inlineStr">
        <is>
          <t>How long does the tiredness feeling last after first strong chemo?</t>
        </is>
      </c>
      <c r="C2976" t="inlineStr">
        <is>
          <t>My mom had he first strong chemo she will be doing 4 round of strong then the other 2 will be less strong. Yesterday she was feeling just a little tired and this morning she feels more tired and nausea and throwing up</t>
        </is>
      </c>
      <c r="D2976" t="n">
        <v>10</v>
      </c>
      <c r="E2976" t="n">
        <v>13</v>
      </c>
      <c r="F2976">
        <f>HYPERLINK("https://www.reddit.com/r/cancer/comments/c1042x/how_long_does_the_tiredness_feeling_last_after/")</f>
        <v/>
      </c>
      <c r="G2976" t="inlineStr">
        <is>
          <t>2019-06-15 10:57:24</t>
        </is>
      </c>
      <c r="H2976" t="inlineStr"/>
    </row>
    <row r="2977">
      <c r="A2977" t="inlineStr">
        <is>
          <t>c11h9r</t>
        </is>
      </c>
      <c r="B2977" t="inlineStr">
        <is>
          <t>What is the best thing a friend/family member etc said to you (or could say to you), after finding out you've got termincal cancer?</t>
        </is>
      </c>
      <c r="C2977" t="inlineStr">
        <is>
          <t>Have any of you received any messages that actually made you feel better?   
Someone very very close to me got ill, but everything I want to say to her just seems wrong  
She means so much to me, but everything just seems like it could be said by...anyone. Things like 'I'm there for you' just seems meaningless, even though I actually will be there for her  
I'm probably overthinking this, but I was just wondering what are things you liked to hear (or would like to hear)  
Give me some examples   
Thanks!</t>
        </is>
      </c>
      <c r="D2977" t="n">
        <v>9</v>
      </c>
      <c r="E2977" t="n">
        <v>2</v>
      </c>
      <c r="F2977">
        <f>HYPERLINK("https://www.reddit.com/r/cancer/comments/c11h9r/what_is_the_best_thing_a_friendfamily_member_etc/")</f>
        <v/>
      </c>
      <c r="G2977" t="inlineStr">
        <is>
          <t>2019-06-15 13:02:58</t>
        </is>
      </c>
      <c r="H2977" t="inlineStr"/>
    </row>
    <row r="2978">
      <c r="A2978" t="inlineStr">
        <is>
          <t>c1246u</t>
        </is>
      </c>
      <c r="B2978" t="inlineStr">
        <is>
          <t>Recurrent Hodgkin's Lymphoma</t>
        </is>
      </c>
      <c r="C2978" t="inlineStr">
        <is>
          <t>Hey.
&amp;amp;#x200B;
Does anyone here knows what to expect in terms of recovery chance for a Hodgkin's Lymphoma in a young man that was initially treated with "non-aggressive" chemo (without radiations) and have been identified again a few months after assumed recovery? 
I understood that this time the treatment plan involves more aggressive chemo (including bone marrow self-transplant) and radiations...
&amp;amp;#x200B;
thanks</t>
        </is>
      </c>
      <c r="D2978" t="n">
        <v>4</v>
      </c>
      <c r="E2978" t="n">
        <v>3</v>
      </c>
      <c r="F2978">
        <f>HYPERLINK("https://www.reddit.com/r/cancer/comments/c1246u/recurrent_hodgkins_lymphoma/")</f>
        <v/>
      </c>
      <c r="G2978" t="inlineStr">
        <is>
          <t>2019-06-15 14:04:58</t>
        </is>
      </c>
      <c r="H2978" t="inlineStr"/>
    </row>
    <row r="2979">
      <c r="A2979" t="inlineStr">
        <is>
          <t>c124xo</t>
        </is>
      </c>
      <c r="B2979" t="inlineStr">
        <is>
          <t>Father just diagnosed - details unclear..</t>
        </is>
      </c>
      <c r="C2979" t="inlineStr">
        <is>
          <t>Hi everyone. My father (68yo) was just diagnosed with stage 4 cancer. I'm having trouble getting clear details from him due to his very understandable stress and emotions about all of this.. but I know for certain that they cancer is involving his lungs and liver. Likely also lymph nodes, and the doctors will be doing a brain scan soon to check that. Obviously it doesn't look great. He's beginning what sounds to me like a pretty intense course of chemo next week.. but I admit I don't know much about this. They'll be doing outpatient chemo treatments 3 days in a row next week, with apparently 3 different medications/"bags" (?) the first day, then smaller doses the second 2 days. He will then have 3 weeks off, then repeat that process.. with ongoing reassessment of whether it's helping, etc of course. Sometimes when I talk to him, he talks about being hopeful and repeats things that doctors have apparently said that sound like there's a chance he'll make it through. Other times, it's quite the opposite. He has said that if the brain scan shows that the cancer has moved into his brain as well, the doctors have said they will stop all treatment and that he'd have 2-3 months left at that point. That makes sense. But what if it hasn't moved to his brain? I dont know.  I don't live near my parents, and also don't have a close relationship with them due to a difficult history.. but I really want to be as involved as I can, and understand what's really going on. I guess my question is, can anyone shed any light on how "normal" this sounds? The chemo schedule, etc? I know it's impossible for anyone to say much with such limited details. I plan to talk to my father and ask his permission for me to speak to his oncologist to get some more answers, but that definitely cant happen today. I'm worried. I want to be hopeful, but I want to be realistic too.</t>
        </is>
      </c>
      <c r="D2979" t="n">
        <v>5</v>
      </c>
      <c r="E2979" t="n">
        <v>1</v>
      </c>
      <c r="F2979">
        <f>HYPERLINK("https://www.reddit.com/r/cancer/comments/c124xo/father_just_diagnosed_details_unclear/")</f>
        <v/>
      </c>
      <c r="G2979" t="inlineStr">
        <is>
          <t>2019-06-15 14:07:02</t>
        </is>
      </c>
      <c r="H2979" t="inlineStr"/>
    </row>
    <row r="2980">
      <c r="A2980" t="inlineStr">
        <is>
          <t>c146zq</t>
        </is>
      </c>
      <c r="B2980" t="inlineStr">
        <is>
          <t>Rant about family.</t>
        </is>
      </c>
      <c r="C2980" t="inlineStr">
        <is>
          <t>I'm starting 2nd line treatment. I've only had my first treatment but I took it really well. Just some minor fatigue. My parents came up to Indiana from Alabama to be with me for my first treatment since my boyfriend is out of town for an internship. 
Now, don't get me wrong, I love my family, but I just cannot spend an extended amount of time around my mom. She does not listen to anyone, asks 5000 question on an hourly basis(this morning she asked me if I was nauseous 3 times and if I was hungry 4 times in the span of 10 minutes while I was eating pancakes), butts into any and all conversations and just generally stresses me out to no end with her unbudging insistence that EVERYTHING has to be her way.  It takes everything I mentally have to get through a day with her. She has no filter, it's just nonstop talking no matter how many time I ask her to be quiet or give me space. She is literally incapable of even getting through 20 minutes of a movie without talking. She calls me selfish for not wanting to do things the way she wants them done and gets mad at me for inexplicable reasons. Shes currently pissed because she "didn't come up here to be my slave" when I have literally not asked her to do a thing (which she took as an invitation to completely rearrange my kitchen and ask 5000 more questions about that). 
She wants me to come home with them tomorrow to Alabama. I can't do it. It's going to be a huge stressor to uproot myself and my dog for 2 weeks to go live in their semi-hoarded house and be dealing with this from her 24/7.
I know this is coming from a place of concern and that she just wants to make sure I'm not here alone but I do have friends here who can help me and I am largely independent right now. I like the quiet. I like the time alone right now. It would be a huge stressor on my mental health to be there in their house for the next two weeks. I just know it will be a bad idea. We've already had 3 screaming matches in the 4 days that they've been here. Any time we argue she tells me to take a xanax. My feelings are completely invalidated. She won't listen to what I have to say about anything. I shouldn't have to be medicated 24/7 just to be around/comply with her.
I need to do what's best for me right now and I feel that it staying where I am and keeping my mental health calm and comfortable. This decision is apparently very selfish because people back home, including my siblings, want to see me. There isn't much stopping them from coming here to be honest, aside from my sister's pregnancy. 
I'm just frustrated about this right now. Am I being an asshole for wanting to stay here?</t>
        </is>
      </c>
      <c r="D2980" t="n">
        <v>15</v>
      </c>
      <c r="E2980" t="n">
        <v>14</v>
      </c>
      <c r="F2980">
        <f>HYPERLINK("https://www.reddit.com/r/cancer/comments/c146zq/rant_about_family/")</f>
        <v/>
      </c>
      <c r="G2980" t="inlineStr">
        <is>
          <t>2019-06-15 17:38:01</t>
        </is>
      </c>
      <c r="H2980" t="inlineStr"/>
    </row>
    <row r="2981">
      <c r="A2981" t="inlineStr">
        <is>
          <t>c15f7y</t>
        </is>
      </c>
      <c r="B2981" t="inlineStr">
        <is>
          <t>Opinions and advice: Should my mom continue Chemotherapy?</t>
        </is>
      </c>
      <c r="C2981" t="inlineStr">
        <is>
          <t>My mother has decided she wants to stop Chemotherapy. She had stage 1 pancreatic cancer, yet they were able to remove the tumor through surgery. The doctors want her to do Chemotherapy for 6 months because of the likelihood of pancreatic cancer coming back. She had done 3 treatments but she is tired of it. She gets anxious and depressed when thinking of going to Chemotherapy. She thinks that it is doing more harm than good. I want to support her but I know how severe pancreatic cancer is. I just want to get some opinions and advice because I don’t know if I know everything about it.</t>
        </is>
      </c>
      <c r="D2981" t="n">
        <v>5</v>
      </c>
      <c r="E2981" t="n">
        <v>11</v>
      </c>
      <c r="F2981">
        <f>HYPERLINK("https://www.reddit.com/r/cancer/comments/c15f7y/opinions_and_advice_should_my_mom_continue/")</f>
        <v/>
      </c>
      <c r="G2981" t="inlineStr">
        <is>
          <t>2019-06-15 19:59:42</t>
        </is>
      </c>
      <c r="H2981" t="inlineStr"/>
    </row>
    <row r="2982">
      <c r="A2982" t="inlineStr">
        <is>
          <t>c15x6o</t>
        </is>
      </c>
      <c r="B2982" t="inlineStr">
        <is>
          <t>What is it like to lose someone to brain cancer?</t>
        </is>
      </c>
      <c r="C2982" t="inlineStr">
        <is>
          <t>To be clear, I don’t mean this from an emotional stance, rather that I want to know what to expect to see happening leading to death.
My father (59M) was diagnosed with (grade 4) glioblastoma on the left side of his brain about a month ago and is starting radiation in 2 weeks. Obviously there is no way to know for sure how long he has, but we’ve been told it’s an average of about 11-15 months. 
I’ve just graduated high school and am spending the next year at home to help care for him &amp;amp; spend time with him. I just want to know what to expect. Things are good now, but I know eventually things are going to take a turn for the worse.
What is it actually like to see someone pass away from this? Do start losing who they are? Do they eventually forget to breath? I’m sorry if this is naive, it’s not something I’ve ever expected to have to think about. 
Thank you.</t>
        </is>
      </c>
      <c r="D2982" t="n">
        <v>3</v>
      </c>
      <c r="E2982" t="n">
        <v>7</v>
      </c>
      <c r="F2982">
        <f>HYPERLINK("https://www.reddit.com/r/cancer/comments/c15x6o/what_is_it_like_to_lose_someone_to_brain_cancer/")</f>
        <v/>
      </c>
      <c r="G2982" t="inlineStr">
        <is>
          <t>2019-06-15 20:59:50</t>
        </is>
      </c>
      <c r="H2982" t="inlineStr"/>
    </row>
    <row r="2983">
      <c r="A2983" t="inlineStr">
        <is>
          <t>c16608</t>
        </is>
      </c>
      <c r="B2983" t="inlineStr">
        <is>
          <t>Dealing with Pericarditis</t>
        </is>
      </c>
      <c r="C2983" t="inlineStr">
        <is>
          <t>Hey everyone. I know this is probably a long shot but I’m looking for anyone who’s dealt with pericarditis before. 
I just finished my chemotherapy for stage 3 Hodgkins and will be starting radiation next month. I had a massive amount of fluid around my heart but it was drained late last year after my diagnosis. 
But a few days I go I came down with pericarditis. Some fluid again, but not a lot. But it’s enough to send my body to another level
The pain and fatigue are gnarly and it has me stuck in bed ...I’m weak, hurting, and just looking for advice from anyone who’s been in this situation. I’ll be looking online for tips but it’s always nice to hear it from someone first hand. 
Thank you in advance</t>
        </is>
      </c>
      <c r="D2983" t="n">
        <v>3</v>
      </c>
      <c r="E2983" t="n">
        <v>7</v>
      </c>
      <c r="F2983">
        <f>HYPERLINK("https://www.reddit.com/r/cancer/comments/c16608/dealing_with_pericarditis/")</f>
        <v/>
      </c>
      <c r="G2983" t="inlineStr">
        <is>
          <t>2019-06-15 21:29:39</t>
        </is>
      </c>
      <c r="H2983" t="inlineStr"/>
    </row>
    <row r="2984">
      <c r="A2984" t="inlineStr">
        <is>
          <t>c16ibh</t>
        </is>
      </c>
      <c r="B2984" t="inlineStr">
        <is>
          <t>My mom consumed 800 calories today!!! We did it guys!</t>
        </is>
      </c>
      <c r="C2984" t="inlineStr">
        <is>
          <t>It's the small victories that count right?
My mom consumed about 800 calories today, which is probably the most calories she has eaten (or drank I should say) for months!!!
The main key was portion control. Even her high calorie boost drink. I would give her a quarter at a time in a separate cup every few hours. 
Her breakfast was a soft boiled egg with cheese toast, which I cut into small little squares. (Only ate about half but it was still a good about of calories!)
I made a creamy tomato basil soup for lunch/dinner, which I gave in a small portion in a bigger mug so it looked like an even smaller portion!! This is the first she would finish a bowl of anything!!
I also provided her fresh carrot/orange juice (about half a cup) every couple hours.  And Everytime she had to take medication (every 4 hours) I always suggested to take it with the juice rather than water. 
I am beyond proud of her. And if she can do it, you can too!!
We're all in this together!!!!!</t>
        </is>
      </c>
      <c r="D2984" t="n">
        <v>104</v>
      </c>
      <c r="E2984" t="n">
        <v>20</v>
      </c>
      <c r="F2984">
        <f>HYPERLINK("https://www.reddit.com/r/cancer/comments/c16ibh/my_mom_consumed_800_calories_today_we_did_it_guys/")</f>
        <v/>
      </c>
      <c r="G2984" t="inlineStr">
        <is>
          <t>2019-06-15 22:14:24</t>
        </is>
      </c>
      <c r="H2984" t="inlineStr"/>
    </row>
    <row r="2985">
      <c r="A2985" t="inlineStr">
        <is>
          <t>c16q5g</t>
        </is>
      </c>
      <c r="B2985" t="inlineStr">
        <is>
          <t>Where to contact holistic/natural oncologist online (uncle diagnosed with stage IV cancer)</t>
        </is>
      </c>
      <c r="C2985" t="inlineStr">
        <is>
          <t>Hey everybody,
I was just wondering if anybody knew any online natural oncologists that I could consult with to get a natural treatment protocol for uncle who got diagnosed with stage IV liver cancer?
Or if anybody has any advice or resources for natural treatment of stage IV liver cancer?</t>
        </is>
      </c>
      <c r="D2985" t="n">
        <v>0</v>
      </c>
      <c r="E2985" t="n">
        <v>2</v>
      </c>
      <c r="F2985">
        <f>HYPERLINK("https://www.reddit.com/r/cancer/comments/c16q5g/where_to_contact_holisticnatural_oncologist/")</f>
        <v/>
      </c>
      <c r="G2985" t="inlineStr">
        <is>
          <t>2019-06-15 22:44:36</t>
        </is>
      </c>
      <c r="H2985" t="inlineStr"/>
    </row>
    <row r="2986">
      <c r="A2986" t="inlineStr">
        <is>
          <t>c16rm4</t>
        </is>
      </c>
      <c r="B2986" t="inlineStr">
        <is>
          <t>Tumour / Lesion on R testicle</t>
        </is>
      </c>
      <c r="C2986" t="inlineStr">
        <is>
          <t>So I found a lump last weekend and went and got it checked out. Things happened pretty quickly and now I'm having surgery (orchiectomy) next week. The Urologist talked alot, but nothing was put in stone. He said they'd take the removed mass for analysis and based on that would be the next plan of attack, but he kept hinting towards having to undergo chemotherapy regardless as a means to truly make sure it hasn't spread. He suggested either a single shot of 'platinum', or 1 to 2 cycles of BEP, dependent of prognosis of course. It's happened a bit quick and I don't really know what to expect. Does anyone have any idea of what I'm looking towards?</t>
        </is>
      </c>
      <c r="D2986" t="n">
        <v>1</v>
      </c>
      <c r="E2986" t="n">
        <v>2</v>
      </c>
      <c r="F2986">
        <f>HYPERLINK("https://www.reddit.com/r/cancer/comments/c16rm4/tumour_lesion_on_r_testicle/")</f>
        <v/>
      </c>
      <c r="G2986" t="inlineStr">
        <is>
          <t>2019-06-15 22:50:19</t>
        </is>
      </c>
      <c r="H2986" t="inlineStr"/>
    </row>
    <row r="2987">
      <c r="A2987" t="inlineStr">
        <is>
          <t>c17mme</t>
        </is>
      </c>
      <c r="B2987" t="inlineStr">
        <is>
          <t>I AM NO EVIDENCE OF DISEASE</t>
        </is>
      </c>
      <c r="C2987" t="inlineStr">
        <is>
          <t>My first post. I am now 19 months out from primary  synchronous ovarian and endometrial cancer. My latest CA 125 was 5.1. Latest CT Scan shows NO EVIDENCE OF DISEASE. I wasnt suppose to make it this far but I did and I am so very very thankful. I had severe complications, lost 70 pounds, deconditioned and had to learn to walk again. Had to have an ileostomy I like to call Raspootin.  Spent 6 months in wheelchair, Month in hospital and month in nursing facility for physical therapy. It is 3:30 here in the morning where I am at and I am beside myself with happiness. I wish for all of us who suffer from cancer to have many many years of no evidence of disease. Pulling for all of us.</t>
        </is>
      </c>
      <c r="D2987" t="n">
        <v>45</v>
      </c>
      <c r="E2987" t="n">
        <v>22</v>
      </c>
      <c r="F2987">
        <f>HYPERLINK("https://www.reddit.com/r/cancer/comments/c17mme/i_am_no_evidence_of_disease/")</f>
        <v/>
      </c>
      <c r="G2987" t="inlineStr">
        <is>
          <t>2019-06-16 01:02:53</t>
        </is>
      </c>
      <c r="H2987" t="inlineStr"/>
    </row>
    <row r="2988">
      <c r="A2988" t="inlineStr">
        <is>
          <t>c1a0zy</t>
        </is>
      </c>
      <c r="B2988" t="inlineStr">
        <is>
          <t>Getting Real Pissed at People Blaming Cancer on Diet (Rant)</t>
        </is>
      </c>
      <c r="C2988" t="inlineStr">
        <is>
          <t>I'm not saying there's not a correlation, because obesity has been linked to 5 percent of all cancers and diet plays a role in obesity, but sweet lord.
I'm 19 years old and my mom has multiple malignant nodules in her breasts and underarms. We were out with one of her friends yesterday and I'm chewing excel gum, this woman actually tells me to start chewing vegan gum instead because there's no aspartame and "you don't want to tempt your genetics with your diet".
I am an occasional drinker of coke zero and I dared not tell her how much aspartame is in a can of that. 
Even people who eat healthy get cancer. Cancer doesn't give two fucks about whether or not you put sugar in your coffee. 
As if I wasn't going through enough having people criticize my eating habits is just grinding my gears. 
It's so annoying how as soon as someone gets cancer everyone is a doctor/naturopath and is telling you about their wonky cures. 
The same woman telling me to eat vegan gum also recommended ingesting distills of kerosene and turpentine to my mom as a cancer cure. The gall! The fucking nerve! 
Its sad that these are my mom's friends but I know she needs them more than ever right now. I just wish they tried being supportive and not critical of what we're fueling our bodies with.</t>
        </is>
      </c>
      <c r="D2988" t="n">
        <v>110</v>
      </c>
      <c r="E2988" t="n">
        <v>109</v>
      </c>
      <c r="F2988">
        <f>HYPERLINK("https://www.reddit.com/r/cancer/comments/c1a0zy/getting_real_pissed_at_people_blaming_cancer_on/")</f>
        <v/>
      </c>
      <c r="G2988" t="inlineStr">
        <is>
          <t>2019-06-16 06:44:06</t>
        </is>
      </c>
      <c r="H2988" t="inlineStr"/>
    </row>
    <row r="2989">
      <c r="A2989" t="inlineStr">
        <is>
          <t>c1anc1</t>
        </is>
      </c>
      <c r="B2989" t="inlineStr">
        <is>
          <t>Someone I love has been diagnosed with lymphoma help please</t>
        </is>
      </c>
      <c r="C2989" t="inlineStr">
        <is>
          <t>Someone I love has been diagnosed with lymphoma recently they’ve lost a lot of weight in the past 6 months. What can I do to help them? They barely have an appetite would cannabis help them? Is there a diet they should follow? Any information you could share with me will be greatly appreciated thank you.</t>
        </is>
      </c>
      <c r="D2989" t="n">
        <v>1</v>
      </c>
      <c r="E2989" t="n">
        <v>3</v>
      </c>
      <c r="F2989">
        <f>HYPERLINK("https://www.reddit.com/r/cancer/comments/c1anc1/someone_i_love_has_been_diagnosed_with_lymphoma/")</f>
        <v/>
      </c>
      <c r="G2989" t="inlineStr">
        <is>
          <t>2019-06-16 07:44:55</t>
        </is>
      </c>
      <c r="H2989" t="inlineStr"/>
    </row>
    <row r="2990">
      <c r="A2990" t="inlineStr">
        <is>
          <t>c1cng4</t>
        </is>
      </c>
      <c r="B2990" t="inlineStr">
        <is>
          <t>Chemo teeth care</t>
        </is>
      </c>
      <c r="C2990" t="inlineStr">
        <is>
          <t>Hey guys, need some help here. (25m) In between my 1st and 2nd rounds of chemo (Dose adjusted EPOCH). Honestly pretty stoked that the thing bothering me the most right now is my teeth and gums. I cant brush them without bleeding, needless to say they hurt. Been rinsing with saline/baking soda after any food recently... I slacked for a few days not gonna lie. I brush regularly every morning and night, usually floss once a day but I stopped cuz the bleeding and pain. Got an appointment with the dentist in 2 days. Is there anything I can/should do that I'm not?</t>
        </is>
      </c>
      <c r="D2990" t="n">
        <v>2</v>
      </c>
      <c r="E2990" t="n">
        <v>7</v>
      </c>
      <c r="F2990">
        <f>HYPERLINK("https://www.reddit.com/r/cancer/comments/c1cng4/chemo_teeth_care/")</f>
        <v/>
      </c>
      <c r="G2990" t="inlineStr">
        <is>
          <t>2019-06-16 10:45:58</t>
        </is>
      </c>
      <c r="H2990" t="inlineStr"/>
    </row>
    <row r="2991">
      <c r="A2991" t="inlineStr">
        <is>
          <t>c1divr</t>
        </is>
      </c>
      <c r="B2991" t="inlineStr">
        <is>
          <t>Worried About Possibly Swallowed Americium 241 And Cancer</t>
        </is>
      </c>
      <c r="C2991" t="inlineStr">
        <is>
          <t>Age: 19
Weight: 120
Height: 5'9"-5'10"
When  I was around 12 years old I opened a smoke detector and put the americium pellet in a plastic bag. I was an idiot and touched the pellet with my fingers. It   sat on a dresser about 4-5 feet away from me for a couple weeks to a   month or two. I don't believe I swallowed it but my memory is terrible. I am worried that I will give myself cancer. Is there someway to test to   see if I swallowed it and was absorbed by my body? I really can't get be any more stupid. I hate myself for being such an idiot. I know this  sounds like a stupid post but I really am this dumb. I hope I didn't  break any rules of this sub. If I did I am very sorry. I'm sorry. I just  don't know what to do. I feel hopeless and sad. I'm such a failure.</t>
        </is>
      </c>
      <c r="D2991" t="n">
        <v>0</v>
      </c>
      <c r="E2991" t="n">
        <v>4</v>
      </c>
      <c r="F2991">
        <f>HYPERLINK("https://www.reddit.com/r/cancer/comments/c1divr/worried_about_possibly_swallowed_americium_241/")</f>
        <v/>
      </c>
      <c r="G2991" t="inlineStr">
        <is>
          <t>2019-06-16 12:01:40</t>
        </is>
      </c>
      <c r="H2991" t="inlineStr"/>
    </row>
    <row r="2992">
      <c r="A2992" t="inlineStr">
        <is>
          <t>c1f3eh</t>
        </is>
      </c>
      <c r="B2992" t="inlineStr">
        <is>
          <t>Teen needs aid in funeral expenses for recently deceased cancer mom and support for stroke-victim dad</t>
        </is>
      </c>
      <c r="C2992" t="inlineStr">
        <is>
          <t>Recently, my friend’s mom was diagnosed with cancer. She was the breadwinner of the family, as her husband suffered from a stroke two years prior and was unable to continue working. Unfortunately, she was unable to keep up the fight against cancer and passed away on May 30th, 2019. This now makes her 19 year old son the sole source of income for the family. On top of the pressure from losing his mother, he is now responsible for dealing with all of the household affairs and of taking care of his father. The funeral expenses are due to be paid this Wednesday, June 19, though. So, I kindly ask for any donations that can help us reach our goal as soon as possible. The money will not only be going towards funeral expenses, but paying for his father’s medical bills, education funds, food, etc. Anything at all is appreciated. I will attach the gofundme link. Thank you for reading this ❤️
[In loving memory of Ingrid Mohan](https://www.gofundme.com/1nnbja9jxc?utm_medium=copy_link&amp;amp;utm_source=customer&amp;amp;utm_campaign=p_na+share-sheet&amp;amp;rcid=f19de4e583754177965c5272a5176d66)</t>
        </is>
      </c>
      <c r="D2992" t="n">
        <v>1</v>
      </c>
      <c r="E2992" t="n">
        <v>0</v>
      </c>
      <c r="F2992">
        <f>HYPERLINK("https://www.reddit.com/r/cancer/comments/c1f3eh/teen_needs_aid_in_funeral_expenses_for_recently/")</f>
        <v/>
      </c>
      <c r="G2992" t="inlineStr">
        <is>
          <t>2019-06-16 14:18:21</t>
        </is>
      </c>
      <c r="H2992" t="inlineStr"/>
    </row>
    <row r="2993">
      <c r="A2993" t="inlineStr">
        <is>
          <t>c1gg31</t>
        </is>
      </c>
      <c r="B2993" t="inlineStr">
        <is>
          <t>People think that there is a cure for cancer but the government isn’t releasing it.</t>
        </is>
      </c>
      <c r="C2993" t="inlineStr">
        <is>
          <t>After joe Biden said he’d cure cancer, even though that quote is taken out of context, there’s been a lot of people who say there’s already a cure but the government isn’t releasing it
I’ve never been so pissed off by people on the internet.</t>
        </is>
      </c>
      <c r="D2993" t="n">
        <v>1</v>
      </c>
      <c r="E2993" t="n">
        <v>2</v>
      </c>
      <c r="F2993">
        <f>HYPERLINK("https://www.reddit.com/r/cancer/comments/c1gg31/people_think_that_there_is_a_cure_for_cancer_but/")</f>
        <v/>
      </c>
      <c r="G2993" t="inlineStr">
        <is>
          <t>2019-06-16 16:26:52</t>
        </is>
      </c>
      <c r="H2993" t="inlineStr"/>
    </row>
    <row r="2994">
      <c r="A2994" t="inlineStr">
        <is>
          <t>c1h5dv</t>
        </is>
      </c>
      <c r="B2994" t="inlineStr">
        <is>
          <t>Stepfather's lung cancer has now spread. Not sure how to help.</t>
        </is>
      </c>
      <c r="C2994" t="inlineStr">
        <is>
          <t>My stepfather was diagnosed over a year ago with lung cancer. He has had surgery, chemo, and radiation. They started him on immunotherapy but he got pneumonia so they stopped it. This week they found that the cancer got bigger and is starting to block his windpipe again. It has also spread to other areas, possibly something to do with his lymph nodes (finds out more next week). I live 1000 miles away and am going to visit next week. I know my mother isn't actually accepting what is going on (everything is always "good") or what I can do to help either of them deal with any of this better. I'm worried about him internalizing being a burden on my mother.
Sorry for wall of text. I just found out the recent news and needed to at least just write this... I'm just lost and have no idea where to turn to be a better support system.</t>
        </is>
      </c>
      <c r="D2994" t="n">
        <v>1</v>
      </c>
      <c r="E2994" t="n">
        <v>1</v>
      </c>
      <c r="F2994">
        <f>HYPERLINK("https://www.reddit.com/r/cancer/comments/c1h5dv/stepfathers_lung_cancer_has_now_spread_not_sure/")</f>
        <v/>
      </c>
      <c r="G2994" t="inlineStr">
        <is>
          <t>2019-06-16 17:39:04</t>
        </is>
      </c>
      <c r="H2994" t="inlineStr"/>
    </row>
    <row r="2995">
      <c r="A2995" t="inlineStr">
        <is>
          <t>c1hlmi</t>
        </is>
      </c>
      <c r="B2995" t="inlineStr">
        <is>
          <t>Just looking for support.</t>
        </is>
      </c>
      <c r="C2995" t="inlineStr">
        <is>
          <t>Saw my stepdad today for Father’s Day, it was my first time seeing him since he started treatment (two weeks of radiation and one chemo treatment). He has already lost so much weight, and had 7 teeth removed. He’s like a different man now, weighs as much as my mother, has trouble speaking. I was gutted. 
He has stage IV hpv-positive throat cancer. Well, it was originally staged as 4, we found out it’s hpv-positive later on, so I don’t know if staging has changed. Anyway it was just heartbreaking and I’m so sad. Then I worry he won’t respond to treatments. I’m also feeling incredibly guilty because I can’t see him more, I live an hour and a half away with 4 kids and no license. :(</t>
        </is>
      </c>
      <c r="D2995" t="n">
        <v>10</v>
      </c>
      <c r="E2995" t="n">
        <v>3</v>
      </c>
      <c r="F2995">
        <f>HYPERLINK("https://www.reddit.com/r/cancer/comments/c1hlmi/just_looking_for_support/")</f>
        <v/>
      </c>
      <c r="G2995" t="inlineStr">
        <is>
          <t>2019-06-16 18:26:06</t>
        </is>
      </c>
      <c r="H2995" t="inlineStr"/>
    </row>
    <row r="2996">
      <c r="A2996" t="inlineStr">
        <is>
          <t>c1i0lr</t>
        </is>
      </c>
      <c r="B2996" t="inlineStr">
        <is>
          <t>Proud of my mom she got her first strong chemo 2 days ago and already starting to feel better</t>
        </is>
      </c>
      <c r="C2996" t="inlineStr">
        <is>
          <t>She still feel tired but not as bad as on day 2 but able to go for an hour and half drive and she only threw up like 3 times on day 2</t>
        </is>
      </c>
      <c r="D2996" t="n">
        <v>3</v>
      </c>
      <c r="E2996" t="n">
        <v>0</v>
      </c>
      <c r="F2996">
        <f>HYPERLINK("https://www.reddit.com/r/cancer/comments/c1i0lr/proud_of_my_mom_she_got_her_first_strong_chemo_2/")</f>
        <v/>
      </c>
      <c r="G2996" t="inlineStr">
        <is>
          <t>2019-06-16 19:10:15</t>
        </is>
      </c>
      <c r="H2996" t="inlineStr"/>
    </row>
    <row r="2997">
      <c r="A2997" t="inlineStr">
        <is>
          <t>c1i5dy</t>
        </is>
      </c>
      <c r="B2997" t="inlineStr">
        <is>
          <t>ALL - feeling crappy during maintenance therapy - please share your experience</t>
        </is>
      </c>
      <c r="C2997" t="inlineStr">
        <is>
          <t>After feeling good while receiving blinatumomab (immunotherapy) I began maintenance therapy consisting of vincristine infusion every 3 months, methotrexate pills once a week and 6mp every day. I got the first infusion 4 weeks ago along with an upper respiratory and acute sinus infection. The infection was treated with antibiotics (augmentin) and I'm finally over that. These last 4 weeks have sucked, and even though my counts are OK, I'm sooo tired, light nausea all day and only have limited energy in the am.
For those on maintenence therapy, what were your energy levels like? Did the daily pills cause any side effects?
Appreciate your sharing.</t>
        </is>
      </c>
      <c r="D2997" t="n">
        <v>1</v>
      </c>
      <c r="E2997" t="n">
        <v>7</v>
      </c>
      <c r="F2997">
        <f>HYPERLINK("https://www.reddit.com/r/cancer/comments/c1i5dy/all_feeling_crappy_during_maintenance_therapy/")</f>
        <v/>
      </c>
      <c r="G2997" t="inlineStr">
        <is>
          <t>2019-06-16 19:24:24</t>
        </is>
      </c>
      <c r="H2997" t="inlineStr"/>
    </row>
    <row r="2998">
      <c r="A2998" t="inlineStr">
        <is>
          <t>c1jay9</t>
        </is>
      </c>
      <c r="B2998" t="inlineStr">
        <is>
          <t>Dad's on the road to recovery, but so frustrated, how can I help him see just how far he's come?</t>
        </is>
      </c>
      <c r="C2998" t="inlineStr">
        <is>
          <t>Dad is 14 months out of his first major surgery, 8 months out of the second. He lost a large portion of leg muscles to cancer and went from rugged outdoorsman to not being able to get out of bed without help for over 6 months, 9 months for any real independent physical activity. The cancer is gone, so far, thank God, but the impact remains. I have been trying to support him and my mom in whatever way I can in the last year and a half, rides to appointments, bandage changes, maintenance on the house and property, etc. I have been there for him as emotional support as well, because it's been HARD for him to get through this and back to some semblance of normal. 
Now, as he is more mobile and active, he's been getting back to his usual routine, but so frustrated when he needs help- like fetching the tools he needs to work on something- as it drains his energy. I try to help him with what I can, but he gets so angry and frustrated when I can't do what seems so simple to him. He feels he should be able to do whatever he used to, but he can't, and he often snaps at people. I just feel like I'm at the end of my rope and while I want to be there for him, it's taking a toll on me. I'm not sure what to do</t>
        </is>
      </c>
      <c r="D2998" t="n">
        <v>7</v>
      </c>
      <c r="E2998" t="n">
        <v>3</v>
      </c>
      <c r="F2998">
        <f>HYPERLINK("https://www.reddit.com/r/cancer/comments/c1jay9/dads_on_the_road_to_recovery_but_so_frustrated/")</f>
        <v/>
      </c>
      <c r="G2998" t="inlineStr">
        <is>
          <t>2019-06-16 21:33:18</t>
        </is>
      </c>
      <c r="H2998" t="inlineStr"/>
    </row>
    <row r="2999">
      <c r="A2999" t="inlineStr">
        <is>
          <t>c1kcow</t>
        </is>
      </c>
      <c r="B2999" t="inlineStr">
        <is>
          <t>Absolutely broken</t>
        </is>
      </c>
      <c r="C2999" t="inlineStr">
        <is>
          <t>Sister had full remission of her cancer after months of chemo. Now the cancer is back again. And worst than before. Absolutely gutted.</t>
        </is>
      </c>
      <c r="D2999" t="n">
        <v>48</v>
      </c>
      <c r="E2999" t="n">
        <v>8</v>
      </c>
      <c r="F2999">
        <f>HYPERLINK("https://www.reddit.com/r/cancer/comments/c1kcow/absolutely_broken/")</f>
        <v/>
      </c>
      <c r="G2999" t="inlineStr">
        <is>
          <t>2019-06-16 23:45:57</t>
        </is>
      </c>
      <c r="H2999" t="inlineStr"/>
    </row>
    <row r="3000">
      <c r="A3000" t="inlineStr">
        <is>
          <t>c1lumd</t>
        </is>
      </c>
      <c r="B3000" t="inlineStr">
        <is>
          <t>Anyone else have sarcoma in their chest?</t>
        </is>
      </c>
      <c r="C3000" t="inlineStr">
        <is>
          <t>Just found out my sarcoma came back in my chest and was wondering if this happened to anyone else, I always see people get it in different places than I’ve had it</t>
        </is>
      </c>
      <c r="D3000" t="n">
        <v>4</v>
      </c>
      <c r="E3000" t="n">
        <v>1</v>
      </c>
      <c r="F3000">
        <f>HYPERLINK("https://www.reddit.com/r/cancer/comments/c1lumd/anyone_else_have_sarcoma_in_their_chest/")</f>
        <v/>
      </c>
      <c r="G3000" t="inlineStr">
        <is>
          <t>2019-06-17 03:17:04</t>
        </is>
      </c>
      <c r="H3000" t="inlineStr"/>
    </row>
    <row r="3001">
      <c r="A3001" t="inlineStr">
        <is>
          <t>c1ntf2</t>
        </is>
      </c>
      <c r="B3001" t="inlineStr">
        <is>
          <t>Should I talk to my mom about it?</t>
        </is>
      </c>
      <c r="C3001" t="inlineStr">
        <is>
          <t>Hey guys I just found this subreddit I am 19 years old and i went into the kitchen and found a note that makes me wonder if my moms secretly been going to see a doctor about breast cancer without me knowing. The note says “ person consulting for explanation of examination or findings Encounter for screening mammogram for malignant neoplasms of breast.” My grandma passed away from cancer when I was 15 and it hit me really hard I’m worried for that reason my mom hasn’t told me anything...</t>
        </is>
      </c>
      <c r="D3001" t="n">
        <v>4</v>
      </c>
      <c r="E3001" t="n">
        <v>5</v>
      </c>
      <c r="F3001">
        <f>HYPERLINK("https://www.reddit.com/r/cancer/comments/c1ntf2/should_i_talk_to_my_mom_about_it/")</f>
        <v/>
      </c>
      <c r="G3001" t="inlineStr">
        <is>
          <t>2019-06-17 06:57:10</t>
        </is>
      </c>
      <c r="H3001" t="inlineStr"/>
    </row>
    <row r="3002">
      <c r="A3002" t="inlineStr">
        <is>
          <t>c1oirn</t>
        </is>
      </c>
      <c r="B3002" t="inlineStr">
        <is>
          <t>Scared</t>
        </is>
      </c>
      <c r="C3002" t="inlineStr">
        <is>
          <t>So, I've had this bump on my leg for a long time (probably way too long) and I couldn't get an appointment with the doctor until next week. I'm terrified that it's Merkel, because it fits the description of it pretty well. I'm only 19 years old, and while obviously there's no good time to find out you have something like that I'm so so scared, I'm just praying I get it tested and it's just an ingrown hair or something.</t>
        </is>
      </c>
      <c r="D3002" t="n">
        <v>0</v>
      </c>
      <c r="E3002" t="n">
        <v>3</v>
      </c>
      <c r="F3002">
        <f>HYPERLINK("https://www.reddit.com/r/cancer/comments/c1oirn/scared/")</f>
        <v/>
      </c>
      <c r="G3002" t="inlineStr">
        <is>
          <t>2019-06-17 07:58:43</t>
        </is>
      </c>
      <c r="H3002" t="inlineStr"/>
    </row>
    <row r="3003">
      <c r="A3003" t="inlineStr">
        <is>
          <t>c1oog1</t>
        </is>
      </c>
      <c r="B3003" t="inlineStr">
        <is>
          <t>Essential oils.</t>
        </is>
      </c>
      <c r="C3003" t="inlineStr">
        <is>
          <t>Is anyone else tired of having people telling them that essential oils can cure cancer and other conditions? Especially given that there is more evidence to say that they don't cure anything?
&amp;amp;#x200B;
To me, they are just the modern day version of snake oil.</t>
        </is>
      </c>
      <c r="D3003" t="n">
        <v>80</v>
      </c>
      <c r="E3003" t="n">
        <v>58</v>
      </c>
      <c r="F3003">
        <f>HYPERLINK("https://www.reddit.com/r/cancer/comments/c1oog1/essential_oils/")</f>
        <v/>
      </c>
      <c r="G3003" t="inlineStr">
        <is>
          <t>2019-06-17 08:12:04</t>
        </is>
      </c>
      <c r="H3003" t="inlineStr"/>
    </row>
    <row r="3004">
      <c r="A3004" t="inlineStr">
        <is>
          <t>c1otil</t>
        </is>
      </c>
      <c r="B3004" t="inlineStr">
        <is>
          <t>(rant) Is it wrong to hate Mother's day?</t>
        </is>
      </c>
      <c r="C3004" t="inlineStr">
        <is>
          <t>Its taken me this long to muster up the courage to post.  I suppose its because father's day was yesterday and i was able to get my dad a gift but i cant do that for mom anymore.
I also cant help but feel resentment towards Alex Trebeck because his treatment of Pancreatic Cancer is responding well at stage 4 and Mom died at stage 2b (mets to liver and stomach).
I know i shouldn't be mad at Alex Trebeck. PC is a horrible cancer and I should be happy for him. Intellectually I know this. I just cant get past the emotion of missing mom. 
It will be 1 year in August... Mom died on my husband's birthday. He already hated his birthday because bad things always seemed to happen. I tried for years to get him to change his mind. I cant do that anymore.
Thanks for reading my rant. I just wanted to get this off my chest to someone that i know will understand. Grief is a bitch and can hit anytime.</t>
        </is>
      </c>
      <c r="D3004" t="n">
        <v>13</v>
      </c>
      <c r="E3004" t="n">
        <v>8</v>
      </c>
      <c r="F3004">
        <f>HYPERLINK("https://www.reddit.com/r/cancer/comments/c1otil/rant_is_it_wrong_to_hate_mothers_day/")</f>
        <v/>
      </c>
      <c r="G3004" t="inlineStr">
        <is>
          <t>2019-06-17 08:23:35</t>
        </is>
      </c>
      <c r="H3004" t="inlineStr"/>
    </row>
    <row r="3005">
      <c r="A3005" t="inlineStr">
        <is>
          <t>c1ovks</t>
        </is>
      </c>
      <c r="B3005" t="inlineStr">
        <is>
          <t>Need help with my mom.</t>
        </is>
      </c>
      <c r="C3005" t="inlineStr">
        <is>
          <t>Hey guys I need some help. 
Does anyone here have experience with a parent dying of cancer? 
My mom has cancer and she’s become disabled because of it. I don’t live at home and I have two jobs and today is my first day of my overnight shifts so I’m going to be unavailable for the next 6 weeks. 
My three younger sisters live with my mom, ages 24-21. I’m the oldest so in the beginning I guess my mom put me as her POA and such, but despite me asking she hasn’t discussed this with me other than I know I have some legal rights. She is not married. 
She’s confused and delusional and can’t walk. She’s trying to pay and use money that’s non-existent because she doesn’t work. She has her friend that owns half of the house she owns who is trying to stay on top of her bills but fights her. 
I don’t really know what to do. But I know some changes need to be made. Any advice? Hell, she doesn’t even know when people are there or not, and thinks she says things when she didn’t, etc.</t>
        </is>
      </c>
      <c r="D3005" t="n">
        <v>7</v>
      </c>
      <c r="E3005" t="n">
        <v>6</v>
      </c>
      <c r="F3005">
        <f>HYPERLINK("https://www.reddit.com/r/cancer/comments/c1ovks/need_help_with_my_mom/")</f>
        <v/>
      </c>
      <c r="G3005" t="inlineStr">
        <is>
          <t>2019-06-17 08:28:33</t>
        </is>
      </c>
      <c r="H3005" t="inlineStr"/>
    </row>
    <row r="3006">
      <c r="A3006" t="inlineStr">
        <is>
          <t>c1puea</t>
        </is>
      </c>
      <c r="B3006" t="inlineStr">
        <is>
          <t>My uncle passed away this morning</t>
        </is>
      </c>
      <c r="C3006" t="inlineStr">
        <is>
          <t>My uncle has had colon cancer for the past 4 years. Last April, it metastasized to his lungs, even after a colectomy (and removal of his bladder and prostate). This March, the cancer quite literally exploded inside him. He had tumors in his pelvis, abdomen, liver, and behind his eyes. He has been on hospice for the last couple months. 
The past few days, my whole family has been with him and his husband because we could tell it was the end. He was heavily sedated on Dilaudid and Ativan. He made lots of noises that were pretty upsetting to us because they sounded like he was trying to scream. At one point, he reached for his huband and said “help me”.  Then a few more distressed sounds, some final breaths after some long pauses, and he had slipped away. 
My uncle meant the world to me. He was more of an older brother to me, as I’m 22 and he was 35.  He was the most incredible person I’ve ever known (and i’m not saying that just because he’s my uncle!) The past few years were absolute hell for him. And as much as it kills us to see him go, we know it’s for the best. 
But really what I’m wondering is, do you think he was struggling/suffering in the last hour or two? Hearing him say “help me” made my mom and my uncle’s husband so upset. I truly hope he wasn’t completely aware of what was happening. Just looking for some reassurance or someone who’s witnessed something similar.</t>
        </is>
      </c>
      <c r="D3006" t="n">
        <v>7</v>
      </c>
      <c r="E3006" t="n">
        <v>5</v>
      </c>
      <c r="F3006">
        <f>HYPERLINK("https://www.reddit.com/r/cancer/comments/c1puea/my_uncle_passed_away_this_morning/")</f>
        <v/>
      </c>
      <c r="G3006" t="inlineStr">
        <is>
          <t>2019-06-17 09:44:58</t>
        </is>
      </c>
      <c r="H3006" t="inlineStr"/>
    </row>
    <row r="3007">
      <c r="A3007" t="inlineStr">
        <is>
          <t>c1q2jv</t>
        </is>
      </c>
      <c r="B3007" t="inlineStr">
        <is>
          <t>Do I have cancer?</t>
        </is>
      </c>
      <c r="C3007" t="inlineStr">
        <is>
          <t>Ok I just complained to one of my friends that I have had pain in my chest for a while. And he said it might be cancer and I'm freaking out. 
I'll describe it here: if you know if I have or not based off of this information please tell me. Any I know your gonna say to go to a doctor but my mom isn't home right now so I can't go and í don't think I can wait any longer without some sort of answer so please help me if you can.
At first I've had phelgm in my throat for almost 2years after I got sick once. It never left, now I don't think this means I have cancer because it's been there for so long and only appeared when I got sick. 
The second symptom I experience is pain in the center of my ribcage. Like directly between my pecs. The thing is thought when I searched it up online it said pain when breathing and stuff like that. I don't have that, it's ONLY when I stretch or move, I used to hear a cracking sound as if cracking your knuckles and then pain instead of the crack and that's what scares me. So I don't know what this means. It's only when I move and phelgm are the only 2 symptoms I've experience and they are both symptoms of cancer.
If you are a doctor or you know what this is please inform me, anything as long as it's not fake I just need an answer</t>
        </is>
      </c>
      <c r="D3007" t="n">
        <v>1</v>
      </c>
      <c r="E3007" t="n">
        <v>5</v>
      </c>
      <c r="F3007">
        <f>HYPERLINK("https://www.reddit.com/r/cancer/comments/c1q2jv/do_i_have_cancer/")</f>
        <v/>
      </c>
      <c r="G3007" t="inlineStr">
        <is>
          <t>2019-06-17 10:02:21</t>
        </is>
      </c>
      <c r="H3007" t="inlineStr"/>
    </row>
    <row r="3008">
      <c r="A3008" t="inlineStr">
        <is>
          <t>c1qenh</t>
        </is>
      </c>
      <c r="B3008" t="inlineStr">
        <is>
          <t>Digital Meetup</t>
        </is>
      </c>
      <c r="C3008" t="inlineStr">
        <is>
          <t>Hey there,
My name is Chelsea and I work with Stupid Cancer, the not for profit that is an advocacy for young adults impacted by cancer. 
Great to meet everyone here.
We are hosting a Digital Meetup every Monday 8 pm EST and 8 pm PST.
The Meetups are completely free.
The point of the Meetups for people impacted by cancer to connect, end isolation, build community.
You can sign up here: [stupidcancermeetup.org](https://stupidcancermeetup.org)
Cheers,</t>
        </is>
      </c>
      <c r="D3008" t="n">
        <v>12</v>
      </c>
      <c r="E3008" t="n">
        <v>11</v>
      </c>
      <c r="F3008">
        <f>HYPERLINK("https://www.reddit.com/r/cancer/comments/c1qenh/digital_meetup/")</f>
        <v/>
      </c>
      <c r="G3008" t="inlineStr">
        <is>
          <t>2019-06-17 10:28:23</t>
        </is>
      </c>
      <c r="H3008" t="inlineStr"/>
    </row>
    <row r="3009">
      <c r="A3009" t="inlineStr">
        <is>
          <t>c1qjkf</t>
        </is>
      </c>
      <c r="B3009" t="inlineStr">
        <is>
          <t>MGUS</t>
        </is>
      </c>
      <c r="C3009" t="inlineStr">
        <is>
          <t>Has anyone been diagnosed with MGUS?  It stands for Monoclonal Gammopathy of Undetermined Significance.  It is a precursor to Multiple Myeloma.</t>
        </is>
      </c>
      <c r="D3009" t="n">
        <v>3</v>
      </c>
      <c r="E3009" t="n">
        <v>1</v>
      </c>
      <c r="F3009">
        <f>HYPERLINK("https://www.reddit.com/r/cancer/comments/c1qjkf/mgus/")</f>
        <v/>
      </c>
      <c r="G3009" t="inlineStr">
        <is>
          <t>2019-06-17 10:39:12</t>
        </is>
      </c>
      <c r="H3009" t="inlineStr"/>
    </row>
    <row r="3010">
      <c r="A3010" t="inlineStr">
        <is>
          <t>c1rk0y</t>
        </is>
      </c>
      <c r="B3010" t="inlineStr">
        <is>
          <t>Advice, stories, information, anything...</t>
        </is>
      </c>
      <c r="C3010" t="inlineStr">
        <is>
          <t>My husband is 29 and he’s got osteosarcoma. 
Haven’t found too many people on here or in real life with it, as it’s extremely rare.
He’s been fighting this disease since 2013.
It’s been battle, but manageable for all these years. 
In February, we found out it’s spread from his femur and lungs to now his spine, kidneys, shoulders, arms, and other femur. Probably other places. 
Radiation seemed manageable. No chemo options were available to us besides incredibly harmful, and probably not helpful. 
Things were ok until the last month where the nerve pain from the spots in his back became so bad, the burning pain increased and he lost ability to move his left leg and couldn’t poop or pee on his own. 
He’s had surgery now, is pooping on his own, but his resting heart rate is anywhere from 113 - 130. He still can’t pee. 
It’s just been one thing after the other and I just need to be heard. I’m keeping it together relatively well under the circumstances, but I’m just reaching out hoping someone, somewhere has something they know about we can try. Advice, personal stories, knowledge on what all of this means, anything. 
If you made it this far, thank you for listening. I just hope there’s more I can do. I feel like I don’t know anything. I’m hopeful, and praying a lot, but things are just getting worse. Hopefully before they get better...</t>
        </is>
      </c>
      <c r="D3010" t="n">
        <v>19</v>
      </c>
      <c r="E3010" t="n">
        <v>6</v>
      </c>
      <c r="F3010">
        <f>HYPERLINK("https://www.reddit.com/r/cancer/comments/c1rk0y/advice_stories_information_anything/")</f>
        <v/>
      </c>
      <c r="G3010" t="inlineStr">
        <is>
          <t>2019-06-17 12:00:38</t>
        </is>
      </c>
      <c r="H3010" t="inlineStr"/>
    </row>
    <row r="3011">
      <c r="A3011" t="inlineStr">
        <is>
          <t>c1rlu2</t>
        </is>
      </c>
      <c r="B3011" t="inlineStr">
        <is>
          <t>Post Procedure Mood-swings</t>
        </is>
      </c>
      <c r="C3011" t="inlineStr">
        <is>
          <t>I little under a month ago I had a complete thyroidectomy w/ lateral neck dissection after finding cancer involved with my thyroid and lymph nodes.  About 2 weeks after surgery when the pain began to subside I started having crazy mood swings, I’m just wondering if anyone else had experienced anything similar and if they had any suggestions,</t>
        </is>
      </c>
      <c r="D3011" t="n">
        <v>2</v>
      </c>
      <c r="E3011" t="n">
        <v>4</v>
      </c>
      <c r="F3011">
        <f>HYPERLINK("https://www.reddit.com/r/cancer/comments/c1rlu2/post_procedure_moodswings/")</f>
        <v/>
      </c>
      <c r="G3011" t="inlineStr">
        <is>
          <t>2019-06-17 12:04:21</t>
        </is>
      </c>
      <c r="H3011" t="inlineStr"/>
    </row>
    <row r="3012">
      <c r="A3012" t="inlineStr">
        <is>
          <t>c1timj</t>
        </is>
      </c>
      <c r="B3012" t="inlineStr">
        <is>
          <t>Amputation</t>
        </is>
      </c>
      <c r="C3012" t="inlineStr">
        <is>
          <t>Hey guys! Has anyone ever had a leg amputation due to cancer? Mine is in 2 days and I’m really scared and don’t know what to expect.</t>
        </is>
      </c>
      <c r="D3012" t="n">
        <v>23</v>
      </c>
      <c r="E3012" t="n">
        <v>17</v>
      </c>
      <c r="F3012">
        <f>HYPERLINK("https://www.reddit.com/r/cancer/comments/c1timj/amputation/")</f>
        <v/>
      </c>
      <c r="G3012" t="inlineStr">
        <is>
          <t>2019-06-17 14:38:28</t>
        </is>
      </c>
      <c r="H3012" t="inlineStr"/>
    </row>
    <row r="3013">
      <c r="A3013" t="inlineStr">
        <is>
          <t>c1tit5</t>
        </is>
      </c>
      <c r="B3013" t="inlineStr">
        <is>
          <t>Cervical cancer update/advice</t>
        </is>
      </c>
      <c r="C3013" t="inlineStr">
        <is>
          <t>Met with the gynecological oncologist today. It's stage 3 and in the lymph nodes, some nodes are necrotic. The growth itself is about the size of a lime. It hasn't attached to the pelvic wall which is good, but it is moving in that direction. Still don't know the cell type, but I guess that doesn't change much. 
It's also apparently very aggressive. Came on and got big very quickly. Clean pap last year, never any abnormal cells on previous paps.
We are going to treat with a daily radiation, possibly brachytherapy, and cisplatin. Surgery may be necessary later but also maybe not. Fingers crossed.
Anyone with experience in these therapies or drugs, I'm all ears. 
I was expecting to hear I'd need some huge surgery so I'm a bit relieved. But hearing stage 3 got me all spooked. 
Thanks! ❤</t>
        </is>
      </c>
      <c r="D3013" t="n">
        <v>15</v>
      </c>
      <c r="E3013" t="n">
        <v>29</v>
      </c>
      <c r="F3013">
        <f>HYPERLINK("https://www.reddit.com/r/cancer/comments/c1tit5/cervical_cancer_updateadvice/")</f>
        <v/>
      </c>
      <c r="G3013" t="inlineStr">
        <is>
          <t>2019-06-17 14:38:56</t>
        </is>
      </c>
      <c r="H3013" t="inlineStr"/>
    </row>
    <row r="3014">
      <c r="A3014" t="inlineStr">
        <is>
          <t>c1tjuu</t>
        </is>
      </c>
      <c r="B3014" t="inlineStr">
        <is>
          <t>My grandpa’s cancer is back</t>
        </is>
      </c>
      <c r="C3014" t="inlineStr">
        <is>
          <t>My grandpa was the healthiest man I’ve ever known before he got diagnosed with Stage II lung cancer. He went through chemo and radiation, he made it to remission, and we thought, damn, he really beat this thing. Then his side started hurting. Tests and more tests and more tests and he has bone mets on his ribs. I think we’re all coming to terms with the reality that he may not have much time left. I’ve never felt anything like this. I am absolutely devastated.</t>
        </is>
      </c>
      <c r="D3014" t="n">
        <v>11</v>
      </c>
      <c r="E3014" t="n">
        <v>0</v>
      </c>
      <c r="F3014">
        <f>HYPERLINK("https://www.reddit.com/r/cancer/comments/c1tjuu/my_grandpas_cancer_is_back/")</f>
        <v/>
      </c>
      <c r="G3014" t="inlineStr">
        <is>
          <t>2019-06-17 14:41:13</t>
        </is>
      </c>
      <c r="H3014" t="inlineStr"/>
    </row>
    <row r="3015">
      <c r="A3015" t="inlineStr">
        <is>
          <t>c1tn23</t>
        </is>
      </c>
      <c r="B3015" t="inlineStr">
        <is>
          <t>I'm scared for my friend.</t>
        </is>
      </c>
      <c r="C3015" t="inlineStr">
        <is>
          <t>I'm posting this to get it off my chest. I need to say something or I feel like I'll burst. I'm not looking for sympathy. I just need to say it.
My best friend might have brain cancer. He's getting a CT scan tonight(as of time of post) and I'm so scared. 
He is probably the best thing that has ever happened to me, and the though of him having brain cancer that could be malignant or deadly absolutely destroys me. I am just so scared. I don't know how he's dealing with it so well. 
I'm so scared.</t>
        </is>
      </c>
      <c r="D3015" t="n">
        <v>0</v>
      </c>
      <c r="E3015" t="n">
        <v>3</v>
      </c>
      <c r="F3015">
        <f>HYPERLINK("https://www.reddit.com/r/cancer/comments/c1tn23/im_scared_for_my_friend/")</f>
        <v/>
      </c>
      <c r="G3015" t="inlineStr">
        <is>
          <t>2019-06-17 14:48:42</t>
        </is>
      </c>
      <c r="H3015" t="inlineStr"/>
    </row>
    <row r="3016">
      <c r="A3016" t="inlineStr">
        <is>
          <t>c1v6tf</t>
        </is>
      </c>
      <c r="B3016" t="inlineStr">
        <is>
          <t>I'm 100 % sure I've cancer, but I'm afraid that the doctors won't take me serisliy</t>
        </is>
      </c>
      <c r="C3016" t="inlineStr">
        <is>
          <t>How long do I have to say I've had it for get it test</t>
        </is>
      </c>
      <c r="D3016" t="n">
        <v>0</v>
      </c>
      <c r="E3016" t="n">
        <v>1</v>
      </c>
      <c r="F3016">
        <f>HYPERLINK("https://www.reddit.com/r/cancer/comments/c1v6tf/im_100_sure_ive_cancer_but_im_afraid_that_the/")</f>
        <v/>
      </c>
      <c r="G3016" t="inlineStr">
        <is>
          <t>2019-06-17 17:06:29</t>
        </is>
      </c>
      <c r="H3016" t="inlineStr"/>
    </row>
    <row r="3017">
      <c r="A3017" t="inlineStr">
        <is>
          <t>c1vbe1</t>
        </is>
      </c>
      <c r="B3017" t="inlineStr">
        <is>
          <t>Colonoscopy scheduled, but still worried. Need talking off the ledge</t>
        </is>
      </c>
      <c r="C3017" t="inlineStr">
        <is>
          <t>So I know this kind of post on here is probably annoying but I've had some nagging symptoms 
and just want to see if anyone else  reading this has dealt with something similar and can give some
words of hope/advice. I have a colonoscopy scheduled this coming august (soonest appointment available)
Obviously my concern here is some kind of colorectal  cancer. I am 39 and have no known family history which I know puts me at low risk. My GP says that with my symptoms the likely hood is that its IBS or something along those lines, but being a hypochondriac thats not a very satisfying answer.
before I mention my symptoms i would start out by saying that I have had a terrible stomach as long as I can remember. cramping and diarrhea since I was 10.
&amp;amp;#x200B;
Symptoms
1. For the past 6 months or so my stool has been very thin. not round and narrow like a pencil but thin and oblong like a football thats deflated 75% of the way. usually in small ragged pieces not one long piece. no blood at all.
2. for the last month ive had a dull ache/ bruise feeling in my backside. I sit all day at the office. So usually I get to my chair in the morning and then 1.5-2 hours into the day I can start to feel the ache. I can't tell if it's in my rectum or its my tailbone due to my ignorance of the human anatomy. no sharp pains just a dull ache after sitting for a while and then it starts all over the next day.
3. just in the last week started seeing a bit of yellowish mucous in stool not always. maybe 3 times in the last week. ( i poop 2-3 times per day which is normal for me)
4. i've started developing heartburn recently along with bloating ( feeling like i cant eat anymore till i have a huge burp) doctor says this is pretty common with IBS so it may or may not be related to other symptoms.
5. random minor stomach pains. I would say they are a 2.5 on a scale of 1-10 but they just come on randomly and seemingly different parts of the stomach.
other than that I feel fine.  No noticeable weight loss. no energy [loss.no](https://loss.no) blood
&amp;amp;#x200B;
I know there are people on this forum with real problems and mine are so far just symptoms but any advice or conversation would be helpful. my wife just rolls her eyes and calls me (rightfully so) a hypochondriac.
&amp;amp;#x200B;
Thanks so much</t>
        </is>
      </c>
      <c r="D3017" t="n">
        <v>1</v>
      </c>
      <c r="E3017" t="n">
        <v>0</v>
      </c>
      <c r="F3017">
        <f>HYPERLINK("https://www.reddit.com/r/cancer/comments/c1vbe1/colonoscopy_scheduled_but_still_worried_need/")</f>
        <v/>
      </c>
      <c r="G3017" t="inlineStr">
        <is>
          <t>2019-06-17 17:18:13</t>
        </is>
      </c>
      <c r="H3017" t="inlineStr"/>
    </row>
    <row r="3018">
      <c r="A3018" t="inlineStr">
        <is>
          <t>c1x9e8</t>
        </is>
      </c>
      <c r="B3018" t="inlineStr">
        <is>
          <t>My 20mo old is losing his battle..</t>
        </is>
      </c>
      <c r="C3018" t="inlineStr">
        <is>
          <t>If you look at my post history you’ll see his small history. The summary is Choroid Plexus Carcinoma (brain tumor) at 11 months, 7 rounds of chemo. Stopped in late February.
The doctors knew he had leptomeningeal disease but said it has been stable. Said it had actually progressed but his carefree oncologist said “he can take the summer off, or we can try this?” Her reasoning behind trying something did little to instill confidence in us. Just seemed like she was in over her head. We would bring up other Dr and she seemed to scoff (yeah I’ve heard of them, why). His April scans were exactly the same as before.
I feel as though I’ve failed him. I’ve failed my son. I shouldn’t have stopped for those 2 months.
He started randomly vomiting a few times a day. His oncologist said something along the lines ‘if it worries you enough take him to the ER.’
We did. They maybe thought he had some hemorrhaging, according to a CT. 
It wasn’t hemorrhaging. It’s his leptomeningeal advancing over the top of his brain and down the sides, very, very quickly. As it does. In less than 8 weeks.
So.. it seems our options are really what they were before.. give him a break,.. or maybe ruin what time he has left with attempts to give him more time (which may end up being horrible from more treatment).
I don’t understand. We knew we felt like we weren’t getting everything from our doctors.. and now.. I just don’t understand.
I’m sorry if this is long. I just can’t imagine not having my boy anymore. I’m scared to death I won’t be able to do it without him.</t>
        </is>
      </c>
      <c r="D3018" t="n">
        <v>57</v>
      </c>
      <c r="E3018" t="n">
        <v>32</v>
      </c>
      <c r="F3018">
        <f>HYPERLINK("https://www.reddit.com/r/cancer/comments/c1x9e8/my_20mo_old_is_losing_his_battle/")</f>
        <v/>
      </c>
      <c r="G3018" t="inlineStr">
        <is>
          <t>2019-06-17 20:35:08</t>
        </is>
      </c>
      <c r="H3018" t="inlineStr"/>
    </row>
    <row r="3019">
      <c r="A3019" t="inlineStr">
        <is>
          <t>c1xpi0</t>
        </is>
      </c>
      <c r="B3019" t="inlineStr">
        <is>
          <t>20 years old, and hair thinning really badly 1 year after stem cell transplant</t>
        </is>
      </c>
      <c r="C3019" t="inlineStr">
        <is>
          <t>I can't find much information about hair loss post-remission on google, does anyone have any experience with this?
I'm wondering if the thinning is related to my treatments that maybe I'd have better chances at getting it treated.</t>
        </is>
      </c>
      <c r="D3019" t="n">
        <v>1</v>
      </c>
      <c r="E3019" t="n">
        <v>0</v>
      </c>
      <c r="F3019">
        <f>HYPERLINK("https://www.reddit.com/r/cancer/comments/c1xpi0/20_years_old_and_hair_thinning_really_badly_1/")</f>
        <v/>
      </c>
      <c r="G3019" t="inlineStr">
        <is>
          <t>2019-06-17 21:24:36</t>
        </is>
      </c>
      <c r="H3019" t="inlineStr"/>
    </row>
    <row r="3020">
      <c r="A3020" t="inlineStr">
        <is>
          <t>c1zj4c</t>
        </is>
      </c>
      <c r="B3020" t="inlineStr">
        <is>
          <t>The answer will always be "I'm fine".</t>
        </is>
      </c>
      <c r="C3020" t="inlineStr">
        <is>
          <t>People keep asking me how I'm doing and the answer will always be "fine".
It will be fine when I am and it will be fine when I'm not, because unless you are my doctor or close family member, I really don't want to talk about it, and if there is bad news, I don't want to deal with your (probably) negative reaction to that.</t>
        </is>
      </c>
      <c r="D3020" t="n">
        <v>96</v>
      </c>
      <c r="E3020" t="n">
        <v>46</v>
      </c>
      <c r="F3020">
        <f>HYPERLINK("https://www.reddit.com/r/cancer/comments/c1zj4c/the_answer_will_always_be_im_fine/")</f>
        <v/>
      </c>
      <c r="G3020" t="inlineStr">
        <is>
          <t>2019-06-18 01:08:20</t>
        </is>
      </c>
      <c r="H3020" t="inlineStr"/>
    </row>
    <row r="3021">
      <c r="A3021" t="inlineStr">
        <is>
          <t>c1zq1m</t>
        </is>
      </c>
      <c r="B3021" t="inlineStr">
        <is>
          <t>Mother has cancer again</t>
        </is>
      </c>
      <c r="C3021" t="inlineStr">
        <is>
          <t>My mother's cancer has returned. 
She had stomach cancer in 2015/16 - 75% stomach removed and chemo. All the results showed promising results, the only problem after was the fact that she had lost 40% of her body weight and could only eat tiny meals. She didn't put on much weight so is still very skinny.
I'm in uni (19yrs old) and she found out she had cancer again whilst I was doing my exams. She didn't tell me so I wouldn't worry during my exams. She said the doctor's in the UK are not giving her much time left (she won't tell me how much time) and that they will not operate on her because she is too weak.
She's now gone to China (home country) to seek treatment there due to how it is cheaper than private care in the UK and get more scans done (PET etc). They've just confirmed that she has a tumour between her spleen and pancreas and is inoperable. She will soon start radiation therapy, targeted therapy and possibly chemo again. 
They said she will maybe have a few more years if  she does this treatment.
I'm just terrified she will die. I'm not ready for this. My dad is already quite old (61yrs old) so I'm scared he will get health problems in the near future. I don't want my mum to die. I still want to do so much with her. I wanted to talk to her more. I wanted her to see more of life. I'm so scared of losing her, I'm trying to just block it out. 
I keep on thinking I won't have a mother soon. I'm very close to her, I tell her nearly everything. We still have silly things we say to eachother from when I was a kid. 
I won't see her for another 3 months as I am still in the UK, and she must finish treatment in China. 
I just need someone to chat to about this. Has anyone gone through a similar thing? I've read through some posts here already but the only poster I've felt had something similar has not posted in 10 months.</t>
        </is>
      </c>
      <c r="D3021" t="n">
        <v>9</v>
      </c>
      <c r="E3021" t="n">
        <v>3</v>
      </c>
      <c r="F3021">
        <f>HYPERLINK("https://www.reddit.com/r/cancer/comments/c1zq1m/mother_has_cancer_again/")</f>
        <v/>
      </c>
      <c r="G3021" t="inlineStr">
        <is>
          <t>2019-06-18 01:36:05</t>
        </is>
      </c>
      <c r="H3021" t="inlineStr"/>
    </row>
    <row r="3022">
      <c r="A3022" t="inlineStr">
        <is>
          <t>c20aho</t>
        </is>
      </c>
      <c r="B3022" t="inlineStr">
        <is>
          <t>Histology of endometrium carcinoma</t>
        </is>
      </c>
      <c r="C3022" t="inlineStr">
        <is>
          <t>The biopsy of my mother’s tumor in the spine is ambiguous. She had endometrium carcinoma in August 2018 and now a 7cm tumor in the sacrum. Doctors say that the biopsy shows signs for breast or endometrium cancer. Can that be possible? Are other tumors excludable?</t>
        </is>
      </c>
      <c r="D3022" t="n">
        <v>5</v>
      </c>
      <c r="E3022" t="n">
        <v>3</v>
      </c>
      <c r="F3022">
        <f>HYPERLINK("https://www.reddit.com/r/cancer/comments/c20aho/histology_of_endometrium_carcinoma/")</f>
        <v/>
      </c>
      <c r="G3022" t="inlineStr">
        <is>
          <t>2019-06-18 02:52:56</t>
        </is>
      </c>
      <c r="H3022" t="inlineStr"/>
    </row>
    <row r="3023">
      <c r="A3023" t="inlineStr">
        <is>
          <t>c21uu1</t>
        </is>
      </c>
      <c r="B3023" t="inlineStr">
        <is>
          <t>Partners mother just found out she has cancer in both lungs. Can anyone give me some information on this.</t>
        </is>
      </c>
      <c r="C3023" t="inlineStr">
        <is>
          <t>Literally found out 2 hours ago. Cancer in both lungs and the lymph nodes i think. 
I understand this is not good at all and she starts chemo next week. Can anyone be straight with me and tell me how bad this is?
How long do people usually last with this sort of prognosis? Will chemo actually do anything? 
She is 55 and has been very bad with her chest for a long time so I’m guessing it’s been there a good while.</t>
        </is>
      </c>
      <c r="D3023" t="n">
        <v>5</v>
      </c>
      <c r="E3023" t="n">
        <v>6</v>
      </c>
      <c r="F3023">
        <f>HYPERLINK("https://www.reddit.com/r/cancer/comments/c21uu1/partners_mother_just_found_out_she_has_cancer_in/")</f>
        <v/>
      </c>
      <c r="G3023" t="inlineStr">
        <is>
          <t>2019-06-18 05:49:49</t>
        </is>
      </c>
      <c r="H3023" t="inlineStr"/>
    </row>
    <row r="3024">
      <c r="A3024" t="inlineStr">
        <is>
          <t>c223eu</t>
        </is>
      </c>
      <c r="B3024" t="inlineStr">
        <is>
          <t>Dad's Rare Cancer Worse Than Thought. Doctor Giving 50-50 Odds. How Do You Guys Prepare?</t>
        </is>
      </c>
      <c r="C3024" t="inlineStr">
        <is>
          <t>He has Chronic myelomonocytic leukemia, which affects 1 in 100,000 people, apparently. Super rare. The doctor has moved up his transplant (my parents keep saying bone marrow, but I think it has to be a stem cell) to late July, early August. It has to work or he's gone, essentially. It's 50-50 odds, according to the doctor.
I'm scared. Nervous. Anxious. But I'm also trying to think ahead. I'm going to try to get family photos scheduled before things get too far ahead. I want to talk with my mom about her plans, but I also don't want to cause her unneeded stress. What are some other things I should be thinking about?</t>
        </is>
      </c>
      <c r="D3024" t="n">
        <v>6</v>
      </c>
      <c r="E3024" t="n">
        <v>9</v>
      </c>
      <c r="F3024">
        <f>HYPERLINK("https://www.reddit.com/r/cancer/comments/c223eu/dads_rare_cancer_worse_than_thought_doctor_giving/")</f>
        <v/>
      </c>
      <c r="G3024" t="inlineStr">
        <is>
          <t>2019-06-18 06:12:36</t>
        </is>
      </c>
      <c r="H3024" t="inlineStr"/>
    </row>
    <row r="3025">
      <c r="A3025" t="inlineStr">
        <is>
          <t>c228k8</t>
        </is>
      </c>
      <c r="B3025" t="inlineStr">
        <is>
          <t>My dad just got diagnosed with esophageal cancer and I'm just so goddamn angry</t>
        </is>
      </c>
      <c r="C3025" t="inlineStr">
        <is>
          <t>My dad is one of the healthiest people I know and he ends up with cancer. If I ever doubted that life is unfair I absolutely don't anymore. He's starting chemo on Thursday and wants to continue to live as normal as possible, which I hope he can. The scariest part isn't even that he might very well die (though I don't want to think about that either), it's that my super active, healthy dad goes from that to laying in a hospital bed with no energy. It's just not *right*. 
At the moment I'm really envious of my dog, who's blissfully ignorant of this whole thing. She'll be overjoyed when my dad gets home from the hospital and wag her tail so it almost falls off. As for me, I guess I'll just have to figure out a way to avoid crying. I know that won't help my dad. 
I'm not even sure what I want with this post, I just had to write it down and get it out somewhere, and I figure if anyone would understand it's the people on this sub. Fuck this fucking illness.</t>
        </is>
      </c>
      <c r="D3025" t="n">
        <v>1</v>
      </c>
      <c r="E3025" t="n">
        <v>0</v>
      </c>
      <c r="F3025">
        <f>HYPERLINK("https://www.reddit.com/r/cancer/comments/c228k8/my_dad_just_got_diagnosed_with_esophageal_cancer/")</f>
        <v/>
      </c>
      <c r="G3025" t="inlineStr">
        <is>
          <t>2019-06-18 06:26:25</t>
        </is>
      </c>
      <c r="H3025" t="inlineStr"/>
    </row>
    <row r="3026">
      <c r="A3026" t="inlineStr">
        <is>
          <t>c22u3s</t>
        </is>
      </c>
      <c r="B3026" t="inlineStr">
        <is>
          <t>Care Package?</t>
        </is>
      </c>
      <c r="C3026" t="inlineStr">
        <is>
          <t>Hi everyone! This is my first post ever and I'm really hoping you guys can help. A coworker of mine was recently diagnosed with cancer and we are trying to think of something really nice to do for him.  Our work is already looking into food/meal subscriptions for him and his partner, but as his more immediate team/friends from work, we wanted to pull together maybe a nice care package or something for him. I'm here looking for ANY and ALL suggestions from people who have gone through this and maybe know more about what would really come in handy for him/provide him with some sort of comfort.
We love him dearly and just want to do everything we can for him.
Thank you all in advance!</t>
        </is>
      </c>
      <c r="D3026" t="n">
        <v>10</v>
      </c>
      <c r="E3026" t="n">
        <v>6</v>
      </c>
      <c r="F3026">
        <f>HYPERLINK("https://www.reddit.com/r/cancer/comments/c22u3s/care_package/")</f>
        <v/>
      </c>
      <c r="G3026" t="inlineStr">
        <is>
          <t>2019-06-18 07:21:16</t>
        </is>
      </c>
      <c r="H3026" t="inlineStr"/>
    </row>
    <row r="3027">
      <c r="A3027" t="inlineStr">
        <is>
          <t>c23lqo</t>
        </is>
      </c>
      <c r="B3027" t="inlineStr">
        <is>
          <t>using cancer to fight cancer</t>
        </is>
      </c>
      <c r="C3027" t="inlineStr">
        <is>
          <t>I it possible to give cancer a cancer of its own on that attacks only cancer cells 
call me Fabio est Toronto Canada if it works</t>
        </is>
      </c>
      <c r="D3027" t="n">
        <v>0</v>
      </c>
      <c r="E3027" t="n">
        <v>6</v>
      </c>
      <c r="F3027">
        <f>HYPERLINK("https://www.reddit.com/r/cancer/comments/c23lqo/using_cancer_to_fight_cancer/")</f>
        <v/>
      </c>
      <c r="G3027" t="inlineStr">
        <is>
          <t>2019-06-18 08:26:54</t>
        </is>
      </c>
      <c r="H3027" t="inlineStr"/>
    </row>
    <row r="3028">
      <c r="A3028" t="inlineStr">
        <is>
          <t>c25lde</t>
        </is>
      </c>
      <c r="B3028" t="inlineStr">
        <is>
          <t>Anyone gets shortness of breath from chemo, insomnia,and headaches?</t>
        </is>
      </c>
      <c r="C3028" t="inlineStr">
        <is>
          <t>Just curious because my mom gets headaches,insomnia and shortness of breath then next day after her chemo also the fatigue is bad</t>
        </is>
      </c>
      <c r="D3028" t="n">
        <v>8</v>
      </c>
      <c r="E3028" t="n">
        <v>4</v>
      </c>
      <c r="F3028">
        <f>HYPERLINK("https://www.reddit.com/r/cancer/comments/c25lde/anyone_gets_shortness_of_breath_from_chemo/")</f>
        <v/>
      </c>
      <c r="G3028" t="inlineStr">
        <is>
          <t>2019-06-18 11:05:19</t>
        </is>
      </c>
      <c r="H3028" t="inlineStr"/>
    </row>
    <row r="3029">
      <c r="A3029" t="inlineStr">
        <is>
          <t>c25w76</t>
        </is>
      </c>
      <c r="B3029" t="inlineStr">
        <is>
          <t>I feel like I will survive this (chemo almost over) but terrified of reoccurance!</t>
        </is>
      </c>
      <c r="C3029" t="inlineStr">
        <is>
          <t>I wish I could think just a moment at a time.  I should be done with chemo the first week in July. Which I'm super happy about. I almost died a few times and that wasn't fun but I feel like I finally will most likely pull through. I have ovarian cancer though and I'm terrified because the reoccurance rate is 70-85%. My tumor markers are down tremendously- 10,000 to 289 but they still aren't under 40, which they should be. My scans have been clear. I just can't stop worrying about it. I'm seeing a counselor but of course she's out these next two weeks.</t>
        </is>
      </c>
      <c r="D3029" t="n">
        <v>29</v>
      </c>
      <c r="E3029" t="n">
        <v>10</v>
      </c>
      <c r="F3029">
        <f>HYPERLINK("https://www.reddit.com/r/cancer/comments/c25w76/i_feel_like_i_will_survive_this_chemo_almost_over/")</f>
        <v/>
      </c>
      <c r="G3029" t="inlineStr">
        <is>
          <t>2019-06-18 11:28:41</t>
        </is>
      </c>
      <c r="H3029" t="inlineStr"/>
    </row>
    <row r="3030">
      <c r="A3030" t="inlineStr">
        <is>
          <t>c262cl</t>
        </is>
      </c>
      <c r="B3030" t="inlineStr">
        <is>
          <t>Just went to the doctor</t>
        </is>
      </c>
      <c r="C3030" t="inlineStr">
        <is>
          <t>I saw my primary doctor about a lump in my arm just a minute ago. It's 10 cm by 10 cm, in the muscle of my upper arm where I couldn't see in the mirror if I wasn't looking for it. I'm not sure how long it's been there but I think I would have noticed it last summer so my guess is less than 9 months. I'm starting to feel it press on the nerves in my arm so I think it's growing. She seemed concerned and said she thought it was "some sort of soft tissue thing" and ordered a CT. The past couple days I've been reading and I'm thinking it's a soft tissue sarcoma. If it's not, GREAT. But if it is, I've read that it's important to only let a sarcoma specialist do any cutting. 
I would appreciate any sarcoma diagnosis stories you may want to share. I'm not sure when I'll be getting the CT so while I wait I want to learn as much as I can. I know that may be more upsetting for some people, but I feel better when I know what I could be facing.</t>
        </is>
      </c>
      <c r="D3030" t="n">
        <v>11</v>
      </c>
      <c r="E3030" t="n">
        <v>16</v>
      </c>
      <c r="F3030">
        <f>HYPERLINK("https://www.reddit.com/r/cancer/comments/c262cl/just_went_to_the_doctor/")</f>
        <v/>
      </c>
      <c r="G3030" t="inlineStr">
        <is>
          <t>2019-06-18 11:42:06</t>
        </is>
      </c>
      <c r="H3030" t="inlineStr"/>
    </row>
    <row r="3031">
      <c r="A3031" t="inlineStr">
        <is>
          <t>c26bql</t>
        </is>
      </c>
      <c r="B3031" t="inlineStr">
        <is>
          <t>Hair loss</t>
        </is>
      </c>
      <c r="C3031" t="inlineStr">
        <is>
          <t>What were y’all’s favorites for wigs/scarves/hats? I’m shedding like crazy and may just shave my head this weekend.</t>
        </is>
      </c>
      <c r="D3031" t="n">
        <v>10</v>
      </c>
      <c r="E3031" t="n">
        <v>9</v>
      </c>
      <c r="F3031">
        <f>HYPERLINK("https://www.reddit.com/r/cancer/comments/c26bql/hair_loss/")</f>
        <v/>
      </c>
      <c r="G3031" t="inlineStr">
        <is>
          <t>2019-06-18 12:02:46</t>
        </is>
      </c>
      <c r="H3031" t="inlineStr"/>
    </row>
    <row r="3032">
      <c r="A3032" t="inlineStr">
        <is>
          <t>c26mr8</t>
        </is>
      </c>
      <c r="B3032" t="inlineStr">
        <is>
          <t>Leg pain after treatment - any experience with it?</t>
        </is>
      </c>
      <c r="C3032" t="inlineStr">
        <is>
          <t>My son of 5 and a half years has finished treatment two months ago for B-cell Leukemia. During the treatment he had leg pain a couple of times, but it always went away within an hour or so.
Now, since last Thursday, he's got a really bad pain, especially in his left foot and ankle. He can barely limp. He was examined twice already and the doctors say "for now we can't find anything wrong, just wait and see". Anyone else experienced something similar?</t>
        </is>
      </c>
      <c r="D3032" t="n">
        <v>6</v>
      </c>
      <c r="E3032" t="n">
        <v>4</v>
      </c>
      <c r="F3032">
        <f>HYPERLINK("https://www.reddit.com/r/cancer/comments/c26mr8/leg_pain_after_treatment_any_experience_with_it/")</f>
        <v/>
      </c>
      <c r="G3032" t="inlineStr">
        <is>
          <t>2019-06-18 12:27:46</t>
        </is>
      </c>
      <c r="H3032" t="inlineStr"/>
    </row>
    <row r="3033">
      <c r="A3033" t="inlineStr">
        <is>
          <t>c27lh5</t>
        </is>
      </c>
      <c r="B3033" t="inlineStr">
        <is>
          <t>It’s back</t>
        </is>
      </c>
      <c r="C3033" t="inlineStr">
        <is>
          <t>Squamous cell carcinoma. It’s under my tongue. Thought they got it all in 2017 but either they didn’t or it grew back. Not sure what will happen from this point, but chemo has been mentioned this time. I’ve never had chemo or radiation so that’s going to be a new experience :-/ 
I’m bummed. Treatment is so expensive and we’ve only just recovered from the first diagnosis... so long dreams</t>
        </is>
      </c>
      <c r="D3033" t="n">
        <v>20</v>
      </c>
      <c r="E3033" t="n">
        <v>5</v>
      </c>
      <c r="F3033">
        <f>HYPERLINK("https://www.reddit.com/r/cancer/comments/c27lh5/its_back/")</f>
        <v/>
      </c>
      <c r="G3033" t="inlineStr">
        <is>
          <t>2019-06-18 13:43:36</t>
        </is>
      </c>
      <c r="H3033" t="inlineStr"/>
    </row>
    <row r="3034">
      <c r="A3034" t="inlineStr">
        <is>
          <t>c27mvq</t>
        </is>
      </c>
      <c r="B3034" t="inlineStr">
        <is>
          <t>Headwear suggestions for men?</t>
        </is>
      </c>
      <c r="C3034" t="inlineStr">
        <is>
          <t>I work in a white collar business environment.  Dress shirt and slacks/dress shoes up to full suit and tie is the norm.  
Any ideas for what to wear with such clothes indoors while at work and not look like an idiot?  I have plenty of ball caps, etc that I could press into service for sure.  But I'm wondering if anyone that works in such an environment pulled off something that didn't look really silly.  
I'm also thinking of getting a couple black cotton skull caps as a sort of minimalist thing?  
Thoughts?</t>
        </is>
      </c>
      <c r="D3034" t="n">
        <v>7</v>
      </c>
      <c r="E3034" t="n">
        <v>9</v>
      </c>
      <c r="F3034">
        <f>HYPERLINK("https://www.reddit.com/r/cancer/comments/c27mvq/headwear_suggestions_for_men/")</f>
        <v/>
      </c>
      <c r="G3034" t="inlineStr">
        <is>
          <t>2019-06-18 13:46:41</t>
        </is>
      </c>
      <c r="H3034" t="inlineStr"/>
    </row>
    <row r="3035">
      <c r="A3035" t="inlineStr">
        <is>
          <t>c28eap</t>
        </is>
      </c>
      <c r="B3035" t="inlineStr">
        <is>
          <t>My father died today</t>
        </is>
      </c>
      <c r="C3035" t="inlineStr">
        <is>
          <t>He had been battling colon cancer since late November 2017. Today he died after 6 days on hospice :( He was only 64 years old.</t>
        </is>
      </c>
      <c r="D3035" t="n">
        <v>83</v>
      </c>
      <c r="E3035" t="n">
        <v>36</v>
      </c>
      <c r="F3035">
        <f>HYPERLINK("https://www.reddit.com/r/cancer/comments/c28eap/my_father_died_today/")</f>
        <v/>
      </c>
      <c r="G3035" t="inlineStr">
        <is>
          <t>2019-06-18 14:48:58</t>
        </is>
      </c>
      <c r="H3035" t="inlineStr"/>
    </row>
    <row r="3036">
      <c r="A3036" t="inlineStr">
        <is>
          <t>c28tz7</t>
        </is>
      </c>
      <c r="B3036" t="inlineStr">
        <is>
          <t>My dad got diagnosed with esophageal cancer today and I'm just so goddamn angry</t>
        </is>
      </c>
      <c r="C3036" t="inlineStr">
        <is>
          <t>My dad is one of the healthiest people I know, but of course cancer doesn't give two fucks about that. He's also one of the greatest people I know. Obviously I'm slightly biased, but the amount of flowers, care packages and "get well"-messages he has received ever since the doctors first found out something wasn't right.. that says something. If I ever doubted that life is unfair, I absolutely don't anymore. 
He's starting chemo on Thursday and wants to continue to live as normal as possible, which I hope he can. The scariest part isn't even that he might very well die (though I don't want to think about that either), it's that my super active, healthy dad goes from that to laying in a hospital bed with no energy. It's just not right.
At the moment I'm really envious of my dog, who's blissfully ignorant of this whole thing. She'll be overjoyed when my dad gets home from the hospital and wag her tail so it almost falls off, like she always does. She and my dad are best friends. As for me, I guess I'll just have to figure out a way to avoid crying when I see him. I know that won't help my dad.
I'm not even sure what I want with this post, I just had to write it down and get it out somewhere, and I figure if anyone would understand it's the people on this sub. Fuck this fucking illness.</t>
        </is>
      </c>
      <c r="D3036" t="n">
        <v>7</v>
      </c>
      <c r="E3036" t="n">
        <v>13</v>
      </c>
      <c r="F3036">
        <f>HYPERLINK("https://www.reddit.com/r/cancer/comments/c28tz7/my_dad_got_diagnosed_with_esophageal_cancer_today/")</f>
        <v/>
      </c>
      <c r="G3036" t="inlineStr">
        <is>
          <t>2019-06-18 15:25:55</t>
        </is>
      </c>
      <c r="H3036" t="inlineStr"/>
    </row>
    <row r="3037">
      <c r="A3037" t="inlineStr">
        <is>
          <t>c28zpw</t>
        </is>
      </c>
      <c r="B3037" t="inlineStr">
        <is>
          <t>I was supposed to take my dad to the hospital today.</t>
        </is>
      </c>
      <c r="C3037" t="inlineStr">
        <is>
          <t>So early this morning I was supposed to take my dad to the hospital for bone marrow testing or whatever it’s called for his AML leukemia to start his transplant process soon. The night before, I regretfully stayed up way too late and this morning when he woke me up I just couldn’t get out of bed because I was too exhausted for my own good. He wanted to leave around 8:45 and I ended up getting out of bed at 8:40 and just got dressed, didn’t really get ready but was good enough, at around 8:45 and was ready to take him, but when I looked for him, he had already left for the hospital. I thought that since he could drive there that he really didn’t need me to go anyways, I thought he just wanted me there for support, so I just went back to bed. But to my knowledge, when I woke back up he was already back, and seemed pissed. I asked him what happened there, and apparently they were going to put him under anesthesia to extract his bone marrow, and he wasn’t going to be able to drive, which he didn’t tell me about the day before. This pushed him back on his transplant process, but thankfully they rescheduled it for 2 days from now, and now my aunt is going take him for that. I feel AWFUL about this because he needed me and I let him down big time. I really don’t want to make excuses, but I really didn’t know he would be under anesthesia and wouldn’t be able to drive afterwards, otherwise I would have made every effort to drive him there and have the procedure done. I messed up big time and I feel so bad about it and I don’t know what to do now. Thanks for reading my boring rant.</t>
        </is>
      </c>
      <c r="D3037" t="n">
        <v>1</v>
      </c>
      <c r="E3037" t="n">
        <v>5</v>
      </c>
      <c r="F3037">
        <f>HYPERLINK("https://www.reddit.com/r/cancer/comments/c28zpw/i_was_supposed_to_take_my_dad_to_the_hospital/")</f>
        <v/>
      </c>
      <c r="G3037" t="inlineStr">
        <is>
          <t>2019-06-18 15:40:04</t>
        </is>
      </c>
      <c r="H3037" t="inlineStr"/>
    </row>
    <row r="3038">
      <c r="A3038" t="inlineStr">
        <is>
          <t>c2977y</t>
        </is>
      </c>
      <c r="B3038" t="inlineStr">
        <is>
          <t>Crackers</t>
        </is>
      </c>
      <c r="C3038" t="inlineStr">
        <is>
          <t>Loving Fruit Loops #yummy</t>
        </is>
      </c>
      <c r="D3038" t="n">
        <v>1</v>
      </c>
      <c r="E3038" t="n">
        <v>0</v>
      </c>
      <c r="F3038">
        <f>HYPERLINK("https://www.reddit.com/r/cancer/comments/c2977y/crackers/")</f>
        <v/>
      </c>
      <c r="G3038" t="inlineStr">
        <is>
          <t>2019-06-18 15:58:54</t>
        </is>
      </c>
      <c r="H3038" t="inlineStr"/>
    </row>
    <row r="3039">
      <c r="A3039" t="inlineStr">
        <is>
          <t>c29f54</t>
        </is>
      </c>
      <c r="B3039" t="inlineStr">
        <is>
          <t>Why a PET Scan</t>
        </is>
      </c>
      <c r="C3039" t="inlineStr">
        <is>
          <t>My dad is 86 and has been dealing with chronic bronchitis for a few years. Doctor found nodules on his lung after CT scan and ordered a PET scan. Is that a sign doctor knows/suspects it's cancer, or is the doctor just being thorough? First time going through this experience here, Thanks all.</t>
        </is>
      </c>
      <c r="D3039" t="n">
        <v>0</v>
      </c>
      <c r="E3039" t="n">
        <v>4</v>
      </c>
      <c r="F3039">
        <f>HYPERLINK("https://www.reddit.com/r/cancer/comments/c29f54/why_a_pet_scan/")</f>
        <v/>
      </c>
      <c r="G3039" t="inlineStr">
        <is>
          <t>2019-06-18 16:19:24</t>
        </is>
      </c>
      <c r="H3039" t="inlineStr"/>
    </row>
    <row r="3040">
      <c r="A3040" t="inlineStr">
        <is>
          <t>c2auti</t>
        </is>
      </c>
      <c r="B3040" t="inlineStr">
        <is>
          <t>Father has cancer...again.</t>
        </is>
      </c>
      <c r="C3040" t="inlineStr">
        <is>
          <t>I am so upset, devastated, scared, every possible emotion you can feel in this situation. My father who is 64 was diagnosed with stage II pancreatic cancer five years ago. He went through the surgery and chemo and was seemingly all better. In March of this year he went in for his final scan and the doctors found a 3cm mass on his kidney. He eventually was scheduled for his biopsy and received confirmation yesterday that it’s cancer. The doctors weren’t able to provide the pathology reports though because they’re not yet ready??
None of the doctors want to take him as a patient because no one knows how to approach it. He is seeing a team at University of Washington which is suppose to be one of the best research hospitals in the area, yet no one seems to know anything. I’m so frustrated and confused. My dad looks great, feels great, has no symptoms and even his blood work is coming back as normal.
I’m scared but I’m trying my hardest to keep it together for the sake of my parents. 
I don’t even know what I’m asking here...maybe just venting. Idk, does anyone have a similar story? Thanks for reading.</t>
        </is>
      </c>
      <c r="D3040" t="n">
        <v>8</v>
      </c>
      <c r="E3040" t="n">
        <v>4</v>
      </c>
      <c r="F3040">
        <f>HYPERLINK("https://www.reddit.com/r/cancer/comments/c2auti/father_has_canceragain/")</f>
        <v/>
      </c>
      <c r="G3040" t="inlineStr">
        <is>
          <t>2019-06-18 18:38:01</t>
        </is>
      </c>
      <c r="H3040" t="inlineStr"/>
    </row>
    <row r="3041">
      <c r="A3041" t="inlineStr">
        <is>
          <t>c2b1oe</t>
        </is>
      </c>
      <c r="B3041" t="inlineStr">
        <is>
          <t>Cooling caps?</t>
        </is>
      </c>
      <c r="C3041" t="inlineStr">
        <is>
          <t>Hello all,
My mom was diagnosed with advanced ovarian cancer last week and is suppose to begin chemotherapy next week. I'm very new to all of this. A friend of my mother's mentioned to her about cooling caps to reduce the potential risk of hair loss and my mother was asking me about them. Does anyone have any experience with these? Is it worth the try?</t>
        </is>
      </c>
      <c r="D3041" t="n">
        <v>3</v>
      </c>
      <c r="E3041" t="n">
        <v>7</v>
      </c>
      <c r="F3041">
        <f>HYPERLINK("https://www.reddit.com/r/cancer/comments/c2b1oe/cooling_caps/")</f>
        <v/>
      </c>
      <c r="G3041" t="inlineStr">
        <is>
          <t>2019-06-18 18:56:47</t>
        </is>
      </c>
      <c r="H3041" t="inlineStr"/>
    </row>
    <row r="3042">
      <c r="A3042" t="inlineStr">
        <is>
          <t>c2bedj</t>
        </is>
      </c>
      <c r="B3042" t="inlineStr">
        <is>
          <t>I’m struggling with urgency.</t>
        </is>
      </c>
      <c r="C3042" t="inlineStr">
        <is>
          <t>I never really came to terms with having cancer. Initially I didn’t want to talk about it at all, I just wanted to keep moving forward. I shielded myself from the negatives and I genuinely believed I was protecting myself. In my attempts to protect myself it seems I’ve inadvertently created some pretty difficult problems for myself instead.
The list is long so I’ll try to narrow it down to the main things. I struggle with addiction (all kinds), relationships (mostly romantic), exercise and accomplishment. I think all of them stem from a sense of urgency.
I can’t not go out clubbing with my mates. I don’t want to miss the opportunity and I know my time here may be limited. So I indulge in alcohol and drugs because what’s the point? Alcohol mainly causes long term damage, and I’ve never been into the heavier drugs; what’s the point in taking care of myself if I die to cancer? The same sentiment goes for exercise and food. Why should I care about eating healthy, or staying fit? If the cancer spreads I’m dead anyway. What’s the point in getting a girlfriend, or trying to build a family. What’s the point in getting a good career, or pursuing higher education; if all of it will be for nothing?
So I took the easy road. I never miss a date with my friends. Late nights riddled with substance abuse and terrible choices. If I had recieved a death sentence then yeah, everything would’ve been fine as I’d have made the most of it. But today (almost on the day) I’ve had the diagnosis for 9 years. I’ve spent 9 years of my life in an absolute refusal to progress. I don’t want to wake up in the exact same place in another decade. I didn’t want to actively work toward something and have it stolen by death, so I didn’t actively work toward anything. It seems I’ve robbed myself instead. I wanted to live as much as I possible could, and I believe that in doing so I’ve neglected myself of actually feeling fulfilled. 
While I suppressed some emotions, I did consciously make the choice to act this way. My cancer behaves pretty weirdly. It grows slowly until (usually) an outside factor affects it. It can be a bone breaking in the vicinity of the tumor, or an inflammation of some sort. The 5-year survival rate is decent at ~50%, the 10-year survival rate is pretty bleak at &amp;lt;8%. 1/10 didn’t sound that good to me...and here we are. I don’t have cancer, and I might actually make it pretty far. 
While I made this choice, I’m struggling immensely with reversing it. ”The chains of habit are too light to be felt until they are too heavy to be broken”, I didn’t really get that when I read it for the first time, but it stuck with me for whatever reason. I guess it’s pretty likely I subconsciously felt targeted by it, because man do I feel caught now. 
I’m not a native english speaker so I’m probably repeating myself a ton which would explain the wall of text. I’m planning on seeing a shrink and getting my mind sorted, but I’d appreciate some advice or if someone’s gone through something similar and made it out on the other side. Thank you for your time!</t>
        </is>
      </c>
      <c r="D3042" t="n">
        <v>1</v>
      </c>
      <c r="E3042" t="n">
        <v>0</v>
      </c>
      <c r="F3042">
        <f>HYPERLINK("https://www.reddit.com/r/cancer/comments/c2bedj/im_struggling_with_urgency/")</f>
        <v/>
      </c>
      <c r="G3042" t="inlineStr">
        <is>
          <t>2019-06-18 19:31:39</t>
        </is>
      </c>
      <c r="H3042" t="inlineStr"/>
    </row>
    <row r="3043">
      <c r="A3043" t="inlineStr">
        <is>
          <t>c2bfkp</t>
        </is>
      </c>
      <c r="B3043" t="inlineStr">
        <is>
          <t>Fuck Anti-Vaxxers</t>
        </is>
      </c>
      <c r="C3043" t="inlineStr">
        <is>
          <t>TW - Cancer Death
&amp;amp;#x200B;
My 61 year old father died on a beautiful day in June.  I know that's cliché, but it really does seem jarring when the weather doesn’t line up with this crazy internal turmoil.  Didn't Mother Nature know my family's world was falling apart?
&amp;amp;#x200B;
Hospice gave my father 3 months to live, but ultimately, it only took 3 weeks.  It was breathtakingly fast.  The wonderful hospice nurse deftly read all the signs and let us know, more or less what kind of time we actually had.  I arrived the morning of his death to see a drastically different person.  He was gaunter than I had ever seen him.  The breathing was ragged and harsh.  His eyes wouldn't close or blink.  My heart turned to liquid and I drank it in my stomach.
&amp;amp;#x200B;
Throughout the day, I had an intimacy with my Dad I hadn't had for years.  I rubbed his feet, and felt the ridges and muscles under the skin.  I held his hands and noticed how wide and flat his finger nails were, that he had a healing cut on one of his fingers.  His smell.  The color of his eyes.  
&amp;amp;#x200B;
I read that the dying can likely hear during spells of semi-conciseness.  I talked about his grandchildren to him.  Talked about what was going on around him.  That we loved him and generally tried to keep it peaceful.  His anointing of the sick was really beautiful.  
&amp;amp;#x200B;
As the hour grew near, people came and went until it was just his wife, his sister, and me in the room.  My sisters from the coast were coming as fast as they could but wouldn't make it.  He took his last breath that looked like all the other breaths before it.  And then he was gone.
&amp;amp;#x200B;
My father contracted HPV16 in his younger years.  The virus worked on him and worked on him.  And then the chemo worked on him and worked on him.  And then the radiation worked on him and worked on him.  And then the tumors worked on him and worked on him.
&amp;amp;#x200B;
And you know what, there's a vaccine for all this now.  Gardasil inoculates against HPV 6, 11, 18, and you guessed it, 16.    It's mostly targeted for girls due to cervical cancer, but my Dad got head, neck and throat cancer, so please give it to your boys.  He didn't take the diagnosis with shame.  He and my step-mom leaned into it talking openly about it, and told everyone to get the vaccination.  It's not perfect and doesn't protect against all strains, but it gets at some of the worst ones.
&amp;amp;#x200B;
And now when I run into anti-vaxxers, I want to vomit.
&amp;amp;#x200B;
Take warning for us 20-30-40 somethings.  We can end deaths by HPV.  We can do it.  Only we can help prevent our grandchildren from having to bury their parents.</t>
        </is>
      </c>
      <c r="D3043" t="n">
        <v>92</v>
      </c>
      <c r="E3043" t="n">
        <v>30</v>
      </c>
      <c r="F3043">
        <f>HYPERLINK("https://www.reddit.com/r/cancer/comments/c2bfkp/fuck_antivaxxers/")</f>
        <v/>
      </c>
      <c r="G3043" t="inlineStr">
        <is>
          <t>2019-06-18 19:34:50</t>
        </is>
      </c>
      <c r="H3043" t="inlineStr"/>
    </row>
    <row r="3044">
      <c r="A3044" t="inlineStr">
        <is>
          <t>c2c3z5</t>
        </is>
      </c>
      <c r="B3044" t="inlineStr">
        <is>
          <t>Chemo sucks my mom wants to give up</t>
        </is>
      </c>
      <c r="C3044" t="inlineStr">
        <is>
          <t>She threw up alot having insomnia headaches shortness of breath flu like symptoms fatigue and weakness but after 5 days she starts to feel better but still have no taste or other foods taste different</t>
        </is>
      </c>
      <c r="D3044" t="n">
        <v>5</v>
      </c>
      <c r="E3044" t="n">
        <v>5</v>
      </c>
      <c r="F3044">
        <f>HYPERLINK("https://www.reddit.com/r/cancer/comments/c2c3z5/chemo_sucks_my_mom_wants_to_give_up/")</f>
        <v/>
      </c>
      <c r="G3044" t="inlineStr">
        <is>
          <t>2019-06-18 20:45:08</t>
        </is>
      </c>
      <c r="H3044" t="inlineStr"/>
    </row>
    <row r="3045">
      <c r="A3045" t="inlineStr">
        <is>
          <t>c2dv7a</t>
        </is>
      </c>
      <c r="B3045" t="inlineStr">
        <is>
          <t>Ninja?</t>
        </is>
      </c>
      <c r="C3045" t="inlineStr">
        <is>
          <t>Ninja.</t>
        </is>
      </c>
      <c r="D3045" t="n">
        <v>0</v>
      </c>
      <c r="E3045" t="n">
        <v>0</v>
      </c>
      <c r="F3045">
        <f>HYPERLINK("https://www.reddit.com/r/cancer/comments/c2dv7a/ninja/")</f>
        <v/>
      </c>
      <c r="G3045" t="inlineStr">
        <is>
          <t>2019-06-19 00:06:49</t>
        </is>
      </c>
      <c r="H3045" t="inlineStr"/>
    </row>
    <row r="3046">
      <c r="A3046" t="inlineStr">
        <is>
          <t>c2enl0</t>
        </is>
      </c>
      <c r="B3046" t="inlineStr">
        <is>
          <t>Has anyone ever tried to give advice on how you react to your own cancer? Can they?</t>
        </is>
      </c>
      <c r="C3046" t="inlineStr">
        <is>
          <t>So saw the cardiothoracic specialist today and he thinks I have lymphoma based on my CT scan.
Need a biopsy on Friday to confirm but this man with years of experience in suspicious lumps said he'd bet it's lymphoma. Differential being a germ cell tumour.
My boyfriend, not well known for having an empathy muscle, proceeded to get frustrated at me afterwards for operating on the assumption that I have lymphoma when 'we don't know yet'.
In my eyes all I've been doing is expressing my fear of what's to come, time off work, and trying to plan for where I would like to get chemo done if it comes to that.
Ended up in a huge fight because he was raising his voice at me and getting frustrated with me for 'jumping straight to the negative'. For the first time in our relationship I asked him to leave my house because I need to be alone with this.
I'm in shock... I know I don't have a confirmed diagnosis but it feels close enough for me to start worrying based on what the doctor said.</t>
        </is>
      </c>
      <c r="D3046" t="n">
        <v>15</v>
      </c>
      <c r="E3046" t="n">
        <v>14</v>
      </c>
      <c r="F3046">
        <f>HYPERLINK("https://www.reddit.com/r/cancer/comments/c2enl0/has_anyone_ever_tried_to_give_advice_on_how_you/")</f>
        <v/>
      </c>
      <c r="G3046" t="inlineStr">
        <is>
          <t>2019-06-19 01:54:22</t>
        </is>
      </c>
      <c r="H3046" t="inlineStr"/>
    </row>
    <row r="3047">
      <c r="A3047" t="inlineStr">
        <is>
          <t>c2h147</t>
        </is>
      </c>
      <c r="B3047" t="inlineStr">
        <is>
          <t>Advice on ways to help/support my parents?</t>
        </is>
      </c>
      <c r="C3047" t="inlineStr">
        <is>
          <t>My dad was diagnosed with stage IV RCC in August of 2016. There have been many ups and downs since then, but at this moment, he is undergoing radiation therapy for some tumors that are growing around his spine and causing extreme pain. So much pain that he is nearly bed-bound. He and my mother are both in their early 50s and he was still working until 2 weeks ago. But it seems highly unlikely that he will be able to return to his job. My mom just broke down to me about all the stress she’s experiencing too, but feels like she’s just having a pity party for herself. 
My question is, as an able and willing adult child, how can I best support them? What are some things that you wish others would do for you but are too proud to ask for?  Any and all suggestions are welcome!!</t>
        </is>
      </c>
      <c r="D3047" t="n">
        <v>18</v>
      </c>
      <c r="E3047" t="n">
        <v>9</v>
      </c>
      <c r="F3047">
        <f>HYPERLINK("https://www.reddit.com/r/cancer/comments/c2h147/advice_on_ways_to_helpsupport_my_parents/")</f>
        <v/>
      </c>
      <c r="G3047" t="inlineStr">
        <is>
          <t>2019-06-19 06:22:17</t>
        </is>
      </c>
      <c r="H3047" t="inlineStr"/>
    </row>
    <row r="3048">
      <c r="A3048" t="inlineStr">
        <is>
          <t>c2hbf6</t>
        </is>
      </c>
      <c r="B3048" t="inlineStr">
        <is>
          <t>Li-Fraumeni Syndrome</t>
        </is>
      </c>
      <c r="C3048" t="inlineStr">
        <is>
          <t>Anyone else have this curse?</t>
        </is>
      </c>
      <c r="D3048" t="n">
        <v>17</v>
      </c>
      <c r="E3048" t="n">
        <v>14</v>
      </c>
      <c r="F3048">
        <f>HYPERLINK("https://www.reddit.com/r/cancer/comments/c2hbf6/lifraumeni_syndrome/")</f>
        <v/>
      </c>
      <c r="G3048" t="inlineStr">
        <is>
          <t>2019-06-19 06:48:51</t>
        </is>
      </c>
      <c r="H3048" t="inlineStr"/>
    </row>
    <row r="3049">
      <c r="A3049" t="inlineStr">
        <is>
          <t>c2hcaq</t>
        </is>
      </c>
      <c r="B3049" t="inlineStr">
        <is>
          <t>Symptoms Of Cancer | Night Sweats | Frequent Urination</t>
        </is>
      </c>
      <c r="C3049" t="inlineStr">
        <is>
          <t xml:space="preserve"> Most [Symptoms of Cancer](http://cancergenomictest.com) like **Night Sweats, Frequent Urination**, Fever are also found in a wide range of diseases. So, a predictive testing technique helps you find the root cause of Cancer. To check if any of your family members were affected by Cancer, visit http://cancergenomictest.com or call us on 1-800-339-0813.</t>
        </is>
      </c>
      <c r="D3049" t="n">
        <v>0</v>
      </c>
      <c r="E3049" t="n">
        <v>0</v>
      </c>
      <c r="F3049">
        <f>HYPERLINK("https://www.reddit.com/r/cancer/comments/c2hcaq/symptoms_of_cancer_night_sweats_frequent_urination/")</f>
        <v/>
      </c>
      <c r="G3049" t="inlineStr">
        <is>
          <t>2019-06-19 06:51:09</t>
        </is>
      </c>
      <c r="H3049" t="inlineStr"/>
    </row>
    <row r="3050">
      <c r="A3050" t="inlineStr">
        <is>
          <t>c2i581</t>
        </is>
      </c>
      <c r="B3050" t="inlineStr">
        <is>
          <t>Radical cystectomy / Neobladder experience??</t>
        </is>
      </c>
      <c r="C3050" t="inlineStr">
        <is>
          <t>My boyfriend (49) is scheduled for a radical cystectomy and neobladder construction in 2 months (august). He’s almost done with chemo, and he’s been on board with surgery, but he’s scared now that the date is looming. He’s anxious about recovery. He thinks he is going to be in a lot of pain, and that recovery is going to be very difficult. From what I’ve read, they have you up and walking around within a day and I haven’t found anyone on the bladder cancer support network talking about pain after surgery. He is also slightly worried about the catheter he is expected to have for the first couple weeks home . Anyone with experience (or secondhand knowledge) with any of this? I just want some information of any kind that can help put his mind at ease. Thank you</t>
        </is>
      </c>
      <c r="D3050" t="n">
        <v>3</v>
      </c>
      <c r="E3050" t="n">
        <v>2</v>
      </c>
      <c r="F3050">
        <f>HYPERLINK("https://www.reddit.com/r/cancer/comments/c2i581/radical_cystectomy_neobladder_experience/")</f>
        <v/>
      </c>
      <c r="G3050" t="inlineStr">
        <is>
          <t>2019-06-19 08:01:31</t>
        </is>
      </c>
      <c r="H3050" t="inlineStr"/>
    </row>
    <row r="3051">
      <c r="A3051" t="inlineStr">
        <is>
          <t>c2jvej</t>
        </is>
      </c>
      <c r="B3051" t="inlineStr">
        <is>
          <t>What do you wish researchers knew about cancer?</t>
        </is>
      </c>
      <c r="C3051" t="inlineStr">
        <is>
          <t>I’m a researcher, fairly new to the cancer field working on my first few projects and publications. However, since I am not a trained medical professional, I do not ever have contact with patients or their families. I feel that in order to be a good researcher, I should understand all aspects of cancer, not just what goes on in the lab. So, I was wondering, what is it that people affected by cancer want researchers to know?</t>
        </is>
      </c>
      <c r="D3051" t="n">
        <v>18</v>
      </c>
      <c r="E3051" t="n">
        <v>20</v>
      </c>
      <c r="F3051">
        <f>HYPERLINK("https://www.reddit.com/r/cancer/comments/c2jvej/what_do_you_wish_researchers_knew_about_cancer/")</f>
        <v/>
      </c>
      <c r="G3051" t="inlineStr">
        <is>
          <t>2019-06-19 10:22:58</t>
        </is>
      </c>
      <c r="H3051" t="inlineStr"/>
    </row>
    <row r="3052">
      <c r="A3052" t="inlineStr">
        <is>
          <t>c2jz4y</t>
        </is>
      </c>
      <c r="B3052" t="inlineStr">
        <is>
          <t>Easing cramping from Liver inflammation (neuroendocrine carcinoma liver)</t>
        </is>
      </c>
      <c r="C3052" t="inlineStr">
        <is>
          <t>[Mobile post]
My mom has been dealing with this cancer for over two years, but just recently her cramping has been unbearable. Because of it she has an aversion to eating and drinking as she just throws it up or has diarrhea. She has been taken to the ER multiple times, but the staff just give her a few bags of IV and send her home. She has an upcoming appointment for PRRT that hopefully will ease a lot of her symptoms, but in the meantime she's not allowed to have any pain medication. So I guess my question is: What are some foods that will be easy on her body and possibly ease the cramping and keep her hydrated? She's only stage one, and the tumors are only on her liver. She's also on a chemo pill called afinitor that excludes her from eating foods with spice or citrus. It also caused her to be diabetic as well so it's been a real struggle to keep the weight on. I just want to help any way I can. She has an appointment this week with her Dr. but I'm not sure he'll be able to do anything about the cramping. I just hate seeing my mom curled up on the couch when all she wants to do is do simple tasks like doing laundry and washing the dishes.</t>
        </is>
      </c>
      <c r="D3052" t="n">
        <v>5</v>
      </c>
      <c r="E3052" t="n">
        <v>5</v>
      </c>
      <c r="F3052">
        <f>HYPERLINK("https://www.reddit.com/r/cancer/comments/c2jz4y/easing_cramping_from_liver_inflammation/")</f>
        <v/>
      </c>
      <c r="G3052" t="inlineStr">
        <is>
          <t>2019-06-19 10:30:55</t>
        </is>
      </c>
      <c r="H3052" t="inlineStr"/>
    </row>
    <row r="3053">
      <c r="A3053" t="inlineStr">
        <is>
          <t>c2ka0m</t>
        </is>
      </c>
      <c r="B3053" t="inlineStr">
        <is>
          <t>Mom reacher stage 3 Kidney renal papillary carcinoma</t>
        </is>
      </c>
      <c r="C3053" t="inlineStr">
        <is>
          <t>i'm really at a loss as to what to do to help her at this point. she's already asked her doctor if this was "it" and for him to help her with stronger meds so she's not in pain. our relationship has been  extremely strained the past 8 months because we disagree a lot on how to proceed with things and if i do what she wants and don't insist about my opinion she gets mad later if i'm right and if i make her do things like she asks me to instead of arguing, she still gets mad at me. i feel like i'm failing as a daughter and as a caregiver but I don't know what to do. her cancer behaves completely out of any norm and everyday it's something new and unexpected that the doctors can't even explain. the main thing was her losing her sight. nobody knows why but she just started seeing badly one day and really fast it progressed to almost entirely blind and i'm in denial that she can't see and so is she but my logic usually speaks louder. i don't know what to say or do anymore and i'm made up of anger and guilt right now that are eating away at my mind and my relationship with my mom.</t>
        </is>
      </c>
      <c r="D3053" t="n">
        <v>2</v>
      </c>
      <c r="E3053" t="n">
        <v>3</v>
      </c>
      <c r="F3053">
        <f>HYPERLINK("https://www.reddit.com/r/cancer/comments/c2ka0m/mom_reacher_stage_3_kidney_renal_papillary/")</f>
        <v/>
      </c>
      <c r="G3053" t="inlineStr">
        <is>
          <t>2019-06-19 10:54:20</t>
        </is>
      </c>
      <c r="H3053" t="inlineStr"/>
    </row>
    <row r="3054">
      <c r="A3054" t="inlineStr">
        <is>
          <t>c2lltk</t>
        </is>
      </c>
      <c r="B3054" t="inlineStr">
        <is>
          <t>Mom diagnosed with stage IV neuroendocrine pancreatic cancer</t>
        </is>
      </c>
      <c r="C3054" t="inlineStr">
        <is>
          <t>I’m at a loss for words. My mom is my best friend and she is only 48. I just keep thinking about all the things she won’t be here for like planning and seeing my wedding or having grandkids. Any advice for working through this? I want to be strong for her but I’m just so scared to see her deteriorate.</t>
        </is>
      </c>
      <c r="D3054" t="n">
        <v>30</v>
      </c>
      <c r="E3054" t="n">
        <v>12</v>
      </c>
      <c r="F3054">
        <f>HYPERLINK("https://www.reddit.com/r/cancer/comments/c2lltk/mom_diagnosed_with_stage_iv_neuroendocrine/")</f>
        <v/>
      </c>
      <c r="G3054" t="inlineStr">
        <is>
          <t>2019-06-19 12:39:22</t>
        </is>
      </c>
      <c r="H3054" t="inlineStr"/>
    </row>
    <row r="3055">
      <c r="A3055" t="inlineStr">
        <is>
          <t>c2ltgo</t>
        </is>
      </c>
      <c r="B3055" t="inlineStr">
        <is>
          <t>One sunburn causing melanoma?</t>
        </is>
      </c>
      <c r="C3055" t="inlineStr">
        <is>
          <t xml:space="preserve">
Every year I get a farmers tan and don’t burn on the uncovered areas. I decided this year to roll up my sleeves while doing yard work. I didn’t put on sunscreen (bad idea I know) and I got a bad burn. 5 days later and it’s blistering badly and still red. Is my risk of skin cancer really high now, just from one bad burn? Should I be worried about melanoma? I’m 19.</t>
        </is>
      </c>
      <c r="D3055" t="n">
        <v>0</v>
      </c>
      <c r="E3055" t="n">
        <v>1</v>
      </c>
      <c r="F3055">
        <f>HYPERLINK("https://www.reddit.com/r/cancer/comments/c2ltgo/one_sunburn_causing_melanoma/")</f>
        <v/>
      </c>
      <c r="G3055" t="inlineStr">
        <is>
          <t>2019-06-19 12:56:11</t>
        </is>
      </c>
      <c r="H3055" t="inlineStr"/>
    </row>
    <row r="3056">
      <c r="A3056" t="inlineStr">
        <is>
          <t>c2ojic</t>
        </is>
      </c>
      <c r="B3056" t="inlineStr">
        <is>
          <t>Mom is quickly deteriorating... she has an advanced glioblastoma</t>
        </is>
      </c>
      <c r="C3056" t="inlineStr">
        <is>
          <t>My 53 year old mom was diagnosed with glioblastoma back in late February, she had surgery immediately but had a stroke and never regained enough strength for treatment.
Now, she’s deteriorating quickly; the tumor doubles in size every 10 days, and she’s already back to the weakness/symptoms she had just before the surgery. 
I feel so helpless and apathetic, we can’t do anything to help the pain, she can’t hold anything down, let alone medicine. I thought I was accepting the circumstances and okay with her being gone, but I’m in a bad way right now. I know Reddit isn’t a terribly religious place, but any prayers/kind thoughts would be greatly appreciated; we are all very lost right now, I want nothing more than to be numb and not do anything</t>
        </is>
      </c>
      <c r="D3056" t="n">
        <v>34</v>
      </c>
      <c r="E3056" t="n">
        <v>13</v>
      </c>
      <c r="F3056">
        <f>HYPERLINK("https://www.reddit.com/r/cancer/comments/c2ojic/mom_is_quickly_deteriorating_she_has_an_advanced/")</f>
        <v/>
      </c>
      <c r="G3056" t="inlineStr">
        <is>
          <t>2019-06-19 16:42:10</t>
        </is>
      </c>
      <c r="H3056" t="inlineStr"/>
    </row>
    <row r="3057">
      <c r="A3057" t="inlineStr">
        <is>
          <t>c2p3rm</t>
        </is>
      </c>
      <c r="B3057" t="inlineStr">
        <is>
          <t>How do I help my friend who’s dad has 24 hours to live</t>
        </is>
      </c>
      <c r="C3057" t="inlineStr">
        <is>
          <t>My friends dad has been diagnosed with stage 4 liver cancer for over a year now. Today I got a call from him and he told me the nurses has told them that he would pass in 24-48 hours. I know I can’t do anything to help the situation and make the cancer go away. What do I say to my friend and how do I let him know that I’m here to support him</t>
        </is>
      </c>
      <c r="D3057" t="n">
        <v>1</v>
      </c>
      <c r="E3057" t="n">
        <v>0</v>
      </c>
      <c r="F3057">
        <f>HYPERLINK("https://www.reddit.com/r/cancer/comments/c2p3rm/how_do_i_help_my_friend_whos_dad_has_24_hours_to/")</f>
        <v/>
      </c>
      <c r="G3057" t="inlineStr">
        <is>
          <t>2019-06-19 17:35:22</t>
        </is>
      </c>
      <c r="H3057" t="inlineStr"/>
    </row>
    <row r="3058">
      <c r="A3058" t="inlineStr">
        <is>
          <t>c2q39r</t>
        </is>
      </c>
      <c r="B3058" t="inlineStr">
        <is>
          <t>Cowden's syndrome and thyroid cancer- double winner!</t>
        </is>
      </c>
      <c r="C3058" t="inlineStr">
        <is>
          <t>Last week, after the pathology from a hemi thyroidectomy came back, I was diagnosed with papillary thyroid cancer. I was also diagnosed with Cowden's Syndrome in the same breath. 
What I know about the cancer:  I was immediately started on levothyroxin to suppress my thyroid activity before my second hemithyroidectomy net month. A follow up ultrasound shows no suspicious activity in my lymph nodes. I'm meeting with my endocrinologist next week to go over what to expect and get a treatment plan in place. The thyroid cancer feels like the least of my worries right now. There's a clear path forward with surgery and, likely, radiation after. I'm in Boston, so I know that I have access to some of the best healthcare in the world. 
What I am doing: I've immediately switched over to a sugar detox diet. Lean meats (very limited red meat), heavy on the produce, particularly on the vegetables. Very limited grain intake (half a cup every other day). Nothing that has sugar (outside of that which occurs naturally in fruits and veggies). Full fat dairy, but again- limited. Lots of water. 
Cowden's Syndrome is what has really thrown me for a loop. After reading from several sources, it's clear that I'm outside of the normal age bracket for this diagnosis (in my 30s). It's clear that nothing else is clear- that I'm high risk for a variety of cancers, that I'll need to be monitored for the rest of my life, and that elective surgeries may be in my future.
What should I be asking my endocrinologist about next week? Who should I be looking to talk to in the immediate weeks? What am I not thinking about in the grief and shock as I process all of this?</t>
        </is>
      </c>
      <c r="D3058" t="n">
        <v>8</v>
      </c>
      <c r="E3058" t="n">
        <v>1</v>
      </c>
      <c r="F3058">
        <f>HYPERLINK("https://www.reddit.com/r/cancer/comments/c2q39r/cowdens_syndrome_and_thyroid_cancer_double_winner/")</f>
        <v/>
      </c>
      <c r="G3058" t="inlineStr">
        <is>
          <t>2019-06-19 19:09:09</t>
        </is>
      </c>
      <c r="H3058" t="inlineStr"/>
    </row>
    <row r="3059">
      <c r="A3059" t="inlineStr">
        <is>
          <t>c2qrep</t>
        </is>
      </c>
      <c r="B3059" t="inlineStr">
        <is>
          <t>Daughter was rushed to the ER this afternoon and they tested for ALL. What should we do to be prepared for her and to help her if she does get diagnosed?</t>
        </is>
      </c>
      <c r="C3059" t="inlineStr">
        <is>
          <t>So, this afternoon my daughter was rushed to the ER because she said she felt like she was on fire. We were rushed in to the hospital where I work and one of my colleagues started examining her. They asked us some questions and did some tests. Then they said “We have a few questions and would like to do a blood test for ALL”. 
My husband and I immediately broke down because we can’t imagine our daughter suffering. We said that we had noticed some weird bruising but we just figured it was because she was a kid and kids are clumsy. Then they asked if she ever had bone and joint pain, and unfortunately we said yes again. We figured it was growing pains due to her almost being in puberty. She hasn’t had much of an appetite the past few days either and I had actually made an appointment with her pediatrician before this happened this afternoon. 
They ran the blood test but they said no one could read the results for 24 hours. She’s staying overnight and we are hoping and praying that it’s not cancer.  She should be a normal kid not worrying about treatments or losing her hair. 
My husband and I are so mad at ourselves. I’m a neurology resident and should have known better. I should have taken her in at the start of the bruising and yet it never crossed my mind. I should have known better.
My husband held me as I cried and I ended up booking a therapy session sooner then the one I had planned. I felt having that time was necessary.
Parents who have gone through this or anyone, what are some things we should be prepared for? Any advice would be greatly appreciated. I need to be prepared and need to focus on the recovery or treatment for our daughter.</t>
        </is>
      </c>
      <c r="D3059" t="n">
        <v>26</v>
      </c>
      <c r="E3059" t="n">
        <v>38</v>
      </c>
      <c r="F3059">
        <f>HYPERLINK("https://www.reddit.com/r/cancer/comments/c2qrep/daughter_was_rushed_to_the_er_this_afternoon_and/")</f>
        <v/>
      </c>
      <c r="G3059" t="inlineStr">
        <is>
          <t>2019-06-19 20:13:18</t>
        </is>
      </c>
      <c r="H3059" t="inlineStr"/>
    </row>
    <row r="3060">
      <c r="A3060" t="inlineStr">
        <is>
          <t>c2rbg1</t>
        </is>
      </c>
      <c r="B3060" t="inlineStr">
        <is>
          <t>Boyfriends mother is getting an answer tomorrow.</t>
        </is>
      </c>
      <c r="C3060" t="inlineStr">
        <is>
          <t>I want to say I really care about his mother. She is a heavy smoker and they had a CT scan last week I think to check for anything. He’s worried because she has had a cough and cold like symptoms for two months but couldn’t see the doctor because her insurance wouldn’t allow it. Now she’s getting an answer tomorrow. Is there anything I should know to do in case it does come back bad? What would be the best way to support him and her? I guess I’m really worried too because she has been like a second mother to me.</t>
        </is>
      </c>
      <c r="D3060" t="n">
        <v>1</v>
      </c>
      <c r="E3060" t="n">
        <v>0</v>
      </c>
      <c r="F3060">
        <f>HYPERLINK("https://www.reddit.com/r/cancer/comments/c2rbg1/boyfriends_mother_is_getting_an_answer_tomorrow/")</f>
        <v/>
      </c>
      <c r="G3060" t="inlineStr">
        <is>
          <t>2019-06-19 21:11:05</t>
        </is>
      </c>
      <c r="H3060" t="inlineStr"/>
    </row>
    <row r="3061">
      <c r="A3061" t="inlineStr">
        <is>
          <t>c2rgdt</t>
        </is>
      </c>
      <c r="B3061" t="inlineStr">
        <is>
          <t>Eyebrows</t>
        </is>
      </c>
      <c r="C3061" t="inlineStr">
        <is>
          <t>Hello! I’m coming up on my 5 months done with chemo, and had a quick question. I finished my last chemo January 24th, and my hair started growing back beginning of march. I lost ALL of my hair. Everything is growing back extremely fast, but my eyebrows are starting to thin again? However, I did read that eyebrow hair has a life expectancy of 3-4 months. Is this just hair molting? I’m sue over the course of your life you’re individual hair cycles become synchronized so you don’t notice it and your constantly shedding a few hairs here and there. But in my case, it all came back 4 months ago, so is it all shedding and regrowing at the same time since it’s still super early? Is this normal? No other hair is thinning. Don’t want to have to call my Dr and make an appointment if I don’t have to 🤦🏼‍♂️</t>
        </is>
      </c>
      <c r="D3061" t="n">
        <v>1</v>
      </c>
      <c r="E3061" t="n">
        <v>1</v>
      </c>
      <c r="F3061">
        <f>HYPERLINK("https://www.reddit.com/r/cancer/comments/c2rgdt/eyebrows/")</f>
        <v/>
      </c>
      <c r="G3061" t="inlineStr">
        <is>
          <t>2019-06-19 21:25:56</t>
        </is>
      </c>
      <c r="H3061" t="inlineStr"/>
    </row>
    <row r="3062">
      <c r="A3062" t="inlineStr">
        <is>
          <t>c2rz6z</t>
        </is>
      </c>
      <c r="B3062" t="inlineStr">
        <is>
          <t>Veteran white blood cells</t>
        </is>
      </c>
      <c r="C3062" t="inlineStr">
        <is>
          <t>I work in an industry where turnover inhibits any progression because nobody was even there a year ago. 
Our own white blood cells have an extremely complex transfer of “memory”.  But I wonder if it’s complex enough. 
What if cancer patients need their own, old veteran white blood cells who have fought the fight and know how to detect things that haven’t been passed on?
Have any studies been done with use of patients old white blood cells?</t>
        </is>
      </c>
      <c r="D3062" t="n">
        <v>0</v>
      </c>
      <c r="E3062" t="n">
        <v>5</v>
      </c>
      <c r="F3062">
        <f>HYPERLINK("https://www.reddit.com/r/cancer/comments/c2rz6z/veteran_white_blood_cells/")</f>
        <v/>
      </c>
      <c r="G3062" t="inlineStr">
        <is>
          <t>2019-06-19 22:24:38</t>
        </is>
      </c>
      <c r="H3062" t="inlineStr"/>
    </row>
    <row r="3063">
      <c r="A3063" t="inlineStr">
        <is>
          <t>c2tt32</t>
        </is>
      </c>
      <c r="B3063" t="inlineStr">
        <is>
          <t>Dad has advanced metastatic prostate cancer with bone metastasis. He lives on his own, but may not be able to care for himself for much longer. What are his options?</t>
        </is>
      </c>
      <c r="C3063" t="inlineStr">
        <is>
          <t>My dad was diagnosed with Advanced Prostate Cancer with lymph and bone mets at the beginning on the year. He hadn't been to a doctor in 30 years and the cancer was already highly advanced. 
&amp;amp;#x200B;
He has had financial issues for number of years, and does not have savings nor does he have significant social security income. During his treatment, our family has pitched in to find him a small condo. While my family wants to help, their funds are also somewhat limited. He also may have anywhere from 40 - 100K coming in the next few months from an investment deal of his from a number of years back. He's on Medicare and has 700/mo social security.
&amp;amp;#x200B;
He is losing functionality and it's clear that he may not be able to care for himself in as little as a few months from now. It may be much longer, but isn't clear.  His lease ends in around 4 months. 
&amp;amp;#x200B;
He's had some small fractures from the bone mets, his pain is increasing, can no longer go on daily walks, and has difficultly cooking for meals and caring for himself. His Ex girlfriend and myself both go over to help him out a few times a week. 
&amp;amp;#x200B;
If he begins to lose functionality and can no longer care for himself, what are his options? Will he have to go into a state-funded nursing facility? I think it is unlikely the money he has/will be getting would cover both his rent and nursing care. The prospect of him dying in a public nursing facility is incredibly depressing, and I feel that he deserves better than this. 
&amp;amp;#x200B;
Any advice much appreciated.</t>
        </is>
      </c>
      <c r="D3063" t="n">
        <v>8</v>
      </c>
      <c r="E3063" t="n">
        <v>6</v>
      </c>
      <c r="F3063">
        <f>HYPERLINK("https://www.reddit.com/r/cancer/comments/c2tt32/dad_has_advanced_metastatic_prostate_cancer_with/")</f>
        <v/>
      </c>
      <c r="G3063" t="inlineStr">
        <is>
          <t>2019-06-20 02:17:12</t>
        </is>
      </c>
      <c r="H3063" t="inlineStr"/>
    </row>
    <row r="3064">
      <c r="A3064" t="inlineStr">
        <is>
          <t>c2ubqp</t>
        </is>
      </c>
      <c r="B3064" t="inlineStr">
        <is>
          <t>Mom/Colon Cancer/Mets to Lung</t>
        </is>
      </c>
      <c r="C3064" t="inlineStr">
        <is>
          <t>Hi everyone,
My mom has colon cancer and is about to start chemo. She was diagnosed sept 2018 and did a laparoscopic to remove a tumor and lymph nodes. A CT scan showed no cancer, but they recommended chemo Jan 2019 just in case. She was 81 pounds and didn’t want to go through chemo so she waited until now (about 98 lbs now). She starts next week and I’m glad she’s decided to fight.
Question: she’s been experiencing headaches and I’m worried about them because she never complains about anything until it’s really bad 😞 should we be worried?? Is this a sign of brain metastasis?  
Thanks in advance 💕 keep fighting.</t>
        </is>
      </c>
      <c r="D3064" t="n">
        <v>6</v>
      </c>
      <c r="E3064" t="n">
        <v>9</v>
      </c>
      <c r="F3064">
        <f>HYPERLINK("https://www.reddit.com/r/cancer/comments/c2ubqp/momcolon_cancermets_to_lung/")</f>
        <v/>
      </c>
      <c r="G3064" t="inlineStr">
        <is>
          <t>2019-06-20 03:23:50</t>
        </is>
      </c>
      <c r="H3064" t="inlineStr"/>
    </row>
    <row r="3065">
      <c r="A3065" t="inlineStr">
        <is>
          <t>c2us0g</t>
        </is>
      </c>
      <c r="B3065" t="inlineStr">
        <is>
          <t>Persistent Anxiety :((</t>
        </is>
      </c>
      <c r="C3065" t="inlineStr">
        <is>
          <t>Hello, my friends!!
In February, I went to hospital for suspected appendicitis, and once in the ER, almost was sent home with Gastro being the diagnosis, as my blood showed no inflammatory/ infection markers in the tests.
An Ultrasound done the next day showed that my appendix was largely inflamed, and so, I was off to the OR!
2 Weeks into recovery; everything made sense.
I had a malignant carcinoma in my Appendix, mimicking  symptoms of appendicitis, but was invisible, until the histology!
Explains absence of Inflammatory Markers/ Doctor's confusion; as Cancer is an autoimmune disease - It presents itself not as a foreign body, and would not directly 'signal' infection!
Since then, I've been cleared of any sign of spread or evidence of disease - but, i still can't shake the feeling that whenever I have a stomach-ache, I may have another tumour. Like an irrational anxiety. 
In the past week i've had the exact same pain, but on the left-side, just out of no where; and i've been getting quite anxious and panicky.
I was just wondering if this was normal, or anybody else has experienced this form of anxiety before!
Thankyou all so much, and God Bless! :D</t>
        </is>
      </c>
      <c r="D3065" t="n">
        <v>6</v>
      </c>
      <c r="E3065" t="n">
        <v>2</v>
      </c>
      <c r="F3065">
        <f>HYPERLINK("https://www.reddit.com/r/cancer/comments/c2us0g/persistent_anxiety/")</f>
        <v/>
      </c>
      <c r="G3065" t="inlineStr">
        <is>
          <t>2019-06-20 04:18:36</t>
        </is>
      </c>
      <c r="H3065" t="inlineStr"/>
    </row>
    <row r="3066">
      <c r="A3066" t="inlineStr">
        <is>
          <t>c2vj14</t>
        </is>
      </c>
      <c r="B3066" t="inlineStr">
        <is>
          <t>My hair's growing back during chemo - keep it or shave it?</t>
        </is>
      </c>
      <c r="C3066" t="inlineStr">
        <is>
          <t>I have Hodgkin's Lymphoma stage IV.
When I started with BEACOPP, my hair fell out. But after a positive scan, I switched to ABVD without the Bleomycin. After a while, my hair started to grow back, and I've since shaved it every now and then.
I still have 2 treatments left. But my question is: should I let my chemohair grow, or shave it and let it regrow after I'm completely done? Will the "quality" or something be any different?</t>
        </is>
      </c>
      <c r="D3066" t="n">
        <v>3</v>
      </c>
      <c r="E3066" t="n">
        <v>2</v>
      </c>
      <c r="F3066">
        <f>HYPERLINK("https://www.reddit.com/r/cancer/comments/c2vj14/my_hairs_growing_back_during_chemo_keep_it_or/")</f>
        <v/>
      </c>
      <c r="G3066" t="inlineStr">
        <is>
          <t>2019-06-20 05:42:35</t>
        </is>
      </c>
      <c r="H3066" t="inlineStr"/>
    </row>
    <row r="3067">
      <c r="A3067" t="inlineStr">
        <is>
          <t>c2vm30</t>
        </is>
      </c>
      <c r="B3067" t="inlineStr">
        <is>
          <t>My mum just at got diagnosed with stage 4 bowel cancer and has spread to her liver, what are some things I should know or be prepared for?</t>
        </is>
      </c>
      <c r="C3067" t="inlineStr">
        <is>
          <t>My mum is only 41 years old and this week was out of the blue diagnosed with bowel cancer and yesterday was confirmed as stage 4. I'm devastated but I want to make sure my mum has a fighting chance and I want to know how I can prepare myself for what's to come.  I'd appreciate any contributions</t>
        </is>
      </c>
      <c r="D3067" t="n">
        <v>3</v>
      </c>
      <c r="E3067" t="n">
        <v>8</v>
      </c>
      <c r="F3067">
        <f>HYPERLINK("https://www.reddit.com/r/cancer/comments/c2vm30/my_mum_just_at_got_diagnosed_with_stage_4_bowel/")</f>
        <v/>
      </c>
      <c r="G3067" t="inlineStr">
        <is>
          <t>2019-06-20 05:54:18</t>
        </is>
      </c>
      <c r="H3067" t="inlineStr"/>
    </row>
    <row r="3068">
      <c r="A3068" t="inlineStr">
        <is>
          <t>c2vojp</t>
        </is>
      </c>
      <c r="B3068" t="inlineStr">
        <is>
          <t>Newly diagnosed with PPC Primary Peritoneal Cancer, some general questions</t>
        </is>
      </c>
      <c r="C3068" t="inlineStr">
        <is>
          <t>I actually am incredibly lucky because my PPC was found very, very early due to an unrelated event. I had a bowel perforation, had exploratory surgery on the 4th and then my major surgery was done on the 12th.  I have a few general cancer in the USA questions if you don't mind.
My chemo will result in hair loss so I'm going to get a teal mohawk beforehand.... any idea how long it takes for your hair to fall out on its own?
Anyone deal with SSDI for a qualifying illness?   I have been told that since this is a terminal disease it is fast track approval of benefits but not sure how to start
I have great family and friend support and caring for them as they care for me is very important to me.  Any advice on things I need to do that can help us?  I don't mean fundraising or anything like that, but are there established organizations that provide help or support?  I heard you get one free wig but I don't know if that is true or where you get that from. 
I guess I'm just looking for anything you wish you had known when you were newly diagnosed.  Thank you in advance for any help or advice you can share :)</t>
        </is>
      </c>
      <c r="D3068" t="n">
        <v>4</v>
      </c>
      <c r="E3068" t="n">
        <v>10</v>
      </c>
      <c r="F3068">
        <f>HYPERLINK("https://www.reddit.com/r/cancer/comments/c2vojp/newly_diagnosed_with_ppc_primary_peritoneal/")</f>
        <v/>
      </c>
      <c r="G3068" t="inlineStr">
        <is>
          <t>2019-06-20 06:00:03</t>
        </is>
      </c>
      <c r="H3068" t="inlineStr"/>
    </row>
    <row r="3069">
      <c r="A3069" t="inlineStr">
        <is>
          <t>c2vwem</t>
        </is>
      </c>
      <c r="B3069" t="inlineStr">
        <is>
          <t>Tongue cancer update</t>
        </is>
      </c>
      <c r="C3069" t="inlineStr">
        <is>
          <t>It’s been four weeks since my last update. Finished chemo two weeks ago today and radiation will be two weeks since on Friday. 
Had two hospitalizations from not being able to hold down my peg tube formula. 
Now I’m enjoying “accomplishments” like drank a half can of ginger ale over crushed ice. 
Throat still sore but improved. Still have the vile thick secretions that result in choking and too often then puking. 
The peg the pace I can tolerate is too slow to get my suggested nutrition in a day so I do 50% and hope my drank some ginger ale or had some vegetable broth will make up some. 
Worst thing that clouds it all is no idea if treatment worked. At least six weeks out from a PET so that cloud hangs over and isn’t helping my approach to the rest of this.</t>
        </is>
      </c>
      <c r="D3069" t="n">
        <v>31</v>
      </c>
      <c r="E3069" t="n">
        <v>10</v>
      </c>
      <c r="F3069">
        <f>HYPERLINK("https://www.reddit.com/r/cancer/comments/c2vwem/tongue_cancer_update/")</f>
        <v/>
      </c>
      <c r="G3069" t="inlineStr">
        <is>
          <t>2019-06-20 06:16:09</t>
        </is>
      </c>
      <c r="H3069" t="inlineStr"/>
    </row>
    <row r="3070">
      <c r="A3070" t="inlineStr">
        <is>
          <t>c2xv19</t>
        </is>
      </c>
      <c r="B3070" t="inlineStr">
        <is>
          <t>Life after cancer</t>
        </is>
      </c>
      <c r="C3070" t="inlineStr">
        <is>
          <t>Hello everyone. It's been a few years now that I'm cancer free, but I feel so overwhelmed with life ever since. It's like when you're diagnosed with cancer you start preparing yourself for absolute death... But then you survive! You feel out of plans and everything you encounter feels overwhelming. Anyone who can relate? And how do you cope with these feelings?
Ps. Sorry for formatting I'm using mobile.</t>
        </is>
      </c>
      <c r="D3070" t="n">
        <v>10</v>
      </c>
      <c r="E3070" t="n">
        <v>19</v>
      </c>
      <c r="F3070">
        <f>HYPERLINK("https://www.reddit.com/r/cancer/comments/c2xv19/life_after_cancer/")</f>
        <v/>
      </c>
      <c r="G3070" t="inlineStr">
        <is>
          <t>2019-06-20 09:04:50</t>
        </is>
      </c>
      <c r="H3070" t="inlineStr"/>
    </row>
    <row r="3071">
      <c r="A3071" t="inlineStr">
        <is>
          <t>c2yczk</t>
        </is>
      </c>
      <c r="B3071" t="inlineStr">
        <is>
          <t>IV benadryl and trolls</t>
        </is>
      </c>
      <c r="C3071" t="inlineStr">
        <is>
          <t>I am severely allergic to the chemo that I'm currently getting (last anaphylactic reaction led to 2 epi pens and a heart attack). So the infusion is given as a desensitization over 10 hours with a boatload of support meds to prevent allergic response. During the infusion I receive 150-200mg of IV benadryl spread over 3 or 4 doses. That's a ton of benadryl and I'm a total lightweight. 
The nurse administered the first dose of benadryl before I knew what was coming. I'm innocently looking out the full picture window watching the trees sway in the gentle breeze...then the green trolls appeared. There were two green trolls (not like Disney/Pixar trolls...these were total bridge trolls) in the top of one of the trees. They were dancing a happy little dance together. They had bald heads and bulbous noses and were a beautiful leaf green in color. They had their hands up and their chunky fingers were jazzing it up to some unheard song. 
They stuck around for a while then disappeared into the leaves without a trace. 
Chemo is rough, but I'm grateful that when I hallucinate it's happy. May your drug induced visions bring a smile to your face as well:) 
tl/dr: benadryl brings happy trolls with good rhythm</t>
        </is>
      </c>
      <c r="D3071" t="n">
        <v>72</v>
      </c>
      <c r="E3071" t="n">
        <v>50</v>
      </c>
      <c r="F3071">
        <f>HYPERLINK("https://www.reddit.com/r/cancer/comments/c2yczk/iv_benadryl_and_trolls/")</f>
        <v/>
      </c>
      <c r="G3071" t="inlineStr">
        <is>
          <t>2019-06-20 09:44:55</t>
        </is>
      </c>
      <c r="H3071" t="inlineStr"/>
    </row>
    <row r="3072">
      <c r="A3072" t="inlineStr">
        <is>
          <t>c2yq1p</t>
        </is>
      </c>
      <c r="B3072" t="inlineStr">
        <is>
          <t>A positive melanoma update (I hope!)</t>
        </is>
      </c>
      <c r="C3072" t="inlineStr">
        <is>
          <t>So good Dr appt today! Labs and vitals all happy. She asked about any joint pain since these can cause RA and I told her as crazy as it was that I had had shoulder pain for about a year that cleared up 100% after first treatment. She said that shoulder pain was very likely caused by 10 cm chest tumor and she had seen it before, and that the pain being gone is a positive sign of treatment working. I never thought about them being related but it all makes sense now. Also since she knows I have ocd and live in a constant state of panic, she ordered an echo for me so soon we will be sure that the pericardial effusion is taken care of, and if not can take appropriate steps. Ever since the drain has been pulled I've been panicking. I hated that thing but it gave me a visible way to see everything was working and I was able to write it all down. She does not think there's a problem but wants me to be comfortable. Grateful to have an awesome doc.4/4 ipi/nivo on Monday, first scan since diag on July 22, and results July 23. Hoping to get the echo done asap, waiting on scheduling. All in all a good day! Hoping for the same for all of you!</t>
        </is>
      </c>
      <c r="D3072" t="n">
        <v>9</v>
      </c>
      <c r="E3072" t="n">
        <v>0</v>
      </c>
      <c r="F3072">
        <f>HYPERLINK("https://www.reddit.com/r/cancer/comments/c2yq1p/a_positive_melanoma_update_i_hope/")</f>
        <v/>
      </c>
      <c r="G3072" t="inlineStr">
        <is>
          <t>2019-06-20 10:13:42</t>
        </is>
      </c>
      <c r="H3072" t="inlineStr"/>
    </row>
    <row r="3073">
      <c r="A3073" t="inlineStr">
        <is>
          <t>c2zlde</t>
        </is>
      </c>
      <c r="B3073" t="inlineStr">
        <is>
          <t>Fathers cancer</t>
        </is>
      </c>
      <c r="C3073" t="inlineStr">
        <is>
          <t>Hello all,
&amp;amp;#x200B;
So my father was diagnosed with cancer about 5 months ago now. It was already in stage 4 when it was discovered, and it was determined that he was not healthy enough to receive chemo, or immunotherapy.  
They extended his life span a bit by shutting off function to one of his kidneys that the cancer had spread to. They just surgically cut the blood supply off to it... after he recovered from that and came home, he was weak but he was OK.  
That was about 3 months ago almost. Since then he has gradually gotten to the point where he can't leave bed, he is very weak and can't do much of anything on his own, his appetite has also waned down to where he barely eats at all.. at most he'll have an ensure drink once every 2 days or so now..  
About 3 weeks ago another change happened, and he has begun exhibiting signs of dementia. He has become very confused, he can't keep track of conversations, he doesn't understand what is happening. It's very saddening.  
The good news is that he is not in physical pain, at least he shows no signs of it. He was going through intense panic since he got home, but the hospice people put him on Ativan, and that seemed to have helped alot.  
Before now he would actively take his medicine. (Pain medicines, and the Ativan, blood pressure meds, etc.)  
But for the past 5 days, we can barely get him to take any of those either, he is so confused he doesn't understand how to drink from a cup properly...  It's really sad, does this always happen with cancer near the end?  
Does anyone know about how long he has given these symptoms? I would really like to be as prepared as possible...   
My family is very tired, and afraid of what's happening, I just wish we had caught it before it came to this. It's not fair at all, is it?</t>
        </is>
      </c>
      <c r="D3073" t="n">
        <v>2</v>
      </c>
      <c r="E3073" t="n">
        <v>0</v>
      </c>
      <c r="F3073">
        <f>HYPERLINK("https://www.reddit.com/r/cancer/comments/c2zlde/fathers_cancer/")</f>
        <v/>
      </c>
      <c r="G3073" t="inlineStr">
        <is>
          <t>2019-06-20 11:23:59</t>
        </is>
      </c>
      <c r="H3073" t="inlineStr"/>
    </row>
    <row r="3074">
      <c r="A3074" t="inlineStr">
        <is>
          <t>c30dsi</t>
        </is>
      </c>
      <c r="B3074" t="inlineStr">
        <is>
          <t>Anyone experience swelling of the eyes/face with chemo or immune?</t>
        </is>
      </c>
      <c r="C3074" t="inlineStr">
        <is>
          <t>Hi my mom has periorbital edma which is swelling around the face but particularly your eyes to the point it looks as if you can pop it like a balloon. Have any of you experienced this and if so what treatment were you on and what was done? Right now her dr is confused as to why and what? She was on carboplatin until 6 weeks ago. 3 weeks ago just immune and this week just pemetrexed to try and figure out what is causing it. Any information/experiences is greatly appreciated.</t>
        </is>
      </c>
      <c r="D3074" t="n">
        <v>5</v>
      </c>
      <c r="E3074" t="n">
        <v>3</v>
      </c>
      <c r="F3074">
        <f>HYPERLINK("https://www.reddit.com/r/cancer/comments/c30dsi/anyone_experience_swelling_of_the_eyesface_with/")</f>
        <v/>
      </c>
      <c r="G3074" t="inlineStr">
        <is>
          <t>2019-06-20 12:29:39</t>
        </is>
      </c>
      <c r="H3074" t="inlineStr"/>
    </row>
    <row r="3075">
      <c r="A3075" t="inlineStr">
        <is>
          <t>c30k8v</t>
        </is>
      </c>
      <c r="B3075" t="inlineStr">
        <is>
          <t>Kidney cancer... What is my future short-term/long-term path of treatment?</t>
        </is>
      </c>
      <c r="C3075" t="inlineStr">
        <is>
          <t>I've been told I have a mass on my kidney and will likely have a partial or full kidney removal. This was found incidentally on a CT scan.  I had a MRI a few days ago to get a better look at what's going on.  I now sit around wondering... Has it spread?  When will surgery be?  Is the cancer causing symptoms that I associated with other stuff? I also have had high glucose on blood tests for a few years now.  
Aaahhhhhhhhhhhhhh I hate waiting around.  I'm more likely than not stage 1, but sitting here wondering is just torture.  Can I expect the doctor to call me with information? I left a few messages of concern and he hasn't got back to me. He has been in surgery the last 2 days so I'm sure he's busy.  I guess I'm wondering if this kind of thing is ever discussed over the phone.   
I'm curious, what typically may my timeline look like? What steps/appointments will I most likely have soon?  
If only stage 1 what kind of things should I think about for 1 year/2 years... out?</t>
        </is>
      </c>
      <c r="D3075" t="n">
        <v>5</v>
      </c>
      <c r="E3075" t="n">
        <v>10</v>
      </c>
      <c r="F3075">
        <f>HYPERLINK("https://www.reddit.com/r/cancer/comments/c30k8v/kidney_cancer_what_is_my_future_shorttermlongterm/")</f>
        <v/>
      </c>
      <c r="G3075" t="inlineStr">
        <is>
          <t>2019-06-20 12:44:04</t>
        </is>
      </c>
      <c r="H3075" t="inlineStr"/>
    </row>
    <row r="3076">
      <c r="A3076" t="inlineStr">
        <is>
          <t>c30zu9</t>
        </is>
      </c>
      <c r="B3076" t="inlineStr">
        <is>
          <t>Participate now in our young-onset colorectal cancer survey</t>
        </is>
      </c>
      <c r="C3076" t="inlineStr">
        <is>
          <t>The survey lets the Alliance learn about and track the self-reported medical, psychosocial, and quality of life experiences of allies:  [https://go.ccalliance.org/2019n2ysurvey](https://go.ccalliance.org/2019n2ysurvey)</t>
        </is>
      </c>
      <c r="D3076" t="n">
        <v>6</v>
      </c>
      <c r="E3076" t="n">
        <v>0</v>
      </c>
      <c r="F3076">
        <f>HYPERLINK("https://www.reddit.com/r/cancer/comments/c30zu9/participate_now_in_our_youngonset_colorectal/")</f>
        <v/>
      </c>
      <c r="G3076" t="inlineStr">
        <is>
          <t>2019-06-20 13:17:50</t>
        </is>
      </c>
      <c r="H3076" t="inlineStr"/>
    </row>
    <row r="3077">
      <c r="A3077" t="inlineStr">
        <is>
          <t>c32sol</t>
        </is>
      </c>
      <c r="B3077" t="inlineStr">
        <is>
          <t>New Spinal Metastasis</t>
        </is>
      </c>
      <c r="C3077" t="inlineStr">
        <is>
          <t>I’ve had mets to my lungs and mets to a hip here, a shoulder there.  The hip and shoulder mets were radiated and ever since, they’ve been asymptomatic.  The spine, though?
This information is making it very difficult for me to continue on in denial and tell myself:  “Everything is going to be fine.”  
I don’t even know how bad the situation is yet.  The MRI was of the lumbar spine, but it caught something in the thoracic spine too.  I have to schedule another MRI and go back another day to check the rest of the spine.  After that, it’s onto radiation oncology.  
Anybody had radiation to the spine to address bone mets?  What was that like?  And side effects?  Is having cancer in the spine any worse than having it in a hip or a shoulder?</t>
        </is>
      </c>
      <c r="D3077" t="n">
        <v>5</v>
      </c>
      <c r="E3077" t="n">
        <v>4</v>
      </c>
      <c r="F3077">
        <f>HYPERLINK("https://www.reddit.com/r/cancer/comments/c32sol/new_spinal_metastasis/")</f>
        <v/>
      </c>
      <c r="G3077" t="inlineStr">
        <is>
          <t>2019-06-20 16:00:43</t>
        </is>
      </c>
      <c r="H3077" t="inlineStr"/>
    </row>
    <row r="3078">
      <c r="A3078" t="inlineStr">
        <is>
          <t>c32y8q</t>
        </is>
      </c>
      <c r="B3078" t="inlineStr">
        <is>
          <t>Brand new and don’t know where to ask this. I know I can google but was hoping for real life feedback. My 66/m father has a cancerous mass on his adrenal gland and lungs. We are waiting for oncologist appt and further testing but in the mean time, he’s lost 17 lbs in the last 5 weeks. My question is</t>
        </is>
      </c>
      <c r="C3078" t="inlineStr">
        <is>
          <t>What can I get him in the mean time to try to help prevent him from losing too much more weight?  He is barely eating and has zero appetite. He’s down to 153 lbs and is around 5’8.  Is there a certain brand of liquid protein shakes or any other tips and tricks regarding meals to implement ASAP while we research and navigate the next phases?  Any feedback is appreciated.</t>
        </is>
      </c>
      <c r="D3078" t="n">
        <v>2</v>
      </c>
      <c r="E3078" t="n">
        <v>2</v>
      </c>
      <c r="F3078">
        <f>HYPERLINK("https://www.reddit.com/r/cancer/comments/c32y8q/brand_new_and_dont_know_where_to_ask_this_i_know/")</f>
        <v/>
      </c>
      <c r="G3078" t="inlineStr">
        <is>
          <t>2019-06-20 16:22:27</t>
        </is>
      </c>
      <c r="H3078" t="inlineStr"/>
    </row>
    <row r="3079">
      <c r="A3079" t="inlineStr">
        <is>
          <t>c353u6</t>
        </is>
      </c>
      <c r="B3079" t="inlineStr">
        <is>
          <t>Test results from dads lung fluid. It’s not good. This is hard.</t>
        </is>
      </c>
      <c r="C3079" t="inlineStr">
        <is>
          <t>So they drained a liter from my dads lung. He went into the ER again today due to fatigue (it’s been 3 days since last time he went), and the fluid is back again.
We got the results today. They said the fluid has cancer in it.
My mom did some research and is crying more than I’ve ever seen her cry. This is killing me. I feel so bad for him and my mom. I’m kind of numb right now but clearly this isn’t good news. I hate this.
I hate thinking of how my dad feels. I know he’s scared. It kills me inside knowing how scared he is. Please send positive thoughts. 
I’ve tried my best to stay positive, but I’m so scared.</t>
        </is>
      </c>
      <c r="D3079" t="n">
        <v>18</v>
      </c>
      <c r="E3079" t="n">
        <v>8</v>
      </c>
      <c r="F3079">
        <f>HYPERLINK("https://www.reddit.com/r/cancer/comments/c353u6/test_results_from_dads_lung_fluid_its_not_good/")</f>
        <v/>
      </c>
      <c r="G3079" t="inlineStr">
        <is>
          <t>2019-06-20 19:45:17</t>
        </is>
      </c>
      <c r="H3079" t="inlineStr"/>
    </row>
    <row r="3080">
      <c r="A3080" t="inlineStr">
        <is>
          <t>c35epr</t>
        </is>
      </c>
      <c r="B3080" t="inlineStr">
        <is>
          <t>My dad just passed away from prostate cancer around a month ago at 64 yrs of age</t>
        </is>
      </c>
      <c r="C3080" t="inlineStr">
        <is>
          <t>I didn't know whether I wanted or needed to make a post about this here. I've been an on and off lurker of the sub ever since we received my father's diagnosis in the summer of 2017.
I just, I just needed to talk about the final time I saw him.
during the last few weeks before I went back home after the end of the semester, I was still taking to my dad over the phone and everything seemed fine. It wasn't until I saw him that I knew things had accelerated, had changed.
His face was visibly gaunt. He was wittled down to the bone. He could barely open his mouth to talk or eat at times. And he needed help to get up off the bed, to go to the bathroom, to do anything.
Mentally, he had also deteriorated to. We would have to speak louder or really get his attention because he would sometimes not realize you were there or he couldn't hear you. It was tough to communicate with him.
At this point, he was in hospice, and he also had a DNR put through, and I knew this before I had arrived so I should have already had it in my mind that there wasn't much time left. But I didn't know it had eaten at him this severely. And yet still seeing him, something about me wanted to cling on to hope, wanted to deny even, to pretend and imagine that he would last a lot longer.
The fact is, he had been suffering a lot for many months since the beginning of this year, and my sister and mother who cared for him back home knew that he didn't have a lot left. I was not made aware of this fact as they did not want to worry me being out of state. 
So yes, I was shocked just a week into my stay at home. The days prior, my father had been given some anti anxiety medication and morphine to help him with his breathing and panic attacks and pain. Eventually an oxygen machine was brought in, and he spent several nights in an almost comatose state, sleeping for very long hours. At this point, it was very difficult to communicate to him and help him out.
And that one night, at around 11:45, that's when the breathing started. Every exhale was the sound of pain; a silent inhale, but a jagged exhale of verbal pain. My mother felt something was up, and in calling the nurse from the hospice center, that's when she told us that it was the beginning of the end, that we should expect him to pass in the next 12-48 hours.
After she left, I just had this balled up knot in my stomach, the kind I get when I'm really nervous to give a speech or some stupid as fuck social interaction. It became real, really real, really fucking fast. And that's when the tears started. As my father lay there, with his painful breathing, giving him morphine ever so often, my mother told us to prepare our goodbyes, to tell him everything we wanted him to hear while he was still somewhat conscious. All we could do was hug him, lie around him. And from my lips just trembling and saying "Papi, Papi, Papa" with tears and more tears. I don't remember if I tried to comfort my mom and sister, but they hugged each other. And I don't know if this is what really happened, but I swear that we saw a tear roll down his cheek, and I feel like he may have been reacting to our distress and crying. that just made me feel worse.
After all the other relatives that were in the area were made aware that there was only so many hours left, they all appeared. Some had been there for several days prior, helping out in any way they could, while others had not spoken to us in several fucking years. But they were there all the same.
It was such a long process, and as much as it was agonizing to think about not being able to see him for longer, it was much more agonizing for him to have taken so long to pass. Every breath becoming more and more shallow (or deeper? I don't remember), more and more, I don't know, painful and fucked up?
And then when the breathing came to a really slow stop, I actually had to check to make sure he had really passed. And ever so gently, a soft heart beat could still be felt underneath my finger. He was still with us. I swear it took so long. But eventually, I think it had slowed down enough, and we felt comfortable in making the call to the hospice center to inform them that he had passed.
and when that happened, it's like hell broke loose in my mind. I just whine and cried and yelled and became angry and flustered and out of control and overwhelmed and shocked and angry and enraged and confused and so so sad. I had never experienced such a draining moment in my entire life, and it was enough to send me straight to bed at 3 in the morning after we had finally made the call.
Later that morning, I awoke from my fetal position to my other relatives around, waiting for the black suit dude to take my father away. When he arrived, he brought that bed-on-wheels. He wrapped my dad up on the bed with a blanket under him, and placed him on the thing. And before he finally had his face covered up, we all gave him a kiss or a hug. And when they finally rolled him out, I cried some more.
I know my mom hates reliving and thinking about what transpired that morning, but I felt I needed to relive it so that I could let go of some of that internal pressure and really let out anything else within me. I think I achieved it with this post, even though it was long winded and no one might read it.
Papa, espero que estes bien donde quiera que estes ahorita. Perdon que no pude hablar contigo mas y expresar que tanto te quise y te sigo queriendo. Muchas gracias por todo lo que nos diste Papi. Te amo, y te voy a extrañar mucho.</t>
        </is>
      </c>
      <c r="D3080" t="n">
        <v>42</v>
      </c>
      <c r="E3080" t="n">
        <v>15</v>
      </c>
      <c r="F3080">
        <f>HYPERLINK("https://www.reddit.com/r/cancer/comments/c35epr/my_dad_just_passed_away_from_prostate_cancer/")</f>
        <v/>
      </c>
      <c r="G3080" t="inlineStr">
        <is>
          <t>2019-06-20 20:16:19</t>
        </is>
      </c>
      <c r="H3080" t="inlineStr"/>
    </row>
    <row r="3081">
      <c r="A3081" t="inlineStr">
        <is>
          <t>c35le8</t>
        </is>
      </c>
      <c r="B3081" t="inlineStr">
        <is>
          <t>Losing my husband.</t>
        </is>
      </c>
      <c r="C3081" t="inlineStr">
        <is>
          <t>I write this from his bedside at the hospital we’ve been in since last Thursday. In 2016, my husband was diagnosed with melanoma. It was a tumor located under his right arm. He had surgery and started immunotherapy. Almost a year later and the cancer had metastasized to multiple parts of his body. He started chemotherapy and went into remission in November 2018. In January of this year, we found out his cancer has returned, this time to his brain. He started radiation with little side effects and things started to look up. Until this week, when my husband was diagnosed with Leptomeningeal Disease. I am absolutely devastated. From what his oncologist has told us, it happens in about 3% of cancer patients. Right now, I feel like my life moves in slow motion and I can’t remember when the last time I ate was. They’ve given him months to live but he is declining so quickly. One week ago, we were having a great time talking about taking a walk when I got home from work. The next day I was calling 911 because he was non-responsive. I just don’t know what to do with myself. I cry in silence every time I look at him. He’s barely eating, not speaking, and sleeping most of the day. His doctors have started him on chemotherapy to give him the best quality of life during this time. I’ve set up an appointment with a therapist but it’s not until the 29th. I just feel numb.</t>
        </is>
      </c>
      <c r="D3081" t="n">
        <v>24</v>
      </c>
      <c r="E3081" t="n">
        <v>9</v>
      </c>
      <c r="F3081">
        <f>HYPERLINK("https://www.reddit.com/r/cancer/comments/c35le8/losing_my_husband/")</f>
        <v/>
      </c>
      <c r="G3081" t="inlineStr">
        <is>
          <t>2019-06-20 20:35:54</t>
        </is>
      </c>
      <c r="H3081" t="inlineStr"/>
    </row>
    <row r="3082">
      <c r="A3082" t="inlineStr">
        <is>
          <t>c36nl3</t>
        </is>
      </c>
      <c r="B3082" t="inlineStr">
        <is>
          <t>Every time I nap I feel like the cancer is back</t>
        </is>
      </c>
      <c r="C3082" t="inlineStr">
        <is>
          <t>I’m not sure if I’m looking for advice or if I’m looking to see if anyone else feels the same way. But every time I have a nap during the day (I’m 22) I wake up and the very first thing I think is that it doesn’t make sense as to why I need a nap except for my cancer is back. I do have scans every three months to ensure I’m still clear but it’s so hard in between to mentally tell yourself that you’re okay now. It’s such a brain trap.</t>
        </is>
      </c>
      <c r="D3082" t="n">
        <v>6</v>
      </c>
      <c r="E3082" t="n">
        <v>6</v>
      </c>
      <c r="F3082">
        <f>HYPERLINK("https://www.reddit.com/r/cancer/comments/c36nl3/every_time_i_nap_i_feel_like_the_cancer_is_back/")</f>
        <v/>
      </c>
      <c r="G3082" t="inlineStr">
        <is>
          <t>2019-06-20 22:32:12</t>
        </is>
      </c>
      <c r="H3082" t="inlineStr"/>
    </row>
    <row r="3083">
      <c r="A3083" t="inlineStr">
        <is>
          <t>c37337</t>
        </is>
      </c>
      <c r="B3083" t="inlineStr">
        <is>
          <t>Stage IV thymoma (only found because perfect match for kidney donation)</t>
        </is>
      </c>
      <c r="C3083" t="inlineStr">
        <is>
          <t>Hello everyone, my mother (48) was just diagnosed with having a stage 4 thymoma type A/B. It’s about the size of a fist and pressing up against her aorta. The surgeon believes the tumor is to large to be removed right now and she must go through chemo to shrink the tumor before attempting removal. She is currently being treated at USC Keck medical center. I do feel she is in very good hands but i was wondering if anyone know of any cancer treatment centers that have a lot of experience with thymomas. Just looking at the possibility of getting a second opinion. 
Also, just though I would share, my mother only found out about this massive tumor because her husband (as of last month) is in need of a kidney. It turns out she was a perfect match to be a donor. She was going through testing to see if she was in good enough physical health to be a donor and they found the tumor. Obviously we are in shock but so thankful it was found. The doctors said if she wasn’t a match she probably wouldn’t have know about it before it was to late.</t>
        </is>
      </c>
      <c r="D3083" t="n">
        <v>4</v>
      </c>
      <c r="E3083" t="n">
        <v>0</v>
      </c>
      <c r="F3083">
        <f>HYPERLINK("https://www.reddit.com/r/cancer/comments/c37337/stage_iv_thymoma_only_found_because_perfect_match/")</f>
        <v/>
      </c>
      <c r="G3083" t="inlineStr">
        <is>
          <t>2019-06-20 23:24:43</t>
        </is>
      </c>
      <c r="H3083" t="inlineStr"/>
    </row>
    <row r="3084">
      <c r="A3084" t="inlineStr">
        <is>
          <t>c37qv7</t>
        </is>
      </c>
      <c r="B3084" t="inlineStr">
        <is>
          <t>Asbestos fire</t>
        </is>
      </c>
      <c r="C3084" t="inlineStr">
        <is>
          <t>I put piece of asbestos, which was about 30x30cm, on fire, watch it burn and at the end hit ashes with a stick so I could enjoy all those shiny flying needles- I was like 7 yo. I am now 26 and wondering how much this event can impact my chances for cancer. Is it even possible to measure or forecast influence of one event? Should I talk to md about that or its too precocious?</t>
        </is>
      </c>
      <c r="D3084" t="n">
        <v>0</v>
      </c>
      <c r="E3084" t="n">
        <v>2</v>
      </c>
      <c r="F3084">
        <f>HYPERLINK("https://www.reddit.com/r/cancer/comments/c37qv7/asbestos_fire/")</f>
        <v/>
      </c>
      <c r="G3084" t="inlineStr">
        <is>
          <t>2019-06-21 00:48:08</t>
        </is>
      </c>
      <c r="H3084" t="inlineStr"/>
    </row>
    <row r="3085">
      <c r="A3085" t="inlineStr">
        <is>
          <t>c380s3</t>
        </is>
      </c>
      <c r="B3085" t="inlineStr">
        <is>
          <t>Scanxiety</t>
        </is>
      </c>
      <c r="C3085" t="inlineStr">
        <is>
          <t>Last week they took an MRI, and now on Tuesday they want a pet scan. I've been having increasing symptoms and I'm just so worried it's spread. There's no indication for this, just my nerves. 
How do you deal with the scanxiety? 
I know things will get better after treatment begins. At least then I'm doing something about it. The symptoms will subside as it shrinks. But this calm before the storm is the worst feeling!</t>
        </is>
      </c>
      <c r="D3085" t="n">
        <v>8</v>
      </c>
      <c r="E3085" t="n">
        <v>6</v>
      </c>
      <c r="F3085">
        <f>HYPERLINK("https://www.reddit.com/r/cancer/comments/c380s3/scanxiety/")</f>
        <v/>
      </c>
      <c r="G3085" t="inlineStr">
        <is>
          <t>2019-06-21 01:26:12</t>
        </is>
      </c>
      <c r="H3085" t="inlineStr"/>
    </row>
    <row r="3086">
      <c r="A3086" t="inlineStr">
        <is>
          <t>c3813u</t>
        </is>
      </c>
      <c r="B3086" t="inlineStr">
        <is>
          <t>Finding some good during bad times</t>
        </is>
      </c>
      <c r="C3086" t="inlineStr">
        <is>
          <t>My step-mom (stage 4 ovarian) had to stop chemotherapy a few weeks ago. Not necessarily by choice because she wanted to keep fighting, but because her body couldn't take it anymore. We had been to the hospital 4 times in May alone due to how weak she was and her vitals and labs being so low. (I'm not sure why exactly medically... But she always needed blood transfusions or IV's or was vomiting uncontrollaby)
The last visit was long enough that she said she wanted to stop for a month. And while this has been an extremely sad year and a half for our family, the last week or so has honestly been wonderful.
Without the chemotherapy she is strong enough and not fatigued enough to enjoy our company without nodding off. She thinks more clearly and is able to joke. A few days ago we went to a restaurant down the road and ate together as a family--for the first time since before Christmas.
She's still weak. And she still has stage 4 cancer. But we feel like we have the "old" her back and we are getting to enjoy time together.  It feels like bliss after a month of endless hospitals. The family is even taking time off this weekend to go on a small road trip to  Nashville w her. :) 
I know this won't last... That the cancer is growing now without the chemo. But this is a good month for me and my family. We've cherished this gift of time we've been able to have as a family. Cancer is an ugly ugly thing, but we've made some good out of it.
I hope you guys are having a great day and taking care of yourselves no matter what you're going through. I hope everyone can find some good during these bad times., ❤️</t>
        </is>
      </c>
      <c r="D3086" t="n">
        <v>24</v>
      </c>
      <c r="E3086" t="n">
        <v>5</v>
      </c>
      <c r="F3086">
        <f>HYPERLINK("https://www.reddit.com/r/cancer/comments/c3813u/finding_some_good_during_bad_times/")</f>
        <v/>
      </c>
      <c r="G3086" t="inlineStr">
        <is>
          <t>2019-06-21 01:27:35</t>
        </is>
      </c>
      <c r="H3086" t="inlineStr"/>
    </row>
    <row r="3087">
      <c r="A3087" t="inlineStr">
        <is>
          <t>c383uj</t>
        </is>
      </c>
      <c r="B3087" t="inlineStr">
        <is>
          <t>Feeling lost</t>
        </is>
      </c>
      <c r="C3087" t="inlineStr">
        <is>
          <t>Aside from emergency chemo and hoping for stabilization, there’s not much time left for someone important in my life. 
I don’t know what to do. It feels suffocating.</t>
        </is>
      </c>
      <c r="D3087" t="n">
        <v>7</v>
      </c>
      <c r="E3087" t="n">
        <v>2</v>
      </c>
      <c r="F3087">
        <f>HYPERLINK("https://www.reddit.com/r/cancer/comments/c383uj/feeling_lost/")</f>
        <v/>
      </c>
      <c r="G3087" t="inlineStr">
        <is>
          <t>2019-06-21 01:38:47</t>
        </is>
      </c>
      <c r="H3087" t="inlineStr"/>
    </row>
    <row r="3088">
      <c r="A3088" t="inlineStr">
        <is>
          <t>c39qhb</t>
        </is>
      </c>
      <c r="B3088" t="inlineStr">
        <is>
          <t>Small lump/spot under armpit</t>
        </is>
      </c>
      <c r="C3088" t="inlineStr">
        <is>
          <t>Iknow this might seem like a no brainer but this morning i woke up and had a small painful lump like things under my right armpit. I have a strong feeling its just a spot however it doesnt have anything from the top of the skin for it to look like a spot however its painful like a spot. I recently had a lymph node biopsy for my melanoma. Should i go to the hospital to get it checked over even though if i think its just a spot?</t>
        </is>
      </c>
      <c r="D3088" t="n">
        <v>1</v>
      </c>
      <c r="E3088" t="n">
        <v>2</v>
      </c>
      <c r="F3088">
        <f>HYPERLINK("https://www.reddit.com/r/cancer/comments/c39qhb/small_lumpspot_under_armpit/")</f>
        <v/>
      </c>
      <c r="G3088" t="inlineStr">
        <is>
          <t>2019-06-21 05:04:30</t>
        </is>
      </c>
      <c r="H3088" t="inlineStr"/>
    </row>
    <row r="3089">
      <c r="A3089" t="inlineStr">
        <is>
          <t>c39wme</t>
        </is>
      </c>
      <c r="B3089" t="inlineStr">
        <is>
          <t>Finished!</t>
        </is>
      </c>
      <c r="C3089" t="inlineStr">
        <is>
          <t>I finished chemo and radio today after doing them both at the same time.
It feels bloody great and I hope you’re all having a great day!</t>
        </is>
      </c>
      <c r="D3089" t="n">
        <v>105</v>
      </c>
      <c r="E3089" t="n">
        <v>40</v>
      </c>
      <c r="F3089">
        <f>HYPERLINK("https://www.reddit.com/r/cancer/comments/c39wme/finished/")</f>
        <v/>
      </c>
      <c r="G3089" t="inlineStr">
        <is>
          <t>2019-06-21 05:23:03</t>
        </is>
      </c>
      <c r="H3089" t="inlineStr"/>
    </row>
    <row r="3090">
      <c r="A3090" t="inlineStr">
        <is>
          <t>c3agq4</t>
        </is>
      </c>
      <c r="B3090" t="inlineStr">
        <is>
          <t>First session of chemo for my mum (60s) - tips on what to expect/bring?</t>
        </is>
      </c>
      <c r="C3090" t="inlineStr">
        <is>
          <t>As the title says, it's my mum's first Chemotherapy session to begin treating her Pseudomyxoma Peretoni. My mum has previous disabilities that affect her mobility and mental state (tired easily, arthritis and difficulty moving joints, difficulty processing information etc) if that helps with any tips!
&amp;amp;#x200B;
I would like to know what to pack for her first appointment and what I can do to support her!</t>
        </is>
      </c>
      <c r="D3090" t="n">
        <v>11</v>
      </c>
      <c r="E3090" t="n">
        <v>5</v>
      </c>
      <c r="F3090">
        <f>HYPERLINK("https://www.reddit.com/r/cancer/comments/c3agq4/first_session_of_chemo_for_my_mum_60s_tips_on/")</f>
        <v/>
      </c>
      <c r="G3090" t="inlineStr">
        <is>
          <t>2019-06-21 06:18:51</t>
        </is>
      </c>
      <c r="H3090" t="inlineStr"/>
    </row>
    <row r="3091">
      <c r="A3091" t="inlineStr">
        <is>
          <t>c3bluz</t>
        </is>
      </c>
      <c r="B3091" t="inlineStr">
        <is>
          <t>Am I foolish to feel optimistic?</t>
        </is>
      </c>
      <c r="C3091" t="inlineStr">
        <is>
          <t>I will try to make this as brief as possible, but I do feel like there are details worth sharing. I've always felt like a very lucky person, but I never felt worthy of the good things that happened in my life. In 2012 I married my high school sweetheart after we both graduated from college. We moved across the country and started our lives together. Because of my job, we had the opportunity to live in a lot of incredible places - LA, Northern California, Montreal. When we had our son in 2016 we decided it was time to move back closer to family.  
&amp;amp;#x200B;
I got an incredible job as an engineer in our home town working alongside my best friend. We had an amazing house, lived just 30 minutes from both sets of parents, my job was going so well that my wife was able to stay home with our son, our baby was SO handsome and intelligent, and Golden Retriever was being the best big brother anyone could ask for.   
&amp;amp;#x200B;
Flash forward to 2018. Work is going well, I just received a lateral move into another engineering role, and it was a great development opportunity for me, but it meant longer hours with some nights and weekend coverage. Things were going great, but I felt very uneasy. I was just waiting for the other foot to drop because I knew I didn't deserve that much happiness. 
&amp;amp;#x200B;
In November of 2018 my two year old son was diagnosed with B-cell ALL. There were no symptoms, no ER visits. He had a strange lump on his arm. His pediatrician referred us to a Dermatologist who biopsied the lump and determined it was suspicious for Lymphoblastic Lymphoma. From here things moved quickly. The very next week we were at St. Jude's in Memphis. It seemed we had caught it early and it wasn't aggressive. An initial bone marrow biopsy showed that blasts were only 24%. Below 27% and it's classified as Lymphoma, above 27% it is classified as Leukemia. His Oncologist there was certain it was Leukemia. He wanted to hold off on treatment until we were certain on the diagnosis. A week later another bone marrow biopsy showed blasts had increased to 80%. It was for sure Leukemia. But not aggressive, by all accounts it seemed "garden variety". Not to minimize it, but his Oncologist told us he was 100% sure he could cure our son.  
&amp;amp;#x200B;
That was until the Cytogenetics came back. They showed that my son has something called "MLL Translocation". I'm not sure what numbers exactly. But I do know this increases his risk of relapse.  That said, his Oncologist still gave him a 94% prognosis of cure. By Day 8 of treatment there were no Leukemia cells in his peripheral blood. The bone marrow biopsy on Day 15 showed him to be MRD Negative! He was officially in remission. Only 30% of cases go into remission that quickly (in my son's age group).   
&amp;amp;#x200B;
Induction was no picnic. My son lost the ability to walk for three months. Despite some speed bumps in Consolidation, he flew through. And now we are in the first Maintenance phase.   
&amp;amp;#x200B;
My son is happy, laughing, running, playing. The treatment usually only knocks him down for a few days and then he's back to it. Everything is going so well. His counts have been great. His blood numbers sometimes do weird things, he is very sensitive to the chemo, but it seems like his medical team is pleased with the way his treatment is going. 113 more weeks and we are done with this!   
&amp;amp;#x200B;
So with everything going so well again, I can't help but feel uneasy. It really does feel like this is going too smoothly. Especially hearing other people's horror stories. Am I setting myself up for disappointment by being optimistic?  I always have that risk of relapse in the back of my head. I can't get it out.   
&amp;amp;#x200B;
Has anyone else gone through this with ALL? What is your advice to keep my head on straight. It's gotten to the point where I just can't focus at work. I just sift through various cancer subreddits all day reading people's stories and I honestly don't even know what I expect to get out of it.   
&amp;amp;#x200B;
I'm not even sure why I am posting. There is so much devastation on this subreddit and I'm worried because things are going too well? It feels selfish. But I want to get these thoughts out of my head because I feel like I can't say them out loud to anyone I know.  
Thanks for listening.</t>
        </is>
      </c>
      <c r="D3091" t="n">
        <v>19</v>
      </c>
      <c r="E3091" t="n">
        <v>15</v>
      </c>
      <c r="F3091">
        <f>HYPERLINK("https://www.reddit.com/r/cancer/comments/c3bluz/am_i_foolish_to_feel_optimistic/")</f>
        <v/>
      </c>
      <c r="G3091" t="inlineStr">
        <is>
          <t>2019-06-21 07:57:49</t>
        </is>
      </c>
      <c r="H3091" t="inlineStr"/>
    </row>
    <row r="3092">
      <c r="A3092" t="inlineStr">
        <is>
          <t>c3exon</t>
        </is>
      </c>
      <c r="B3092" t="inlineStr">
        <is>
          <t>Recovery stories</t>
        </is>
      </c>
      <c r="C3092" t="inlineStr">
        <is>
          <t>On Feb 26,2019 I got a craniotomy for a tumor located in the fourth ventricle. Luckily it was benign but I suffer from 6/7 nerve palsy, dysarthria (speech) and ataxia (gait/mobility) issues. It has been 16 weeks and since then I’ve gone from not even being able to sit up to using a walker semi-independently. Does anyone have any brain surgery recovery stories they’re willing to share?!</t>
        </is>
      </c>
      <c r="D3092" t="n">
        <v>4</v>
      </c>
      <c r="E3092" t="n">
        <v>4</v>
      </c>
      <c r="F3092">
        <f>HYPERLINK("https://www.reddit.com/r/cancer/comments/c3exon/recovery_stories/")</f>
        <v/>
      </c>
      <c r="G3092" t="inlineStr">
        <is>
          <t>2019-06-21 12:08:26</t>
        </is>
      </c>
      <c r="H3092" t="inlineStr"/>
    </row>
    <row r="3093">
      <c r="A3093" t="inlineStr">
        <is>
          <t>c3f8bi</t>
        </is>
      </c>
      <c r="B3093" t="inlineStr">
        <is>
          <t>Marinol - pure synthetic cannabis</t>
        </is>
      </c>
      <c r="C3093" t="inlineStr">
        <is>
          <t>Anyone have any experience taking Marinol and ingesting cannabis and boofing RSO? Gram has stage 4 cancer, don’t want her to get too high and fall.</t>
        </is>
      </c>
      <c r="D3093" t="n">
        <v>4</v>
      </c>
      <c r="E3093" t="n">
        <v>2</v>
      </c>
      <c r="F3093">
        <f>HYPERLINK("https://www.reddit.com/r/cancer/comments/c3f8bi/marinol_pure_synthetic_cannabis/")</f>
        <v/>
      </c>
      <c r="G3093" t="inlineStr">
        <is>
          <t>2019-06-21 12:30:51</t>
        </is>
      </c>
      <c r="H3093" t="inlineStr"/>
    </row>
    <row r="3094">
      <c r="A3094" t="inlineStr">
        <is>
          <t>c3ge5z</t>
        </is>
      </c>
      <c r="B3094" t="inlineStr">
        <is>
          <t>Has anyone seen a therapist of any kind after going through cancer? How did it help you?</t>
        </is>
      </c>
      <c r="C3094" t="inlineStr">
        <is>
          <t>My life seems so unstructured and unguided. A huge part of it is the garbage medical stuff I've gone through for the past number of years and a huge part of it is just "how I am" anyway.
My wife wants me to see someone for all my problems and hopefully get perspective and guidance on how I can get more meaning and structure in my life again in a way that will help both of us and our relationship.
Obviously everyones' personal issues are different, but I guess what I'd like to know is if seeing and/or talking to someone helped any of you during/after dealing with cancer.
Thanks all!</t>
        </is>
      </c>
      <c r="D3094" t="n">
        <v>9</v>
      </c>
      <c r="E3094" t="n">
        <v>17</v>
      </c>
      <c r="F3094">
        <f>HYPERLINK("https://www.reddit.com/r/cancer/comments/c3ge5z/has_anyone_seen_a_therapist_of_any_kind_after/")</f>
        <v/>
      </c>
      <c r="G3094" t="inlineStr">
        <is>
          <t>2019-06-21 14:01:41</t>
        </is>
      </c>
      <c r="H3094" t="inlineStr"/>
    </row>
    <row r="3095">
      <c r="A3095" t="inlineStr">
        <is>
          <t>c3gs45</t>
        </is>
      </c>
      <c r="B3095" t="inlineStr">
        <is>
          <t>Swollen feet</t>
        </is>
      </c>
      <c r="C3095" t="inlineStr">
        <is>
          <t>So I’m done with chemo, it’s been 5 weeks, rchop several lasting side effects, but the worst is my feet are swollen and painful , seems to be geting worse, anybody else get this side effect and did it go away?</t>
        </is>
      </c>
      <c r="D3095" t="n">
        <v>7</v>
      </c>
      <c r="E3095" t="n">
        <v>8</v>
      </c>
      <c r="F3095">
        <f>HYPERLINK("https://www.reddit.com/r/cancer/comments/c3gs45/swollen_feet/")</f>
        <v/>
      </c>
      <c r="G3095" t="inlineStr">
        <is>
          <t>2019-06-21 14:31:56</t>
        </is>
      </c>
      <c r="H3095" t="inlineStr"/>
    </row>
    <row r="3096">
      <c r="A3096" t="inlineStr">
        <is>
          <t>c3i5t9</t>
        </is>
      </c>
      <c r="B3096" t="inlineStr">
        <is>
          <t>Anyone else depressed before cancer?</t>
        </is>
      </c>
      <c r="C3096" t="inlineStr">
        <is>
          <t>I've always been depressed and don't want to live. 
I'm still waiting for my biospy results for a large mass on my groin/bikini area. But I just know I  probably have ovarian cancer that spread to my lymph nodes. That side is starting to ache and I've always had this  fullness on the same side, just attributed to constipation since I eat junk.</t>
        </is>
      </c>
      <c r="D3096" t="n">
        <v>5</v>
      </c>
      <c r="E3096" t="n">
        <v>1</v>
      </c>
      <c r="F3096">
        <f>HYPERLINK("https://www.reddit.com/r/cancer/comments/c3i5t9/anyone_else_depressed_before_cancer/")</f>
        <v/>
      </c>
      <c r="G3096" t="inlineStr">
        <is>
          <t>2019-06-21 16:28:35</t>
        </is>
      </c>
      <c r="H3096" t="inlineStr"/>
    </row>
    <row r="3097">
      <c r="A3097" t="inlineStr">
        <is>
          <t>c3ic82</t>
        </is>
      </c>
      <c r="B3097" t="inlineStr">
        <is>
          <t>How active are you after chemo?</t>
        </is>
      </c>
      <c r="C3097" t="inlineStr">
        <is>
          <t>Hi! I'm just curious what the first few days look like for everyone after chemo.
I'm 24F with hodgkin's lymphoma, and I'm on chemo treatment number 7 of 12. I get my chemo every other Thursday specifically because that's what my oncologist recommended for people who work. So I go to work Friday, essentially don't leave the house Friday night through Sunday, (sometimes I'll go grocery shopping Sunday) and then I return to work for Monday. 
&amp;amp;#x200B;
What works for you?</t>
        </is>
      </c>
      <c r="D3097" t="n">
        <v>10</v>
      </c>
      <c r="E3097" t="n">
        <v>9</v>
      </c>
      <c r="F3097">
        <f>HYPERLINK("https://www.reddit.com/r/cancer/comments/c3ic82/how_active_are_you_after_chemo/")</f>
        <v/>
      </c>
      <c r="G3097" t="inlineStr">
        <is>
          <t>2019-06-21 16:44:07</t>
        </is>
      </c>
      <c r="H3097" t="inlineStr"/>
    </row>
    <row r="3098">
      <c r="A3098" t="inlineStr">
        <is>
          <t>c3ie1l</t>
        </is>
      </c>
      <c r="B3098" t="inlineStr">
        <is>
          <t>8 years ago today I found out I have cancer....</t>
        </is>
      </c>
      <c r="C3098" t="inlineStr">
        <is>
          <t>I am still here, my numbers stayed low for the 3rd year in a row (They were bouncing around for the 1st 5 years).  
Yes I am very happy about this but I post this to let others know that you can kick it's ass and it is possible to overcome it! I hope everyone that is unfortunate enough to get it beats it sincerely cancer sucks and can go fuck itself.  
That is all.</t>
        </is>
      </c>
      <c r="D3098" t="n">
        <v>67</v>
      </c>
      <c r="E3098" t="n">
        <v>23</v>
      </c>
      <c r="F3098">
        <f>HYPERLINK("https://www.reddit.com/r/cancer/comments/c3ie1l/8_years_ago_today_i_found_out_i_have_cancer/")</f>
        <v/>
      </c>
      <c r="G3098" t="inlineStr">
        <is>
          <t>2019-06-21 16:48:36</t>
        </is>
      </c>
      <c r="H3098" t="inlineStr"/>
    </row>
    <row r="3099">
      <c r="A3099" t="inlineStr">
        <is>
          <t>c3k93t</t>
        </is>
      </c>
      <c r="B3099" t="inlineStr">
        <is>
          <t>Just diagnosed with Hodgkins</t>
        </is>
      </c>
      <c r="C3099" t="inlineStr">
        <is>
          <t>I don’t know anymore yet, I’ll be in the cancer institute next week. I’m in Canada. What do I need to know? I’m ready to kick the fuck out of this thing.</t>
        </is>
      </c>
      <c r="D3099" t="n">
        <v>5</v>
      </c>
      <c r="E3099" t="n">
        <v>15</v>
      </c>
      <c r="F3099">
        <f>HYPERLINK("https://www.reddit.com/r/cancer/comments/c3k93t/just_diagnosed_with_hodgkins/")</f>
        <v/>
      </c>
      <c r="G3099" t="inlineStr">
        <is>
          <t>2019-06-21 19:45:00</t>
        </is>
      </c>
      <c r="H3099" t="inlineStr"/>
    </row>
    <row r="3100">
      <c r="A3100" t="inlineStr">
        <is>
          <t>c3knlf</t>
        </is>
      </c>
      <c r="B3100" t="inlineStr">
        <is>
          <t>Surviving cancer but not very grateful</t>
        </is>
      </c>
      <c r="C3100" t="inlineStr">
        <is>
          <t>It’s been almost 3 years since I was diagnosed. In that time I’ve been through chemo and immunotherapy with a couple 6 month periods of remission. I’ve run through all my money and then some, haven’t been able to work and now live with my brother and his family. My mother pays for my insanely expensive health insurance. I used to make a living with my brain, now I feel like that’s never going to be true again. Most days I just feel sad and completely useless. I’m tired all the time. But hey I’m surviving cancer — big fucking whoop. I’ll probably delete this post because it’s such a bummer and people here are trying so hard just to live. I just had to tell someone I guess.</t>
        </is>
      </c>
      <c r="D3100" t="n">
        <v>30</v>
      </c>
      <c r="E3100" t="n">
        <v>18</v>
      </c>
      <c r="F3100">
        <f>HYPERLINK("https://www.reddit.com/r/cancer/comments/c3knlf/surviving_cancer_but_not_very_grateful/")</f>
        <v/>
      </c>
      <c r="G3100" t="inlineStr">
        <is>
          <t>2019-06-21 20:26:12</t>
        </is>
      </c>
      <c r="H3100" t="inlineStr"/>
    </row>
    <row r="3101">
      <c r="A3101" t="inlineStr">
        <is>
          <t>c3kykp</t>
        </is>
      </c>
      <c r="B3101" t="inlineStr">
        <is>
          <t>Good or bad news?</t>
        </is>
      </c>
      <c r="C3101" t="inlineStr">
        <is>
          <t>&amp;amp;#x200B;
[Results of recent MRI](https://i.redd.it/54qyb7xfzt531.jpg)
A close relative is fighting brain cancer for the last 3 years. They have had surgery to remove what was called a stage 1 tumor, chemo and radiation. A little over a year ago they were told the cancer had returned and they might only have months left. A year later, though weak they are still going. Neither they nor their spouse speak English well so they struggle with understanding what the doctors tell them. They asked me if the results of a recent MRI are good or bad news. While English is my first language I can't tell for sure from reading the test results (seems like good news maybe?). Can anybody please interpret the medical lingo?</t>
        </is>
      </c>
      <c r="D3101" t="n">
        <v>7</v>
      </c>
      <c r="E3101" t="n">
        <v>2</v>
      </c>
      <c r="F3101">
        <f>HYPERLINK("https://www.reddit.com/r/cancer/comments/c3kykp/good_or_bad_news/")</f>
        <v/>
      </c>
      <c r="G3101" t="inlineStr">
        <is>
          <t>2019-06-21 20:58:02</t>
        </is>
      </c>
      <c r="H3101" t="inlineStr"/>
    </row>
    <row r="3102">
      <c r="A3102" t="inlineStr">
        <is>
          <t>c3l5fv</t>
        </is>
      </c>
      <c r="B3102" t="inlineStr">
        <is>
          <t>Why me? Why did I have to survive?</t>
        </is>
      </c>
      <c r="C3102" t="inlineStr">
        <is>
          <t>Why save me? There are countless others worth saving. It's been nearly 13 years since I ended treatment, and not a day goes by that I wish it took my life. I'm sorry, but why spare me and then take my mother's life? I didn't ask for this fucking life, and all I've ever thought about this life is why it won't end. Why did I have to be saved? Why did I have to survive? I hate this, I hate my life, I hate myself. I'm just so tired...I'm sorry.</t>
        </is>
      </c>
      <c r="D3102" t="n">
        <v>10</v>
      </c>
      <c r="E3102" t="n">
        <v>7</v>
      </c>
      <c r="F3102">
        <f>HYPERLINK("https://www.reddit.com/r/cancer/comments/c3l5fv/why_me_why_did_i_have_to_survive/")</f>
        <v/>
      </c>
      <c r="G3102" t="inlineStr">
        <is>
          <t>2019-06-21 21:18:08</t>
        </is>
      </c>
      <c r="H3102" t="inlineStr"/>
    </row>
    <row r="3103">
      <c r="A3103" t="inlineStr">
        <is>
          <t>c3l9cu</t>
        </is>
      </c>
      <c r="B3103" t="inlineStr">
        <is>
          <t>My situation as an 18 year old.</t>
        </is>
      </c>
      <c r="C3103" t="inlineStr">
        <is>
          <t>Currently have a lump the size of a tennis ball in me next to my lung thank god it’s not connected to it, there’s a blur between the lymph nodes and it, 3mm of it is benign, the rest is unknown it could be benign, lymphoma or a germ cell tumor most likely options. I broke down when I first found out as I went to the hospital from my final exam because my chest was hurting wasn’t expecting a lump on the x ray. I was in shock, I got multiple ct scans with dye, multiple blood tests and urine tests as well as an ultrasound I was in hospital for 3 days it was the scariest moment of my life considering I avoided blood tests for most of my life because as a child I was so scared of them, as a child i could only handle injections/vaccinations. I’m 18 currently and I broke down before my biopsy because I was scared shitless and didn’t do it they told me they decided on a biopsy and literally gave me 20 minutes my mind was wrecked and the risks scared me. Got doctors and different nurses changed multiple times got transferred wards 3 times. Now I have my biopsy in a couple of days to find out what I have.</t>
        </is>
      </c>
      <c r="D3103" t="n">
        <v>2</v>
      </c>
      <c r="E3103" t="n">
        <v>0</v>
      </c>
      <c r="F3103">
        <f>HYPERLINK("https://www.reddit.com/r/cancer/comments/c3l9cu/my_situation_as_an_18_year_old/")</f>
        <v/>
      </c>
      <c r="G3103" t="inlineStr">
        <is>
          <t>2019-06-21 21:30:13</t>
        </is>
      </c>
      <c r="H3103" t="inlineStr"/>
    </row>
    <row r="3104">
      <c r="A3104" t="inlineStr">
        <is>
          <t>c3m521</t>
        </is>
      </c>
      <c r="B3104" t="inlineStr">
        <is>
          <t>Every few weeks when I wipe there's blood</t>
        </is>
      </c>
      <c r="C3104" t="inlineStr">
        <is>
          <t>Alright I know this subreddit is filled with young people freaking out about symptoms and I'm sorry for that. I don't mean to pile on here. I'm just scared, really fucking scared actually, and I don't know where to turn to.
I have no diarrhea, no pain or constipation, no itching, no visible external anything on my anus. A GI doctor did a finger test where he put his finger in my anus for &amp;lt; 1 second and then told me he didn't feel anything wrong (I don't know how those inspections are supposed to go but I'm confused how he could tell so quickly?).
My only symptom-- as far as I'm aware-- is that every few weeks or every few months there's some blood when I wipe. I don't even know anything is wrong until I go to wipe, and then I see the blood. It's bright red. Usually the first wipe is full of blood and it takes 3-4 to deal with it.
My doctor referred me to the GI doctor which I just saw and did that finger exam. He recommended anusol and hydrocortisole cream. Since I'm young (25m) and don't drink/smoke/not sexually active, the current thought is it could be a fissure or hemorrhoids.
Of course my dumb brain can do nothing except assume the worst that it's cancer and that I'm going to die.
I'm not sure what I should do. I think my choices are:
try the cream, get more fiber, see if what the doctor says works
somehow figure out how to get a colonoscopy as soon as possible and get answers
I don't know if I'd be over-reacting if I just do #2. I also don't know how/where to get a colonoscopy done. I'm in Los Angeles. Can I just call my doctor back on monday and insist I want one, and he will think I'm nuts for being a 25 year old asking for a colonoscopy? Is there some sort of hospital I can just call and schedule one on my own? Am I nuts for real for thinking about doing this?</t>
        </is>
      </c>
      <c r="D3104" t="n">
        <v>1</v>
      </c>
      <c r="E3104" t="n">
        <v>11</v>
      </c>
      <c r="F3104">
        <f>HYPERLINK("https://www.reddit.com/r/cancer/comments/c3m521/every_few_weeks_when_i_wipe_theres_blood/")</f>
        <v/>
      </c>
      <c r="G3104" t="inlineStr">
        <is>
          <t>2019-06-21 23:09:27</t>
        </is>
      </c>
      <c r="H3104" t="inlineStr"/>
    </row>
    <row r="3105">
      <c r="A3105" t="inlineStr">
        <is>
          <t>c3n2io</t>
        </is>
      </c>
      <c r="B3105" t="inlineStr">
        <is>
          <t>Osteosarcoma Amputation</t>
        </is>
      </c>
      <c r="C3105" t="inlineStr">
        <is>
          <t>So I got an amputation two days ago and phantom sensations are weird!! I feel like my leg is physically there and when it gets itchy i can tell you exactly where it itches if that leg still existed! When i move my residual limb it feels like i’m moving the leg that’s gone its the craziest feeling!</t>
        </is>
      </c>
      <c r="D3105" t="n">
        <v>35</v>
      </c>
      <c r="E3105" t="n">
        <v>16</v>
      </c>
      <c r="F3105">
        <f>HYPERLINK("https://www.reddit.com/r/cancer/comments/c3n2io/osteosarcoma_amputation/")</f>
        <v/>
      </c>
      <c r="G3105" t="inlineStr">
        <is>
          <t>2019-06-22 01:05:14</t>
        </is>
      </c>
      <c r="H3105" t="inlineStr"/>
    </row>
    <row r="3106">
      <c r="A3106" t="inlineStr">
        <is>
          <t>c3o56f</t>
        </is>
      </c>
      <c r="B3106" t="inlineStr">
        <is>
          <t>Relentless.</t>
        </is>
      </c>
      <c r="C3106" t="inlineStr">
        <is>
          <t>My 4 year old daughter has brain cancer. 
We have been in hospital for weeks now with the flu, and her white cell count is still 0. She’s not getting any better. 
7 blood transfusions so far during this admission. 
She just threw up her nasogastric tube and I had to hold her down while she was screaming, begging me to stop, while the nurses put a new one down so she could have her medications. 
I don’t know what to do anymore. I can’t handle watching her suffer this much. This is so unfair, I don’t understand why this has to happen to her. She is so brave and I feel like I’m just breaking. 
Needed to vent somewhere. This is so fucking hard.</t>
        </is>
      </c>
      <c r="D3106" t="n">
        <v>72</v>
      </c>
      <c r="E3106" t="n">
        <v>25</v>
      </c>
      <c r="F3106">
        <f>HYPERLINK("https://www.reddit.com/r/cancer/comments/c3o56f/relentless/")</f>
        <v/>
      </c>
      <c r="G3106" t="inlineStr">
        <is>
          <t>2019-06-22 03:27:17</t>
        </is>
      </c>
      <c r="H3106" t="inlineStr"/>
    </row>
    <row r="3107">
      <c r="A3107" t="inlineStr">
        <is>
          <t>c3pf0q</t>
        </is>
      </c>
      <c r="B3107" t="inlineStr">
        <is>
          <t>Experience with immunotherapy</t>
        </is>
      </c>
      <c r="C3107" t="inlineStr">
        <is>
          <t>Hey i was just wondering what peoples experience with immunotherapy is. My dad has bile duct cancer (inoperable), and has been on chemo but has now begun on immunotherapy, and i was just wondering what peoples experience with it is?</t>
        </is>
      </c>
      <c r="D3107" t="n">
        <v>4</v>
      </c>
      <c r="E3107" t="n">
        <v>7</v>
      </c>
      <c r="F3107">
        <f>HYPERLINK("https://www.reddit.com/r/cancer/comments/c3pf0q/experience_with_immunotherapy/")</f>
        <v/>
      </c>
      <c r="G3107" t="inlineStr">
        <is>
          <t>2019-06-22 05:59:40</t>
        </is>
      </c>
      <c r="H3107" t="inlineStr"/>
    </row>
    <row r="3108">
      <c r="A3108" t="inlineStr">
        <is>
          <t>c3ueee</t>
        </is>
      </c>
      <c r="B3108" t="inlineStr">
        <is>
          <t>Had no fear, until suddenly now...</t>
        </is>
      </c>
      <c r="C3108" t="inlineStr">
        <is>
          <t>I have a great chance.  ~90% 5 year survival rate is really good.  I see other people's stories about having late stage 4 or their children having late stage and the misery they are going through and have thought, wow I'm pretty lucky.  With my age and how early they've found mine, there is an extremely good chance I'll be fine.  It's been a few weeks since I was told this may be the case, but further testing came in this week confirming.  I really haven't been super worried or emotional at all.  Kinda like it only got into level 1 of my thought process.
We told the kids, my sister, and niece last night. They all live here in our house.  Everyone took it well and I showed a lot of confidence that I think helped everyone accept I had very very good chances and I am lucky.  It's really the way I felt. Not worried at all.
At least "I'm lucky" is what I kept telling myself.  I was alone all day today.  I had a lot of time to think.  I thought about my father who had cancer that was supposed to kill him when he was my age and he made it.  He lived until 76 and only past recently.  He had a whole series of side effects from the radiation that really made living life hard but he did it.  I then think of my mother who passed more than 10 years ago but had a horrific 2 years of suffering from cancer.  
The fear has found its way in.  It's more real today then it's been until this moment. I'm only 40, turning 41 in August. Thankfully I probably only have papillary renal cell carcinoma and probably only stage 1.  A clearer picture will obviously come when they do surgery, but more than likely after surgery I may have some medication and regular follow-up appointments, but really just an inconvenient time. Nothing more. 
I guess I'm remembering the fear I had when my father told me that he had three months to live, I was only 12, I guess I'm just remembering the fear I had when my mom got cancer and it didn't look very good, I was 30 and it was the same fear.  I wonder what my kids are fearing?  I also am feeling fear for myself and for the first time death is a real thing for me.  I always thought I understood what I'll feel like when the end may be near.  I was wrong.  I know death isn't even close to me now, but for the first time he's on my radar.  I always felt invincible.  Until now.
Wow, sorry super dramatic, but getting this out felt good.</t>
        </is>
      </c>
      <c r="D3108" t="n">
        <v>47</v>
      </c>
      <c r="E3108" t="n">
        <v>35</v>
      </c>
      <c r="F3108">
        <f>HYPERLINK("https://www.reddit.com/r/cancer/comments/c3ueee/had_no_fear_until_suddenly_now/")</f>
        <v/>
      </c>
      <c r="G3108" t="inlineStr">
        <is>
          <t>2019-06-22 13:31:05</t>
        </is>
      </c>
      <c r="H3108" t="inlineStr"/>
    </row>
    <row r="3109">
      <c r="A3109" t="inlineStr">
        <is>
          <t>c3usng</t>
        </is>
      </c>
      <c r="B3109" t="inlineStr">
        <is>
          <t>I'm scared and concerned.</t>
        </is>
      </c>
      <c r="C3109" t="inlineStr">
        <is>
          <t>A few days ago I noticed a sudden black dot on my right pointer finger. I first I thought it was a marked left by a sharpie marker since I use them at work, so I brushed it off. Its now been 3 days and countless washes and baths and the mark has not budged. I've already had a cancer scare when I was 21 and thank God that one was beign. I'm terrified now, I'm barely turning 24 and I already have another one? Skin cancer doesn't run in my family at all and I don't believe anyone in my family has had any cancer concerns besides my grandfather, who developed lung cancer from smoking when he was younger and dying from pancreatic cancer decades later.
I know the best thing I could do now is  just watch and wait for any changes but I'm so scared. It appeared so suddenly and I want to find out now if I need to truly be worried. But I know my doctor will tell me to just wait. That's what I did last time, for almost a year.
Does anyone have any advice on the waiting game? I can't focus on much else besides the thought that I have cancer.</t>
        </is>
      </c>
      <c r="D3109" t="n">
        <v>0</v>
      </c>
      <c r="E3109" t="n">
        <v>4</v>
      </c>
      <c r="F3109">
        <f>HYPERLINK("https://www.reddit.com/r/cancer/comments/c3usng/im_scared_and_concerned/")</f>
        <v/>
      </c>
      <c r="G3109" t="inlineStr">
        <is>
          <t>2019-06-22 14:09:01</t>
        </is>
      </c>
      <c r="H3109" t="inlineStr"/>
    </row>
    <row r="3110">
      <c r="A3110" t="inlineStr">
        <is>
          <t>c3vjcv</t>
        </is>
      </c>
      <c r="B3110" t="inlineStr">
        <is>
          <t>Insurance</t>
        </is>
      </c>
      <c r="C3110" t="inlineStr">
        <is>
          <t>When the port cleaning costs more than the actual chemotherapy and radiation treatments because what the fuck is even insurance ☠️</t>
        </is>
      </c>
      <c r="D3110" t="n">
        <v>10</v>
      </c>
      <c r="E3110" t="n">
        <v>8</v>
      </c>
      <c r="F3110">
        <f>HYPERLINK("https://www.reddit.com/r/cancer/comments/c3vjcv/insurance/")</f>
        <v/>
      </c>
      <c r="G3110" t="inlineStr">
        <is>
          <t>2019-06-22 15:19:11</t>
        </is>
      </c>
      <c r="H3110" t="inlineStr"/>
    </row>
    <row r="3111">
      <c r="A3111" t="inlineStr">
        <is>
          <t>c3vv12</t>
        </is>
      </c>
      <c r="B3111" t="inlineStr">
        <is>
          <t>Diagnosed with MGUS, waiting to learn results of bloodwork</t>
        </is>
      </c>
      <c r="C3111" t="inlineStr">
        <is>
          <t>I'm 27 years old and my rheumatologist diagnosed me with "MGUS". I'm waiting for some additional tests to come back to determine whether it's cancer. 
Honestly, I feel a little overwhelmed and don't really know much about the whole MGUS thing. Apparently it's usually very old people that get it though? 
I guess I'm looking for advice on what I can expect moving forward... Did any of your cancer diagnoses begin as MGUS?</t>
        </is>
      </c>
      <c r="D3111" t="n">
        <v>5</v>
      </c>
      <c r="E3111" t="n">
        <v>2</v>
      </c>
      <c r="F3111">
        <f>HYPERLINK("https://www.reddit.com/r/cancer/comments/c3vv12/diagnosed_with_mgus_waiting_to_learn_results_of/")</f>
        <v/>
      </c>
      <c r="G3111" t="inlineStr">
        <is>
          <t>2019-06-22 15:49:29</t>
        </is>
      </c>
      <c r="H3111" t="inlineStr"/>
    </row>
    <row r="3112">
      <c r="A3112" t="inlineStr">
        <is>
          <t>c3xvmp</t>
        </is>
      </c>
      <c r="B3112" t="inlineStr">
        <is>
          <t>My grandmother is currently struggling to breathe properly and I'm just sitting here holding her hand hoping for her to die ASAP whilst my anxiety is consuming me whole</t>
        </is>
      </c>
      <c r="C3112" t="inlineStr">
        <is>
          <t>The journey began many, many years ago when she was 38 y/o, stage 4 cervical cancer. She touch and go lived through that. 
Two years ago, at age 72, she was diagnosed again. Two different cancers, one in each breast. Fast forward one year and we got the green light - she was most likely going to recover and live on. Two weeks after that we found a lump on her neck. A fourth cancer, not the same cells as her previous ones. Neuroendocrine cancer, found too late and spread to the lymph nodes.
Just 3 days ago we were enjoying the beautiful nature surrounding the hospice. Eating icecream with strawberries under a clear, blue sky and planning my mother's birthday, the 27th of June. She rapidly deteriorated from that point on and now her skin is mottling and her breaths are getting lighter and lighter. My mother is fast asleep next to us but I can't sleep.
I feel like the walls are creeping upon me, I feel like my inside is collapsing and I can't stand seeing her like this. But I also couldn't cope with leaving. She has been sleeping for the past 36 hours and whenever she wakes up for a slight period of time, she is so stunned by all the pain caused by all the god damn fucking tumors all up in her tiny, sick body and she doesn't respond at all to what she sees anymore. The last time she woke up, maybe 4 hours ago, she hit my mother and spat on me, all in confusion. She doesn't recognize us. She doesn't know where she is or why she's feeling everything she is feeling. I don't know what to do, and I feel sick from all the anxiety and I can't differentiate the grieving from my depression. I feel like I don't know anything anymore and I feel like I'm going to go insane, but if there's one thing I do know then it is that I have to stop writing now so I can go back to squeezing her hand.</t>
        </is>
      </c>
      <c r="D3112" t="n">
        <v>11</v>
      </c>
      <c r="E3112" t="n">
        <v>6</v>
      </c>
      <c r="F3112">
        <f>HYPERLINK("https://www.reddit.com/r/cancer/comments/c3xvmp/my_grandmother_is_currently_struggling_to_breathe/")</f>
        <v/>
      </c>
      <c r="G3112" t="inlineStr">
        <is>
          <t>2019-06-22 19:11:18</t>
        </is>
      </c>
      <c r="H3112" t="inlineStr"/>
    </row>
    <row r="3113">
      <c r="A3113" t="inlineStr">
        <is>
          <t>c3zemv</t>
        </is>
      </c>
      <c r="B3113" t="inlineStr">
        <is>
          <t>I found a lump on my waist and I’m a bit worried</t>
        </is>
      </c>
      <c r="C3113" t="inlineStr">
        <is>
          <t>I found a little bump on my waist that is about the size of a golf ball. It’s appeared in January randomly one day after I took a shower. It is pretty firm and mostly harmless. It only hurts if I keep messing with it. I am only 15 and I told my mom about it but she isn’t to worried about is but it’s freaking me out. If anyone has any clue that it is either fine or tell me to go check it out even more, please tell me.</t>
        </is>
      </c>
      <c r="D3113" t="n">
        <v>0</v>
      </c>
      <c r="E3113" t="n">
        <v>2</v>
      </c>
      <c r="F3113">
        <f>HYPERLINK("https://www.reddit.com/r/cancer/comments/c3zemv/i_found_a_lump_on_my_waist_and_im_a_bit_worried/")</f>
        <v/>
      </c>
      <c r="G3113" t="inlineStr">
        <is>
          <t>2019-06-22 21:56:59</t>
        </is>
      </c>
      <c r="H3113" t="inlineStr"/>
    </row>
    <row r="3114">
      <c r="A3114" t="inlineStr">
        <is>
          <t>c3zh53</t>
        </is>
      </c>
      <c r="B3114" t="inlineStr">
        <is>
          <t>My mother</t>
        </is>
      </c>
      <c r="C3114" t="inlineStr">
        <is>
          <t>She passed away this Tuesday. I rushed over to see her and missed her by 30 minutes.
She had been fighting cancer and the repercussions of it for the past 10 years. First she was diagnosed with breast cancer, had a double mastectomy, diagnosed with diabetes, then was recently diagnosed with metastatic bone cancer that was ‘innumerable’ and found everywhere in her body.
She was the kindest, sweetest, most compassionate woman I’d ever known. She was simple in tastes and joys and needed only a day at the beach or a walk in the park to be happy. Fresh fruit and warm soups were always her favorites.
Cancer took all of that away from her. She suffered, mightily I’ll add, for the last 10 years. In some ways I’m happy she no longer needs to exist in this plane of existence. In others. I’m devastated beyond all degrees of sadness.
I wish all of you nothing but the best. You hear all the stats on cancer and how disastrous it is, but until you actually see the savage beast that it is it’s hard to comprehend it.</t>
        </is>
      </c>
      <c r="D3114" t="n">
        <v>68</v>
      </c>
      <c r="E3114" t="n">
        <v>11</v>
      </c>
      <c r="F3114">
        <f>HYPERLINK("https://www.reddit.com/r/cancer/comments/c3zh53/my_mother/")</f>
        <v/>
      </c>
      <c r="G3114" t="inlineStr">
        <is>
          <t>2019-06-22 22:05:03</t>
        </is>
      </c>
      <c r="H3114" t="inlineStr"/>
    </row>
    <row r="3115">
      <c r="A3115" t="inlineStr">
        <is>
          <t>c40x1n</t>
        </is>
      </c>
      <c r="B3115" t="inlineStr">
        <is>
          <t>What can govt do to curb the menace in developind countries!!</t>
        </is>
      </c>
      <c r="C3115" t="inlineStr">
        <is>
          <t>Cancer is 2nd biggest killer today worldwide after heart disease. almost 18 million new cases. What is missing in curbing the menace? It's one thing, early diagnosis. Let's compare it with cardiac disease and how the treatment has evolved in the last decade. ECG which is the basic test needs to be done to ascertain a patient cardiac result is just Rs 100 or US$1.5. 
Now compare it with any test in cancer diagnosis, may it be MRIs, blood test such as Alpha Feto Protein, it costs a minimum US$1500. That is where the early diagnosis is missed for a common man. 
So instead of govt spending billions of money in treating if the diagnosis is funded that can help a common man in India get diagnosed early and free of cost. 
&amp;amp;#x200B;
I know its an argument against treatment funding of cancer patients but the bias is that the later you get diagnosed the worst are the treatment outcomes for any type of cancer. 
&amp;amp;#x200B;
Let us look at statistics again form India perspective. 2.25 million people living with cancer. 1.1 million new cases. 750k deaths every year. Cancer diagnosed at late stages, cancer of the liver &amp;amp; pancreas( normally are diagnosed at a late stage) have a higher rate of mortality. If that is the case, diagnosis made at an early stage can be beneficial. 
There is huge spending on ads shown on TV against tobacco consumption, That totally makes sense since lung cancer and oral cancer caused by tobacco are contributing highest. Awareness of preventive cancer is a must thing. The second best thing could be an early diagnosis. A plan like men of 50 with some risk would undergo ultrasound and colonoscopy free sponsored by govt. 
&amp;amp;#x200B;
[Cancerrounds.com](https://Cancerrounds.com)</t>
        </is>
      </c>
      <c r="D3115" t="n">
        <v>1</v>
      </c>
      <c r="E3115" t="n">
        <v>0</v>
      </c>
      <c r="F3115">
        <f>HYPERLINK("https://www.reddit.com/r/cancer/comments/c40x1n/what_can_govt_do_to_curb_the_menace_in_developind/")</f>
        <v/>
      </c>
      <c r="G3115" t="inlineStr">
        <is>
          <t>2019-06-23 01:10:33</t>
        </is>
      </c>
      <c r="H3115" t="inlineStr"/>
    </row>
    <row r="3116">
      <c r="A3116" t="inlineStr">
        <is>
          <t>c44k5v</t>
        </is>
      </c>
      <c r="B3116" t="inlineStr">
        <is>
          <t>Participants needed: Support workers, healthcare assistants, caregivers</t>
        </is>
      </c>
      <c r="C3116" t="inlineStr">
        <is>
          <t>Hi everyone!
I am a MSc Psychology student currently looking for support workers (or a similar role such as healthcare assistant or carer) to answer my questionnaire about vicarious trauma and personality types. The questionnaire is about 20 minutes long. All data collected will be anonymous and will form as part of my dissertation.
Vicarious trauma is the physical, psychological and spiritual changes that can occur from an individual witnessing the pain, fear and terror that trauma survivors have endured. Very little research has been conducted on vicarious trauma and support workers therefore it is important this research is done to get as much recognition as other healthcare professionals.
The definition of support worker is someone who looks after the well-being of vulnerable people. They help people to live their lives as independently as possible and support them in reaching their potential, through both practical and emotional support. A support worker role will vary depending on the person you’re supporting, but generally speaking you will be supporting vulnerable people with many aspects of their day-to-day living, helping them to take care of themselves and live a fulfilled life. Different people will need support for different reasons. For instance, they may have mental health needs, learning disabilities, medical conditions or physical disabilities.
This is a re-post so you may have already taken this questionnaire. I am hoping for 20 more responses before I analyse my results next week.
Thanks for any responses.
Link to the questionnaire: [https://shusls.eu.qualtrics.com/jfe/form/SV\_6nYkLfzLCMysxcp](https://shusls.eu.qualtrics.com/jfe/form/SV_6nYkLfzLCMysxcp)</t>
        </is>
      </c>
      <c r="D3116" t="n">
        <v>2</v>
      </c>
      <c r="E3116" t="n">
        <v>0</v>
      </c>
      <c r="F3116">
        <f>HYPERLINK("https://www.reddit.com/r/cancer/comments/c44k5v/participants_needed_support_workers_healthcare/")</f>
        <v/>
      </c>
      <c r="G3116" t="inlineStr">
        <is>
          <t>2019-06-23 06:21:37</t>
        </is>
      </c>
      <c r="H3116" t="inlineStr"/>
    </row>
    <row r="3117">
      <c r="A3117" t="inlineStr">
        <is>
          <t>c45crb</t>
        </is>
      </c>
      <c r="B3117" t="inlineStr">
        <is>
          <t>Hi everyone! Chemo question here if you have the time to help with an answer</t>
        </is>
      </c>
      <c r="C3117" t="inlineStr">
        <is>
          <t>How bad is it? I have two four year olds I'm alone with a lot because their dad works. I don't have a great support network. Limited family, no friends. They removed all my rectosigmoid tumor. Two lymph nodes lit up. As of right now I'm cancer free. I'm weighing my alternatives. I'll find out July 9 if it's 6 weeks and a pill type chemo or the more traditional IV and a port for 3-6 months. Thanks in advance for your time. Love to everyone💜</t>
        </is>
      </c>
      <c r="D3117" t="n">
        <v>9</v>
      </c>
      <c r="E3117" t="n">
        <v>39</v>
      </c>
      <c r="F3117">
        <f>HYPERLINK("https://www.reddit.com/r/cancer/comments/c45crb/hi_everyone_chemo_question_here_if_you_have_the/")</f>
        <v/>
      </c>
      <c r="G3117" t="inlineStr">
        <is>
          <t>2019-06-23 07:17:12</t>
        </is>
      </c>
      <c r="H3117" t="inlineStr"/>
    </row>
    <row r="3118">
      <c r="A3118" t="inlineStr">
        <is>
          <t>c46ekl</t>
        </is>
      </c>
      <c r="B3118" t="inlineStr">
        <is>
          <t>Childhood ALL Survivor here</t>
        </is>
      </c>
      <c r="C3118" t="inlineStr">
        <is>
          <t>I cant help but feel that my survival only made me a trophy for my family to show off
i’ve been in remission for 13 years now, i never asked for any of this
i just want to sleep</t>
        </is>
      </c>
      <c r="D3118" t="n">
        <v>14</v>
      </c>
      <c r="E3118" t="n">
        <v>5</v>
      </c>
      <c r="F3118">
        <f>HYPERLINK("https://www.reddit.com/r/cancer/comments/c46ekl/childhood_all_survivor_here/")</f>
        <v/>
      </c>
      <c r="G3118" t="inlineStr">
        <is>
          <t>2019-06-23 08:31:51</t>
        </is>
      </c>
      <c r="H3118" t="inlineStr"/>
    </row>
    <row r="3119">
      <c r="A3119" t="inlineStr">
        <is>
          <t>c46wtc</t>
        </is>
      </c>
      <c r="B3119" t="inlineStr">
        <is>
          <t>Wondering if my mom is getting better</t>
        </is>
      </c>
      <c r="C3119" t="inlineStr">
        <is>
          <t>Her breast tumor lump hasn’t gotten smaller does this mean anything or no?</t>
        </is>
      </c>
      <c r="D3119" t="n">
        <v>6</v>
      </c>
      <c r="E3119" t="n">
        <v>3</v>
      </c>
      <c r="F3119">
        <f>HYPERLINK("https://www.reddit.com/r/cancer/comments/c46wtc/wondering_if_my_mom_is_getting_better/")</f>
        <v/>
      </c>
      <c r="G3119" t="inlineStr">
        <is>
          <t>2019-06-23 09:05:56</t>
        </is>
      </c>
      <c r="H3119" t="inlineStr"/>
    </row>
    <row r="3120">
      <c r="A3120" t="inlineStr">
        <is>
          <t>c48q9d</t>
        </is>
      </c>
      <c r="B3120" t="inlineStr">
        <is>
          <t>a song i wrote for a guy gone way too soon</t>
        </is>
      </c>
      <c r="C3120" t="inlineStr">
        <is>
          <t>he was diagnosed with stage 4 colon cancer in January of 2016, and passed away in June of 2017. missing him every day. this song is for him &amp;lt;3
[https://www.youtube.com/watch?v=3bAstL9G\_QI](https://www.youtube.com/watch?v=3bAstL9G_QI)</t>
        </is>
      </c>
      <c r="D3120" t="n">
        <v>8</v>
      </c>
      <c r="E3120" t="n">
        <v>0</v>
      </c>
      <c r="F3120">
        <f>HYPERLINK("https://www.reddit.com/r/cancer/comments/c48q9d/a_song_i_wrote_for_a_guy_gone_way_too_soon/")</f>
        <v/>
      </c>
      <c r="G3120" t="inlineStr">
        <is>
          <t>2019-06-23 11:05:36</t>
        </is>
      </c>
      <c r="H3120" t="inlineStr"/>
    </row>
    <row r="3121">
      <c r="A3121" t="inlineStr">
        <is>
          <t>c49e6t</t>
        </is>
      </c>
      <c r="B3121" t="inlineStr">
        <is>
          <t>Opinions: Cancer Treatment Centers of America vs. MD Anderson?</t>
        </is>
      </c>
      <c r="C3121" t="inlineStr">
        <is>
          <t>I have lung cancer, diagnosed 6 months ago. I'm receiving immunotherapy treatment with Keytruda at the Baton Rouge General. There's some progress being made with tumor shrinkage. I like and trust my oncologist, but I want a second opinion nevertheless. I wonder whether it would be better to go to the Cancer Treatment Center, where they have a dedicated Lung Cancer division, at their Atlanta facility, or to MD Anderson, which has such a world wide excellent reputation. 
Can anybody tell me if they've had experiences at the CTC, MD Anderson, or both? 
Thanks in advance.</t>
        </is>
      </c>
      <c r="D3121" t="n">
        <v>15</v>
      </c>
      <c r="E3121" t="n">
        <v>16</v>
      </c>
      <c r="F3121">
        <f>HYPERLINK("https://www.reddit.com/r/cancer/comments/c49e6t/opinions_cancer_treatment_centers_of_america_vs/")</f>
        <v/>
      </c>
      <c r="G3121" t="inlineStr">
        <is>
          <t>2019-06-23 11:43:50</t>
        </is>
      </c>
      <c r="H3121" t="inlineStr"/>
    </row>
    <row r="3122">
      <c r="A3122" t="inlineStr">
        <is>
          <t>c4c3n1</t>
        </is>
      </c>
      <c r="B3122" t="inlineStr">
        <is>
          <t>Dad (81) diagnosed with Stage 4 rectal cancer</t>
        </is>
      </c>
      <c r="C3122" t="inlineStr">
        <is>
          <t>My dad was diagnosed in November 2018 with stage 4 rectal cancer with metastatic lung nodules and he’s been receiving chemo since December to June. It’s come to a point where chemo has stopped working. His oncologist is giving him 3 choices. 
He can opt for surgery for both rectal and lungs but he would end up with a colostomy bag. He does not want that if he can avoid it. There are risks to surgery because the lungs has nodules on both sides of his lungs so it’s 2 surgeries for the lungs in addition to the rectal surgery on an 81 yr old who’s been a smoker since he turned 20. Chance of cancer coming back is 50% rectal and 20-30% lungs. 
Second option would be radiation on and off for a year to try and shrink the tumor. However with radiation, it’s not a guarantee that the tumor would shrink enough to avoid the colostomy bag or if his body would be healthy enough to recover from attaching his colon to the muscles. 
Third option is to join a clinical trial to try a medication for immunotherapy. Common Side effects include fatigue, diarrhea, lost of appetite, joint pain, fever, chills. There’s more but those are what I remember what the doctor said. Worse side effects include the immune system attacking other organs in the body. However if his body responds to the treatment, his tumors in both sections will either stop growing, shrink or even disappear. Doctor said it might potentially stop the cancer from growing for 10 years if it works. 
We would appreciate it if anyone can give their opinion on which method would they choose if they had to. We have until Tuesday to let the doctor know if my dad wants to join the clinical trial or they will go on to the next patient on the list. Thank you very much</t>
        </is>
      </c>
      <c r="D3122" t="n">
        <v>4</v>
      </c>
      <c r="E3122" t="n">
        <v>9</v>
      </c>
      <c r="F3122">
        <f>HYPERLINK("https://www.reddit.com/r/cancer/comments/c4c3n1/dad_81_diagnosed_with_stage_4_rectal_cancer/")</f>
        <v/>
      </c>
      <c r="G3122" t="inlineStr">
        <is>
          <t>2019-06-23 14:17:10</t>
        </is>
      </c>
      <c r="H3122" t="inlineStr"/>
    </row>
    <row r="3123">
      <c r="A3123" t="inlineStr">
        <is>
          <t>c4ccrk</t>
        </is>
      </c>
      <c r="B3123" t="inlineStr">
        <is>
          <t>Until it happens to you</t>
        </is>
      </c>
      <c r="C3123" t="inlineStr">
        <is>
          <t>As a cancer survivor, "alternative treatments" are infuriating and the reason so many people die or become hospitalized. If getting rid of cancer was really that easy? No doctor in their sane mind would ever recommend chemotherapy to their patients.
If it wasn't for chemotherapy and radiation, I would have ended up on a ventilator in the ER, if that because I had a tumor growing rapidly in my chest that had displaced my heart and was putting severe pressure on my windpipe (doctors ive worked said theoretically I could have easily died if I waited another month or two to check with my primary care doctor about the symptoms I was going through). If it got any bigger I could have had a stroke, heart attack, or gone hypoxic (not able to get enough oxygen in my body).
Everyone and their mother has opinions about chemotherapy, but when you're sitting their in the doctors office and they tell you face to face "this is cancer, these are your treatment options" the reality of how dire the situation is hits you like a cement truck. 
Yes family and friends can comment "omg I know someone who went through cancer" but YOU DID NOT ACTUALLY HAVE CANCER. Until it happens to you (which I would never wish on anyone, just stating facts), YOU CAN NOT SAY POOP about the medical recommendations for treatment options about cancer</t>
        </is>
      </c>
      <c r="D3123" t="n">
        <v>135</v>
      </c>
      <c r="E3123" t="n">
        <v>54</v>
      </c>
      <c r="F3123">
        <f>HYPERLINK("https://www.reddit.com/r/cancer/comments/c4ccrk/until_it_happens_to_you/")</f>
        <v/>
      </c>
      <c r="G3123" t="inlineStr">
        <is>
          <t>2019-06-23 14:31:35</t>
        </is>
      </c>
      <c r="H3123" t="inlineStr"/>
    </row>
    <row r="3124">
      <c r="A3124" t="inlineStr">
        <is>
          <t>c4cm3a</t>
        </is>
      </c>
      <c r="B3124" t="inlineStr">
        <is>
          <t>The results of my daughter's tests came back. She was officially diagnosed with B-cell Acute Lymphoblastic Leukemia.</t>
        </is>
      </c>
      <c r="C3124" t="inlineStr">
        <is>
          <t>I wanted to thank everyone for their comments on my last post and for all of the good wishes. She stayed in the hospital for two nights running tests and all of the results came back today. She was diagnosed positive for B-Cell ALL. 
They said that we need to expect three stages. Induction, Consolidation and Maintenance. The first few months we should expect longer hospital stays and a lot of treatment. They want to do Chemotherapy and steroid drugs for three months and then see where she goes from there. They want to try Intrathecal Chemotherapy because it kills any leukaemia cells that might try to spread to the brain and spinal cord. They want to do this through a spinal tap which will be done on Tuesday. It will be done twice for the first month and then once or twice for month 2 and 3 depending on how she reacts.
They want to avoid radiation as long as they can due to her age. They also want to observe her for seizures once she is on the chemo because they said it is common for younger kids.
Then after those few months, once she is in the next phase they want to do more intense chemo once the leukaemia in a stage of remission and this will last for a few months. They want to do a few different drugs at this time and the same chemo. If it works they will only do one round id not they will do two. 
If it works at this point they will start a maintenance therapy which is a treatment plan of daily pills along with an IV for 8 weeks. 
Once she is in remission they will check every 3 months. If it comes back they will start again with chemo and more aggressive drugs. They also will keep her on a steroid. If these don't work then they said they will do a stem cell transplant. 
They are hoping she doesn't have an extramedullary release because then they will have to do radiation to the brain and spinal cord which we want to avoid.
It's a crazy and overwhelming treatment plan but I know we will get through it especially over these next few years. They said to expect 3 to 4 years so it will be a long haul.  I know she is such a strong young girl and we will be there for her at every second of this journey.</t>
        </is>
      </c>
      <c r="D3124" t="n">
        <v>13</v>
      </c>
      <c r="E3124" t="n">
        <v>17</v>
      </c>
      <c r="F3124">
        <f>HYPERLINK("https://www.reddit.com/r/cancer/comments/c4cm3a/the_results_of_my_daughters_tests_came_back_she/")</f>
        <v/>
      </c>
      <c r="G3124" t="inlineStr">
        <is>
          <t>2019-06-23 14:46:04</t>
        </is>
      </c>
      <c r="H3124" t="inlineStr"/>
    </row>
    <row r="3125">
      <c r="A3125" t="inlineStr">
        <is>
          <t>c4dtax</t>
        </is>
      </c>
      <c r="B3125" t="inlineStr">
        <is>
          <t>Refusing heavy chemo</t>
        </is>
      </c>
      <c r="C3125" t="inlineStr">
        <is>
          <t>Male in 20s with testicular cancer that metastasized and spread to lymph nodes, lungs, brain. Doc gave him 30% to cure the cancer with hospitalized chemo or 6 more months. Refuses to undergo chemo again and stopped trusting doctors and modern medicine. Only looks at natural remedies now. Not sure what to do at this point. How do I convince them to trust modern medicine?</t>
        </is>
      </c>
      <c r="D3125" t="n">
        <v>3</v>
      </c>
      <c r="E3125" t="n">
        <v>4</v>
      </c>
      <c r="F3125">
        <f>HYPERLINK("https://www.reddit.com/r/cancer/comments/c4dtax/refusing_heavy_chemo/")</f>
        <v/>
      </c>
      <c r="G3125" t="inlineStr">
        <is>
          <t>2019-06-23 15:55:19</t>
        </is>
      </c>
      <c r="H3125" t="inlineStr"/>
    </row>
    <row r="3126">
      <c r="A3126" t="inlineStr">
        <is>
          <t>c4e8un</t>
        </is>
      </c>
      <c r="B3126" t="inlineStr">
        <is>
          <t>Massage therapy post spinal surgery?</t>
        </is>
      </c>
      <c r="C3126" t="inlineStr">
        <is>
          <t>My dad was diagnosed with stage 4 metastatic lung cancer 2.5 years ago. We are lucky to still have him around, but what saved his life is also ruining it. He had rods put in his spine because the cancer had spread to that area and came dangerously close to the spinal cord. The surgeon had to remove a couple "joints" which were replaced by the rods. Unfortunately, those cannot ever be removed since they are holding his spine together. 
The rods cause him a serious amount of pain, all the time. He can't stand up straight nor can he stand for longer than 5 minutes. He's even uncomfortable lying down. 
His pain pills help, but he's careful about how much he uses those because they cause so much constipation which is its own extreme discomfort. 
Does anyone have any experience with massage therapy as part of cancer treatment? I'm wondering if it would be beneficial, even short term, enough for him to have a good day or two of being in a lot less pain and possibly more mobile. 
Any thoughts you have would be helpful. 
Thank you so much.</t>
        </is>
      </c>
      <c r="D3126" t="n">
        <v>7</v>
      </c>
      <c r="E3126" t="n">
        <v>6</v>
      </c>
      <c r="F3126">
        <f>HYPERLINK("https://www.reddit.com/r/cancer/comments/c4e8un/massage_therapy_post_spinal_surgery/")</f>
        <v/>
      </c>
      <c r="G3126" t="inlineStr">
        <is>
          <t>2019-06-23 16:20:58</t>
        </is>
      </c>
      <c r="H3126" t="inlineStr"/>
    </row>
    <row r="3127">
      <c r="A3127" t="inlineStr">
        <is>
          <t>c4eo2j</t>
        </is>
      </c>
      <c r="B3127" t="inlineStr">
        <is>
          <t>Questions about pancreatic cancer, stage 4</t>
        </is>
      </c>
      <c r="C3127" t="inlineStr">
        <is>
          <t>Thanks in advance for reading. 
My father (age 62) was diagnosed last February with pancreatic cancer. After multiple tests, they determined it was stage 4, unresectable. The tumor was wrapped around something, I forget what. But the results of his scan were sent to Mayo for a second opinion. They also suggested chemotherapy.
Dad decided not to pursue any sort of treatment. Just let the cancer run its course. He was given 3-6 months, I believe. He decided on Hospice, and they have been coming weekly for a couple of months now. They give him a steady supply of pain meds.
What puzzles me is, he doesnt seem to be 'declining' like everybody seems to say is common for people with his diagnosis. He has bad days, and he is very tired alot, but he is also pretty active and for the most part has his appetite. He is jaundiced, though. 
My question is, how likely is it that he was misdiagnosed? I feel like he should be dead by now. Or at least declining. But this limbo state is excruciating. 
Is it possible the cancer went away without treatment? Or that he was misdiagnosed, albeit twice? How common is it for someone to survive for a long time without treatment? Is his condition right now normal? Is his overall good health a result of Hospice?
The Hospice nurse says this is normal. That one of these days, the decline will hit him like a ton of bricks, very suddenly. Is this true?
Please respond, Reddit. I need answers. Not sugarcoated answers, either. I need the truth.
Thank you.
V.J.</t>
        </is>
      </c>
      <c r="D3127" t="n">
        <v>10</v>
      </c>
      <c r="E3127" t="n">
        <v>20</v>
      </c>
      <c r="F3127">
        <f>HYPERLINK("https://www.reddit.com/r/cancer/comments/c4eo2j/questions_about_pancreatic_cancer_stage_4/")</f>
        <v/>
      </c>
      <c r="G3127" t="inlineStr">
        <is>
          <t>2019-06-23 16:46:26</t>
        </is>
      </c>
      <c r="H3127" t="inlineStr"/>
    </row>
    <row r="3128">
      <c r="A3128" t="inlineStr">
        <is>
          <t>c4f7sz</t>
        </is>
      </c>
      <c r="B3128" t="inlineStr">
        <is>
          <t>Anyone have experience with cholangiocarcinoma (bile duct cancer)?</t>
        </is>
      </c>
      <c r="C3128" t="inlineStr">
        <is>
          <t>My husband was diagnosed a month ago. Had a liver resection and his gallbladder removed. He starts chemo next week, followed by radiation. Everything I’ve read has been pretty grim, and I am prepared (as much as one can be), but it would be helpful to hear first-hand experiences, good or bad. TIA.</t>
        </is>
      </c>
      <c r="D3128" t="n">
        <v>2</v>
      </c>
      <c r="E3128" t="n">
        <v>8</v>
      </c>
      <c r="F3128">
        <f>HYPERLINK("https://www.reddit.com/r/cancer/comments/c4f7sz/anyone_have_experience_with_cholangiocarcinoma/")</f>
        <v/>
      </c>
      <c r="G3128" t="inlineStr">
        <is>
          <t>2019-06-23 17:19:44</t>
        </is>
      </c>
      <c r="H3128" t="inlineStr"/>
    </row>
    <row r="3129">
      <c r="A3129" t="inlineStr">
        <is>
          <t>c4fhvv</t>
        </is>
      </c>
      <c r="B3129" t="inlineStr">
        <is>
          <t>Pooping myself. Found out treatment didn’t fully work.</t>
        </is>
      </c>
      <c r="C3129" t="inlineStr">
        <is>
          <t>I had 25 x external radiotherapy &amp;amp; 4 x brachytherapy for cervical cancer which had spread to pelvic lymph nodes. Started getting pains in my left leg went to the docs, recently had a PET CT &amp;amp; my GP had a quick look at the results. I still have cancer in my lymph nodes and that’s what’s causing the pain in my leg. I’m so scared, I thought treatment had worked. I have an appointment on Tuesday with my oncologist. I have no idea what else they can do since I’m not allowed chemo :(</t>
        </is>
      </c>
      <c r="D3129" t="n">
        <v>7</v>
      </c>
      <c r="E3129" t="n">
        <v>3</v>
      </c>
      <c r="F3129">
        <f>HYPERLINK("https://www.reddit.com/r/cancer/comments/c4fhvv/pooping_myself_found_out_treatment_didnt_fully/")</f>
        <v/>
      </c>
      <c r="G3129" t="inlineStr">
        <is>
          <t>2019-06-23 17:36:49</t>
        </is>
      </c>
      <c r="H3129" t="inlineStr"/>
    </row>
    <row r="3130">
      <c r="A3130" t="inlineStr">
        <is>
          <t>c4fmy3</t>
        </is>
      </c>
      <c r="B3130" t="inlineStr">
        <is>
          <t>Very worried about my mom (Stage 2 BC)</t>
        </is>
      </c>
      <c r="C3130" t="inlineStr">
        <is>
          <t>My mom was diagnosed with triple negative stage 2 BC about 2 months ago on her left breast. She went through total mastectomy on her left breast. After the surgery, she was put on chemo due to the triple negative nature of the cancer. She went through 4 rounds every 2 weeks of Adriamycin and Cytoxan. During this, she felt the usual hand and feet syndrome and nausea. She also felt extreme pain in her lower back all the way down to her toes. Her pain was getting to a point where she had to take Tylenol every 4-6 hours. Because of this, she damaged her liver. We found this out during the blood test that her AST level was elevated. With the four rounds done, she is now starting her Taxol for 4 rounds every 2 weeks. She received her first Taxol treatment last Friday and now she is experiencing extreme lower back to her toes pain again. She says that it hurt so bad that she cannot sleep. However, she is also very afraid of taking more pain medications since her liver is damaged and she does not want to extend her treatment period. I am not sure what to do since it is the weekend and the doctors are off. She is planning to take some Advil soon if the pain becomes worse but did anyone else experience this kind of situation? I am extremely worried for her since she usually has a positive outlook but the pain that shes feeling now must be extreme since I never saw her so distraught before...</t>
        </is>
      </c>
      <c r="D3130" t="n">
        <v>6</v>
      </c>
      <c r="E3130" t="n">
        <v>6</v>
      </c>
      <c r="F3130">
        <f>HYPERLINK("https://www.reddit.com/r/cancer/comments/c4fmy3/very_worried_about_my_mom_stage_2_bc/")</f>
        <v/>
      </c>
      <c r="G3130" t="inlineStr">
        <is>
          <t>2019-06-23 17:45:34</t>
        </is>
      </c>
      <c r="H3130" t="inlineStr"/>
    </row>
    <row r="3131">
      <c r="A3131" t="inlineStr">
        <is>
          <t>c4gwjf</t>
        </is>
      </c>
      <c r="B3131" t="inlineStr">
        <is>
          <t>My Mom deserves better</t>
        </is>
      </c>
      <c r="C3131" t="inlineStr">
        <is>
          <t>We’re coming upon my Mom’s (74) final days. In January she was diagnosed with stage 3b squamous cell lung cancer, and we found out in the last week it’s metastasized in the liver and on her skull pressing on her brain. 
My Mom was the primary care taker of her sister for many years while she went through cancer treatment for stomach cancer which took her in 2015, my father in 2011-2017 for his treatment for breast cancer that later metastasized in the lung and then the bone. He passed in 2017. I was hoping after he passed she could go back to things she enjoyed, and since I finally had a good job, I could treat her to more things and take her places. My Mom is my best friend and the strongest woman I know. She deserves so much more than this terrible disease and I need more time. I’m not ready for this. 😭
Fuck cancer.</t>
        </is>
      </c>
      <c r="D3131" t="n">
        <v>18</v>
      </c>
      <c r="E3131" t="n">
        <v>6</v>
      </c>
      <c r="F3131">
        <f>HYPERLINK("https://www.reddit.com/r/cancer/comments/c4gwjf/my_mom_deserves_better/")</f>
        <v/>
      </c>
      <c r="G3131" t="inlineStr">
        <is>
          <t>2019-06-23 19:14:21</t>
        </is>
      </c>
      <c r="H3131" t="inlineStr"/>
    </row>
    <row r="3132">
      <c r="A3132" t="inlineStr">
        <is>
          <t>c4hd53</t>
        </is>
      </c>
      <c r="B3132" t="inlineStr">
        <is>
          <t>I am making a care package for my aunt in chemo before her transplant this fall. Does anyone have a fav place to get head scarves/hats, or any other helpful items for chemo or transplant?</t>
        </is>
      </c>
      <c r="C3132" t="inlineStr">
        <is>
          <t>Thanks for your help &amp;lt;3</t>
        </is>
      </c>
      <c r="D3132" t="n">
        <v>5</v>
      </c>
      <c r="E3132" t="n">
        <v>7</v>
      </c>
      <c r="F3132">
        <f>HYPERLINK("https://www.reddit.com/r/cancer/comments/c4hd53/i_am_making_a_care_package_for_my_aunt_in_chemo/")</f>
        <v/>
      </c>
      <c r="G3132" t="inlineStr">
        <is>
          <t>2019-06-23 20:00:37</t>
        </is>
      </c>
      <c r="H3132" t="inlineStr"/>
    </row>
    <row r="3133">
      <c r="A3133" t="inlineStr">
        <is>
          <t>c4inux</t>
        </is>
      </c>
      <c r="B3133" t="inlineStr">
        <is>
          <t>My holistic approach to curing cancer</t>
        </is>
      </c>
      <c r="C3133" t="inlineStr">
        <is>
          <t>I have had a lot of family members go through the ordeals of chemotherapy and cancer treatment. I know it’s a huge racket, where 50% of the time chemotherapy is actually what kills you. So I’m not going to reward the pharmaceutical company if I get sick. I’m going to take matters into my own hands.
I’ll get a few scans of the tumor, to see where it is. Then, I’ll shoot that part of my body. Frankly, not much survives a bullet. I don’t want the cancer surviving, so if it’s a particularly aggressive bugger, I’ll travel to Russia, use a 4-gauge shotgun, and blow apart the tumor and all the bones around it. Go to the hospital, get my scans, and if it’s still there, get treated for the injuries. I’ll figure out where the cancer is, if it’s migrated, and shoot that part too. If it’s in the same spot, I’ll buy a Barret .50 Cal. I’ll take a bunch of Vicodin, call the Police about my suicide attempt, and use that .50 Cal rifle to blow off the cancerous part of my body. 
If the Barret .50 Cal doesn’t do its job of taming my cancer, it’s fine. I’ll be in jail for the suicide attempt hopefully, where I can get free medical attention. If I’m not in jail, I’ll light the cancerous part of my body on fire, before extinguishing the flames with a fire extinguisher. If that doesn’t do it, I’m going to go hop inside a military base, preferably one by the ocean, commandeer a tank (they’re push-key so you can just drive off the lot), aim the turret at the ocean, and through some Rube Goldbergian means, hit the trigger of the main cannon, while whatever cancerous extremity is at the end of the barrel. 
By that point, if the cancer is not dead, I don’t care. I certainly will be, and I’ll die knowing I didn’t go out giving Big Pharma more money to fuck up my body.</t>
        </is>
      </c>
      <c r="D3133" t="n">
        <v>0</v>
      </c>
      <c r="E3133" t="n">
        <v>6</v>
      </c>
      <c r="F3133">
        <f>HYPERLINK("https://www.reddit.com/r/cancer/comments/c4inux/my_holistic_approach_to_curing_cancer/")</f>
        <v/>
      </c>
      <c r="G3133" t="inlineStr">
        <is>
          <t>2019-06-23 22:18:17</t>
        </is>
      </c>
      <c r="H3133" t="inlineStr"/>
    </row>
    <row r="3134">
      <c r="A3134" t="inlineStr">
        <is>
          <t>c4ioi8</t>
        </is>
      </c>
      <c r="B3134" t="inlineStr">
        <is>
          <t>Question about Cancer and Remission</t>
        </is>
      </c>
      <c r="C3134" t="inlineStr">
        <is>
          <t>My question is statistically what are the percentages of cancer survivors who's cancer goes into remission.  And then the cancer never returns and they die of old age or natural causes or some other cause than cancer?</t>
        </is>
      </c>
      <c r="D3134" t="n">
        <v>4</v>
      </c>
      <c r="E3134" t="n">
        <v>13</v>
      </c>
      <c r="F3134">
        <f>HYPERLINK("https://www.reddit.com/r/cancer/comments/c4ioi8/question_about_cancer_and_remission/")</f>
        <v/>
      </c>
      <c r="G3134" t="inlineStr">
        <is>
          <t>2019-06-23 22:20:11</t>
        </is>
      </c>
      <c r="H3134" t="inlineStr"/>
    </row>
    <row r="3135">
      <c r="A3135" t="inlineStr">
        <is>
          <t>c4izjn</t>
        </is>
      </c>
      <c r="B3135" t="inlineStr">
        <is>
          <t>Thanks for everything</t>
        </is>
      </c>
      <c r="C3135" t="inlineStr">
        <is>
          <t>I never posted anything but me about 7 months ago the doctor thought my husbands cancer was back. I would came here and read. It help me a lot. We finally found out he was crohms disease. I got hungry for the first time in 7 months lol. Thanks to everyone who shared his story, it helps a lot to know we are not alone. I pray for all of you and your love ones. Thanks for your support.</t>
        </is>
      </c>
      <c r="D3135" t="n">
        <v>24</v>
      </c>
      <c r="E3135" t="n">
        <v>5</v>
      </c>
      <c r="F3135">
        <f>HYPERLINK("https://www.reddit.com/r/cancer/comments/c4izjn/thanks_for_everything/")</f>
        <v/>
      </c>
      <c r="G3135" t="inlineStr">
        <is>
          <t>2019-06-23 22:55:57</t>
        </is>
      </c>
      <c r="H3135" t="inlineStr"/>
    </row>
    <row r="3136">
      <c r="A3136" t="inlineStr">
        <is>
          <t>c4jikp</t>
        </is>
      </c>
      <c r="B3136" t="inlineStr">
        <is>
          <t>Alternate methods empower some</t>
        </is>
      </c>
      <c r="C3136" t="inlineStr">
        <is>
          <t>I was given a terminal diagnosis and was told I'm untreatable by western standards. Mind you, my doctors initially gave me chemotherapy back in 2011 when I was 15 years old, then radiotherapy, and when I relapsed in 2016 at 20 years old I also had surgery and radiotherapy. However, now doctors have nothing to offer me, so I've turned to alternate methods. Unfortunately all I read wherever I turn is negativity toward holistic healing modalities and everyone seems to have the same idea that alternate method is dangerous and people that use them are crazy. Sure - I can absolutely understand if there are proven western methods offered by doctors being ignored that this would be a concern, but what about those of us left with no options? 
I just read a thread that really upset me and I figured it was well worth a conversation because I know I'm not alone in this. If I'm a fool for considering alternate methods to extend my life (I'm 22 years old) then what do you all expect me to do? Dying is not an option, I'm determined to beat this however I can, but I cannot explain how awful it is to be made fun of by those who DO have the option of western medicine. I'm not "woo-woo" or crazy for trying ANYTHING that will offer me support physically and emotionally. Or am I? I'd love to discuss.</t>
        </is>
      </c>
      <c r="D3136" t="n">
        <v>6</v>
      </c>
      <c r="E3136" t="n">
        <v>28</v>
      </c>
      <c r="F3136">
        <f>HYPERLINK("https://www.reddit.com/r/cancer/comments/c4jikp/alternate_methods_empower_some/")</f>
        <v/>
      </c>
      <c r="G3136" t="inlineStr">
        <is>
          <t>2019-06-24 00:01:21</t>
        </is>
      </c>
      <c r="H3136" t="inlineStr"/>
    </row>
    <row r="3137">
      <c r="A3137" t="inlineStr">
        <is>
          <t>c4lrvz</t>
        </is>
      </c>
      <c r="B3137" t="inlineStr">
        <is>
          <t>Cancer Job Search</t>
        </is>
      </c>
      <c r="C3137" t="inlineStr">
        <is>
          <t>Hello everyone. I do not know if I have the right to write this but I am working at the blog post about the job hunting during and after cancer and would be grateful if someone can share his / her experience or even become the guest writer. I believe this post can help someone.</t>
        </is>
      </c>
      <c r="D3137" t="n">
        <v>3</v>
      </c>
      <c r="E3137" t="n">
        <v>13</v>
      </c>
      <c r="F3137">
        <f>HYPERLINK("https://www.reddit.com/r/cancer/comments/c4lrvz/cancer_job_search/")</f>
        <v/>
      </c>
      <c r="G3137" t="inlineStr">
        <is>
          <t>2019-06-24 04:06:15</t>
        </is>
      </c>
      <c r="H3137" t="inlineStr"/>
    </row>
    <row r="3138">
      <c r="A3138" t="inlineStr">
        <is>
          <t>c4oruu</t>
        </is>
      </c>
      <c r="B3138" t="inlineStr">
        <is>
          <t>Ted Talks with @Suleikajaoad</t>
        </is>
      </c>
      <c r="C3138" t="inlineStr">
        <is>
          <t>[The Stupid Cancer](https://stupidcancer.org) community has been talking about this Ted Talks featuring writer, teacher, activist and cancer survivor @suleikajaouad.  
"The hardest part of my cancer experience began once the cancer was gone,” says Jaouad.  
What about this topic resonates with you? 
&amp;amp;#x200B;
We hope you’ll share in the comments below:
[www.ted.com/talks/suleika\_jaouad\_what\_almost\_dying\_taught\_me\_about\_living](https://www.ted.com/talks/suleika_jaouad_what_almost_dying_taught_me_about_living)</t>
        </is>
      </c>
      <c r="D3138" t="n">
        <v>1</v>
      </c>
      <c r="E3138" t="n">
        <v>1</v>
      </c>
      <c r="F3138">
        <f>HYPERLINK("https://www.reddit.com/r/cancer/comments/c4oruu/ted_talks_with_suleikajaoad/")</f>
        <v/>
      </c>
      <c r="G3138" t="inlineStr">
        <is>
          <t>2019-06-24 07:26:44</t>
        </is>
      </c>
      <c r="H3138" t="inlineStr"/>
    </row>
    <row r="3139">
      <c r="A3139" t="inlineStr">
        <is>
          <t>c4qdzo</t>
        </is>
      </c>
      <c r="B3139" t="inlineStr">
        <is>
          <t>I can't f'ing believe it. Cancer has ruined everything for me.</t>
        </is>
      </c>
      <c r="C3139" t="inlineStr">
        <is>
          <t>So... I was fighting Waldenstrom's Macroglobulanemia for 10+ years... When I was diagnosed, I was working out 4 - 6 times a week, 3 hours a session... personal trainer... poolside trophy...  Quit drinking and smoking.  
&amp;amp;#x200B;
Cancer took all that away.  
&amp;amp;#x200B;
Now, a little foreshadowing.  I was told that alcohol suppresses blood cell production.  I had a sneaking suspicion that since I had quit drinking while I was a health nut, and in the same year the symptoms suddenly came on and I was diagnosed that maybe my lifelong habit of heavy drinking (I could drink most of you under the table, trust me on this one) was preventing the onset... and quitting "unleashed" the lymphoma.
&amp;amp;#x200B;
I've gotten heavy again, and have struggled to lose the weight.  The toll that took on my self esteem was immeasurable, as I have battled weight my whole life.  Started drinking and smoking again.  I went through 2 different types of chemotherapy, over 7 years... both failed... the first, two months after completion my numbers were right back to where they were again.  The second, after completion, during "maintenance" the numbers came right back to where they were again.  I broke up with my girlfriend just before I was diagnosed (nice move) and didn't feel comfortable trying to go on a date while in chemo.
&amp;amp;#x200B;
Then came Imbruvica.  Just three (not so) little pills a day.  No more chemo, no more nausea, no more 8 hour stints in a chair, no more allergic reactions with locked up lungs, oxygen up my nose and convulsions so bad I pulled muscles in my back... just three little pills a day.  With some struggles, I even quit smoking.
&amp;amp;#x200B;
I met a girl.  I really liked her.  We'd go on 5 mile hikes up steep hills, and while she was 7 years my junior, I could easily outpace her.  You'll note, I'm speaking in the past tense.  I finally decided to tell her about my condition.  Incurable bone cancer, but don't worry, all I have to do is take these three pills a day.  And some day soon, they'll have a complete cure.  Well, she's Chinese and had some thing about having an "unhealthy" husband.  And that was that.  She she ghosted me.  Really broke my heart.
&amp;amp;#x200B;
But this prompted me to fix things further.  Never waste a good calamity!  So, after a decade of 400ml of 80+ proof and 3 beers... DAILY... I decided enough was enough (she didn't know about my drinking, she hadn't spent the night, and I can go all day without drinking, I just start drinking at the "end" of the day, basically when I no longer plan on doing anything).  A week ago Sunday, I quit drinking as well.  Cold turkey.  Sleeping has been odd, considering I sedated myself to passing out for a decade.  But I felt good.  I felt good, I felt more confident... "I don't drink, I don't smoke, and I don't do drugs"... liked the sound of that.  Felt good.  Felt...
&amp;amp;#x200B;
Then I started to notice something... Almost immediately, my gums started bleeding again... sure fire sign of lymphoma...  and almost immediately, I started to get the night sweats... as in soaking the sheets and the pillowcases through kind of  night sweats... despite having the AC at 68 or less... sure fire sign of lymphoma...
&amp;amp;#x200B;
Seriously?  SERIOUSLY?!?  Quitting drinking is making me WORSE?!?  What the F am I supposed to do, spend my life an F'ing drunk?!?
&amp;amp;#x200B;
So, I sent my doctor an email on Saturday.  Explained everything, the full extent of my drinking habit, having quit, and the ensuing symptoms.  I was supposed to see him again in August, and get a blood test between now and then.  I also told him that I'm going to Japan on Friday.  I do not plan on cancelling that trip.  I'm staring at his email in my inbox.  As soon as I click "post" I'm going to read it.
&amp;amp;#x200B;
I'm sorry... I just needed to vent.  I don't cry.  I don't break down.  I don't fall apart.  I soldier on.  I guess that makes me a toxic male.</t>
        </is>
      </c>
      <c r="D3139" t="n">
        <v>1</v>
      </c>
      <c r="E3139" t="n">
        <v>2</v>
      </c>
      <c r="F3139">
        <f>HYPERLINK("https://www.reddit.com/r/cancer/comments/c4qdzo/i_cant_fing_believe_it_cancer_has_ruined/")</f>
        <v/>
      </c>
      <c r="G3139" t="inlineStr">
        <is>
          <t>2019-06-24 09:00:54</t>
        </is>
      </c>
      <c r="H3139" t="inlineStr"/>
    </row>
    <row r="3140">
      <c r="A3140" t="inlineStr">
        <is>
          <t>c4s1re</t>
        </is>
      </c>
      <c r="B3140" t="inlineStr">
        <is>
          <t>What can I do?</t>
        </is>
      </c>
      <c r="C3140" t="inlineStr">
        <is>
          <t>I didn't know where else to post this but I need some cancer related advice. My partner just found out her dad has lung cancer, how can I be there for her the best way? I'm not the best at this and fairly autistic but I want to help.</t>
        </is>
      </c>
      <c r="D3140" t="n">
        <v>6</v>
      </c>
      <c r="E3140" t="n">
        <v>3</v>
      </c>
      <c r="F3140">
        <f>HYPERLINK("https://www.reddit.com/r/cancer/comments/c4s1re/what_can_i_do/")</f>
        <v/>
      </c>
      <c r="G3140" t="inlineStr">
        <is>
          <t>2019-06-24 10:34:51</t>
        </is>
      </c>
      <c r="H3140" t="inlineStr"/>
    </row>
    <row r="3141">
      <c r="A3141" t="inlineStr">
        <is>
          <t>c4shs2</t>
        </is>
      </c>
      <c r="B3141" t="inlineStr">
        <is>
          <t>Can you lend some expertise or advice?</t>
        </is>
      </c>
      <c r="C3141" t="inlineStr">
        <is>
          <t>I will try to cliff note to keep this short.
Brother 33yo  type 1 diabetic since childhood. Diagnosed with Sarcoma in right calf in late August at IU Simon Cancer Center. Oncologist says he is a Sarcoma expert.  Start inpatient chemo. Brother refused to do it again saying he knew it would kill him. Started outpatient chemo and radiation. Tumor necrotizing but growing. Doc continuously says he is surprised at the growth rate.  In April, after speaking with his surgeon brother opted for an above the knee amputation. (Tumor was now about the size of a cantaloupe in his leg). Limb salvage was an option but brother didn't want to worry about unclean margins or physical problems with the leg later. Says he doesn't want to die, so take the leg. 
End of May. Brother is about to get his prosthetic. Brother is looking good and happier. Brother truly believes he doesn't have to worry about cancer anymore and is getting on with his life. Brother has been having some shoulder pain. Gets a scan.  Almost 6 inch tumor mediastinum/lungs possibly invading chest wall. Plus a few other smaller spots. Doc says he is surprised and saw absolutely nothing in scans from February. Schedules more radiation and immunotherapy. Brother is devastated and feels blindsided. Has little appetite, has breathing problems and coughing. Won't do much but sleep. Little appetite. He says he wants to live. He is not ready to die so young. Starts radiation again. I call Mayo and Cleveland Clinic to get him to a sarcoma center and get a second opinion. Neither of us have much faith in his current team. A sarcoma expert should not be so shocked each step of the way. They also should have made sure my brother understood his condition and the high probability of lung mets. I knew. I'm addicted to learning. In the beginning brother told me he didn't want to know all the 'statistics' and things like that. He wanted to focus on him and what his doctor says about his case. I totally get that. So I am now shocked at how shocked he is. On top of this, I have gone over all his scan reports. There have been small spots in his lungs the whole time. He also had an enlarged pelvic nodule in the beginning. I kept bringing this up but was told it was fine. 
&amp;amp;#x200B;
So I'm trying my damndest at this point to get him to a sarcoma center. Brother is on Medicaid. I need help figuring out how to get a second opinion when dealing with medicaid. Preferably out of state since the current hospital is the only hospital with 'Sarcoma specialists'.  Current doctor would still treat my brother but more brains are better than one. I'm not even sure they are 100% on his exact type of Sarcoma. I have decided on Sloan Kettering. I have spoken to brothers doctors about getting the 2nd opinion and they are ok with it. Said to call a person and ask them to send the records. I also asked his nurse if they think there is a chance of a decent outcome at this point. Why treat him if it won't help? Could treatment help at this point? They say they think so. So how do I get this all taken care of?
Thursday brothers girlfriend calls me. Brothers face is crazy swollen. A sign the radiologist told her to look out for. I call the on call oncologist. They say get him to a hospital ASAP. They go to the ER and get scans. Tumors are all larger, Atelectasis. Enlarged nodes in lungs. Displacement and compression of the heart. Pancreas likely atrophic. Ascites. New pelvic node 4cm. Scattered fluid filled small bowel loops. Blood work doesn't look great. Anemia. Things are extremely low or high. 
Brothers oncology appointment was Friday. I went. Cannot get doctors to talk about things we really want to. Just focused on a few symptoms and prescribes meds for breathing. Doesn't mention the new pelvic node or bowels or growth.  Brother goes to start immunotherapy after. Also gets a blood transfusion.
So here I am. I need to know if it is a fools errand to keep pressing on with a second opinion at this point. I also don't want my brother to be tortured with more treatments in his last month/s if it is hopeless. I think he is relying on me to stay informed. Communication is insanely confusing between the team and us. They sound so positive, never talk about grim stuff and also don't really answer much of anything. It is so odd. I thought it was my brothers cancer brain, but it is not. I am confused as hell now too. 
What am I really looking at here? If you do think it's worth a second opinion how do I do this? Would it be worth paying a few thousand dollars out of pocket for? (That is a decent amount of money to me but I could do it if I have to). Brother has no parents or grandparents anymore, just me. Any specific words or questions I could use when communicating with the doctors or insurance regarding my brothers condition or the second opinion?
If you have gotten this far, I truly appreciate you. Thank you.</t>
        </is>
      </c>
      <c r="D3141" t="n">
        <v>4</v>
      </c>
      <c r="E3141" t="n">
        <v>12</v>
      </c>
      <c r="F3141">
        <f>HYPERLINK("https://www.reddit.com/r/cancer/comments/c4shs2/can_you_lend_some_expertise_or_advice/")</f>
        <v/>
      </c>
      <c r="G3141" t="inlineStr">
        <is>
          <t>2019-06-24 11:00:19</t>
        </is>
      </c>
      <c r="H3141" t="inlineStr"/>
    </row>
    <row r="3142">
      <c r="A3142" t="inlineStr">
        <is>
          <t>c4t41o</t>
        </is>
      </c>
      <c r="B3142" t="inlineStr">
        <is>
          <t>Can someone please decode this NET for me</t>
        </is>
      </c>
      <c r="C3142" t="inlineStr">
        <is>
          <t>My boyfriend has a well differentiated neuroendocrine tumor grade 1. He is scheduled for a rectal endoscopic ultrasound next month. I’m having a really hard time trying to figure out what this means. I’m confused about endocrine cancers and the internet is not on my side. Any insight or decoding for esoteric doctor jargon would be immensely helpful to me. I’m not sure if this post is allowed but I guess I’ll see</t>
        </is>
      </c>
      <c r="D3142" t="n">
        <v>1</v>
      </c>
      <c r="E3142" t="n">
        <v>11</v>
      </c>
      <c r="F3142">
        <f>HYPERLINK("https://www.reddit.com/r/cancer/comments/c4t41o/can_someone_please_decode_this_net_for_me/")</f>
        <v/>
      </c>
      <c r="G3142" t="inlineStr">
        <is>
          <t>2019-06-24 11:35:16</t>
        </is>
      </c>
      <c r="H3142" t="inlineStr"/>
    </row>
    <row r="3143">
      <c r="A3143" t="inlineStr">
        <is>
          <t>c4u0nf</t>
        </is>
      </c>
      <c r="B3143" t="inlineStr">
        <is>
          <t>Do people with ovarian cancer die from a gradual decline or a rapid one?</t>
        </is>
      </c>
      <c r="C3143" t="inlineStr">
        <is>
          <t>So. Unfortunately relevant to me. I read a post which talked about how people with pancreatic cancer would be fine for ages and then decline very quickly over a few weeks and eventually pass. I'm wondering if that is also the same for people with stage four ovarian cancer and my death will seemingly come out of nowhere. (Because in that case, I need to make preparations.)</t>
        </is>
      </c>
      <c r="D3143" t="n">
        <v>9</v>
      </c>
      <c r="E3143" t="n">
        <v>4</v>
      </c>
      <c r="F3143">
        <f>HYPERLINK("https://www.reddit.com/r/cancer/comments/c4u0nf/do_people_with_ovarian_cancer_die_from_a_gradual/")</f>
        <v/>
      </c>
      <c r="G3143" t="inlineStr">
        <is>
          <t>2019-06-24 12:27:18</t>
        </is>
      </c>
      <c r="H3143" t="inlineStr"/>
    </row>
    <row r="3144">
      <c r="A3144" t="inlineStr">
        <is>
          <t>c4ubqv</t>
        </is>
      </c>
      <c r="B3144" t="inlineStr">
        <is>
          <t>My mom died today.</t>
        </is>
      </c>
      <c r="C3144" t="inlineStr">
        <is>
          <t>Today she lost her fight and took her last breath.   
She has a brain tumour, I honestly I don’t know how i will go on without her. 
She was my everything.
Love you mom.</t>
        </is>
      </c>
      <c r="D3144" t="n">
        <v>139</v>
      </c>
      <c r="E3144" t="n">
        <v>39</v>
      </c>
      <c r="F3144">
        <f>HYPERLINK("https://www.reddit.com/r/cancer/comments/c4ubqv/my_mom_died_today/")</f>
        <v/>
      </c>
      <c r="G3144" t="inlineStr">
        <is>
          <t>2019-06-24 12:45:08</t>
        </is>
      </c>
      <c r="H3144" t="inlineStr"/>
    </row>
    <row r="3145">
      <c r="A3145" t="inlineStr">
        <is>
          <t>c4vizv</t>
        </is>
      </c>
      <c r="B3145" t="inlineStr">
        <is>
          <t>VA for Dummies or Dummies at the VA?! (vent)</t>
        </is>
      </c>
      <c r="C3145" t="inlineStr">
        <is>
          <t>This book needs to happen, I am so tired of people saying to me your dad can get aid through the VA.  Every. Single. Person.  Well guess what, he can't! He served 4 years active duty during a non-war time period, then 2 year inactive  during Vietnam, so neither of those count despite the fact he signed up to serve his country knowing he could have been sent to war at any time, at 17 no less..  He was at Camp Lejeune during the contamination period, but his cancer isn't directly linked to the accepted medical issues.  He could qualify for some hospice aid that the VA would pay for, but he has to physically go to the VA medical center for his initial intake in order to be assigned a physician, they will not tele-med with him, they will not send a physician to him, and they will not pay for an ambulance, despite the fact he has metastatic cancer that has spread to bones, and every organ but the brain (as of a couple of months ago).  He needs a 2 person assist and is on oxygen.  He can't get in a car and go to the ambulance and no one in my family can afford to private pay the ambulance.  I even spoke to the patient advocate who said, "Well some people just wait until it's too late and then there's not thing we can do."  I told her she didn't sound like a patient advocate, she sounded like the VA advocate.  She replied with, "I'm sorry you feel that way."  That's the the most passive aggressive way of saying fuck you.  Although I guess I started it.  Thanks for your service to my dad, VA!?!</t>
        </is>
      </c>
      <c r="D3145" t="n">
        <v>4</v>
      </c>
      <c r="E3145" t="n">
        <v>2</v>
      </c>
      <c r="F3145">
        <f>HYPERLINK("https://www.reddit.com/r/cancer/comments/c4vizv/va_for_dummies_or_dummies_at_the_va_vent/")</f>
        <v/>
      </c>
      <c r="G3145" t="inlineStr">
        <is>
          <t>2019-06-24 13:54:07</t>
        </is>
      </c>
      <c r="H3145" t="inlineStr"/>
    </row>
    <row r="3146">
      <c r="A3146" t="inlineStr">
        <is>
          <t>c4w3hb</t>
        </is>
      </c>
      <c r="B3146" t="inlineStr">
        <is>
          <t>Just found out a few days ago dads incurable Stage IV lung cancer spread to his brain. Suddenly seeing him have symptoms and it’s horrible.</t>
        </is>
      </c>
      <c r="C3146" t="inlineStr">
        <is>
          <t>He’s clearly having cognitive issues. He can’t remember when his appointments are. He couldn’t navigate my mom’s iPad to book a flight for his mother in law. 
Today he was talking on the phone to a nurse about his next appointment, and she gave him the address for the facility. I knew he would have issues so I put it in my notes on my iPhone as I overheard what was said. 
I looked at the piece of paper he was trying to write them on and he couldn’t write more than 2 letters. When he tries writing one letter, thinking about one, he writes something completely different. When he types something, he even said himself “it’s like I’m relearning how to type”. When he’d try to backspace, he’d instead hit f12. He’d try typing m’s but would type r’s instead.
He has an appointment Thursday for discussion of treatment options. It was bad enough knowing it’s stage IV and incurable. Him coughing is bad enough, but now he’s having these god damn issues. I hate seeing it and I feel so fucking bad for him. He can’t even fucking use the computer now. He barely has an appetite. I hate this so much.</t>
        </is>
      </c>
      <c r="D3146" t="n">
        <v>13</v>
      </c>
      <c r="E3146" t="n">
        <v>4</v>
      </c>
      <c r="F3146">
        <f>HYPERLINK("https://www.reddit.com/r/cancer/comments/c4w3hb/just_found_out_a_few_days_ago_dads_incurable/")</f>
        <v/>
      </c>
      <c r="G3146" t="inlineStr">
        <is>
          <t>2019-06-24 14:26:52</t>
        </is>
      </c>
      <c r="H3146" t="inlineStr"/>
    </row>
    <row r="3147">
      <c r="A3147" t="inlineStr">
        <is>
          <t>c4w5k3</t>
        </is>
      </c>
      <c r="B3147" t="inlineStr">
        <is>
          <t>Do any treatments for neuropathy actually work?</t>
        </is>
      </c>
      <c r="C3147" t="inlineStr">
        <is>
          <t>After 12 cycles of the ever fucked-up and dreaded Oxalyplatin, my feet are nearly stumps.
&amp;amp;#x200B;
I've only had very rare pain from the neuropathy, but they are numb as can be.
&amp;amp;#x200B;
I've been doing acupuncture, epsom salt soaks, foot spas, massage, Frankincense and Myrrh and using a TENS unit so far. Has anyone had any real results from any of these treatments?   
When I first started chemo, they told me neuropathy was the one irreversiable side effect so I should be very vocal if it came up. Sure enough, feet went numb one day. Suddenly, my onco totally changed her tune and told me it was usually reversible as a way to convince me to finish chemo, which I now know to be relatively untrue. Fantastic. 
&amp;amp;#x200B;
Any help is desperately appreciated.</t>
        </is>
      </c>
      <c r="D3147" t="n">
        <v>3</v>
      </c>
      <c r="E3147" t="n">
        <v>11</v>
      </c>
      <c r="F3147">
        <f>HYPERLINK("https://www.reddit.com/r/cancer/comments/c4w5k3/do_any_treatments_for_neuropathy_actually_work/")</f>
        <v/>
      </c>
      <c r="G3147" t="inlineStr">
        <is>
          <t>2019-06-24 14:30:17</t>
        </is>
      </c>
      <c r="H3147" t="inlineStr"/>
    </row>
    <row r="3148">
      <c r="A3148" t="inlineStr">
        <is>
          <t>c4wl3i</t>
        </is>
      </c>
      <c r="B3148" t="inlineStr">
        <is>
          <t>Lost my 44 year old brother to melanoma this weekend. What do I do for my mother and his family?</t>
        </is>
      </c>
      <c r="C3148" t="inlineStr">
        <is>
          <t>My brother fought for 10 years and finally lost his battle with metastatic melanoma over the weekend leaving behind his wife and two young girls. My family is absolutely broken and shattered. What is something, for those of you who have lost loved ones, that I can do to support my mother who lost a child, my sister in law who lost her husband and my nieces who lost their father. 
I feel absolutely lost and broken. I was there when he passed. It was quick and beautiful. But now we are left to pick up the pieces.</t>
        </is>
      </c>
      <c r="D3148" t="n">
        <v>7</v>
      </c>
      <c r="E3148" t="n">
        <v>3</v>
      </c>
      <c r="F3148">
        <f>HYPERLINK("https://www.reddit.com/r/cancer/comments/c4wl3i/lost_my_44_year_old_brother_to_melanoma_this/")</f>
        <v/>
      </c>
      <c r="G3148" t="inlineStr">
        <is>
          <t>2019-06-24 14:56:13</t>
        </is>
      </c>
      <c r="H3148" t="inlineStr"/>
    </row>
    <row r="3149">
      <c r="A3149" t="inlineStr">
        <is>
          <t>c4wukn</t>
        </is>
      </c>
      <c r="B3149" t="inlineStr">
        <is>
          <t>Fuck Cancer</t>
        </is>
      </c>
      <c r="C3149" t="inlineStr">
        <is>
          <t>You want to know what’s fun?  Getting an oxycodone refill as a stage 4 cancer patient, it ain’t the doctor or insurance, it’s the pharmacy.  What the fuck do you know 25 year old technician.  That is all.</t>
        </is>
      </c>
      <c r="D3149" t="n">
        <v>25</v>
      </c>
      <c r="E3149" t="n">
        <v>21</v>
      </c>
      <c r="F3149">
        <f>HYPERLINK("https://www.reddit.com/r/cancer/comments/c4wukn/fuck_cancer/")</f>
        <v/>
      </c>
      <c r="G3149" t="inlineStr">
        <is>
          <t>2019-06-24 15:11:20</t>
        </is>
      </c>
      <c r="H3149" t="inlineStr"/>
    </row>
    <row r="3150">
      <c r="A3150" t="inlineStr">
        <is>
          <t>c4x55u</t>
        </is>
      </c>
      <c r="B3150" t="inlineStr">
        <is>
          <t>Feeling guilty for not believing in a miracle cure for my mom like the rest of my family.</t>
        </is>
      </c>
      <c r="C3150" t="inlineStr">
        <is>
          <t>My mom got diagnosed with Stage IV Gallbladder Cancer with Liver Mets in May. Oncologist said it was inoperable and incurable and started her on chemo as palliative care. I've been the one setting my mom up with short term disability through work, medical power of attorney, and generally getting her affairs in order. The rest of my family does not want to acknowledge that it's terminal and keep saying that maybe the chemo will cure her. I feel so guilty because I really do want to believe this but at the same time I've read how aggressive these cancers can be.  We don't even use the word terminal when talking about her diagnosis. Should I be more positive about this? Or how can I better prepare my family for what's to come.</t>
        </is>
      </c>
      <c r="D3150" t="n">
        <v>10</v>
      </c>
      <c r="E3150" t="n">
        <v>8</v>
      </c>
      <c r="F3150">
        <f>HYPERLINK("https://www.reddit.com/r/cancer/comments/c4x55u/feeling_guilty_for_not_believing_in_a_miracle/")</f>
        <v/>
      </c>
      <c r="G3150" t="inlineStr">
        <is>
          <t>2019-06-24 15:28:48</t>
        </is>
      </c>
      <c r="H3150" t="inlineStr"/>
    </row>
    <row r="3151">
      <c r="A3151" t="inlineStr">
        <is>
          <t>c4xqlp</t>
        </is>
      </c>
      <c r="B3151" t="inlineStr">
        <is>
          <t>Hodgkin Lymphoma Relapse Questions</t>
        </is>
      </c>
      <c r="C3151" t="inlineStr">
        <is>
          <t>I was treated for Early Stage Favorable Hodgkin Lymphoma 2.5 years ago. I’d been having some weird symptoms over the past few months but no enlarged peripheral nodes. I went in to the ER last night and CT scan showed multiple mediastinal nodes. I suppose the differential still includes Non-Hodgkin Lymphoma but odd are this is relapse.
I’m a mess. I’m actually a resident and was about to start my fellowship next week. I’ve cried more today than I have in the last decade.
I know the numbers for relapse aren’t as great (though also aren’t awful). What almost scares me more is the chance of surviving with a substantially diminished quality of life for the rest of my days. I love hiking, being outdoors, running, etc. 
Is there anyone on here who has made it through treatment for relapsed HL and is anywhere close to their quality of life pre-treatment?</t>
        </is>
      </c>
      <c r="D3151" t="n">
        <v>2</v>
      </c>
      <c r="E3151" t="n">
        <v>7</v>
      </c>
      <c r="F3151">
        <f>HYPERLINK("https://www.reddit.com/r/cancer/comments/c4xqlp/hodgkin_lymphoma_relapse_questions/")</f>
        <v/>
      </c>
      <c r="G3151" t="inlineStr">
        <is>
          <t>2019-06-24 16:05:02</t>
        </is>
      </c>
      <c r="H3151" t="inlineStr"/>
    </row>
    <row r="3152">
      <c r="A3152" t="inlineStr">
        <is>
          <t>c4yhei</t>
        </is>
      </c>
      <c r="B3152" t="inlineStr">
        <is>
          <t>You are ALL heros</t>
        </is>
      </c>
      <c r="C3152" t="inlineStr">
        <is>
          <t>Before my dad’s diagnosis, I had no conception of how much pain, stress, and anxiety, how heart-wrenchingly helpless and nauseating cancer is.
Cancer was a thing that other people dealt with. 
I now understand the immense burden of diagnosis. The pain to watch your loved one deteriorate. To pay extra attention to ensure you don’t miss a minute. To be the cheerleader—even when you yourself question how much energy you have left. To be the advocate researching and communicating to doctors and extended family.
You are all heros. From stage one to mets. If you have cancer—you are my hero. If you are a loved one who stands along side your person—you are my hero. If you are a doctor, a nurse, a therapist—you are my hero. 
Keep your heads up, you’re shoulders back and keep taking it one step at a time.</t>
        </is>
      </c>
      <c r="D3152" t="n">
        <v>26</v>
      </c>
      <c r="E3152" t="n">
        <v>11</v>
      </c>
      <c r="F3152">
        <f>HYPERLINK("https://www.reddit.com/r/cancer/comments/c4yhei/you_are_all_heros/")</f>
        <v/>
      </c>
      <c r="G3152" t="inlineStr">
        <is>
          <t>2019-06-24 16:52:09</t>
        </is>
      </c>
      <c r="H3152" t="inlineStr"/>
    </row>
    <row r="3153">
      <c r="A3153" t="inlineStr">
        <is>
          <t>c521ye</t>
        </is>
      </c>
      <c r="B3153" t="inlineStr">
        <is>
          <t>Prostate Cancer</t>
        </is>
      </c>
      <c r="C3153" t="inlineStr">
        <is>
          <t>I just found out my dad has stage 4 prostate cancer.  It's spread to his bones and organs... im kind of surprised because my dad's a heavy drinker/smoker so I suspected different health issues.  My Sister had breast cancer and is a survivor.  Im just in a weird place with all of this and don't know how to deal.  
My dad and I have had a toxic relationship growing up but have reconnected and have had a positive relationship lately.  Everything is hitting me pretty hard right now.</t>
        </is>
      </c>
      <c r="D3153" t="n">
        <v>1</v>
      </c>
      <c r="E3153" t="n">
        <v>0</v>
      </c>
      <c r="F3153">
        <f>HYPERLINK("https://www.reddit.com/r/cancer/comments/c521ye/prostate_cancer/")</f>
        <v/>
      </c>
      <c r="G3153" t="inlineStr">
        <is>
          <t>2019-06-24 20:57:37</t>
        </is>
      </c>
      <c r="H3153" t="inlineStr"/>
    </row>
    <row r="3154">
      <c r="A3154" t="inlineStr">
        <is>
          <t>c54yh2</t>
        </is>
      </c>
      <c r="B3154" t="inlineStr">
        <is>
          <t>How to help someone who is going through chemo</t>
        </is>
      </c>
      <c r="C3154" t="inlineStr">
        <is>
          <t>My SO is just over halfway through her treatment. Do you guys have any ideas for something I can do to treat her a bit? What would you have liked for someone to do for you while you were in treatment?</t>
        </is>
      </c>
      <c r="D3154" t="n">
        <v>9</v>
      </c>
      <c r="E3154" t="n">
        <v>8</v>
      </c>
      <c r="F3154">
        <f>HYPERLINK("https://www.reddit.com/r/cancer/comments/c54yh2/how_to_help_someone_who_is_going_through_chemo/")</f>
        <v/>
      </c>
      <c r="G3154" t="inlineStr">
        <is>
          <t>2019-06-25 01:10:13</t>
        </is>
      </c>
      <c r="H3154" t="inlineStr"/>
    </row>
    <row r="3155">
      <c r="A3155" t="inlineStr">
        <is>
          <t>c55h4t</t>
        </is>
      </c>
      <c r="B3155" t="inlineStr">
        <is>
          <t>What gifts can I buy a cancer patient?</t>
        </is>
      </c>
      <c r="C3155" t="inlineStr">
        <is>
          <t>My father, 70, has just been diagnosed with bowel and liver cancer.  Will be starting palliative chemotherapy shortly, but at the moment just on painkillers and is quite well apart from this.  Lives at home alone.
He has a birthday coming up shortly.  We would like to get him things that are appropriate and helpful if we can, can anyone offer any suggestions?
I'm not sure how chemotherapy will affect him exactly - will he need something to soothe his skin - skin creams?  Help him sleep - lavender pillow spray?  Cooling pillow?  Is a humidifier something useful?
He has all the usual things that I personally would want - fans, iPad, headphones, books, etc.</t>
        </is>
      </c>
      <c r="D3155" t="n">
        <v>3</v>
      </c>
      <c r="E3155" t="n">
        <v>6</v>
      </c>
      <c r="F3155">
        <f>HYPERLINK("https://www.reddit.com/r/cancer/comments/c55h4t/what_gifts_can_i_buy_a_cancer_patient/")</f>
        <v/>
      </c>
      <c r="G3155" t="inlineStr">
        <is>
          <t>2019-06-25 02:01:10</t>
        </is>
      </c>
      <c r="H3155" t="inlineStr"/>
    </row>
    <row r="3156">
      <c r="A3156" t="inlineStr">
        <is>
          <t>c56r8j</t>
        </is>
      </c>
      <c r="B3156" t="inlineStr">
        <is>
          <t>They’re no longer treating to cure.</t>
        </is>
      </c>
      <c r="C3156" t="inlineStr">
        <is>
          <t>The treatment didn’t work to cure my cervical cancer. They’re no longer treating to cure. I will die of cancer, we just don’t know when.</t>
        </is>
      </c>
      <c r="D3156" t="n">
        <v>117</v>
      </c>
      <c r="E3156" t="n">
        <v>78</v>
      </c>
      <c r="F3156">
        <f>HYPERLINK("https://www.reddit.com/r/cancer/comments/c56r8j/theyre_no_longer_treating_to_cure/")</f>
        <v/>
      </c>
      <c r="G3156" t="inlineStr">
        <is>
          <t>2019-06-25 03:57:46</t>
        </is>
      </c>
      <c r="H3156" t="inlineStr"/>
    </row>
    <row r="3157">
      <c r="A3157" t="inlineStr">
        <is>
          <t>c58c79</t>
        </is>
      </c>
      <c r="B3157" t="inlineStr">
        <is>
          <t>My 75 year old mother died of chemo/radiation.</t>
        </is>
      </c>
      <c r="C3157" t="inlineStr">
        <is>
          <t>She withered away while her tumor doubled in size (lung cancer). When she found out she had this tumor,  she was fine. This was this past December. 6 months later she’s dead.
If I ever have a doctor tell me I have cancer, I’ll tell them to go fuck themselves. It’s a scam. With socialized medicine around the corner, they will lose money once implemented. So in the meantime, everyone gets diagnosed with cancer. And they know just the right amount of chemo/radiation to give a person to not kill them, unless you’re a frail old person..... And then when it’s all over, they patronize you w/balloons &amp;amp; a celebration: YOU’RE A CANCER SURVIVOR!!!! Fuck you.</t>
        </is>
      </c>
      <c r="D3157" t="n">
        <v>0</v>
      </c>
      <c r="E3157" t="n">
        <v>10</v>
      </c>
      <c r="F3157">
        <f>HYPERLINK("https://www.reddit.com/r/cancer/comments/c58c79/my_75_year_old_mother_died_of_chemoradiation/")</f>
        <v/>
      </c>
      <c r="G3157" t="inlineStr">
        <is>
          <t>2019-06-25 06:10:25</t>
        </is>
      </c>
      <c r="H3157" t="inlineStr"/>
    </row>
    <row r="3158">
      <c r="A3158" t="inlineStr">
        <is>
          <t>c58ors</t>
        </is>
      </c>
      <c r="B3158" t="inlineStr">
        <is>
          <t>How do I keep my father’s spirits up after his treatment?</t>
        </is>
      </c>
      <c r="C3158" t="inlineStr">
        <is>
          <t>My father was unexpectedly diagnosed with oral cancer three months ago. His surgery and radiotherapy are done. But now he is in a lot of pain after radiotherapy. His wounds have all turned sore red, skin is withering off, mouth hurts, neck and shoulder are tight and his lips bleed. He is in a lot of pain and we cannot do anything for him. I do not have good communication loop with him, nor do my other family members, but he needs us. I don’t know how to serve him, relieve his emotions, love him. This is one chance in my life to love him as a daughter. I can’t touch him or hug him because we’re not close but I want him to feel my energy and my presence in his life. He’ll fall into depression because he thinks his condition is disturbing us. No we love you no matter what. I cannot imagine living in a house without my father. We need him like we need air to breath. How do I tell him that? He should not feel guilty for anything. What do I talk about? What to ask? What advise? How to divert his mind from pain? Read poems for him? Sing? I’ve never done that before. My own mental health is not good either.</t>
        </is>
      </c>
      <c r="D3158" t="n">
        <v>1</v>
      </c>
      <c r="E3158" t="n">
        <v>0</v>
      </c>
      <c r="F3158">
        <f>HYPERLINK("https://www.reddit.com/r/cancer/comments/c58ors/how_do_i_keep_my_fathers_spirits_up_after_his/")</f>
        <v/>
      </c>
      <c r="G3158" t="inlineStr">
        <is>
          <t>2019-06-25 06:38:09</t>
        </is>
      </c>
      <c r="H3158" t="inlineStr"/>
    </row>
    <row r="3159">
      <c r="A3159" t="inlineStr">
        <is>
          <t>c5amlc</t>
        </is>
      </c>
      <c r="B3159" t="inlineStr">
        <is>
          <t>Cancer Treatments in India</t>
        </is>
      </c>
      <c r="C3159" t="inlineStr">
        <is>
          <t>Cancer is the uncontrolled growth of the abnormal cells in the body which interrupts in the body’s normal control mechanism and stops working. The cells may form a mass of tissue which are called tumor. Some cancers, such as leukemia, do not form tumors. To know more about cancer treatments that are available in India click on the link below</t>
        </is>
      </c>
      <c r="D3159" t="n">
        <v>1</v>
      </c>
      <c r="E3159" t="n">
        <v>0</v>
      </c>
      <c r="F3159">
        <f>HYPERLINK("https://www.reddit.com/r/cancer/comments/c5amlc/cancer_treatments_in_india/")</f>
        <v/>
      </c>
      <c r="G3159" t="inlineStr">
        <is>
          <t>2019-06-25 08:57:23</t>
        </is>
      </c>
      <c r="H3159" t="inlineStr"/>
    </row>
    <row r="3160">
      <c r="A3160" t="inlineStr">
        <is>
          <t>c5c5ge</t>
        </is>
      </c>
      <c r="B3160" t="inlineStr">
        <is>
          <t>Still don't know if I have cancer or not</t>
        </is>
      </c>
      <c r="C3160" t="inlineStr">
        <is>
          <t>I had a biospy for a mass on my groin nearly 2 weeks ago. I went to the er yesterday because that leg and my pelvis have been hurting. The dr ordered another cat scan of my abdomen. That came back as not having any masses. Are ct scans pretty accurate at detecting no other masses? 
But the dr said the mass could be doing some weird things and that's why I am in pain. 
It's from the same hospital so the er dr was able to give me my biopsy results. He said some fancy words, which I think he basically said it tested postive for lymph nodes?  I really didn't understand this part because he was using medical words. But basically need to remove the mass to test it further. 
So I asked do I have cancer. He said I might that's why they need to take it out and test it. But that's what I thought the biopsy was for??? My brain was delayed so I really didn't ask questions. I'm just confused. 
I finally got a primary care doctor at this hospital and have an appt thrusday. I'll be able to ask more throughout questions.</t>
        </is>
      </c>
      <c r="D3160" t="n">
        <v>2</v>
      </c>
      <c r="E3160" t="n">
        <v>4</v>
      </c>
      <c r="F3160">
        <f>HYPERLINK("https://www.reddit.com/r/cancer/comments/c5c5ge/still_dont_know_if_i_have_cancer_or_not/")</f>
        <v/>
      </c>
      <c r="G3160" t="inlineStr">
        <is>
          <t>2019-06-25 10:38:17</t>
        </is>
      </c>
      <c r="H3160" t="inlineStr"/>
    </row>
    <row r="3161">
      <c r="A3161" t="inlineStr">
        <is>
          <t>c5cm52</t>
        </is>
      </c>
      <c r="B3161" t="inlineStr">
        <is>
          <t>I don’t think I can take this any longer</t>
        </is>
      </c>
      <c r="C3161" t="inlineStr">
        <is>
          <t>So I’m 20 years old and have nasty tumors throughout my spine and brain. I started radiation yesterday but things just continue to get worse . I can no longer sit, stand, move, or even urinate on my own. I’m struggling so hard. I know I can’t take this much longer so if I don’t see any physical improvement soon I’m going to end it on my own terms but how do I explain to everyone who cares about me that it isn’t their fault. I don’t want to be selfish but I never could’ve thought that it would be this bad and I wouldn’t even wish this sickness on Hitler. I don’t want to leave everyone behind but it seems likes it’s my only option. If anyone has any advice for treatment or handling this in general I would appreciate even the smallest of recommendations .</t>
        </is>
      </c>
      <c r="D3161" t="n">
        <v>66</v>
      </c>
      <c r="E3161" t="n">
        <v>46</v>
      </c>
      <c r="F3161">
        <f>HYPERLINK("https://www.reddit.com/r/cancer/comments/c5cm52/i_dont_think_i_can_take_this_any_longer/")</f>
        <v/>
      </c>
      <c r="G3161" t="inlineStr">
        <is>
          <t>2019-06-25 11:08:57</t>
        </is>
      </c>
      <c r="H3161" t="inlineStr"/>
    </row>
    <row r="3162">
      <c r="A3162" t="inlineStr">
        <is>
          <t>c5hkex</t>
        </is>
      </c>
      <c r="B3162" t="inlineStr">
        <is>
          <t>Question about chemo and radiation therapy</t>
        </is>
      </c>
      <c r="C3162" t="inlineStr">
        <is>
          <t>Hey there, my mum was diagnosed with 4B Cervical and my dad was wondering about the whole process. 
Now, with the therapy, is it usually done as an in patient or out? My dad and mum were in Japan and the Japanese hospitals all did in-patient therapy. Back in Canada (we live in BC), they are saying it's all out patient. I was wondering if the Canadian easy is better/worse/etc. 
Also, anyone recommend any books? I would appreciate it, thanks guys.</t>
        </is>
      </c>
      <c r="D3162" t="n">
        <v>3</v>
      </c>
      <c r="E3162" t="n">
        <v>1</v>
      </c>
      <c r="F3162">
        <f>HYPERLINK("https://www.reddit.com/r/cancer/comments/c5hkex/question_about_chemo_and_radiation_therapy/")</f>
        <v/>
      </c>
      <c r="G3162" t="inlineStr">
        <is>
          <t>2019-06-25 16:33:46</t>
        </is>
      </c>
      <c r="H3162" t="inlineStr"/>
    </row>
    <row r="3163">
      <c r="A3163" t="inlineStr">
        <is>
          <t>c5idiu</t>
        </is>
      </c>
      <c r="B3163" t="inlineStr">
        <is>
          <t>Wife's mother diagnosed with stage 3 lung cancer</t>
        </is>
      </c>
      <c r="C3163" t="inlineStr">
        <is>
          <t>Hello all,
My wife's mother has been diagnosed with stage 3 or 4 (not sure yet, staging is being done day after tomorrow) lung cancer.  We haven't yet gotten the biopsy results yet.  Doctor thinks that she may not be strong enough to go through treatment.  Are there any resources out there that can help me support my wife through this time?  
Thank you!</t>
        </is>
      </c>
      <c r="D3163" t="n">
        <v>14</v>
      </c>
      <c r="E3163" t="n">
        <v>3</v>
      </c>
      <c r="F3163">
        <f>HYPERLINK("https://www.reddit.com/r/cancer/comments/c5idiu/wifes_mother_diagnosed_with_stage_3_lung_cancer/")</f>
        <v/>
      </c>
      <c r="G3163" t="inlineStr">
        <is>
          <t>2019-06-25 17:39:40</t>
        </is>
      </c>
      <c r="H3163" t="inlineStr"/>
    </row>
    <row r="3164">
      <c r="A3164" t="inlineStr">
        <is>
          <t>c5ijw1</t>
        </is>
      </c>
      <c r="B3164" t="inlineStr">
        <is>
          <t>Do I have a chance of having cancer?</t>
        </is>
      </c>
      <c r="C3164" t="inlineStr">
        <is>
          <t>I’ve experienced the following over the past month: 
* blood on toilet paper tissue (not a lot but has been happening for about a month or so, might just be an anal fissure?)
* I’ve been struggling to defecate and when I do my feces is thin or it ends up being diarrhea (this has been happening for about 2-3 weeks)
* I’ve been gagging/almost throwing up for about 1 week 1/2. (Today I threw up for the first time twice). 
* recently I’ve been feeling some pain around my lower/middle torso, not a lot but might be due to throwing up? 
* I’ve lost weight this past week, at least 6-7 pounds (My normal weight range is between 132-135 and now I’m around 126, and i haven’t been below 130 since 2 years ago). 
* I’ve begun to get more tired/fatigued and running out of breath more easily. 
I’m 17 years old so this doesn’t seem right, I also feel like I’ve lost some appetite for certain foods too. Hopefully I’m just overreacting but I’ve done research and some of these symptoms seem to lead to possible cancers which obviously worries me since I’m fucking 17. 
I don’t want to consult my parents because the last thing I need is for them to be worried. If ANYONE has any advice or help please send it. If this continues another week I think I’m going to see a doctor.</t>
        </is>
      </c>
      <c r="D3164" t="n">
        <v>0</v>
      </c>
      <c r="E3164" t="n">
        <v>2</v>
      </c>
      <c r="F3164">
        <f>HYPERLINK("https://www.reddit.com/r/cancer/comments/c5ijw1/do_i_have_a_chance_of_having_cancer/")</f>
        <v/>
      </c>
      <c r="G3164" t="inlineStr">
        <is>
          <t>2019-06-25 17:53:58</t>
        </is>
      </c>
      <c r="H3164" t="inlineStr"/>
    </row>
    <row r="3165">
      <c r="A3165" t="inlineStr">
        <is>
          <t>c5koey</t>
        </is>
      </c>
      <c r="B3165" t="inlineStr">
        <is>
          <t>My mom died today</t>
        </is>
      </c>
      <c r="C3165" t="inlineStr">
        <is>
          <t>My (22) mom (52) lost her battle with cancer today. I lost my dad just over two years ago. I’m not ready to do this alone. I keep wanting to text her and ask her things that come into my mind and then I remember the images I saw when I witnessed her death today. I’ve cried a lot in the past two days, and tonight I’m going through spurts of having no emotion at all. I feel bad for not having the energy to feel much right now. 
I feel like I’m constantly asking advice on topics that no one wants to share advice on, but I guess I’ll just post this anyways. When my dad passed I made myself go pretty numb. I started summer classes MAYBE two weeks after he passed and I shifted my entire focus to school and not to my feelings I was burying deep down inside. I want to deal with my moms death better than my dad’s. I want to heal healthily. And I want to heal from my dads passing as well. Any advice or stories on how anyone has moved forward from the death of both parents would be greatly appreciated. I want to learn how to live again. Maybe they are not here with me physically, but I want to learn how to accept that they will always be with me in other ways.</t>
        </is>
      </c>
      <c r="D3165" t="n">
        <v>64</v>
      </c>
      <c r="E3165" t="n">
        <v>21</v>
      </c>
      <c r="F3165">
        <f>HYPERLINK("https://www.reddit.com/r/cancer/comments/c5koey/my_mom_died_today/")</f>
        <v/>
      </c>
      <c r="G3165" t="inlineStr">
        <is>
          <t>2019-06-25 20:49:16</t>
        </is>
      </c>
      <c r="H3165" t="inlineStr"/>
    </row>
    <row r="3166">
      <c r="A3166" t="inlineStr">
        <is>
          <t>c5l9hz</t>
        </is>
      </c>
      <c r="B3166" t="inlineStr">
        <is>
          <t>My Besties mom was diagnosed with cancer</t>
        </is>
      </c>
      <c r="C3166" t="inlineStr">
        <is>
          <t>It was hard to find out that [my friend's mother is diagnosed with cancer](https://medium.com/@sreerajn309/cancer-in-my-experience-when-my-besties-mom-was-diagnosed-with-cancer-1bdf66597396). She was very kind and caring to all of us. After diagnosed with cancer, my friend and his family went through a lot of hardship. The treatment cost was a hard thing to manage. But the hardest thing was watching the side effects on her. I think that is why cancer is considered one of the deadliest disease in the world. Even after you are cured or treated the effects of the disease leaves a mark of its own. 
Cancer does not only affects one's body. It also shatters the patients and the families mental state. There is nothing worse than that. To overcome this, everyone has to stand together and face it.</t>
        </is>
      </c>
      <c r="D3166" t="n">
        <v>2</v>
      </c>
      <c r="E3166" t="n">
        <v>0</v>
      </c>
      <c r="F3166">
        <f>HYPERLINK("https://www.reddit.com/r/cancer/comments/c5l9hz/my_besties_mom_was_diagnosed_with_cancer/")</f>
        <v/>
      </c>
      <c r="G3166" t="inlineStr">
        <is>
          <t>2019-06-25 21:40:53</t>
        </is>
      </c>
      <c r="H3166" t="inlineStr"/>
    </row>
    <row r="3167">
      <c r="A3167" t="inlineStr">
        <is>
          <t>c5m0k3</t>
        </is>
      </c>
      <c r="B3167" t="inlineStr">
        <is>
          <t>My mother succumbed to stage 4 metastatic bone cancer today</t>
        </is>
      </c>
      <c r="C3167" t="inlineStr">
        <is>
          <t>....At 7:30am-ish at the cancer treatment of SilverCross/UIC in New Lennox, IL. She was my angel, Rosa Maria Pizano. She fought so hard. I made a post on this r/cancer reddit about \~1 month ago, because they diagnosed her as "possible bone metastasis" but nothing was ever solidified. I never ever thought I would be making this post 1 month later. She was in perfect absolute health at age 55. It started out with just back pain around early March/April, to more severe pain, to a possible "bone metastasis" diagnosis after visiting a Bone &amp;amp; Joint Specialist near May (and then they were referred to an oncologist). Throughout this time, my brother and I who are in our 30's, tried to help by going to doctors visits with them and helping out take care of my mom, which was hard because we work full time.
&amp;amp;#x200B;
They recommended my Mom do a spinal lumbar fusion surgery on May 31st to fill her back fractures (which they found she had) with cement. The bone  &amp;amp; joint MD said we should still do the surgery because even if it was cancer (which they were still unsure, or if she had it, where it came from), the surgery might help her walk again, which at this point, she was almost completely immobile, and lying in bed all day in pain.  We did the surgery and were optimistic ; long story short, 1-2 days after my dad began to panic begins she was getting worse and even more immobile (she was complaining about not even being able to move her legs anymore). We had a doctors appointment the next week but my dad was panic'd and expedited the appointment to get another MRI . At this appointment, I let the doctor know she was in intense pain and getting worse everyday and what we should do. He said "Well, if this was my mom, I would take her to Loyola, UIC, or Northwestern". So we did, my parents took a rest day and the next day they took my mother to the UIC cancer center in New Lenox, IL.
&amp;amp;#x200B;
She got there on a Thursday, and they did a ton of tests up to Friday. We visited her and stayed with her through the weekend. They informed us around this time they were trying to locate where the cancer came from, her pancreas, lungs , or GI, but they said it was a late stage cancer because how bad it had spread. They informed they would do a bilateral hip replacement Monday around 5pm. I got off work at 4pm and my Dad called me to day my mom wanted to see me and my brother. She was about 1hour drive from me, when I got there around 7ish, all my family was there waiting for her to get out the surgery. She didn't get out until 9:30pm and I just had a black feeling in my stomach that something was wrong. I just knew. They wheeled her into a new room and my mom was in the ER medical bed and freaking out.
&amp;amp;#x200B;
She was grabbing her hips, ripping the IV out her arm, causing blood to go everywhere, and almost ripping off her gown. My family was in the room and my brother and I both each grabbed my moms hand and comforted her. I held her head and I telling her how much I loved her and please calm down. She would raise her head up and stare directly straight infront of her, not at my brother or me , but just directly , with a blank empty stare making moans and pain noises like "tsskk tskkk tskk tsk tsk" grabbing her hips. It was painful to watch and I couldn't stop crying. I was holding my moms hand with my brother and asking her to stop and asking if "Mom, can you hear me? Relax mom, we're here with you, it's me and Dan (my brothers name)".
&amp;amp;#x200B;
She never responded. I believe at this point, they gave her some Dilaudid in her IV and said it was side effects/reaction of the anesthesia, but I did not believe it. I just felt she was dying there.
&amp;amp;#x200B;
I just wrote this to vent, my dad and my brother and I/family are devastated. We had to carry out her belonging and little sketcher shoes and we were just balling. Going home and seeing how she decorated our house and how much "family" was the focus of her life was just so sad. She had picture frames everywhere about "love your family; family is life" .
&amp;amp;#x200B;
Can anyone who has experienced a fellow family member/relative die of cancer please tell me what I witnessed near the end of her life? I can't get the image of her writhing in pain after the surgery, grabbing her rips, almost ripping off the wrappings, ripping off her gown and IV, and saying "owwww tskk ktskk tskkk tsk oowwww" and despite comforting her hand with my brother and caressing her forehead, she never responded. She would appear to pass out with her head on the pillow, the lift it up abruptly and stare with a blank stare directly ahead.
&amp;amp;#x200B;
We later found out that morning at 7am when she died that the cancer had spread absolutely everywhere, to her arms , legs and even the doctor said her brain. Could it been in her brain when we were comforting her after surgery??? She never seemed to acknowledge me or verbally say any words despite what I stated above. I want to \*know\* that she knew me and my brother and family were there to be with her in her last moments. I really wanted to get some insight into this as it was driving me crazy.
&amp;amp;#x200B;
Please I'll take any input.</t>
        </is>
      </c>
      <c r="D3167" t="n">
        <v>13</v>
      </c>
      <c r="E3167" t="n">
        <v>15</v>
      </c>
      <c r="F3167">
        <f>HYPERLINK("https://www.reddit.com/r/cancer/comments/c5m0k3/my_mother_succumbed_to_stage_4_metastatic_bone/")</f>
        <v/>
      </c>
      <c r="G3167" t="inlineStr">
        <is>
          <t>2019-06-25 22:50:34</t>
        </is>
      </c>
      <c r="H3167" t="inlineStr"/>
    </row>
    <row r="3168">
      <c r="A3168" t="inlineStr">
        <is>
          <t>c5mac4</t>
        </is>
      </c>
      <c r="B3168" t="inlineStr">
        <is>
          <t>Breast cancer at 32, others are mad at me for not being more upset.</t>
        </is>
      </c>
      <c r="C3168" t="inlineStr">
        <is>
          <t>Pretty much looking for advice I think. This is my first time ever posting so forgive all my failings. 
I was diagnosed with Invasive Ductal Carcinoma stage 3 a month ago. It moved into my lymphnodes but has spread no further. Yay! But it means chemo, which I began yesterday, followed by surgery in 18 weeks, followed by radiation and very likely a complete hysterectomy so the cancer is less likely to return as its hormonal based. 
My issue is that people think I am not upset enough. That being said, this isn't going to kill me. I have an amazing care team and an amazing prognosis. Its a very common form of breast cancer and it was caught before it went to much awry. Truth be told I am more upset that I am losing all my hair. However people keep telling me I am taking it too lightly. I haven't had a single break down over the cancer, I was very clear with my children and they understand I will be ok. If I do somehow have a bad way and lose the race I don't want to waste that time moping about. I am not in control of the dying. I am not afraid of death. But that being said I have had zero fear of this being the thing that does it. People keep saying, "Oh man Shy, you need to stop holding your feelings in. It's ok to let it out!" But there is nothing to let out. The chemo makes me feel icky, but I refuse to live sick. 
Has anybody else dealt with this weird emotional side of it? 
Really hope this is moderately clear. I am on pain meds for bone pain. Many apologies if this ended up convoluted.</t>
        </is>
      </c>
      <c r="D3168" t="n">
        <v>22</v>
      </c>
      <c r="E3168" t="n">
        <v>23</v>
      </c>
      <c r="F3168">
        <f>HYPERLINK("https://www.reddit.com/r/cancer/comments/c5mac4/breast_cancer_at_32_others_are_mad_at_me_for_not/")</f>
        <v/>
      </c>
      <c r="G3168" t="inlineStr">
        <is>
          <t>2019-06-25 23:19:50</t>
        </is>
      </c>
      <c r="H3168" t="inlineStr"/>
    </row>
    <row r="3169">
      <c r="A3169" t="inlineStr">
        <is>
          <t>c5nl6l</t>
        </is>
      </c>
      <c r="B3169" t="inlineStr">
        <is>
          <t>I don't know where to get support</t>
        </is>
      </c>
      <c r="C3169" t="inlineStr">
        <is>
          <t>I've had pre-cancerous cells so many times (4) that they finally removed my uterus a year ago to prevent cancer. Now I have a suspicious lump that I need surgery to do deeper testing on. I'm so scared. This surgery is at my vaginal opening and just this surgery to get a deeper sample could leave me with nerve damage and scaring so bad that it will ruin my ability to have sex. I don't have a cancer diagnosis, but I need a place to vent. Can someone help me by telling me where I belong.</t>
        </is>
      </c>
      <c r="D3169" t="n">
        <v>4</v>
      </c>
      <c r="E3169" t="n">
        <v>3</v>
      </c>
      <c r="F3169">
        <f>HYPERLINK("https://www.reddit.com/r/cancer/comments/c5nl6l/i_dont_know_where_to_get_support/")</f>
        <v/>
      </c>
      <c r="G3169" t="inlineStr">
        <is>
          <t>2019-06-26 02:12:14</t>
        </is>
      </c>
      <c r="H3169" t="inlineStr"/>
    </row>
    <row r="3170">
      <c r="A3170" t="inlineStr">
        <is>
          <t>c5nwxc</t>
        </is>
      </c>
      <c r="B3170" t="inlineStr">
        <is>
          <t>Sh***ing myself a little bit.</t>
        </is>
      </c>
      <c r="C3170" t="inlineStr">
        <is>
          <t>About 3 hours away from screening and my mind isn’t being kind. I don’t want to get into details because I would have rather done this with an anon account, but hey ho, it is what it is.
For the most part I’ve managed to stay calm about it, but as it gets closer I find myself getting more and more anxious.
I’m probably overthinking things, as I have a tendency to do, but I just want to express the fact that it’s kicking my ass and this seems as good a place as any.
If anyone has some funny things they wanna post to help me keep my mind off it, that’d be great, but mostly I just wanted to put it out there because I don’t really have anywhere else to offload.</t>
        </is>
      </c>
      <c r="D3170" t="n">
        <v>1</v>
      </c>
      <c r="E3170" t="n">
        <v>0</v>
      </c>
      <c r="F3170">
        <f>HYPERLINK("https://www.reddit.com/r/cancer/comments/c5nwxc/shing_myself_a_little_bit/")</f>
        <v/>
      </c>
      <c r="G3170" t="inlineStr">
        <is>
          <t>2019-06-26 02:56:04</t>
        </is>
      </c>
      <c r="H3170" t="inlineStr"/>
    </row>
    <row r="3171">
      <c r="A3171" t="inlineStr">
        <is>
          <t>c5pq6j</t>
        </is>
      </c>
      <c r="B3171" t="inlineStr">
        <is>
          <t>Question for people with a brain tumor</t>
        </is>
      </c>
      <c r="C3171" t="inlineStr">
        <is>
          <t>Do you feel like in a dream or are you aware of your breathing when you're in public and are you visible because of your breathing in public?</t>
        </is>
      </c>
      <c r="D3171" t="n">
        <v>0</v>
      </c>
      <c r="E3171" t="n">
        <v>2</v>
      </c>
      <c r="F3171">
        <f>HYPERLINK("https://www.reddit.com/r/cancer/comments/c5pq6j/question_for_people_with_a_brain_tumor/")</f>
        <v/>
      </c>
      <c r="G3171" t="inlineStr">
        <is>
          <t>2019-06-26 06:19:08</t>
        </is>
      </c>
      <c r="H3171" t="inlineStr"/>
    </row>
    <row r="3172">
      <c r="A3172" t="inlineStr">
        <is>
          <t>c5pxq8</t>
        </is>
      </c>
      <c r="B3172" t="inlineStr">
        <is>
          <t>Mom (49) died of multiple myleoma in March. Now I (27) can't stop being paranoid about developing cancer.</t>
        </is>
      </c>
      <c r="C3172" t="inlineStr">
        <is>
          <t>Hello, 
I'm posting for the first time. 
My mom passed away on 13th of March. It was a big shock, especially because she was ill for a long time and no one knew what was wrong with her. She started having vision problems, weird fog and spots in her eyes. The doctors were giving her pronison for these issues and she spent multiple weeks in hospitals having her eyes checked. This started in 2009. Since then she would (yearly) have very high fevers, over 40 degrees Celcius. This was very suspicious, because sometimes she would have them in the summertime and there wouldn't be any reason for such a high fever. Her family doctor dismissed this as a heat stroke. There were other times when she'd have a fever, but she would just wait it out and say "there's no use in going to the doctor". In general, her self-care interest was very low. Later I would find out why.
She had a troubling past and a huge gambling problem that she hid for years from everyone in the family. I found out about this gambling thing at the end of 2016 and since then wasn't able to look at her with the same eyes. I'm suspecting that this addiction made her dismiss self-care, since she always felt guilty and paranoid. She would lose huge amounts of money and then come home and lie down not talking about anything. I was assuming it was fatigue from work or something similar. Overall our relationship was strained because she would spend a lot of time hiding thins and not communicating, and this makes everything much harder for me. 
She lost both of her parents in a single day and was alone and pregnant with me while the war was raging in my country. My dad died from war-related injuries and she got admitted to a psychiatric hospital upon giving birth to me, I'm guessing from the shock of losing a husband and having a baby right after. 
Times were difficult for my mom. But she managed to make a decent person out of me. Everything good I know I learned from her. My love of music and art. My sense of fashion and love of plants and animals. So many precious things she taught me. I miss her so much every day and at first, when it happened, I cried only at the hospital when the doctors told me she died. Now I cry almost every day. The last days she spent in this world were a living hell. She was in so much pain and suffered like Jesus. It was worse because my family had to fight the doctors so they would admit her in a hospital. They wouldn't do it. I think it was because they knew she would die soon and they didn't want to be bothered. If you ask me how is it possible for doctors to ignore dying patients, let me just tell you that I live in a Balkan country, so it's not uncommon that doctors are pieces of shit. 
I'm trying not to blame anyone. My mom lived the last years of her life happy and surrounded by plants and animals and her sister. I just wish that our relationship was better. And I wish she hadn't suffered as much. She died a day after being diagnosed with multiple myeloma. The doctors say that her bones were hollow and she had metastases throughout the whole body. Her deterioration started at the beginning of February. Her kidneys gave in, then her digestive tracks and lungs and finally her heart stopped beating on the 13th of March. 
Besides being in mourning, I've become very scared and paranoid. Although I've been healthy my whole life, since this happened, I started thinking about my blood being sick and imagining the pain she went through happening to me. I don't want it, but I'm scared if I think about it too much it will really start happening to me. Sometimes I have back pain or sharp pain in my left breast and abdomen, but this goes away quickly. Sometimes stabbing pain in the lower opening of the digestive tract. These all go away instantly, but considering the whole situation, I started to think it's all signs of cancer. 
I'm really trying to lead a healthy life. I started going to the gym and quit smoking. I still smoke weed because it relaxes me but I wish to quit that as well since it's also not the healthiest thing on earth.
I made a plan to get my blood tested regularly and to pay attention to my body. I'm trying to take care of myself as much as I can but these thoughts don't help in any way.
I guess I just need reassurance that I don't have cancer and positive thoughts. 
Sorry for the long post, and to anyone going through the same thing, unfortunately - you're not alone.
&amp;amp;#x200B;
God bless</t>
        </is>
      </c>
      <c r="D3172" t="n">
        <v>34</v>
      </c>
      <c r="E3172" t="n">
        <v>11</v>
      </c>
      <c r="F3172">
        <f>HYPERLINK("https://www.reddit.com/r/cancer/comments/c5pxq8/mom_49_died_of_multiple_myleoma_in_march_now_i_27/")</f>
        <v/>
      </c>
      <c r="G3172" t="inlineStr">
        <is>
          <t>2019-06-26 06:39:09</t>
        </is>
      </c>
      <c r="H3172" t="inlineStr"/>
    </row>
    <row r="3173">
      <c r="A3173" t="inlineStr">
        <is>
          <t>c5qjg5</t>
        </is>
      </c>
      <c r="B3173" t="inlineStr">
        <is>
          <t>Post radiation dermatitis: Please share your experience and give some suggestions.</t>
        </is>
      </c>
      <c r="C3173" t="inlineStr">
        <is>
          <t>My father has undergone radiotherapy that has resulted in sore red wounds, withering of skin, moist inflammation, bleeding lips and unbearable pain around neck and mouth. Unfortunately he did not use any cream during radiotherapy. 
&amp;amp;#x200B;
He's started a course of mometasone furoate from today. Please share your experience. How much did it take you to heal? What to do for the pain? I want to mention that the weather is really hot here, it's humid and sweaty which is making it worse.</t>
        </is>
      </c>
      <c r="D3173" t="n">
        <v>4</v>
      </c>
      <c r="E3173" t="n">
        <v>2</v>
      </c>
      <c r="F3173">
        <f>HYPERLINK("https://www.reddit.com/r/cancer/comments/c5qjg5/post_radiation_dermatitis_please_share_your/")</f>
        <v/>
      </c>
      <c r="G3173" t="inlineStr">
        <is>
          <t>2019-06-26 07:33:03</t>
        </is>
      </c>
      <c r="H3173" t="inlineStr"/>
    </row>
    <row r="3174">
      <c r="A3174" t="inlineStr">
        <is>
          <t>c5rla7</t>
        </is>
      </c>
      <c r="B3174" t="inlineStr">
        <is>
          <t>Hospital ‘Case Manager’ Made Me Very Uncomfortable.</t>
        </is>
      </c>
      <c r="C3174" t="inlineStr">
        <is>
          <t>I’m 28, my dad was admitted to INOVA hospital with very low 02. After five days, we got his lungs drained. In that time, I was on the phone with MAYO, HOPKINS, and MSK...while on the phone, a hospital ‘case manager’ was eves dropping, and after I got off she tried to pick information from me.
She also tried to write down on my dad’s discharge notes that my dad should discontinue treatment - effectively telling our insurance company to no longer cover him, which luckily I caught and made our oncologist aware of. 
I’ve never felt more like I was dealing with a villain then with this disgusting woman...
“So you are trying to get your dad into Hopkins hunh?” And words like that. She came into our room multiple times unannounced and uninvited trying to fish for information from my delirious dad.
Fuck this woman. Anyone have experience with similar hospital ‘case managers’?</t>
        </is>
      </c>
      <c r="D3174" t="n">
        <v>12</v>
      </c>
      <c r="E3174" t="n">
        <v>6</v>
      </c>
      <c r="F3174">
        <f>HYPERLINK("https://www.reddit.com/r/cancer/comments/c5rla7/hospital_case_manager_made_me_very_uncomfortable/")</f>
        <v/>
      </c>
      <c r="G3174" t="inlineStr">
        <is>
          <t>2019-06-26 09:01:17</t>
        </is>
      </c>
      <c r="H3174" t="inlineStr"/>
    </row>
    <row r="3175">
      <c r="A3175" t="inlineStr">
        <is>
          <t>c5sbup</t>
        </is>
      </c>
      <c r="B3175" t="inlineStr">
        <is>
          <t>FIL Cancer Treatment</t>
        </is>
      </c>
      <c r="C3175" t="inlineStr">
        <is>
          <t>Father in law had cancer in prostate that metasized to bones, maybe in mouth now also.
They have him on hormone medicine and he has had some radiation for the bone pain.
Doctor wants him to do chemo but he won’t, saying he doesn’t believe in “western medicine” 
Isn’t that a bad idea?</t>
        </is>
      </c>
      <c r="D3175" t="n">
        <v>3</v>
      </c>
      <c r="E3175" t="n">
        <v>7</v>
      </c>
      <c r="F3175">
        <f>HYPERLINK("https://www.reddit.com/r/cancer/comments/c5sbup/fil_cancer_treatment/")</f>
        <v/>
      </c>
      <c r="G3175" t="inlineStr">
        <is>
          <t>2019-06-26 10:01:19</t>
        </is>
      </c>
      <c r="H3175" t="inlineStr"/>
    </row>
    <row r="3176">
      <c r="A3176" t="inlineStr">
        <is>
          <t>c5sir0</t>
        </is>
      </c>
      <c r="B3176" t="inlineStr">
        <is>
          <t>Post Cancer Treatment Fatigue</t>
        </is>
      </c>
      <c r="C3176" t="inlineStr">
        <is>
          <t>I am struggling. My latest CT scan showed some nodes, but really unchanged from previous months. According to my onc i am still in remission. However, i am post stem cell transplant and i just feel SO tired. Like i wake up in the morning and I am tired/fatigued. I can go the whole day without sleeping, but there is a mental/physical fatigue. I'd rather just be in bed napping, but i know that doing so does nothing to alleviate the fatigue.
Who else is experiencing this? My thyroid levels are ok. Test levels were low and are now being tested in more detail by an endocrinologist.</t>
        </is>
      </c>
      <c r="D3176" t="n">
        <v>13</v>
      </c>
      <c r="E3176" t="n">
        <v>6</v>
      </c>
      <c r="F3176">
        <f>HYPERLINK("https://www.reddit.com/r/cancer/comments/c5sir0/post_cancer_treatment_fatigue/")</f>
        <v/>
      </c>
      <c r="G3176" t="inlineStr">
        <is>
          <t>2019-06-26 10:15:53</t>
        </is>
      </c>
      <c r="H3176" t="inlineStr"/>
    </row>
    <row r="3177">
      <c r="A3177" t="inlineStr">
        <is>
          <t>c5syka</t>
        </is>
      </c>
      <c r="B3177" t="inlineStr">
        <is>
          <t>My (25M) girlfriend (24F) has osteosarcoma cancer and could use some advice on how to best go about this as the boyfriend.</t>
        </is>
      </c>
      <c r="C3177" t="inlineStr">
        <is>
          <t>My girlfriend has Osteosarcoma cancer in her knee. I met her after this had become her reality but to me, her cancer was not what defined her and never really thought about it. (Obviously I thought about it but not in a way where it was part of major discussions or anything. I just saw her and treated her as she was…a bad-ass girl with the best blue eyes I have ever seen who humbles me like no other.)
Long story short, I matched with her on a dating app, I wanted to meet her and asked her when I could take her out, she told me she had cancer, I said “Okay, so a week? A year? Just let me know when I’m taking you out.” Boy did she make me wait! She didn’t want to let me see her for she was about to go through chemo and she had a bar in her leg because of the surgery on her knee. And again, why would she? I was just a random guy on a dating app. However, her and I got to talking A LOT. And within that week, we spiced things up and started talking on the phone hours each day. . .for 6 months. Within these 6 months, we became really close, let each other in on our lives, and became “pen pals”, if you will. Also, during these 6 months, she did it – she beat cancer and was finally done with the 1+ year of struggles and shit she had been dealing with.
She finally let me take her out and ever since that first date, we have been inseparable. She is my best friend, my absolute joy and love. We have been together now for quite some time now and it’s only getting better. This is going to be my wife one day very soon ;)
Now, after a routine check up and x-ray, they found a “bone build up” on her soft tissue near her knee. They ran a PET scan yesterday and informed her that it will most likely flash as cancer. They don’t think it will be cancer (because it did not look as such per the x-ray) but they just set the expectation that it would flash and a biopsy will most likely be needed. Another surgery will be needed as well to remove the mass regardless. This causes additional worry due to the higher risk of infection to the prosthesis. 
She is not a negative person, but realistic. She doesn’t want good vibes or prayers sent her way. She is just so anxious and frustrated right now because she thought she was done with this shit storm. But it’s potentially back…What can I say or do? Does anyone have a similar experience? I don’t know if I am asking for help or need advice with anything specific, but I just feel helpless.
Thanks in advance y’all…</t>
        </is>
      </c>
      <c r="D3177" t="n">
        <v>5</v>
      </c>
      <c r="E3177" t="n">
        <v>6</v>
      </c>
      <c r="F3177">
        <f>HYPERLINK("https://www.reddit.com/r/cancer/comments/c5syka/my_25m_girlfriend_24f_has_osteosarcoma_cancer_and/")</f>
        <v/>
      </c>
      <c r="G3177" t="inlineStr">
        <is>
          <t>2019-06-26 10:48:56</t>
        </is>
      </c>
      <c r="H3177" t="inlineStr"/>
    </row>
    <row r="3178">
      <c r="A3178" t="inlineStr">
        <is>
          <t>c5vgiy</t>
        </is>
      </c>
      <c r="B3178" t="inlineStr">
        <is>
          <t>My colleague is dying of liver cancer</t>
        </is>
      </c>
      <c r="C3178" t="inlineStr">
        <is>
          <t>http://I started working at this company after university graduation last year in October. I do embedded developement he dies both embedded and App fir Android. He is wheelchair bound for all of his life but he is the funniest person in that company. He is my favourite colleague at work. He is funny and a real character. He is one of the three people in our company that smokes including me (2 of us vape, he still uses pyros (Tobacco cigarettes)) and we go to the smoking breaks together which is where we ralk about eveything. Addditionally he is also seated next to me in a 3 person bureau space and we work closely together with the App and embedded developement. It is a joy to work together with him.
Now we know he has a stage 3 or 4 liver cancer. 11 cm in diameter. The liver vessel is attacked. He is still optimistic but I am not. I know he will die this year rather than next. I already am over the crying phase. I see him as family. I already cried and cried and tried to cope with drugs and alcohol. I think I am over this stage now.
Now I am focused on making his last days enjoyable but because he still has unrealistic views he does not want to do it. I am afraif when he realizes its too late.
Thanks for following me until now. I don't e en know what I want. I guess I just wanted to type it out.
Tl;dr one of my fu niest and best friends and a beacon of life quality for myself is dying. It's unfair. I miss him already at work.</t>
        </is>
      </c>
      <c r="D3178" t="n">
        <v>12</v>
      </c>
      <c r="E3178" t="n">
        <v>3</v>
      </c>
      <c r="F3178">
        <f>HYPERLINK("https://www.reddit.com/r/cancer/comments/c5vgiy/my_colleague_is_dying_of_liver_cancer/")</f>
        <v/>
      </c>
      <c r="G3178" t="inlineStr">
        <is>
          <t>2019-06-26 13:35:01</t>
        </is>
      </c>
      <c r="H3178" t="inlineStr"/>
    </row>
    <row r="3179">
      <c r="A3179" t="inlineStr">
        <is>
          <t>c5w4wp</t>
        </is>
      </c>
      <c r="B3179" t="inlineStr">
        <is>
          <t>Pet scan</t>
        </is>
      </c>
      <c r="C3179" t="inlineStr">
        <is>
          <t>Hello everyone! I got some good news today and wanted to share the joy.
I got my first diagnostic pet scan before treatment begins, and because I have 2 necrotic lymph nodes along with my lime size tumor we were all expecting it to have spread. (Stage 3 cervical)
But it hasn't!! It's confined to the pelvis!! 🎉🎉🎉</t>
        </is>
      </c>
      <c r="D3179" t="n">
        <v>90</v>
      </c>
      <c r="E3179" t="n">
        <v>32</v>
      </c>
      <c r="F3179">
        <f>HYPERLINK("https://www.reddit.com/r/cancer/comments/c5w4wp/pet_scan/")</f>
        <v/>
      </c>
      <c r="G3179" t="inlineStr">
        <is>
          <t>2019-06-26 14:20:42</t>
        </is>
      </c>
      <c r="H3179" t="inlineStr"/>
    </row>
    <row r="3180">
      <c r="A3180" t="inlineStr">
        <is>
          <t>c5wgv9</t>
        </is>
      </c>
      <c r="B3180" t="inlineStr">
        <is>
          <t>Bump near my groin but now it's gone, is it a swollen lymph node?</t>
        </is>
      </c>
      <c r="C3180" t="inlineStr">
        <is>
          <t>Just to preface, I finished chemotherapy for Burkitt's Lymphoma in March. Things have been pretty okay since then, and I was declared in remission since February. This morning though I woke up to a pretty sizable bump near my groin. I freaked out thinking it was a swollen lymph node, but after poking it for a bit it seemed to just... disappear? I know lymph nodes aren't very moveable and would probably stay in place if they're swollen, so was this a swollen lymph node or something else?
I'd go see my doctor/oncologist, but i'm without insurance for the time being and a visit would be very expensive. I'll go obviously if there's an emergency or if I have a swollen node that doesn't end up going away so easily, should I go over this even though I can't feel it anymore?</t>
        </is>
      </c>
      <c r="D3180" t="n">
        <v>7</v>
      </c>
      <c r="E3180" t="n">
        <v>5</v>
      </c>
      <c r="F3180">
        <f>HYPERLINK("https://www.reddit.com/r/cancer/comments/c5wgv9/bump_near_my_groin_but_now_its_gone_is_it_a/")</f>
        <v/>
      </c>
      <c r="G3180" t="inlineStr">
        <is>
          <t>2019-06-26 14:44:13</t>
        </is>
      </c>
      <c r="H3180" t="inlineStr"/>
    </row>
    <row r="3181">
      <c r="A3181" t="inlineStr">
        <is>
          <t>c5z748</t>
        </is>
      </c>
      <c r="B3181" t="inlineStr">
        <is>
          <t>I have prostate cancer</t>
        </is>
      </c>
      <c r="C3181" t="inlineStr">
        <is>
          <t>I was diagnosed with prostate cancer in 2015  the tests came back as non aggressive slow growing  it’s been 3.5 years since I went to the urologist because of no insurance now I’m on medicare so I went to see the urologist last week had a biopsy done waiting for the results. Why does the biopsy have me more rattled then the when I learned I had prostate cancers? Last night I dreamt the cancer was stage 4 and spread I went on hospice and was getting my stuff in order waiting to die. I don’t really have someone to talk to I live alone and don’t wait to put this on anyone so I suffer in silence. All I can do is wait until next week and see the results hopefully it hasn’t changed and it’s still nonaggression.</t>
        </is>
      </c>
      <c r="D3181" t="n">
        <v>14</v>
      </c>
      <c r="E3181" t="n">
        <v>10</v>
      </c>
      <c r="F3181">
        <f>HYPERLINK("https://www.reddit.com/r/cancer/comments/c5z748/i_have_prostate_cancer/")</f>
        <v/>
      </c>
      <c r="G3181" t="inlineStr">
        <is>
          <t>2019-06-26 18:31:07</t>
        </is>
      </c>
      <c r="H3181" t="inlineStr"/>
    </row>
    <row r="3182">
      <c r="A3182" t="inlineStr">
        <is>
          <t>c5ze1u</t>
        </is>
      </c>
      <c r="B3182" t="inlineStr">
        <is>
          <t>Are pain numbing mouthwashes safe to use for mouth sores from radiation?</t>
        </is>
      </c>
      <c r="C3182" t="inlineStr">
        <is>
          <t>Tantum verde is one pain killer mouthwash. My father has undergone surgery for Buccal carcinoma alongwith reconstruction by plastic surgery. After radiation his mouth is filled with sores. Are pain numbing mouthwashes safe to use after reconstruction surgery?</t>
        </is>
      </c>
      <c r="D3182" t="n">
        <v>7</v>
      </c>
      <c r="E3182" t="n">
        <v>22</v>
      </c>
      <c r="F3182">
        <f>HYPERLINK("https://www.reddit.com/r/cancer/comments/c5ze1u/are_pain_numbing_mouthwashes_safe_to_use_for/")</f>
        <v/>
      </c>
      <c r="G3182" t="inlineStr">
        <is>
          <t>2019-06-26 18:48:59</t>
        </is>
      </c>
      <c r="H3182" t="inlineStr"/>
    </row>
    <row r="3183">
      <c r="A3183" t="inlineStr">
        <is>
          <t>c5zp33</t>
        </is>
      </c>
      <c r="B3183" t="inlineStr">
        <is>
          <t>Osteosarcoma Leg Amputation</t>
        </is>
      </c>
      <c r="C3183" t="inlineStr">
        <is>
          <t>Hey! I just wanted to give an update on my last post about amputation! I’m finally home and things have been hard with all the stretches and walking with a prosthesis but overall things have been great and my cancer is gone! Only 5 more months of chemo until I can resume my normal life!!</t>
        </is>
      </c>
      <c r="D3183" t="n">
        <v>79</v>
      </c>
      <c r="E3183" t="n">
        <v>20</v>
      </c>
      <c r="F3183">
        <f>HYPERLINK("https://www.reddit.com/r/cancer/comments/c5zp33/osteosarcoma_leg_amputation/")</f>
        <v/>
      </c>
      <c r="G3183" t="inlineStr">
        <is>
          <t>2019-06-26 19:18:06</t>
        </is>
      </c>
      <c r="H3183" t="inlineStr"/>
    </row>
    <row r="3184">
      <c r="A3184" t="inlineStr">
        <is>
          <t>c5zw34</t>
        </is>
      </c>
      <c r="B3184" t="inlineStr">
        <is>
          <t>I got my halfway point of chemo PER scan results today.</t>
        </is>
      </c>
      <c r="C3184" t="inlineStr">
        <is>
          <t>I had the first dose of cycle three (of four) today. I was sitting at home feeling like shit when my oncologist called with last weeks PET scan result. 
It shows zero signs of cancer. 
Dude. 
I’m not even sure how to feel. 
I’m insanely happy! At the same time I feel bad that I have such an easy fix when so many of you don’t. 
Over all though I am happy. Happy that my odds of seeing grandchildren (in at least 15 years if my boy is smart) have gone way up! Happy that even if I have three more treatments left and all the fun that the side effects bring, they are no longer to fight the thing trying to kill me but rather mopping up the remnants of a battle in the winning.</t>
        </is>
      </c>
      <c r="D3184" t="n">
        <v>30</v>
      </c>
      <c r="E3184" t="n">
        <v>6</v>
      </c>
      <c r="F3184">
        <f>HYPERLINK("https://www.reddit.com/r/cancer/comments/c5zw34/i_got_my_halfway_point_of_chemo_per_scan_results/")</f>
        <v/>
      </c>
      <c r="G3184" t="inlineStr">
        <is>
          <t>2019-06-26 19:37:07</t>
        </is>
      </c>
      <c r="H3184" t="inlineStr"/>
    </row>
    <row r="3185">
      <c r="A3185" t="inlineStr">
        <is>
          <t>c60he8</t>
        </is>
      </c>
      <c r="B3185" t="inlineStr">
        <is>
          <t>Hats with hair</t>
        </is>
      </c>
      <c r="C3185" t="inlineStr">
        <is>
          <t>Hey Ya'll!
&amp;amp;#x200B;
My 90-year-old grandmother was diagnosed with lymphoma one month ago. She is in great shape for 90, previously hit the gym three times a week. She is currently undergoing a 6-month treatment plan. She's really tired and fatigued, but she is really taking the treatment very well. This week, her hair has really started to come loose. She has expressed interest in finding a hat with built-in hair (short hair) as opposed to a wig. She really wants a bucket hat with built-in short blond hair. When I consulted google, I came across [headcovers.com](https://headcovers.com) and [tlcdirect.org](https://tlcdirect.org). These products are great, however, I can't find a bucket hat with the built-in hair. I am wondering if anyone on this sub has found a hat/wig combination or an all-in-one product like the one I am describing. I appreciate any and all feedback.</t>
        </is>
      </c>
      <c r="D3185" t="n">
        <v>1</v>
      </c>
      <c r="E3185" t="n">
        <v>0</v>
      </c>
      <c r="F3185">
        <f>HYPERLINK("https://www.reddit.com/r/cancer/comments/c60he8/hats_with_hair/")</f>
        <v/>
      </c>
      <c r="G3185" t="inlineStr">
        <is>
          <t>2019-06-26 20:35:00</t>
        </is>
      </c>
      <c r="H3185" t="inlineStr"/>
    </row>
    <row r="3186">
      <c r="A3186" t="inlineStr">
        <is>
          <t>c60imd</t>
        </is>
      </c>
      <c r="B3186" t="inlineStr">
        <is>
          <t>Really need your opinions on this..</t>
        </is>
      </c>
      <c r="C3186" t="inlineStr">
        <is>
          <t>I had cervical cancer. Finished chemo and rads in August. All scans and exams have been good since.  But! In April, I noticed a lump in my neck, just behind my chin, about the size of a nickel.  It didn’t move unless I swallowed. Painless.  Still it worried me because you all know, after having cancer that’s the fear we live with. Well, after a primary care dr visit I did two rounds of antibiotics. No change. 
Finally had an ultrasound about a month later. The report said there was a mass both solid and cystic.  Recommended CT w/ contrast. Had that done several weeks later. (Insurance jacked me around) well. The cat scan report stated the mass had resolved but could have been missed due to the nature of the scan. Slices - it could have missed the mass. Between the U/S and the CT scan, my partner and I were wrestling around being silly and my neck caught her shoulder and I swear it felt like glass breaking looks. It didn’t hurt but something happened. 
The thing started going away. Now, there’s a very small hard area. I can feel it. Drs feel it so they said go to ENT. I did.  He felt it. Then said wait to see if it gets bigger. He thinks I popped it and it will be fine now. Said probably a thyroglossal duct cyst. I told him I wanna scared because cancer and he says- he cancer you had and throat cancer aren’t the same at all. He said the cervix is too far away from the throat for this to be cancer. Is he wrong? I think he is wrong! 
Maybe this isn’t cancer (hopefully) but squamous cell carcinoma can and does happen in throats! Also, I had perineural invasion so what the hell? He made me feel like I was dumb. I wanted to say well, you’re not an oncologist but I just said aww thanks and went on with the appt.  he never even looked into my throat.  
So, do you guys think he is wrong? I’m so upset over this! 
I’m glad they don’t think it’s cancer!</t>
        </is>
      </c>
      <c r="D3186" t="n">
        <v>3</v>
      </c>
      <c r="E3186" t="n">
        <v>8</v>
      </c>
      <c r="F3186">
        <f>HYPERLINK("https://www.reddit.com/r/cancer/comments/c60imd/really_need_your_opinions_on_this/")</f>
        <v/>
      </c>
      <c r="G3186" t="inlineStr">
        <is>
          <t>2019-06-26 20:38:16</t>
        </is>
      </c>
      <c r="H3186" t="inlineStr"/>
    </row>
    <row r="3187">
      <c r="A3187" t="inlineStr">
        <is>
          <t>c61ca5</t>
        </is>
      </c>
      <c r="B3187" t="inlineStr">
        <is>
          <t>Terrified of colon cancer</t>
        </is>
      </c>
      <c r="C3187" t="inlineStr">
        <is>
          <t>I’m a 20 year-old male. No history of colon cancer in my family.
It started with pinching pain during bowl movements and blood on the toilet paper. Tested positive on a fecal occult chemical reaction test. The GI ordered a flexible sigmoidoscopy a week later. Between the time I first met him and the time I got the flex sig, extremely bizarre things started to happen. The blood on the toilet paper and the pain seemed to vanish, but I started getting mild stomach cramps and had tenesmus on one or two occasions. The cramps are still mild and happen intermittently. 
He did the flex sig and it showed nothing except a hemorrhoid and a fissure, which he believes are responsible for the bleeding. I’m still worried I have colon cancer on my right side, where the flex sig can’t reach. I badly want a colonoscopy but I’m unsure he’d approve it given how young I am.
Should I be worried?</t>
        </is>
      </c>
      <c r="D3187" t="n">
        <v>0</v>
      </c>
      <c r="E3187" t="n">
        <v>1</v>
      </c>
      <c r="F3187">
        <f>HYPERLINK("https://www.reddit.com/r/cancer/comments/c61ca5/terrified_of_colon_cancer/")</f>
        <v/>
      </c>
      <c r="G3187" t="inlineStr">
        <is>
          <t>2019-06-26 22:06:51</t>
        </is>
      </c>
      <c r="H3187" t="inlineStr"/>
    </row>
    <row r="3188">
      <c r="A3188" t="inlineStr">
        <is>
          <t>c62sga</t>
        </is>
      </c>
      <c r="B3188" t="inlineStr">
        <is>
          <t>To Those Who Have Tried Everything</t>
        </is>
      </c>
      <c r="C3188" t="inlineStr">
        <is>
          <t>Guys, I'll admit I am not a professional of any means but, I have to share this with you guys just for the chance that it might help someone. Many friends and people who have cancer tried everything. But, the thing that seemed to work for most was Dog Dewormer. Now, I know I might seem crazy but, I believe this actually can cure cancer. I don't fully know the procedure to go about this treatment/cure but, there are countless stories online. So if you have tried everything and nothing seems to work PLEASE TRY THIS. I can't guarantee anything but, if it helps at least one person then I will be satisfied. I believe the real cure for cancer has existed for many years, it just has been kept hidden for corporate gains and purely for money. If this works for anyone feel free to come back here and share your story. I wish all of you luck, get well soon.</t>
        </is>
      </c>
      <c r="D3188" t="n">
        <v>0</v>
      </c>
      <c r="E3188" t="n">
        <v>0</v>
      </c>
      <c r="F3188">
        <f>HYPERLINK("https://www.reddit.com/r/cancer/comments/c62sga/to_those_who_have_tried_everything/")</f>
        <v/>
      </c>
      <c r="G3188" t="inlineStr">
        <is>
          <t>2019-06-27 01:02:24</t>
        </is>
      </c>
      <c r="H3188" t="inlineStr"/>
    </row>
    <row r="3189">
      <c r="A3189" t="inlineStr">
        <is>
          <t>c63otr</t>
        </is>
      </c>
      <c r="B3189" t="inlineStr">
        <is>
          <t>Found out I have lymphoma yesterday but have to wait three weeks to find out more</t>
        </is>
      </c>
      <c r="C3189" t="inlineStr">
        <is>
          <t>My surgery is next week so that they can find out what type of lymphoma and what my treatment plan is a couple of weeks after that so about 3 weeks total.
I feel sick and can't take my mind off it. I just want to carry on as normal but I keep googling shit and reading stuff I shouldn't be. I have severe anxiety as it is and I'm just going out of control. Just want to the treatment going now. 
Ironic that out of all the things he told me I'd need next I feel physically sick about the bone marrow biopsy the most. Even more than the chemo!</t>
        </is>
      </c>
      <c r="D3189" t="n">
        <v>6</v>
      </c>
      <c r="E3189" t="n">
        <v>6</v>
      </c>
      <c r="F3189">
        <f>HYPERLINK("https://www.reddit.com/r/cancer/comments/c63otr/found_out_i_have_lymphoma_yesterday_but_have_to/")</f>
        <v/>
      </c>
      <c r="G3189" t="inlineStr">
        <is>
          <t>2019-06-27 03:04:22</t>
        </is>
      </c>
      <c r="H3189" t="inlineStr"/>
    </row>
    <row r="3190">
      <c r="A3190" t="inlineStr">
        <is>
          <t>c644sn</t>
        </is>
      </c>
      <c r="B3190" t="inlineStr">
        <is>
          <t>Working during chemo (for Hodgkin's) - did you do it and would you recommend it?</t>
        </is>
      </c>
      <c r="C3190" t="inlineStr">
        <is>
          <t>I just got diagnosed with Hodgkin's yesterday and am now waiting for staging tests over the next few days before my chemo regimen is decided.
I've been told that working during treatment is a possibility at adjusted hours but this depends on how bad it has spread and how intense the treatment is. My hours would be reduced, understandably. 
This would be ideal for me because this way I can still afford to pay rent and avoid having to move interstate to live with my parents halfway through treatment. I was thinking of something like mon-weds work, Thursday and Friday off for chemo/recovery 
But I wonder if I'm overestimating what I'll be capable of once the chemo starts and as treatment accumulates.
So I'm just wondering - what were your experiences like working or not working during chemo? Did you regret your choice or would you recommend it?</t>
        </is>
      </c>
      <c r="D3190" t="n">
        <v>9</v>
      </c>
      <c r="E3190" t="n">
        <v>28</v>
      </c>
      <c r="F3190">
        <f>HYPERLINK("https://www.reddit.com/r/cancer/comments/c644sn/working_during_chemo_for_hodgkins_did_you_do_it/")</f>
        <v/>
      </c>
      <c r="G3190" t="inlineStr">
        <is>
          <t>2019-06-27 04:00:16</t>
        </is>
      </c>
      <c r="H3190" t="inlineStr"/>
    </row>
    <row r="3191">
      <c r="A3191" t="inlineStr">
        <is>
          <t>c64i45</t>
        </is>
      </c>
      <c r="B3191" t="inlineStr">
        <is>
          <t>Perianal New Mole Biopsy, anyone else?</t>
        </is>
      </c>
      <c r="C3191" t="inlineStr">
        <is>
          <t>I haven’t found anything positive let alone much about this anywhere else.
I discovered a new dime sized flat black mole on the outer rim of my anus. Pointed out to Obgyn at my annual and she was very uncomfortable and said to show my dermatologist (all of these spots fall in June for me) later that day.
She also was not ok with it, and scheduled a biopsy for July. The reason it’s out so far is that I just started experiencing a yeast infection and she wants that cleaned up because it’s a precarious af spot.
So, everyone’s faces said a lot that day, the internet does not have any instances of “jk it’s not melanoma of your actual anus”, and I am dreading everything. 
My sister had a melanoma removed off of her leg in 2013 and since then I have had 30 + dysplastic nevi removed.
I’m just looking to find out if anyone has ever been through this and it was not melanoma. 
Or if it was for you, what did your treatment look like?
Also, biopsy of the anal region, how much am I going to hate life that day?
Context: 34, f, had precancerous cells removed from cervix and lady bits in 2008. 
Currently in the diagnostic process for scleroderma (Cleveland clinic appt the following week after biopsy).</t>
        </is>
      </c>
      <c r="D3191" t="n">
        <v>3</v>
      </c>
      <c r="E3191" t="n">
        <v>0</v>
      </c>
      <c r="F3191">
        <f>HYPERLINK("https://www.reddit.com/r/cancer/comments/c64i45/perianal_new_mole_biopsy_anyone_else/")</f>
        <v/>
      </c>
      <c r="G3191" t="inlineStr">
        <is>
          <t>2019-06-27 04:42:46</t>
        </is>
      </c>
      <c r="H3191" t="inlineStr"/>
    </row>
    <row r="3192">
      <c r="A3192" t="inlineStr">
        <is>
          <t>c64i8g</t>
        </is>
      </c>
      <c r="B3192" t="inlineStr">
        <is>
          <t>Mastectomy and feeling alone.</t>
        </is>
      </c>
      <c r="C3192" t="inlineStr">
        <is>
          <t>Sorry if this is the wrong place I am just lost and hurt and confused.  First I do not have cancer but I have the mutated gene PALB2.  I have gone to the Dr's and because my sister just dying from breast cancer,my other sister just finding something on her mammogram and other family history they feel this is the best option for me.  
So far I have had a few appointments but the biggest one was just a few days ago and my husband was suppose to go with me.  Well come time and he would not wake up to go with me so I had to go alone.  I have another appointment coming up on July 1st and he was suppose to go with me, he just said he has to much to do around the house so guess what nope can't go and I get to go alone again.  I just also go my date for the surgery and he can't even be bothered to take the day off work to go with me.
I am so hurt and scared and he does not seem to care.  I don't get what is going on with him.  He just seems to not care or I don't even know.  I have my two nieces that are going to go with me to the surgery so that is at least good and I won't feel so alone I guess.  
I guess I just wish he made it seem like he is supportive or gave a crap about how I feel or what is going on in my head or body. 
Thank you for listening I just don't know where to turn.</t>
        </is>
      </c>
      <c r="D3192" t="n">
        <v>14</v>
      </c>
      <c r="E3192" t="n">
        <v>32</v>
      </c>
      <c r="F3192">
        <f>HYPERLINK("https://www.reddit.com/r/cancer/comments/c64i8g/mastectomy_and_feeling_alone/")</f>
        <v/>
      </c>
      <c r="G3192" t="inlineStr">
        <is>
          <t>2019-06-27 04:43:12</t>
        </is>
      </c>
      <c r="H3192" t="inlineStr"/>
    </row>
    <row r="3193">
      <c r="A3193" t="inlineStr">
        <is>
          <t>c64rdq</t>
        </is>
      </c>
      <c r="B3193" t="inlineStr">
        <is>
          <t>Diagnosis for Cholangiocarcinoma is taking forever</t>
        </is>
      </c>
      <c r="C3193" t="inlineStr">
        <is>
          <t>My wife has bile duct cancer. Two ERCPs and one laparoscopic surgery and still no definitive pathology on a cancer that everyone thinks is Cholangiocarcinoma (Klatskin tumor). The tumor has been too hard (literally) to sample by fine needle biopsy and the slice taken laparoscopically from the outside shows no cancer. The lymph nodes sampled laparoscopically were just blobs of fat and not lymph nodes, so we don’t even have info on whether it has spread yet. Have to have an open surgery to biopsy the tumor, and we are scared about how long it has taken just to get a diagnosis. This seems crazy to us: is this has it’s supposed to go?</t>
        </is>
      </c>
      <c r="D3193" t="n">
        <v>6</v>
      </c>
      <c r="E3193" t="n">
        <v>10</v>
      </c>
      <c r="F3193">
        <f>HYPERLINK("https://www.reddit.com/r/cancer/comments/c64rdq/diagnosis_for_cholangiocarcinoma_is_taking_forever/")</f>
        <v/>
      </c>
      <c r="G3193" t="inlineStr">
        <is>
          <t>2019-06-27 05:11:32</t>
        </is>
      </c>
      <c r="H3193" t="inlineStr"/>
    </row>
    <row r="3194">
      <c r="A3194" t="inlineStr">
        <is>
          <t>c657u0</t>
        </is>
      </c>
      <c r="B3194" t="inlineStr">
        <is>
          <t>Mouthwash update: father is insisting on using tantum mouthwash that has ethanol for post radiation mouth sores.</t>
        </is>
      </c>
      <c r="C3194" t="inlineStr">
        <is>
          <t>Earlier I’d asked about the use of tantum mouthwash to relieve oral sores from radiation therapy. I was advised not to use tantum because it contains ethanol but by that time I had already purchased it and my father had used 10 ml diluted solution. Reported mild relief on the tongue. He didn’t drink it so the sore in the throat continued. After consulting its contents here, I hid the mouthwash becaue ethanol is an aggressor but my father came back asking for more. 
Now I’m in a conflict. On one hand his doctor has not prescribed any pain killer or medicine no nothing but an anti bacterial mouthwash. He has asked him to let it heal naturally and not use anything. We don’t live in America so magic mouthwash is also not accessible. 
On the other hand my father was in severe pain. I’ve forced him to consult his doctor but he says that he’ll stop him from using tantum and he wants some relief. 
It was my idea to get this mouthwash from the research I’d done on internet. My father is getting some relief on his tongue. It contains benzydamine hydrocholride BP 0.14% and ethanol IP 10%. Some of you suggested that ethanol is dangerous. I’m scared if I’ve exposed him to any danger? He didn’t drink alcohol, didn’t smoke or anything before treatment. His cancer was probably a result of prolonged ulcer that didn’t heal due to diabetes. What do I do now? How do I deny if he asks for more mouthwash? I cannot find any other substitute. Please suggest anything if you know. He’s already using baking soda water.</t>
        </is>
      </c>
      <c r="D3194" t="n">
        <v>17</v>
      </c>
      <c r="E3194" t="n">
        <v>14</v>
      </c>
      <c r="F3194">
        <f>HYPERLINK("https://www.reddit.com/r/cancer/comments/c657u0/mouthwash_update_father_is_insisting_on_using/")</f>
        <v/>
      </c>
      <c r="G3194" t="inlineStr">
        <is>
          <t>2019-06-27 05:59:02</t>
        </is>
      </c>
      <c r="H3194" t="inlineStr"/>
    </row>
    <row r="3195">
      <c r="A3195" t="inlineStr">
        <is>
          <t>c658xq</t>
        </is>
      </c>
      <c r="B3195" t="inlineStr">
        <is>
          <t>Going in for fourth round of carbo today.</t>
        </is>
      </c>
      <c r="C3195" t="inlineStr">
        <is>
          <t>I hate chemo days. I have cervical cancer and it’s only stage one. Yay me. I hate this though. So much. I hate giving them my arm and knowing what they’re putting into me is making me feel like shit. And I feel bad for complaining. I’m sick and flu like for the weekend and then I’m back to normal by Monday afternoon. I feel like a bitch. I know this is to help me and everything but it’s so hard when I didn’t feel sick before I was Diagnosed. I have it so much easier than most and I’m just scared every time I go in there something bad is gonna happen. I hate it. I hate this. I’m scared all the time. And now I’m rambling. I just needed to get it out.</t>
        </is>
      </c>
      <c r="D3195" t="n">
        <v>3</v>
      </c>
      <c r="E3195" t="n">
        <v>8</v>
      </c>
      <c r="F3195">
        <f>HYPERLINK("https://www.reddit.com/r/cancer/comments/c658xq/going_in_for_fourth_round_of_carbo_today/")</f>
        <v/>
      </c>
      <c r="G3195" t="inlineStr">
        <is>
          <t>2019-06-27 06:02:04</t>
        </is>
      </c>
      <c r="H3195" t="inlineStr"/>
    </row>
    <row r="3196">
      <c r="A3196" t="inlineStr">
        <is>
          <t>c66zee</t>
        </is>
      </c>
      <c r="B3196" t="inlineStr">
        <is>
          <t>Chances of relapse in buccal carcinoma? Can somebody give me some hope?</t>
        </is>
      </c>
      <c r="C3196" t="inlineStr">
        <is>
          <t>My father was diagnosed with buccal carcinoma in first stage. It escalated to second stage in around one week. His surgery was done, 32 lymph nodes removed, reconstructed with plastic surgery and radiotherapy done too. Now he's dealing with the aftermath of radiation that includes skin burns, mouth sores. 
I want to know what are the chances of relapse in such condition? Please share your experience, if it relapsed for you, if you're free? Please please</t>
        </is>
      </c>
      <c r="D3196" t="n">
        <v>11</v>
      </c>
      <c r="E3196" t="n">
        <v>2</v>
      </c>
      <c r="F3196">
        <f>HYPERLINK("https://www.reddit.com/r/cancer/comments/c66zee/chances_of_relapse_in_buccal_carcinoma_can/")</f>
        <v/>
      </c>
      <c r="G3196" t="inlineStr">
        <is>
          <t>2019-06-27 08:35:40</t>
        </is>
      </c>
      <c r="H3196" t="inlineStr"/>
    </row>
    <row r="3197">
      <c r="A3197" t="inlineStr">
        <is>
          <t>c67959</t>
        </is>
      </c>
      <c r="B3197" t="inlineStr">
        <is>
          <t>Ostopenia</t>
        </is>
      </c>
      <c r="C3197" t="inlineStr">
        <is>
          <t>Male 37 in remission from AML had BMT now with GVHD of Skin/Eyes/Lungs so far.
Lumbar spine degeneration was detected during a chest CT so I inquired about other possible bone damage from the treatment which was 3 rounds of chemo and 7 months or so of prednisone when GVHD was detected so I was given a DEXA scan and the diagnosis of ostopenia was given yesterday.
I'm sure some of us here have it.  The said take vitamins and we'll check in 2 years if you're still alive basically.
My report is this.  Can someone tell me what this means?  And if what the internet says is true, you can't fix this, but just stop the damage where it is?
LUMBAR SPINE:
The bone mineral density averaged over the levels L1, L2, L3, L4 is 0.89 gm/cm2, which is 82% of a peak reference population and 82% of age-matched controls. This value results in a T-Score of (-1.8) and a Z-score of -1.8. Scoliosis is noted.
LEFT HIP:
The bone mineral density of the Left Hip is 0.82 gm/cm2, which is 79% of a peak reference population and 81% of age-matched controls. This value results in a T-Score of (-1.4) and a Z-score of -1.3.
LEFT FEMORAL NECK:
The bone mineral density of the Left femoral neck is 0.66 gm/cm2, which is 71% of a peak reference population and 76% of age-matched controls. This value results in a T-Score of (-2.0) and a Z-score of -1.5.
IMPRESSION:
Lumbar Spine: Osteopenia (T-Score -1.8)
Left Hip: Osteopenia (T-Score -1.4)
Left Femoral Neck: Osteopenia (T-Score -2.0)</t>
        </is>
      </c>
      <c r="D3197" t="n">
        <v>3</v>
      </c>
      <c r="E3197" t="n">
        <v>15</v>
      </c>
      <c r="F3197">
        <f>HYPERLINK("https://www.reddit.com/r/cancer/comments/c67959/ostopenia/")</f>
        <v/>
      </c>
      <c r="G3197" t="inlineStr">
        <is>
          <t>2019-06-27 08:58:07</t>
        </is>
      </c>
      <c r="H3197" t="inlineStr"/>
    </row>
    <row r="3198">
      <c r="A3198" t="inlineStr">
        <is>
          <t>c68li7</t>
        </is>
      </c>
      <c r="B3198" t="inlineStr">
        <is>
          <t>Is there anything I can do for my mother?</t>
        </is>
      </c>
      <c r="C3198" t="inlineStr">
        <is>
          <t>I’m not sure if this is the right place to post this, so I apologize if it isn’t. My mother is starting to lose her hair and I know that’s what’s bugging her the most. Is there anything I can do for her? I live about 30-45 minutes away depending on traffic but I can’t visit as much as I’d like. I crochet and offered to make her a hat, but it’s the middle of summer. It’s really more of a “just in case” chemotherapy, if that makes sense, so she isn’t on her deathbed or anything (God forbid). Any advice would be great.</t>
        </is>
      </c>
      <c r="D3198" t="n">
        <v>3</v>
      </c>
      <c r="E3198" t="n">
        <v>15</v>
      </c>
      <c r="F3198">
        <f>HYPERLINK("https://www.reddit.com/r/cancer/comments/c68li7/is_there_anything_i_can_do_for_my_mother/")</f>
        <v/>
      </c>
      <c r="G3198" t="inlineStr">
        <is>
          <t>2019-06-27 10:47:31</t>
        </is>
      </c>
      <c r="H3198" t="inlineStr"/>
    </row>
    <row r="3199">
      <c r="A3199" t="inlineStr">
        <is>
          <t>c69kxc</t>
        </is>
      </c>
      <c r="B3199" t="inlineStr">
        <is>
          <t>Glioblastoma in my Grandmother - What should I expect</t>
        </is>
      </c>
      <c r="C3199" t="inlineStr">
        <is>
          <t>Just over a week ago an MRI revealed a brain tumor in my grandmother (77 yrs old). Now, it isn't diagnosed by her neurgosurgeon and my family are all but certain that she has a glioblastoma, due to the rapid rate in which she's declined. Last week she was foggy, but normal, and as of yesterday she could barely walk or see, it's been really tough to watch. As of right now she's going into the hospital again, as her primary care physician is worried that the tumor is causing her brain to swell too much, and she might have her craniotomy early to relieve the swelling. For those with people who have experience with glioblastomas, what can I expect from her surgery and the aftermath? We don't expect her to live more than 10 months, which I still haven't come to terms with, but I want to know what to expect so I can start preparing myself now. Thanks in advance.</t>
        </is>
      </c>
      <c r="D3199" t="n">
        <v>4</v>
      </c>
      <c r="E3199" t="n">
        <v>2</v>
      </c>
      <c r="F3199">
        <f>HYPERLINK("https://www.reddit.com/r/cancer/comments/c69kxc/glioblastoma_in_my_grandmother_what_should_i/")</f>
        <v/>
      </c>
      <c r="G3199" t="inlineStr">
        <is>
          <t>2019-06-27 12:07:45</t>
        </is>
      </c>
      <c r="H3199" t="inlineStr"/>
    </row>
    <row r="3200">
      <c r="A3200" t="inlineStr">
        <is>
          <t>c6afjh</t>
        </is>
      </c>
      <c r="B3200" t="inlineStr">
        <is>
          <t>Cancer Treatment in Arizona</t>
        </is>
      </c>
      <c r="C3200" t="inlineStr">
        <is>
          <t>I am tapping into this great subreddit to ask if you know of someone who got treatment for cancer in the areas around Casa Grande who can point me in the direction of the best place to get treatment. Any direct (private message me) or general advice would be greatly appreciated as I am not from the area. 
I  just received the bad news that my super sweet aunt has cancer in her stomach. They say its located in the fat and not in any organs. They found out after operating her for liquid in her stomach at which time they discovered the cancerous masses. They are recommending chemo to try and kill the rest of the masses left. Her care is currently in Mexico as she had visited a hospital in the Casa Grande area for the liquid in her stomach and they told her it was something random (constipation), only until my uncle decided to take her to a hospital over the border in Mexico did they run tests and find the masses. Now back in AZ, they are debating between driving back to Mexico or to get treatment in the AZ area, the question is where. They want to avoid the situation where they are overcharged for unnecessary tests, and/or the real needs ignored as they did before. 
&amp;amp;#x200B;
Thanks a million!</t>
        </is>
      </c>
      <c r="D3200" t="n">
        <v>6</v>
      </c>
      <c r="E3200" t="n">
        <v>7</v>
      </c>
      <c r="F3200">
        <f>HYPERLINK("https://www.reddit.com/r/cancer/comments/c6afjh/cancer_treatment_in_arizona/")</f>
        <v/>
      </c>
      <c r="G3200" t="inlineStr">
        <is>
          <t>2019-06-27 13:16:40</t>
        </is>
      </c>
      <c r="H3200" t="inlineStr"/>
    </row>
    <row r="3201">
      <c r="A3201" t="inlineStr">
        <is>
          <t>c6anze</t>
        </is>
      </c>
      <c r="B3201" t="inlineStr">
        <is>
          <t>Stage 4 stomach cancer</t>
        </is>
      </c>
      <c r="C3201" t="inlineStr">
        <is>
          <t>Currently on 3rd line keytruda, one month since first dose. Keytruda currently on hold due to moderate/severe enteritis... 
Does anyone have any experience with this? What kinds of diets have you been doing?</t>
        </is>
      </c>
      <c r="D3201" t="n">
        <v>12</v>
      </c>
      <c r="E3201" t="n">
        <v>2</v>
      </c>
      <c r="F3201">
        <f>HYPERLINK("https://www.reddit.com/r/cancer/comments/c6anze/stage_4_stomach_cancer/")</f>
        <v/>
      </c>
      <c r="G3201" t="inlineStr">
        <is>
          <t>2019-06-27 13:36:14</t>
        </is>
      </c>
      <c r="H3201" t="inlineStr"/>
    </row>
    <row r="3202">
      <c r="A3202" t="inlineStr">
        <is>
          <t>c6ar7n</t>
        </is>
      </c>
      <c r="B3202" t="inlineStr">
        <is>
          <t>Stage 4 Lung Cancer</t>
        </is>
      </c>
      <c r="C3202" t="inlineStr">
        <is>
          <t>My mother got the confirmed diagnosis of stage 4 lung cancer today, and I was hoping to get advice on things we might want to sort out in the event that treatment doesn’t go well, and possible tips to help with starting chemo. We all of course are hoping and supporting that it goes well like it did for my grandmother, who went from 12-18 months to live to 8-12 years. 
She also was approached by a disability lawyer (which was shady), should we look into another lawyer or is this common and generally ok?</t>
        </is>
      </c>
      <c r="D3202" t="n">
        <v>25</v>
      </c>
      <c r="E3202" t="n">
        <v>32</v>
      </c>
      <c r="F3202">
        <f>HYPERLINK("https://www.reddit.com/r/cancer/comments/c6ar7n/stage_4_lung_cancer/")</f>
        <v/>
      </c>
      <c r="G3202" t="inlineStr">
        <is>
          <t>2019-06-27 13:43:23</t>
        </is>
      </c>
      <c r="H3202" t="inlineStr"/>
    </row>
    <row r="3203">
      <c r="A3203" t="inlineStr">
        <is>
          <t>c6bwo7</t>
        </is>
      </c>
      <c r="B3203" t="inlineStr">
        <is>
          <t>Cervical cancer in my wife.</t>
        </is>
      </c>
      <c r="C3203" t="inlineStr">
        <is>
          <t>My wife has just been diagnosed with cervical cancer and is a mess. How do I help her out?  She just wants to talk with someone who has been through this and survived to give her some hope.</t>
        </is>
      </c>
      <c r="D3203" t="n">
        <v>12</v>
      </c>
      <c r="E3203" t="n">
        <v>24</v>
      </c>
      <c r="F3203">
        <f>HYPERLINK("https://www.reddit.com/r/cancer/comments/c6bwo7/cervical_cancer_in_my_wife/")</f>
        <v/>
      </c>
      <c r="G3203" t="inlineStr">
        <is>
          <t>2019-06-27 15:18:56</t>
        </is>
      </c>
      <c r="H3203" t="inlineStr"/>
    </row>
    <row r="3204">
      <c r="A3204" t="inlineStr">
        <is>
          <t>c6c12n</t>
        </is>
      </c>
      <c r="B3204" t="inlineStr">
        <is>
          <t>Biopsy waiting period</t>
        </is>
      </c>
      <c r="C3204" t="inlineStr">
        <is>
          <t>I discovered a dark brown spot about the size of a pencil eraser on the sole of my foot last night and went to the dermatologist today. When I asked if I should be concerned, they said that it's concerning enough to do a biopsy; he removed all the pigmented tissue. I have to wait two weeks to get my results, but I'm terrified it's melanoma. I don't have any moles or large birthmarks, I stay out of the sun, I wear sunscreen. I'm only 20, I'm so scared. How do I get through the waiting period without feeling like I'm going to have a panic attack every second?</t>
        </is>
      </c>
      <c r="D3204" t="n">
        <v>12</v>
      </c>
      <c r="E3204" t="n">
        <v>9</v>
      </c>
      <c r="F3204">
        <f>HYPERLINK("https://www.reddit.com/r/cancer/comments/c6c12n/biopsy_waiting_period/")</f>
        <v/>
      </c>
      <c r="G3204" t="inlineStr">
        <is>
          <t>2019-06-27 15:29:47</t>
        </is>
      </c>
      <c r="H3204" t="inlineStr"/>
    </row>
    <row r="3205">
      <c r="A3205" t="inlineStr">
        <is>
          <t>c6c57p</t>
        </is>
      </c>
      <c r="B3205" t="inlineStr">
        <is>
          <t>What are the reasons that's doctor say for no radiation for a brain tumor?</t>
        </is>
      </c>
      <c r="C3205" t="inlineStr">
        <is>
          <t>My mother has a small tumour in her brain that's cancer. Her oncologist says it will most likely be treated and my mom has an appointment with an radiation but she states numerous "might be treatable".
Is there any reason why they wouldn't do radiation?</t>
        </is>
      </c>
      <c r="D3205" t="n">
        <v>11</v>
      </c>
      <c r="E3205" t="n">
        <v>17</v>
      </c>
      <c r="F3205">
        <f>HYPERLINK("https://www.reddit.com/r/cancer/comments/c6c57p/what_are_the_reasons_thats_doctor_say_for_no/")</f>
        <v/>
      </c>
      <c r="G3205" t="inlineStr">
        <is>
          <t>2019-06-27 15:40:29</t>
        </is>
      </c>
      <c r="H3205" t="inlineStr"/>
    </row>
    <row r="3206">
      <c r="A3206" t="inlineStr">
        <is>
          <t>c6d98v</t>
        </is>
      </c>
      <c r="B3206" t="inlineStr">
        <is>
          <t>My mom has had terminal breast cancer for 4 years now and we (her adult children) just found out. I (36F) don’t know how to make sense of any of this. Can anyone offer some perspective?</t>
        </is>
      </c>
      <c r="C3206" t="inlineStr">
        <is>
          <t>Long story short, first time she had breast cancer I was 17 (she was 39 when diagnosed). She was diagnosed again when I was in my mid 20s. Both times she and my dad waited 1-3 months to tell my brothers and I. But this time they waited nearly 5 years to tell us. 
She said this last diagnosis came after feeling winded after walking up the basement stairs. Several dr appts later she was diagnosed with MBC. 
We had no idea until my brother’s wedding 3 weeks ago. She’s lost an incredible about of weight and doesn’t look well. Before my brother and his new wife left for their honeymoon they confronted my dad and asked if she was sick again. He confirmed she was and had been for a while. My brother is the one that told myself and our youngest brother. When asked why she waited so long her response is “because I don’t like the attention.”
I don’t know what to think or do with any of this. My brothers and I had a complicated, tenuous childhood which is making this more difficult. But more than anything, I don’t know what to think about her having terminal MBC for this long without anyone but my dad knowing. 
Can anyone offer some perspective?</t>
        </is>
      </c>
      <c r="D3206" t="n">
        <v>11</v>
      </c>
      <c r="E3206" t="n">
        <v>9</v>
      </c>
      <c r="F3206">
        <f>HYPERLINK("https://www.reddit.com/r/cancer/comments/c6d98v/my_mom_has_had_terminal_breast_cancer_for_4_years/")</f>
        <v/>
      </c>
      <c r="G3206" t="inlineStr">
        <is>
          <t>2019-06-27 17:24:22</t>
        </is>
      </c>
      <c r="H3206" t="inlineStr"/>
    </row>
    <row r="3207">
      <c r="A3207" t="inlineStr">
        <is>
          <t>c6eh9v</t>
        </is>
      </c>
      <c r="B3207" t="inlineStr">
        <is>
          <t>“Too small” of a lymph node? Why is that a concern?</t>
        </is>
      </c>
      <c r="C3207" t="inlineStr">
        <is>
          <t>Quick background- (30f) Dx of papillary thyroid cancer last Nov.  ‘18, Total Thyroidectomy in January. The surgeon was pleased with outcome and said it was well contained in a calcified lump. I’d had it along with Hashimoto’s for up to a decade before it was diagnosed and removed.
The 1st follow- up a month post surgery, my endo mentioned he wanted to monitor a lymph node he didn’t care for near the site of the thyroidectomy, using an ultrasound. 
Fast fwd 4 more months to this week and now he wants to biopsy that particular lymph node this coming October, on our next meeting,  because it’s too small. 
He said not to be sad because it was merely something to keep an eye on and worst case scenario, it’s something that can easily be removed. 
Has anyone had anything similar to this situation? 
Side note- my doctor is awesome. He is a Leading researcher for thyroid cancer and other endo stuff- so, if he isn’t worried enough to biopsy sooner then I’m not worried- just curious.</t>
        </is>
      </c>
      <c r="D3207" t="n">
        <v>5</v>
      </c>
      <c r="E3207" t="n">
        <v>4</v>
      </c>
      <c r="F3207">
        <f>HYPERLINK("https://www.reddit.com/r/cancer/comments/c6eh9v/too_small_of_a_lymph_node_why_is_that_a_concern/")</f>
        <v/>
      </c>
      <c r="G3207" t="inlineStr">
        <is>
          <t>2019-06-27 19:26:00</t>
        </is>
      </c>
      <c r="H3207" t="inlineStr"/>
    </row>
    <row r="3208">
      <c r="A3208" t="inlineStr">
        <is>
          <t>c6g17h</t>
        </is>
      </c>
      <c r="B3208" t="inlineStr">
        <is>
          <t>My dad was diagnosed with Stage 3 adenocarcinoma NSCLC</t>
        </is>
      </c>
      <c r="C3208" t="inlineStr">
        <is>
          <t>My 72 year old dad was recently diagnosed with stage 3 NSCLC. We took him to urgent care about 5 weeks ago for a persistent cough and after several ct scans, MRI, and bronchoscopy he was eventually diagnosed with adenocarcinoma. We aren’t sure yet about whether it is stage 3a or 3b. 
About two weeks ago the lymph nodes on his neck flared up and he began retaining water in his arms. Mostly on his left arm. He has no edema on his legs. The oncologist stated he would do both radiation and chemo, but wanted to get him started on radiation therapy as soon as possible to get rid of the swelling in his neck/arms which seems to be affecting his breathing. 
We started radiation therapy on Thursday June 20 and have gone 5 straight days. However he has been progressively losing mobility in his legs and we couldn’t make it to treatment today. a PET Scan was also canceled. 
My dad has been depressed for quite sometime. Maybe a few months. He was depressed before he found out he had cancer. He stays at home and has progressively lost the strength on his legs. The muscles on his legs have atrophied quite extensively. He just recently started taking anti depressants and I’m not sure it’s kicking in yet.
Finding out he has cancer, made him regress even quicker. He was walking while he was taking tests to find out about his cough, but after the diagnosis, he has shut down and now can’t seem to stand on his own. 
We live in a second floor apartment that doesn’t have an elevator. Getting up and down the stairs is the hardest part of getting his treatment. And now I’m not sure how we will be able to make the trip when he can barely stand. He can’t even make it to the bathroom on his own. This just happened today.
If he can’t make it to radiotherapy or chemotherapy, how do we go about treating this? I brought up immunotherapy and targeted therapy to the oncologist before his treatment started but he stated that those are usually done after radiation/chemo. Is this true? Can we try immunotherapy first?
I don’t know what to do. I think my dad hasn’t liked his life for quite some time and has been wanting to not be here anymore. I’m not sure he wants to fight this. I can’t accept that. I know it’s selfish, but I try to encourage him. This is all happening so fast.</t>
        </is>
      </c>
      <c r="D3208" t="n">
        <v>11</v>
      </c>
      <c r="E3208" t="n">
        <v>6</v>
      </c>
      <c r="F3208">
        <f>HYPERLINK("https://www.reddit.com/r/cancer/comments/c6g17h/my_dad_was_diagnosed_with_stage_3_adenocarcinoma/")</f>
        <v/>
      </c>
      <c r="G3208" t="inlineStr">
        <is>
          <t>2019-06-27 22:04:36</t>
        </is>
      </c>
      <c r="H3208" t="inlineStr"/>
    </row>
    <row r="3209">
      <c r="A3209" t="inlineStr">
        <is>
          <t>c6gjvo</t>
        </is>
      </c>
      <c r="B3209" t="inlineStr">
        <is>
          <t>MY Neighbour ‘s Mom's Cancer treatment</t>
        </is>
      </c>
      <c r="C3209" t="inlineStr">
        <is>
          <t xml:space="preserve">  
My first experience with cancer was when my neighbour's Mom got cancer. I shared a great bond with her. Not only me but also my family. She is a gem of a person, a very beautiful person from heart. She is the nicest person I ever met.  
Everything was going fine in life for her but one day she experienced a severe pain. The pain was unbearable for her. She was alone at home. She called me and I was home lucking when I received a call from her. As soon as I got a call from her, I rushed to her house and immediately took her to the hospital.  
As we reached the hospital, I took her to casualty and the nurse was asking her regarding her health. During that time, I called up her husband and son and informed them to reach the hospital  
After some time, she was shown to the doctor. The doctor asked her to go for few tests and get the reports. She was given some medicine for pain relief. Later she was taken home.  
After 3 days we received her report and the report turned our biggest fear into realty. I was heartbroken when I came to know that she had breast cancer.  
But she was very positive and strong during this tough phase of her life. She has always been an inspiration. This journey of her is an inspiration not only to us but so many people that is why I want to share her story so that everyone can get inspired.  
She knew it is important for her to be strong for her own self and for her loved ones and so she was. She was headstrong that she won’t let cancer win over her and fought this dreadful disease.  
She went for her Mastectomy and by god’s grace the surgery was successful and came out strong. The scars were like her birthmarks like she came back fighting cancer and how.  
This was a new gift of life for her. After some months now she is much more better health wise and living a much healthier life.  
Today I am glad and happy she is fine and cancer free now. She is a teacher by profession, so she is back to teaching and teaching students. From this whole incident I learnt to face challenges life gives us and fight back and never give up and loose up.  
She is leading a life which she always wanted that is teaching and leaving life to the fullest.  
She has support of her loved ones and always got her back which makes life easier for her.  
**0S**</t>
        </is>
      </c>
      <c r="D3209" t="n">
        <v>2</v>
      </c>
      <c r="E3209" t="n">
        <v>0</v>
      </c>
      <c r="F3209">
        <f>HYPERLINK("https://www.reddit.com/r/cancer/comments/c6gjvo/my_neighbour_s_moms_cancer_treatment/")</f>
        <v/>
      </c>
      <c r="G3209" t="inlineStr">
        <is>
          <t>2019-06-27 23:03:32</t>
        </is>
      </c>
      <c r="H3209" t="inlineStr"/>
    </row>
    <row r="3210">
      <c r="A3210" t="inlineStr">
        <is>
          <t>c6h1s1</t>
        </is>
      </c>
      <c r="B3210" t="inlineStr">
        <is>
          <t>The Cancer Diagnosis Procedures and Methods</t>
        </is>
      </c>
      <c r="C3210" t="inlineStr">
        <is>
          <t xml:space="preserve"> 
Cancer Diagnosis and treatment is undoubtedly now a topic of debate. It isn't something "Rare disease" these days. We all keep on hearing about this deadly disease very frequently. The worst part about it is most people still have no clue about the right destination for cancer treatment and how it is diagnosed. There are uncountable myths about it, for, eg, Eating more sugar will worsen your cancer. Well, there is no such thing that eating more sugary products will impact disease. However, it can cause weight gain, which can trouble you in the other way or Using Deodorants can cause breast cancer. Well, No!! Studies have found nothing like this. Get over the myths. Similarly, there are a lot of misconceptions about Cancer. This article will clear all the cliches about cancer treatment. 
https://i.redd.it/ukyui1vdq1731.jpg
### [Cancer Diagnosis](https://www.carecancerclinic.com/cancer-specialist-in-pune/)
Since tumor is common these days, one should be very careful about his/her body. A little observation of our system is sufficient to tell if we need to see the doctor on priority or not. Diagnosing tumor, at its most punctual stages, frequently gives the most obvious opportunity to cure it. Considering this, converse with your specialist about what kinds of treatment might be suitable for you. All of it depends on the time you pay attention to your problem and get it consulted. Most patients with this disease go through the screening test while they are at increased risk. A lot of hospitals and clinics have guidelines for cancer screening. Talk to any expert doctor about its screening.
### How Is Cancer diagnosed?
If the tumor is suspected, the patient has to go through various examinations like:-
\- **Physical Examination**\- The oncologist will look for abnormalities, which include change of skin color or swelling or enlargement of an organ which can prove if there is tumor or not. 
\- **LAB Tests- Second comes the lab tests**. In some instances, a urine test and blood test is required to recognize the disease threat and abnormalities. We can consider the example of leukemia. It is tested in which you get the accurate blood count, which can further reveal about the white blood cells.
\- **X-rays, CT scans or MRI Tests**\- All of these tests are considered by the doctor to check the inner status of the body in a noninvasive way. These tests include computerized tomography (CT) scan, bone scan, MRI- magnetic resonance imaging, positron emission tomography (PET) scan, ultrasound, and X-ray.
\- **Biopsy- Biopsy** is a procedure of collecting a sample of cells to diagnose this disease. In most cases, a Biopsy is the only option. There are many ways of collecting the sample cells for testing it in the laboratory. However, a different biopsy procedure is undertaken for different types of cancer.
These are the processes which are undertaken by various doctors to detect tumor. As I've mentioned earlier it can be easily treated only when it is diagnosed at early stages. It gets challenging to treat cancer in the later stage. Chance of losing life get much higher plus its very painful in later stages.</t>
        </is>
      </c>
      <c r="D3210" t="n">
        <v>3</v>
      </c>
      <c r="E3210" t="n">
        <v>0</v>
      </c>
      <c r="F3210">
        <f>HYPERLINK("https://www.reddit.com/r/cancer/comments/c6h1s1/the_cancer_diagnosis_procedures_and_methods/")</f>
        <v/>
      </c>
      <c r="G3210" t="inlineStr">
        <is>
          <t>2019-06-28 00:03:09</t>
        </is>
      </c>
      <c r="H3210" t="inlineStr"/>
    </row>
    <row r="3211">
      <c r="A3211" t="inlineStr">
        <is>
          <t>c6hypx</t>
        </is>
      </c>
      <c r="B3211" t="inlineStr">
        <is>
          <t>Doctor won't give a "stage" of my father's testicular cancer</t>
        </is>
      </c>
      <c r="C3211" t="inlineStr">
        <is>
          <t>My father has been diagnosed with testicular cancer.  
He has since had surgery to remove testicles, but his PSA levels are still high, which meant he is not cancer free. Doctor has recommended hormone therapy. I honestly don't know which hormone therapy he will be undertaking, and I don't really feel confident about it.  
When I asked the doctors of which stage cancer my father has been diagnosed at, they simply said its "aggressive". Why are they reluctant to name a stage? Is that normal? Does aggressive mean that its possibly incurable? Or should I assume aggressive means its stage 4 or maybe beyond that, and treatments have low chance at being effective?
&amp;amp;#x200B;
I'm so worried, and more so because I don't seem to be getting firm answers from the doctors. If incurable or so advanced that treatments may do nothing, I wonder why they don't just say so, so we can prepare mentally and plan to enjoy the rest of his life. If there is a possibility of being cured, why aren't we given a stage so we know where we are at with the cancer?
&amp;amp;#x200B;
Should I be pushing for better and firm answers? I'm so confused at the doctor's reluctance to tell us about what they know, and just giving us these treatment recommendations with a "We'll have to see how he responds" as answers. I understand its not easy to know where the cancer has progressed, but an idea of their "hunch" is better than being vague. Am I expecting too much info than they can give me?
&amp;amp;#x200B;
Sorry for all the questions, but the doctors seem to be too busy to provide something I can settle with. Everything seems so "up-in-the-air".</t>
        </is>
      </c>
      <c r="D3211" t="n">
        <v>1</v>
      </c>
      <c r="E3211" t="n">
        <v>2</v>
      </c>
      <c r="F3211">
        <f>HYPERLINK("https://www.reddit.com/r/cancer/comments/c6hypx/doctor_wont_give_a_stage_of_my_fathers_testicular/")</f>
        <v/>
      </c>
      <c r="G3211" t="inlineStr">
        <is>
          <t>2019-06-28 02:08:04</t>
        </is>
      </c>
      <c r="H3211" t="inlineStr"/>
    </row>
    <row r="3212">
      <c r="A3212" t="inlineStr">
        <is>
          <t>c6if99</t>
        </is>
      </c>
      <c r="B3212" t="inlineStr">
        <is>
          <t>This Cancer Survivor Inspires All with Her Viral Bridal Photoshoot - https://bit.ly/2NkZoXH</t>
        </is>
      </c>
      <c r="C3212" t="inlineStr">
        <is>
          <t xml:space="preserve"> 
There are several instances in which we come across various inspiring people –who never fail to give us courage and hope, even when something worse is happening in their lives. Read such a heart-warming story.
Meet Navi Indran Pillai –the courageous bride, whose viral bridal  photo-shoot has taken the Internet by storm. Why? Navi is a beautiful  bride-to-be and a cancer survivor at the same time. In her inspiring  bridal photo shoot, Navi takes to braving her strong will and attitude  as she smiles her heart out after surviving cancer. Steering away with  the common stereotype of an all shy bride, Navi took the legacy of bold  &amp;amp; beautiful to another level through her inspirational “Bold Indian  Bride” avatar.  
Read the complete Story at: [https://bit.ly/2NkZoXH](https://bit.ly/2NkZoXH)
![img](7nxabdx9n2731)</t>
        </is>
      </c>
      <c r="D3212" t="n">
        <v>1</v>
      </c>
      <c r="E3212" t="n">
        <v>0</v>
      </c>
      <c r="F3212">
        <f>HYPERLINK("https://www.reddit.com/r/cancer/comments/c6if99/this_cancer_survivor_inspires_all_with_her_viral/")</f>
        <v/>
      </c>
      <c r="G3212" t="inlineStr">
        <is>
          <t>2019-06-28 03:09:15</t>
        </is>
      </c>
      <c r="H3212" t="inlineStr"/>
    </row>
    <row r="3213">
      <c r="A3213" t="inlineStr">
        <is>
          <t>c6ixb9</t>
        </is>
      </c>
      <c r="B3213" t="inlineStr">
        <is>
          <t>First time here</t>
        </is>
      </c>
      <c r="C3213" t="inlineStr">
        <is>
          <t>My mother was diagnosed with liver and colon cancer stage 4. She has chemo and radiation for two months planned. I live an hour and half away, but want to be with her. I don't know if I should live in my car for a few days or what. I need to be with her, obviously.  Anyone have advice on what I can do?</t>
        </is>
      </c>
      <c r="D3213" t="n">
        <v>5</v>
      </c>
      <c r="E3213" t="n">
        <v>13</v>
      </c>
      <c r="F3213">
        <f>HYPERLINK("https://www.reddit.com/r/cancer/comments/c6ixb9/first_time_here/")</f>
        <v/>
      </c>
      <c r="G3213" t="inlineStr">
        <is>
          <t>2019-06-28 04:13:17</t>
        </is>
      </c>
      <c r="H3213" t="inlineStr"/>
    </row>
    <row r="3214">
      <c r="A3214" t="inlineStr">
        <is>
          <t>c6ktkk</t>
        </is>
      </c>
      <c r="B3214" t="inlineStr">
        <is>
          <t>Just A Little Thank You.</t>
        </is>
      </c>
      <c r="C3214" t="inlineStr">
        <is>
          <t>My dad w/ stage IV PC - I get the feeling he thinks he’s a burden and stuff, he keeps saying “I’m half the man I was” because he was a big burly dude and he’s lost a lot of weight.
But he’s twice the man he was. Taking this diagnoses and just being with it. Continuing to be loving toward me. He’s a badass, and so are you. And in no way is he a burden, and I love the hell out of him. He’s my inspiration. And I bet you are somebody’s inspiration.</t>
        </is>
      </c>
      <c r="D3214" t="n">
        <v>65</v>
      </c>
      <c r="E3214" t="n">
        <v>15</v>
      </c>
      <c r="F3214">
        <f>HYPERLINK("https://www.reddit.com/r/cancer/comments/c6ktkk/just_a_little_thank_you/")</f>
        <v/>
      </c>
      <c r="G3214" t="inlineStr">
        <is>
          <t>2019-06-28 07:26:12</t>
        </is>
      </c>
      <c r="H3214" t="inlineStr"/>
    </row>
    <row r="3215">
      <c r="A3215" t="inlineStr">
        <is>
          <t>c6l1pr</t>
        </is>
      </c>
      <c r="B3215" t="inlineStr">
        <is>
          <t>Not my story but sharing anyway</t>
        </is>
      </c>
      <c r="C3215" t="inlineStr">
        <is>
          <t>Yesterday had to go in for lab work and follow up with my oncologist. 
As I am exiting the lab waiting room hear an older guy who looks pretty healthy telling another guy “They said I’d be gone in 8-12 months, 20 months ago and I still feel pretty good. You just have to keep going”
Congratulations to him on a great attitude and to him and his treatment team for battling the odds.</t>
        </is>
      </c>
      <c r="D3215" t="n">
        <v>16</v>
      </c>
      <c r="E3215" t="n">
        <v>0</v>
      </c>
      <c r="F3215">
        <f>HYPERLINK("https://www.reddit.com/r/cancer/comments/c6l1pr/not_my_story_but_sharing_anyway/")</f>
        <v/>
      </c>
      <c r="G3215" t="inlineStr">
        <is>
          <t>2019-06-28 07:45:55</t>
        </is>
      </c>
      <c r="H3215" t="inlineStr"/>
    </row>
    <row r="3216">
      <c r="A3216" t="inlineStr">
        <is>
          <t>c6luba</t>
        </is>
      </c>
      <c r="B3216" t="inlineStr">
        <is>
          <t>Living with buttcheek cancer</t>
        </is>
      </c>
      <c r="C3216" t="inlineStr">
        <is>
          <t>I got it wat do i do now they want to amputater tor</t>
        </is>
      </c>
      <c r="D3216" t="n">
        <v>0</v>
      </c>
      <c r="E3216" t="n">
        <v>2</v>
      </c>
      <c r="F3216">
        <f>HYPERLINK("https://www.reddit.com/r/cancer/comments/c6luba/living_with_buttcheek_cancer/")</f>
        <v/>
      </c>
      <c r="G3216" t="inlineStr">
        <is>
          <t>2019-06-28 08:53:01</t>
        </is>
      </c>
      <c r="H3216" t="inlineStr"/>
    </row>
    <row r="3217">
      <c r="A3217" t="inlineStr">
        <is>
          <t>c6lye4</t>
        </is>
      </c>
      <c r="B3217" t="inlineStr">
        <is>
          <t>Dementia</t>
        </is>
      </c>
      <c r="C3217" t="inlineStr">
        <is>
          <t>Has anyone had to place their loved one (non-elderly) in an assisted living situation due to memory loss/cognitive problems/dementia? 
My (young) husband is in the hospital right now with some brain issues. Not sure if it's disease progression or an infection in the brain. But for the past month he's been increasingly confused -- very much like Alzheimer's when I experienced it with my grandparents. 
At the hospital, they've brought his severe headaches and nausea under control -- but the confusion and memory loss is still there. If anything, it's much more noticeable and worse now that he's not physically suffering. He has strong opinions about things and talks a lot, so the deficits are very noticeable. He texts me the same things over and over when I'm not there, he gets angry when he says he wants to leave the hospital and I/a nurse says he's still getting treatment, he forgets where he is (for a while he thought the hospital was a hotel) ... He's REALLY confused.
I don't think I can take care of him by myself like this. I don't know what to do. His cancer is stable (well, except maybe in his brain, but we don't know for sure yet -- docs are testing -- could just be an infection). 
He's a young, large, strong guy. We live in a tiny one-bedroom apartment. I can't be home 24/7 to make sure he's safe. Also frankly I think I'd be suicidal if I had to deal with this issue all the time -- he is so irrational and repetitive and gets upset if I have to say "no" to something ... He would HATE to live in a memory care institution. But I have no idea what else I can do. Hopefully this is just an infection and antibiotics will clear up his dementia symptoms in a week or so but what if it doesn't ...</t>
        </is>
      </c>
      <c r="D3217" t="n">
        <v>7</v>
      </c>
      <c r="E3217" t="n">
        <v>7</v>
      </c>
      <c r="F3217">
        <f>HYPERLINK("https://www.reddit.com/r/cancer/comments/c6lye4/dementia/")</f>
        <v/>
      </c>
      <c r="G3217" t="inlineStr">
        <is>
          <t>2019-06-28 09:02:20</t>
        </is>
      </c>
      <c r="H3217" t="inlineStr"/>
    </row>
    <row r="3218">
      <c r="A3218" t="inlineStr">
        <is>
          <t>c6mxqc</t>
        </is>
      </c>
      <c r="B3218" t="inlineStr">
        <is>
          <t>Head and Neck Radiation Patients: Best Medicine for mouth/tongue/throat sores?</t>
        </is>
      </c>
      <c r="C3218" t="inlineStr">
        <is>
          <t>Hi all,
&amp;amp;#x200B;
Just wanted to start off by starting I am very grateful for this forum and the strong fighters/caregivers here. 
&amp;amp;#x200B;
I am 30 out of 33 rads done with my 66 gy treatment to my gland, neck and I developed terrible cheek, tongue, mouth and throat sores (right side only). 
&amp;amp;#x200B;
I currently take licodaine to eat before meals  and rinses with biotine. I want to start applying something topically to the sores once my tx is over so they can start healing and closing up.
&amp;amp;#x200B;
What have you guys found useful in your experience to close up sores?
&amp;amp;#x200B;
Thank you,</t>
        </is>
      </c>
      <c r="D3218" t="n">
        <v>11</v>
      </c>
      <c r="E3218" t="n">
        <v>20</v>
      </c>
      <c r="F3218">
        <f>HYPERLINK("https://www.reddit.com/r/cancer/comments/c6mxqc/head_and_neck_radiation_patients_best_medicine/")</f>
        <v/>
      </c>
      <c r="G3218" t="inlineStr">
        <is>
          <t>2019-06-28 10:22:14</t>
        </is>
      </c>
      <c r="H3218" t="inlineStr"/>
    </row>
    <row r="3219">
      <c r="A3219" t="inlineStr">
        <is>
          <t>c6p43a</t>
        </is>
      </c>
      <c r="B3219" t="inlineStr">
        <is>
          <t>hynch syndrome</t>
        </is>
      </c>
      <c r="C3219" t="inlineStr">
        <is>
          <t>I(58 F) had endometrial cancer and underwent a hysterectomy last month. Today I went to my oncologist for a follow-up and she said testing on the tumor revealed some genetic abnormalities.  She made it sound like all I had to worry about was ovarian cancer (no more ovaries) or colon cancer, and all I would need was more frequent colonoscopies.
But I am reading about it and see it can lead to bowel cancer and even brain cancer.  I'd like to hear from some people who have Lynch syndrome who can offer a little perspective. Thank you.</t>
        </is>
      </c>
      <c r="D3219" t="n">
        <v>4</v>
      </c>
      <c r="E3219" t="n">
        <v>5</v>
      </c>
      <c r="F3219">
        <f>HYPERLINK("https://www.reddit.com/r/cancer/comments/c6p43a/hynch_syndrome/")</f>
        <v/>
      </c>
      <c r="G3219" t="inlineStr">
        <is>
          <t>2019-06-28 13:17:48</t>
        </is>
      </c>
      <c r="H3219" t="inlineStr"/>
    </row>
    <row r="3220">
      <c r="A3220" t="inlineStr">
        <is>
          <t>c6q100</t>
        </is>
      </c>
      <c r="B3220" t="inlineStr">
        <is>
          <t>Questions and Concerns</t>
        </is>
      </c>
      <c r="C3220" t="inlineStr">
        <is>
          <t>My Grandmother (71) was recently diagnosed with cancerous tumor, she didn’t get into specification when telling me but it’s in her arm, between the joint ball and bone it’s connected to. She’s starting Chemotherapy on Monday. I’m concerned, like most people are when they learn a loved one has cancer. Does anyone know the effectiveness of Chemo? And is there anything I should know about Chemotherapy, before she starts the treatment? Thanks, anything helps.</t>
        </is>
      </c>
      <c r="D3220" t="n">
        <v>3</v>
      </c>
      <c r="E3220" t="n">
        <v>1</v>
      </c>
      <c r="F3220">
        <f>HYPERLINK("https://www.reddit.com/r/cancer/comments/c6q100/questions_and_concerns/")</f>
        <v/>
      </c>
      <c r="G3220" t="inlineStr">
        <is>
          <t>2019-06-28 14:30:06</t>
        </is>
      </c>
      <c r="H3220" t="inlineStr"/>
    </row>
    <row r="3221">
      <c r="A3221" t="inlineStr">
        <is>
          <t>c6rxkd</t>
        </is>
      </c>
      <c r="B3221" t="inlineStr">
        <is>
          <t>Who else is just waiting?</t>
        </is>
      </c>
      <c r="C3221" t="inlineStr">
        <is>
          <t>My biospy came back and still don't know what it is. The whole mass or whatever they can get out has to be tested. I have an appointment with the surgeon monday. I hope I don't have to be put under. I'm just scared of everything.</t>
        </is>
      </c>
      <c r="D3221" t="n">
        <v>9</v>
      </c>
      <c r="E3221" t="n">
        <v>6</v>
      </c>
      <c r="F3221">
        <f>HYPERLINK("https://www.reddit.com/r/cancer/comments/c6rxkd/who_else_is_just_waiting/")</f>
        <v/>
      </c>
      <c r="G3221" t="inlineStr">
        <is>
          <t>2019-06-28 17:15:10</t>
        </is>
      </c>
      <c r="H3221" t="inlineStr"/>
    </row>
    <row r="3222">
      <c r="A3222" t="inlineStr">
        <is>
          <t>c6smi6</t>
        </is>
      </c>
      <c r="B3222" t="inlineStr">
        <is>
          <t>2x TC - Bilateral Orchiechtomy</t>
        </is>
      </c>
      <c r="C3222" t="inlineStr">
        <is>
          <t>Sorry for long post -
This also posted in r/testicularcancer
Back story: Currently 30 years old. Grew up on East Coast of NC. Played a lot of sports. When ProHormones became a thing I cycled PH from 2011-2015.
June 2015: I was lasting really really long in bed without climax. Full erection but couldn't finish.
I went to Primary Care Physician. He ran bloods and Prolactin came back high. He ordered MRI and found a Pituitary Micro Adenoma. He then ordered testicular ultrasound and found 2cm mass. Local urologist said nothing out of ordinary and to leave it in. Now I wasnt having pain, NO lump, all cancer markers came back negative, BUT I was adamant that if he didn't know what it was then I wanted it out. So I went to Greenville NC, and Vident urologist said he as well didn't know what it was but it needed to come out but it would be 2 months before he had an opening. Not fast enough for me so I went to Duke University Hospital. Dr  said it needed to be removed immediately. He scheduled surgery within 2 weeks I had left testicle removed. Post OP was nothing special I went back to work literally following week. Went back to Duke for follow up and it was a 2cm Seminoma. He asked me if I wanted to do a round of chemo or 5 years of testing. I asked what he recommended and started my 5 years of testing. Testing included blood work, chest xray, and MRI. 1st year is every 3 months. 2nd/3rd year is every 6months. 4th/5th year is once a year. 
Fast forward to June 22 2019. I woke up with my right nut on fire. Now the previous week I had had some tingling feeling in the nut but no pain. By Friday I figured I had pulled my groin. So again, woke up on Saturday and told wife we need to go to ER. Get there and they hit me with morphine and an ultrasound. Shit you not I look at the ultrasound screen and see 4 masses in testicle. They call on call urologist and oncologist and radiologist and concincous is immediate removal. I told whoa I need to cryo more baby gravy so I did that on Monday 24th at 730am in Raleigh, and had testicle removed at 3:30ish Monday afternoon. Just got put on Fortesta today by endochronologist as I have no nuts now LOL. I'm not thrilled with the gel and would prefer injections but I'll take what i can get at the moment. Pathology came back and my right testicle was cancerous with 90% Embryonal Carcinoma (bad shit) and 10% Seminoma. Currently in holding pattern waiting for oncologist appointment to figure out treatment.</t>
        </is>
      </c>
      <c r="D3222" t="n">
        <v>4</v>
      </c>
      <c r="E3222" t="n">
        <v>3</v>
      </c>
      <c r="F3222">
        <f>HYPERLINK("https://www.reddit.com/r/cancer/comments/c6smi6/2x_tc_bilateral_orchiechtomy/")</f>
        <v/>
      </c>
      <c r="G3222" t="inlineStr">
        <is>
          <t>2019-06-28 18:21:55</t>
        </is>
      </c>
      <c r="H3222" t="inlineStr"/>
    </row>
    <row r="3223">
      <c r="A3223" t="inlineStr">
        <is>
          <t>c6srcy</t>
        </is>
      </c>
      <c r="B3223" t="inlineStr">
        <is>
          <t>Cancer and Alcohol question</t>
        </is>
      </c>
      <c r="C3223" t="inlineStr">
        <is>
          <t>I’m a 22 year old with testicular cancer. I’ve already begun chemo and have like 2 more months to go. I know they told me that I shouldn’t drink alcohol but how awful to my body is it really. I’m not an alcoholic or anything It’s just a very tough time and I like to have a cold beer every now and then. My stomach has been handling everything okay and stuff I was curious how many of you drink a little bit still while going through chemo. I know the easy answer is no don’t drink anything alcohol is bad. I know. But I’m asking honestly if it’s going to really effect my treatment if I have a beer or two tonight. Thanks</t>
        </is>
      </c>
      <c r="D3223" t="n">
        <v>1</v>
      </c>
      <c r="E3223" t="n">
        <v>0</v>
      </c>
      <c r="F3223">
        <f>HYPERLINK("https://www.reddit.com/r/cancer/comments/c6srcy/cancer_and_alcohol_question/")</f>
        <v/>
      </c>
      <c r="G3223" t="inlineStr">
        <is>
          <t>2019-06-28 18:35:37</t>
        </is>
      </c>
      <c r="H3223" t="inlineStr"/>
    </row>
    <row r="3224">
      <c r="A3224" t="inlineStr">
        <is>
          <t>c6srih</t>
        </is>
      </c>
      <c r="B3224" t="inlineStr">
        <is>
          <t>Just had surgery to remove kidney.</t>
        </is>
      </c>
      <c r="C3224" t="inlineStr">
        <is>
          <t>Tuesday I had a laparoscopic nephrectomy to remove my entire left kidney. Everything went smoothly and they believe they got it all and it had not spread. I went in Tues. at 10:30 and surgery began at 12:30. The surgery lasted about 1 1/2 hrs. I was in recovery for about 2 1/2 hrs. (I had received a lot of anesthesia!). I left the hospital Thursday morning at 9 am.
The pain has actually been minimal. Walking does actually make me feel better. Glad I am done with the surgery and can't wait to be back to normal energy levels as soon as possible. Paid a $600 facility fee so far...! I am sure the bills will be on their way!</t>
        </is>
      </c>
      <c r="D3224" t="n">
        <v>27</v>
      </c>
      <c r="E3224" t="n">
        <v>29</v>
      </c>
      <c r="F3224">
        <f>HYPERLINK("https://www.reddit.com/r/cancer/comments/c6srih/just_had_surgery_to_remove_kidney/")</f>
        <v/>
      </c>
      <c r="G3224" t="inlineStr">
        <is>
          <t>2019-06-28 18:36:01</t>
        </is>
      </c>
      <c r="H3224" t="inlineStr"/>
    </row>
    <row r="3225">
      <c r="A3225" t="inlineStr">
        <is>
          <t>c6subz</t>
        </is>
      </c>
      <c r="B3225" t="inlineStr">
        <is>
          <t>Third time lucky - 3 cures so far!</t>
        </is>
      </c>
      <c r="C3225" t="inlineStr">
        <is>
          <t>I have recently had a cancerous tumour removed from my eye, and the specialist says there is no sign of it any more and I don't need to go back.
A long time ago I had stage 4 bowel cancer and chemotherapy and liver cancer. All of that was chopped out.</t>
        </is>
      </c>
      <c r="D3225" t="n">
        <v>11</v>
      </c>
      <c r="E3225" t="n">
        <v>2</v>
      </c>
      <c r="F3225">
        <f>HYPERLINK("https://www.reddit.com/r/cancer/comments/c6subz/third_time_lucky_3_cures_so_far/")</f>
        <v/>
      </c>
      <c r="G3225" t="inlineStr">
        <is>
          <t>2019-06-28 18:43:39</t>
        </is>
      </c>
      <c r="H3225" t="inlineStr"/>
    </row>
    <row r="3226">
      <c r="A3226" t="inlineStr">
        <is>
          <t>c6sule</t>
        </is>
      </c>
      <c r="B3226" t="inlineStr">
        <is>
          <t>Just got the call...</t>
        </is>
      </c>
      <c r="C3226" t="inlineStr">
        <is>
          <t>Just got a phone call from my mother. She has a cancerous tumor in her stomach. She is 68 years old and about 1,400 miles away from me. Her doctor is an asshole and after two days of trying to reach him to find out her endoscopy results he asked her “why are you doing this to me?” And then “well you HAVE cancer!” when she requested more information on her diagnosis and treatment he said something  along the lines of “well I’m not used to talking to people about this who don’t know what they’re talking about” I am beyond furious at her doctor and so scared for her. She is trying to be strong but I know she’s scared. I don’t know what to do. I’m sorry if this isn’t the place to talk about this it was just a knee jerk reaction to find a reddit forum to soul dump. Not sure what I’m looking for. I’m sorry</t>
        </is>
      </c>
      <c r="D3226" t="n">
        <v>6</v>
      </c>
      <c r="E3226" t="n">
        <v>5</v>
      </c>
      <c r="F3226">
        <f>HYPERLINK("https://www.reddit.com/r/cancer/comments/c6sule/just_got_the_call/")</f>
        <v/>
      </c>
      <c r="G3226" t="inlineStr">
        <is>
          <t>2019-06-28 18:44:19</t>
        </is>
      </c>
      <c r="H3226" t="inlineStr"/>
    </row>
    <row r="3227">
      <c r="A3227" t="inlineStr">
        <is>
          <t>c6t09h</t>
        </is>
      </c>
      <c r="B3227" t="inlineStr">
        <is>
          <t>AIM regimen? Sarcoma</t>
        </is>
      </c>
      <c r="C3227" t="inlineStr">
        <is>
          <t>This was the chemo cocktail I was put on and just curious if anyone else was , tried to read about it on the web but never really found anything (I finished about five months ago) but may have to do it again. And for anyone who’s had sarcoma what was your treatment like?</t>
        </is>
      </c>
      <c r="D3227" t="n">
        <v>1</v>
      </c>
      <c r="E3227" t="n">
        <v>0</v>
      </c>
      <c r="F3227">
        <f>HYPERLINK("https://www.reddit.com/r/cancer/comments/c6t09h/aim_regimen_sarcoma/")</f>
        <v/>
      </c>
      <c r="G3227" t="inlineStr">
        <is>
          <t>2019-06-28 19:00:19</t>
        </is>
      </c>
      <c r="H3227" t="inlineStr"/>
    </row>
    <row r="3228">
      <c r="A3228" t="inlineStr">
        <is>
          <t>c6tbyo</t>
        </is>
      </c>
      <c r="B3228" t="inlineStr">
        <is>
          <t>I don't know how I can do it.</t>
        </is>
      </c>
      <c r="C3228" t="inlineStr">
        <is>
          <t>How am  I supposed to watch the love of my life slowly die from her terminal metastatic stage 4 breast cancer? 
How am I supposed to not be here to help her in anyway possible?
I'm so torn and lost. I don't know what to do to help her or myself. I am at a loss...
The hardest thing I do everyday is leave for work.
I do everything at work to get out as fast as possible to get back home to be with her. 
More than half the time, it feels like a waste because she is so tired or down that we don't do anything but watch tv. 
I'm slowly losing my grasp on sanity, and my happiness is fleeting. 
I'm so lost lately...</t>
        </is>
      </c>
      <c r="D3228" t="n">
        <v>18</v>
      </c>
      <c r="E3228" t="n">
        <v>9</v>
      </c>
      <c r="F3228">
        <f>HYPERLINK("https://www.reddit.com/r/cancer/comments/c6tbyo/i_dont_know_how_i_can_do_it/")</f>
        <v/>
      </c>
      <c r="G3228" t="inlineStr">
        <is>
          <t>2019-06-28 19:33:31</t>
        </is>
      </c>
      <c r="H3228" t="inlineStr"/>
    </row>
    <row r="3229">
      <c r="A3229" t="inlineStr">
        <is>
          <t>c6twiv</t>
        </is>
      </c>
      <c r="B3229" t="inlineStr">
        <is>
          <t>Looks like my wife is going to lose her battle with brain cancer.</t>
        </is>
      </c>
      <c r="C3229" t="inlineStr">
        <is>
          <t>Neurooncology team has referred us to hospice.
We meet with them on Sunday.
My wife just turned thirty. I turn thirty one in a few days. We have two boys, they're one and four.
*Sigh.*
It's just so much to process. I've had years to prepare for this possibility, but it's easy to assume it'll never come to this.</t>
        </is>
      </c>
      <c r="D3229" t="n">
        <v>85</v>
      </c>
      <c r="E3229" t="n">
        <v>49</v>
      </c>
      <c r="F3229">
        <f>HYPERLINK("https://www.reddit.com/r/cancer/comments/c6twiv/looks_like_my_wife_is_going_to_lose_her_battle/")</f>
        <v/>
      </c>
      <c r="G3229" t="inlineStr">
        <is>
          <t>2019-06-28 20:31:17</t>
        </is>
      </c>
      <c r="H3229" t="inlineStr"/>
    </row>
    <row r="3230">
      <c r="A3230" t="inlineStr">
        <is>
          <t>c6u2tj</t>
        </is>
      </c>
      <c r="B3230" t="inlineStr">
        <is>
          <t>Based on research, here are some things you should do to increase survival chances of cancer</t>
        </is>
      </c>
      <c r="C3230" t="inlineStr">
        <is>
          <t>Plenty of fluids. This is ideal for any sickness. E.g. common cold. 
Stay mentally strong. Keep yourself alive. Fill yourself with faith and hope.
Avoid drugs and what have you. E.g. non prescribed pills and cigarettes.
Try to stay strong. Don’t just lay in bed all day, keep yourself active; go outside and take a walk or something.</t>
        </is>
      </c>
      <c r="D3230" t="n">
        <v>0</v>
      </c>
      <c r="E3230" t="n">
        <v>6</v>
      </c>
      <c r="F3230">
        <f>HYPERLINK("https://www.reddit.com/r/cancer/comments/c6u2tj/based_on_research_here_are_some_things_you_should/")</f>
        <v/>
      </c>
      <c r="G3230" t="inlineStr">
        <is>
          <t>2019-06-28 20:49:15</t>
        </is>
      </c>
      <c r="H3230" t="inlineStr"/>
    </row>
    <row r="3231">
      <c r="A3231" t="inlineStr">
        <is>
          <t>c6u3hf</t>
        </is>
      </c>
      <c r="B3231" t="inlineStr">
        <is>
          <t>How i found out my brother had cancer</t>
        </is>
      </c>
      <c r="C3231" t="inlineStr">
        <is>
          <t>My brother, a cancer kid , has the worst sense of humor. When he was first diagnosed with cancer I wasnt there so i didnt know but after he came back from the doctors he came and sat by me on the sofa and said "why did the chicken cross the road". And i replied the standard "to get to the other side to which he replied "no , to get to the cancer kids sisters house". And by this point I was already confused then he said "knock knock" and i said "whos there" and he said "the chicken" and walked away leaving me mortified. Long story short my brother is the worst.</t>
        </is>
      </c>
      <c r="D3231" t="n">
        <v>32</v>
      </c>
      <c r="E3231" t="n">
        <v>8</v>
      </c>
      <c r="F3231">
        <f>HYPERLINK("https://www.reddit.com/r/cancer/comments/c6u3hf/how_i_found_out_my_brother_had_cancer/")</f>
        <v/>
      </c>
      <c r="G3231" t="inlineStr">
        <is>
          <t>2019-06-28 20:51:16</t>
        </is>
      </c>
      <c r="H3231" t="inlineStr"/>
    </row>
    <row r="3232">
      <c r="A3232" t="inlineStr">
        <is>
          <t>c6uz6j</t>
        </is>
      </c>
      <c r="B3232" t="inlineStr">
        <is>
          <t>Kidney cancer advice</t>
        </is>
      </c>
      <c r="C3232" t="inlineStr">
        <is>
          <t>My cousin recently got diagnosed with stage 3 kidney cancer. The doctor went in and removed the kidney, as well as lymph nodes and a spot he saw by the spine. The official diagnosis after pathology was translocation renal cell carcinoma, and when going over the results the doctor said he “cleaned him out” and scheduled a follow up for September. No chemo, no dietary restriction, no advice until the follow up. This sounds strange to me, and I’m encouraging my cousin to seek a 2nd opinion. Wondering if anyone can provide feedback or advice how to proceed, and am I crazy for thinking this sounds incomplete for a diagnosis like this? Thanks in advance for any guidance!</t>
        </is>
      </c>
      <c r="D3232" t="n">
        <v>2</v>
      </c>
      <c r="E3232" t="n">
        <v>5</v>
      </c>
      <c r="F3232">
        <f>HYPERLINK("https://www.reddit.com/r/cancer/comments/c6uz6j/kidney_cancer_advice/")</f>
        <v/>
      </c>
      <c r="G3232" t="inlineStr">
        <is>
          <t>2019-06-28 22:24:05</t>
        </is>
      </c>
      <c r="H3232" t="inlineStr"/>
    </row>
    <row r="3233">
      <c r="A3233" t="inlineStr">
        <is>
          <t>c6v3sa</t>
        </is>
      </c>
      <c r="B3233" t="inlineStr">
        <is>
          <t>72 Hours Ago, Life Was Normal</t>
        </is>
      </c>
      <c r="C3233" t="inlineStr">
        <is>
          <t>And then came the imaging results. 
And suddenly, my mother has lung cancer.</t>
        </is>
      </c>
      <c r="D3233" t="n">
        <v>10</v>
      </c>
      <c r="E3233" t="n">
        <v>10</v>
      </c>
      <c r="F3233">
        <f>HYPERLINK("https://www.reddit.com/r/cancer/comments/c6v3sa/72_hours_ago_life_was_normal/")</f>
        <v/>
      </c>
      <c r="G3233" t="inlineStr">
        <is>
          <t>2019-06-28 22:38:39</t>
        </is>
      </c>
      <c r="H3233" t="inlineStr"/>
    </row>
    <row r="3234">
      <c r="A3234" t="inlineStr">
        <is>
          <t>c6v9pc</t>
        </is>
      </c>
      <c r="B3234" t="inlineStr">
        <is>
          <t>I let myself forget how bad it is.</t>
        </is>
      </c>
      <c r="C3234" t="inlineStr">
        <is>
          <t>Just started my second round after some time off and I down played it. I forgot how bad it really is and I’m struggling</t>
        </is>
      </c>
      <c r="D3234" t="n">
        <v>7</v>
      </c>
      <c r="E3234" t="n">
        <v>4</v>
      </c>
      <c r="F3234">
        <f>HYPERLINK("https://www.reddit.com/r/cancer/comments/c6v9pc/i_let_myself_forget_how_bad_it_is/")</f>
        <v/>
      </c>
      <c r="G3234" t="inlineStr">
        <is>
          <t>2019-06-28 22:57:57</t>
        </is>
      </c>
      <c r="H3234" t="inlineStr"/>
    </row>
    <row r="3235">
      <c r="A3235" t="inlineStr">
        <is>
          <t>c6vt6s</t>
        </is>
      </c>
      <c r="B3235" t="inlineStr">
        <is>
          <t>I never thought I'd feel this way...</t>
        </is>
      </c>
      <c r="C3235" t="inlineStr">
        <is>
          <t>... I actually felt genuinely happy today. Someone organized a little get together with my friends for me today. I honestly didn't expect alot of them to come, but most of them actually showed up. I actually felt normal for once. They took me to the arcade and I had so much fun. Cancer (I have a very rare form of cancer, stage IV, primary site unknown) made me appreciate all of the little things in life so much. I can't believe that my view of this world was so negative before my diagnosis.
Thanks for listening. Just felt like I had to get that off my chest.</t>
        </is>
      </c>
      <c r="D3235" t="n">
        <v>33</v>
      </c>
      <c r="E3235" t="n">
        <v>4</v>
      </c>
      <c r="F3235">
        <f>HYPERLINK("https://www.reddit.com/r/cancer/comments/c6vt6s/i_never_thought_id_feel_this_way/")</f>
        <v/>
      </c>
      <c r="G3235" t="inlineStr">
        <is>
          <t>2019-06-29 00:04:51</t>
        </is>
      </c>
      <c r="H3235" t="inlineStr"/>
    </row>
    <row r="3236">
      <c r="A3236" t="inlineStr">
        <is>
          <t>c6xx66</t>
        </is>
      </c>
      <c r="B3236" t="inlineStr">
        <is>
          <t>Appreciation of the little gestures</t>
        </is>
      </c>
      <c r="C3236" t="inlineStr">
        <is>
          <t>So, I'm a 31-year-old who was diagnosed with metastatic melanoma in April. I'm on oral chemo (second kind now because the first sent me to the hospital), and it's still really rough. Lots of vomiting.   
My amazing wife (28, we've been married for only three years) has learned my routine. When I come out of the bathroom, she's always got an altoid and ice water set out because that's what I always get to help settle my stomach.   
It doesn't seem like much from the outside, but it means a lot to me, especially since she's the sole breadwinner and 90% of the household chores fall to her because I'm just not able to do them. So the added caretaking of me? Is going above and beyond what I could ask.</t>
        </is>
      </c>
      <c r="D3236" t="n">
        <v>51</v>
      </c>
      <c r="E3236" t="n">
        <v>14</v>
      </c>
      <c r="F3236">
        <f>HYPERLINK("https://www.reddit.com/r/cancer/comments/c6xx66/appreciation_of_the_little_gestures/")</f>
        <v/>
      </c>
      <c r="G3236" t="inlineStr">
        <is>
          <t>2019-06-29 04:34:05</t>
        </is>
      </c>
      <c r="H3236" t="inlineStr"/>
    </row>
    <row r="3237">
      <c r="A3237" t="inlineStr">
        <is>
          <t>c6ymw4</t>
        </is>
      </c>
      <c r="B3237" t="inlineStr">
        <is>
          <t>Hospitals and medical researchers are hiding so much from us for the money, and here’s why.</t>
        </is>
      </c>
      <c r="C3237" t="inlineStr">
        <is>
          <t>They don’t want cancer research to advance because they are making billions of dollars from the medication they provide. If they worked on vaccines for cancer and direct cures, they would lose a huge amount of money. Same thing goes for diabetes medication. Insulin supplements and shots will keep being bought, and that’s why they are trying to keep the medications going and slow down on cures. The medical field is hiding so fucking much from us. Fuck cancer.</t>
        </is>
      </c>
      <c r="D3237" t="n">
        <v>0</v>
      </c>
      <c r="E3237" t="n">
        <v>8</v>
      </c>
      <c r="F3237">
        <f>HYPERLINK("https://www.reddit.com/r/cancer/comments/c6ymw4/hospitals_and_medical_researchers_are_hiding_so/")</f>
        <v/>
      </c>
      <c r="G3237" t="inlineStr">
        <is>
          <t>2019-06-29 05:55:53</t>
        </is>
      </c>
      <c r="H3237" t="inlineStr"/>
    </row>
    <row r="3238">
      <c r="A3238" t="inlineStr">
        <is>
          <t>c71h0h</t>
        </is>
      </c>
      <c r="B3238" t="inlineStr">
        <is>
          <t>First time posting</t>
        </is>
      </c>
      <c r="C3238" t="inlineStr">
        <is>
          <t>Hi there, long time lurker, first time poster.
I was diagnosed with mixed (high and low) grade ovarian cancer in November of last year and have frequented this sub every day since. 
Tonight my friends are all out and it’s the first time I’ve been alone in a long time. I miss doing normal young people things. I finished chemo just over two weeks ago but unless they find something that puts low grade into remission I won’t ever be NED. 
It’s hard and sad to feel like you’re dying a slow death and it’s so hard to come to terms with. My cancer being mixed grade makes me feel like I’m battling two seperate, both quite deadly, cancers.
I’m just a bit lonely. I miss my old life. Sorry to be a wet blanket.
How is everyone else feeling? x</t>
        </is>
      </c>
      <c r="D3238" t="n">
        <v>31</v>
      </c>
      <c r="E3238" t="n">
        <v>7</v>
      </c>
      <c r="F3238">
        <f>HYPERLINK("https://www.reddit.com/r/cancer/comments/c71h0h/first_time_posting/")</f>
        <v/>
      </c>
      <c r="G3238" t="inlineStr">
        <is>
          <t>2019-06-29 09:44:07</t>
        </is>
      </c>
      <c r="H3238" t="inlineStr"/>
    </row>
    <row r="3239">
      <c r="A3239" t="inlineStr">
        <is>
          <t>c72co6</t>
        </is>
      </c>
      <c r="B3239" t="inlineStr">
        <is>
          <t>Hello fellow cancer patients</t>
        </is>
      </c>
      <c r="C3239" t="inlineStr">
        <is>
          <t>I am currently 13 years old and I was diagnosed with chronic myeloid leukemia when I was 8. I want to say something about chemotherapy. I have been taking a daily chemotherapy since I was 8. Originally, I did feel bad but even then you couldn't tell I had cancer. I never lost my hair and I've never been about to die. What I want to say is that chemotherapy is not all bad. There are some chemotherapies that do not make you feel constantly awful. I admit that most chemotherapies do that but some don't and it just bothers me whenever I see threads about how awful chemotherapy is. Some chemotherapies are not bad. 
ok thanks bye</t>
        </is>
      </c>
      <c r="D3239" t="n">
        <v>87</v>
      </c>
      <c r="E3239" t="n">
        <v>23</v>
      </c>
      <c r="F3239">
        <f>HYPERLINK("https://www.reddit.com/r/cancer/comments/c72co6/hello_fellow_cancer_patients/")</f>
        <v/>
      </c>
      <c r="G3239" t="inlineStr">
        <is>
          <t>2019-06-29 10:52:10</t>
        </is>
      </c>
      <c r="H3239" t="inlineStr"/>
    </row>
    <row r="3240">
      <c r="A3240" t="inlineStr">
        <is>
          <t>c72nym</t>
        </is>
      </c>
      <c r="B3240" t="inlineStr">
        <is>
          <t>Needing Adivce</t>
        </is>
      </c>
      <c r="C3240" t="inlineStr">
        <is>
          <t>Hi (Sorry On Mobile) 
Please Delete If Not Allowed Here. 
My Friend Has Stage 4 Ovarian Cancer And Is Currently In The Hospital Getting Chemo/Radiation Done. What Is Something(s) I Can Do To Cheer Her Up? What Words Of Stregth Really Got You Throughout The Stay?</t>
        </is>
      </c>
      <c r="D3240" t="n">
        <v>4</v>
      </c>
      <c r="E3240" t="n">
        <v>2</v>
      </c>
      <c r="F3240">
        <f>HYPERLINK("https://www.reddit.com/r/cancer/comments/c72nym/needing_adivce/")</f>
        <v/>
      </c>
      <c r="G3240" t="inlineStr">
        <is>
          <t>2019-06-29 11:17:58</t>
        </is>
      </c>
      <c r="H3240" t="inlineStr"/>
    </row>
    <row r="3241">
      <c r="A3241" t="inlineStr">
        <is>
          <t>c73nq5</t>
        </is>
      </c>
      <c r="B3241" t="inlineStr">
        <is>
          <t>Eating tips</t>
        </is>
      </c>
      <c r="C3241" t="inlineStr">
        <is>
          <t>Hi! I am currently undergoing brachytherapy and have a very strict diet of no citrics, no lactose, nothing irritating (red meats, coffee, grease) and I'm having a really hard time coping. Two days a week I'll have a liquid diet as well. Point is, I've been eating chicken and soups ever since. I'm tired of chicken and chicken broth. Can you help with this horrible diet with your cooking tips?</t>
        </is>
      </c>
      <c r="D3241" t="n">
        <v>8</v>
      </c>
      <c r="E3241" t="n">
        <v>6</v>
      </c>
      <c r="F3241">
        <f>HYPERLINK("https://www.reddit.com/r/cancer/comments/c73nq5/eating_tips/")</f>
        <v/>
      </c>
      <c r="G3241" t="inlineStr">
        <is>
          <t>2019-06-29 12:43:50</t>
        </is>
      </c>
      <c r="H3241" t="inlineStr"/>
    </row>
    <row r="3242">
      <c r="A3242" t="inlineStr">
        <is>
          <t>c77b4j</t>
        </is>
      </c>
      <c r="B3242" t="inlineStr">
        <is>
          <t>BFM95 protocol study at Duke University Medical Center</t>
        </is>
      </c>
      <c r="C3242" t="inlineStr">
        <is>
          <t>Hello, I among many others where apart of the ALL study at Duke University Medical Center upon being diagnosed with ALL in the early 90s. I’m reaching out to see if i can contact any other person who has been apart of this, or who has underwent ALL in the early 90s.</t>
        </is>
      </c>
      <c r="D3242" t="n">
        <v>4</v>
      </c>
      <c r="E3242" t="n">
        <v>0</v>
      </c>
      <c r="F3242">
        <f>HYPERLINK("https://www.reddit.com/r/cancer/comments/c77b4j/bfm95_protocol_study_at_duke_university_medical/")</f>
        <v/>
      </c>
      <c r="G3242" t="inlineStr">
        <is>
          <t>2019-06-29 18:24:06</t>
        </is>
      </c>
      <c r="H3242" t="inlineStr"/>
    </row>
    <row r="3243">
      <c r="A3243" t="inlineStr">
        <is>
          <t>c78rxw</t>
        </is>
      </c>
      <c r="B3243" t="inlineStr">
        <is>
          <t>End game</t>
        </is>
      </c>
      <c r="C3243" t="inlineStr">
        <is>
          <t>Today we found out my husband's severe mental decline is due to cancer spreading in his brain. There aren't any more treatment options for him, so we're switching over to palliative care to relieve his headaches and nausea. Unfortunately he's mostly nonresponsive now and very confused and incoherent when he is awake. We have to keep him mildly sedated to keep him calm, because otherwise he starts trying to pull his IVs out and get out of bed (and he's a major fall risk). He probably won't be able to come back home because it won't be safe for him here and he needs 24/7 care considering his disorientation. The oncologist said she thinks he has a few weeks left, but not months.
I'm so sad. I miss him so much. I keep wanting to text him but I know he can't text back. Yesterday he was chatty but really confused. Today he doesn't give any sign of recognizing me or anyone else he knows. 
He was such a wonderful person before he got sick. Just outrageously funny, lively, active, stubborn, opinionated, talkative, brave, kind. He knew all the words to just about every 90s and early 2000s hip hop song ever written. I'm sorry none of you will get to meet him. We loved each other so much. I tried to tell him I love him today but I don't think he hears or understands it.</t>
        </is>
      </c>
      <c r="D3243" t="n">
        <v>101</v>
      </c>
      <c r="E3243" t="n">
        <v>21</v>
      </c>
      <c r="F3243">
        <f>HYPERLINK("https://www.reddit.com/r/cancer/comments/c78rxw/end_game/")</f>
        <v/>
      </c>
      <c r="G3243" t="inlineStr">
        <is>
          <t>2019-06-29 20:58:51</t>
        </is>
      </c>
      <c r="H3243" t="inlineStr"/>
    </row>
    <row r="3244">
      <c r="A3244" t="inlineStr">
        <is>
          <t>c78y0x</t>
        </is>
      </c>
      <c r="B3244" t="inlineStr">
        <is>
          <t>Just lost my Dad.</t>
        </is>
      </c>
      <c r="C3244" t="inlineStr">
        <is>
          <t>His funeral was on June 21st. We found out it was terminal on June 6th, we had to remove life support on June 13th. It all happened so quickly.  He was only 72. He was a Vietnam Veteran, exposed to Agent Orange, which is what ultimately caused his Cancer. Now, not only have I lost my father, but I am scared shitless that Cancer is lurking down the pike for me and my two kids, who are 6 &amp;amp; 8. My husband thinks I'm overreacting, but I am terrified beyond all belief.</t>
        </is>
      </c>
      <c r="D3244" t="n">
        <v>7</v>
      </c>
      <c r="E3244" t="n">
        <v>16</v>
      </c>
      <c r="F3244">
        <f>HYPERLINK("https://www.reddit.com/r/cancer/comments/c78y0x/just_lost_my_dad/")</f>
        <v/>
      </c>
      <c r="G3244" t="inlineStr">
        <is>
          <t>2019-06-29 21:16:43</t>
        </is>
      </c>
      <c r="H3244" t="inlineStr"/>
    </row>
    <row r="3245">
      <c r="A3245" t="inlineStr">
        <is>
          <t>c7g8rw</t>
        </is>
      </c>
      <c r="B3245" t="inlineStr">
        <is>
          <t>Help me understand brain cancer, or just lie to me and tell me my mom will be alright.</t>
        </is>
      </c>
      <c r="C3245" t="inlineStr">
        <is>
          <t>For the past month, my mom (66yrs) was displaying symptoms of dementia.  I really thought it was dementia.  Every single day, symptoms got worse or a new symptom popped up.  Her vision has been going, she cannot read/comprehend writing, she cannot retain new memories, she has been losing bowel function, severe headaches, humming to herself, does not know the year and thinks bill Clinton is president, anorexia, ability to walk has declined and vomiting.  A neurologist told me 3 weeks ago that it was caregivers stress (my dad has Alzheimer’s).  When she vomited this past Wednesday, I took her to the ER.  A CT scan showed metastasized brain cancer.  She had lung cancer without knowing, and it spread.  The doctors cannot tell me what stage or any more info until her upcoming brain surgery, but it doesn’t look good.  
She’s currently on steroid therapy until they figure out more about the primary cancer (she cannot get an MRI because of a defibrillator).  
I guess I just want to hear other people’s experiences.  She has already asked me to kill her.  She told me she won’t do treatment.  What is she in for?  What is the survival rate?  What is the survival rate for brain tumor removal?  I am such a mess, this woman is my best friend, so I am so sorry if this post is all over the place.</t>
        </is>
      </c>
      <c r="D3245" t="n">
        <v>34</v>
      </c>
      <c r="E3245" t="n">
        <v>10</v>
      </c>
      <c r="F3245">
        <f>HYPERLINK("https://www.reddit.com/r/cancer/comments/c7g8rw/help_me_understand_brain_cancer_or_just_lie_to_me/")</f>
        <v/>
      </c>
      <c r="G3245" t="inlineStr">
        <is>
          <t>2019-06-30 09:11:05</t>
        </is>
      </c>
      <c r="H3245" t="inlineStr"/>
    </row>
    <row r="3246">
      <c r="A3246" t="inlineStr">
        <is>
          <t>c7gyj9</t>
        </is>
      </c>
      <c r="B3246" t="inlineStr">
        <is>
          <t>Being on the other side</t>
        </is>
      </c>
      <c r="C3246" t="inlineStr">
        <is>
          <t>I was diagnosed with a right testicular tumor Friday. I got a CT scan as well that shows possible nodules in my lung and retroperitoneal cavity. I go in Tuesday to schedule the orchiectomy. I'm an RN that of course always wondered how I'd react if I was the one dealing with something like this. So far I'm actually okay. I just want this thing gone, and then will attack what's needed one step at a time. 
Anyone else in a similar position? Should I maybe be more freaked out?</t>
        </is>
      </c>
      <c r="D3246" t="n">
        <v>12</v>
      </c>
      <c r="E3246" t="n">
        <v>12</v>
      </c>
      <c r="F3246">
        <f>HYPERLINK("https://www.reddit.com/r/cancer/comments/c7gyj9/being_on_the_other_side/")</f>
        <v/>
      </c>
      <c r="G3246" t="inlineStr">
        <is>
          <t>2019-06-30 10:15:29</t>
        </is>
      </c>
      <c r="H3246" t="inlineStr"/>
    </row>
    <row r="3247">
      <c r="A3247" t="inlineStr">
        <is>
          <t>c7hbeo</t>
        </is>
      </c>
      <c r="B3247" t="inlineStr">
        <is>
          <t>Advice for esophagitis?</t>
        </is>
      </c>
      <c r="C3247" t="inlineStr">
        <is>
          <t>Seeking advice for my husband who has lung cancer. Six more days to go but he is having problems getting food down due to the pain in esophagus whenever he swallows. Yesterday he only drank two boosts and sipped Coke. He has magic mouthwash and painkillers but they don’t seem to be helping much. He is down to 116 lbs. Know that continually bugging him to eat or drink is pointless. He is the one feeling all this pain and suffering. He tells doctors and nurses he is fine but I know this is not the case.</t>
        </is>
      </c>
      <c r="D3247" t="n">
        <v>11</v>
      </c>
      <c r="E3247" t="n">
        <v>12</v>
      </c>
      <c r="F3247">
        <f>HYPERLINK("https://www.reddit.com/r/cancer/comments/c7hbeo/advice_for_esophagitis/")</f>
        <v/>
      </c>
      <c r="G3247" t="inlineStr">
        <is>
          <t>2019-06-30 10:47:16</t>
        </is>
      </c>
      <c r="H3247" t="inlineStr"/>
    </row>
    <row r="3248">
      <c r="A3248" t="inlineStr">
        <is>
          <t>c7ibun</t>
        </is>
      </c>
      <c r="B3248" t="inlineStr">
        <is>
          <t>Impending treatment is freakin me out</t>
        </is>
      </c>
      <c r="C3248" t="inlineStr">
        <is>
          <t>Hey everyone, 
I’m experiencing the recurrence of squamous cell carcinoma of the head and neck. This thing is scary AF. I need a feeding tube put in so they can keep me from starving after they remove a third of my tongue and do radiation on my mouth. I need a lingual reconstruction that will be done with a tissue graft from my left wrist and then they’ll have to graft some of my thigh to my wrist. The surgeon said I could get so swollen that I won’t be able to breathe and will need a tracheotomy. I’m 32 years old and I’ve never experienced anything like this before. No broken bones, tonsillectomy or appendectomy, no major illness... it’s like Karma saved up all the bad things I’ve ever done and threw them back at me in one huge retribution. I may never be able to talk again after the surgery. And with all of these thoughts swirling around in my head, the one that my mind has chosen to seize upon is, “Should I get a pixie/boy haircut before surgery so my hair won’t look so bad isn’t the hospital and when people come to visit after discharge?” 🤦🏻‍♀️🤦🏻‍♀️</t>
        </is>
      </c>
      <c r="D3248" t="n">
        <v>14</v>
      </c>
      <c r="E3248" t="n">
        <v>12</v>
      </c>
      <c r="F3248">
        <f>HYPERLINK("https://www.reddit.com/r/cancer/comments/c7ibun/impending_treatment_is_freakin_me_out/")</f>
        <v/>
      </c>
      <c r="G3248" t="inlineStr">
        <is>
          <t>2019-06-30 12:16:54</t>
        </is>
      </c>
      <c r="H3248" t="inlineStr"/>
    </row>
    <row r="3249">
      <c r="A3249" t="inlineStr">
        <is>
          <t>c7jqoi</t>
        </is>
      </c>
      <c r="B3249" t="inlineStr">
        <is>
          <t>Just want to share a nice story in a shitty cancer world</t>
        </is>
      </c>
      <c r="C3249" t="inlineStr">
        <is>
          <t>During my ewing sarcoma treatment I have met a  very nice guy, we spend many weeks together in the same room and really helped each other through our bad time. I have never had such an experience with a random person in all hospital stays I have had, I would kind of say we were made for each other. After our weeks together were over (I was able to leave some weeks earlier) we both couldn't stop thinking about the support we gave each other. So we managed to start writing letters and keep us updated. My treatment ended a half year after I left the room with him and his was over when he was able to go home so some months before me. We kept in touch and wanted to meet and grill because I told him about my legendary burgers I make. And about the same time I get the information that my cancer is back I get a letter from him telling me that his is back too. That's bullshit for both of us but I think that cancer formed some kind of friendship and support between us that cant be explained its unique.
I don't really know that person but at the same time he has a connection to me stronger than some people I know for a long long time.
And besides of all the shit cancer brings with it pic out the wonderful moments and make it your weapon against it.
Stay strong everybody</t>
        </is>
      </c>
      <c r="D3249" t="n">
        <v>35</v>
      </c>
      <c r="E3249" t="n">
        <v>3</v>
      </c>
      <c r="F3249">
        <f>HYPERLINK("https://www.reddit.com/r/cancer/comments/c7jqoi/just_want_to_share_a_nice_story_in_a_shitty/")</f>
        <v/>
      </c>
      <c r="G3249" t="inlineStr">
        <is>
          <t>2019-06-30 14:19:44</t>
        </is>
      </c>
      <c r="H3249" t="inlineStr"/>
    </row>
    <row r="3250">
      <c r="A3250" t="inlineStr">
        <is>
          <t>c7k3u9</t>
        </is>
      </c>
      <c r="B3250" t="inlineStr">
        <is>
          <t>Is recurring cancer 'cureable'?</t>
        </is>
      </c>
      <c r="C3250" t="inlineStr">
        <is>
          <t>My mums cancer has recurred (stage 4 - she said it is only stage 4 because it is recurring cancer, but it has not spread). 
She was first diagnosed with stomach cancer and had about 3/4 of her stomach removed. She received chemo and there were no more traces of her cancer left after she finished her rounds.
About 2 years later (last month ish) she was told she had another tumour, and underwent a PET scan. The scan showed that the tumour was between her pancreas and spleen. It has not spread.
She is going through targeted radiation therapy, consisting of 7 minutes of radiation, everyday, for 5 weeks.
She refuses to tell me anything that might worry me.
So, I'm wondering how long is she expected to live if her treatment is successful? 
What is the likelihood of the treatment being successful? 
Thank you in advance!</t>
        </is>
      </c>
      <c r="D3250" t="n">
        <v>10</v>
      </c>
      <c r="E3250" t="n">
        <v>13</v>
      </c>
      <c r="F3250">
        <f>HYPERLINK("https://www.reddit.com/r/cancer/comments/c7k3u9/is_recurring_cancer_cureable/")</f>
        <v/>
      </c>
      <c r="G3250" t="inlineStr">
        <is>
          <t>2019-06-30 14:51:07</t>
        </is>
      </c>
      <c r="H3250" t="inlineStr"/>
    </row>
    <row r="3251">
      <c r="A3251" t="inlineStr">
        <is>
          <t>c7kby5</t>
        </is>
      </c>
      <c r="B3251" t="inlineStr">
        <is>
          <t>Impending Stem Cell transplant: I'm beyond worried.</t>
        </is>
      </c>
      <c r="C3251" t="inlineStr">
        <is>
          <t>Hey everyone,
My name is Michael. I'm 28, and have been on the cancer trip for a few years now. Back in 2017, I was diagnosed with Myeloid Sarcoma: a type of soft tissue mass made of Acute Myeloid Leukemia cells. We treated it for half a year, and it went away. Hidac chemotherapy, no radiation. Fast forward a year and three months. I've been living life differently with a second chance. Went back to finish uni, hit the gym, and lost 90 pounds. I went to my oncologist to check out my stomach for a possible hernia, but my Sarcoma returned. I have been on a new chemo treatment for a few months now: Decidabine and Venetoclax, and it has been working. Unfortunately though, once the cancer is in remission, I need a bone marrow/stem cell transplant. I've been reading all I can on these transplants. Case studies, scholarly articles, basically anything I can get my hands on aside from WebMD (My Sarcoma is so rare that it doesn't show up on there anyway). All the info that's out there (at least from what I've seen) has to do with the 60+ age group, because AML is most common in people that age. How worried should I be? I have 36 preliminary 10/10 matches, 4 of which have gone in for lab work already. All I've seen is what can go wrong with this transplant, does anyone have any feel good stories about it? Or something to help with my nerves? My mortality is staring me in the face and it's breaking me down.</t>
        </is>
      </c>
      <c r="D3251" t="n">
        <v>18</v>
      </c>
      <c r="E3251" t="n">
        <v>24</v>
      </c>
      <c r="F3251">
        <f>HYPERLINK("https://www.reddit.com/r/cancer/comments/c7kby5/impending_stem_cell_transplant_im_beyond_worried/")</f>
        <v/>
      </c>
      <c r="G3251" t="inlineStr">
        <is>
          <t>2019-06-30 15:11:00</t>
        </is>
      </c>
      <c r="H3251" t="inlineStr"/>
    </row>
    <row r="3252">
      <c r="A3252" t="inlineStr">
        <is>
          <t>c7kcg1</t>
        </is>
      </c>
      <c r="B3252" t="inlineStr">
        <is>
          <t>This is my story I am now cancer free!!</t>
        </is>
      </c>
      <c r="C3252" t="inlineStr">
        <is>
          <t>This is a really good time to tell everyone the news that I have to tell. So not everyone knows about this but the summer of 2018 I was diagnosed with Ewing sarcoma and this was the worst thing that truly has ever happened to me and I was honestly so devastated. So that summer I was in the process of moving already and this just made everything so June 12 I went on a plane to Boston and no joke that day we met with the doctors at Massachusetts General Hospital and they confirmed what I had. So that entire summer I was busy kicking cancers ass which I took like an absolute champ and then I moved to Northfield Vermont and started school at Montpelier High School those who know military kids know that making friends is not the easiest thing to do but there are a few kids that welcomed me and to them I say thank you so much it actually means so much to me. So throughout the school year it was quite hard to not only keep up with all my classes junior year but also trying to get into school as often as possible was quite difficult as well. I also met probably one of the best person ever and that is my Girlfriend Savannah Tedder I have kept out relationship pretty private but I just want to say that she has helped me out this last 7 months so much and she means so much to me. I have also had many many awesome opportunities this year including meeting David Ortiz and some world champion Red Sox players as shitty this year has been I’m glad I have had some once in a lifetime experiences. On May 10ish I finished the final stretch of treatment and up until that point I had finished both chemo therapy and radiation treatment. Finally on June 21 I had the final full body scans and everything had come back positive with absolutely no signs what so ever of any evidence of and indication of cancer cells so it’s official I am now cancer free!</t>
        </is>
      </c>
      <c r="D3252" t="n">
        <v>86</v>
      </c>
      <c r="E3252" t="n">
        <v>21</v>
      </c>
      <c r="F3252">
        <f>HYPERLINK("https://www.reddit.com/r/cancer/comments/c7kcg1/this_is_my_story_i_am_now_cancer_free/")</f>
        <v/>
      </c>
      <c r="G3252" t="inlineStr">
        <is>
          <t>2019-06-30 15:12:10</t>
        </is>
      </c>
      <c r="H3252" t="inlineStr"/>
    </row>
    <row r="3253">
      <c r="A3253" t="inlineStr">
        <is>
          <t>c7kph1</t>
        </is>
      </c>
      <c r="B3253" t="inlineStr">
        <is>
          <t>Whats next? Chemotherapy..</t>
        </is>
      </c>
      <c r="C3253" t="inlineStr">
        <is>
          <t>Ive been doing better emotionally since chemo has carried on, my CA125 (tumor marker) has been going down and its like i have a security blanket. As harsh as chemo is.. Its like i know im getting treated. Getting "clean". Now I only have 1 more infusion left and im already starting to panic. What do i do after? What will i do with not seeing my oncologist every 3 weeks... What will i do if my cancer cell count rises? What do i do about an ache, pain or creeping thought? I already have so much anxiety about being out of the "mental safety" of chemo. How did you all survive and thrive after chemo??</t>
        </is>
      </c>
      <c r="D3253" t="n">
        <v>5</v>
      </c>
      <c r="E3253" t="n">
        <v>3</v>
      </c>
      <c r="F3253">
        <f>HYPERLINK("https://www.reddit.com/r/cancer/comments/c7kph1/whats_next_chemotherapy/")</f>
        <v/>
      </c>
      <c r="G3253" t="inlineStr">
        <is>
          <t>2019-06-30 15:45:14</t>
        </is>
      </c>
      <c r="H3253" t="inlineStr"/>
    </row>
    <row r="3254">
      <c r="A3254" t="inlineStr">
        <is>
          <t>c7lfuz</t>
        </is>
      </c>
      <c r="B3254" t="inlineStr">
        <is>
          <t>Father passed away from cancer.</t>
        </is>
      </c>
      <c r="C3254" t="inlineStr">
        <is>
          <t>Hello all, I don't know why I am sharing this. My father was diagnosed with Stage4 Cancer about 4 months ago (not even.)
&amp;amp;#x200B;
It was bladder cancer, which spread to his lungs, and kidney. After the diagnosis he quickly whent downhill, and was determined to be too sick for treatment.  
He enjoyed his last few months at home with his family, and with visits from his closest family, and friends.  
He was surrounded by all of us when he passed. Me, my mother, my brother, and my sister, and her husband.  
His passing was quick, and it seemed painless. Once it was over he did look at peace, and I truly hope that is that case.  
I wish with all my heart that everyone going through this will experience all the love, protection, and good luck they need.
&amp;amp;#x200B;
If anyone needs to talk, feel free to PM me. I could also use someone to talk to.  
Much love..</t>
        </is>
      </c>
      <c r="D3254" t="n">
        <v>52</v>
      </c>
      <c r="E3254" t="n">
        <v>6</v>
      </c>
      <c r="F3254">
        <f>HYPERLINK("https://www.reddit.com/r/cancer/comments/c7lfuz/father_passed_away_from_cancer/")</f>
        <v/>
      </c>
      <c r="G3254" t="inlineStr">
        <is>
          <t>2019-06-30 16:55:50</t>
        </is>
      </c>
      <c r="H3254" t="inlineStr"/>
    </row>
    <row r="3255">
      <c r="A3255" t="inlineStr">
        <is>
          <t>c7ltzj</t>
        </is>
      </c>
      <c r="B3255" t="inlineStr">
        <is>
          <t>For those who have undergone cancer treatment, what parts of it really scared you/ caused a lot of anxiety?</t>
        </is>
      </c>
      <c r="C3255" t="inlineStr">
        <is>
          <t>I am working for a hospital and involved in a study looking at the parts of cancer treatment that may induce anxiety/ panic/ generally find it triggering so I thought I would ask this subreddit.</t>
        </is>
      </c>
      <c r="D3255" t="n">
        <v>5</v>
      </c>
      <c r="E3255" t="n">
        <v>19</v>
      </c>
      <c r="F3255">
        <f>HYPERLINK("https://www.reddit.com/r/cancer/comments/c7ltzj/for_those_who_have_undergone_cancer_treatment/")</f>
        <v/>
      </c>
      <c r="G3255" t="inlineStr">
        <is>
          <t>2019-06-30 17:34:42</t>
        </is>
      </c>
      <c r="H3255" t="inlineStr"/>
    </row>
    <row r="3256">
      <c r="A3256" t="inlineStr">
        <is>
          <t>c7m2hk</t>
        </is>
      </c>
      <c r="B3256" t="inlineStr">
        <is>
          <t>Possible cancer cure from vegan product</t>
        </is>
      </c>
      <c r="C3256" t="inlineStr">
        <is>
          <t>It is from my product that i sell for seminal fluid increase and fertility. But it also helps (apparently) for cancer.  This is a 100% vegan product. How i found out that this helps treating cancer is by reading holy scriptures.
&amp;amp;#x200B;
Please ignore haters!
&amp;amp;#x200B;
To buy visit cumincrease.com</t>
        </is>
      </c>
      <c r="D3256" t="n">
        <v>0</v>
      </c>
      <c r="E3256" t="n">
        <v>1</v>
      </c>
      <c r="F3256">
        <f>HYPERLINK("https://www.reddit.com/r/cancer/comments/c7m2hk/possible_cancer_cure_from_vegan_product/")</f>
        <v/>
      </c>
      <c r="G3256" t="inlineStr">
        <is>
          <t>2019-06-30 17:59:09</t>
        </is>
      </c>
      <c r="H3256" t="inlineStr"/>
    </row>
    <row r="3257">
      <c r="A3257" t="inlineStr">
        <is>
          <t>c7nucb</t>
        </is>
      </c>
      <c r="B3257" t="inlineStr">
        <is>
          <t>Post-chemo/radiation hair care products/tips</t>
        </is>
      </c>
      <c r="C3257" t="inlineStr">
        <is>
          <t>My friend is finishing her last week of radiation and is very excited to start growing back her hair. I'd like to make her a hair care package to help celebrate. Any products you can recommend?</t>
        </is>
      </c>
      <c r="D3257" t="n">
        <v>3</v>
      </c>
      <c r="E3257" t="n">
        <v>3</v>
      </c>
      <c r="F3257">
        <f>HYPERLINK("https://www.reddit.com/r/cancer/comments/c7nucb/postchemoradiation_hair_care_productstips/")</f>
        <v/>
      </c>
      <c r="G3257" t="inlineStr">
        <is>
          <t>2019-06-30 21:01:44</t>
        </is>
      </c>
      <c r="H3257" t="inlineStr"/>
    </row>
    <row r="3258">
      <c r="A3258" t="inlineStr">
        <is>
          <t>c7ogn2</t>
        </is>
      </c>
      <c r="B3258" t="inlineStr">
        <is>
          <t>My mama has Non Hodgkins Lymphoma</t>
        </is>
      </c>
      <c r="C3258" t="inlineStr">
        <is>
          <t>My mama is 76 years old. She was diagnosed back in Feb of this year. She was told she has Non Hodgkins Lymphoma.  They told me and her that she is stage 3. The doctor told her that chemo won't cure her kind of lymphoma. My mama has lost of appetite with nausea she was recently told she has fluid in her left lung. She says she feels like she is smothering when she lays down. She is have fever and we go see the Cancer doctor Wednesday. I have tried to get her to go to the ER because if she walks she gasps for air like a fish out of water. Now mama can still walk but very very short distances.
About 3 weeks ago my mama was still working and doing stuff with family. Now she refuses to have visitors. Her personality has changed since was diagnosed. She doesn't seem anger she is more blunt with everyone. Its hard seeing the once outgoing person turn into someone I don't know. Its hard to see this happening to her.
I have 1 sister and 3 brothers. I'm the only one not working. I am disabled  I can still walk but have issues with several health issues that have prevented me from working since 2002. I receive SSD. I have been the one mama calls her "right hand" I take care of her taking her to the doctor and running errands. But all of this has been wearing me down. Mama doesn't realize that I'm not feeling well myself. My siblings work and have their families and can't really help with mama much.  So I'm left to tend to mama. 
So far mama's doctor hasn't got Hospice involved but I think this will be a factor when we go to the doctor Wednesday. 
She showed me where the lock box key is to open the box with all information that will be needed in the event of her death. My mama been telling me where all her paper work,insurance and will are. She has told me that she don't want visitation. She just wants to have grave side services and requested a plain and simple graveside service. She is ready...
I just wanted to vent and let you all know I know those of us the care takers have a lot to deal with. Its hard seeing your loved ones slowly fading away. 
Thank you for reading my vent and sorry for being so random.</t>
        </is>
      </c>
      <c r="D3258" t="n">
        <v>2</v>
      </c>
      <c r="E3258" t="n">
        <v>3</v>
      </c>
      <c r="F3258">
        <f>HYPERLINK("https://www.reddit.com/r/cancer/comments/c7ogn2/my_mama_has_non_hodgkins_lymphoma/")</f>
        <v/>
      </c>
      <c r="G3258" t="inlineStr">
        <is>
          <t>2019-06-30 22:09:41</t>
        </is>
      </c>
      <c r="H3258" t="inlineStr"/>
    </row>
    <row r="3259">
      <c r="A3259" t="inlineStr">
        <is>
          <t>c7oxdj</t>
        </is>
      </c>
      <c r="B3259" t="inlineStr">
        <is>
          <t>Lost my mom this evening</t>
        </is>
      </c>
      <c r="C3259" t="inlineStr">
        <is>
          <t>Don’t really know why I’m posting this, but this community has been helpful to comment in/post throughout this mess
My mom lost her fight to glioblastoma this evening; it was much quicker than we expected, it progressed rapidly in the last week and a half. We’re finding solace in the fact that she’s no longer in discomfort or pain
Prayers and thoughts are much appreciated, I wouldn’t wish this upon anyone else</t>
        </is>
      </c>
      <c r="D3259" t="n">
        <v>10</v>
      </c>
      <c r="E3259" t="n">
        <v>4</v>
      </c>
      <c r="F3259">
        <f>HYPERLINK("https://www.reddit.com/r/cancer/comments/c7oxdj/lost_my_mom_this_evening/")</f>
        <v/>
      </c>
      <c r="G3259" t="inlineStr">
        <is>
          <t>2019-06-30 23:04:45</t>
        </is>
      </c>
      <c r="H3259" t="inlineStr"/>
    </row>
    <row r="3260">
      <c r="A3260" t="inlineStr">
        <is>
          <t>c7p9sf</t>
        </is>
      </c>
      <c r="B3260" t="inlineStr">
        <is>
          <t>Excersizing with anemia after stem cell transplant (125 days out!)</t>
        </is>
      </c>
      <c r="C3260" t="inlineStr">
        <is>
          <t>I had a stem cell transplant back in February (I'm 34) but because my blood type changed i could experience low red blood cells (anemia) for up to a year. i want to build endurance through both cardiovascular and strength training. I'm wondering if any of you have experience/advice on how to build your body back up and make it stronger while dealing with anemia.</t>
        </is>
      </c>
      <c r="D3260" t="n">
        <v>6</v>
      </c>
      <c r="E3260" t="n">
        <v>6</v>
      </c>
      <c r="F3260">
        <f>HYPERLINK("https://www.reddit.com/r/cancer/comments/c7p9sf/excersizing_with_anemia_after_stem_cell/")</f>
        <v/>
      </c>
      <c r="G3260" t="inlineStr">
        <is>
          <t>2019-06-30 23:47:15</t>
        </is>
      </c>
      <c r="H3260" t="inlineStr"/>
    </row>
    <row r="3261">
      <c r="A3261" t="inlineStr">
        <is>
          <t>c7psk3</t>
        </is>
      </c>
      <c r="B3261" t="inlineStr">
        <is>
          <t>Can Curcumin Combat Cancer?</t>
        </is>
      </c>
      <c r="C3261" t="inlineStr">
        <is>
          <t xml:space="preserve"> 
[Can Curcumin Combat Cancer? Stayfitz](https://i.redd.it/w0u0hqp8en731.png)
&amp;amp;#x200B;
For thousands of years, Turmeric has been used for its medicinal properties and is a widely used spice in Asian and Indian cuisine. [Curcumin](https://www.stayfitz.com/products/turmeric-combo-60-capsules?variant=18143480086628) is a natural compound found in turmeric which contains high amounts of antioxidants that have multiple benefits such as:
* Reduces inflammation. 
* Acts as a natural painkiller.
* Improves heart health.
* Enhances digestion and blood circulation.
* Improves liver function.
However, new research and studies have shown that curcumin is actually is a highly promising natural compound that can potentially prevent cancer from spreading in your body.
### Studies on curcumin as a cancer treatment
The studies of curcumin on humans are in their initial stages. However, the studies done on laboratory animals have shown curcumin to have anticancer properties. These studies concluded that curcumin could kill cancer cells and prevent more from growing in your body.
 It was also found that the combined treatment of curcumin and chemotherapy is way more effective than just doing chemotherapy. [Curcumin](https://www.stayfitz.com/products/turmeric-combo-60-capsules?variant=18143480086628) is being studied on many types of cancers however, it has been known to be more effects on breast cancer, bowel cancer, stomach cancer, and skin cancer cells.
### How to use it
Research has shown that countries who consume more curcumin show a lower rate of cancer. The recommended amount of curcumin in a day is ½ a teaspoon or 500 gm per person. Cooking with turmeric or using [curcumin supplements ](https://www.stayfitz.com/products/turmeric-combo-60-capsules?variant=18143480086628)is the best way to get the recommended amount of antioxidants to fight against the cancer cells in your body. It is advisable to use black pepper while consuming curcumin as it helps in better absorption of curcumin in your body.
### Conclusion  
Preliminary studies have shown that curcumin has anti-cancer properties and the data suggests that curcumin can be a natural way to kill cancer cells in your body in the long run. However, only you can decide whether to use it as an alternative cancer therapy. It is advisable to consult your oncologists before incorporating curcumin in your diet or take a supplement.</t>
        </is>
      </c>
      <c r="D3261" t="n">
        <v>1</v>
      </c>
      <c r="E3261" t="n">
        <v>0</v>
      </c>
      <c r="F3261">
        <f>HYPERLINK("https://www.reddit.com/r/cancer/comments/c7psk3/can_curcumin_combat_cancer/")</f>
        <v/>
      </c>
      <c r="G3261" t="inlineStr">
        <is>
          <t>2019-07-01 00:54:30</t>
        </is>
      </c>
      <c r="H3261" t="inlineStr"/>
    </row>
    <row r="3262">
      <c r="A3262" t="inlineStr">
        <is>
          <t>c7real</t>
        </is>
      </c>
      <c r="B3262" t="inlineStr">
        <is>
          <t>What are some activities a physically active person can do while on chemo and radiation?</t>
        </is>
      </c>
      <c r="C3262" t="inlineStr">
        <is>
          <t>Fist, I want to apologize for any formatting issues, I'm on mobile.
A friend of mine will be starting chemo and radiation therapy soon, and I want to support him as best as I can. He loves to be out of the house and is the type of person that will get antsy and frustrated if he does not have something to do. To give you an example, despite doctors orders to avoid physical activity, he decided the lawn needed to be mowed two days after a surgery and ended up tearing out his stitches. That's just the type of person he is and I love him all the more for it.
He is in his mid sixties and is an avid bike rider. He rides four or five times a week as his main method of exercise and blowing off steam. Unfortunately, he has been diagnosed with an anal cancer, and will not be able to bike durring his treatment. I am know that without biking he will be frustrated and depressed if he can not find something else to keep him occupied, and possibly do self-destructive things like in my example.
I would really appreciate any ideas and/or resources you have to offer! He lives in Wisconsin if that is relevant. Thank you in advance!</t>
        </is>
      </c>
      <c r="D3262" t="n">
        <v>5</v>
      </c>
      <c r="E3262" t="n">
        <v>14</v>
      </c>
      <c r="F3262">
        <f>HYPERLINK("https://www.reddit.com/r/cancer/comments/c7real/what_are_some_activities_a_physically_active/")</f>
        <v/>
      </c>
      <c r="G3262" t="inlineStr">
        <is>
          <t>2019-07-01 04:26:30</t>
        </is>
      </c>
      <c r="H3262" t="inlineStr"/>
    </row>
    <row r="3263">
      <c r="A3263" t="inlineStr">
        <is>
          <t>c7tzw0</t>
        </is>
      </c>
      <c r="B3263" t="inlineStr">
        <is>
          <t>I have pain in my breast and it's been nearly impossible to schedule a mammogram.</t>
        </is>
      </c>
      <c r="C3263" t="inlineStr">
        <is>
          <t>I need to vent and maybe some advice...
Last year my mom passed away from her originally breast cancer which came back and metastasized to her lung. She was triple negative and no one in our family had it before her and if I remember correctly she tested negative for all genetic markers.
I've always had pains and soreness in my right breast since I was in middle school. but Since like thursday or friday there's a spot that hurts pretty good, not all the time but it's there. I pressed around and it doesn't feel like a lump it just feels like regular boob stuff in there but it hurts. It's been freaking me out like crazy all weekend and I've spent all morning just trying to get a mammogram. The first place didn't do mammos, the next one needed a doctors order, now i need to find a primary care physician (no I don't have one I'm 28 and don't have time for the doctor). I took 3 "Assess your risk" surveys, Yes I'm on birth control, no I haven't been taking for for 5 years, I got my period at age 11, no I don't smoke, no, no one in my family had cancer except my mom, Yes I exercise, I know I'm overweight but you don't know that I've lost nearly 15 pounds to lower my risk, NO I don't want you to email me my results. AH where can I get a mammogram?!?!
I'm at my desk at work and my brain is screaming.
I want to cry. I know none of you know for sure but tell me that the chance of me getting cancer is slim to none, that I'll grow old with my husband and we'll die together never leaving the other alone. That we'll be able to start a family together and that our kids nor us will ever get cancer.</t>
        </is>
      </c>
      <c r="D3263" t="n">
        <v>3</v>
      </c>
      <c r="E3263" t="n">
        <v>7</v>
      </c>
      <c r="F3263">
        <f>HYPERLINK("https://www.reddit.com/r/cancer/comments/c7tzw0/i_have_pain_in_my_breast_and_its_been_nearly/")</f>
        <v/>
      </c>
      <c r="G3263" t="inlineStr">
        <is>
          <t>2019-07-01 08:31:37</t>
        </is>
      </c>
      <c r="H3263" t="inlineStr"/>
    </row>
    <row r="3264">
      <c r="A3264" t="inlineStr">
        <is>
          <t>c7wa95</t>
        </is>
      </c>
      <c r="B3264" t="inlineStr">
        <is>
          <t>Why can't people who have undergone chemotherapy in the past be bone marrow donors?</t>
        </is>
      </c>
      <c r="C3264" t="inlineStr">
        <is>
          <t>Apparently cancer survivors can donate bone marrow but only if they have never undergone chemotherapy. Why is having undergone chemotherapy a disqualifying factor?</t>
        </is>
      </c>
      <c r="D3264" t="n">
        <v>1</v>
      </c>
      <c r="E3264" t="n">
        <v>6</v>
      </c>
      <c r="F3264">
        <f>HYPERLINK("https://www.reddit.com/r/cancer/comments/c7wa95/why_cant_people_who_have_undergone_chemotherapy/")</f>
        <v/>
      </c>
      <c r="G3264" t="inlineStr">
        <is>
          <t>2019-07-01 10:26:46</t>
        </is>
      </c>
      <c r="H3264" t="inlineStr"/>
    </row>
    <row r="3265">
      <c r="A3265" t="inlineStr">
        <is>
          <t>c7y0pf</t>
        </is>
      </c>
      <c r="B3265" t="inlineStr">
        <is>
          <t>Dad diagnosed with bowel cancer, I'm unable to talk to doctors so making a post here in case anyone can give info</t>
        </is>
      </c>
      <c r="C3265" t="inlineStr">
        <is>
          <t>Unfortunately we found out today that he has bowel cancer. He's away in Dubai so all I can get is 2nd hand information which is really frustrating. What I know is:
-It hasn't spread (fortunately)
-He had a surgery a few days ago that removed an abscess and a tumour together, the portion of the bowel they removed was very large. They believe that was the only tumour.
- They believe it's spread to only one lymph node (This would be stage III right?)
- They're recommending both 3 months of Chemo and Radiotherapy shortly
I'm not really sure what to think just off this info. From what I've read it looks like Stage III which isn't great...but if it's only one lymph node is all of the chemo+radiotherapy necessary? Is all this news together positive? Is the fact they're offering chemo AND radiotherapy a bad sign? Or a good one? Or neither?
Any kind of information that'd help me simplify all this info into something more digestible and tell me if it's good or bad news would be really helpful. Thank you so much.</t>
        </is>
      </c>
      <c r="D3265" t="n">
        <v>1</v>
      </c>
      <c r="E3265" t="n">
        <v>5</v>
      </c>
      <c r="F3265">
        <f>HYPERLINK("https://www.reddit.com/r/cancer/comments/c7y0pf/dad_diagnosed_with_bowel_cancer_im_unable_to_talk/")</f>
        <v/>
      </c>
      <c r="G3265" t="inlineStr">
        <is>
          <t>2019-07-01 11:49:51</t>
        </is>
      </c>
      <c r="H3265" t="inlineStr"/>
    </row>
    <row r="3266">
      <c r="A3266" t="inlineStr">
        <is>
          <t>c7z5zt</t>
        </is>
      </c>
      <c r="B3266" t="inlineStr">
        <is>
          <t>lung cancer x2</t>
        </is>
      </c>
      <c r="C3266" t="inlineStr">
        <is>
          <t>my mom was diagnosed with cancer almost exactly a year ago. lung cancer that metastasized to her brain, liver, and bone on top of her having lupus and hoshimoto’s disease, fibromyalgia, etc. at first they gave her ~2 months to live, and i genuinely believed she would live for a few more years since treatment seemed to be working enough to keep the cancer “stable.” except today. we just met with her oncologist and her PET scan showed the lesions had grown. with hospice, he gives her max 6 months to live. same if the current chemotherapy doesn’t work. and if it doesn’t, she moves onto a different, and fourth, type of chemo.
i’m my mom’s primary caretaker (lately she’s been feeling okay enough to do some household chores, but not much). driving her to appointments, giving her medicine, running errands, cleaning the house, taking care of the pets, paying bills. it’s been incredibly difficult to watch her slowly waste away.
the only light in my life has been meeting my boyfriend. he’s been as supportive as he can. this past saturday, he got a call from his mom that his cousin has lung cancer... and it’s spread to the brain and spine. i told him over and over, “if my mom can survive this long, so can your cousin! it’ll be okay, i promise.” and now i feel like a giant fucking liar, especially after reading some posts on here regarding lung cancer... so now i’m worried about my new-ish relationship ending because these are huge events that can really impact somebody. i’m obviously going to talk to him about it.
i don’t know how to support somebody going through something so similar, being positive, etc, when i essentially know the outcome. i’m already depressed enough about the realization that my mom won’t see me or my brothers graduate college (i’m 24 and my brothers are younger), get married, or meet any of her grandchildren. maybe that’s selfish, but i don’t care. maybe she will live long enough to see those things, but i don’t think that’s realistic.
i just needed to vent. thank you for reading.</t>
        </is>
      </c>
      <c r="D3266" t="n">
        <v>1</v>
      </c>
      <c r="E3266" t="n">
        <v>1</v>
      </c>
      <c r="F3266">
        <f>HYPERLINK("https://www.reddit.com/r/cancer/comments/c7z5zt/lung_cancer_x2/")</f>
        <v/>
      </c>
      <c r="G3266" t="inlineStr">
        <is>
          <t>2019-07-01 12:47:38</t>
        </is>
      </c>
      <c r="H3266" t="inlineStr"/>
    </row>
    <row r="3267">
      <c r="A3267" t="inlineStr">
        <is>
          <t>c7z74i</t>
        </is>
      </c>
      <c r="B3267" t="inlineStr">
        <is>
          <t>Finished my school and got my Abitur (German high school diploma)</t>
        </is>
      </c>
      <c r="C3267" t="inlineStr">
        <is>
          <t>So in my times at school as I was 13/14 I was first diagnosed with high grade osteosarcoma in my left shoulder and lost a year. But instead of redoing it I stayed though and got to 9th grade ( we have 12/13 years of schooling in germany). So things got great again I studied and I got a part time job in 11th grade and on top of that I got a gf (ex now). 
But then I got a call and needed another CT. Comes out I had a small metastase in my left lung that was so small and behind a rip of mine so it stayed undetected in the x-rays. 
Well docs said I will need another chemo. And that is what I have done. 
But I lost half of my 11th grade and a quarter of my 12th grade in the process. But I still pushed through. I started year 11 with an average of 1.89 as a grade but graduated with a 3.1 average. 
But you know what I do not care what grade I have in the end, I am just proud of myself to being able to survive up to this point with the odds completely against me. A lot of fellow classmates told me how amazing I am for doing something like that.
My message is do not give up on you, and enjoy live to the fullest possible. And fight through all that crappy ass bitch called cancer. And for the people around someone undergoing treatment or someone who finished be there for them and support them. Without my family and friends it would have been impossible for me to achieve that.
Sry for the long post just needed to get it out of my chest.</t>
        </is>
      </c>
      <c r="D3267" t="n">
        <v>5</v>
      </c>
      <c r="E3267" t="n">
        <v>3</v>
      </c>
      <c r="F3267">
        <f>HYPERLINK("https://www.reddit.com/r/cancer/comments/c7z74i/finished_my_school_and_got_my_abitur_german_high/")</f>
        <v/>
      </c>
      <c r="G3267" t="inlineStr">
        <is>
          <t>2019-07-01 12:50:00</t>
        </is>
      </c>
      <c r="H3267" t="inlineStr"/>
    </row>
    <row r="3268">
      <c r="A3268" t="inlineStr">
        <is>
          <t>c7zf4l</t>
        </is>
      </c>
      <c r="B3268" t="inlineStr">
        <is>
          <t>Happy birthday, mom</t>
        </is>
      </c>
      <c r="C3268" t="inlineStr">
        <is>
          <t>You would have been 54 today. I miss you.
&amp;amp;#x200B;
I feel surprisingly sentimental, hence this silly vacuous post.</t>
        </is>
      </c>
      <c r="D3268" t="n">
        <v>62</v>
      </c>
      <c r="E3268" t="n">
        <v>12</v>
      </c>
      <c r="F3268">
        <f>HYPERLINK("https://www.reddit.com/r/cancer/comments/c7zf4l/happy_birthday_mom/")</f>
        <v/>
      </c>
      <c r="G3268" t="inlineStr">
        <is>
          <t>2019-07-01 13:07:04</t>
        </is>
      </c>
      <c r="H3268" t="inlineStr"/>
    </row>
    <row r="3269">
      <c r="A3269" t="inlineStr">
        <is>
          <t>c7ztxj</t>
        </is>
      </c>
      <c r="B3269" t="inlineStr">
        <is>
          <t>Coincidence or should I try and get some one to investigate.</t>
        </is>
      </c>
      <c r="C3269" t="inlineStr">
        <is>
          <t>I live in a town house complex with about 50 homes or so in it. I don’t know if it’s a coincidence but a lot of the people in this small neighborhood have been diagnosed with cancer. It’s different types of cancer and the ages of the people is of all ranges from kids to adults, and even pets as well. I don’t know maybe it’s just bad luck but could anything cause a cancer hotspot?</t>
        </is>
      </c>
      <c r="D3269" t="n">
        <v>0</v>
      </c>
      <c r="E3269" t="n">
        <v>3</v>
      </c>
      <c r="F3269">
        <f>HYPERLINK("https://www.reddit.com/r/cancer/comments/c7ztxj/coincidence_or_should_i_try_and_get_some_one_to/")</f>
        <v/>
      </c>
      <c r="G3269" t="inlineStr">
        <is>
          <t>2019-07-01 13:40:08</t>
        </is>
      </c>
      <c r="H3269" t="inlineStr"/>
    </row>
    <row r="3270">
      <c r="A3270" t="inlineStr">
        <is>
          <t>c803o8</t>
        </is>
      </c>
      <c r="B3270" t="inlineStr">
        <is>
          <t>My dad got diagnosed with Cancer.</t>
        </is>
      </c>
      <c r="C3270" t="inlineStr">
        <is>
          <t>Hello guys.  
So around 5 months ago, my dad (50yo) stumbled on a metal part of some machine at work, nothing too sharp but he mentioned he had pains just below his abdomen where he hit it. The place where he hit it started to grow, like he had a ball underneath his skin that just kept growing bigger. After 2 months he went to a doctor, and they taught it was a hematoma, but after the surgery they've noticed cancer cells in the matter they took out during the surgery. After being stitched back, the stitches broke in a few days as something started to grow inside of him again. His wound was checked every 2 days at the hospital and they said it should stay open so the "liquid" goes out untill we get the results from the lab. Neither his doctor, or the doctors from the main hospital in our country that deals with that stuff managed to find out what is the "source" or the cancer. Quote "We still couldn't find the NAME of the cancer so we can start giving him the chemo he needs".He will now be transfered there for further tests and God knows what else.. He lost 10kg over 5 months, and his wound hurts. He also says he has stomach aches often. Other than that he seems okay to me to be honest, he is optimistic and acts like he's not even sick..   
My dad didn't live a very healthy life, he is a smoker and would eat anything but I don't even remember him being sick, ever.. My family and me are very worried since we are all very attached to eachother and I'm not even sure why I'm posting here, I guess I just want to hear some opinions. Does it mean the cancer is worse if it's hard to detect? Would he be able to live a normal life if he managed to beat it after the chemo? (if he ever gets it). As you can tell, I know very little about all this, mostly because I'm scared to read all the stuff because it all ends with death..</t>
        </is>
      </c>
      <c r="D3270" t="n">
        <v>8</v>
      </c>
      <c r="E3270" t="n">
        <v>0</v>
      </c>
      <c r="F3270">
        <f>HYPERLINK("https://www.reddit.com/r/cancer/comments/c803o8/my_dad_got_diagnosed_with_cancer/")</f>
        <v/>
      </c>
      <c r="G3270" t="inlineStr">
        <is>
          <t>2019-07-01 14:02:23</t>
        </is>
      </c>
      <c r="H3270" t="inlineStr"/>
    </row>
    <row r="3271">
      <c r="A3271" t="inlineStr">
        <is>
          <t>c8135s</t>
        </is>
      </c>
      <c r="B3271" t="inlineStr">
        <is>
          <t>Anxiety waiting for biopsy results</t>
        </is>
      </c>
      <c r="C3271" t="inlineStr">
        <is>
          <t>My dad was diagnosed with bladder cancer after he went in thinking he had bladder stones as he started peeing blood :( they thought they were seeing stones in his bladder but it was a calcified tumor and there were other tumors in there too.. they removed them surgically and now he’s waiting on biopsy results.
It’s been almost a month now and I’ve been so anxious.. 
I don’t have any motivation/joy going to school anymore just from worrying. (I dropped late from my summer classes and I’m embarrassed about it).
 I haven’t seen my dad in 6 years and my embassy is not letting me renew my passport on a technicality - which will take up to a year to settle... If I go to see him with travel papers I dont know if and when I could come back to the US. I’m a Romanian citizen living in the US with a green card...
I’m currently trying to get travel papers to go especially if he gets some bad results for his cancer.. 
 I just can believe this is happening and I’m so upset I can’t just renew my passport, as my embassy won’t allow it...</t>
        </is>
      </c>
      <c r="D3271" t="n">
        <v>3</v>
      </c>
      <c r="E3271" t="n">
        <v>4</v>
      </c>
      <c r="F3271">
        <f>HYPERLINK("https://www.reddit.com/r/cancer/comments/c8135s/anxiety_waiting_for_biopsy_results/")</f>
        <v/>
      </c>
      <c r="G3271" t="inlineStr">
        <is>
          <t>2019-07-01 15:25:23</t>
        </is>
      </c>
      <c r="H3271" t="inlineStr"/>
    </row>
    <row r="3272">
      <c r="A3272" t="inlineStr">
        <is>
          <t>c81s8t</t>
        </is>
      </c>
      <c r="B3272" t="inlineStr">
        <is>
          <t>Mom might have cancer</t>
        </is>
      </c>
      <c r="C3272" t="inlineStr">
        <is>
          <t>My mom is going in on the 11th (10 days away) to see if she has cancer. I'm so worried. We don't have insurance and I don't know what to do. I'm only 18 and I don't have a license or my GED yet. I work part time from home and it doesn't bring in any significant amount of money. I feel useless. I'm trying to pull my shit together tho. My Dad also has health issues as well, and I have some of my own. I feel sick to my stomach. I'm so scared of losing her. My younger siblings have no clue what's happening. If anyone has advice I'd love to hear it. 😓☹️</t>
        </is>
      </c>
      <c r="D3272" t="n">
        <v>5</v>
      </c>
      <c r="E3272" t="n">
        <v>7</v>
      </c>
      <c r="F3272">
        <f>HYPERLINK("https://www.reddit.com/r/cancer/comments/c81s8t/mom_might_have_cancer/")</f>
        <v/>
      </c>
      <c r="G3272" t="inlineStr">
        <is>
          <t>2019-07-01 16:29:39</t>
        </is>
      </c>
      <c r="H3272" t="inlineStr"/>
    </row>
    <row r="3273">
      <c r="A3273" t="inlineStr">
        <is>
          <t>c81tz5</t>
        </is>
      </c>
      <c r="B3273" t="inlineStr">
        <is>
          <t>FIL Diagnosed with AML</t>
        </is>
      </c>
      <c r="C3273" t="inlineStr">
        <is>
          <t>When it rains it pours....
I lost my dad to bowel cancer 3 years ago last week.  13 months ago I was diagnosed with Breast Cancer, and yesterday my Father-in-Law was diagnosed with Acute Myeloid Leukemia.
We don't know much beyond the initial diagnosis at this stage (no subtype as yet).  He has been admitted to hospital, and they are starting treatment.  From hanging around this sub, I'm assuming that will be induction phase chemo to try to put him in remission but not 100% sure, as my husband and I are in Australia, and my FIL is in Norway.
Going forward, what are the things that are important to know when making treatment decisions, subtype would be the most obvious, but anything else.
Also can anyone recommend some good resources for my husband and I to read to give us an idea about what to expect going forward - we have the general cancer routine down pat by now, but obviously each cancer type is different.</t>
        </is>
      </c>
      <c r="D3273" t="n">
        <v>3</v>
      </c>
      <c r="E3273" t="n">
        <v>3</v>
      </c>
      <c r="F3273">
        <f>HYPERLINK("https://www.reddit.com/r/cancer/comments/c81tz5/fil_diagnosed_with_aml/")</f>
        <v/>
      </c>
      <c r="G3273" t="inlineStr">
        <is>
          <t>2019-07-01 16:33:56</t>
        </is>
      </c>
      <c r="H3273" t="inlineStr"/>
    </row>
    <row r="3274">
      <c r="A3274" t="inlineStr">
        <is>
          <t>c826nc</t>
        </is>
      </c>
      <c r="B3274" t="inlineStr">
        <is>
          <t>Proton vs Photon Therapy After Resection of Tumor</t>
        </is>
      </c>
      <c r="C3274" t="inlineStr">
        <is>
          <t>Hi all - I recently had surgery to resect a solitary fibrous tumor/hemangiopericytoma in my paranasal sinus, skull base and brain. My doctors feel this was a gross total resection, but are recommending radiation of the tumor bed to address any potential remaining cells as a preventative measure against recurrence. The hospital/doctors I’ve been going to feel photon therapy is the way to go, but they do not have proton therapy which could be why. I have an appointment scheduled for a second opinion at a close by hospital which does offer proton therapy. But, I thought I’d come here and possibly some other subs to see what folks think. 
Less exposure to healthy tissues with proton seems to make sense to me especially as the tumor was in my skull/against my right frontal lobe (not within my brain itself), but as the tumor has been removed, all that’s being treated is essentially healthy tissue. I’m concerned about risk to my optic nerve. The tumor was not touching it, but the plan would include some margin. (Current docs feel this would remain safe). The tumor I had is considered relatively rare so literature on photon vs proton and for the type is hard to find. Thinking about this, going with photon seems to make sense as it’s an older, more understood treatment. Any thoughts or guidance are appreciated!</t>
        </is>
      </c>
      <c r="D3274" t="n">
        <v>5</v>
      </c>
      <c r="E3274" t="n">
        <v>8</v>
      </c>
      <c r="F3274">
        <f>HYPERLINK("https://www.reddit.com/r/cancer/comments/c826nc/proton_vs_photon_therapy_after_resection_of_tumor/")</f>
        <v/>
      </c>
      <c r="G3274" t="inlineStr">
        <is>
          <t>2019-07-01 17:08:06</t>
        </is>
      </c>
      <c r="H3274" t="inlineStr"/>
    </row>
    <row r="3275">
      <c r="A3275" t="inlineStr">
        <is>
          <t>c82wdq</t>
        </is>
      </c>
      <c r="B3275" t="inlineStr">
        <is>
          <t>I read that robotic surgery should not be used for uterine or histo surgeries if there is cancer.</t>
        </is>
      </c>
      <c r="C3275" t="inlineStr">
        <is>
          <t>I read that the FDA suggests that not robotic work.  It was suggested that the cancer cells can drop into healthy tissue and act as a seed for more cancer.  Does anyone have a link or more info on this?  Thanks folks.  It looks like I am in the 3rd round.</t>
        </is>
      </c>
      <c r="D3275" t="n">
        <v>2</v>
      </c>
      <c r="E3275" t="n">
        <v>15</v>
      </c>
      <c r="F3275">
        <f>HYPERLINK("https://www.reddit.com/r/cancer/comments/c82wdq/i_read_that_robotic_surgery_should_not_be_used/")</f>
        <v/>
      </c>
      <c r="G3275" t="inlineStr">
        <is>
          <t>2019-07-01 18:17:46</t>
        </is>
      </c>
      <c r="H3275" t="inlineStr"/>
    </row>
    <row r="3276">
      <c r="A3276" t="inlineStr">
        <is>
          <t>c84gpn</t>
        </is>
      </c>
      <c r="B3276" t="inlineStr">
        <is>
          <t>High doses of 60-plus year-old chemotherapy drug found to spur immune system attack on lymphoma</t>
        </is>
      </c>
      <c r="C3276" t="inlineStr">
        <is>
          <t xml:space="preserve"> 
[https://www.newswise.com//articles/high-doses-of-60-plus-year-old-chemotherapy-drug-found-to-spur-immune-system-attack-on-lymphoma](https://www.newswise.com//articles/high-doses-of-60-plus-year-old-chemotherapy-drug-found-to-spur-immune-system-attack-on-lymphoma)</t>
        </is>
      </c>
      <c r="D3276" t="n">
        <v>6</v>
      </c>
      <c r="E3276" t="n">
        <v>0</v>
      </c>
      <c r="F3276">
        <f>HYPERLINK("https://www.reddit.com/r/cancer/comments/c84gpn/high_doses_of_60plus_yearold_chemotherapy_drug/")</f>
        <v/>
      </c>
      <c r="G3276" t="inlineStr">
        <is>
          <t>2019-07-01 20:55:36</t>
        </is>
      </c>
      <c r="H3276" t="inlineStr"/>
    </row>
    <row r="3277">
      <c r="A3277" t="inlineStr">
        <is>
          <t>c87wfu</t>
        </is>
      </c>
      <c r="B3277" t="inlineStr">
        <is>
          <t>Taking care of dad (Stage 4 Lung cancer) while pregnant</t>
        </is>
      </c>
      <c r="C3277" t="inlineStr">
        <is>
          <t>Just needed a space to let out my emotions. So what happened was that my dad had a lung nodule which we had been tracking for 3 years. It was suspected malignant last October after it started growing. However no surgical/biopsy could be done as he has a weak heart and had collapsed once before, and anything invasive is high risk. Hence a wait and see approach was adopted. 
Fast forward to now and his recent CT scan showed that it had spread to the lymph node and bones all within a couple of months. This is absolutely devastating for us and chemo is out due to his heart. The only lifeline we have now is immunotherapy which comes at a very expensive cost. We are still considering this option but am willing to give this a shot as theres been encouraging stories of tumour control. 
I just feel very overwhelmed as i am pregnant and due in 3 months. I pray everyday that he will see his grandaughter. In the meantime he is being admitted to palliative rehab so that we can strengthen him before moving him back home for hospice care. Another issue is that he stays alone and so we'd need to get my sister to move in and watch over him. 
Trying not to stress too much for my babys sake but as everyone here knows caregiving will be emotionally and physically draining. Just trying to remain optimistic for the future now. Hope and faith is all we really have.</t>
        </is>
      </c>
      <c r="D3277" t="n">
        <v>10</v>
      </c>
      <c r="E3277" t="n">
        <v>19</v>
      </c>
      <c r="F3277">
        <f>HYPERLINK("https://www.reddit.com/r/cancer/comments/c87wfu/taking_care_of_dad_stage_4_lung_cancer_while/")</f>
        <v/>
      </c>
      <c r="G3277" t="inlineStr">
        <is>
          <t>2019-07-02 04:03:34</t>
        </is>
      </c>
      <c r="H3277" t="inlineStr"/>
    </row>
    <row r="3278">
      <c r="A3278" t="inlineStr">
        <is>
          <t>c8et59</t>
        </is>
      </c>
      <c r="B3278" t="inlineStr">
        <is>
          <t>So scared for the future</t>
        </is>
      </c>
      <c r="C3278" t="inlineStr">
        <is>
          <t>My dad was diagnosed with pancreatic cancer in October. In May he was told is had spread to his liver and last month we were told there is no cure and he has only months left to live. 
He's been so tired recently and is now complaining of bad headaches and pains in his legs and top right in his chest area. 
I was really hoping he would just fight it. Some how he would have years left. 
I'm really starting to realise that won't be the case and every little medical complaint sends my mind racing. How long does be have left? What if it's spread further and now they give him less time?.
It's fucking awful and I'm so sad. 
His next CT scan is 9th July, results will likely be 16th.</t>
        </is>
      </c>
      <c r="D3278" t="n">
        <v>17</v>
      </c>
      <c r="E3278" t="n">
        <v>15</v>
      </c>
      <c r="F3278">
        <f>HYPERLINK("https://www.reddit.com/r/cancer/comments/c8et59/so_scared_for_the_future/")</f>
        <v/>
      </c>
      <c r="G3278" t="inlineStr">
        <is>
          <t>2019-07-02 13:46:47</t>
        </is>
      </c>
      <c r="H3278" t="inlineStr"/>
    </row>
    <row r="3279">
      <c r="A3279" t="inlineStr">
        <is>
          <t>c8fb6r</t>
        </is>
      </c>
      <c r="B3279" t="inlineStr">
        <is>
          <t>Mom diagnosed with stomach cancer, afraid of chemo and thinks about alternative stuff. Help?</t>
        </is>
      </c>
      <c r="C3279" t="inlineStr">
        <is>
          <t>Hey folks. Never thought i'd post here one day, but here i am.
Mom found out she had a cyst in one of her ovaries, and had them taken out along her womb. We were told that there was a tumor in her stomach, and that we had option to remove it or leave it for later, as two back to back surgeries can be really dangerous for her. We left it for later. Two weeks pass for healing, and she had a PET scan along with endoscopy. Somehow relieved that it has not spread to anywhere else, is only in her stomach (antrum) and is around 4 centimeters. But the type is signet ring cell. 
They're still in process of talking to doctors, and i'm away at college. She is really confused on whole operation / chemo thing. Along with my dad, they're constantly looking for alternative stuff that can help. He keeps telling me chemo kills people, and no way he'd take it if he had cancer tomorrow. I asked if she was planning on surgery and she said she didn't know. Someone recommended DMSO, and as i've read it can be somewhat helpful but no way in hell it's actually killing the cancer cells. 
Some asshole also contacted them, talking about some water with "Manna" in it that Israeli people apparently use a lot, and that's why they have lowest cancer rates in the world. And talked about some bullshit fucking stone. Also said they have cured cancer but bad drug companies yadda yadda. And sad thing is they're so desperate that they somehow believe it. So far they keep telling me the guy was not asking for money. 
My question is, what are the actual fucking options? As far as i understand it, we may actually beat this piece of shit if she undergoes surgery and then takes chemo. But like, any other "alternative" stuff that you folks can use, that i can offer them in a peace treaty? I might accept the DMSO thing because i've found couple articles that shows it in positive light but no clinical trials so there's that. 
Any articles, any news, anything at all that can help me change their mind? I'm really about to lose my mind, because i'm really close with my family but never thought they'd consider this stuff.</t>
        </is>
      </c>
      <c r="D3279" t="n">
        <v>17</v>
      </c>
      <c r="E3279" t="n">
        <v>16</v>
      </c>
      <c r="F3279">
        <f>HYPERLINK("https://www.reddit.com/r/cancer/comments/c8fb6r/mom_diagnosed_with_stomach_cancer_afraid_of_chemo/")</f>
        <v/>
      </c>
      <c r="G3279" t="inlineStr">
        <is>
          <t>2019-07-02 14:27:07</t>
        </is>
      </c>
      <c r="H3279" t="inlineStr"/>
    </row>
    <row r="3280">
      <c r="A3280" t="inlineStr">
        <is>
          <t>c8fw2f</t>
        </is>
      </c>
      <c r="B3280" t="inlineStr">
        <is>
          <t>I don’t have an interesting title. Just hurting.</t>
        </is>
      </c>
      <c r="C3280" t="inlineStr">
        <is>
          <t>Hi fellow Redditors. I’m just so sad. I feel so lonely like nobody around me understands. I feel I should be grateful (and I am, believe me) that my daughter is now in maintenance phase for her ALL. But I’m just exhausted. Support has dried up. People think “yay you’re done!” but actually we’re still going to hospital several times a week. Without the help babysitting or what have you. I don’t know when they’re going to let my daughter get on with her life. She wanted to try going to school for the first time in ages yesterday but instead was in hospital from 930-4pm receiving Hb ever so slowly. It was doubtful if she even needed it. Levels were slightly above the recommended cut off for needing transfusion. She felt fine enough to go to school, but no another day stuck in hospital. I have three other kids to look after. Husband is totally focused on work. My mum has gone home (10hr drive away). That’s it. Friends I think are tired of hearing about it. Don’t understand. Even I berate myself because I should just be grateful intensive treatment is over. But all I feel is exhausted, depressed and like this will never ever end.</t>
        </is>
      </c>
      <c r="D3280" t="n">
        <v>77</v>
      </c>
      <c r="E3280" t="n">
        <v>21</v>
      </c>
      <c r="F3280">
        <f>HYPERLINK("https://www.reddit.com/r/cancer/comments/c8fw2f/i_dont_have_an_interesting_title_just_hurting/")</f>
        <v/>
      </c>
      <c r="G3280" t="inlineStr">
        <is>
          <t>2019-07-02 15:16:54</t>
        </is>
      </c>
      <c r="H3280" t="inlineStr"/>
    </row>
    <row r="3281">
      <c r="A3281" t="inlineStr">
        <is>
          <t>c8gr7r</t>
        </is>
      </c>
      <c r="B3281" t="inlineStr">
        <is>
          <t>My wife is hiding her cancer from me......</t>
        </is>
      </c>
      <c r="C3281" t="inlineStr">
        <is>
          <t>Hi everyone, my wife had lymphoma twice, at 7 and 13 and she’s been in the clear since she was 16 (she’s now 21). I feel like a terrible husband because I didn’t have any idea that anything could be wrong the last few weeks, but I just saw an email from her doctor basically saying that it’s a bad idea to hang up the phone on him and that she’s in a serious situation and that we need to do further tests to confirm a relapse. I know that the doctor called about 3 weeks ago, but she told me that he just called to say everything looks good as usual so she’s been hiding it at least that long. We are currently traveling for her work, we’ve been doing so since March, just a few weeks after getting married and she’s scheduled to continue until the end of August so I think she may be holding off until then because we’re having such a good time. 
The treatment she always had was brain surgery followed by 2 years of chemo and when she was 15 she had a bone marrow transplant so if it’s anything like that again she won’t be working for a very long time which would kill her inside but if she doesn’t do the therapy she will die... I have no doubt she’s in denial, we’re planning on starting a family, building a house in my hometown, we adopted a puppy, I just accepted a teaching job in my hometown at my old high school and she was going to be able to move her work down there too. She’s has always been so insecure about her health and it has had a huge impact on her mental health. For the first time in her life she’s genuinely enjoying herself and looking forward to the future. It was going to be perfect and now it has all turned upside down. She currently working and I’m at the hotel and I don’t know how I’m going to approach this. I feel like screaming. She’ll get back in around an hour or so.
How could she keep this from me? We’ve only been married a little over 4 months and our communication has been great, but I’m sure she knew if she told anyone they’d cancel this job she’s doing. I’ve never been so angry and scared in my life. I don’t care if all our plans go to waste, I just need her alive. I don’t know what to do, I don’t know what to say to her, I don’t know why she would hurt herself like this. If she doesn’t have symptoms does that mean the cancer isn’t bad? Because she looks very healthy right now, healthier than she’s been most her life. I’m pretty sure her cancer is rare though and if it’s in the brain also apparently that’s even more rare. Please tell me someone has gone through this. I don’t know what to do.</t>
        </is>
      </c>
      <c r="D3281" t="n">
        <v>1</v>
      </c>
      <c r="E3281" t="n">
        <v>0</v>
      </c>
      <c r="F3281">
        <f>HYPERLINK("https://www.reddit.com/r/cancer/comments/c8gr7r/my_wife_is_hiding_her_cancer_from_me/")</f>
        <v/>
      </c>
      <c r="G3281" t="inlineStr">
        <is>
          <t>2019-07-02 16:33:39</t>
        </is>
      </c>
      <c r="H3281" t="inlineStr"/>
    </row>
    <row r="3282">
      <c r="A3282" t="inlineStr">
        <is>
          <t>c8hr2x</t>
        </is>
      </c>
      <c r="B3282" t="inlineStr">
        <is>
          <t>My wife’s friend has Stage 4 uterine cancer. Need advice on how to help in any way possible.</t>
        </is>
      </c>
      <c r="C3282" t="inlineStr">
        <is>
          <t>A few months ago one of my wife’s best friends received the diagnosis that she has stage 4 uterine cancer. Wife immediately started researching ways to help comfort her friend by getting her a personalized tote bag with magazines, a dammit doll, chap stick and a personalized blanket to use during chemo since she read that it can get very cold during treatment. There’s been an update in her condition that has forced her friend to stop chemo and deal with the immediate issue and my wife is trying to find something to try to help her friend with the difficulties ahead. Wife wants to do anything that could possibly help ease the pain and discomfort her friend is going through but friend is the type of person that doesn’t want to burden others. Does anyone have any ideas that we could do to help alleviate some of monotony of this situation?</t>
        </is>
      </c>
      <c r="D3282" t="n">
        <v>5</v>
      </c>
      <c r="E3282" t="n">
        <v>7</v>
      </c>
      <c r="F3282">
        <f>HYPERLINK("https://www.reddit.com/r/cancer/comments/c8hr2x/my_wifes_friend_has_stage_4_uterine_cancer_need/")</f>
        <v/>
      </c>
      <c r="G3282" t="inlineStr">
        <is>
          <t>2019-07-02 18:11:43</t>
        </is>
      </c>
      <c r="H3282" t="inlineStr"/>
    </row>
    <row r="3283">
      <c r="A3283" t="inlineStr">
        <is>
          <t>c8ib10</t>
        </is>
      </c>
      <c r="B3283" t="inlineStr">
        <is>
          <t>I am a health worker at a hospital working with patients with a history of abuse and want to be more informed and sensitive when dealing with them</t>
        </is>
      </c>
      <c r="C3283" t="inlineStr">
        <is>
          <t>For those who have experienced trauma, particularly sexual trauma, what part of cancer treatment did you find the most triggering.</t>
        </is>
      </c>
      <c r="D3283" t="n">
        <v>5</v>
      </c>
      <c r="E3283" t="n">
        <v>9</v>
      </c>
      <c r="F3283">
        <f>HYPERLINK("https://www.reddit.com/r/cancer/comments/c8ib10/i_am_a_health_worker_at_a_hospital_working_with/")</f>
        <v/>
      </c>
      <c r="G3283" t="inlineStr">
        <is>
          <t>2019-07-02 19:08:00</t>
        </is>
      </c>
      <c r="H3283" t="inlineStr"/>
    </row>
    <row r="3284">
      <c r="A3284" t="inlineStr">
        <is>
          <t>c8ihva</t>
        </is>
      </c>
      <c r="B3284" t="inlineStr">
        <is>
          <t>Treatment over, waiting for scan, now what?</t>
        </is>
      </c>
      <c r="C3284" t="inlineStr">
        <is>
          <t>Just finished proton radiation treatment for an aggressive salivary gland cancer. This is my second cancer, HL at 21, and salivary at 26, after the first cancer I developed major health anxiety and depression.
&amp;amp;#x200B;
For the last 7 weeks everyday I been commuting 3 hours, going to treatment, commuting home, resting and doing it all again. It was like going to a job you never asked for, but nevertheless I felt busy, and preoccupied and didn't have time to worry or be anxiety about my diagnosis/prognosis dealing with rads, chemo, disability, insurance, driving, etc. 
&amp;amp;#x200B;
Now I have a month off, doing absolutely nothing, waiting for a PET scan that would put me into remission and I feel like I will fall into the spiral of anxiety and depression of whats going on in mind, or was everything cleared with the rads?
&amp;amp;#x200B;
What do you guys do during your month, or week off before a big scan? There is absolutely nothing worst than scaniexty.  I will be going away for the weekend before so I will get some distractions there. 
&amp;amp;#x200B;
Any ideas will be welcome.
&amp;amp;#x200B;
Thank you,</t>
        </is>
      </c>
      <c r="D3284" t="n">
        <v>3</v>
      </c>
      <c r="E3284" t="n">
        <v>2</v>
      </c>
      <c r="F3284">
        <f>HYPERLINK("https://www.reddit.com/r/cancer/comments/c8ihva/treatment_over_waiting_for_scan_now_what/")</f>
        <v/>
      </c>
      <c r="G3284" t="inlineStr">
        <is>
          <t>2019-07-02 19:27:22</t>
        </is>
      </c>
      <c r="H3284" t="inlineStr"/>
    </row>
    <row r="3285">
      <c r="A3285" t="inlineStr">
        <is>
          <t>c8imec</t>
        </is>
      </c>
      <c r="B3285" t="inlineStr">
        <is>
          <t>Precancer HSIL detected</t>
        </is>
      </c>
      <c r="C3285" t="inlineStr">
        <is>
          <t>Hey guys.
Reddit has become my support place for everything, so here I am after a diagnosis.
I've been told I have HSIL (CIN3), so precancer cells. I'm now on a waiting list for more tests and what the next step it. I'm only 27, so I'm freaking out. I can't cope and can't think straight. 
How do people just... be ok when waiting? How? I keep going around in circles and not being able to leave my apartment as I'm just freaking out so much.</t>
        </is>
      </c>
      <c r="D3285" t="n">
        <v>2</v>
      </c>
      <c r="E3285" t="n">
        <v>6</v>
      </c>
      <c r="F3285">
        <f>HYPERLINK("https://www.reddit.com/r/cancer/comments/c8imec/precancer_hsil_detected/")</f>
        <v/>
      </c>
      <c r="G3285" t="inlineStr">
        <is>
          <t>2019-07-02 19:40:32</t>
        </is>
      </c>
      <c r="H3285" t="inlineStr"/>
    </row>
    <row r="3286">
      <c r="A3286" t="inlineStr">
        <is>
          <t>c8io3y</t>
        </is>
      </c>
      <c r="B3286" t="inlineStr">
        <is>
          <t>Hey, does anyone get word vomit?</t>
        </is>
      </c>
      <c r="C3286" t="inlineStr">
        <is>
          <t>People ask me how well I’m doing and I don’t say I’m okay, I’ve recently started spiraling out of control talking about throwing up, and all my other complications. So I have hereditary cancer, this is the second bought of pancreatic tumors. Last year I lost 85% of my pancreas along with my spleen. They found a new tumor on my pancreas and another on my liver. I thought I would have more time. Anyway hi?</t>
        </is>
      </c>
      <c r="D3286" t="n">
        <v>6</v>
      </c>
      <c r="E3286" t="n">
        <v>8</v>
      </c>
      <c r="F3286">
        <f>HYPERLINK("https://www.reddit.com/r/cancer/comments/c8io3y/hey_does_anyone_get_word_vomit/")</f>
        <v/>
      </c>
      <c r="G3286" t="inlineStr">
        <is>
          <t>2019-07-02 19:45:18</t>
        </is>
      </c>
      <c r="H3286" t="inlineStr"/>
    </row>
    <row r="3287">
      <c r="A3287" t="inlineStr">
        <is>
          <t>c8jd6b</t>
        </is>
      </c>
      <c r="B3287" t="inlineStr">
        <is>
          <t>Pain relief for breast cancer mets to bone?</t>
        </is>
      </c>
      <c r="C3287" t="inlineStr">
        <is>
          <t>Hey there /r/cancer,
My mom has breast cancer mets to the liver and bones (pelvis and spine). Diagnosed three years ago and responding well to treatment except that the pesky pelvis and spine mets are now causing her wicked amounts of pain. Did a course of radiation but it didn't help. Now she's jumping through hoops trying to get on some clinical trials on her doctors suggestion but in the meantime I'm wondering if any of you have any suggestions for pain relief. Right now she's on so much morphine fentanyl etc that she's nauseous and vomiting 24/7.
I realize the answer is probably "no" but... is there anything I might be able to do for her?</t>
        </is>
      </c>
      <c r="D3287" t="n">
        <v>6</v>
      </c>
      <c r="E3287" t="n">
        <v>12</v>
      </c>
      <c r="F3287">
        <f>HYPERLINK("https://www.reddit.com/r/cancer/comments/c8jd6b/pain_relief_for_breast_cancer_mets_to_bone/")</f>
        <v/>
      </c>
      <c r="G3287" t="inlineStr">
        <is>
          <t>2019-07-02 20:57:48</t>
        </is>
      </c>
      <c r="H3287" t="inlineStr"/>
    </row>
    <row r="3288">
      <c r="A3288" t="inlineStr">
        <is>
          <t>c8ju04</t>
        </is>
      </c>
      <c r="B3288" t="inlineStr">
        <is>
          <t>This week is so hard</t>
        </is>
      </c>
      <c r="C3288" t="inlineStr">
        <is>
          <t>Father (60) misdiagnosed as tendinitis in late 2017. Discover summer 2018 actually sarcoma mass that has spread to the lungs and this year to the brain. I’m (31 m) just getting the wheels rolling on a malpractice suit. 
More than any money issues (dad makes 200k, access to best best nyc hospitals), I am SO destroyed by how this illness has revealed how shallow, codependent and terrible my parents’ marriage is— and always was. 
I’m now seeing the worst in him that my mother screamed about for decades. I’m now seeing how truly weak and self victimized hole my mother has always dig herself. 
I’m blessed with two brothers I can rely on. I have one sister with mental illnesses and a mother crippled by undiagnosed anxiety and rage. 
There’s no point to this post other than to pray that when I go out I do so with more respect to my family caring for me. That I have something to live for other than a desk job. 
I hope that if I marry that I do it for reasons other than being scared of being alone, or having someone to blame. 
This year brain surgery has been more successful than my parents’ marriage.
I hope I can survive this and become a better person.</t>
        </is>
      </c>
      <c r="D3288" t="n">
        <v>12</v>
      </c>
      <c r="E3288" t="n">
        <v>8</v>
      </c>
      <c r="F3288">
        <f>HYPERLINK("https://www.reddit.com/r/cancer/comments/c8ju04/this_week_is_so_hard/")</f>
        <v/>
      </c>
      <c r="G3288" t="inlineStr">
        <is>
          <t>2019-07-02 21:48:42</t>
        </is>
      </c>
      <c r="H3288" t="inlineStr"/>
    </row>
    <row r="3289">
      <c r="A3289" t="inlineStr">
        <is>
          <t>c8lhe9</t>
        </is>
      </c>
      <c r="B3289" t="inlineStr">
        <is>
          <t>Stage 4 gall bladder carcinoma</t>
        </is>
      </c>
      <c r="C3289" t="inlineStr">
        <is>
          <t>My mom (57f) was diagnosed with stage 4 gall bladder carcinoma in January. Doctor gave her 3 months w/o treatment and  1 year with chemo. After 7 cycles of chemo the activity and size of tumor has increased. She barely eats, cannot walk more than few steps, has back and stomach pain. Fuck cancer, this is so not fair. Watching her struggle everyday is horrible. For years we have been planning that she will visit me for my PhD thesis defense and stay with me and travel all around Europe. I am not sure if she will make it till then. This is such fucking bullshit.</t>
        </is>
      </c>
      <c r="D3289" t="n">
        <v>11</v>
      </c>
      <c r="E3289" t="n">
        <v>10</v>
      </c>
      <c r="F3289">
        <f>HYPERLINK("https://www.reddit.com/r/cancer/comments/c8lhe9/stage_4_gall_bladder_carcinoma/")</f>
        <v/>
      </c>
      <c r="G3289" t="inlineStr">
        <is>
          <t>2019-07-03 01:16:23</t>
        </is>
      </c>
      <c r="H3289" t="inlineStr"/>
    </row>
    <row r="3290">
      <c r="A3290" t="inlineStr">
        <is>
          <t>c8mutt</t>
        </is>
      </c>
      <c r="B3290" t="inlineStr">
        <is>
          <t>Chemo brain after 20 years?</t>
        </is>
      </c>
      <c r="C3290" t="inlineStr">
        <is>
          <t>Even though I am thankful to have survived non-hodgkin’s lymphoma in 1998, I do worry that chemotherapy has severely impaired my cognition.
My mind is usually blank, I cannot concentrate and I have an abysmal memory. 
If anyone can relate to such difficulties, I would be interested to know what helped you.
Many thanks.</t>
        </is>
      </c>
      <c r="D3290" t="n">
        <v>39</v>
      </c>
      <c r="E3290" t="n">
        <v>25</v>
      </c>
      <c r="F3290">
        <f>HYPERLINK("https://www.reddit.com/r/cancer/comments/c8mutt/chemo_brain_after_20_years/")</f>
        <v/>
      </c>
      <c r="G3290" t="inlineStr">
        <is>
          <t>2019-07-03 04:16:11</t>
        </is>
      </c>
      <c r="H3290" t="inlineStr"/>
    </row>
    <row r="3291">
      <c r="A3291" t="inlineStr">
        <is>
          <t>c8opbb</t>
        </is>
      </c>
      <c r="B3291" t="inlineStr">
        <is>
          <t>Alveolar Soft Part Sarcoma</t>
        </is>
      </c>
      <c r="C3291" t="inlineStr">
        <is>
          <t>I made a post a few months back about my bf(19) being diagnosed with a stage 4 sarcoma. We've learned since then that it is an alveolar soft part sarcoma that has spread from his thigh muscle to his lungs, liver, and pelvis.
He's started radiation and is finishing his first course today. We're waiting on the Drs at the St. Judes affiliate in Baton Rouge to finish his game plan for what we will be doing chemo wise. They tested him to see if immunotherapy would work but he doesn't have the required protein so aggressive chemo is his only option. 
I really dont know what else to say... I just needed to vent...</t>
        </is>
      </c>
      <c r="D3291" t="n">
        <v>9</v>
      </c>
      <c r="E3291" t="n">
        <v>1</v>
      </c>
      <c r="F3291">
        <f>HYPERLINK("https://www.reddit.com/r/cancer/comments/c8opbb/alveolar_soft_part_sarcoma/")</f>
        <v/>
      </c>
      <c r="G3291" t="inlineStr">
        <is>
          <t>2019-07-03 07:24:33</t>
        </is>
      </c>
      <c r="H3291" t="inlineStr"/>
    </row>
    <row r="3292">
      <c r="A3292" t="inlineStr">
        <is>
          <t>c8pbhz</t>
        </is>
      </c>
      <c r="B3292" t="inlineStr">
        <is>
          <t>5 Years Remission Today</t>
        </is>
      </c>
      <c r="C3292" t="inlineStr">
        <is>
          <t>I was diagnosed with Non-Hodgkin’s Lymphoma  Stage 3 when I was 19. I was treated as an in patient with 4 round of chemotherapy and 2 intrathecal rounds. Four months with treatment I was told I was in remission. Then doctors discussed that I may not be able to have children.
Life was hard in 2014 when I was diagnosed since my brother with MD passed away that fall. In 2015 I had a little boy with my longtime boyfriend. 2016 I was able to go back to college for nursing. I also had another brother with MD who passed away in 2017. 2018 I got engaged.  I am set to be married this year and graduate nursing school. 
I’ve had many tough times through my life but it all seems to be getting better.  
My life has moved on past my cancer. It seems like a distant memory now that I never want to relive.</t>
        </is>
      </c>
      <c r="D3292" t="n">
        <v>124</v>
      </c>
      <c r="E3292" t="n">
        <v>7</v>
      </c>
      <c r="F3292">
        <f>HYPERLINK("https://www.reddit.com/r/cancer/comments/c8pbhz/5_years_remission_today/")</f>
        <v/>
      </c>
      <c r="G3292" t="inlineStr">
        <is>
          <t>2019-07-03 08:18:00</t>
        </is>
      </c>
      <c r="H3292" t="inlineStr"/>
    </row>
    <row r="3293">
      <c r="A3293" t="inlineStr">
        <is>
          <t>c8q2xb</t>
        </is>
      </c>
      <c r="B3293" t="inlineStr">
        <is>
          <t>9 days since my last chemo</t>
        </is>
      </c>
      <c r="C3293" t="inlineStr">
        <is>
          <t>After my 6th maintenance chemo, the side effects from FOLFOX were so awful that I decided to stop treatment. My cancer is gone and my margins are clear. The drug was just giving me neuropathy in my hands and feet, heartburn and nausea from hell, hair loss, and sky high liver enzymes. I didn’t want to face the possibility of these side effects being permanent. 
The foot neuropathy is finally gone. Hoping my hands will snap out of it soon. Most importantly, I want my throat to get back to normal so cold drinks won’t be physically painful anymore.</t>
        </is>
      </c>
      <c r="D3293" t="n">
        <v>11</v>
      </c>
      <c r="E3293" t="n">
        <v>5</v>
      </c>
      <c r="F3293">
        <f>HYPERLINK("https://www.reddit.com/r/cancer/comments/c8q2xb/9_days_since_my_last_chemo/")</f>
        <v/>
      </c>
      <c r="G3293" t="inlineStr">
        <is>
          <t>2019-07-03 09:21:32</t>
        </is>
      </c>
      <c r="H3293" t="inlineStr"/>
    </row>
    <row r="3294">
      <c r="A3294" t="inlineStr">
        <is>
          <t>c8q98m</t>
        </is>
      </c>
      <c r="B3294" t="inlineStr">
        <is>
          <t>Mom diagnosed with breast cancer</t>
        </is>
      </c>
      <c r="C3294" t="inlineStr">
        <is>
          <t>Mom had a mammogram which found a 1cm BI-RADS 3 tumor deemed probably benign; instead of waiting the recommended 6 months, she had an ultrasound anyway out of caution and it was discovered that (against the odds) the spot was cancer (true of only about 2% BI-RADS 3 classified spots apparently).
Is there anything else that the BI-RADS 3 classification can tell us, e.g. was it BI-RADS 3 just because of the size, or is it likely that it is still quite localized based on that initial scan?
I guess I'm wondering if a "probably benign" tumor is just as likely to be Stage 4 as Stage 1 in the rare cases where it does turn out to be cancer. Mom doesn't meet with the oncologist to make a plan for a while, and even then, is it safe to say we won't have any substantive info until after surgery/lymph node pathology (I assume that will be what happens next)?</t>
        </is>
      </c>
      <c r="D3294" t="n">
        <v>8</v>
      </c>
      <c r="E3294" t="n">
        <v>4</v>
      </c>
      <c r="F3294">
        <f>HYPERLINK("https://www.reddit.com/r/cancer/comments/c8q98m/mom_diagnosed_with_breast_cancer/")</f>
        <v/>
      </c>
      <c r="G3294" t="inlineStr">
        <is>
          <t>2019-07-03 09:35:50</t>
        </is>
      </c>
      <c r="H3294" t="inlineStr"/>
    </row>
    <row r="3295">
      <c r="A3295" t="inlineStr">
        <is>
          <t>c8qqre</t>
        </is>
      </c>
      <c r="B3295" t="inlineStr">
        <is>
          <t>How do I help my friends?</t>
        </is>
      </c>
      <c r="C3295" t="inlineStr">
        <is>
          <t>I [M22] have recently found myself in a weird situation. Two of my friends recently found out that someone important in thier lives is fighting for against this terrible disease. One friend's mom suffers from breast cancer while the friends SO has just been diagnosed with leukemia.
And I don't know if how to support them . Whenever I talk to them all I can do is feel sad for them. I really want to make them feel better and help with whatever they are going through. I have read many blogs on cancer and how it can drive anyone closely related to the patient into a depression especially if it someone really close and I don't want my friends to suffer because of this. 
I wanted to know if there was anything I could do to help them and make them feel better. Are there any portals or blogs for friends and family of cancer patients who might be in better situations to help them?</t>
        </is>
      </c>
      <c r="D3295" t="n">
        <v>9</v>
      </c>
      <c r="E3295" t="n">
        <v>3</v>
      </c>
      <c r="F3295">
        <f>HYPERLINK("https://www.reddit.com/r/cancer/comments/c8qqre/how_do_i_help_my_friends/")</f>
        <v/>
      </c>
      <c r="G3295" t="inlineStr">
        <is>
          <t>2019-07-03 10:14:29</t>
        </is>
      </c>
      <c r="H3295" t="inlineStr"/>
    </row>
    <row r="3296">
      <c r="A3296" t="inlineStr">
        <is>
          <t>c8qy5j</t>
        </is>
      </c>
      <c r="B3296" t="inlineStr">
        <is>
          <t>Support</t>
        </is>
      </c>
      <c r="C3296" t="inlineStr">
        <is>
          <t>How do you support a loved one dealing with their loved one dying from cancer? This will be my sisters second death. She lost a son (a twin), my nephew, 6 years ago from ALL. She at least had her husband and her other son to support her. Right after that incident, her husband was diagnosed with stage 3 colorectal cancer. It is too aggressive, everything they have tried has not helped and he has decided to stop treatment. They don’t think he has much longer. How do I show her support? I am really worried for her mental health and for my nephew. This is devastating.</t>
        </is>
      </c>
      <c r="D3296" t="n">
        <v>9</v>
      </c>
      <c r="E3296" t="n">
        <v>5</v>
      </c>
      <c r="F3296">
        <f>HYPERLINK("https://www.reddit.com/r/cancer/comments/c8qy5j/support/")</f>
        <v/>
      </c>
      <c r="G3296" t="inlineStr">
        <is>
          <t>2019-07-03 10:30:44</t>
        </is>
      </c>
      <c r="H3296" t="inlineStr"/>
    </row>
    <row r="3297">
      <c r="A3297" t="inlineStr">
        <is>
          <t>c8r2je</t>
        </is>
      </c>
      <c r="B3297" t="inlineStr">
        <is>
          <t>Radiation causing throat problems already?</t>
        </is>
      </c>
      <c r="C3297" t="inlineStr">
        <is>
          <t>I have Stage 3 HPV+ Squamous Cell Carcinoma. Occurred in the throat and traveled to a lymph node in my neck, causing a large cyst. Had the cyst removed and my cancer ENT believes he cut out most if not all of the cancerous tissue out of my throat. Just finished my 12th treatment of radiation out of 30 scheduled.
My problem is I feel like I have phlegm/mucous in my throat that I can't hack out and it makes my throat feel partially blocked, to the point that I'm in a near constant state of gagging. It's also pretty painful, like a vicious sore throat and it makes it very hard to eat solid food. All the doctors were saying that if the radiation made it hard to swallow that it wouldn't happen to week 4 or later so I'm wondering if my current situation is a side-effect or unrelated. It's bad enough that I went to my ENT this morning to check it out, but he says he doesn't see much of anything other than some swollen tissue. He prescribed some steriods to hopefully bring the swelling down and told me to alternate tylenol and motrin for the pain.  I'm very worried about needing a feeding tube so early in my treatment. Anyone go through is and/or have any advice?
Thanks</t>
        </is>
      </c>
      <c r="D3297" t="n">
        <v>3</v>
      </c>
      <c r="E3297" t="n">
        <v>5</v>
      </c>
      <c r="F3297">
        <f>HYPERLINK("https://www.reddit.com/r/cancer/comments/c8r2je/radiation_causing_throat_problems_already/")</f>
        <v/>
      </c>
      <c r="G3297" t="inlineStr">
        <is>
          <t>2019-07-03 10:40:21</t>
        </is>
      </c>
      <c r="H3297" t="inlineStr"/>
    </row>
    <row r="3298">
      <c r="A3298" t="inlineStr">
        <is>
          <t>c8tqei</t>
        </is>
      </c>
      <c r="B3298" t="inlineStr">
        <is>
          <t>Possible link between benzos and cancer?</t>
        </is>
      </c>
      <c r="C3298" t="inlineStr">
        <is>
          <t>Hello,
Apologies if this isn’t the right place to ask this, but I was wondering if there is any kind of consensus within the medical community between benzos, specifically klonopin, and cancer. I’ve recently been diagnosed myself and was prescribed klonopin about 3 years ago for anxiety. Just wondering if there’s any possible correlation here as documents online seem to really contradict each other</t>
        </is>
      </c>
      <c r="D3298" t="n">
        <v>3</v>
      </c>
      <c r="E3298" t="n">
        <v>2</v>
      </c>
      <c r="F3298">
        <f>HYPERLINK("https://www.reddit.com/r/cancer/comments/c8tqei/possible_link_between_benzos_and_cancer/")</f>
        <v/>
      </c>
      <c r="G3298" t="inlineStr">
        <is>
          <t>2019-07-03 14:13:14</t>
        </is>
      </c>
      <c r="H3298" t="inlineStr"/>
    </row>
    <row r="3299">
      <c r="A3299" t="inlineStr">
        <is>
          <t>c8ujo9</t>
        </is>
      </c>
      <c r="B3299" t="inlineStr">
        <is>
          <t>Share in my Joy! 8 weeks and not 1 Appointment.</t>
        </is>
      </c>
      <c r="C3299" t="inlineStr">
        <is>
          <t>I've been going through treatment for the last two years.   Things have been improving and side-effects are minimal and manageable.  For the first time in two years I can go 8 weeks without seeing a single doctor! Just take My pills and thats it!  No leaving work early. No  Scheduling around tests and scans. I may even feel NORMAL for a little bit.</t>
        </is>
      </c>
      <c r="D3299" t="n">
        <v>30</v>
      </c>
      <c r="E3299" t="n">
        <v>2</v>
      </c>
      <c r="F3299">
        <f>HYPERLINK("https://www.reddit.com/r/cancer/comments/c8ujo9/share_in_my_joy_8_weeks_and_not_1_appointment/")</f>
        <v/>
      </c>
      <c r="G3299" t="inlineStr">
        <is>
          <t>2019-07-03 15:21:25</t>
        </is>
      </c>
      <c r="H3299" t="inlineStr"/>
    </row>
    <row r="3300">
      <c r="A3300" t="inlineStr">
        <is>
          <t>c8uv0i</t>
        </is>
      </c>
      <c r="B3300" t="inlineStr">
        <is>
          <t>I am tired of feeling like an outcast.</t>
        </is>
      </c>
      <c r="C3300" t="inlineStr">
        <is>
          <t>hey guys! I was diagnosed with leukemia (A.L.L. B cell) in October 2017. and im still currently going through treatment, i have ALOT of side effects from the chemo and impairs me from doing most of the stuff i enjoy doing, anyway i was wondering what are somethings that are fun you guys do with your friends or family, that are "normal" and im 14 so im sorry if i have bead grammar. 
And i just want to say im sorry for everyone in this sub for the grief and agony you have had to go though.  
  sincerely, Coleton</t>
        </is>
      </c>
      <c r="D3300" t="n">
        <v>17</v>
      </c>
      <c r="E3300" t="n">
        <v>11</v>
      </c>
      <c r="F3300">
        <f>HYPERLINK("https://www.reddit.com/r/cancer/comments/c8uv0i/i_am_tired_of_feeling_like_an_outcast/")</f>
        <v/>
      </c>
      <c r="G3300" t="inlineStr">
        <is>
          <t>2019-07-03 15:48:57</t>
        </is>
      </c>
      <c r="H3300" t="inlineStr"/>
    </row>
    <row r="3301">
      <c r="A3301" t="inlineStr">
        <is>
          <t>c8v0j0</t>
        </is>
      </c>
      <c r="B3301" t="inlineStr">
        <is>
          <t>My mom was just diagnosed and I don't know how to deal with this.</t>
        </is>
      </c>
      <c r="C3301" t="inlineStr">
        <is>
          <t>I'm in pieces. How does one even do this? How can I cope with this? My dad is already dead. Now my mom too? I'm not even 20 years old yet and both my parents are probably going to be dead barely 2 years into my adult life. 
Someone please console me. I can't process this alone.</t>
        </is>
      </c>
      <c r="D3301" t="n">
        <v>12</v>
      </c>
      <c r="E3301" t="n">
        <v>5</v>
      </c>
      <c r="F3301">
        <f>HYPERLINK("https://www.reddit.com/r/cancer/comments/c8v0j0/my_mom_was_just_diagnosed_and_i_dont_know_how_to/")</f>
        <v/>
      </c>
      <c r="G3301" t="inlineStr">
        <is>
          <t>2019-07-03 16:03:11</t>
        </is>
      </c>
      <c r="H3301" t="inlineStr"/>
    </row>
    <row r="3302">
      <c r="A3302" t="inlineStr">
        <is>
          <t>c8vqbi</t>
        </is>
      </c>
      <c r="B3302" t="inlineStr">
        <is>
          <t>I was just diagnosed with GBM. A very aggressive form of cancer. Everything was looking better until I got this news... I have no idea how to move forward...</t>
        </is>
      </c>
      <c r="C3302" t="inlineStr">
        <is>
          <t>I was given an average of 12-15 months... I lost my dad to mesothelioma about 5 years ago and I always told myself that should I ever receive out of the blue news like that that I would do everything I possibly could to be positive and healthy; right now I just don't know how.
Any advice would be helpful. Thank you.</t>
        </is>
      </c>
      <c r="D3302" t="n">
        <v>68</v>
      </c>
      <c r="E3302" t="n">
        <v>35</v>
      </c>
      <c r="F3302">
        <f>HYPERLINK("https://www.reddit.com/r/cancer/comments/c8vqbi/i_was_just_diagnosed_with_gbm_a_very_aggressive/")</f>
        <v/>
      </c>
      <c r="G3302" t="inlineStr">
        <is>
          <t>2019-07-03 17:13:25</t>
        </is>
      </c>
      <c r="H3302" t="inlineStr"/>
    </row>
    <row r="3303">
      <c r="A3303" t="inlineStr">
        <is>
          <t>c8w371</t>
        </is>
      </c>
      <c r="B3303" t="inlineStr">
        <is>
          <t>Is a 5 year survival rate of 27.4% considered low, high, or moderate?</t>
        </is>
      </c>
      <c r="C3303" t="inlineStr">
        <is>
          <t>One of my coworkers mom was diagnosed with AML which apparently has a 5 year survival rate of 27.4%. Is that low?</t>
        </is>
      </c>
      <c r="D3303" t="n">
        <v>3</v>
      </c>
      <c r="E3303" t="n">
        <v>2</v>
      </c>
      <c r="F3303">
        <f>HYPERLINK("https://www.reddit.com/r/cancer/comments/c8w371/is_a_5_year_survival_rate_of_274_considered_low/")</f>
        <v/>
      </c>
      <c r="G3303" t="inlineStr">
        <is>
          <t>2019-07-03 17:49:32</t>
        </is>
      </c>
      <c r="H3303" t="inlineStr"/>
    </row>
    <row r="3304">
      <c r="A3304" t="inlineStr">
        <is>
          <t>c8wai4</t>
        </is>
      </c>
      <c r="B3304" t="inlineStr">
        <is>
          <t>Does Medicaid cover preventative cancer screenings (and if not, what are other screening options)?</t>
        </is>
      </c>
      <c r="C3304" t="inlineStr">
        <is>
          <t>Hello everyone,
I'm 30 yo dude and recently started taking my health more seriously (better late than never!). Cancer is something that runs in my family and I'm wanting to get preventative screening(s) done to be sure I'm okay for now. I tried looking in the Caresource members book but see nothing about preventative screenings other than for cervical cancer.
If Medicaid does not cover it, is there an alternative but reasonably priced way I could be screened? I feel it's very important but also can't afford a ridiculous amount of money (like thousands) for a screening.
Thanks everyone. :)</t>
        </is>
      </c>
      <c r="D3304" t="n">
        <v>6</v>
      </c>
      <c r="E3304" t="n">
        <v>3</v>
      </c>
      <c r="F3304">
        <f>HYPERLINK("https://www.reddit.com/r/cancer/comments/c8wai4/does_medicaid_cover_preventative_cancer/")</f>
        <v/>
      </c>
      <c r="G3304" t="inlineStr">
        <is>
          <t>2019-07-03 18:10:36</t>
        </is>
      </c>
      <c r="H3304" t="inlineStr"/>
    </row>
    <row r="3305">
      <c r="A3305" t="inlineStr">
        <is>
          <t>c8wq97</t>
        </is>
      </c>
      <c r="B3305" t="inlineStr">
        <is>
          <t>My mom's diagnosis and my BIL wanting to play doctor.</t>
        </is>
      </c>
      <c r="C3305" t="inlineStr">
        <is>
          <t>I just want to vent real quick. My mother got diagnosis with stage IV esophageal cancer with mets to a few different places. She just had her first chemo treatment and she is also going to be doing ketogenic diet as an adjuvant.
The problem is my POS abusive brother in law. He's been texting her non-stop while she's vulnerable (1 day post her first treatment, unable to really eat so her body and mind aren't in their best place) about wanting to take over her diet and supplement with meds he wants to buy online from all of his internet research. He has no formal medical training, the closest thing is training as a dialysis tech but he hasn't actually used that knowledge or worked in years.
He's just so damn manipulative and I don't want to see my mom go downhill faster because she's got an uneducated dude on a ego trip wanting to play doctor when she's barely into her actual Dr overseen treatment.  I'm already so frustrated with the fact my mom is dying the stress from my BIL being predatory is not something anyone in my family needs.  
I don't know what to do. Have any of you guys dealt with someone wanting to play doctor on you or a loved one with cancer?</t>
        </is>
      </c>
      <c r="D3305" t="n">
        <v>4</v>
      </c>
      <c r="E3305" t="n">
        <v>10</v>
      </c>
      <c r="F3305">
        <f>HYPERLINK("https://www.reddit.com/r/cancer/comments/c8wq97/my_moms_diagnosis_and_my_bil_wanting_to_play/")</f>
        <v/>
      </c>
      <c r="G3305" t="inlineStr">
        <is>
          <t>2019-07-03 18:55:52</t>
        </is>
      </c>
      <c r="H3305" t="inlineStr"/>
    </row>
    <row r="3306">
      <c r="A3306" t="inlineStr">
        <is>
          <t>c8ygjn</t>
        </is>
      </c>
      <c r="B3306" t="inlineStr">
        <is>
          <t>I had my PICC like removed today :)</t>
        </is>
      </c>
      <c r="C3306" t="inlineStr">
        <is>
          <t>I’m +41 post SCT and my onco gave the ok to remove my picc. I was diagnosed in January and given a PICC line for treatment. 
My donors cells have grafted 97% and my CBC’s have been looking fantastic lately. I’ve been feeling great and so far haven’t experienced any GVHD. 
I feel like slowly the layers of grief Cancer has given me is shedding off and I feel blessed. It’s a good distraction from the day 100 bone marrow biopsy. 
For the time being, I’m happy 😊</t>
        </is>
      </c>
      <c r="D3306" t="n">
        <v>24</v>
      </c>
      <c r="E3306" t="n">
        <v>11</v>
      </c>
      <c r="F3306">
        <f>HYPERLINK("https://www.reddit.com/r/cancer/comments/c8ygjn/i_had_my_picc_like_removed_today/")</f>
        <v/>
      </c>
      <c r="G3306" t="inlineStr">
        <is>
          <t>2019-07-03 22:03:14</t>
        </is>
      </c>
      <c r="H3306" t="inlineStr"/>
    </row>
    <row r="3307">
      <c r="A3307" t="inlineStr">
        <is>
          <t>c8z88z</t>
        </is>
      </c>
      <c r="B3307" t="inlineStr">
        <is>
          <t>Advice</t>
        </is>
      </c>
      <c r="C3307" t="inlineStr">
        <is>
          <t>Hey,
I just found out my aunt was diagnosed with lung cancer, they caught it early, and we’re hoping surgery will help beat this thing. 
Here’s the thing, my grandmother (her mom), and her two sisters (my other aunt, and then my mom) all passed away due to pancreatic. It’s her and my grandfather left. 
I’m still recovering from losing my mom, aunt, and grandma, and now this. There’s an old saying that goes along the lines of  “it comes in threes, then it leaves...” it hasn’t left. 
These women ran the family, we are all kind of lost sheep without them. I’ve been keeping it together, but I feel like I’m at the edge. Potentially losing her after she’s already lost a lot (her mom, both sisters, my mom and her were really tight, best friends even) is a lot. All of this has happened in the span of four years. I caught myself staring into space for a bit too long after hearing about my aunt. Not understanding why this thing won’t go the hell away.
I guess I’m looking to vent and for advice on how to stay level headed for the family?</t>
        </is>
      </c>
      <c r="D3307" t="n">
        <v>7</v>
      </c>
      <c r="E3307" t="n">
        <v>3</v>
      </c>
      <c r="F3307">
        <f>HYPERLINK("https://www.reddit.com/r/cancer/comments/c8z88z/advice/")</f>
        <v/>
      </c>
      <c r="G3307" t="inlineStr">
        <is>
          <t>2019-07-03 23:31:04</t>
        </is>
      </c>
      <c r="H3307" t="inlineStr"/>
    </row>
    <row r="3308">
      <c r="A3308" t="inlineStr">
        <is>
          <t>c8z8gh</t>
        </is>
      </c>
      <c r="B3308" t="inlineStr">
        <is>
          <t>Diagnosed with cholangiocarcinoma and looking for hope</t>
        </is>
      </c>
      <c r="C3308" t="inlineStr">
        <is>
          <t>I'm 28 years old and was diagnosed with Primary Sclerosing Cholangitis earlier this year. After a liver biopsy and a PET scan I was told I had cholangiocarcinoma and that it had spread to some lymph nodes. I start chemotherapy soon to stop the growth and spread, but was told a liver transplant is my only hope for a cure. My mind is spinning.
Besides some slight pain I feel mostly healthy, but it doesn't look good for me and the doctor hasn't been able to give me a direct answer about life expectancy. Information comes in so slow from the doctors and the anxiety is driving me nuts. Any experience or information would be very welcome. I'm so scared about leaving my family and friends behind.</t>
        </is>
      </c>
      <c r="D3308" t="n">
        <v>4</v>
      </c>
      <c r="E3308" t="n">
        <v>3</v>
      </c>
      <c r="F3308">
        <f>HYPERLINK("https://www.reddit.com/r/cancer/comments/c8z8gh/diagnosed_with_cholangiocarcinoma_and_looking_for/")</f>
        <v/>
      </c>
      <c r="G3308" t="inlineStr">
        <is>
          <t>2019-07-03 23:31:40</t>
        </is>
      </c>
      <c r="H3308" t="inlineStr"/>
    </row>
    <row r="3309">
      <c r="A3309" t="inlineStr">
        <is>
          <t>c8z8rg</t>
        </is>
      </c>
      <c r="B3309" t="inlineStr">
        <is>
          <t>Silicon Oil Market : Economic Growth, Segmentation, and Industry Forecast 2014-2022</t>
        </is>
      </c>
      <c r="C3309" t="inlineStr">
        <is>
          <t xml:space="preserve"> [**Silicone Oil Market**](https://www.alliedmarketresearch.com/press-release/silicone-oil-market.html) was valued at $1,865 million, and is expected to reach $2,557 million by 2022, supported by a CAGR of 4.6%. Silicone oil, also known as polydimethylsiloxane (PDMS), is a transparent, tasteless, nontoxic, odorless, nonflammable mineral organic polymer consisting of chains containing alternating atoms of silicone and oxygen with organic radicals.  
The report segments the silicone oil market on the basis of end user, application, and geography. By end user, it is classified into chemical, construction, personal care, textile, electronics, automotive, medical, and others, which includes, aerospace, pulp &amp;amp; paper, and food &amp;amp; beverages. Based on application, it is sub-divided into sealant, skin &amp;amp; hair care, textile coating, detergent, chemical intermediate, anti-foam agent, release agent, and others. The “others” category comprises water repellent, lubricant, and hydraulic oil. By geography, it is analyzed across North America, Europe, Asia-Pacific, and LAMEA. 
**Do Purchase Enquiry at:** [**https://www.alliedmarketresearch.com/request-sample/1738**](https://www.alliedmarketresearch.com/request-sample/1738) 
 **Top Investment Pockets**
Personal care is the most attractive industrial sector in the world silicone oil market and is expected to be first preference for new entrants due to increase in demand of different products such as sunscreens, anti-aging creams, and hair conditioners. Other major segments ideal for investments include medical and automotive sector. Though the growth of silicone oil usage in medical and automotive sector is higher as compared to personal care but rapid increase in demand for personal care products in the developing economies such as China and India and growth in use of anti-aging creams in established markets such as North America has made this market the top choice for investments.
**Key Benefits For Stakeholders:**
* This report entails the detailed quantitative analysis of the current market and estimations through 2014-2022, which assists in identifying the prevailing market opportunities.
* Factors that drive and impede the growth of the market are comprehensively analyzed in this study.
* Micro-level analysis is conducted based on application, end-user and region.
* Porter’s Five Forces model illustrate the potency of buyers and sellers.
* The projections in this report are made by analyzing the current trends and future market potential from 2016 to 2022 in terms of value and volume.
* Key manufacturers are profiled in the report and their developments in recent years are listed, which helps in understanding competitive outlook of global silicone oil market.</t>
        </is>
      </c>
      <c r="D3309" t="n">
        <v>1</v>
      </c>
      <c r="E3309" t="n">
        <v>0</v>
      </c>
      <c r="F3309">
        <f>HYPERLINK("https://www.reddit.com/r/cancer/comments/c8z8rg/silicon_oil_market_economic_growth_segmentation/")</f>
        <v/>
      </c>
      <c r="G3309" t="inlineStr">
        <is>
          <t>2019-07-03 23:32:42</t>
        </is>
      </c>
      <c r="H3309" t="inlineStr"/>
    </row>
    <row r="3310">
      <c r="A3310" t="inlineStr">
        <is>
          <t>c8zsh7</t>
        </is>
      </c>
      <c r="B3310" t="inlineStr">
        <is>
          <t>Mom told me and my sibling today</t>
        </is>
      </c>
      <c r="C3310" t="inlineStr">
        <is>
          <t>Based on what she told me. Most likely stage one or two. Of course I’m feeling what I’m feeling. But I’m researching and planning on what I can do to support her. Most likely stage one or stage two. So I’m hopeful. I’m realistic though. And scared. Of course. But I hope I can give a happier update in the future. Time to get some sleep now. We have to clean tomorrow.</t>
        </is>
      </c>
      <c r="D3310" t="n">
        <v>9</v>
      </c>
      <c r="E3310" t="n">
        <v>1</v>
      </c>
      <c r="F3310">
        <f>HYPERLINK("https://www.reddit.com/r/cancer/comments/c8zsh7/mom_told_me_and_my_sibling_today/")</f>
        <v/>
      </c>
      <c r="G3310" t="inlineStr">
        <is>
          <t>2019-07-04 00:41:31</t>
        </is>
      </c>
      <c r="H3310" t="inlineStr"/>
    </row>
    <row r="3311">
      <c r="A3311" t="inlineStr">
        <is>
          <t>c91gam</t>
        </is>
      </c>
      <c r="B3311" t="inlineStr">
        <is>
          <t>8 month since diagnose</t>
        </is>
      </c>
      <c r="C3311" t="inlineStr">
        <is>
          <t>8 month ago I got cancer. Since then I have amputated a toe and I now suffer from phantom pain and tingling, crawling pain up my leg. I probably suffer from this because I have chronic pain (amputated eye) since 7.5 years, and the doctors recommended me to never undergo surgery again. But you have to remove cancer... And in dec they said they had removed all.
In a week I have an appointment with my oncologist. Nervous, I'm worried it is back. I think a mole on my neck is growing. But maybe I'm just imagine that.
I'm also changing my medication. 7.5 years of oxycodone use is hard to break.</t>
        </is>
      </c>
      <c r="D3311" t="n">
        <v>11</v>
      </c>
      <c r="E3311" t="n">
        <v>2</v>
      </c>
      <c r="F3311">
        <f>HYPERLINK("https://www.reddit.com/r/cancer/comments/c91gam/8_month_since_diagnose/")</f>
        <v/>
      </c>
      <c r="G3311" t="inlineStr">
        <is>
          <t>2019-07-04 04:22:47</t>
        </is>
      </c>
      <c r="H3311" t="inlineStr"/>
    </row>
    <row r="3312">
      <c r="A3312" t="inlineStr">
        <is>
          <t>c9202v</t>
        </is>
      </c>
      <c r="B3312" t="inlineStr">
        <is>
          <t>Keto diet and non-Hodgkin’s lymphoma?</t>
        </is>
      </c>
      <c r="C3312" t="inlineStr">
        <is>
          <t>Hi! My father recently started Chemo for a type of non-Hodgkin’s lymphoma. He’s already had to have a blood transfusion and I’m struggling to cope. He’s been sending me articles and videos of ways he think can help to cure his cancer. One of these videos is Starving Cancer by Dominic D’agostino. Does a keto diet work for non-Hodgkin’s lymphoma? I know obviously every patient is different but wondering if anybody had any personal experience with this. Thank you 🙏</t>
        </is>
      </c>
      <c r="D3312" t="n">
        <v>0</v>
      </c>
      <c r="E3312" t="n">
        <v>1</v>
      </c>
      <c r="F3312">
        <f>HYPERLINK("https://www.reddit.com/r/cancer/comments/c9202v/keto_diet_and_nonhodgkins_lymphoma/")</f>
        <v/>
      </c>
      <c r="G3312" t="inlineStr">
        <is>
          <t>2019-07-04 05:26:29</t>
        </is>
      </c>
      <c r="H3312" t="inlineStr"/>
    </row>
    <row r="3313">
      <c r="A3313" t="inlineStr">
        <is>
          <t>c927oy</t>
        </is>
      </c>
      <c r="B3313" t="inlineStr">
        <is>
          <t>I need direction. Please help</t>
        </is>
      </c>
      <c r="C3313" t="inlineStr">
        <is>
          <t>One of the very best humans I know was diagnosed with stage 3 lung cancer this week. He is a father to two adult children and he fairly recently started his own business and therefore has NO insurance. The hospital is trying to discharge him and they are denying cancer treatment. If he starts treatment, he may have a fighting chance. Does anyone know what I can do?</t>
        </is>
      </c>
      <c r="D3313" t="n">
        <v>5</v>
      </c>
      <c r="E3313" t="n">
        <v>6</v>
      </c>
      <c r="F3313">
        <f>HYPERLINK("https://www.reddit.com/r/cancer/comments/c927oy/i_need_direction_please_help/")</f>
        <v/>
      </c>
      <c r="G3313" t="inlineStr">
        <is>
          <t>2019-07-04 05:48:56</t>
        </is>
      </c>
      <c r="H3313" t="inlineStr"/>
    </row>
    <row r="3314">
      <c r="A3314" t="inlineStr">
        <is>
          <t>c93a8i</t>
        </is>
      </c>
      <c r="B3314" t="inlineStr">
        <is>
          <t>is it possible to detect cancer early before it gets to stage 4 or 3 and become cancer free?</t>
        </is>
      </c>
      <c r="C3314" t="inlineStr">
        <is>
          <t>would regular cancer screenings help or is it impossible?
&amp;amp;#x200B;
i am asking because i have a distant relative  who only six months ago seemed fine.perfectly healthy. And now she is battling stage 4 cancer. 
now im scared for my life and anyone i care about since this seems terrible and so unexpected.</t>
        </is>
      </c>
      <c r="D3314" t="n">
        <v>12</v>
      </c>
      <c r="E3314" t="n">
        <v>16</v>
      </c>
      <c r="F3314">
        <f>HYPERLINK("https://www.reddit.com/r/cancer/comments/c93a8i/is_it_possible_to_detect_cancer_early_before_it/")</f>
        <v/>
      </c>
      <c r="G3314" t="inlineStr">
        <is>
          <t>2019-07-04 07:34:40</t>
        </is>
      </c>
      <c r="H3314" t="inlineStr"/>
    </row>
    <row r="3315">
      <c r="A3315" t="inlineStr">
        <is>
          <t>c9539b</t>
        </is>
      </c>
      <c r="B3315" t="inlineStr">
        <is>
          <t>It's been over one year since I was diagnosed!</t>
        </is>
      </c>
      <c r="C3315" t="inlineStr">
        <is>
          <t>I realized it might help someone a bit if I post a short success story. It all began when I was 20 on July second. I was getting ready for work that night and my mum stopped me and said something along the lines of "what's your boss' number? You're not going to work tonight" (at this point we had suspected something was wrong and had an appointment scheduled with my doctor but that was still several days out). I was extra pale and had some labored shallow breathing. She decided to check my blood pressure, that was ok, but my resting heart rate was over 160, and an hour later was over 180. She made me go to the ER, I thought I could just sleep it off.
After arriving at my local ER they quickly got me in, bypassing others in the queue. After some blood tests and waiting a few hours they came back and said "we are gonna have to keep him" and then after a short while they came back and said "We are waiting for an ambulance, he needs to get to OHSU in Portland OR asap, he has leukemia." That's when I realized that the solution wasn't gonna be as simple as some antibiotics and vitamins.
I arrived at OHSU and was taken to the top floor of the Knight Cancer Center (Kohler Pavilion if you're familiar with this hospital). I was immediately given 5 blood transfusions that night, and this was the start of a long hard road. 
After months of chemotherapy, bone marrow biopsies, and lumber punctures, I have made it to remission. I celebrated my 21st birthday two days after being released from the hospital for a second time. After nearly a year of treatment they let me return to work. I'm not completely out of the woods yet, they will continue to treat me for a few more years with maintenance treatments, but I have so far pretty much beat the beast!
If you're going through this right now, don't let it discourage you, with faith you can make it. And when you're finished, you will have a new outlook on life and treat every new day as a blessing, no matter how bad, because looking back from this, you could be dead.
Thanks everybody for coming to my Ted Talk!</t>
        </is>
      </c>
      <c r="D3315" t="n">
        <v>60</v>
      </c>
      <c r="E3315" t="n">
        <v>22</v>
      </c>
      <c r="F3315">
        <f>HYPERLINK("https://www.reddit.com/r/cancer/comments/c9539b/its_been_over_one_year_since_i_was_diagnosed/")</f>
        <v/>
      </c>
      <c r="G3315" t="inlineStr">
        <is>
          <t>2019-07-04 10:15:26</t>
        </is>
      </c>
      <c r="H3315" t="inlineStr"/>
    </row>
    <row r="3316">
      <c r="A3316" t="inlineStr">
        <is>
          <t>c95r49</t>
        </is>
      </c>
      <c r="B3316" t="inlineStr">
        <is>
          <t>How long does it take to die from untreated AML?</t>
        </is>
      </c>
      <c r="C3316" t="inlineStr">
        <is>
          <t>My coworkers 24 year old daughter might have AML and she said if it’s cancer, she won’t get it treated. She’ll let it take its course. My coworker is very upset and we haven’t asked questions, but how long can it take for AML to kill someone if left untreated? We don’t have a lot of details and we don’t want to ask since this is so upsetting for our coworker. But my coworker has mentioned that his daughter is otherwise healthy and this is her first serious health issue that she’s ever had.</t>
        </is>
      </c>
      <c r="D3316" t="n">
        <v>6</v>
      </c>
      <c r="E3316" t="n">
        <v>12</v>
      </c>
      <c r="F3316">
        <f>HYPERLINK("https://www.reddit.com/r/cancer/comments/c95r49/how_long_does_it_take_to_die_from_untreated_aml/")</f>
        <v/>
      </c>
      <c r="G3316" t="inlineStr">
        <is>
          <t>2019-07-04 11:11:06</t>
        </is>
      </c>
      <c r="H3316" t="inlineStr"/>
    </row>
    <row r="3317">
      <c r="A3317" t="inlineStr">
        <is>
          <t>c96wtt</t>
        </is>
      </c>
      <c r="B3317" t="inlineStr">
        <is>
          <t>Question on moving during radiation therapy?</t>
        </is>
      </c>
      <c r="C3317" t="inlineStr">
        <is>
          <t>I've literally posted this on every possible place I could and now I'm feeling quite foolish - but please do let me know if anyone has any inputs on this.
Stats: Female, 22 Height: 5"3, Weight 75kgs (165lbs); condition: osteosarcoma/chondrosarcoma of the femur 
I (F22) was recently  diagnosed with osteosarcoma. 
I've been prescribed 25 sessions of localized radiation on my femur (5*5). I'm currently done with 15 sessions (3 weeks).  Still have 10 to go. 
Problem is I have severe anxiety and my leg shakes uncontrollably during the radiation treatment almost during the entire duration (sort of like severe shudders during extreme cold). 
I've already discussed this with my radiologists/technicians but they say minor movement is no problem. I don't think they understand the extent of my tremors or just think I'm being overly panicky but I'm truly truly worried. Thinking about my shaking just makes me shake more in the next session and nothing seems to work to keep myself distracted. 
My question is given that they ask me not to move during the procedure, have I compromised on my treatment due to my anxiety? Or do these tiny movements/tremors not make too much of a difference? 
Thanks in advance for all the assistance. And sorry about the English errors :(
(And sorry for the copy paste from different subs, desperate to know I haven't totally compromised three weeks of my treatment OR to know that I have so I can at least convince my doctor to take me seriously)</t>
        </is>
      </c>
      <c r="D3317" t="n">
        <v>7</v>
      </c>
      <c r="E3317" t="n">
        <v>6</v>
      </c>
      <c r="F3317">
        <f>HYPERLINK("https://www.reddit.com/r/cancer/comments/c96wtt/question_on_moving_during_radiation_therapy/")</f>
        <v/>
      </c>
      <c r="G3317" t="inlineStr">
        <is>
          <t>2019-07-04 12:53:41</t>
        </is>
      </c>
      <c r="H3317" t="inlineStr"/>
    </row>
    <row r="3318">
      <c r="A3318" t="inlineStr">
        <is>
          <t>c97m0x</t>
        </is>
      </c>
      <c r="B3318" t="inlineStr">
        <is>
          <t>Just a dream</t>
        </is>
      </c>
      <c r="C3318" t="inlineStr">
        <is>
          <t>Dear Mom,
I had a dream this morning. In my dream, I had woken up late, as per my usual, of course, and took a long shower. It was well past mid-morning and I was trying to get ready for work, following my Sunday routine—running around the house, looking for a pair of extra work pants and a warm layer to wear underneath, a pair of gloves to protect my fingertips from freezing, etc.
You called me over to eat some food before I left for work, but I was too busy trying to stuff everything into my backpack and trying to make sure I didn’t forget anything. I should have known it was a dream at this point, because I had quit my job and moved back into our old home nearly a year ago, but I didn’t, and in my dream, I remember looking over towards you and being annoyed at your insistence that I eat. You sat at the breakfast table as calmly as ever and chatted and laughed over something silly Dad said, but I couldn’t take the time to walk over to join in the conversation because I was so damned late.
I went to go throw something away in the garbage bin in the bathroom but our cousin had taken the bin out to use in the living room...which was... odd, to say the least. I remember wondering, “What is Kris doing here?” And it slowly dawned on me, in the convoluted manner of dreams, that Kris was here for your funeral.
It all came back to me. All the memories of these past few weeks, the funeral, and cremation we just did, all of it. I completely stopped in my tracks. All the rushing and running around. All the frenzied thoughts and feelings of being late for work. All of it gone as if they had never been. I remember slowly walking up to you, as if in a hazy trance, with my hand stretched out, reaching out until my fingertips touched your cheek. I carefully combed my my shaking fingers through your thin, silvery-white hair at your temple and placed my hand so lightly on your shoulder—like I was afraid I’d startle you and make you go away. You turned towards me and smiled at the expression on my face—Mom, you looked so good, so healthy and calm and *present* ...nothing at all like the gaunt and tortured shadow you were at the end.
A dozen questions leapt into my mind, and I started to stammer and trip over my words in my haste to have this chance to talk to you.
*How are you here? Where have you been? Why can’t you stay? God, I miss you—you don’t even know how much. I miss you. I miss you. I miss you... I think I’m always going to miss you. Can you stay for a little while? Please?*
You sat there with the sunlight coming in the window behind you and smiled enigmatically and just shook your head slowly at me, and I started to cry. In desperation, I tried to move forward to hug you close and hold on to you, but the dream faded away and I woke up...
I lay in bed this morning and the tears just started and wouldn’t stop. It’s been nearly two weeks since you’ve passed away, and I think I’ve cried more and harder today than I have in all the days put together since you’ve been gone. (Considering the fact that I haven’t really allowed myself to cry too much, that’s not saying much, I know, but it at least gives a point of comparison.) I thought I was doing pretty okay in the grieving process until this morning and didn’t realize that I’d feel things this keenly as if it was fresh and new.
You see, I thought that because I had been taking care of you for so many months as the illness progressed, that I had already been slowly letting you go. Intellectually, I knew that you would be leaving—doctors don’t recommend hospice care for patients they think are going to recover, obviously. But I see now that I was very naive to think of grief as a linear path when it’s more like a winding and curving road where sometimes you’re moving ‘forward’ at a good pace only to have something happen and then you unexpectedly find yourself in the exact spot you were a while ago. I know I won’t be in this spot forever, but I do know that I’m sure I’ll be back at this point again in my journey through grief, and now I’m somewhat prepared, or at least, I’ll know to that it can happen again and to just let it happen...
Mom, our family wasn’t/isn’t particularly used to talking about our feelings, and I know I didn’t say it often, but I love you, I miss you, and I’m going to continue to love and miss you always. Sometimes it hits me so hard that you won’t be physically here to celebrate future life moments and milestones, but I know that you’re going to watch over us all—and probably tsk-tsk over my life choices. In fact, I can practically hear you saying “You’re so old! When are you getting married?!?” Haha.
With much love and respect, forever and for always,  
Your daughter.
(Anyways, if you’ve taken the time to read this: thank you. If this is not allowed or inappropriate for this sub, please let me know and I shall take it down. Americans: enjoy your 4th of July. Non-Americans: happy Thursday/Friday—the weekend’s nearly here. :) Apologies for any formatting/spelling/grammar issues... it's hard typing when you're a crying, runny-nosed mess.)</t>
        </is>
      </c>
      <c r="D3318" t="n">
        <v>57</v>
      </c>
      <c r="E3318" t="n">
        <v>20</v>
      </c>
      <c r="F3318">
        <f>HYPERLINK("https://www.reddit.com/r/cancer/comments/c97m0x/just_a_dream/")</f>
        <v/>
      </c>
      <c r="G3318" t="inlineStr">
        <is>
          <t>2019-07-04 13:57:44</t>
        </is>
      </c>
      <c r="H3318" t="inlineStr"/>
    </row>
    <row r="3319">
      <c r="A3319" t="inlineStr">
        <is>
          <t>c98yqe</t>
        </is>
      </c>
      <c r="B3319" t="inlineStr">
        <is>
          <t>stage iv rectal cancer diagnosis - 40 yo male expecting first child in 6 weeks</t>
        </is>
      </c>
      <c r="C3319" t="inlineStr">
        <is>
          <t>My story might be familiar to other people with colorectal cancer. I was having some bleeding when going to the bathroom, along with stomach pain/constipation and mild nausea.
I saw two different doctors who both reassured me I had bleeding from internal hemorrhoids and told me to try a fiber supplement and drink more water. I followed their advice for a few weeks but saw no improvement.
Finally, I was able to be referred to a surgeon who recommended the same thing but agreed to a colonoscopy for my “peace of mind”.
By this time I was starting to think the doctors were right and the colonoscopy would come back clear.
Instead, the surgeon was shocked when he found a 5cm tumor about 10cm up on one side of my rectum. He guessed that it was stage ii/iii but ordered a CT scan where he discovered that it had spread to my liver.
Obviously since my wife and I are expecting our first child very soon this was devastating news. It’s been especially hard for my wife. I’m not sure how we’re going to manage a newborn and chemo.
It’s been three days since the diagnosis and I’m struggling to process the full implications of it. Apart from the bleeding, I’ve been feeling normal. No fatigue, nothing.
I have an appointment with an oncologist on Wednesday, but the surgeon ruled out surgery saying that treatment will be focused on chemo. 
I’m not sure if surgery will be an option if the chemo goes well.
I guess I just feel confused and overwhelmed right now and I’m looking for some hope in the situation. I’m suddenly confronted with the possibility that I won’t get to see my son grow up or enjoy the next few decades of my life with my family the way I’d hoped.
The hardest thing is that this all came out of nowhere. I was completely unprepared but I’m trying to just take it one day at a time.
I’d appreciate any tips for the oncologist or general advice from anyone who’s experienced something similar. Thank you.</t>
        </is>
      </c>
      <c r="D3319" t="n">
        <v>54</v>
      </c>
      <c r="E3319" t="n">
        <v>20</v>
      </c>
      <c r="F3319">
        <f>HYPERLINK("https://www.reddit.com/r/cancer/comments/c98yqe/stage_iv_rectal_cancer_diagnosis_40_yo_male/")</f>
        <v/>
      </c>
      <c r="G3319" t="inlineStr">
        <is>
          <t>2019-07-04 16:10:51</t>
        </is>
      </c>
      <c r="H3319" t="inlineStr"/>
    </row>
    <row r="3320">
      <c r="A3320" t="inlineStr">
        <is>
          <t>c99z8j</t>
        </is>
      </c>
      <c r="B3320" t="inlineStr">
        <is>
          <t>Mom has Bile Duct cancer, everything isn't looking so good.</t>
        </is>
      </c>
      <c r="C3320" t="inlineStr">
        <is>
          <t>My Mom was diagnosed with Bile Duct Cancer near mid-June. She tells me to stay off this sub-reddit cause all these stories about loosing people make me cry but I don't really listen, despite knowing I should.
She had all the symptoms, jaundice and all that, it made total sense but it was so hard to fathom. Originally, a surgeon put a tube in her bile duct to drain out her bilirubin (I think it's called a catheter?) and right after surgery he walked in and told us it wasn't operable, she wasn't eligible for a transplant, and she had about a year left. Me and my Dad immediately lost hope. 
She was discharged from the hospital, came home, and then went for another surgery for another tube in another part of her bile duct or something two weeks later. Her blood pressure dropped during surgery and she was put in the ICU for 3-4 days. 
She was then put in a normal hospital room to be monitored. During this time they gave her some steroid? It backfired greatly, and now needs to drain out more liquid from her body, since she originally weighed 108 pounds and now weighs 180. My Dad can't help carry her anymore, she couldn't be properly cared for at home. I'm pretty sure the steroid was for inflammation.
Me and my Dad visited her again today, she kept saying that god should just finish her life now. She's always been spiritual, so she's confident that after dying she'll become pure energy and will still be there to watch after me and my Dad, and that we should be happy and giggling with her. 
The cancer doctor came while me and my Dad were there, they told me to leave the room since I'm pretty young. I came back in, and my Dad told.me everything in the car ride back home. 
Apparently, she has only 6 months left now, but with radiation therapy there is a chance her cancer might get cured. But if it doesn't work, we still just have 6 months. My Dad keeps telling me to stop being selfish and stop crying in front of her because it makes her sad. I just hope there's a good chance the radiation therapy works. 
She's not doing chemo, she hates the idea, and it only gives her a year to live rather than 6 months. Her Mother had lung cancer and the doctors also told my grandmother she had 6 months to live, but with chemo and all she got 2 years. But my Mom doesn't trust doctors all that much like her mother, she just thinks they're only in it to make money, which I'm sure some are. And my Family doesn't want to keep her in pain to increase her longevity, that would be selfish. 
I'm just- confused. I hope the radiation works. She's been devoted to her religion her entire life, and everyones hoping God hears our prayers. With only 6 months, she won't live to see me graduate Middle School. I hate sounding selfish but I'd do anything for more time than that. 
And there's a bunch of other information, but it's not needed to be shared. Just wanted to share my story, cause my Dad doesn't like me talking to him about it. If anyone has any insight on this situation or advice on how to deal with it or just any information, that would be amazing. Thanks for reading.</t>
        </is>
      </c>
      <c r="D3320" t="n">
        <v>11</v>
      </c>
      <c r="E3320" t="n">
        <v>8</v>
      </c>
      <c r="F3320">
        <f>HYPERLINK("https://www.reddit.com/r/cancer/comments/c99z8j/mom_has_bile_duct_cancer_everything_isnt_looking/")</f>
        <v/>
      </c>
      <c r="G3320" t="inlineStr">
        <is>
          <t>2019-07-04 18:04:26</t>
        </is>
      </c>
      <c r="H3320" t="inlineStr"/>
    </row>
    <row r="3321">
      <c r="A3321" t="inlineStr">
        <is>
          <t>c9bnsl</t>
        </is>
      </c>
      <c r="B3321" t="inlineStr">
        <is>
          <t>Having my first mammogram next week. I’m absolutely terrified, and not sure what to expect. (25f)</t>
        </is>
      </c>
      <c r="C3321" t="inlineStr">
        <is>
          <t>I found a marble sized lump in my left breast about a month ago. It’s feels closer to the size of a marble now.
TLDR: Op found bumpy bumpy in boobie. Op has a family history of boobie cancer. Dr say let’s scan boobie. Op is scardy cat lady. Op looking for reassuring internet back pats. Op big pus pus. Not afraid to admit it though.
Genetically speaking, my family has had a bit of a annoying run with breast cancer. My grandmother and mother have had it, but both were removed successfully. Both my mother and I have very very dense breast tissue. To the point where it was difficult for us both to find our lumps.
My partner and I found my lump during an inspection (on accident really, if ya know what I’m sayin 🤙🏼😉) and naturally I asked my doctor to do her own manual assessment. She could feel the lump, but due to my dense tissue she wanted me to do a mammogram as well. 
So next week I have this mammogram. And even though I am young, my mother told me to just be prepared. 
Could anyone here who has been in this spot before give me any tips or advice for how this process will go? I’ve heard mammograms are painful and I’m a bit nervous about that. Anything will help honestly.</t>
        </is>
      </c>
      <c r="D3321" t="n">
        <v>1</v>
      </c>
      <c r="E3321" t="n">
        <v>0</v>
      </c>
      <c r="F3321">
        <f>HYPERLINK("https://www.reddit.com/r/cancer/comments/c9bnsl/having_my_first_mammogram_next_week_im_absolutely/")</f>
        <v/>
      </c>
      <c r="G3321" t="inlineStr">
        <is>
          <t>2019-07-04 21:26:29</t>
        </is>
      </c>
      <c r="H3321" t="inlineStr"/>
    </row>
    <row r="3322">
      <c r="A3322" t="inlineStr">
        <is>
          <t>c9ct6s</t>
        </is>
      </c>
      <c r="B3322" t="inlineStr">
        <is>
          <t>Amputation Phantom Sensations</t>
        </is>
      </c>
      <c r="C3322" t="inlineStr">
        <is>
          <t>Im up at 3 am because of phantom sensations. I’m a recent amputee (about 2 weeks). Does anyone know if anyone ways to reduce the sensations?</t>
        </is>
      </c>
      <c r="D3322" t="n">
        <v>3</v>
      </c>
      <c r="E3322" t="n">
        <v>13</v>
      </c>
      <c r="F3322">
        <f>HYPERLINK("https://www.reddit.com/r/cancer/comments/c9ct6s/amputation_phantom_sensations/")</f>
        <v/>
      </c>
      <c r="G3322" t="inlineStr">
        <is>
          <t>2019-07-04 23:49:51</t>
        </is>
      </c>
      <c r="H3322" t="inlineStr"/>
    </row>
    <row r="3323">
      <c r="A3323" t="inlineStr">
        <is>
          <t>c9dzsu</t>
        </is>
      </c>
      <c r="B3323" t="inlineStr">
        <is>
          <t>Can’t sleep. Absolutely traumatized.</t>
        </is>
      </c>
      <c r="C3323" t="inlineStr">
        <is>
          <t>So a few weeks ago, we found out my dads lung cancer is back (a month after a scan indicated being “cancer free”, and is now stage IV. Ever since then, it’s been a roller coaster of emotions, but today was just too much. I broke for the first time in front of my dad.
After the stage IV diagnosis, they also mentioned some lesions in the brain. The following day, he started becoming very forgetful. He also had cognitive issues, had trouble writing, etc.
It’s only been a few weeks since then and it seems much worse. He has been hallucinating. And worst of all, his vision seems like it’s going. I am watching my dad deteriorate before my very eyes and it is the worst pain I have ever experienced. 
He couldn’t see my grandma (my mother’s mom), on the couch, across the living room and sometimes has this blank stare now, as if he’s not seeing what’s in front of him. He asked my mom “where’s grandma” and as he leaned up to try and see her, I just lost it. I threw my glasses at the wall in anger knowing that he is suffering. 
But even through all this, he says to me “what’s wrong?”. Asks me to come over, I hug him, and he says “it’ll be ok son”. 
He said to my mom and I “am I going blind” and I was literally speechless. This is too much. Lung cancer is one thing, him coughing 85% of the day, staying in bed... but now this? Hearing him say he’s scared is breaking my heart. 
I got a tattoo a week ago for him, a rose on my upper arm that has a banner saying “dad”. I’m glad I did because I feel now that he probably wouldn’t be able to even see it. 
This is all happening so fast. My one close friend who would be my only support system is out of town right now. I work Saturday morning but I don’t know how well I’ll sleep tomorrow.
Last week his radiologist said they’re more concerned about treating his lung first, as the lesions in his brain were tiny and only a few millimeters or so. Is it really progressing this quickly?
We receive the results of an additional brain MRI tomorrow, and I fear the worst. I lost my faith a long time ago but just today it really hit me. All those prayers that night when he first got admitted into the hospital last summer... and we’re getting the exact opposite of what we asked for.</t>
        </is>
      </c>
      <c r="D3323" t="n">
        <v>20</v>
      </c>
      <c r="E3323" t="n">
        <v>12</v>
      </c>
      <c r="F3323">
        <f>HYPERLINK("https://www.reddit.com/r/cancer/comments/c9dzsu/cant_sleep_absolutely_traumatized/")</f>
        <v/>
      </c>
      <c r="G3323" t="inlineStr">
        <is>
          <t>2019-07-05 02:30:41</t>
        </is>
      </c>
      <c r="H3323" t="inlineStr"/>
    </row>
    <row r="3324">
      <c r="A3324" t="inlineStr">
        <is>
          <t>c9fzz8</t>
        </is>
      </c>
      <c r="B3324" t="inlineStr">
        <is>
          <t>Extreme anemia after chemotherapy</t>
        </is>
      </c>
      <c r="C3324" t="inlineStr">
        <is>
          <t>Hi everyone, we recently learned that my dad has lung cancer. Is 78 years old. Type 2 diabetic with partial kidney failure to begin with. He had his first chemotherapy treatment last week and initially he felt really good afterwards. But several days later he began to show symptoms of what turned out to be extreme anemia. His hemoglobin count was 3.7 when he was brought to the emergency room and the doctor told us that was life threatening. He has been getting blood transfusions since then and is responding relatively well.
I have read through the American Cancer Society literature and I do not see any indication that anemia to this severe extent is typical. Anemia is certainly one of the typical side effects but I'm yet to see any cases where it was this bad. I guess I am posting this in case anyone reading has any insight to share with me about the situation.
Have a blessed day.</t>
        </is>
      </c>
      <c r="D3324" t="n">
        <v>1</v>
      </c>
      <c r="E3324" t="n">
        <v>2</v>
      </c>
      <c r="F3324">
        <f>HYPERLINK("https://www.reddit.com/r/cancer/comments/c9fzz8/extreme_anemia_after_chemotherapy/")</f>
        <v/>
      </c>
      <c r="G3324" t="inlineStr">
        <is>
          <t>2019-07-05 06:33:03</t>
        </is>
      </c>
      <c r="H3324" t="inlineStr"/>
    </row>
    <row r="3325">
      <c r="A3325" t="inlineStr">
        <is>
          <t>c9g2o7</t>
        </is>
      </c>
      <c r="B3325" t="inlineStr">
        <is>
          <t>Would extensive bowel movements and vomiting cause your body to lose an IV infusion?</t>
        </is>
      </c>
      <c r="C3325" t="inlineStr">
        <is>
          <t>Hi all,
&amp;amp;#x200B;
My dad (a DLBCL patient) is scheduled to get a colonoscopy the day after his monthly rituximab infusion. For the colonoscopy he has to stop eating at 1pm on the day before the colonoscopy, which is the day of his rituximab treatment (this infusion usually starts at 1pm and ends at 3pm). That night he has to start taking a solution (Moviprep) to make him have bowel movements about 7pm. The next morning, on the day of the colonoscopy, he takes more of this solution at 6am and then has the colonoscopy at 1:30pm. My question is, will he lose the rituximab infusion if he is having all of these bowel movements and emptying the bowel? What if being hungry makes him throw up, will he lose his rituximab then? He has a very weak stomach post his first treatment with chemotherapy several years ago.
&amp;amp;#x200B;
He's had some concerning bowel movements so I think he really needs this colonoscopy but I am also worried about losing the rituximab infusion, can anyone advise?
&amp;amp;#x200B;
Thank you so much,
&amp;amp;#x200B;
Tranadex</t>
        </is>
      </c>
      <c r="D3325" t="n">
        <v>3</v>
      </c>
      <c r="E3325" t="n">
        <v>2</v>
      </c>
      <c r="F3325">
        <f>HYPERLINK("https://www.reddit.com/r/cancer/comments/c9g2o7/would_extensive_bowel_movements_and_vomiting/")</f>
        <v/>
      </c>
      <c r="G3325" t="inlineStr">
        <is>
          <t>2019-07-05 06:40:44</t>
        </is>
      </c>
      <c r="H3325" t="inlineStr"/>
    </row>
    <row r="3326">
      <c r="A3326" t="inlineStr">
        <is>
          <t>c9gaez</t>
        </is>
      </c>
      <c r="B3326" t="inlineStr">
        <is>
          <t>Immunotherapy experience</t>
        </is>
      </c>
      <c r="C3326" t="inlineStr">
        <is>
          <t>This is a follow up from my previous post https://www.reddit.com/r/cancer/comments/c8lhe9/stage_4_gall_bladder_carcinoma/
I spoke to the doctor today, he said she has 4-6 months and if she responds to the new chemo well, her life expectancy can increase a little. They also suggested immunotherapy for which she probably needs biopsy to see if she will respond to it.
Is biopsy safe in her condition with cancer already spread outside gall bladder? Is immunotherapy promising?
Cheers.</t>
        </is>
      </c>
      <c r="D3326" t="n">
        <v>1</v>
      </c>
      <c r="E3326" t="n">
        <v>0</v>
      </c>
      <c r="F3326">
        <f>HYPERLINK("https://www.reddit.com/r/cancer/comments/c9gaez/immunotherapy_experience/")</f>
        <v/>
      </c>
      <c r="G3326" t="inlineStr">
        <is>
          <t>2019-07-05 07:02:31</t>
        </is>
      </c>
      <c r="H3326" t="inlineStr"/>
    </row>
    <row r="3327">
      <c r="A3327" t="inlineStr">
        <is>
          <t>c9haff</t>
        </is>
      </c>
      <c r="B3327" t="inlineStr">
        <is>
          <t>Rare genetic disease combination</t>
        </is>
      </c>
      <c r="C3327" t="inlineStr">
        <is>
          <t>I’m looking for someone w/clinical or research expertise w/a rare intersection of diseases: inherited NF1 &amp;amp; Cholangiocarcinoma. Hoping that this gets to a scientist or medical professional with real insight into Cholangiocarcinoma treatment options/complications given the NF1 mutation.</t>
        </is>
      </c>
      <c r="D3327" t="n">
        <v>5</v>
      </c>
      <c r="E3327" t="n">
        <v>3</v>
      </c>
      <c r="F3327">
        <f>HYPERLINK("https://www.reddit.com/r/cancer/comments/c9haff/rare_genetic_disease_combination/")</f>
        <v/>
      </c>
      <c r="G3327" t="inlineStr">
        <is>
          <t>2019-07-05 08:32:07</t>
        </is>
      </c>
      <c r="H3327" t="inlineStr"/>
    </row>
    <row r="3328">
      <c r="A3328" t="inlineStr">
        <is>
          <t>c9hdck</t>
        </is>
      </c>
      <c r="B3328" t="inlineStr">
        <is>
          <t>Any long term (20+ years) cancer survivors out there?</t>
        </is>
      </c>
      <c r="C3328" t="inlineStr">
        <is>
          <t>Specifically cervical, but any stage 2 or greater long term surviving.</t>
        </is>
      </c>
      <c r="D3328" t="n">
        <v>31</v>
      </c>
      <c r="E3328" t="n">
        <v>30</v>
      </c>
      <c r="F3328">
        <f>HYPERLINK("https://www.reddit.com/r/cancer/comments/c9hdck/any_long_term_20_years_cancer_survivors_out_there/")</f>
        <v/>
      </c>
      <c r="G3328" t="inlineStr">
        <is>
          <t>2019-07-05 08:38:56</t>
        </is>
      </c>
      <c r="H3328" t="inlineStr"/>
    </row>
    <row r="3329">
      <c r="A3329" t="inlineStr">
        <is>
          <t>c9hjfe</t>
        </is>
      </c>
      <c r="B3329" t="inlineStr">
        <is>
          <t>20 and positive for lynch syndrome</t>
        </is>
      </c>
      <c r="C3329" t="inlineStr">
        <is>
          <t>Family has a huge history of deaths from colon cancer, finally my dad got it. Turns out he has lynch so I got tested and I have it , what are some things I should know and be considered about ?? I’m totally lost</t>
        </is>
      </c>
      <c r="D3329" t="n">
        <v>3</v>
      </c>
      <c r="E3329" t="n">
        <v>3</v>
      </c>
      <c r="F3329">
        <f>HYPERLINK("https://www.reddit.com/r/cancer/comments/c9hjfe/20_and_positive_for_lynch_syndrome/")</f>
        <v/>
      </c>
      <c r="G3329" t="inlineStr">
        <is>
          <t>2019-07-05 08:53:26</t>
        </is>
      </c>
      <c r="H3329" t="inlineStr"/>
    </row>
    <row r="3330">
      <c r="A3330" t="inlineStr">
        <is>
          <t>c9ig84</t>
        </is>
      </c>
      <c r="B3330" t="inlineStr">
        <is>
          <t>Best creams to use during radiation treatment?</t>
        </is>
      </c>
      <c r="C3330" t="inlineStr">
        <is>
          <t>I hear there are creams to use during radiation treatment.  Does anyone have any suggestions?
Do you apply anything before your treatment?</t>
        </is>
      </c>
      <c r="D3330" t="n">
        <v>3</v>
      </c>
      <c r="E3330" t="n">
        <v>11</v>
      </c>
      <c r="F3330">
        <f>HYPERLINK("https://www.reddit.com/r/cancer/comments/c9ig84/best_creams_to_use_during_radiation_treatment/")</f>
        <v/>
      </c>
      <c r="G3330" t="inlineStr">
        <is>
          <t>2019-07-05 10:09:21</t>
        </is>
      </c>
      <c r="H3330" t="inlineStr"/>
    </row>
    <row r="3331">
      <c r="A3331" t="inlineStr">
        <is>
          <t>c9ivi5</t>
        </is>
      </c>
      <c r="B3331" t="inlineStr">
        <is>
          <t>[Question] Would you use technology to self-diagnose skin cancer? (Research)</t>
        </is>
      </c>
      <c r="C3331" t="inlineStr">
        <is>
          <t>**Hello everyone :)**
&amp;amp;#x200B;
I am doing research on how to utilise smartphones and artificial intelligence to detect melanoma early on.
I would be delighted if you could take part in my survey (Just 4 mins).
[https://warwickwmg.eu.qualtrics.com/jfe/form/SV\_4Zn8yvBVKV5CQ4d](https://warwickwmg.eu.qualtrics.com/jfe/form/SV_4Zn8yvBVKV5CQ4d)
&amp;amp;#x200B;
Once you understood the topic:
I would like to discuss the following question:
&amp;amp;#x200B;
**Do you think that AI-powered apps could become the new standard for early stage diagnosis of all kinds of diseases and eventually replace the need to go to a real doctor in the future?**
&amp;amp;#x200B;
**Best wishes**
Maximilian Gutsche</t>
        </is>
      </c>
      <c r="D3331" t="n">
        <v>0</v>
      </c>
      <c r="E3331" t="n">
        <v>6</v>
      </c>
      <c r="F3331">
        <f>HYPERLINK("https://www.reddit.com/r/cancer/comments/c9ivi5/question_would_you_use_technology_to_selfdiagnose/")</f>
        <v/>
      </c>
      <c r="G3331" t="inlineStr">
        <is>
          <t>2019-07-05 10:45:13</t>
        </is>
      </c>
      <c r="H3331" t="inlineStr"/>
    </row>
    <row r="3332">
      <c r="A3332" t="inlineStr">
        <is>
          <t>c9jd87</t>
        </is>
      </c>
      <c r="B3332" t="inlineStr">
        <is>
          <t>Bacteria Engineered as Trojan Horse for Cancer Immunotherapy</t>
        </is>
      </c>
      <c r="C3332" t="inlineStr">
        <is>
          <t xml:space="preserve"> [https://www.newswise.com/articles/bacteria-engineered-as-trojan-horse-for-cancer-immunotherapy](https://www.newswise.com/articles/bacteria-engineered-as-trojan-horse-for-cancer-immunotherapy)</t>
        </is>
      </c>
      <c r="D3332" t="n">
        <v>4</v>
      </c>
      <c r="E3332" t="n">
        <v>0</v>
      </c>
      <c r="F3332">
        <f>HYPERLINK("https://www.reddit.com/r/cancer/comments/c9jd87/bacteria_engineered_as_trojan_horse_for_cancer/")</f>
        <v/>
      </c>
      <c r="G3332" t="inlineStr">
        <is>
          <t>2019-07-05 11:26:09</t>
        </is>
      </c>
      <c r="H3332" t="inlineStr"/>
    </row>
    <row r="3333">
      <c r="A3333" t="inlineStr">
        <is>
          <t>c9k6p3</t>
        </is>
      </c>
      <c r="B3333" t="inlineStr">
        <is>
          <t>It hurts!!</t>
        </is>
      </c>
      <c r="C3333" t="inlineStr">
        <is>
          <t>Squamous cell carcinoma of the oral cavity, the tumor is growing in my tongue. I’ve got surgery scheduled for Tuesday next week but my mouth is KILLING me and none of my phone messages have been returned. What should I do? I’m on a restricted list of pain killers so where I’d normally take ibuprofen, I can’t. All thoughts appreciated!</t>
        </is>
      </c>
      <c r="D3333" t="n">
        <v>3</v>
      </c>
      <c r="E3333" t="n">
        <v>5</v>
      </c>
      <c r="F3333">
        <f>HYPERLINK("https://www.reddit.com/r/cancer/comments/c9k6p3/it_hurts/")</f>
        <v/>
      </c>
      <c r="G3333" t="inlineStr">
        <is>
          <t>2019-07-05 12:37:04</t>
        </is>
      </c>
      <c r="H3333" t="inlineStr"/>
    </row>
    <row r="3334">
      <c r="A3334" t="inlineStr">
        <is>
          <t>c9k8i7</t>
        </is>
      </c>
      <c r="B3334" t="inlineStr">
        <is>
          <t>Aunt diagnosed with stage 4 pancreatic cancer</t>
        </is>
      </c>
      <c r="C3334" t="inlineStr">
        <is>
          <t>Hi everyone, 
My aunt was diagnosed with stage 4 pancreatic cancer a year ago. She’s been having an especially hard time coping lately. She doesn’t speak english very well, but she speaks Farsi. We think a group therapy along with individualized therapy would be beneficial for her, but all the group therapies around here are in English so she has been reluctant to go. 
I was hoping someone out here would have any advice they could give us for options we can provide for her or anyone who is Persian that’s going through something similar she could talk to. She lives in the Vancouver area. I know this is a long shot but it’s worth asking. Thank you!</t>
        </is>
      </c>
      <c r="D3334" t="n">
        <v>7</v>
      </c>
      <c r="E3334" t="n">
        <v>4</v>
      </c>
      <c r="F3334">
        <f>HYPERLINK("https://www.reddit.com/r/cancer/comments/c9k8i7/aunt_diagnosed_with_stage_4_pancreatic_cancer/")</f>
        <v/>
      </c>
      <c r="G3334" t="inlineStr">
        <is>
          <t>2019-07-05 12:41:18</t>
        </is>
      </c>
      <c r="H3334" t="inlineStr"/>
    </row>
    <row r="3335">
      <c r="A3335" t="inlineStr">
        <is>
          <t>c9kbvc</t>
        </is>
      </c>
      <c r="B3335" t="inlineStr">
        <is>
          <t>How was your colon cancer detected?</t>
        </is>
      </c>
      <c r="C3335" t="inlineStr">
        <is>
          <t>Which test specifically? and in which stage? what were your symptoms?</t>
        </is>
      </c>
      <c r="D3335" t="n">
        <v>0</v>
      </c>
      <c r="E3335" t="n">
        <v>2</v>
      </c>
      <c r="F3335">
        <f>HYPERLINK("https://www.reddit.com/r/cancer/comments/c9kbvc/how_was_your_colon_cancer_detected/")</f>
        <v/>
      </c>
      <c r="G3335" t="inlineStr">
        <is>
          <t>2019-07-05 12:49:07</t>
        </is>
      </c>
      <c r="H3335" t="inlineStr"/>
    </row>
    <row r="3336">
      <c r="A3336" t="inlineStr">
        <is>
          <t>c9kc5t</t>
        </is>
      </c>
      <c r="B3336" t="inlineStr">
        <is>
          <t>First therapy session in a few years. What do I say</t>
        </is>
      </c>
      <c r="C3336" t="inlineStr">
        <is>
          <t>I (F24) was diagnosed with a low grade MALT lymphoma late spring and have a previous history of generalized anxiety. A physician on my care team recommended I start seeing a therapist again, since I've mentioned this diagnosis exacerbated my previously controlled anxiety. I'm typically a very open person when it comes to my emotions, but this situation is maling me feel increasingly more vulnerable (and stressed as I'm continuing grad school in the fall).  
Have any of you/a loved one gone to psychotherapy while undergoing cancer treatment and what was your experience?</t>
        </is>
      </c>
      <c r="D3336" t="n">
        <v>4</v>
      </c>
      <c r="E3336" t="n">
        <v>2</v>
      </c>
      <c r="F3336">
        <f>HYPERLINK("https://www.reddit.com/r/cancer/comments/c9kc5t/first_therapy_session_in_a_few_years_what_do_i_say/")</f>
        <v/>
      </c>
      <c r="G3336" t="inlineStr">
        <is>
          <t>2019-07-05 12:49:51</t>
        </is>
      </c>
      <c r="H3336" t="inlineStr"/>
    </row>
    <row r="3337">
      <c r="A3337" t="inlineStr">
        <is>
          <t>c9kjhv</t>
        </is>
      </c>
      <c r="B3337" t="inlineStr">
        <is>
          <t>I just found out my mom has it</t>
        </is>
      </c>
      <c r="C3337" t="inlineStr">
        <is>
          <t>I would like someone to talk to tbh</t>
        </is>
      </c>
      <c r="D3337" t="n">
        <v>6</v>
      </c>
      <c r="E3337" t="n">
        <v>17</v>
      </c>
      <c r="F3337">
        <f>HYPERLINK("https://www.reddit.com/r/cancer/comments/c9kjhv/i_just_found_out_my_mom_has_it/")</f>
        <v/>
      </c>
      <c r="G3337" t="inlineStr">
        <is>
          <t>2019-07-05 13:07:00</t>
        </is>
      </c>
      <c r="H3337" t="inlineStr"/>
    </row>
    <row r="3338">
      <c r="A3338" t="inlineStr">
        <is>
          <t>c9lxtq</t>
        </is>
      </c>
      <c r="B3338" t="inlineStr">
        <is>
          <t>Doin' Fine</t>
        </is>
      </c>
      <c r="C3338" t="inlineStr">
        <is>
          <t>Thought I might make this post for anyone newly diagnosed or worrying (which is so hard not to do!) about themselves or a loved one.
I was diagnosed with stage 4 Hodgkin's lymphoma around the new year. It had spread to my bones but not my bone marrow. I had to withdraw from university, stop working, and move in with my parents. I go to an amazing cancer hospital that we're lucky to live near, and the doctor started me on 6 cycles of ABVD(chemo), with possible radiation to follow.
I recently finished cycle 3, and was told that my blood counts are great, the lesion on my sternum has shrunk, and now we are just treating the cancer at the microscopic level. A full recovery is expected and I may not need the radiation.
It's been a tough time and chemo does suck, a lot, but cancer is just a disease and science can treat it! I've met some really cool patients, heard some really interesting stories, and learned a lot during this time, so if anyone out there is feeling shitty about cancer (which is fine!) I just want to say you can do it!</t>
        </is>
      </c>
      <c r="D3338" t="n">
        <v>1</v>
      </c>
      <c r="E3338" t="n">
        <v>0</v>
      </c>
      <c r="F3338">
        <f>HYPERLINK("https://www.reddit.com/r/cancer/comments/c9lxtq/doin_fine/")</f>
        <v/>
      </c>
      <c r="G3338" t="inlineStr">
        <is>
          <t>2019-07-05 15:10:11</t>
        </is>
      </c>
      <c r="H3338" t="inlineStr"/>
    </row>
    <row r="3339">
      <c r="A3339" t="inlineStr">
        <is>
          <t>c9mdi8</t>
        </is>
      </c>
      <c r="B3339" t="inlineStr">
        <is>
          <t>My dad passed away from lung cancer.</t>
        </is>
      </c>
      <c r="C3339" t="inlineStr">
        <is>
          <t>My dad passed Tuesday night, July 2nd at 7:10pm. 
He died on his bed, surrounded by his wife, 2 daughters, and his son (me). 
I’m still numb. I’m the one that noticed he wasn’t breathing. He was just put on hospice home care on Saturday. 
His health deteriorated so quickly. I didn’t expect this. He didn’t want to be confined to the hospital. That was his only wish, not to be taken to the hospital for care. He chose DNR. 
He finally allowed us to tell his extended family and most came on Sunday to pay him a visit in our small apartment. He was still bedridden and weak (from lack of food/liquid), but awake. After that it all downhill. He was asleep for most of Monday. He opened his eyes and communicated with us Tuesday morning, but he didn’t stay that way too long. He once again went back to sleep and was either having vivid dreams or hallucinating. His breathing was labored due to secretions in his throat. We administered a minimal dosage of morphine and it put him at ease. His breathing was still somewhat labored but his movements we gone and he seemed like he was resting. 
3 hours had passed since the morphine and we were thinking if we should administer another, but we didn’t need to. I saw his chest not moving and called to him. My sister and mom came into the room. He may have had a couple of more shallow breaths a few seconds apart but he was gone. We didn’t see it coming. We thought we had more time. 
He just started radiation therapy two weeks ago and managed 5 straight days of treatment, but I think that took it out of him. He didn’t even want any treatment but we as his family urged and forced him to try. I know now that was a mistake. Yes we he would’ve still died from his cancer, but I think he would’ve been here with us longer. 
That’s something I’ll think about for the rest of my life. 
I still haven’t cried. I  want to. I need to but my brain won’t seem to allow me. 
I want to believe he’s at a better place. At peace. No more pain.
Funeral planning has been taking place and I feel so out of it. I contribute nothing. I’m like a zombie. My sisters are carrying the load I hope to snap out of this soon. 
Hours seem like days. 
Fuck cancer. Fuck depression.</t>
        </is>
      </c>
      <c r="D3339" t="n">
        <v>48</v>
      </c>
      <c r="E3339" t="n">
        <v>15</v>
      </c>
      <c r="F3339">
        <f>HYPERLINK("https://www.reddit.com/r/cancer/comments/c9mdi8/my_dad_passed_away_from_lung_cancer/")</f>
        <v/>
      </c>
      <c r="G3339" t="inlineStr">
        <is>
          <t>2019-07-05 15:51:31</t>
        </is>
      </c>
      <c r="H3339" t="inlineStr"/>
    </row>
    <row r="3340">
      <c r="A3340" t="inlineStr">
        <is>
          <t>c9mgnb</t>
        </is>
      </c>
      <c r="B3340" t="inlineStr">
        <is>
          <t>My story, briefly.</t>
        </is>
      </c>
      <c r="C3340" t="inlineStr">
        <is>
          <t>I am 26, I’m a specialised therapist. I was diagnosed with testicular cancer last year and since then it has spread to my lungs, heart, brain and kidneys. I had been saving my money and spending my money on treatments to slow it down or soothe it until I had enough for treatment in Japan. I was saving for enough to get multiple organ transplants and lots of surgery. Yesterday I got a cancer screening, only to find I have far more cancer than I thought. The surgery would cost far too much and would have an almost 0% chance of success. Until I die, I will keep fighting, live a happy life and make others happy.</t>
        </is>
      </c>
      <c r="D3340" t="n">
        <v>16</v>
      </c>
      <c r="E3340" t="n">
        <v>11</v>
      </c>
      <c r="F3340">
        <f>HYPERLINK("https://www.reddit.com/r/cancer/comments/c9mgnb/my_story_briefly/")</f>
        <v/>
      </c>
      <c r="G3340" t="inlineStr">
        <is>
          <t>2019-07-05 16:00:21</t>
        </is>
      </c>
      <c r="H3340" t="inlineStr"/>
    </row>
    <row r="3341">
      <c r="A3341" t="inlineStr">
        <is>
          <t>c9mrpm</t>
        </is>
      </c>
      <c r="B3341" t="inlineStr">
        <is>
          <t>Can a scan miss spreading?</t>
        </is>
      </c>
      <c r="C3341" t="inlineStr">
        <is>
          <t>I was diagnosed with papillary renal cell carcinoma.  The doctor thinks it's probably localized stage 1.
I have so much concern that it has spread.  The mass was smaller and not identified back in 2015 and never addressed.  It's had over 4 years to fester. They finally found it do to a kidney infection that I was hospital for last month. How confident can they be just from MRI scan that it hasn't spread? They found multiple cysts on my liver with fatty intrusion. Is that spreading? When they do the surgery will they get a closer look at my kidney, liver, and back pain areas to have a look and be sure?  What kinds of things can they tell from pathology report after they get this crap out of me?  Last question... How often does this come back?
I have a meeting this week with my urologist and I'm asking him all of this, but anticipation is driving me nuts.</t>
        </is>
      </c>
      <c r="D3341" t="n">
        <v>3</v>
      </c>
      <c r="E3341" t="n">
        <v>3</v>
      </c>
      <c r="F3341">
        <f>HYPERLINK("https://www.reddit.com/r/cancer/comments/c9mrpm/can_a_scan_miss_spreading/")</f>
        <v/>
      </c>
      <c r="G3341" t="inlineStr">
        <is>
          <t>2019-07-05 16:30:59</t>
        </is>
      </c>
      <c r="H3341" t="inlineStr"/>
    </row>
    <row r="3342">
      <c r="A3342" t="inlineStr">
        <is>
          <t>c9p6mg</t>
        </is>
      </c>
      <c r="B3342" t="inlineStr">
        <is>
          <t>My Dad</t>
        </is>
      </c>
      <c r="C3342" t="inlineStr">
        <is>
          <t>My Dad has been battling cancer since October 2018 (he was very obviously sick prior to that but wasn’t dx until October) he was diagnosed with Non-Hodgkins Lymphoma DLBCL Stage IV. He was told in March that he was in full remission (I now don’t think that was true) and we were all so happy. My Dad has always been one of those, don’t celebrate the good too much because it won’t last, types. We all tried really hard to get him to relax and enjoy it. He was still suffering the effects of chemo and the havoc the tumours had caused with his body. Unfortunately, only after a month he developed a mass on his leg. They told him that it was cancer again.
They started him on a different chemotherapy regime and said that as soon as there was a decrease in the size of his tumour, he would be referred for a stem cell transplant. We definitely felt hopeful and like it was going to be difficult but we would make it through this too.
Last week he started having seizures and was rushed to the hospital. They suspect he has lymphoma of the CNS. 
He’s been admitted at the main hospital that has the stem cell transplant team because they decided to run every test and get him stable for the transplant.
We found out today that they do believe he has CNS lymphoma and that is what caused his seizures, as well as, other symptoms he’s been struggling with like weakness, loss of balance, and difficulty walking. They also described his B-Cell lymphoma as bad. 
They haven’t decided if a stem cell transplant or a trial medication is the best option for further treatment. All his doctors are meeting on Monday to discuss his case and decide.
They told him and my Mom today that if treatment doesn’t work he’s looking at having weeks left to live. 
I’m devastated, I don’t even know how to process this. My Dad has always been there, he’s a tough guy and watching this disease break him has been so hard. He was a firefighter for 36 years, it always felt like nothing scared him. 
I don’t want him to be scared but I don’t know what to do or say to help him with that??
I’m praying that whatever his doctors decide on Monday will work. I just don’t know what else to do besides that. It has to work...</t>
        </is>
      </c>
      <c r="D3342" t="n">
        <v>4</v>
      </c>
      <c r="E3342" t="n">
        <v>6</v>
      </c>
      <c r="F3342">
        <f>HYPERLINK("https://www.reddit.com/r/cancer/comments/c9p6mg/my_dad/")</f>
        <v/>
      </c>
      <c r="G3342" t="inlineStr">
        <is>
          <t>2019-07-05 20:53:02</t>
        </is>
      </c>
      <c r="H3342" t="inlineStr"/>
    </row>
    <row r="3343">
      <c r="A3343" t="inlineStr">
        <is>
          <t>c9paad</t>
        </is>
      </c>
      <c r="B3343" t="inlineStr">
        <is>
          <t>My grandad passed away from lung cancer yesterday</t>
        </is>
      </c>
      <c r="C3343" t="inlineStr">
        <is>
          <t>It's 5am and I can't sleep. I can't cry to my mum because she's lost her dad. I need to look after the house, I'm not allowed to make the focus on me. I didn't know he was going to go so quickly. Two weeks - maybe a month ago he was walking around and his chest infection was improving but then we got news that the antibiotics weren't working and then he stopped eating and I don't know what to do I played guitar for him at his birthday a few days ago because he loves guitar but I've only been playing for a year so he'll never hear me get any better than the song I played and he'll never see me grow up because he was only 74 and I'm only fourteen and I have no one to talk to and I still can't believe he's gone I never even got to say goodbye or tell him I love him I'm so fucking lost</t>
        </is>
      </c>
      <c r="D3343" t="n">
        <v>2</v>
      </c>
      <c r="E3343" t="n">
        <v>1</v>
      </c>
      <c r="F3343">
        <f>HYPERLINK("https://www.reddit.com/r/cancer/comments/c9paad/my_grandad_passed_away_from_lung_cancer_yesterday/")</f>
        <v/>
      </c>
      <c r="G3343" t="inlineStr">
        <is>
          <t>2019-07-05 21:04:51</t>
        </is>
      </c>
      <c r="H3343" t="inlineStr"/>
    </row>
    <row r="3344">
      <c r="A3344" t="inlineStr">
        <is>
          <t>c9q117</t>
        </is>
      </c>
      <c r="B3344" t="inlineStr">
        <is>
          <t>Looking for subreddit for genetic mutations</t>
        </is>
      </c>
      <c r="C3344" t="inlineStr">
        <is>
          <t>Hey guys, I'm not sure where to post. I just got genetic counseling with a family cancer genetics specialist and they found a mutation on the RAD51C gene. My mom died from triple negative breast cancer and this gene is associated with that. It's also highly linked to ovarian cancer. I want to learn more about this and maybe connect with others who have the mutation, but apparently it's very rare. Should I post here or elsewhere?</t>
        </is>
      </c>
      <c r="D3344" t="n">
        <v>3</v>
      </c>
      <c r="E3344" t="n">
        <v>1</v>
      </c>
      <c r="F3344">
        <f>HYPERLINK("https://www.reddit.com/r/cancer/comments/c9q117/looking_for_subreddit_for_genetic_mutations/")</f>
        <v/>
      </c>
      <c r="G3344" t="inlineStr">
        <is>
          <t>2019-07-05 22:36:44</t>
        </is>
      </c>
      <c r="H3344" t="inlineStr"/>
    </row>
    <row r="3345">
      <c r="A3345" t="inlineStr">
        <is>
          <t>c9qeh4</t>
        </is>
      </c>
      <c r="B3345" t="inlineStr">
        <is>
          <t>Ok I’m sorry if this is disrespectful in any way, but a few days ago I found this bump on my head that hasn’t gone away. Headaches and dizziness has gotten worse, kinda worried it might be a tumor, just wondering that if anyone who has had or have a brain tumor, if you could just let me know the...</t>
        </is>
      </c>
      <c r="C3345" t="inlineStr">
        <is>
          <t>Description of it like if yours was hard.
Mines hard. Again sorry if this is disrespectful in any way.</t>
        </is>
      </c>
      <c r="D3345" t="n">
        <v>0</v>
      </c>
      <c r="E3345" t="n">
        <v>4</v>
      </c>
      <c r="F3345">
        <f>HYPERLINK("https://www.reddit.com/r/cancer/comments/c9qeh4/ok_im_sorry_if_this_is_disrespectful_in_any_way/")</f>
        <v/>
      </c>
      <c r="G3345" t="inlineStr">
        <is>
          <t>2019-07-05 23:22:33</t>
        </is>
      </c>
      <c r="H3345" t="inlineStr"/>
    </row>
    <row r="3346">
      <c r="A3346" t="inlineStr">
        <is>
          <t>c9rbj7</t>
        </is>
      </c>
      <c r="B3346" t="inlineStr">
        <is>
          <t>Mother likely diagnosed with thyroid cancer. Doesn't want me to cancel my vacation.</t>
        </is>
      </c>
      <c r="C3346" t="inlineStr">
        <is>
          <t>I have a month long trip really soon that ive been excited for(Which my mother knows). However just today, the doctor called in my mom to review her ultrasound results and found a microcalcified, large nodule with blood flow in her thyroid, along with others. He explained there was a very high chance this was cancer and recommended a biopsy. 
Basically, the biopsy procedure, waiting for results and getting the results would all happen during my trip. I feel like I’d be stressed, feeling guilty for trying to enjoy myself the whole time.
However, she told me she’d feel really bad if I cancelled my trip because of her, and told me to have fun.
&amp;amp;nbsp;
Now im conflicted, I dont to make my mom feel bad but I cant see myself not feeling anxious and guilty if I go. Sorry if this isn’t the right place to post this but im not sure where else. Anyone been in a similar situation? I deeply care for my mom and although we’ve never been a very affectionate family I want to support her as much as possible. Thanks.</t>
        </is>
      </c>
      <c r="D3346" t="n">
        <v>5</v>
      </c>
      <c r="E3346" t="n">
        <v>5</v>
      </c>
      <c r="F3346">
        <f>HYPERLINK("https://www.reddit.com/r/cancer/comments/c9rbj7/mother_likely_diagnosed_with_thyroid_cancer/")</f>
        <v/>
      </c>
      <c r="G3346" t="inlineStr">
        <is>
          <t>2019-07-06 01:25:44</t>
        </is>
      </c>
      <c r="H3346" t="inlineStr"/>
    </row>
    <row r="3347">
      <c r="A3347" t="inlineStr">
        <is>
          <t>c9uq70</t>
        </is>
      </c>
      <c r="B3347" t="inlineStr">
        <is>
          <t>reddit.</t>
        </is>
      </c>
      <c r="C3347" t="inlineStr">
        <is>
          <t>reddit is cancer</t>
        </is>
      </c>
      <c r="D3347" t="n">
        <v>1</v>
      </c>
      <c r="E3347" t="n">
        <v>0</v>
      </c>
      <c r="F3347">
        <f>HYPERLINK("https://www.reddit.com/r/cancer/comments/c9uq70/reddit/")</f>
        <v/>
      </c>
      <c r="G3347" t="inlineStr">
        <is>
          <t>2019-07-06 08:21:39</t>
        </is>
      </c>
      <c r="H3347" t="inlineStr"/>
    </row>
    <row r="3348">
      <c r="A3348" t="inlineStr">
        <is>
          <t>c9uv27</t>
        </is>
      </c>
      <c r="B3348" t="inlineStr">
        <is>
          <t>Dad has colon cancer but I am unable to contact the doctors, can anyone help me make sense of this biopsy report?</t>
        </is>
      </c>
      <c r="C3348" t="inlineStr">
        <is>
          <t>https://imgur.com/a/75cWJLV
Got this report but I'm not a doctor so I can't fully make sense of it. It looks like Stage III colon cancer? They told us before that according to the CT Scan it hadn't spread, but the TNM staging they've put down says Mx, which seems to mean they're not sure if it's spread anywhere?
The lymph nodes only having 1/11 be cancerous is a good sign right? Whereas the fact that it's a T4 tumour is pretty negative? I'm really not certain on any of this, wish we could meet someone sooner to explain it to us.</t>
        </is>
      </c>
      <c r="D3348" t="n">
        <v>7</v>
      </c>
      <c r="E3348" t="n">
        <v>22</v>
      </c>
      <c r="F3348">
        <f>HYPERLINK("https://www.reddit.com/r/cancer/comments/c9uv27/dad_has_colon_cancer_but_i_am_unable_to_contact/")</f>
        <v/>
      </c>
      <c r="G3348" t="inlineStr">
        <is>
          <t>2019-07-06 08:34:08</t>
        </is>
      </c>
      <c r="H3348" t="inlineStr"/>
    </row>
    <row r="3349">
      <c r="A3349" t="inlineStr">
        <is>
          <t>c9v5rz</t>
        </is>
      </c>
      <c r="B3349" t="inlineStr">
        <is>
          <t>Immunotherapy diarrhea?</t>
        </is>
      </c>
      <c r="C3349" t="inlineStr">
        <is>
          <t>I'm on the ipi/nivo combo and made it thru 4 treatments. I've been having diarrhea for 4 days now, all bile, taking immodium and following brat diet. It's about 4 times a day, not painful, not bloody. My oncologist does not think it is colitis as colitis is much more severe, has anyone had something like this? Does it ever go away??? I had one day in the middle where I had nothing and took no meds, and it's back today. Just feeling frustrated. Thank you for any input!</t>
        </is>
      </c>
      <c r="D3349" t="n">
        <v>26</v>
      </c>
      <c r="E3349" t="n">
        <v>12</v>
      </c>
      <c r="F3349">
        <f>HYPERLINK("https://www.reddit.com/r/cancer/comments/c9v5rz/immunotherapy_diarrhea/")</f>
        <v/>
      </c>
      <c r="G3349" t="inlineStr">
        <is>
          <t>2019-07-06 09:00:36</t>
        </is>
      </c>
      <c r="H3349" t="inlineStr"/>
    </row>
    <row r="3350">
      <c r="A3350" t="inlineStr">
        <is>
          <t>c9vne7</t>
        </is>
      </c>
      <c r="B3350" t="inlineStr">
        <is>
          <t>Starting over.. after Lymphoma diagnosis at 27</t>
        </is>
      </c>
      <c r="C3350" t="inlineStr">
        <is>
          <t>I was diagnosed with stage 4 lymphoma August of 2018. 12 rounds of ABVD chemo and two weeks of radiation later, I’m in remission. I have never felt as alone and vulnerable as I do today. Cancer took so much from me and I have no idea how to start over. Not only is my outward appearance someone I don’t recognize, but my insides feel hollowed out. I feel like a blank slate. I have no idea how to start over. As a female, losing my hair was tough, but not as tough as finding out the chemo permanently damaged my ovaries and thyroid. I am in pre mature ovarian failure.. at 27!! I also may need para thyroid replacement surgery. I feel like I’m drowning, I feel like everything has fallen apart, and I feel like I can’t move forward, I feel like I can’t breath. 😔
Any tips or comments on how to start over would be greatly appreciated. ❤️</t>
        </is>
      </c>
      <c r="D3350" t="n">
        <v>14</v>
      </c>
      <c r="E3350" t="n">
        <v>21</v>
      </c>
      <c r="F3350">
        <f>HYPERLINK("https://www.reddit.com/r/cancer/comments/c9vne7/starting_over_after_lymphoma_diagnosis_at_27/")</f>
        <v/>
      </c>
      <c r="G3350" t="inlineStr">
        <is>
          <t>2019-07-06 09:43:33</t>
        </is>
      </c>
      <c r="H3350" t="inlineStr"/>
    </row>
    <row r="3351">
      <c r="A3351" t="inlineStr">
        <is>
          <t>c9z3z9</t>
        </is>
      </c>
      <c r="B3351" t="inlineStr">
        <is>
          <t>Diagnosed with Kidney cancer</t>
        </is>
      </c>
      <c r="C3351" t="inlineStr">
        <is>
          <t>Diagnosed with Cancer in left Kidney about a month ago, daughter put me onto this site to read the experience of others, has been helpful, hard not to think about negative aspect but feeling reasonably positive.</t>
        </is>
      </c>
      <c r="D3351" t="n">
        <v>42</v>
      </c>
      <c r="E3351" t="n">
        <v>25</v>
      </c>
      <c r="F3351">
        <f>HYPERLINK("https://www.reddit.com/r/cancer/comments/c9z3z9/diagnosed_with_kidney_cancer/")</f>
        <v/>
      </c>
      <c r="G3351" t="inlineStr">
        <is>
          <t>2019-07-06 14:45:44</t>
        </is>
      </c>
      <c r="H3351" t="inlineStr"/>
    </row>
    <row r="3352">
      <c r="A3352" t="inlineStr">
        <is>
          <t>c9z43p</t>
        </is>
      </c>
      <c r="B3352" t="inlineStr">
        <is>
          <t>Thats a hard question to ask and my opinion will be hated by many but i think we should discuss this at least.</t>
        </is>
      </c>
      <c r="C3352" t="inlineStr">
        <is>
          <t>We can hardly know what caused cancer to you but isn’t it wrong for a man who smokes all day 3 packs of cigarets getting cancer and receiving tax payers money from government benefits and social helps ? Does insurance companies need to pay those peoples hospital fees ?
Think it like that you have a car with insurance then you break its windows with a hammer does the company have to pay for this ?
Also i don’t find non individual charities giving money to this people while somewhere is a innocent man or women who got cancer without doing anything wrong.
What do you think ?</t>
        </is>
      </c>
      <c r="D3352" t="n">
        <v>0</v>
      </c>
      <c r="E3352" t="n">
        <v>24</v>
      </c>
      <c r="F3352">
        <f>HYPERLINK("https://www.reddit.com/r/cancer/comments/c9z43p/thats_a_hard_question_to_ask_and_my_opinion_will/")</f>
        <v/>
      </c>
      <c r="G3352" t="inlineStr">
        <is>
          <t>2019-07-06 14:46:02</t>
        </is>
      </c>
      <c r="H3352" t="inlineStr"/>
    </row>
    <row r="3353">
      <c r="A3353" t="inlineStr">
        <is>
          <t>ca0qhl</t>
        </is>
      </c>
      <c r="B3353" t="inlineStr">
        <is>
          <t>Online support groups for young adults dealing with cancer</t>
        </is>
      </c>
      <c r="C3353" t="inlineStr">
        <is>
          <t>My husband was recently diagnosed with a grade 3 diffuse infiltrating astrocytoma, a cancerous brain tumor. 
We are both looking for support groups to turn too. Have been told by the hospital social worker that online is the best place. My husband and I have both joined online support groups but the online interface is really terrible. The brain tumor makes it really hard for my husband to read and the terrible interface of the program used makes it difficult to actually engage with others. 
Any thoughts?</t>
        </is>
      </c>
      <c r="D3353" t="n">
        <v>7</v>
      </c>
      <c r="E3353" t="n">
        <v>14</v>
      </c>
      <c r="F3353">
        <f>HYPERLINK("https://www.reddit.com/r/cancer/comments/ca0qhl/online_support_groups_for_young_adults_dealing/")</f>
        <v/>
      </c>
      <c r="G3353" t="inlineStr">
        <is>
          <t>2019-07-06 17:23:36</t>
        </is>
      </c>
      <c r="H3353" t="inlineStr"/>
    </row>
    <row r="3354">
      <c r="A3354" t="inlineStr">
        <is>
          <t>ca27op</t>
        </is>
      </c>
      <c r="B3354" t="inlineStr">
        <is>
          <t>Does anyone with breast cancer have pain that moves around back/ribs?</t>
        </is>
      </c>
      <c r="C3354" t="inlineStr">
        <is>
          <t>My mom has hormonal ductal carcinoma in her breast and lymph nodes, stage 2-3.
We've scheduled a bone scan. My mom had been experiencing pain that moves around her back and ribs. She's had swelling in her hand and it's hard for her to sneeze or take very deep breaths without pain.
Has anyone experienced these similar pains, specifically without having metastatic cancer? 
I'm very much hoping that the tests reveal different, but it's looking like maybe stage 3 is putting it lightly and this is spreading at an uncomfortable rate.</t>
        </is>
      </c>
      <c r="D3354" t="n">
        <v>7</v>
      </c>
      <c r="E3354" t="n">
        <v>8</v>
      </c>
      <c r="F3354">
        <f>HYPERLINK("https://www.reddit.com/r/cancer/comments/ca27op/does_anyone_with_breast_cancer_have_pain_that/")</f>
        <v/>
      </c>
      <c r="G3354" t="inlineStr">
        <is>
          <t>2019-07-06 20:03:47</t>
        </is>
      </c>
      <c r="H3354" t="inlineStr"/>
    </row>
    <row r="3355">
      <c r="A3355" t="inlineStr">
        <is>
          <t>ca3jt7</t>
        </is>
      </c>
      <c r="B3355" t="inlineStr">
        <is>
          <t>Osteosarcoma patient</t>
        </is>
      </c>
      <c r="C3355" t="inlineStr">
        <is>
          <t>Hi I’m a 17 year old osteosarcoma, bone cancer in the knee patient. I’m just looking for advice on the mental side of the process because I’m having a rough time with mentally dealing with how my life has been impacted, on top of all of my friends going off to college. Any advice is appreciated.</t>
        </is>
      </c>
      <c r="D3355" t="n">
        <v>4</v>
      </c>
      <c r="E3355" t="n">
        <v>8</v>
      </c>
      <c r="F3355">
        <f>HYPERLINK("https://www.reddit.com/r/cancer/comments/ca3jt7/osteosarcoma_patient/")</f>
        <v/>
      </c>
      <c r="G3355" t="inlineStr">
        <is>
          <t>2019-07-06 22:44:42</t>
        </is>
      </c>
      <c r="H3355" t="inlineStr"/>
    </row>
    <row r="3356">
      <c r="A3356" t="inlineStr">
        <is>
          <t>ca51ly</t>
        </is>
      </c>
      <c r="B3356" t="inlineStr">
        <is>
          <t>I lost my mom</t>
        </is>
      </c>
      <c r="C3356" t="inlineStr">
        <is>
          <t>She was my aunt, but more of a mom to me than anyone. I have no one left. She passed and I am alone. I can’t be alone. I have no one left, and I don’t know what to do. 
I have been drinking. Please ignore me. I am just broken and needed to say so.</t>
        </is>
      </c>
      <c r="D3356" t="n">
        <v>14</v>
      </c>
      <c r="E3356" t="n">
        <v>9</v>
      </c>
      <c r="F3356">
        <f>HYPERLINK("https://www.reddit.com/r/cancer/comments/ca51ly/i_lost_my_mom/")</f>
        <v/>
      </c>
      <c r="G3356" t="inlineStr">
        <is>
          <t>2019-07-07 02:28:15</t>
        </is>
      </c>
      <c r="H3356" t="inlineStr"/>
    </row>
    <row r="3357">
      <c r="A3357" t="inlineStr">
        <is>
          <t>ca52bg</t>
        </is>
      </c>
      <c r="B3357" t="inlineStr">
        <is>
          <t>Great expectations</t>
        </is>
      </c>
      <c r="C3357" t="inlineStr">
        <is>
          <t>I'm stage 4A and I know the stats. I know the various treatments for recurrences. Some are gruesome )pelvic exenteration) and some just suck (maintenance chemo).  I know of and read of people having recurrences all the damn time. 
And if it's not the same cancer, then all the radiation causes some new cancer 10 years down the line. There is no Hallmark movie going on here. 
And people, they ask, "are you in remission?" And I think: maybe; maybe not. How would I know today? I'm not willing to commit to anything because things can change... just like that and I'm just trying to get through today, thank you very much. 
But, you know, what people want to hear is: you're in remission!, God loved you best! Your life is *better*, that's right, even *better* than it was before and cancer has made you a better, *stronger* person! You're a warrior! And a survivor! You inspire them! 
I ran into my former veterinarian while trying to quickly shop at Wally World last week. He said I looked great! Asked if I was in remission. When I said I wasn't ready to commit to this (*because I had literally just left the oncologists office where he gave me a long speech about how yearly PET scans don't change the outcome they just make you go on chemo regimens sooner and you still die anyway in the end, so why not have a nicer quality of life for 5 years?*) he informed me I would outlive him and argued with me about why I was surely in remission. So, yeah, that was when he formally became my former veterinarian. 
Go push your baseless optimism and need for inspiring, heartwarming miracles on someone else, weirdos!</t>
        </is>
      </c>
      <c r="D3357" t="n">
        <v>73</v>
      </c>
      <c r="E3357" t="n">
        <v>37</v>
      </c>
      <c r="F3357">
        <f>HYPERLINK("https://www.reddit.com/r/cancer/comments/ca52bg/great_expectations/")</f>
        <v/>
      </c>
      <c r="G3357" t="inlineStr">
        <is>
          <t>2019-07-07 02:31:15</t>
        </is>
      </c>
      <c r="H3357" t="inlineStr"/>
    </row>
    <row r="3358">
      <c r="A3358" t="inlineStr">
        <is>
          <t>ca79d0</t>
        </is>
      </c>
      <c r="B3358" t="inlineStr">
        <is>
          <t>What are your thoughts on herbal supplements to help the body heal during Chemotherapy?</t>
        </is>
      </c>
      <c r="C3358" t="inlineStr">
        <is>
          <t>Doctors don’t necessarily know that much about homeopathic supplements so they might not give you good advice.
Have some of you tried herbal supplements to help the body cope with chemotherapy ? I’m thinking about herbs that support immunity and the liver like echinacea, milk thistle, propolis, probiotics, spirulina, dandelion root.
Can they disrupt chemo?
Thank you</t>
        </is>
      </c>
      <c r="D3358" t="n">
        <v>0</v>
      </c>
      <c r="E3358" t="n">
        <v>10</v>
      </c>
      <c r="F3358">
        <f>HYPERLINK("https://www.reddit.com/r/cancer/comments/ca79d0/what_are_your_thoughts_on_herbal_supplements_to/")</f>
        <v/>
      </c>
      <c r="G3358" t="inlineStr">
        <is>
          <t>2019-07-07 07:14:52</t>
        </is>
      </c>
      <c r="H3358" t="inlineStr"/>
    </row>
    <row r="3359">
      <c r="A3359" t="inlineStr">
        <is>
          <t>ca7dms</t>
        </is>
      </c>
      <c r="B3359" t="inlineStr">
        <is>
          <t>Fentanyl patches dosage</t>
        </is>
      </c>
      <c r="C3359" t="inlineStr">
        <is>
          <t>Doctor prescribed my mom 50mcg patches. When will we know she doesnt need it anymore?Does it depend on when it stops working for her and dosage has to be increased? Is 50mcg a very high dosage?</t>
        </is>
      </c>
      <c r="D3359" t="n">
        <v>2</v>
      </c>
      <c r="E3359" t="n">
        <v>2</v>
      </c>
      <c r="F3359">
        <f>HYPERLINK("https://www.reddit.com/r/cancer/comments/ca7dms/fentanyl_patches_dosage/")</f>
        <v/>
      </c>
      <c r="G3359" t="inlineStr">
        <is>
          <t>2019-07-07 07:27:07</t>
        </is>
      </c>
      <c r="H3359" t="inlineStr"/>
    </row>
    <row r="3360">
      <c r="A3360" t="inlineStr">
        <is>
          <t>ca7i9n</t>
        </is>
      </c>
      <c r="B3360" t="inlineStr">
        <is>
          <t>Rso for metastasized cancer?</t>
        </is>
      </c>
      <c r="C3360" t="inlineStr">
        <is>
          <t>Have you tried it? Is it worth getting a mmj card in Florida?</t>
        </is>
      </c>
      <c r="D3360" t="n">
        <v>3</v>
      </c>
      <c r="E3360" t="n">
        <v>2</v>
      </c>
      <c r="F3360">
        <f>HYPERLINK("https://www.reddit.com/r/cancer/comments/ca7i9n/rso_for_metastasized_cancer/")</f>
        <v/>
      </c>
      <c r="G3360" t="inlineStr">
        <is>
          <t>2019-07-07 07:39:04</t>
        </is>
      </c>
      <c r="H3360" t="inlineStr"/>
    </row>
    <row r="3361">
      <c r="A3361" t="inlineStr">
        <is>
          <t>ca7v08</t>
        </is>
      </c>
      <c r="B3361" t="inlineStr">
        <is>
          <t>Ways to stay positive regardless of what news comes next?</t>
        </is>
      </c>
      <c r="C3361" t="inlineStr">
        <is>
          <t>Hey guys I have just found put recently that I have GBM (Glioblastoma) and just need some help with any tips of how to stay positive moving forward after my first prognosis. I wasn't given a large of time frame for life expectancy but I want to find a way to mentally get into a state of staying very positive and confident that I will at the very least make it to my 30s while also being fully prepared for the worst possible outcome should it arise.
I know that this is a very open ended question and I'm sorry for that, however I do have quite a bit of positive things on my side: I'm young, my father lasted with Mesothelioma well over a year beyond what his oncologist expected (good genes), they are already a year out from finding some new drugs to potentially combat and even halt the growth of GBM above and beyond chemo; my doctor also was able to remove a large portion of my tumor due to it's convenient location.
All of this is helping me deal with my prognosis but I just wonder how anyone else on here has learned to stay positive because I think that will be my biggest hurdle moving forward.
THANKS!</t>
        </is>
      </c>
      <c r="D3361" t="n">
        <v>2</v>
      </c>
      <c r="E3361" t="n">
        <v>3</v>
      </c>
      <c r="F3361">
        <f>HYPERLINK("https://www.reddit.com/r/cancer/comments/ca7v08/ways_to_stay_positive_regardless_of_what_news/")</f>
        <v/>
      </c>
      <c r="G3361" t="inlineStr">
        <is>
          <t>2019-07-07 08:12:48</t>
        </is>
      </c>
      <c r="H3361" t="inlineStr"/>
    </row>
    <row r="3362">
      <c r="A3362" t="inlineStr">
        <is>
          <t>ca82br</t>
        </is>
      </c>
      <c r="B3362" t="inlineStr">
        <is>
          <t>How to be around babies?</t>
        </is>
      </c>
      <c r="C3362" t="inlineStr">
        <is>
          <t>This doesn't seem like the right subreddit to ask, but maybe someone has been in a similar situation, happens to have some suggestions, or can direct me to a different subreddit...
My 16 month old baby died from brain cancer a couple years ago. I have not recovered from the trauma and am not sure whether I will ever want to have another baby. However, I love other peoples' babies so much. Whenever I see them I want to hold them and play with them. But I don't have many friends and those that I do have are all child-free.
I think it would be helpful and enjoyable for me to be around babies more often. What should I do to try to make that happen without being creepy or pitiful?
Additional info:
- I am not religious.
- I have a full time job so I can't take on a position at a daycare or anything.
- I am interested in volunteering.
- I am in Austin, TX, USA.
- Hospitals are very anxiety-inducing for me, but maybe I would be okay as long as I stay out of the cancer ward for now.
I will appreciate any suggestions. Thank you!</t>
        </is>
      </c>
      <c r="D3362" t="n">
        <v>5</v>
      </c>
      <c r="E3362" t="n">
        <v>10</v>
      </c>
      <c r="F3362">
        <f>HYPERLINK("https://www.reddit.com/r/cancer/comments/ca82br/how_to_be_around_babies/")</f>
        <v/>
      </c>
      <c r="G3362" t="inlineStr">
        <is>
          <t>2019-07-07 08:32:17</t>
        </is>
      </c>
      <c r="H3362" t="inlineStr"/>
    </row>
    <row r="3363">
      <c r="A3363" t="inlineStr">
        <is>
          <t>ca8srj</t>
        </is>
      </c>
      <c r="B3363" t="inlineStr">
        <is>
          <t>Hyperpigmentation after chemo</t>
        </is>
      </c>
      <c r="C3363" t="inlineStr">
        <is>
          <t>Hello! 
So I am wondering if anyone else has dealt with this same issue...
I noticed towards the end of undergoing chemo that I had some spots on my body that had hyperpigmentation (due to mostly having scratched an area of my skin too rough). Like for example, on my stomach there are very visible 'claw marks' from where I had once scratched myself, and there are a few other spots on my body that have smaller hyperpigmented marks like this. I finished chemo in December and was hoping that they would eventually fade. But now that it is summer, the sun is just making these marks darker and more visible. Has anyone else dealt with this, and/or know how to get rid of the hyperpigmentation? Or am I stuck with this weird claw mark on my stomach forever? I definitely plan on asking my oncologist about this when I see her later this month, but thought I would check here and see if anyone experienced the same thing...</t>
        </is>
      </c>
      <c r="D3363" t="n">
        <v>4</v>
      </c>
      <c r="E3363" t="n">
        <v>5</v>
      </c>
      <c r="F3363">
        <f>HYPERLINK("https://www.reddit.com/r/cancer/comments/ca8srj/hyperpigmentation_after_chemo/")</f>
        <v/>
      </c>
      <c r="G3363" t="inlineStr">
        <is>
          <t>2019-07-07 09:39:05</t>
        </is>
      </c>
      <c r="H3363" t="inlineStr"/>
    </row>
    <row r="3364">
      <c r="A3364" t="inlineStr">
        <is>
          <t>ca8y1r</t>
        </is>
      </c>
      <c r="B3364" t="inlineStr">
        <is>
          <t>Doctors seem extremely confident about stage 4, but how?</t>
        </is>
      </c>
      <c r="C3364" t="inlineStr">
        <is>
          <t>My dad is 49, and was diagnosed with stage 3c colorectal cancer in February 2018. His plan was to get radiation, chemo, and then surgery. However, after the chemo and radiation, there was absolutely no tumor left, astounding the doctors because it meant no surgery. We were all ecstatic and thought it'd be the end.
Well, May 2019 his scan showed 3 Mets to the liver, meaning we progressed to stage 4. We were all absolutely devastated and started thinking in terms of a months time left. However, we spoke to liver surgeons and our oncologist, and they seem unbelievably positive I actually have a hard time believing it.
Since the beginning, the oncologist told us he would never sugar coat anything because we deserve to know the truth. And he seems nothing but confident about our treatment plan (3 months of chemo, surgery to remove Mets, then 3 more months of chemo). I just don't understand I guess how he can be so confident with stage 4. Is he sugar coating it?  I straight up asked if this was a death sentence and he said "oh no no, not at all! We can handle this". 
When we met with the liver surgeon, he told us 2 of the Mets are able to be completely removed with surgery, but the last one can't and will be removed by "burning it" during surgery. I'm not entirely sure what this means.
I just feel so confused right now. On one hand, this is usually such a deadly disease with stage 4 and that worries me so much, but how can they be so confident? If anyone could give me any tips or advice that'd be greatly appreciated.
Thanks in advance!</t>
        </is>
      </c>
      <c r="D3364" t="n">
        <v>5</v>
      </c>
      <c r="E3364" t="n">
        <v>9</v>
      </c>
      <c r="F3364">
        <f>HYPERLINK("https://www.reddit.com/r/cancer/comments/ca8y1r/doctors_seem_extremely_confident_about_stage_4/")</f>
        <v/>
      </c>
      <c r="G3364" t="inlineStr">
        <is>
          <t>2019-07-07 09:52:15</t>
        </is>
      </c>
      <c r="H3364" t="inlineStr"/>
    </row>
    <row r="3365">
      <c r="A3365" t="inlineStr">
        <is>
          <t>ca9em8</t>
        </is>
      </c>
      <c r="B3365" t="inlineStr">
        <is>
          <t>Dad has stage 4 cancer, mom is depressed but isn’t ready to recognize it or get help</t>
        </is>
      </c>
      <c r="C3365" t="inlineStr">
        <is>
          <t>Background: My dad has had stage 4 kidney cancer for over 3 years now - we’ve been really lucky with how he responded to treatment. (Actually, shortly before he was diagnosed, my mom was diagnosed with breast cancer and had a double mastectomy and is now cancer free.) my husband and I moved from Mexico back to my hometown 2 years ago and live with my parents to help take care of things like yardwork and cooking and cleaning. Also, we both work full time and I’m 7 months pregnant with my first child. Things have been rough lately with my dad, mostly related to side effects of the drugs he’s taking - we’ve been to the emergency room maybe 5 times in the last month due to breathing issues, and now he is on oxygen at home. After his cancer being stable, there was also growth in a tumor recently. 
My parents have always been really stable. My dad is the stoic type and my mom has always been a bit of a type A (plans everything to a T, and can get upset if things don’t go as planned) and has a bit of a martyr complex (usually feels like people don’t see/appreciate everything she does, no matter how much we try to show her we do). 
In the last few months my parents have had more tension between them than I’ve ever seen - dad having less patience than usual, mom feeling sorry for herself about not being able to have the retirement she had planned because of dads sickness. Mom has started spending hours in her room during the day, cancelling plans (which is unlike her) etc. my dad actually said to me that he thinks that she is really very depressed and that I should let him know if I notice anything and that he will have to have a talk with her (not like him at all to talk about these things with me). 
I think they could both individually benefit from finding somebody outside the family to talk about how they are feeling, but neither would be very open to the idea of therapy. I’m not sure how to be supportive in this context, because I don’t want to push anybody, and also can’t handle being the main emotional dumping ground considering my pregnancy and soon to be newborn. It is also hard to watch my dad, who is dying, worry about my mom’s mental health. 
How do I help support them both emotionally while maintaining my sanity???</t>
        </is>
      </c>
      <c r="D3365" t="n">
        <v>5</v>
      </c>
      <c r="E3365" t="n">
        <v>2</v>
      </c>
      <c r="F3365">
        <f>HYPERLINK("https://www.reddit.com/r/cancer/comments/ca9em8/dad_has_stage_4_cancer_mom_is_depressed_but_isnt/")</f>
        <v/>
      </c>
      <c r="G3365" t="inlineStr">
        <is>
          <t>2019-07-07 10:31:08</t>
        </is>
      </c>
      <c r="H3365" t="inlineStr"/>
    </row>
    <row r="3366">
      <c r="A3366" t="inlineStr">
        <is>
          <t>caaikd</t>
        </is>
      </c>
      <c r="B3366" t="inlineStr">
        <is>
          <t>Want to help as much as I can. AMA!</t>
        </is>
      </c>
      <c r="C3366" t="inlineStr">
        <is>
          <t>I’m a 21 yo female and a few months ago I was diagnosed with a rare (in adults) children’s brain tumor/cancer called medulloblastoma. I had surgery and then went through 6 weeks of daily radiation to the brain and spine, and now I’m going through chemo. I was so lost at the start of this journey so I want to help anyone thats about to take on a similar journey as much as I can. Feel free to ask me anything!</t>
        </is>
      </c>
      <c r="D3366" t="n">
        <v>14</v>
      </c>
      <c r="E3366" t="n">
        <v>2</v>
      </c>
      <c r="F3366">
        <f>HYPERLINK("https://www.reddit.com/r/cancer/comments/caaikd/want_to_help_as_much_as_i_can_ama/")</f>
        <v/>
      </c>
      <c r="G3366" t="inlineStr">
        <is>
          <t>2019-07-07 12:03:06</t>
        </is>
      </c>
      <c r="H3366" t="inlineStr"/>
    </row>
    <row r="3367">
      <c r="A3367" t="inlineStr">
        <is>
          <t>cabhqr</t>
        </is>
      </c>
      <c r="B3367" t="inlineStr">
        <is>
          <t>Breast cancer - new diagnosis and a new job - -</t>
        </is>
      </c>
      <c r="C3367" t="inlineStr">
        <is>
          <t xml:space="preserve"> 
I landed a great job – accepted the offer (6/22)
Tomorrow (7/8) is my first day of this great job as a project manager
Initial diagnosis on (6/24)  DCIS - stage 0  
Then they found more – 'MRI lit up like a light bulb' (7/3) - 3 ultrasound guided biopsies that same day  
Confirmed (7/5), 2 more separate spots are cancer and 1 is on the chest wall. but the full pathology won't be available till Tuesday, 7.9
surgery consultation and genetic counseling on Thursday 7.11
I really don't know what I have or what the plan is…… CT scan as been ordered – but not yet scheduled  
I plan to say i need Thursday afternoon for a Dr's appointment that I couldn't change - 
How do I handle all this?  
What do I say?  
What do I not say?</t>
        </is>
      </c>
      <c r="D3367" t="n">
        <v>3</v>
      </c>
      <c r="E3367" t="n">
        <v>1</v>
      </c>
      <c r="F3367">
        <f>HYPERLINK("https://www.reddit.com/r/cancer/comments/cabhqr/breast_cancer_new_diagnosis_and_a_new_job/")</f>
        <v/>
      </c>
      <c r="G3367" t="inlineStr">
        <is>
          <t>2019-07-07 13:24:33</t>
        </is>
      </c>
      <c r="H3367" t="inlineStr"/>
    </row>
    <row r="3368">
      <c r="A3368" t="inlineStr">
        <is>
          <t>cabv01</t>
        </is>
      </c>
      <c r="B3368" t="inlineStr">
        <is>
          <t>Father diagnosed with metastatic cancer. Please help me understand his report.</t>
        </is>
      </c>
      <c r="C3368" t="inlineStr">
        <is>
          <t>My 59 year old father has been diagnosed with metastic cancer. He just told me today and I'm falling apart. He's scheduling an appointment with a specialist tomorrow. In the meanwhile can anyone help me make sense of the report he received? 
Impression:
1. Hepatomegaly with innumerable ill-defined hypoattenuating masses throughout the liver compatible with neoplasm.
2. Intraluminal soft tissue density mass with gallbladder bladder lumen also compatible with neoplasm.
3. A morphologically normal appearing spleen is not identified. There is lobulated soft tissue in the left upper quadrant in the expected location of the spleen, possibly representing splenic tissue versus other soft tissue mass.
4. Numerous subcentimeter mesenteric lymph nodes suspicious for metastases.
5. Trace pelvic ascites.
Appreciate any knowledge or advice you can offer.</t>
        </is>
      </c>
      <c r="D3368" t="n">
        <v>16</v>
      </c>
      <c r="E3368" t="n">
        <v>13</v>
      </c>
      <c r="F3368">
        <f>HYPERLINK("https://www.reddit.com/r/cancer/comments/cabv01/father_diagnosed_with_metastatic_cancer_please/")</f>
        <v/>
      </c>
      <c r="G3368" t="inlineStr">
        <is>
          <t>2019-07-07 13:56:10</t>
        </is>
      </c>
      <c r="H3368" t="inlineStr"/>
    </row>
    <row r="3369">
      <c r="A3369" t="inlineStr">
        <is>
          <t>cacob7</t>
        </is>
      </c>
      <c r="B3369" t="inlineStr">
        <is>
          <t>I think my Mom and sibling are hiding that my sibling has cancer</t>
        </is>
      </c>
      <c r="C3369" t="inlineStr">
        <is>
          <t>&amp;amp;#x200B;
The last few days have been very tough/weird. I've been trying to not think about my sibling passing unexpectedly. I think they are trying to hide it so that I won't be terrified, but there have been some strange things happening lately that make me think something is very wrong. My sibling has been having a cough that has not been going away for 1-2 months, and after I confronted my Mom about my sibling having lung cancer symptoms, she dismissed it in a way that made it seem like she was hiding something. I don't think my Dad knows either, and it breaks my heart thinking about how my parents would feel. I was thinking of confronting my sibling about it, but I was thinking recently about why they would keep it a secret, and if maybe I should really just pretend everything I don't suspect anything and respect their wishes. Is it selfish of me to ask what the fuck is going on? Should I pry more, or stay terrified and act as if all is well until they want to let me know? The best case is that nothing is actually wrong and I'm just being pessimistic, which I've really tried to consider, but my gut feeling tells me I'm on the verge of my greatest fear.
I haven't told anyone my thoughts, and I just needed to say something to someone. Is there any way I can check medical records myself?</t>
        </is>
      </c>
      <c r="D3369" t="n">
        <v>1</v>
      </c>
      <c r="E3369" t="n">
        <v>0</v>
      </c>
      <c r="F3369">
        <f>HYPERLINK("https://www.reddit.com/r/cancer/comments/cacob7/i_think_my_mom_and_sibling_are_hiding_that_my/")</f>
        <v/>
      </c>
      <c r="G3369" t="inlineStr">
        <is>
          <t>2019-07-07 15:08:22</t>
        </is>
      </c>
      <c r="H3369" t="inlineStr"/>
    </row>
    <row r="3370">
      <c r="A3370" t="inlineStr">
        <is>
          <t>cacxbj</t>
        </is>
      </c>
      <c r="B3370" t="inlineStr">
        <is>
          <t>Glioblastoma</t>
        </is>
      </c>
      <c r="C3370" t="inlineStr">
        <is>
          <t>My grandpa was diagnosed with glioblastoma yesterday. A lot of people go through cancer with their grandparents but it’s close for me. My grandparents raised me, my mom had me super young and my days died of an overdose a few years ago. My grandpa is the one that’s always there. He’s only 65 and is in complete perfect health. He’s the perfect weight, didn’t smoke ever and barely drinks. He suddenly had trouble with memory and was sleeping a lot. Last week the doctors thought is was a minor hemorrhage and after some steroids sent him home to recover. Three days later he was vomiting in his sleep. We brought him back to the hospital where upon more tests they found he has a tumor about 4 inches wide in the front left of his brain. His memory and speech are affected by this, but he’s still very much competent and understanding everybody. He’s a very intelligent man. We had to tell him this morning that even with chemo, he has about 14 months to live. Does anyone else have experience with this cancer? This is truly like my father, and I’m so worried for my family and Raleigh grandmother. Any experience with this cancer would be helpful. Thank you.</t>
        </is>
      </c>
      <c r="D3370" t="n">
        <v>3</v>
      </c>
      <c r="E3370" t="n">
        <v>14</v>
      </c>
      <c r="F3370">
        <f>HYPERLINK("https://www.reddit.com/r/cancer/comments/cacxbj/glioblastoma/")</f>
        <v/>
      </c>
      <c r="G3370" t="inlineStr">
        <is>
          <t>2019-07-07 15:31:01</t>
        </is>
      </c>
      <c r="H3370" t="inlineStr"/>
    </row>
    <row r="3371">
      <c r="A3371" t="inlineStr">
        <is>
          <t>cad08v</t>
        </is>
      </c>
      <c r="B3371" t="inlineStr">
        <is>
          <t>Question about cancer coming back after having surviving it</t>
        </is>
      </c>
      <c r="C3371" t="inlineStr">
        <is>
          <t>I believe I’ve heard more cases of people:
Being diagnosed cancer ——&amp;gt;surviving it—&amp;gt;cancer coming back—&amp;gt;not surviving it
Than
Being diagnosed with cancer—-&amp;gt; not surviving it
I don’t know much about cancer but I am very curious about it. Why is it the case that the second time cancer comes, it usually means the end? Why can’t the second time be diagnosed on time like the first one? 
Is there usually nothing to do to detect cancer the second time at an early point?</t>
        </is>
      </c>
      <c r="D3371" t="n">
        <v>2</v>
      </c>
      <c r="E3371" t="n">
        <v>26</v>
      </c>
      <c r="F3371">
        <f>HYPERLINK("https://www.reddit.com/r/cancer/comments/cad08v/question_about_cancer_coming_back_after_having/")</f>
        <v/>
      </c>
      <c r="G3371" t="inlineStr">
        <is>
          <t>2019-07-07 15:38:31</t>
        </is>
      </c>
      <c r="H3371" t="inlineStr"/>
    </row>
    <row r="3372">
      <c r="A3372" t="inlineStr">
        <is>
          <t>cad0yz</t>
        </is>
      </c>
      <c r="B3372" t="inlineStr">
        <is>
          <t>Post chemo hang over rant</t>
        </is>
      </c>
      <c r="C3372" t="inlineStr">
        <is>
          <t>I FUCKING HATE THIS. had my last chemo Friday. YAY.  But shit I hate this hung over shaky feeling. I hate coming off the steroids and I hate that my shit burns like life. I hate that I’m so tired all I want to do is lie in bed and wait for it to pass. I’m so tired. I want my life back. I want to feel normal again. I’m so tired.</t>
        </is>
      </c>
      <c r="D3372" t="n">
        <v>13</v>
      </c>
      <c r="E3372" t="n">
        <v>31</v>
      </c>
      <c r="F3372">
        <f>HYPERLINK("https://www.reddit.com/r/cancer/comments/cad0yz/post_chemo_hang_over_rant/")</f>
        <v/>
      </c>
      <c r="G3372" t="inlineStr">
        <is>
          <t>2019-07-07 15:40:21</t>
        </is>
      </c>
      <c r="H3372" t="inlineStr"/>
    </row>
    <row r="3373">
      <c r="A3373" t="inlineStr">
        <is>
          <t>cad49i</t>
        </is>
      </c>
      <c r="B3373" t="inlineStr">
        <is>
          <t>Chemo causing early menopause</t>
        </is>
      </c>
      <c r="C3373" t="inlineStr">
        <is>
          <t>How true is this? I have been reading online about this and know a friend who went through this.</t>
        </is>
      </c>
      <c r="D3373" t="n">
        <v>2</v>
      </c>
      <c r="E3373" t="n">
        <v>10</v>
      </c>
      <c r="F3373">
        <f>HYPERLINK("https://www.reddit.com/r/cancer/comments/cad49i/chemo_causing_early_menopause/")</f>
        <v/>
      </c>
      <c r="G3373" t="inlineStr">
        <is>
          <t>2019-07-07 15:49:09</t>
        </is>
      </c>
      <c r="H3373" t="inlineStr"/>
    </row>
    <row r="3374">
      <c r="A3374" t="inlineStr">
        <is>
          <t>cae58c</t>
        </is>
      </c>
      <c r="B3374" t="inlineStr">
        <is>
          <t>A GBM patient's current insights into cancer treatment</t>
        </is>
      </c>
      <c r="C3374" t="inlineStr">
        <is>
          <t>9 months ago I was told that I have glioblastoma multiforme and chances of survival past 18 months are very low. I'm a natural researcher and pretty headstrong, so I've been reading lots of books and studies, determined to find a way to beat this. Here are the conclusions I've come to so far. 
1. Oncologists pay attention to the stats and don't expect anyone to beat them, especially for GBM. Mine are focused on quality of life and not remission. The medical industry is also interested in easy fixes to deal with the volume of patients, lots of validation from multiple clinical studies, and profitability for drug companies. That's not a criticism - the reasons why are obvious. But it also means the practicing medical community has their own view of treatment and have a hard time considering anything else. 
2. Cancer is largely a result of immune deficiency. Everyone has at least a few cancer cells all the time. A strong immune system should be able to handle random mutations in a cell's mitochondria, which means it can kill cancer cells before they spread. This is a big one so I'm happy to discuss this further. 
3. Chemotherapy absolutely destroys your immune system. It kills both healthy and unhealthy cells. I'm still on it (Lomustine) but logically it makes more sense to me to focus on building up the immune system and repairing damaged mitochondria. This is easy to do if you don't have cancer, but incredibly hard if you already do. This is also why immunotherapy is promising but also difficult because it needs to be specific per person.
4. In all my research, the only promising "cure" I've found is Dr Seyfried's Press-Pulse treatment, which focuses on starving the cancer cells of glucose, which they require to survive (while healthy cells don't). The research is published online, but his interviews on YouTube are more digestible. In general, Press-Pulse therapy is a combination of therapeutic keto (reduces glucose) and limiting glutamine through either a readily available drug or (potentially) two natural supplements: Ashwaghanda and EGCG (Green tea extract). Still digging into the specifics of this but the logic works for me. 
5. Everybody wants to find the cure for cancer, but research takes lots and lots of money. Press-Pulse is extremely promising in mice and the handful of human trials, but the treatment is ultimately "don't eat garbage food and take a cheap pill and/or supplements". If this is all true, doctors would be thrilled but there are a number of industries that would prefer we ignore it (Big Pharma, Big Agriculture, Big Food).
6. If Press-Pulse kills existing cancer cells and building a stronger immune system kills new ones, the only logical course of action is to do all the stuff that we all know we should be doing anyway: healthy eating, regular exercise, consistent sleep, reducing chronic stress, strengthening social bonds, avoiding chemicals and using "natural" products as often as we can (tricky definition on that last one). These aren't temporary changes - they need to be long term, lifestyle changes. 
I plan to start Press-Pulse within a month, in conjunction with my chemo at first. I'll probably do them both for a couple of months, reevaluate, and if there's stability or shrinkage, I'll take a break from the chemo and see what happens. If I have less than a year to live, I don't have anything to lose.</t>
        </is>
      </c>
      <c r="D3374" t="n">
        <v>1</v>
      </c>
      <c r="E3374" t="n">
        <v>5</v>
      </c>
      <c r="F3374">
        <f>HYPERLINK("https://www.reddit.com/r/cancer/comments/cae58c/a_gbm_patients_current_insights_into_cancer/")</f>
        <v/>
      </c>
      <c r="G3374" t="inlineStr">
        <is>
          <t>2019-07-07 17:28:49</t>
        </is>
      </c>
      <c r="H3374" t="inlineStr"/>
    </row>
    <row r="3375">
      <c r="A3375" t="inlineStr">
        <is>
          <t>caeses</t>
        </is>
      </c>
      <c r="B3375" t="inlineStr">
        <is>
          <t>My mom is going to be leaving soon</t>
        </is>
      </c>
      <c r="C3375" t="inlineStr">
        <is>
          <t>Stage iv lung cancer, was found to have metastasized to her bones in February and it's been a long way down since then. Yesterday we came together as a family and decided that we at least have to have help to make her comfortable. It's now caused fractures in her spine, and is most likely in her brain.
We will be moving her back home tomorrow or the next day.
I can't stop reliving this last 6 months and wishing I had talked more. I don't know what to do with out my mom</t>
        </is>
      </c>
      <c r="D3375" t="n">
        <v>9</v>
      </c>
      <c r="E3375" t="n">
        <v>4</v>
      </c>
      <c r="F3375">
        <f>HYPERLINK("https://www.reddit.com/r/cancer/comments/caeses/my_mom_is_going_to_be_leaving_soon/")</f>
        <v/>
      </c>
      <c r="G3375" t="inlineStr">
        <is>
          <t>2019-07-07 18:34:07</t>
        </is>
      </c>
      <c r="H3375" t="inlineStr"/>
    </row>
    <row r="3376">
      <c r="A3376" t="inlineStr">
        <is>
          <t>caf47b</t>
        </is>
      </c>
      <c r="B3376" t="inlineStr">
        <is>
          <t>My dad is thinking about assisted suicide, and I think I agree with him</t>
        </is>
      </c>
      <c r="C3376" t="inlineStr">
        <is>
          <t>I don't really know what I'm asking, but my dad called me today and talked to me about physician assisted suicide. He was saying it was good news that it was legal in our state, but I didn't really see his point of view on that until he mentioned that the doctor we saw said that if he operated, there was a chance that my dad would lose his penis, testes, and may need to evacuate through a tube. This would be worse than death for him, as he has said ever since he was diagnosed a few years ago.
He has been keeping it in check since then by following a strict diet of sprouted seeds, wheatgrass, barley grass, and carrot juice. Recently, he has been secretly snacking on chocolate and coconut desserts, providing the sugar the tumor needed to almost double in size. He is in constant pain now that is unbearable unless he eats enough CBD to make him loopy. He is no longer able to take any trips with us out of the house, which I think was helping his mood. I could try to find some great surgeon to try to do the surgery, but I feel like that will just prolong the inevitable.
I also don't want to watch him be in more and more pain and getting more irritable as his tumor grows unchecked. I'm pretty sure he also doesn't want to keep going the way he's headed - He snapped at me recently and has been really regretting it. The pain makes him irritated, and he doesn't want to take that out on his kids, leaving us with that memory. He wants us to remember him as he was, authentic and adventurous.
I can see now why he wants to leave us sooner rather than later, and why it is good news that assisted suicide is legal in our home state.</t>
        </is>
      </c>
      <c r="D3376" t="n">
        <v>0</v>
      </c>
      <c r="E3376" t="n">
        <v>6</v>
      </c>
      <c r="F3376">
        <f>HYPERLINK("https://www.reddit.com/r/cancer/comments/caf47b/my_dad_is_thinking_about_assisted_suicide_and_i/")</f>
        <v/>
      </c>
      <c r="G3376" t="inlineStr">
        <is>
          <t>2019-07-07 19:06:50</t>
        </is>
      </c>
      <c r="H3376" t="inlineStr"/>
    </row>
    <row r="3377">
      <c r="A3377" t="inlineStr">
        <is>
          <t>caff9k</t>
        </is>
      </c>
      <c r="B3377" t="inlineStr">
        <is>
          <t>My father doesn’t have much time left. Tell me your story.</t>
        </is>
      </c>
      <c r="C3377" t="inlineStr">
        <is>
          <t>Hello everyone. My name’s Matt and I’m 20 yo. 
My father was diagnosed with lungs cancer in Dec 2016. He qas given 10-12 months. It’s July 2019 and he’s still with us, though not for long.
I can’t get any sleep and I keep hearing his heavy breathing coming from the other room.
Through time I realized how unique our lives are and I’m here to listen to your stories. Whether it’s about a friend, a relative, or even you, I will write your memories and anything you will tell me in a small notebook and I will keep it for myself. 
Tell me your emotions, your feelings, everything you keep for youselves.
I wish all the best for your future and please, stay positive through your whole life.
Much love</t>
        </is>
      </c>
      <c r="D3377" t="n">
        <v>1</v>
      </c>
      <c r="E3377" t="n">
        <v>0</v>
      </c>
      <c r="F3377">
        <f>HYPERLINK("https://www.reddit.com/r/cancer/comments/caff9k/my_father_doesnt_have_much_time_left_tell_me_your/")</f>
        <v/>
      </c>
      <c r="G3377" t="inlineStr">
        <is>
          <t>2019-07-07 19:37:44</t>
        </is>
      </c>
      <c r="H3377" t="inlineStr"/>
    </row>
    <row r="3378">
      <c r="A3378" t="inlineStr">
        <is>
          <t>cafy7e</t>
        </is>
      </c>
      <c r="B3378" t="inlineStr">
        <is>
          <t>Dad diagnosed with hepatocellular carcinoma</t>
        </is>
      </c>
      <c r="C3378" t="inlineStr">
        <is>
          <t>He had Hepatitis C for 15 years and obviously turned into cirrhosis. They gave him a pre-op MRI for a portal vein procedure and found one tumor of HCC in the right lobe. 30 days later, 3 more tumors in the left lobe.
Now he is complaining of nausea/vomiting, stomach pain that radiates to his back, stomach pain and bloating after eating, and diarrhea. He is at home crying thinking it has spread to his pancreas. I am an RN and personally I think it’s just complications from his liver and MAYBE pancreatitis. But he is so scared to get it checked and I’m not sure what to tell him. Anyone have knowledge on pancreatic cancer?</t>
        </is>
      </c>
      <c r="D3378" t="n">
        <v>1</v>
      </c>
      <c r="E3378" t="n">
        <v>1</v>
      </c>
      <c r="F3378">
        <f>HYPERLINK("https://www.reddit.com/r/cancer/comments/cafy7e/dad_diagnosed_with_hepatocellular_carcinoma/")</f>
        <v/>
      </c>
      <c r="G3378" t="inlineStr">
        <is>
          <t>2019-07-07 20:32:02</t>
        </is>
      </c>
      <c r="H3378" t="inlineStr"/>
    </row>
    <row r="3379">
      <c r="A3379" t="inlineStr">
        <is>
          <t>cag4r9</t>
        </is>
      </c>
      <c r="B3379" t="inlineStr">
        <is>
          <t>Gave in and went back to the pain pills</t>
        </is>
      </c>
      <c r="C3379" t="inlineStr">
        <is>
          <t>So, in April, my cancer came back attacking my liver. (Metastatic melanoma.) In the interim between diagnosis and treatment, I needed pain killers and got Oxy. Still had plenty left.   
Had to crack open the bottle tonight.   
Because the pain in my side is back. I'm pretty sure it's due to my oral chemo not doing what it's supposed to (I'm switching to IV in just over a week, so that's being taken care of), but I so did not want to have to resort to the pain killers.   
Still, I'm glad I have it and am not just suffering.</t>
        </is>
      </c>
      <c r="D3379" t="n">
        <v>8</v>
      </c>
      <c r="E3379" t="n">
        <v>4</v>
      </c>
      <c r="F3379">
        <f>HYPERLINK("https://www.reddit.com/r/cancer/comments/cag4r9/gave_in_and_went_back_to_the_pain_pills/")</f>
        <v/>
      </c>
      <c r="G3379" t="inlineStr">
        <is>
          <t>2019-07-07 20:51:25</t>
        </is>
      </c>
      <c r="H3379" t="inlineStr"/>
    </row>
    <row r="3380">
      <c r="A3380" t="inlineStr">
        <is>
          <t>cagt4g</t>
        </is>
      </c>
      <c r="B3380" t="inlineStr">
        <is>
          <t>Advice? Chills and sweats at the same time.</t>
        </is>
      </c>
      <c r="C3380" t="inlineStr">
        <is>
          <t>So, I’m on a 3w cycle with 5 straight days of infusion. 
Towards the end of the week I keep getting these sweaty chills where some parts of my body are shivering and some are sweaty. 
It lasts for 10 minutes sometimes and 2 hours sometimes.  I feel weak the whole time, but mostly just disgustingly gross. 
I’ve talked to my oncologist and we’ve tried gabapentin but it doesn’t seem to work. I never have a fever with these episodes, so it’s not an infection. Plus they happen every treatment cycle. It’s also not a listed side effect on any of the therapies or drugs that I’m on. 
I’ve also tried CBD, medicinal marijuana, and just some Tylenol. I’ve taken baths, tried heated blankets and ice packs and I just don’t get relief. I’m a sweaty, shaky mess until it passes and then I just feel weak. 
I’m on a lot of other medications and I’m wary of interactions and so I’m wondering if anyone had a non-prescription thing I could try because I’m at my wits end with this.</t>
        </is>
      </c>
      <c r="D3380" t="n">
        <v>3</v>
      </c>
      <c r="E3380" t="n">
        <v>10</v>
      </c>
      <c r="F3380">
        <f>HYPERLINK("https://www.reddit.com/r/cancer/comments/cagt4g/advice_chills_and_sweats_at_the_same_time/")</f>
        <v/>
      </c>
      <c r="G3380" t="inlineStr">
        <is>
          <t>2019-07-07 22:06:50</t>
        </is>
      </c>
      <c r="H3380" t="inlineStr"/>
    </row>
    <row r="3381">
      <c r="A3381" t="inlineStr">
        <is>
          <t>cajqlx</t>
        </is>
      </c>
      <c r="B3381" t="inlineStr">
        <is>
          <t>How do you tie up your loose digital ends before your death?</t>
        </is>
      </c>
      <c r="C3381" t="inlineStr">
        <is>
          <t>Looking for advice or ideally a better place to post this question. I'm terminal and like many others I am paranoid about people checking my internet history. I'd like to put all my photos and videos (estimating 2k in content) somewhere that my family can access but I do not want to give them access to my computer because a lot of personal work (i.e. extremely bad fan fiction lmao) lives there. Ideally I'd like to be able to wipe my devices before I went. Being a young person, I don't have to worry about stuff like writing a will but I do have to take care of my online presence. I guess some tips for how to go about doing that would be amazing, please.</t>
        </is>
      </c>
      <c r="D3381" t="n">
        <v>52</v>
      </c>
      <c r="E3381" t="n">
        <v>17</v>
      </c>
      <c r="F3381">
        <f>HYPERLINK("https://www.reddit.com/r/cancer/comments/cajqlx/how_do_you_tie_up_your_loose_digital_ends_before/")</f>
        <v/>
      </c>
      <c r="G3381" t="inlineStr">
        <is>
          <t>2019-07-08 04:15:39</t>
        </is>
      </c>
      <c r="H3381" t="inlineStr"/>
    </row>
    <row r="3382">
      <c r="A3382" t="inlineStr">
        <is>
          <t>cak1eu</t>
        </is>
      </c>
      <c r="B3382" t="inlineStr">
        <is>
          <t>Thanks and Some Guilt, But Mostly Thanks</t>
        </is>
      </c>
      <c r="C3382" t="inlineStr">
        <is>
          <t>My cancer story is a quick one.  In late March, we found a tumor on my left kidney by accident.  3 weeks ago, my doctor removed that kidney.  The tumor was (supposedly) contained and the doc could find no spread.  No followup is prescribed: no chemo, no radiation.  Recovery is going very well.
I gotta say thanks to this group.  While still in shock at cancer, you all were encouraging and informative.  While deciding about kidney removal, you all were again encouraging and informative.  Your stories are heartbreaking and amazing.  
And here's the guilt:  My cancer story is 3 months long and I'm alive and well.  Others in this group are agonizing over how to die and how to deal with their loved one's 4th cancer diagnosis.  In that context, I feel a bit guilty for my rapid and successful journey.
But I know the shadow of cancer never leaves.  Now, every pain or ache worries me.  And I will share my story to encourage folks here like I got encouragement.
And I can say "Fuck Cancer" like you all.  Perhaps not as loud as some, but I can still call it out.  I want to make t-shirts.  
Thanks for your support.</t>
        </is>
      </c>
      <c r="D3382" t="n">
        <v>13</v>
      </c>
      <c r="E3382" t="n">
        <v>10</v>
      </c>
      <c r="F3382">
        <f>HYPERLINK("https://www.reddit.com/r/cancer/comments/cak1eu/thanks_and_some_guilt_but_mostly_thanks/")</f>
        <v/>
      </c>
      <c r="G3382" t="inlineStr">
        <is>
          <t>2019-07-08 04:49:33</t>
        </is>
      </c>
      <c r="H3382" t="inlineStr"/>
    </row>
    <row r="3383">
      <c r="A3383" t="inlineStr">
        <is>
          <t>cak5qe</t>
        </is>
      </c>
      <c r="B3383" t="inlineStr">
        <is>
          <t>GoFundMe Experiences</t>
        </is>
      </c>
      <c r="C3383" t="inlineStr">
        <is>
          <t>Hello
My 3 year old daughter was just diagnosed with ALL and we have a 3 year road of hell ahead of us. I am trying to process all of the options for care and treatment and how it will impact our family and I have had numerous offer to send up a GoFundMe account. I was initially opposed to this but in all honesty it seems like now after some thought it is a good idea. What has been everyone’s experience with these accounts and is there is a better site to use? I am told they take a percentage which I assume is the norm with all of them. 
Any guidance is appreciated.</t>
        </is>
      </c>
      <c r="D3383" t="n">
        <v>2</v>
      </c>
      <c r="E3383" t="n">
        <v>3</v>
      </c>
      <c r="F3383">
        <f>HYPERLINK("https://www.reddit.com/r/cancer/comments/cak5qe/gofundme_experiences/")</f>
        <v/>
      </c>
      <c r="G3383" t="inlineStr">
        <is>
          <t>2019-07-08 05:02:42</t>
        </is>
      </c>
      <c r="H3383" t="inlineStr"/>
    </row>
    <row r="3384">
      <c r="A3384" t="inlineStr">
        <is>
          <t>cakujx</t>
        </is>
      </c>
      <c r="B3384" t="inlineStr">
        <is>
          <t>Did anyone get dumped around the same time as being diagnosed?</t>
        </is>
      </c>
      <c r="C3384" t="inlineStr">
        <is>
          <t>And their ex did not care.</t>
        </is>
      </c>
      <c r="D3384" t="n">
        <v>0</v>
      </c>
      <c r="E3384" t="n">
        <v>0</v>
      </c>
      <c r="F3384">
        <f>HYPERLINK("https://www.reddit.com/r/cancer/comments/cakujx/did_anyone_get_dumped_around_the_same_time_as/")</f>
        <v/>
      </c>
      <c r="G3384" t="inlineStr">
        <is>
          <t>2019-07-08 06:11:44</t>
        </is>
      </c>
      <c r="H3384" t="inlineStr"/>
    </row>
    <row r="3385">
      <c r="A3385" t="inlineStr">
        <is>
          <t>cakzzl</t>
        </is>
      </c>
      <c r="B3385" t="inlineStr">
        <is>
          <t>need help/support</t>
        </is>
      </c>
      <c r="C3385" t="inlineStr">
        <is>
          <t>my mom had the second round of chemotherapy, last year she removed her left Breast and started her chemotherapy by injection last month she did a CT scan and  appeared that the cancer is back and now she started to have xeloda capecitabine 500mg x 4 and she safer Constipation + she had her first pacemaker last year due to missing one pulse and in my country there is no one can do healthcare to those are diagnoses with breast cancer or other type 
so does any one have / had knowledge  to  help to at least Relieve the pain or help to Get rid of constipation
wish to all a good health and thanks to you all</t>
        </is>
      </c>
      <c r="D3385" t="n">
        <v>3</v>
      </c>
      <c r="E3385" t="n">
        <v>4</v>
      </c>
      <c r="F3385">
        <f>HYPERLINK("https://www.reddit.com/r/cancer/comments/cakzzl/need_helpsupport/")</f>
        <v/>
      </c>
      <c r="G3385" t="inlineStr">
        <is>
          <t>2019-07-08 06:25:41</t>
        </is>
      </c>
      <c r="H3385" t="inlineStr"/>
    </row>
    <row r="3386">
      <c r="A3386" t="inlineStr">
        <is>
          <t>cal07x</t>
        </is>
      </c>
      <c r="B3386" t="inlineStr">
        <is>
          <t>Anyone had Burkitt's Lymphoma?</t>
        </is>
      </c>
      <c r="C3386" t="inlineStr">
        <is>
          <t>Anyone had Burkitt's Lymphoma before? I have had it twice, it is not a common cancer.</t>
        </is>
      </c>
      <c r="D3386" t="n">
        <v>2</v>
      </c>
      <c r="E3386" t="n">
        <v>6</v>
      </c>
      <c r="F3386">
        <f>HYPERLINK("https://www.reddit.com/r/cancer/comments/cal07x/anyone_had_burkitts_lymphoma/")</f>
        <v/>
      </c>
      <c r="G3386" t="inlineStr">
        <is>
          <t>2019-07-08 06:26:14</t>
        </is>
      </c>
      <c r="H3386" t="inlineStr"/>
    </row>
    <row r="3387">
      <c r="A3387" t="inlineStr">
        <is>
          <t>calfew</t>
        </is>
      </c>
      <c r="B3387" t="inlineStr">
        <is>
          <t>Bladder Cancer TMT (Tri-modal therapy)</t>
        </is>
      </c>
      <c r="C3387" t="inlineStr">
        <is>
          <t xml:space="preserve"> 
I was diagnosed with stage 2 bladder cancer last month. My urologist presented me with two options (1) an IC (2) neobladder. He did almost kind of in passing mention some people choose to do radiation/chemo and keep their bladder. But it was clearly presented as a "not what I would really recommend" option. But the more I look into my options the more TMT (Tri-modal therapy) seems to be something I really want to explore. Does anyone have any first hand experience with this approach? Anyone able to direct me to what might be a good resource on outcomes doing this vs the traditional approach?
Thanks!</t>
        </is>
      </c>
      <c r="D3387" t="n">
        <v>3</v>
      </c>
      <c r="E3387" t="n">
        <v>1</v>
      </c>
      <c r="F3387">
        <f>HYPERLINK("https://www.reddit.com/r/cancer/comments/calfew/bladder_cancer_tmt_trimodal_therapy/")</f>
        <v/>
      </c>
      <c r="G3387" t="inlineStr">
        <is>
          <t>2019-07-08 07:03:32</t>
        </is>
      </c>
      <c r="H3387" t="inlineStr"/>
    </row>
    <row r="3388">
      <c r="A3388" t="inlineStr">
        <is>
          <t>calq9n</t>
        </is>
      </c>
      <c r="B3388" t="inlineStr">
        <is>
          <t>Are my joints stiff and cracking cause arthritis or lukemia</t>
        </is>
      </c>
      <c r="C3388" t="inlineStr">
        <is>
          <t>I am finishing treatment in 4 weeks but I have been working out and climbing trees and stuff I’m 14 so ye my joints shouldn’t crack and i can’t tell</t>
        </is>
      </c>
      <c r="D3388" t="n">
        <v>2</v>
      </c>
      <c r="E3388" t="n">
        <v>4</v>
      </c>
      <c r="F3388">
        <f>HYPERLINK("https://www.reddit.com/r/cancer/comments/calq9n/are_my_joints_stiff_and_cracking_cause_arthritis/")</f>
        <v/>
      </c>
      <c r="G3388" t="inlineStr">
        <is>
          <t>2019-07-08 07:28:37</t>
        </is>
      </c>
      <c r="H3388" t="inlineStr"/>
    </row>
    <row r="3389">
      <c r="A3389" t="inlineStr">
        <is>
          <t>cam0d4</t>
        </is>
      </c>
      <c r="B3389" t="inlineStr">
        <is>
          <t>Did/do you have loose watery stools while taking targeted therapy or chemotherapy?</t>
        </is>
      </c>
      <c r="C3389" t="inlineStr">
        <is>
          <t>I know that everyone reacts differently, so just looking to hear about the experience of others.
The patient co-op Savvy posted a paid survey on the topic. [https://cancer-tt-survey.paperform.co/](https://cancer-tt-survey.paperform.co/)
Got me thinking, how widespread is it?</t>
        </is>
      </c>
      <c r="D3389" t="n">
        <v>5</v>
      </c>
      <c r="E3389" t="n">
        <v>1</v>
      </c>
      <c r="F3389">
        <f>HYPERLINK("https://www.reddit.com/r/cancer/comments/cam0d4/diddo_you_have_loose_watery_stools_while_taking/")</f>
        <v/>
      </c>
      <c r="G3389" t="inlineStr">
        <is>
          <t>2019-07-08 07:51:31</t>
        </is>
      </c>
      <c r="H3389" t="inlineStr"/>
    </row>
    <row r="3390">
      <c r="A3390" t="inlineStr">
        <is>
          <t>cammav</t>
        </is>
      </c>
      <c r="B3390" t="inlineStr">
        <is>
          <t>Gotta go back into surgery but not for an obvious reason.</t>
        </is>
      </c>
      <c r="C3390" t="inlineStr">
        <is>
          <t>My surgeon just called me to inform me she left behind a thyroid lobe, as in, almost half of the thyroid during what was a full thyroidectomy. 
I have to get radiation in September but there is so much cancerous thyroid tissue remaining in my neck I realistically can't get the iodine until the rest is removed.  
So here I am waiting until the end of this week to get surgery again. Same surgeon and whatnot. 
The surgeon is supposed to be one of the better ones around here too. That being said when the CT scan showed the lobe remaining the surgeon said it was near impossible to miss half of the thyroid during a full thyroidectomy. 
I am JUST recovering after the first surgery back in early April. I finished up a round of antibiotics that helped substantially with my chest cough and inflammation. 
Now I have to deal with it all again. I feel like I've been setback almost 3 months. I still haven't fully gotten rid of the cough however. 
I can't even be verbally mad to the surgeon who messed up because they could just decide to just kill me during surgery. I have a hard enough time trusting already sometimes I wonder if I might be better off just letting the cancer run its course instead of dealing with all these different doctors. 
I say this because life has been miserable this past year. People will tell you thyroid cancer isn't that bad but you are still prone to infections and crap after surgery. 
It's not the "best cancer" as I've heard it described before. There are no good cancers. They are all shit. It is never good to hear you have cancer even if it's a high survival rate one. 
You still end up with cancer on your mind day after day, you have to get a pill for the rest of your life, you have to deal with a surgery, going under and any recovery associated with that.
It's just not pleasant and honestly im just pissed off and have noone to tell.</t>
        </is>
      </c>
      <c r="D3390" t="n">
        <v>14</v>
      </c>
      <c r="E3390" t="n">
        <v>13</v>
      </c>
      <c r="F3390">
        <f>HYPERLINK("https://www.reddit.com/r/cancer/comments/cammav/gotta_go_back_into_surgery_but_not_for_an_obvious/")</f>
        <v/>
      </c>
      <c r="G3390" t="inlineStr">
        <is>
          <t>2019-07-08 08:39:48</t>
        </is>
      </c>
      <c r="H3390" t="inlineStr"/>
    </row>
    <row r="3391">
      <c r="A3391" t="inlineStr">
        <is>
          <t>camzyr</t>
        </is>
      </c>
      <c r="B3391" t="inlineStr">
        <is>
          <t>Looking for a specific term...</t>
        </is>
      </c>
      <c r="C3391" t="inlineStr">
        <is>
          <t>Hey all, new to this sub here and I’m sorry if I’m in the wrong sub. I’m writing my thesis on a new targeted chemotherapy delivery system and in my introduction I’m talking about how end-stage cancer patients weigh the physical/side effect cost of treatment vs the length of time it will prolong their life. This is pretty “wordy” in my opinion. I know there is a medical term here that can summarize this in a couple of words but I can’t seem to find it. Anyone here know the medical/technical phrase or maybe a different way to word it? I appreciate any input given!</t>
        </is>
      </c>
      <c r="D3391" t="n">
        <v>1</v>
      </c>
      <c r="E3391" t="n">
        <v>4</v>
      </c>
      <c r="F3391">
        <f>HYPERLINK("https://www.reddit.com/r/cancer/comments/camzyr/looking_for_a_specific_term/")</f>
        <v/>
      </c>
      <c r="G3391" t="inlineStr">
        <is>
          <t>2019-07-08 09:09:23</t>
        </is>
      </c>
      <c r="H3391" t="inlineStr"/>
    </row>
    <row r="3392">
      <c r="A3392" t="inlineStr">
        <is>
          <t>canykm</t>
        </is>
      </c>
      <c r="B3392" t="inlineStr">
        <is>
          <t>Diet or Alt Steps for Sarcoma?</t>
        </is>
      </c>
      <c r="C3392" t="inlineStr">
        <is>
          <t>Hi everyone,
My father was recently diagnosed with cancer. Soft tissue sarcoma, or undifferentiated pleomorphic metastatic sarcoma, if you know your way around the lingo.
He's on chemo (gemcitabine) currently, and was on taxotere previously but had to quit because of allergic reactions.
Basically, I'm wondering if anyone has any advice on other steps we can be taking. Things relating to diet, traditional med, herbal stuff, or anything else. Prognosis is scarily short, like one year, and I've heard chemo becomes less effective over time. So looking for ways to stretch that time frame out as long as possible.
&amp;amp;#x200B;
Thank you all,
Best,</t>
        </is>
      </c>
      <c r="D3392" t="n">
        <v>1</v>
      </c>
      <c r="E3392" t="n">
        <v>0</v>
      </c>
      <c r="F3392">
        <f>HYPERLINK("https://www.reddit.com/r/cancer/comments/canykm/diet_or_alt_steps_for_sarcoma/")</f>
        <v/>
      </c>
      <c r="G3392" t="inlineStr">
        <is>
          <t>2019-07-08 10:22:46</t>
        </is>
      </c>
      <c r="H3392" t="inlineStr"/>
    </row>
    <row r="3393">
      <c r="A3393" t="inlineStr">
        <is>
          <t>caoygn</t>
        </is>
      </c>
      <c r="B3393" t="inlineStr">
        <is>
          <t>Not all stories have a sad ending.</t>
        </is>
      </c>
      <c r="C3393" t="inlineStr">
        <is>
          <t>I just wanted to post here to say this as I'm actually quite happy for once. I also want to say that while this sub can be full of heartbreaking stories, not every cancer story ends badly.
194 days ago my son who is 5 (4 at diagnosis) was diagnosed with non Hodgkin's lymphoma. This was after we saw a lump that swelled his right eye. We were supposed to have Christmas on that day (26th/Boxing Day in the UK) as my wife had spent most of Christmas Day in hospital herself (Braxton Hicks pains with her pregnancy).
The diagnosis first came in as a brain tumor, likely neuroblastoma which thankfully wasn't the case. Further tests showed it was NHL and was 'brain adjacent', inside the skull and against the brain but not in the brain. This was good news, which led to the bizarre conversation about "if you had to have a cancer, NHL is the cancer to have". That is still a strange sentence to say but it's quite true, apparently it's a low comeback rate and a high cure rate, the two things you want the most.
We are now about 6 months or so after that conversation, we have had back to back hard going chemo that caused some horrible side effects and we have been around people whose journeys didn't end as we would have hoped, but we are here now. Today was the end of treatment meeting with the oncologists. We are now officially no longer under treatment and are showing now evidence of disease. The doc didn't really like the words 'in remission' (to him it's just the same as NED) but they fit well here.
We have a lovely 5 year old who is ready to take on the world again. His strength and mobility returns day after day and soon the only reminders of this episode will be a few small scars on his chest from the now removed portcath.
We realise that the paranoia will be there and understand that there is still a journey ahead of us, but to be told we are no longer under treatment was the best delayed Christmas present a dad could ask for.
Now we can look to the future for the first time in ages and I can't wait to see where we go from here.
To those reading this who are not yet at the end of their journey, or who have had this come back, I hope this doesn't discourage or upset you. I hope that the people reading this take happiness in the fact that this can be beaten, that somewhere out there in the real world a little 5 year old can be at home with mum, dad and his two little sisters (the youngest of which was born 1 week after diagnosis - mums water broke while on the ward!).
Oh and as always, fuck cancer...</t>
        </is>
      </c>
      <c r="D3393" t="n">
        <v>88</v>
      </c>
      <c r="E3393" t="n">
        <v>11</v>
      </c>
      <c r="F3393">
        <f>HYPERLINK("https://www.reddit.com/r/cancer/comments/caoygn/not_all_stories_have_a_sad_ending/")</f>
        <v/>
      </c>
      <c r="G3393" t="inlineStr">
        <is>
          <t>2019-07-08 11:35:25</t>
        </is>
      </c>
      <c r="H3393" t="inlineStr"/>
    </row>
    <row r="3394">
      <c r="A3394" t="inlineStr">
        <is>
          <t>capjth</t>
        </is>
      </c>
      <c r="B3394" t="inlineStr">
        <is>
          <t>Waiting to find out if I have uterine cancer</t>
        </is>
      </c>
      <c r="C3394" t="inlineStr">
        <is>
          <t>I had an endometrial biopsy a week ago, along with a ton of blood work. I have another ultrasound next week and have to wait until the 22nd for everything to come back to see if I have cancer. I'm only 35, married with 3 kids and the wait is just killing me. This last week has been torture and I have two more to wait. I feel like I have a ticking time bomb in my uterus, and it's hard to continue to be positive and upbeat for my family. Just wanted to vent to some people who can relate!</t>
        </is>
      </c>
      <c r="D3394" t="n">
        <v>1</v>
      </c>
      <c r="E3394" t="n">
        <v>5</v>
      </c>
      <c r="F3394">
        <f>HYPERLINK("https://www.reddit.com/r/cancer/comments/capjth/waiting_to_find_out_if_i_have_uterine_cancer/")</f>
        <v/>
      </c>
      <c r="G3394" t="inlineStr">
        <is>
          <t>2019-07-08 12:19:03</t>
        </is>
      </c>
      <c r="H3394" t="inlineStr"/>
    </row>
    <row r="3395">
      <c r="A3395" t="inlineStr">
        <is>
          <t>caq4jj</t>
        </is>
      </c>
      <c r="B3395" t="inlineStr">
        <is>
          <t>Opinions on ports?</t>
        </is>
      </c>
      <c r="C3395" t="inlineStr">
        <is>
          <t>I am 25m and was diagnosed with Stage-4 Hodgkin's Lymphoma back in March and have been undergoing ABVD since April. I have been receiving treatment through veins in my arms every other week, but recently have noticed the pain in the IV stick sites has grown more painful during infusions and the soreness last almost 10 days post treatment now. I am projected to have 5 more treatments and am contemplating getting a port put in.
What are other's opinion on having a port put in? Is there restrictions on working-out (other than the initial healing of the incision site) 
Thanks</t>
        </is>
      </c>
      <c r="D3395" t="n">
        <v>3</v>
      </c>
      <c r="E3395" t="n">
        <v>12</v>
      </c>
      <c r="F3395">
        <f>HYPERLINK("https://www.reddit.com/r/cancer/comments/caq4jj/opinions_on_ports/")</f>
        <v/>
      </c>
      <c r="G3395" t="inlineStr">
        <is>
          <t>2019-07-08 13:02:49</t>
        </is>
      </c>
      <c r="H3395" t="inlineStr"/>
    </row>
    <row r="3396">
      <c r="A3396" t="inlineStr">
        <is>
          <t>caqwcf</t>
        </is>
      </c>
      <c r="B3396" t="inlineStr">
        <is>
          <t>I’m about to lose my mind waiting for surgery</t>
        </is>
      </c>
      <c r="C3396" t="inlineStr">
        <is>
          <t>I have surgery on Tuesday and Wednesday this week, and both surgeries are more serious than any procedure I’ve had done before. I feel like some nervousness is to be expected, but I feel like I’m on high alert: tight muscles, rolling stomach, shaking hands. Does anyone have any tips for calming yourself before something particularly unpleasant? 
People in this sub have already walked me through a couple of other questions about cancer and treatment, y’all are so kind and supportive so thank you very much!</t>
        </is>
      </c>
      <c r="D3396" t="n">
        <v>7</v>
      </c>
      <c r="E3396" t="n">
        <v>8</v>
      </c>
      <c r="F3396">
        <f>HYPERLINK("https://www.reddit.com/r/cancer/comments/caqwcf/im_about_to_lose_my_mind_waiting_for_surgery/")</f>
        <v/>
      </c>
      <c r="G3396" t="inlineStr">
        <is>
          <t>2019-07-08 14:02:37</t>
        </is>
      </c>
      <c r="H3396" t="inlineStr"/>
    </row>
    <row r="3397">
      <c r="A3397" t="inlineStr">
        <is>
          <t>carfhz</t>
        </is>
      </c>
      <c r="B3397" t="inlineStr">
        <is>
          <t>Pancytopenia from Humira?</t>
        </is>
      </c>
      <c r="C3397" t="inlineStr">
        <is>
          <t>Worried about my dads CBC test results, he’s heading to a hematologist tomorrow. Could this be from his HUmira which is meant to treat rheumatoid arthritis? He uses it to treat his psoriasis, he has been on the drug for 7 years. If it isn’t due to Humira, are their any other possibilities that cause the Pancytopenia other then cancer?</t>
        </is>
      </c>
      <c r="D3397" t="n">
        <v>2</v>
      </c>
      <c r="E3397" t="n">
        <v>0</v>
      </c>
      <c r="F3397">
        <f>HYPERLINK("https://www.reddit.com/r/cancer/comments/carfhz/pancytopenia_from_humira/")</f>
        <v/>
      </c>
      <c r="G3397" t="inlineStr">
        <is>
          <t>2019-07-08 14:44:18</t>
        </is>
      </c>
      <c r="H3397" t="inlineStr"/>
    </row>
    <row r="3398">
      <c r="A3398" t="inlineStr">
        <is>
          <t>carudw</t>
        </is>
      </c>
      <c r="B3398" t="inlineStr">
        <is>
          <t>a question about lung cancer.</t>
        </is>
      </c>
      <c r="C3398" t="inlineStr">
        <is>
          <t>hey. my mother has been recently diagnosed with lung cancer. my mother is pretty old and doesnt know how to research like I do. today, when the doctor diagnosed my mother, i wasnt with her. i didnt get to hear the doctor and/or ask questions, so i dont have anything to research for my mom. she told me what she remembered from the doctor, and this is what she told me:
the cancer is a rare cancer from the 20 lung cancer types, and her chances of dying are really low.
does anybody have the name of that cancer type? i would like to research the cancer for myself to learn about it and how to take care of my mother. thanks!</t>
        </is>
      </c>
      <c r="D3398" t="n">
        <v>2</v>
      </c>
      <c r="E3398" t="n">
        <v>2</v>
      </c>
      <c r="F3398">
        <f>HYPERLINK("https://www.reddit.com/r/cancer/comments/carudw/a_question_about_lung_cancer/")</f>
        <v/>
      </c>
      <c r="G3398" t="inlineStr">
        <is>
          <t>2019-07-08 15:17:03</t>
        </is>
      </c>
      <c r="H3398" t="inlineStr"/>
    </row>
    <row r="3399">
      <c r="A3399" t="inlineStr">
        <is>
          <t>cas7uq</t>
        </is>
      </c>
      <c r="B3399" t="inlineStr">
        <is>
          <t>My dad</t>
        </is>
      </c>
      <c r="C3399" t="inlineStr">
        <is>
          <t>My dad (65) just got back a positive test for colon cancer. Does anyone have any experience? My family isn’t aware I know yet they are planning on hiding it from me. I just want to know what you guys have been through.</t>
        </is>
      </c>
      <c r="D3399" t="n">
        <v>3</v>
      </c>
      <c r="E3399" t="n">
        <v>9</v>
      </c>
      <c r="F3399">
        <f>HYPERLINK("https://www.reddit.com/r/cancer/comments/cas7uq/my_dad/")</f>
        <v/>
      </c>
      <c r="G3399" t="inlineStr">
        <is>
          <t>2019-07-08 15:48:17</t>
        </is>
      </c>
      <c r="H3399" t="inlineStr"/>
    </row>
    <row r="3400">
      <c r="A3400" t="inlineStr">
        <is>
          <t>cauved</t>
        </is>
      </c>
      <c r="B3400" t="inlineStr">
        <is>
          <t>My wife is starting treatment in 6 weeks...</t>
        </is>
      </c>
      <c r="C3400" t="inlineStr">
        <is>
          <t>She’s 21, and was diagnosed with lymphoblastic lymphoma for the third time last December and has refused treatment until now. She’s gone through chemo twice and a bone marrow transplant and just couldn’t do it again, but now she’s agreed to do it one more time. She got extensive testing done last month and the doctor was able to give us a treatment regimen called COG which, if everything follows the timeline and she responds how they expect, will end 10 days short of 3 years, but if she responds really well they will remove one of the reinduction and one of the intensification cycles, but if she doesn’t respond they may add more. 
She’s never done this type of treatment before, her last treatments were 2 years, but was mostly maintenance which she said wasn’t the worst part, but this one has a lot more drugs and the heavy chemo goes on for much longer. We got a whole folder of the treatment regimen timeline and there’s not a single day off during the cycles apart from a few scattered days in the beginning, but we do get a nice break in between all of the cycles. 
This is the scariest thing I’ve ever experienced, I’m lucky enough to have had a very easy life, but this will be an extreme challenge. I obviously have to continue working through her treatment and I’m a high school teacher so my hours are long, so her grandma is moving in with us so she can be her main caregiver, and everyone around us has offered to help out too. We’re staying positive and genuinely believe that we will get through it.</t>
        </is>
      </c>
      <c r="D3400" t="n">
        <v>11</v>
      </c>
      <c r="E3400" t="n">
        <v>5</v>
      </c>
      <c r="F3400">
        <f>HYPERLINK("https://www.reddit.com/r/cancer/comments/cauved/my_wife_is_starting_treatment_in_6_weeks/")</f>
        <v/>
      </c>
      <c r="G3400" t="inlineStr">
        <is>
          <t>2019-07-08 19:43:59</t>
        </is>
      </c>
      <c r="H3400" t="inlineStr"/>
    </row>
    <row r="3401">
      <c r="A3401" t="inlineStr">
        <is>
          <t>caxnri</t>
        </is>
      </c>
      <c r="B3401" t="inlineStr">
        <is>
          <t>Sleep Schedule</t>
        </is>
      </c>
      <c r="C3401" t="inlineStr">
        <is>
          <t>Folks, my sleep schedule is jacked up, I’ve been doing this chemo/surgery dance for 4 years so I’m not new.  Last couple of chemo infusions have left me sleeping a lot, not terribly abnormal but not my schedule is backwards.  I sleep most of the day and stay awake from around 100 AM until 1000 AM then sleep off and on until 100 AM the next morning.  Help!  What do I do to get back to sleeping at night?  I have any pill you could imagine to help, Xanax puts me right out for 4 hours. I can use that to reset i guess, any other ideas?</t>
        </is>
      </c>
      <c r="D3401" t="n">
        <v>5</v>
      </c>
      <c r="E3401" t="n">
        <v>7</v>
      </c>
      <c r="F3401">
        <f>HYPERLINK("https://www.reddit.com/r/cancer/comments/caxnri/sleep_schedule/")</f>
        <v/>
      </c>
      <c r="G3401" t="inlineStr">
        <is>
          <t>2019-07-09 00:36:41</t>
        </is>
      </c>
      <c r="H3401" t="inlineStr"/>
    </row>
    <row r="3402">
      <c r="A3402" t="inlineStr">
        <is>
          <t>caytdv</t>
        </is>
      </c>
      <c r="B3402" t="inlineStr">
        <is>
          <t>Cancer as a "last checkpoint" for removing defective cells? (Includes link)</t>
        </is>
      </c>
      <c r="C3402" t="inlineStr">
        <is>
          <t>I read the following article:
[https://www.sciencedaily.com/releases/2016/06/160601084429.htm](https://www.sciencedaily.com/releases/2016/06/160601084429.htm)  
I do not know how realistic it is. I just started looking stuff up about cancer, and I'm wondering, from what anyone else knows about cancer scientifically and medically, how realistic this study is. I claims that, "When the damage cannot be repaired, the cell usually dies in a process called apoptosis. But when that doesn’t happen, cancer can result as a last-ditch ‘checkpoint’ to remove defective cells, the mutations that caused the damage and their DNA from the gene pool." 
It was my understanding that cancerous cells ARE damaged and mutated. So what am I missing? Thanks in advance.</t>
        </is>
      </c>
      <c r="D3402" t="n">
        <v>4</v>
      </c>
      <c r="E3402" t="n">
        <v>3</v>
      </c>
      <c r="F3402">
        <f>HYPERLINK("https://www.reddit.com/r/cancer/comments/caytdv/cancer_as_a_last_checkpoint_for_removing/")</f>
        <v/>
      </c>
      <c r="G3402" t="inlineStr">
        <is>
          <t>2019-07-09 02:56:48</t>
        </is>
      </c>
      <c r="H3402" t="inlineStr"/>
    </row>
    <row r="3403">
      <c r="A3403" t="inlineStr">
        <is>
          <t>caz1ks</t>
        </is>
      </c>
      <c r="B3403" t="inlineStr">
        <is>
          <t>Will the real super soft toothbrush please stand up</t>
        </is>
      </c>
      <c r="C3403" t="inlineStr">
        <is>
          <t>Hi,
My wife starts chemo next Tuesday and I'm looking for super soft but adult sized toothbrushes.  Anyone with mouth soreness from chemo have a recommendation?</t>
        </is>
      </c>
      <c r="D3403" t="n">
        <v>7</v>
      </c>
      <c r="E3403" t="n">
        <v>10</v>
      </c>
      <c r="F3403">
        <f>HYPERLINK("https://www.reddit.com/r/cancer/comments/caz1ks/will_the_real_super_soft_toothbrush_please_stand/")</f>
        <v/>
      </c>
      <c r="G3403" t="inlineStr">
        <is>
          <t>2019-07-09 03:22:38</t>
        </is>
      </c>
      <c r="H3403" t="inlineStr"/>
    </row>
    <row r="3404">
      <c r="A3404" t="inlineStr">
        <is>
          <t>cb042y</t>
        </is>
      </c>
      <c r="B3404" t="inlineStr">
        <is>
          <t>Just a random rant while waiting for scans : What's up with old dudes walking around with their hospital gown open and theIr rear end showing??</t>
        </is>
      </c>
      <c r="C3404" t="inlineStr">
        <is>
          <t>I mean, I spend a lot of time at the hospital and it's an epidemic. 
I just don't get it.</t>
        </is>
      </c>
      <c r="D3404" t="n">
        <v>8</v>
      </c>
      <c r="E3404" t="n">
        <v>16</v>
      </c>
      <c r="F3404">
        <f>HYPERLINK("https://www.reddit.com/r/cancer/comments/cb042y/just_a_random_rant_while_waiting_for_scans_whats/")</f>
        <v/>
      </c>
      <c r="G3404" t="inlineStr">
        <is>
          <t>2019-07-09 05:18:01</t>
        </is>
      </c>
      <c r="H3404" t="inlineStr"/>
    </row>
    <row r="3405">
      <c r="A3405" t="inlineStr">
        <is>
          <t>cb08qr</t>
        </is>
      </c>
      <c r="B3405" t="inlineStr">
        <is>
          <t>Just a vent, bitch, rant, whatever.</t>
        </is>
      </c>
      <c r="C3405" t="inlineStr">
        <is>
          <t>My husband was diagnosed with NSC stage 4 lung adenocarcinoma last year. I’m so sick of when I’m talking to anyone about it and they ask what kind of cancer. Their first response is always “did he smoke?”  It’s like it makes it less significant or he just deserves it. Like we all hurt less because he smoked I don’t care what caused it. I care that he has it. The fact he smoked doesn’t make it hurt less or make him feel better about having it. His grandmother didn’t even smoke and died from the same thing. I’m sure smoking didn’t help. I’m just so sick of hearing that question that I won’t even specify what’s happening in my life now.</t>
        </is>
      </c>
      <c r="D3405" t="n">
        <v>71</v>
      </c>
      <c r="E3405" t="n">
        <v>37</v>
      </c>
      <c r="F3405">
        <f>HYPERLINK("https://www.reddit.com/r/cancer/comments/cb08qr/just_a_vent_bitch_rant_whatever/")</f>
        <v/>
      </c>
      <c r="G3405" t="inlineStr">
        <is>
          <t>2019-07-09 05:30:36</t>
        </is>
      </c>
      <c r="H3405" t="inlineStr"/>
    </row>
    <row r="3406">
      <c r="A3406" t="inlineStr">
        <is>
          <t>cb1fnj</t>
        </is>
      </c>
      <c r="B3406" t="inlineStr">
        <is>
          <t>Stage 4: Adenocarcinoma of the Lung</t>
        </is>
      </c>
      <c r="C3406" t="inlineStr">
        <is>
          <t>So my Father told me he has been given this diagnosis. Doc says if he can't beat it through gene therapy or failing that chemotherapy then he has about a year until... game over. 
&amp;amp;#x200B;
I've done a little reading on what can be done and seems my dad was playing down how serious it is. He believes he can beat it and that's great but my research shows this type of cancer is one rarely recovered from. (Please correct me if I'm wrong) He has also said it is a small cancer. I may just be understanding the terminology I'm finding online incorrectly. But my understanding is that this type of cancer is Non-Small, does that mean there is no such thing as a small? or something else?  
Also my understanding of stage 4 means it has spread from the original area (lung) to other parts of the body.
&amp;amp;#x200B;
When I originally was given this news, not knowing much about it I offered a lung. Is a lung transplant a viable solution for this??</t>
        </is>
      </c>
      <c r="D3406" t="n">
        <v>3</v>
      </c>
      <c r="E3406" t="n">
        <v>10</v>
      </c>
      <c r="F3406">
        <f>HYPERLINK("https://www.reddit.com/r/cancer/comments/cb1fnj/stage_4_adenocarcinoma_of_the_lung/")</f>
        <v/>
      </c>
      <c r="G3406" t="inlineStr">
        <is>
          <t>2019-07-09 07:15:56</t>
        </is>
      </c>
      <c r="H3406" t="inlineStr"/>
    </row>
    <row r="3407">
      <c r="A3407" t="inlineStr">
        <is>
          <t>cb1sv6</t>
        </is>
      </c>
      <c r="B3407" t="inlineStr">
        <is>
          <t>Advice</t>
        </is>
      </c>
      <c r="C3407" t="inlineStr">
        <is>
          <t>Two years ago my father was diagnosed with a malignant melanoma on his head which was removed successfully but unfortunately has left him with a form of cancer in his head. He was on a course of pills that was keeping it at bay, it hadn’t spread anywhere but about 6/7 months ago these stopped working and he is now on immunotherapy, going every four weeks for a couple of hours. As many people probably do, he became friends with someone going through exactly the same the thing and they have been on the journey together so far. My fathers friend was then told that the cancer had spread to his stomach and has since had operations to try and resolve this but has now been having “end of life” discussions and about 6 months to live. This is tragic news and has sent my father into a spiral of depression. It has become increasingly difficult to engage him with anything, whether it be conversation or doing things he used to like doing. My mother is suffering with it and he will not talk to anyone. My wife and I have just got my mother to start opening up to us and today she came to me in tears saying how difficult it was, it’s like he isn’t there anymore.  I want to do everything I can for my parents and I don’t know what I’m looking for on here but thought it would be a good place to start and look for advice or similar experiences. Thanks.</t>
        </is>
      </c>
      <c r="D3407" t="n">
        <v>3</v>
      </c>
      <c r="E3407" t="n">
        <v>1</v>
      </c>
      <c r="F3407">
        <f>HYPERLINK("https://www.reddit.com/r/cancer/comments/cb1sv6/advice/")</f>
        <v/>
      </c>
      <c r="G3407" t="inlineStr">
        <is>
          <t>2019-07-09 07:45:39</t>
        </is>
      </c>
      <c r="H3407" t="inlineStr"/>
    </row>
    <row r="3408">
      <c r="A3408" t="inlineStr">
        <is>
          <t>cb21ug</t>
        </is>
      </c>
      <c r="B3408" t="inlineStr">
        <is>
          <t>Cancer started with a large polyp?</t>
        </is>
      </c>
      <c r="C3408" t="inlineStr">
        <is>
          <t>Did your cancer start with a large polyp that went undiscovered and wasn't removed at the right time and turned into cancer?</t>
        </is>
      </c>
      <c r="D3408" t="n">
        <v>1</v>
      </c>
      <c r="E3408" t="n">
        <v>0</v>
      </c>
      <c r="F3408">
        <f>HYPERLINK("https://www.reddit.com/r/cancer/comments/cb21ug/cancer_started_with_a_large_polyp/")</f>
        <v/>
      </c>
      <c r="G3408" t="inlineStr">
        <is>
          <t>2019-07-09 08:05:07</t>
        </is>
      </c>
      <c r="H3408" t="inlineStr"/>
    </row>
    <row r="3409">
      <c r="A3409" t="inlineStr">
        <is>
          <t>cb54q4</t>
        </is>
      </c>
      <c r="B3409" t="inlineStr">
        <is>
          <t>Six months out from two surgeries to deal with two types of cancer and I feel like I’m losing my mind</t>
        </is>
      </c>
      <c r="C3409" t="inlineStr">
        <is>
          <t>Back in December I was diagnosed with renal cancer stage 2b I think and while they found that they also found early stage lung cancer forming, stage 1b and not related to the renal cancer. 
Thanks to great doctors and good health insurance they removed my left kidney on Christmas Eve and after a 6 week recovery they too the bottom third of my left lung. With both surgeries they removed the lymph nodes around the cancer and in both cases they did not find anything concerning. Now I’m on quarterly scans for the first year and probably annual ones for the rest of my life. 
So the post surgery prognosis was good and I’m physically adjusting to having less lung capacity, but I can’t keep my head strait at this point. Not a day goes by where I don’t think about cancer, not a single fucking day. It haunts me and I’m already prone towards insomnia so I spend nights lying in bed just spinning my wheels. It doesn’t help that I have my 6th month scan this week. All I want is one day with no thoughts or fears about it, but it seems inescapable. My wife and family have been incredibly supportive and they went through it as much as is did. I don’t want to burden them any more. I’m sitting at my desk writing this and just trying to keep it together. I feel mentally weak for letting this bother me so much, but it haunts my days and my relationships. Am I the only one who’s felt this way? Any one have any suggestions on how to keep the doubt and fear at bay?</t>
        </is>
      </c>
      <c r="D3409" t="n">
        <v>29</v>
      </c>
      <c r="E3409" t="n">
        <v>12</v>
      </c>
      <c r="F3409">
        <f>HYPERLINK("https://www.reddit.com/r/cancer/comments/cb54q4/six_months_out_from_two_surgeries_to_deal_with/")</f>
        <v/>
      </c>
      <c r="G3409" t="inlineStr">
        <is>
          <t>2019-07-09 11:56:11</t>
        </is>
      </c>
      <c r="H3409" t="inlineStr"/>
    </row>
    <row r="3410">
      <c r="A3410" t="inlineStr">
        <is>
          <t>cb5adh</t>
        </is>
      </c>
      <c r="B3410" t="inlineStr">
        <is>
          <t>Please help.</t>
        </is>
      </c>
      <c r="C3410" t="inlineStr">
        <is>
          <t>My dad has metastatic lung cancer. Im sitting in this hospital and these doctors refuse to acknowledge the situation. They just look at me and say their sorry and leave. I have yet to see his radiologist. I dont know what to do. Is this the end? Its in his lungs with one lung filling completely with fluid often, in his lymph nodes and brain. He just wakes up and cries for me to not let him die. 
I have a wife in one room who can give birth at any moment and a dad in another who can die at any minute. I cant think.  Every second I feel like im getting dizzy and going to pass out.
Can he survive this? Am I going to lose my father? Any information will help.</t>
        </is>
      </c>
      <c r="D3410" t="n">
        <v>12</v>
      </c>
      <c r="E3410" t="n">
        <v>11</v>
      </c>
      <c r="F3410">
        <f>HYPERLINK("https://www.reddit.com/r/cancer/comments/cb5adh/please_help/")</f>
        <v/>
      </c>
      <c r="G3410" t="inlineStr">
        <is>
          <t>2019-07-09 12:07:32</t>
        </is>
      </c>
      <c r="H3410" t="inlineStr"/>
    </row>
    <row r="3411">
      <c r="A3411" t="inlineStr">
        <is>
          <t>cb6d92</t>
        </is>
      </c>
      <c r="B3411" t="inlineStr">
        <is>
          <t>Clear Liquid Diet</t>
        </is>
      </c>
      <c r="C3411" t="inlineStr">
        <is>
          <t>Help with a clear liquid diet!  Beef and chicken, beef and chicken, beef and chicken, I'm about to lose my mind. I dont know when or if ever I'll be moved to a diffeerent diet but some options any one else had tried would be great!    
 So far I've only got the two broths, apple juice, jello, tea. Water, and some of her hard candies.</t>
        </is>
      </c>
      <c r="D3411" t="n">
        <v>7</v>
      </c>
      <c r="E3411" t="n">
        <v>9</v>
      </c>
      <c r="F3411">
        <f>HYPERLINK("https://www.reddit.com/r/cancer/comments/cb6d92/clear_liquid_diet/")</f>
        <v/>
      </c>
      <c r="G3411" t="inlineStr">
        <is>
          <t>2019-07-09 13:28:09</t>
        </is>
      </c>
      <c r="H3411" t="inlineStr"/>
    </row>
    <row r="3412">
      <c r="A3412" t="inlineStr">
        <is>
          <t>cb6ofm</t>
        </is>
      </c>
      <c r="B3412" t="inlineStr">
        <is>
          <t>My boyfriend’s mother was diagnosed with breast cancer recently, how can I support both her and him?</t>
        </is>
      </c>
      <c r="C3412" t="inlineStr">
        <is>
          <t>As the title says. I don’t know the full details, but I’m told it’s in the early stages but she’s expressed a lot of anxiety about chemotherapy and the effect of it on her. I’ve been quite lucky in that I haven’t known anyone in my life who’s suffered from cancer, but that makes this situation alien to me and I want to communicate that I’m here to support the both of them, but I don’t know how to do that. He cares a lot about his mum and I can tell it’s already worrying him a lot, and I just feel ill-equipped to offer support. As such, I feel it might help if I had some advice from folks who’ve been through similar experiences.
(I should also clarify my boyfriend and I are in a long distance relationship, I’m in the UK and he’s in the Netherlands. I’ve met his parents before, and I’ll be seeing them again next month)</t>
        </is>
      </c>
      <c r="D3412" t="n">
        <v>2</v>
      </c>
      <c r="E3412" t="n">
        <v>3</v>
      </c>
      <c r="F3412">
        <f>HYPERLINK("https://www.reddit.com/r/cancer/comments/cb6ofm/my_boyfriends_mother_was_diagnosed_with_breast/")</f>
        <v/>
      </c>
      <c r="G3412" t="inlineStr">
        <is>
          <t>2019-07-09 13:51:23</t>
        </is>
      </c>
      <c r="H3412" t="inlineStr"/>
    </row>
    <row r="3413">
      <c r="A3413" t="inlineStr">
        <is>
          <t>cb8ehv</t>
        </is>
      </c>
      <c r="B3413" t="inlineStr">
        <is>
          <t>Just A Rant</t>
        </is>
      </c>
      <c r="C3413" t="inlineStr">
        <is>
          <t>I'm done with the initial chemotherapy for my Non-Hodgkins Lymphoma and am now in a maintenance phase with an infusion every two months.  I've been very lucky so far with a good response to the meds and very few side effects apart from sometimes crushing fatigue.  I'm likely not going to die anytime soon despite it being incurable and I'm just playing a waiting game for a relapse.  The psychological effects of having cancer have been, however, very difficult to deal with.   It just hangs like a mental cloud in my thoughts and, of course, creates a lot of uncertainty.  Since I'm not symptomatic, my wife seems to think it's just gone and she wonders why I can't move on.  I just feel very lonely and isolated with this.  
My cancer center had me see a couple of therapists who were, at best, unhelpful and at worst simply annoying.  The sessions were painfully tedious.  I don't think we as a culture really have a means for people with chronic illnesses to reintegrate.  Some cultural groups have healing rituals and ceremonies to help restore an ill person to balance but we don't.  Standard psychotherapy doesn't seem to work for me and I moved away from organized religion long ago.  Right now I just feel incomplete, invisible and different from other people who don't have cancer.  
I've been reading about the use of psychedelic therapy by cancer patients to deal with the sense of loss but it's hardly something you can just look up in the yellow pages and schedule a session.  Oddly enough, my oncologist is totally supportive of the idea but I don't know where to find it.  Nor would I know where to look for some sort of shamanistic healing ritual to help if it would do any good.  It's very frustrating.  
Sorry.  I know people here are dealing with terminal illnesses and end of life issues with themselves or loved ones.  The fact that I have some angst regarding my illness doesn't really compare with what some patients deal with.  But cancer does isolate one and create psychological issues and I wish there were better ways to deal with those feelings.</t>
        </is>
      </c>
      <c r="D3413" t="n">
        <v>11</v>
      </c>
      <c r="E3413" t="n">
        <v>4</v>
      </c>
      <c r="F3413">
        <f>HYPERLINK("https://www.reddit.com/r/cancer/comments/cb8ehv/just_a_rant/")</f>
        <v/>
      </c>
      <c r="G3413" t="inlineStr">
        <is>
          <t>2019-07-09 16:05:36</t>
        </is>
      </c>
      <c r="H3413" t="inlineStr"/>
    </row>
    <row r="3414">
      <c r="A3414" t="inlineStr">
        <is>
          <t>cb9o1p</t>
        </is>
      </c>
      <c r="B3414" t="inlineStr">
        <is>
          <t>What to say to people who say God will heal my cancer?</t>
        </is>
      </c>
      <c r="C3414" t="inlineStr">
        <is>
          <t>I was 28 when first diagnosed with cancer - it was thyroid cancer (supposedly the best kind of cancer - which is also stupid). But I had half of my thyroid removed and didn’t tell my family it was cancer until a week after my surgery - because when my uncle had cancer a year ago and died, they made a huge deal about his battle that I didn’t want that. Another thing they did was make it about God. They kept saying that it was God’s will and that God’s glory would be shown in his cancer battle, and now they say that God healed me and that he’ll heal me again. I’m so sick of it. How can I ask my parents specifically but also others politely to not say stuff like that to me? It deeply affects me - because the rationale for why God would “give” me cancer to bring him glory doesn’t make sense to me and won’t ever make sense to me. I’m just looking for advice to how to talk with people when they say shitty things to you about your cancer - but how to be nice about it - because I know it comes from good intentions and it’s their belief system.</t>
        </is>
      </c>
      <c r="D3414" t="n">
        <v>60</v>
      </c>
      <c r="E3414" t="n">
        <v>50</v>
      </c>
      <c r="F3414">
        <f>HYPERLINK("https://www.reddit.com/r/cancer/comments/cb9o1p/what_to_say_to_people_who_say_god_will_heal_my/")</f>
        <v/>
      </c>
      <c r="G3414" t="inlineStr">
        <is>
          <t>2019-07-09 17:54:02</t>
        </is>
      </c>
      <c r="H3414" t="inlineStr"/>
    </row>
    <row r="3415">
      <c r="A3415" t="inlineStr">
        <is>
          <t>cb9x7b</t>
        </is>
      </c>
      <c r="B3415" t="inlineStr">
        <is>
          <t>How do I support my mom during this time?</t>
        </is>
      </c>
      <c r="C3415" t="inlineStr">
        <is>
          <t>Hi friends..
I posted a month ago that my mom was diagnosed with squamous cell carcinoma of the anus. We finally met up with a radiology oncologist, who did a physical exam. The PET is due for August 3rd.
Looks like the cancer may have gotten a bit worse (as per the physical exam). They noted it is felt through the vagina and she will most likely need a *hopefully temporary* ostomy while radiation is completed to ensure no infection is caused during treatment.
Obviously, this was not received well by my mom. She broke down and I held on without crying.  Once we get the results back from the PET we will know what we are looking at.
Until then.. what the hell can I do for her? I have really comforted her about the ostomy bag, and I did a lot of research with her about it. I think she is feeling more confident around that. But I just don't know what to do now? I am the youngest in the family, I don't drive, but I am also the most relied upon bc my siblings are not really in the picture much. I just want to know how I can support the family.
At this point my self care and nutrition are... lacking. I feel like I am in limbo while waiting for this info. I am getting married next year, and my mom is so so excited for it but who knows how much time we have?   I am just avoiding everything which I feel is not healthy anymore.  
Not sure where I was going with this.. I'm just lost. Thank you for reading..</t>
        </is>
      </c>
      <c r="D3415" t="n">
        <v>2</v>
      </c>
      <c r="E3415" t="n">
        <v>2</v>
      </c>
      <c r="F3415">
        <f>HYPERLINK("https://www.reddit.com/r/cancer/comments/cb9x7b/how_do_i_support_my_mom_during_this_time/")</f>
        <v/>
      </c>
      <c r="G3415" t="inlineStr">
        <is>
          <t>2019-07-09 18:16:40</t>
        </is>
      </c>
      <c r="H3415" t="inlineStr"/>
    </row>
    <row r="3416">
      <c r="A3416" t="inlineStr">
        <is>
          <t>cba1ph</t>
        </is>
      </c>
      <c r="B3416" t="inlineStr">
        <is>
          <t>Can somebody share some links about diets for cancer patients?</t>
        </is>
      </c>
      <c r="C3416" t="inlineStr">
        <is>
          <t>Thank you</t>
        </is>
      </c>
      <c r="D3416" t="n">
        <v>1</v>
      </c>
      <c r="E3416" t="n">
        <v>9</v>
      </c>
      <c r="F3416">
        <f>HYPERLINK("https://www.reddit.com/r/cancer/comments/cba1ph/can_somebody_share_some_links_about_diets_for/")</f>
        <v/>
      </c>
      <c r="G3416" t="inlineStr">
        <is>
          <t>2019-07-09 18:28:03</t>
        </is>
      </c>
      <c r="H3416" t="inlineStr"/>
    </row>
    <row r="3417">
      <c r="A3417" t="inlineStr">
        <is>
          <t>cbavcy</t>
        </is>
      </c>
      <c r="B3417" t="inlineStr">
        <is>
          <t>How to plan for my passing</t>
        </is>
      </c>
      <c r="C3417" t="inlineStr">
        <is>
          <t>What are all the steps to insure that my wife will succeed after me. I think I have all the documents correct but I don’t know if it’s all the right ones as she is also my caregiver and all</t>
        </is>
      </c>
      <c r="D3417" t="n">
        <v>8</v>
      </c>
      <c r="E3417" t="n">
        <v>6</v>
      </c>
      <c r="F3417">
        <f>HYPERLINK("https://www.reddit.com/r/cancer/comments/cbavcy/how_to_plan_for_my_passing/")</f>
        <v/>
      </c>
      <c r="G3417" t="inlineStr">
        <is>
          <t>2019-07-09 19:43:15</t>
        </is>
      </c>
      <c r="H3417" t="inlineStr"/>
    </row>
    <row r="3418">
      <c r="A3418" t="inlineStr">
        <is>
          <t>cbb0kn</t>
        </is>
      </c>
      <c r="B3418" t="inlineStr">
        <is>
          <t>Cancer Rehabilitation</t>
        </is>
      </c>
      <c r="C3418" t="inlineStr">
        <is>
          <t>I just found out I'm in remission!
However, after a *massive* abdominal surgery, a bout of severe anemia, and every other complication known to man, I'm in a weakend state. I want to get back to real life, but it's hard when you can't walk from the parking lot to the store without feeling like you are dying.
I'm looking for ways to get into shape that aren't going to be too hard for me at first.</t>
        </is>
      </c>
      <c r="D3418" t="n">
        <v>1</v>
      </c>
      <c r="E3418" t="n">
        <v>2</v>
      </c>
      <c r="F3418">
        <f>HYPERLINK("https://www.reddit.com/r/cancer/comments/cbb0kn/cancer_rehabilitation/")</f>
        <v/>
      </c>
      <c r="G3418" t="inlineStr">
        <is>
          <t>2019-07-09 19:56:43</t>
        </is>
      </c>
      <c r="H3418" t="inlineStr"/>
    </row>
    <row r="3419">
      <c r="A3419" t="inlineStr">
        <is>
          <t>cbbvll</t>
        </is>
      </c>
      <c r="B3419" t="inlineStr">
        <is>
          <t>Hepatoma (liver cancer)</t>
        </is>
      </c>
      <c r="C3419" t="inlineStr">
        <is>
          <t>Hello, i am quite naive when it comes to discussing anything cancer related as I know very little about the disease so please forgive me if this post doesn’t make much sense. I have a question for those of you who have experienced hepatoma or know about it. I know it is very case sensitive but generally If the cancer has spread from the liver to a neighboring bone (stage 4) does this absolutely mean terminal?</t>
        </is>
      </c>
      <c r="D3419" t="n">
        <v>1</v>
      </c>
      <c r="E3419" t="n">
        <v>0</v>
      </c>
      <c r="F3419">
        <f>HYPERLINK("https://www.reddit.com/r/cancer/comments/cbbvll/hepatoma_liver_cancer/")</f>
        <v/>
      </c>
      <c r="G3419" t="inlineStr">
        <is>
          <t>2019-07-09 21:17:45</t>
        </is>
      </c>
      <c r="H3419" t="inlineStr"/>
    </row>
    <row r="3420">
      <c r="A3420" t="inlineStr">
        <is>
          <t>cbc8qi</t>
        </is>
      </c>
      <c r="B3420" t="inlineStr">
        <is>
          <t>Best Time to Visit During Chemo Cycles?</t>
        </is>
      </c>
      <c r="C3420" t="inlineStr">
        <is>
          <t>Hoping someone has some insight into this.  My brother just finished his first round of chemo for testicular cancer with lung metastases (had an orchiectomy in January, follow up scan demonstrated a tumor regrowth in the scrotum plus lung metastases).  He’s doing cisplantin and etoposide, 4 cycles total with each cycle 1 week on and 1 week off.
He finished his first week last week, and initially felt good.  He lives in a different country and it’s difficult (financially and logistically) for us to travel to see him, so we had planned to visit towards the end of the cycles (late September), as he assured us he didn’t need anything.  However, after speaking with him tonight, and hearing about how sick he’s been over the last few days, I feel like we need to get out to see him soon.
When should we expect he will be sickest/need the most help?  Is it accurate to say that the week after the treatment is worse than the week of?</t>
        </is>
      </c>
      <c r="D3420" t="n">
        <v>1</v>
      </c>
      <c r="E3420" t="n">
        <v>10</v>
      </c>
      <c r="F3420">
        <f>HYPERLINK("https://www.reddit.com/r/cancer/comments/cbc8qi/best_time_to_visit_during_chemo_cycles/")</f>
        <v/>
      </c>
      <c r="G3420" t="inlineStr">
        <is>
          <t>2019-07-09 21:53:52</t>
        </is>
      </c>
      <c r="H3420" t="inlineStr"/>
    </row>
    <row r="3421">
      <c r="A3421" t="inlineStr">
        <is>
          <t>cbdobu</t>
        </is>
      </c>
      <c r="B3421" t="inlineStr">
        <is>
          <t>Possible Ovarian Cancer?</t>
        </is>
      </c>
      <c r="C3421" t="inlineStr">
        <is>
          <t>Hello,
I had an ultrasound done today and got the results back. I use Zoom+Care which sends you results electronically so I have not been able to talk to someone in person and I am going crazy.
The ultrasound was for my IUD but they reported I have a 3.5 mm complex cyst with internal septation with a possible daughter cyst.  There is also “posterior acoustic enhancement.” 
I have only the internet to explain this all to me until tomorrow. I’m hoping someone has any experience with this terminology can help me. Sorry if this is not appropriate in this subreddit, I had nowhere else to go and I’m terrified.</t>
        </is>
      </c>
      <c r="D3421" t="n">
        <v>0</v>
      </c>
      <c r="E3421" t="n">
        <v>0</v>
      </c>
      <c r="F3421">
        <f>HYPERLINK("https://www.reddit.com/r/cancer/comments/cbdobu/possible_ovarian_cancer/")</f>
        <v/>
      </c>
      <c r="G3421" t="inlineStr">
        <is>
          <t>2019-07-10 00:34:08</t>
        </is>
      </c>
      <c r="H3421" t="inlineStr"/>
    </row>
    <row r="3422">
      <c r="A3422" t="inlineStr">
        <is>
          <t>cbeqhx</t>
        </is>
      </c>
      <c r="B3422" t="inlineStr">
        <is>
          <t>Question for the spouses/SOs/caregivers.</t>
        </is>
      </c>
      <c r="C3422" t="inlineStr">
        <is>
          <t>I have stage 3 cervical (30 years old), and treatment will begin in a few weeks.
I have pretty bad anxiety and emotional outbursts regarding this diagnosis. I've been overwhelming my poor husband with my emotions and I want him to know I'm here for him, too. Even though he's taking care of me. But I don't know how. He doesn't ask for anything and neither of us know "how do to this". We're both so young and this was completely unexpected. 
Those of you who have been through this, I would love some advice. He's the best man I've ever met and I want him to feel supported.</t>
        </is>
      </c>
      <c r="D3422" t="n">
        <v>5</v>
      </c>
      <c r="E3422" t="n">
        <v>10</v>
      </c>
      <c r="F3422">
        <f>HYPERLINK("https://www.reddit.com/r/cancer/comments/cbeqhx/question_for_the_spousessoscaregivers/")</f>
        <v/>
      </c>
      <c r="G3422" t="inlineStr">
        <is>
          <t>2019-07-10 02:52:41</t>
        </is>
      </c>
      <c r="H3422" t="inlineStr"/>
    </row>
    <row r="3423">
      <c r="A3423" t="inlineStr">
        <is>
          <t>cbey3b</t>
        </is>
      </c>
      <c r="B3423" t="inlineStr">
        <is>
          <t>Just wanted to share. Sure others are struggling too</t>
        </is>
      </c>
      <c r="C3423" t="inlineStr">
        <is>
          <t>Just wanted to share with someone.
Step mum was diagnosed with stage 4 glioublastoma about two years ago. 
Got a message from my dad today to say she has deteriorated and not looking great.
Can only imagine what my dad is feeling knowing what’s happening to her. I hope others going through something similar can find strength. I’m feeling a bit lost right now</t>
        </is>
      </c>
      <c r="D3423" t="n">
        <v>8</v>
      </c>
      <c r="E3423" t="n">
        <v>4</v>
      </c>
      <c r="F3423">
        <f>HYPERLINK("https://www.reddit.com/r/cancer/comments/cbey3b/just_wanted_to_share_sure_others_are_struggling/")</f>
        <v/>
      </c>
      <c r="G3423" t="inlineStr">
        <is>
          <t>2019-07-10 03:17:59</t>
        </is>
      </c>
      <c r="H3423" t="inlineStr"/>
    </row>
    <row r="3424">
      <c r="A3424" t="inlineStr">
        <is>
          <t>cbfod9</t>
        </is>
      </c>
      <c r="B3424" t="inlineStr">
        <is>
          <t>Mother just told me about her stage 4 pancreatic cancer</t>
        </is>
      </c>
      <c r="C3424" t="inlineStr">
        <is>
          <t>My mother just told me of her stage 4 pancreatic cancer and I am wondering how long she knew about it. I dont live in the same state so I usually see her once or twice a year, so Im really upset I missed any possible symptoms the times I have visited.
My question is this. Is this a diagnosis that can come fast? Or was she keeping her condition from me hoping she would beat it? Reallly sad and really confused I am just now finding out about it.</t>
        </is>
      </c>
      <c r="D3424" t="n">
        <v>3</v>
      </c>
      <c r="E3424" t="n">
        <v>10</v>
      </c>
      <c r="F3424">
        <f>HYPERLINK("https://www.reddit.com/r/cancer/comments/cbfod9/mother_just_told_me_about_her_stage_4_pancreatic/")</f>
        <v/>
      </c>
      <c r="G3424" t="inlineStr">
        <is>
          <t>2019-07-10 04:43:28</t>
        </is>
      </c>
      <c r="H3424" t="inlineStr"/>
    </row>
    <row r="3425">
      <c r="A3425" t="inlineStr">
        <is>
          <t>cbgj8v</t>
        </is>
      </c>
      <c r="B3425" t="inlineStr">
        <is>
          <t>Need ideas for birthday in a hospital</t>
        </is>
      </c>
      <c r="C3425" t="inlineStr">
        <is>
          <t>Hi everyone!
My younger brother was very recently diagnosed with leukemia (less than two weeks ago). He just started his first round of chemo and will be in the hospital until the end of July.
His birthday is on July 16th. He'll be finished with the round of chemo then but will be recovering from it still. He's turning 16 and I wanted to know what I could do for his birthday for him. 
I doubt he'll be able to leave the hospital so this all needs to be things I could bring to his room or into the hangout area. He's been in high spirits and still has energy so I think he'd be open to doing things. I have a bit of money I can spend but not a lot. However, I have a lot of time to put in some effort and hard work! 
Please throw out any ideas for what I can do! Or share your birthday surprises people have thrown! Thank you so much.</t>
        </is>
      </c>
      <c r="D3425" t="n">
        <v>13</v>
      </c>
      <c r="E3425" t="n">
        <v>9</v>
      </c>
      <c r="F3425">
        <f>HYPERLINK("https://www.reddit.com/r/cancer/comments/cbgj8v/need_ideas_for_birthday_in_a_hospital/")</f>
        <v/>
      </c>
      <c r="G3425" t="inlineStr">
        <is>
          <t>2019-07-10 06:11:48</t>
        </is>
      </c>
      <c r="H3425" t="inlineStr"/>
    </row>
    <row r="3426">
      <c r="A3426" t="inlineStr">
        <is>
          <t>cbheuq</t>
        </is>
      </c>
      <c r="B3426" t="inlineStr">
        <is>
          <t>I feel bitter when I shouldn’t</t>
        </is>
      </c>
      <c r="C3426" t="inlineStr">
        <is>
          <t>I had a wonderful district nurse that use to do home visits to do replace my surgical dressings and warned me after my cancer spread to the lungs not to feel bitter.
This was last year in June, and the cancer spread to my brain last year in September, and now the mets in my brain have gone, although I had another MRI this morning and I pray the mets haven’t returned. The mets in the lungs have also shrunk.
I should be thankful since my oncologist told me last year if I didn’t respond to the treatment well i could be dead in 3 months.
But boy do I feel bitter. I go on fb and see how everyone is enjoying a normal life. Work colleagues including women I find attractive hooking up with other men at work or outside of work, when I  know without the cancer I could woo them or girls similar attractiveness to them.
I’m not usually the jealous type. But it pisses me off that when women or friends say or why don’t you ask so and so out, when it’s obvious they won’t be interested since I’m the “cancer guy”.
Don’t get me wrong I have had some wonderful people like family friends and work colleagues be very supportive, but I’m sick of being lonely and just occasionally hooking up with damaged women on tinder for a one night stand.</t>
        </is>
      </c>
      <c r="D3426" t="n">
        <v>19</v>
      </c>
      <c r="E3426" t="n">
        <v>41</v>
      </c>
      <c r="F3426">
        <f>HYPERLINK("https://www.reddit.com/r/cancer/comments/cbheuq/i_feel_bitter_when_i_shouldnt/")</f>
        <v/>
      </c>
      <c r="G3426" t="inlineStr">
        <is>
          <t>2019-07-10 07:30:17</t>
        </is>
      </c>
      <c r="H3426" t="inlineStr"/>
    </row>
    <row r="3427">
      <c r="A3427" t="inlineStr">
        <is>
          <t>cbj63q</t>
        </is>
      </c>
      <c r="B3427" t="inlineStr">
        <is>
          <t>He won’t let me give up</t>
        </is>
      </c>
      <c r="C3427" t="inlineStr">
        <is>
          <t>Right now I have insurance that’s been covering almost all of my treatment. 
However there was a scare this morning a billing issue, that I was able to solve really quickly. Honestly my husband and I have been having problems and I don’t want to say they are routed in my sickness but I’m pretty sure he resents me for being sick and he’s basically been the sole financial provider for the past three years. With me having hereditary cancer this is a life long battle that keeps repeating. Most recently it has spread to my liver and lymphnodes near my pancreas. I am actually doing okay right now. However surgery isn’t really option again for me so chemotherapy shots is what I’m looking at. Which can run up to 16000 per shot at some point. If our insurance can’t cover it, we can’t afford it. I told my husband we just wouldn’t pursue treatment if that was the case. He got so angry with me. We have children and I don’t want to put a financial burden on my family. I already feel pretty useless. I’m sick beyond my cancer ( it’s caused by a genetic disorder) He then said something about getting a lawyer and forcing treatment on me. Is that possible? I’m still mentally competent? I’m in tears b/c this whole situation is shitty and If it comes to that I don’t want to leave a financial drag.</t>
        </is>
      </c>
      <c r="D3427" t="n">
        <v>12</v>
      </c>
      <c r="E3427" t="n">
        <v>2</v>
      </c>
      <c r="F3427">
        <f>HYPERLINK("https://www.reddit.com/r/cancer/comments/cbj63q/he_wont_let_me_give_up/")</f>
        <v/>
      </c>
      <c r="G3427" t="inlineStr">
        <is>
          <t>2019-07-10 09:51:04</t>
        </is>
      </c>
      <c r="H3427" t="inlineStr"/>
    </row>
    <row r="3428">
      <c r="A3428" t="inlineStr">
        <is>
          <t>cbkuyn</t>
        </is>
      </c>
      <c r="B3428" t="inlineStr">
        <is>
          <t>Wife is now 5 years past GBM diagnosis</t>
        </is>
      </c>
      <c r="C3428" t="inlineStr">
        <is>
          <t>I just wanted to share that my wife (31) is now 5 years past her original GBM diagnosis, which means she’s basically beyond any of the meaningful statistics out there for survival.
Obviously all of our family knows this, but beyond them and our closest friends, not many people even know she has cancer at all, which was why I wanted to share this with someone even if “anonymously”. We’ve tried to keep as “normal” of a life as we could this whole time. She even left her job a couple years ago, and we moved across the state, so that she could start a PhD program. 
She’s had 3 surgeries and 1 radio surgery treatment and is still thriving. 
Fuck cancer.</t>
        </is>
      </c>
      <c r="D3428" t="n">
        <v>98</v>
      </c>
      <c r="E3428" t="n">
        <v>17</v>
      </c>
      <c r="F3428">
        <f>HYPERLINK("https://www.reddit.com/r/cancer/comments/cbkuyn/wife_is_now_5_years_past_gbm_diagnosis/")</f>
        <v/>
      </c>
      <c r="G3428" t="inlineStr">
        <is>
          <t>2019-07-10 12:00:47</t>
        </is>
      </c>
      <c r="H3428" t="inlineStr"/>
    </row>
    <row r="3429">
      <c r="A3429" t="inlineStr">
        <is>
          <t>cbkxaq</t>
        </is>
      </c>
      <c r="B3429" t="inlineStr">
        <is>
          <t>GBM Patient Action Charter survey; please take before July 11 (for Glioblastoma Awareness Day)</t>
        </is>
      </c>
      <c r="C3429" t="inlineStr">
        <is>
          <t>The first GBM Awareness Day — July 17, 2019 — is an day to honor those we’ve lost to GBM and a call to action to help people living with the disease. The non-profit OurBrainBank wants to know what YOU think needs to change. Please complete our survey by July 10. We'll hand-deliver the results to Capitol Hill. 
https://forms.gle/P5CFu1cgHT95KfzU8 
&amp;amp;#x200B;
Once you complete the survey, you can view results, lots of good write-in ideas. #GBMDay #GBM #glioblastoma</t>
        </is>
      </c>
      <c r="D3429" t="n">
        <v>4</v>
      </c>
      <c r="E3429" t="n">
        <v>1</v>
      </c>
      <c r="F3429">
        <f>HYPERLINK("https://www.reddit.com/r/cancer/comments/cbkxaq/gbm_patient_action_charter_survey_please_take/")</f>
        <v/>
      </c>
      <c r="G3429" t="inlineStr">
        <is>
          <t>2019-07-10 12:05:28</t>
        </is>
      </c>
      <c r="H3429" t="inlineStr"/>
    </row>
    <row r="3430">
      <c r="A3430" t="inlineStr">
        <is>
          <t>cbl8dm</t>
        </is>
      </c>
      <c r="B3430" t="inlineStr">
        <is>
          <t>I need help asking FIL for memories for future</t>
        </is>
      </c>
      <c r="C3430" t="inlineStr">
        <is>
          <t>We were just told my FIL has a couple of months left. I want to ask him if I can help him write notes, make videos, or even record some book readings to help my wife and his wife for after he passes.
I want to stay respectful, how should I approach this? We have a pretty good relationship, but I dont know if I should be the one to help him with this.
Anyone have experience with this sort of thing? Maybe ideas on what we can work on together before he passes so we have some words and memories for after he passes. I was hoping to do some of these things while he still has some energy.</t>
        </is>
      </c>
      <c r="D3430" t="n">
        <v>1</v>
      </c>
      <c r="E3430" t="n">
        <v>4</v>
      </c>
      <c r="F3430">
        <f>HYPERLINK("https://www.reddit.com/r/cancer/comments/cbl8dm/i_need_help_asking_fil_for_memories_for_future/")</f>
        <v/>
      </c>
      <c r="G3430" t="inlineStr">
        <is>
          <t>2019-07-10 12:29:09</t>
        </is>
      </c>
      <c r="H3430" t="inlineStr"/>
    </row>
    <row r="3431">
      <c r="A3431" t="inlineStr">
        <is>
          <t>cblknt</t>
        </is>
      </c>
      <c r="B3431" t="inlineStr">
        <is>
          <t>In College, Mom diagnosed with cancer. Shocked, conflicted, and emotionally drained...:/</t>
        </is>
      </c>
      <c r="C3431" t="inlineStr">
        <is>
          <t xml:space="preserve"> 
Hi Reddit, I never thought I’d be posting this, but my mother was recent diagnosed with stage 2/3 Multiple Myeloma. I’m completely shocked, as she was very healthy only less than a year ago. Both my parents tried to keep her diagnoses away from me as much as possible, but I found out after overhearing the conversation in the ER when I had to take her for a bad nosebleed. My dad told me they both wanted me to focus on finals this week and enjoy my Europe trip next week. However, I did find out. 
I’m a 20 YO college student emerging into junior year. I can’t seem to focus on school or really anything as much as I want to. I was so passionate about living it up in my 20s. I had everything planned. I feel SO guilty for wanting to live my life as planned (I’m an insanely passionate person of learning and traveling). I hope no one thinks I’m selfish. I love my mom and want to care for her but at the same time I am scared of the emotional impact it will have when the time comes where she needs to be heavily cared for after a autologous stem cell transplant as this is already very hard even DEALING with knowing she has a horrible disease. 
I feel so numb, conflicted, and hurt. My dad (unintentionally I believe, as asian dads can have an interesting way with words…) kinda guilt tripped me the other day and said it would show a lot about my character if I didn’t quit my job and help care for her. However, I expressed that I firmly believe I could handle both and I would need a balance in my life. I love working, it helps me feel productive and set goals. BUT I love my mum too, and I know she wants me to be happy. 
&amp;amp;#x200B;
Has any other young adult/college student been through this? Do you guys have any advice? How did you find a balance, focus on school? Did you still enjoy life? I’m very lost and traumatized tbh. Thankful for any advice. :(</t>
        </is>
      </c>
      <c r="D3431" t="n">
        <v>3</v>
      </c>
      <c r="E3431" t="n">
        <v>6</v>
      </c>
      <c r="F3431">
        <f>HYPERLINK("https://www.reddit.com/r/cancer/comments/cblknt/in_college_mom_diagnosed_with_cancer_shocked/")</f>
        <v/>
      </c>
      <c r="G3431" t="inlineStr">
        <is>
          <t>2019-07-10 12:55:20</t>
        </is>
      </c>
      <c r="H3431" t="inlineStr"/>
    </row>
    <row r="3432">
      <c r="A3432" t="inlineStr">
        <is>
          <t>cbmmk9</t>
        </is>
      </c>
      <c r="B3432" t="inlineStr">
        <is>
          <t>Had conflicting prognosis from radiation specialist and oncologist. Who would be more knowledgeable?</t>
        </is>
      </c>
      <c r="C3432" t="inlineStr">
        <is>
          <t>Hello,
My mother has stage 4 breast cancer that has spread to certain areas. Her original prognosis from her oncologist was 1-2 years. This was in August 2018 before treatment. She had 6 main chemo treatments to help shrink it and it worked successfully and by Jan. 2019, the doctor considered it in remission and believed they could maintain this size woth treatment every 4weeks.
However in between this, in December she had one radiation treatment in her hip area bc cancer spread there. The radiation doctor said my mother had roughly a year left.
I learned bout both these prognosis this week bc my dad accidentally let it slip. (They were trying to hide it)
Last month when he had a appt with my mother's primary oncologist, she stayed the same thing bout they can manage it for years and her results were all really positive.
My question is, who would be more knowledgeable and do radiation doctors ever offer a prognosis? It just feels odd to me there two different prognosis.
Any information would be greatly appreciated</t>
        </is>
      </c>
      <c r="D3432" t="n">
        <v>3</v>
      </c>
      <c r="E3432" t="n">
        <v>6</v>
      </c>
      <c r="F3432">
        <f>HYPERLINK("https://www.reddit.com/r/cancer/comments/cbmmk9/had_conflicting_prognosis_from_radiation/")</f>
        <v/>
      </c>
      <c r="G3432" t="inlineStr">
        <is>
          <t>2019-07-10 14:19:30</t>
        </is>
      </c>
      <c r="H3432" t="inlineStr"/>
    </row>
    <row r="3433">
      <c r="A3433" t="inlineStr">
        <is>
          <t>cbo8am</t>
        </is>
      </c>
      <c r="B3433" t="inlineStr">
        <is>
          <t>Props to all who are having to manage their care team and treatment</t>
        </is>
      </c>
      <c r="C3433" t="inlineStr">
        <is>
          <t>Getting things scheduled between my care team, insurance, and pharmacy can be such a hassle. The people are nice enough, but they often seem so confused as to why I'm calling and assure me that things will be taken care of. Not like I haven't been dealing with this for over two years now... I swear to god I'm gonna lose it if I hear another "just leave a message and we'll get back to you" or "we'll follow up with you tomorrow." It's been three weeks now without my medication and I needed to schedule my imaging two weeks ago.     
Rant over. Just wanna encourage anyone dealing with the same shit to hang in there and applaud anyone who's had to deal with this in the past. They may find me annoying but I've had too many issues with the system to trust it.</t>
        </is>
      </c>
      <c r="D3433" t="n">
        <v>13</v>
      </c>
      <c r="E3433" t="n">
        <v>4</v>
      </c>
      <c r="F3433">
        <f>HYPERLINK("https://www.reddit.com/r/cancer/comments/cbo8am/props_to_all_who_are_having_to_manage_their_care/")</f>
        <v/>
      </c>
      <c r="G3433" t="inlineStr">
        <is>
          <t>2019-07-10 16:35:24</t>
        </is>
      </c>
      <c r="H3433" t="inlineStr"/>
    </row>
    <row r="3434">
      <c r="A3434" t="inlineStr">
        <is>
          <t>cbp34l</t>
        </is>
      </c>
      <c r="B3434" t="inlineStr">
        <is>
          <t>Can I cut down on the time it takes to get a diagnosis?</t>
        </is>
      </c>
      <c r="C3434" t="inlineStr">
        <is>
          <t>I have a large, hard lump on my arm that I'm worried could be a soft tissue sarcoma. It's been about a month since I first went to my GP about it and I have no more answers than I had before. I've had a CT and it didn't tell us anything, so she's ordered an ultrasound. I just really feel like I'm wasting time and it's driving me insane. Can I go straight to an oncologist? I tried calling one and they were really rude and told me I need a referral. I understand people probably freak out and think they have cancer all the time, but I can find no other explanation for what this is. And I don't want a general surgeon cutting on it without knowing what it is. I just don't know if I should wait and trust my GP or if I should try to skip some steps and go straight to an oncologist.</t>
        </is>
      </c>
      <c r="D3434" t="n">
        <v>5</v>
      </c>
      <c r="E3434" t="n">
        <v>18</v>
      </c>
      <c r="F3434">
        <f>HYPERLINK("https://www.reddit.com/r/cancer/comments/cbp34l/can_i_cut_down_on_the_time_it_takes_to_get_a/")</f>
        <v/>
      </c>
      <c r="G3434" t="inlineStr">
        <is>
          <t>2019-07-10 17:52:55</t>
        </is>
      </c>
      <c r="H3434" t="inlineStr"/>
    </row>
    <row r="3435">
      <c r="A3435" t="inlineStr">
        <is>
          <t>cbp4z3</t>
        </is>
      </c>
      <c r="B3435" t="inlineStr">
        <is>
          <t>Pancreatic cancer: what is you experience with first round chemo?</t>
        </is>
      </c>
      <c r="C3435" t="inlineStr">
        <is>
          <t>Hi there. My brother has recently been diagnosed with pancreatic cancer. He is a 48 yr old brand new first time dad and has previously undergone a whipped procedure. Unfortunately there weren't able to get out the cancer so he will start chemo on the 16th. Any ideas what to expect and how I can support him. He's my only blood relative and I'm terrified. I can't bear the thought of him not taking his daughter to her first day of school, or parties...christmas when she really " gets" it and the excitement that follows...u get my drift. Much appreciated. I'm an ex nurse so I'll understand any technical terms ( I hope!)</t>
        </is>
      </c>
      <c r="D3435" t="n">
        <v>2</v>
      </c>
      <c r="E3435" t="n">
        <v>5</v>
      </c>
      <c r="F3435">
        <f>HYPERLINK("https://www.reddit.com/r/cancer/comments/cbp4z3/pancreatic_cancer_what_is_you_experience_with/")</f>
        <v/>
      </c>
      <c r="G3435" t="inlineStr">
        <is>
          <t>2019-07-10 17:57:44</t>
        </is>
      </c>
      <c r="H3435" t="inlineStr"/>
    </row>
    <row r="3436">
      <c r="A3436" t="inlineStr">
        <is>
          <t>cbqm86</t>
        </is>
      </c>
      <c r="B3436" t="inlineStr">
        <is>
          <t>Looking to understand diagnosis a little better</t>
        </is>
      </c>
      <c r="C3436" t="inlineStr">
        <is>
          <t>I feel bad asking a million questions to my partner. He already has to deal with it head on. Me asking questions probably doesn’t help. 
This is his second time having cancer. His cancer was in his stomach I believe the first time. 
I’m scared, confused, angry and everything else in between. 
He found out his cancer had metastasized from his stomach, to his small intestine, to his colon (I could be getting this wrong). The doctors said it’s stage two, but end stage cancer. They also said it’s aggressive. His pain has been increasing at a shockingly fast rate in the last week. He also now has a bruise on his stomach, I assume from the cancer. 
What does that mean exactly? He starts chemo again next week. I don’t know how to act. I don’t want to ask “how does this look?” but how does this look?
I’ve never dealt with cancer directly like this before. Thank you.</t>
        </is>
      </c>
      <c r="D3436" t="n">
        <v>10</v>
      </c>
      <c r="E3436" t="n">
        <v>8</v>
      </c>
      <c r="F3436">
        <f>HYPERLINK("https://www.reddit.com/r/cancer/comments/cbqm86/looking_to_understand_diagnosis_a_little_better/")</f>
        <v/>
      </c>
      <c r="G3436" t="inlineStr">
        <is>
          <t>2019-07-10 20:21:22</t>
        </is>
      </c>
      <c r="H3436" t="inlineStr"/>
    </row>
    <row r="3437">
      <c r="A3437" t="inlineStr">
        <is>
          <t>cbr2js</t>
        </is>
      </c>
      <c r="B3437" t="inlineStr">
        <is>
          <t>Friend diagnosed with extranodal T-cell lymphoma last week. It has grown insanely quickly and he (as well as everyone who loves him) is totally blindsided and disoriented by all this. Just reaching out to ask WTF can I do?</t>
        </is>
      </c>
      <c r="C3437" t="inlineStr">
        <is>
          <t>Title kind of says it all, but I'm just looking for advice on how to best be there for him through all of this. I won't know super-specific details til Friday, but as far as I know so far, it's not looking great. The shit happened so quickly that not only is he completely confused and unable to process what's happening, all of us (friends/family) are at a complete loss as to what we can do for him besides give rides to appointments and crack jokes at inappropriate times.
Has anyone here had any experience with this type of lymphoma? I know the prognosis isn't great, but what can we do to help or to make him emotionally prepared for the battle ahead? 
Also (and I know this sounds like fishing for support but whatever) is it selfish of me to be an emotional wreck right now? I'm close to the guy, but not nearly as close or with as much history as some other folks in our circle and I feel kind of shitty that I'm this fucked up over it. I just don't want to lose the dude, and I don't want his daughters to lose their dad, and I know that's a very real possibility. Is it normal to feel it this hard for a friend I've only known for about yeo years? And most importantly, what the fuck can I/we do to help make this not suck *as* bad for our buddy?</t>
        </is>
      </c>
      <c r="D3437" t="n">
        <v>2</v>
      </c>
      <c r="E3437" t="n">
        <v>1</v>
      </c>
      <c r="F3437">
        <f>HYPERLINK("https://www.reddit.com/r/cancer/comments/cbr2js/friend_diagnosed_with_extranodal_tcell_lymphoma/")</f>
        <v/>
      </c>
      <c r="G3437" t="inlineStr">
        <is>
          <t>2019-07-10 21:08:32</t>
        </is>
      </c>
      <c r="H3437" t="inlineStr"/>
    </row>
    <row r="3438">
      <c r="A3438" t="inlineStr">
        <is>
          <t>cbr801</t>
        </is>
      </c>
      <c r="B3438" t="inlineStr">
        <is>
          <t>As of today I'm officially now in remission!!</t>
        </is>
      </c>
      <c r="C3438" t="inlineStr">
        <is>
          <t>I had a CT scan done last week and as of today,my oncologist told me the cancer is gone! I was diagnosed with a rare cancer called "Histiocytic Sarcoma" (stage 4) back in January this year, I've had 3 rounds of chemo so far. My oncologist wants to do 2 more rounds of chemo to make sure any remaining cancer cells are eradicated (even though my scan showed no more tumors) . Very happy to receive such great news!</t>
        </is>
      </c>
      <c r="D3438" t="n">
        <v>139</v>
      </c>
      <c r="E3438" t="n">
        <v>19</v>
      </c>
      <c r="F3438">
        <f>HYPERLINK("https://www.reddit.com/r/cancer/comments/cbr801/as_of_today_im_officially_now_in_remission/")</f>
        <v/>
      </c>
      <c r="G3438" t="inlineStr">
        <is>
          <t>2019-07-10 21:24:28</t>
        </is>
      </c>
      <c r="H3438" t="inlineStr"/>
    </row>
    <row r="3439">
      <c r="A3439" t="inlineStr">
        <is>
          <t>cbrahg</t>
        </is>
      </c>
      <c r="B3439" t="inlineStr">
        <is>
          <t>Is a month too long to wait for prostate biopsy?</t>
        </is>
      </c>
      <c r="C3439" t="inlineStr">
        <is>
          <t>So prostate cancer runs in my family- my paternal grandfather died of it, and one of my paternal uncles had it successfully treated. My father (68) recently had two PSA tests within 3 weeks of each other. The first measured 15 ng/mL, but he was getting over being sick so they decided to wait to see if it decreased. It got better, and lo and behold the PSA was 18 ng/mL. 3 units in 3 weeks. Digital exam was normal though. His PSA screenings had been within normal ranges in the past, but as far as I know he hasn't had one in 2 or 3 years. Anyhow, the earliest they claimed they could do the biopsy was around a month after the test. I know the PSA levels aren't as high as some I've seen, but I'm still concerned, especially due to the apparent rate of increase and family history. Should we try to get an earlier appointment or am I worrying excessively?</t>
        </is>
      </c>
      <c r="D3439" t="n">
        <v>1</v>
      </c>
      <c r="E3439" t="n">
        <v>0</v>
      </c>
      <c r="F3439">
        <f>HYPERLINK("https://www.reddit.com/r/cancer/comments/cbrahg/is_a_month_too_long_to_wait_for_prostate_biopsy/")</f>
        <v/>
      </c>
      <c r="G3439" t="inlineStr">
        <is>
          <t>2019-07-10 21:32:00</t>
        </is>
      </c>
      <c r="H3439" t="inlineStr"/>
    </row>
    <row r="3440">
      <c r="A3440" t="inlineStr">
        <is>
          <t>cbrf2n</t>
        </is>
      </c>
      <c r="B3440" t="inlineStr">
        <is>
          <t>First CT since lobectomy is next week</t>
        </is>
      </c>
      <c r="C3440" t="inlineStr">
        <is>
          <t>I'm coming up on 6 months since my lobectomy (and resulting sepsis, and decortication) for Stage IIIb Neuroendocrine Carcinoid lung tumor, and I have my first follow-up CT in a week. The surgeon thinks he got everything in the lobectomy. They took most of my left lung in the procedure, and the type of cancer I have is generally slow growing. So I have that going for me. But damn, as the day gets closer for my CT, I find my anxiety growing. I don't really have much to say other than I forgot how much waiting sucks, and although I haven't posted much, I do still follow along and read posts here regularly, and I hope you are all doing well in your fight.</t>
        </is>
      </c>
      <c r="D3440" t="n">
        <v>3</v>
      </c>
      <c r="E3440" t="n">
        <v>5</v>
      </c>
      <c r="F3440">
        <f>HYPERLINK("https://www.reddit.com/r/cancer/comments/cbrf2n/first_ct_since_lobectomy_is_next_week/")</f>
        <v/>
      </c>
      <c r="G3440" t="inlineStr">
        <is>
          <t>2019-07-10 21:46:11</t>
        </is>
      </c>
      <c r="H3440" t="inlineStr"/>
    </row>
    <row r="3441">
      <c r="A3441" t="inlineStr">
        <is>
          <t>cbsd1i</t>
        </is>
      </c>
      <c r="B3441" t="inlineStr">
        <is>
          <t>Is a month too long to wait for prostate biopsy?</t>
        </is>
      </c>
      <c r="C3441" t="inlineStr">
        <is>
          <t>So prostate cancer runs in my family- my paternal grandfather died of it, and one of my paternal uncles had it successfully treated. My dad (68) recently had two PSA tests within 3 weeks of each other. The first measured 15 ng/mL, but he was getting over being sick so they decided to wait to see if it decreased. He recovered, but lo and behold the PSA was 18 ng/mL. 3 units in 3 weeks. Digital exam was normal though. His PSA screenings had been within normal ranges in the past, but as far as I know he hasn't had one in 2 or 3 years. Anyhow, the earliest they claimed they could do the biopsy was around a month after the test. I know the PSA levels aren't as high as some I've seen, but I'm still concerned, especially due to the apparently rapid rate of increase and family history. Should we try to get an earlier appointment or am I worrying excessively?</t>
        </is>
      </c>
      <c r="D3441" t="n">
        <v>4</v>
      </c>
      <c r="E3441" t="n">
        <v>1</v>
      </c>
      <c r="F3441">
        <f>HYPERLINK("https://www.reddit.com/r/cancer/comments/cbsd1i/is_a_month_too_long_to_wait_for_prostate_biopsy/")</f>
        <v/>
      </c>
      <c r="G3441" t="inlineStr">
        <is>
          <t>2019-07-10 23:35:44</t>
        </is>
      </c>
      <c r="H3441" t="inlineStr"/>
    </row>
    <row r="3442">
      <c r="A3442" t="inlineStr">
        <is>
          <t>cbv1x6</t>
        </is>
      </c>
      <c r="B3442" t="inlineStr">
        <is>
          <t>I don't know how to feel</t>
        </is>
      </c>
      <c r="C3442" t="inlineStr">
        <is>
          <t>Hello folks. Excuse me if I make any mistakes, English is not my native language. 
I'm 22 and I got diagnosed with Morbus Hodgkin about 3 months ago. It's a stage 2b iirc (lymphnodes only on one side affected but with symptoms). 
My whole world shattered on that day. I had just started my apprenticeship (can't go back to that company because of my illness), moved to a new flat... Basically started my own life. 
I started soon with chemotherapy. And according to my doctor it works. But I'm afraid. I nearly died last month because of a (normally) minor infection. I needed a blood transfusion. I have to take so many antibiotics. I'm in pain nearly all the time. My doctor and the nurses know this and they're doing their best to make it as endurable as possible for me. (Really, they're great.) 
I'm afraid to die. Maybe I won't die this time but what if the cancer comes back? What if I get another one? I'm so fucking young. I haven't lived my life yet. Haven't done nearly half as much as I want to. 
Chemotherapy can cause harm to ovules. Maybe i can never have healthy children. 
I don't know what to do. I just want to be a 'normal' 22 year old girl, living a normal life. 
Thank you for listening to me.</t>
        </is>
      </c>
      <c r="D3442" t="n">
        <v>10</v>
      </c>
      <c r="E3442" t="n">
        <v>6</v>
      </c>
      <c r="F3442">
        <f>HYPERLINK("https://www.reddit.com/r/cancer/comments/cbv1x6/i_dont_know_how_to_feel/")</f>
        <v/>
      </c>
      <c r="G3442" t="inlineStr">
        <is>
          <t>2019-07-11 05:16:03</t>
        </is>
      </c>
      <c r="H3442" t="inlineStr"/>
    </row>
    <row r="3443">
      <c r="A3443" t="inlineStr">
        <is>
          <t>cbv4x6</t>
        </is>
      </c>
      <c r="B3443" t="inlineStr">
        <is>
          <t>Pancreatic Cancer Epidemiology Analysis by Stage, Sex &amp;amp; Age Group</t>
        </is>
      </c>
      <c r="C3443" t="inlineStr">
        <is>
          <t>Pancreatic cancer is defined as the development of tumor and uncontrolled growth of cells in the pancreas. There are mainly two different types of pancreatic cancer: exocrine and endocrine, depending upon the part of pancreas affected. Some of the risk factors associated with pancreatic cancer include environmental toxins; hereditary factors; age; gender; and lifestyle factors, such as smoking, excess weight, and high consumption of alcohol. The disease is observed to be one of the most challenging cancers, as it has poor prognosis and does not show any signs or symptoms until the patient has reached the advanced stage.
**Download the research sample at:** [**https://www.pharmaproff.com/request-sample/1235**](https://www.pharmaproff.com/request-sample/1235)
In general, advanced pancreatic cancer can present symptoms like nausea, vomiting, weight loss, jaundice, bloating, abdominal pain, and dyspepsia. Moreover, 70% of patients present diabetes mellitus, with a history of less than two years. In addition, poor prognosis of pancreatic cancer is attributed to the high incidence of metastasis, leading to the aggressive form of the disease combined with limited efficacy of systemic treatments.
&amp;amp;#x200B;
The epidemiology study suggests that men are comparatively at higher risk of developing pancreatic cancer due to increased consumption of alcohol and smoking. Another risk factor associated with pancreatic cancer is age. It has been observed that maximum number of incident cases of this disease occur in the 75-85 age group.
According to the research findings, the global incidence of pancreatic cancer has increased substantially in the past decade. It is currently ranked as the 13th leading cause of cancer and is further on its way to become the fourth-leading cause of cancer related deaths in the U.S. by 2020.
The incidence of pancreatic cancer is primarily driven by two factors - age and smoking. This disease is more common in elderly patients and people who smoke. Some research studies have also shown an increased incidence of this disease in patients suffering from diabetes or chronic pancreatitis.
The U.S. reported the highest number of incident cases amongst the seven major markets (7MM), followed by Japan during the period 2016-2028. Moreover, Germany is estimated to have the highest number of incidence cases, while Spain is anticipated to have the lowest number of cases amongst the European Union five (EU5) countries (i.e. U.K., France, Germany, Italy, and Spain).
The report provides detailed overview of pancreatic cancer, highlighting the causes, risk factors, classification, prognosis, pathophysiology, unmet medical needs, diagnosis, treatment options, and treatment algorithm for this disease. The report also provides comprehensive insights into trends of pancreatic cancer in the 7MM. Moreover, pancreatic cancer incidence for historical and forecasted periods has been analyzed in-depth and is further segmented into age-specific, sex- specific, and stage-specific data.</t>
        </is>
      </c>
      <c r="D3443" t="n">
        <v>3</v>
      </c>
      <c r="E3443" t="n">
        <v>0</v>
      </c>
      <c r="F3443">
        <f>HYPERLINK("https://www.reddit.com/r/cancer/comments/cbv4x6/pancreatic_cancer_epidemiology_analysis_by_stage/")</f>
        <v/>
      </c>
      <c r="G3443" t="inlineStr">
        <is>
          <t>2019-07-11 05:25:27</t>
        </is>
      </c>
      <c r="H3443" t="inlineStr"/>
    </row>
    <row r="3444">
      <c r="A3444" t="inlineStr">
        <is>
          <t>cbvnbd</t>
        </is>
      </c>
      <c r="B3444" t="inlineStr">
        <is>
          <t>Stage IV Colon Cancer w/Mets looking good</t>
        </is>
      </c>
      <c r="C3444" t="inlineStr">
        <is>
          <t>I got my latest MRI and Artie the A$$ Tumor is shrinking.  Good job him because now he can have radiation and surgery.
I haven't got my latest CT Scan back but hopefully, Larry the Liver and his Tumor Daryll, his other Tumor Daryll and the rest of the Darylls are doing as well. Then I just have to grow another liver but how hard can that be?
Other than the cancer bit I am amazed at the medicine. 3 months ago I figured I was dead with Stage IV now they want to cure me. I really hope they get what they want.
I am also amazed at how many people I have met that have had cancer and are walking around. Fingers crossed we all get to be like them.
Sending everyone positive vibes today.</t>
        </is>
      </c>
      <c r="D3444" t="n">
        <v>93</v>
      </c>
      <c r="E3444" t="n">
        <v>26</v>
      </c>
      <c r="F3444">
        <f>HYPERLINK("https://www.reddit.com/r/cancer/comments/cbvnbd/stage_iv_colon_cancer_wmets_looking_good/")</f>
        <v/>
      </c>
      <c r="G3444" t="inlineStr">
        <is>
          <t>2019-07-11 06:22:02</t>
        </is>
      </c>
      <c r="H3444" t="inlineStr"/>
    </row>
    <row r="3445">
      <c r="A3445" t="inlineStr">
        <is>
          <t>cbvz5q</t>
        </is>
      </c>
      <c r="B3445" t="inlineStr">
        <is>
          <t>Bowel cancer from start to finish - what to expect?</t>
        </is>
      </c>
      <c r="C3445" t="inlineStr">
        <is>
          <t>A close family member recently got diagnosed with Stage 2 colon cancer. For several reasons that I don't wish to discuss here, they declined any form of treatment other than symptom relief. Given this, progression to more advanced stages and death seems inevitable.   
My question is: what can we expect? What do the various stages look like, with regards to symptoms? What kind of symptom relief is there? How long from beginning to end?
Thanks in advance!
PS Apologies if this question doesn't belong here. I also posted to /r/AskDoctor, but that sub seems to be on the sleepy side. I don't know where else to go.</t>
        </is>
      </c>
      <c r="D3445" t="n">
        <v>3</v>
      </c>
      <c r="E3445" t="n">
        <v>6</v>
      </c>
      <c r="F3445">
        <f>HYPERLINK("https://www.reddit.com/r/cancer/comments/cbvz5q/bowel_cancer_from_start_to_finish_what_to_expect/")</f>
        <v/>
      </c>
      <c r="G3445" t="inlineStr">
        <is>
          <t>2019-07-11 07:00:47</t>
        </is>
      </c>
      <c r="H3445" t="inlineStr"/>
    </row>
    <row r="3446">
      <c r="A3446" t="inlineStr">
        <is>
          <t>cbw681</t>
        </is>
      </c>
      <c r="B3446" t="inlineStr">
        <is>
          <t>Cancer on Resume?</t>
        </is>
      </c>
      <c r="C3446" t="inlineStr">
        <is>
          <t>How do i explain gap 2016-present, fighting breast cancer (S3)??  "personal issues" = shorthand for addiction or whatever speculation. Didnt volunteer, take career classes, travel: i was sick and getting well.  Frustrated, angry about this, but i need a job$, so how to Spin Doctor this?  Thx for yr help.</t>
        </is>
      </c>
      <c r="D3446" t="n">
        <v>4</v>
      </c>
      <c r="E3446" t="n">
        <v>6</v>
      </c>
      <c r="F3446">
        <f>HYPERLINK("https://www.reddit.com/r/cancer/comments/cbw681/cancer_on_resume/")</f>
        <v/>
      </c>
      <c r="G3446" t="inlineStr">
        <is>
          <t>2019-07-11 07:22:10</t>
        </is>
      </c>
      <c r="H3446" t="inlineStr"/>
    </row>
    <row r="3447">
      <c r="A3447" t="inlineStr">
        <is>
          <t>cbwa85</t>
        </is>
      </c>
      <c r="B3447" t="inlineStr">
        <is>
          <t>Did any of you have your chemo start date purposely withheld by your oncologist “for your own good”?</t>
        </is>
      </c>
      <c r="C3447" t="inlineStr">
        <is>
          <t>Is it common practice for an oncologist to purposely withhold the chemo start date and suddenly blindside the patient the day of chemo? My mom went in yesterday for what she was told would be to do bloodwork and to touch base with her oncologist. She had previously been given the projected start date of July 29th. She did the bloodwork, then her oncologist told her she was going next door to start chemo. She was shocked and said no one told her she was starting chemo today, and the nurse told her the oncologist likes it that way. He thinks it’s better not to give the patient time to stress too much about it. I, however, think that’s in poor taste. My mom was just not mentally prepared and became a nervous wreck (I hid in the bathroom and cried after seeing her so upset), but the nurse assured us most doctors choose to do it this way. I have a hard time believing that, and I thought this would be the place to go for clarification. 
Not to mention, my brother took vacation time from work to come visit my mom before she started chemo. He arrived last night. My mom will be in chemo all day again today, and most likely she will be feeling pretty shitty the rest of his visit (he leaves Monday morning). My brother has three young boys, so my Mom will not be getting much peace and quite around her house. My brother was already on the road when he found out my Mom was starting chemo. From a practical standpoint, it just doesn’t seem logical to me to not give someone a heads-up.</t>
        </is>
      </c>
      <c r="D3447" t="n">
        <v>9</v>
      </c>
      <c r="E3447" t="n">
        <v>25</v>
      </c>
      <c r="F3447">
        <f>HYPERLINK("https://www.reddit.com/r/cancer/comments/cbwa85/did_any_of_you_have_your_chemo_start_date/")</f>
        <v/>
      </c>
      <c r="G3447" t="inlineStr">
        <is>
          <t>2019-07-11 07:34:38</t>
        </is>
      </c>
      <c r="H3447" t="inlineStr"/>
    </row>
    <row r="3448">
      <c r="A3448" t="inlineStr">
        <is>
          <t>cbx6h4</t>
        </is>
      </c>
      <c r="B3448" t="inlineStr">
        <is>
          <t>Port removal as inpatient or outpatient procedure?</t>
        </is>
      </c>
      <c r="C3448" t="inlineStr">
        <is>
          <t>I'm on my second to last treatment and found out that I am to keep my port in for another year as a just in case. Dr. said I should be put under for port removal, though surgeon says it will be done in his office while awake. Is this normal? It's sounds horrifying to be alert during this procedure (also do not recommend watching videos on YouTube about it). 🤢
What has been your experience with port removal? We're you put under or was it done while awake?</t>
        </is>
      </c>
      <c r="D3448" t="n">
        <v>4</v>
      </c>
      <c r="E3448" t="n">
        <v>10</v>
      </c>
      <c r="F3448">
        <f>HYPERLINK("https://www.reddit.com/r/cancer/comments/cbx6h4/port_removal_as_inpatient_or_outpatient_procedure/")</f>
        <v/>
      </c>
      <c r="G3448" t="inlineStr">
        <is>
          <t>2019-07-11 08:48:15</t>
        </is>
      </c>
      <c r="H3448" t="inlineStr"/>
    </row>
    <row r="3449">
      <c r="A3449" t="inlineStr">
        <is>
          <t>cbyofl</t>
        </is>
      </c>
      <c r="B3449" t="inlineStr">
        <is>
          <t>Is anyone else upset that you didn't get any super powers after radiation?</t>
        </is>
      </c>
      <c r="C3449" t="inlineStr">
        <is>
          <t>Just saying, it only seems fair...</t>
        </is>
      </c>
      <c r="D3449" t="n">
        <v>125</v>
      </c>
      <c r="E3449" t="n">
        <v>41</v>
      </c>
      <c r="F3449">
        <f>HYPERLINK("https://www.reddit.com/r/cancer/comments/cbyofl/is_anyone_else_upset_that_you_didnt_get_any_super/")</f>
        <v/>
      </c>
      <c r="G3449" t="inlineStr">
        <is>
          <t>2019-07-11 10:42:28</t>
        </is>
      </c>
      <c r="H3449" t="inlineStr"/>
    </row>
    <row r="3450">
      <c r="A3450" t="inlineStr">
        <is>
          <t>cbyx39</t>
        </is>
      </c>
      <c r="B3450" t="inlineStr">
        <is>
          <t>Just got the hospital bill for surgery.</t>
        </is>
      </c>
      <c r="C3450" t="inlineStr">
        <is>
          <t>Let me start by saying that I am so grateful that my husband's job gives us good health insurance. And I hope, *sincerely*, that people with cancer who don't have health insurance or who have substandard health insurance have some financial help available through charities or foundations.
So I had a lobe removed and stayed in the hospital for a total of 5 days. The bill was approx $121,000. I am in the U.S. Now I know that amount would be less if I didn't have insurance, but it would probably still be around $80,000. Point is, how does somebody without insurance come up with $80,000 for one surgery?
These numbers are shocking. Mind you, I've had no other treatment. I do not need chemo or any other therapy. I can't imagine what the bills would be for somebody who requires further treatment beyond surgery.</t>
        </is>
      </c>
      <c r="D3450" t="n">
        <v>6</v>
      </c>
      <c r="E3450" t="n">
        <v>28</v>
      </c>
      <c r="F3450">
        <f>HYPERLINK("https://www.reddit.com/r/cancer/comments/cbyx39/just_got_the_hospital_bill_for_surgery/")</f>
        <v/>
      </c>
      <c r="G3450" t="inlineStr">
        <is>
          <t>2019-07-11 11:01:05</t>
        </is>
      </c>
      <c r="H3450" t="inlineStr"/>
    </row>
    <row r="3451">
      <c r="A3451" t="inlineStr">
        <is>
          <t>cbzkyb</t>
        </is>
      </c>
      <c r="B3451" t="inlineStr">
        <is>
          <t>Looking for a comprehensive yet definitive textbook on cancer</t>
        </is>
      </c>
      <c r="C3451" t="inlineStr">
        <is>
          <t>Any suggestions? All are welcome</t>
        </is>
      </c>
      <c r="D3451" t="n">
        <v>1</v>
      </c>
      <c r="E3451" t="n">
        <v>0</v>
      </c>
      <c r="F3451">
        <f>HYPERLINK("https://www.reddit.com/r/cancer/comments/cbzkyb/looking_for_a_comprehensive_yet_definitive/")</f>
        <v/>
      </c>
      <c r="G3451" t="inlineStr">
        <is>
          <t>2019-07-11 11:51:36</t>
        </is>
      </c>
      <c r="H3451" t="inlineStr"/>
    </row>
    <row r="3452">
      <c r="A3452" t="inlineStr">
        <is>
          <t>cbzxts</t>
        </is>
      </c>
      <c r="B3452" t="inlineStr">
        <is>
          <t>Here we are at the end. My mom is entering hospice this afternoon.</t>
        </is>
      </c>
      <c r="C3452" t="inlineStr">
        <is>
          <t>She has MBC. She’s been alive with it almost 5 years which is incredible. 
My brothers and I (and we’ll, everyone) have only known she was sick for almost exactly a month. Her and my dad hid it from everyone. She didn’t want to be mourned before she was gone. She wanted to live out the rest of her life with her husband. And she did. 
When we found out a month ago that she had cancer again but was terminal this time she had been stable for 15 months. She was sure she would be around for Christmas. She was sure she had a lot of life left. We thought we had more time. 
She’s been in the hospital since last Monday with a bowel obstruction. She had surgery to place a J tube but has declined rapidly since then. Her kidneys are failing. She told my dad she thinks she only has a few days left. 
So I’ll my husband and I will fly back to my hometown tonight. My brothers will be there in the morning. 
She’s young. Only 61. 
I don’t know how to do this. I thought we’d have more time.</t>
        </is>
      </c>
      <c r="D3452" t="n">
        <v>19</v>
      </c>
      <c r="E3452" t="n">
        <v>12</v>
      </c>
      <c r="F3452">
        <f>HYPERLINK("https://www.reddit.com/r/cancer/comments/cbzxts/here_we_are_at_the_end_my_mom_is_entering_hospice/")</f>
        <v/>
      </c>
      <c r="G3452" t="inlineStr">
        <is>
          <t>2019-07-11 12:18:40</t>
        </is>
      </c>
      <c r="H3452" t="inlineStr"/>
    </row>
    <row r="3453">
      <c r="A3453" t="inlineStr">
        <is>
          <t>cc064j</t>
        </is>
      </c>
      <c r="B3453" t="inlineStr">
        <is>
          <t>Questions to ask Doctor...</t>
        </is>
      </c>
      <c r="C3453" t="inlineStr">
        <is>
          <t>What are some good questions to ask the doctor after being told you have cancer?  For those whove gone through this before what questions you wished you asked?</t>
        </is>
      </c>
      <c r="D3453" t="n">
        <v>5</v>
      </c>
      <c r="E3453" t="n">
        <v>5</v>
      </c>
      <c r="F3453">
        <f>HYPERLINK("https://www.reddit.com/r/cancer/comments/cc064j/questions_to_ask_doctor/")</f>
        <v/>
      </c>
      <c r="G3453" t="inlineStr">
        <is>
          <t>2019-07-11 12:36:11</t>
        </is>
      </c>
      <c r="H3453" t="inlineStr"/>
    </row>
    <row r="3454">
      <c r="A3454" t="inlineStr">
        <is>
          <t>cc0fa2</t>
        </is>
      </c>
      <c r="B3454" t="inlineStr">
        <is>
          <t>How to help chemo not suck</t>
        </is>
      </c>
      <c r="C3454" t="inlineStr">
        <is>
          <t>My father was diagnosed with stage 1 pancreatic cancer and will be starting chemo. He has really been struggling with recovery from the whipple procedure he had to remove the cancer and I'm worried that he won't want to finish chemo because of how sick he already feels and we haven't even started. I plan on staying with him during his first round and am looking for things that I can do during that time to help take his mind off of what's going on.
Anyone have any recommendations on what we could do during the five hours? Or things that we should make sure we take for him during that time? I'm not so sure he'd just want to binge watch some shows on a streaming platform..
TIA!</t>
        </is>
      </c>
      <c r="D3454" t="n">
        <v>3</v>
      </c>
      <c r="E3454" t="n">
        <v>9</v>
      </c>
      <c r="F3454">
        <f>HYPERLINK("https://www.reddit.com/r/cancer/comments/cc0fa2/how_to_help_chemo_not_suck/")</f>
        <v/>
      </c>
      <c r="G3454" t="inlineStr">
        <is>
          <t>2019-07-11 12:55:15</t>
        </is>
      </c>
      <c r="H3454" t="inlineStr"/>
    </row>
    <row r="3455">
      <c r="A3455" t="inlineStr">
        <is>
          <t>cc0xf1</t>
        </is>
      </c>
      <c r="B3455" t="inlineStr">
        <is>
          <t>B-Cell ALL, Post BMT, cGVHD, tightening of joints and fascia, looking for recommendations.</t>
        </is>
      </c>
      <c r="C3455" t="inlineStr">
        <is>
          <t>Wanted to check in to see if anyone has experience managing the tightening of joints and fascia during cGVHD. When I talked to my doctors about it they talked about PT and added a new immuno-suppressant to my regiment and sent me on my way. I have PT scheduled, but I started looking into the literature and realized there is very little in terms of solid courses of treatment.  Therefore I figured I would reach out to see if anyone else has experienced the same and if they have any recommendations for what to do. Thanks in advance!</t>
        </is>
      </c>
      <c r="D3455" t="n">
        <v>1</v>
      </c>
      <c r="E3455" t="n">
        <v>0</v>
      </c>
      <c r="F3455">
        <f>HYPERLINK("https://www.reddit.com/r/cancer/comments/cc0xf1/bcell_all_post_bmt_cgvhd_tightening_of_joints_and/")</f>
        <v/>
      </c>
      <c r="G3455" t="inlineStr">
        <is>
          <t>2019-07-11 13:34:37</t>
        </is>
      </c>
      <c r="H3455" t="inlineStr"/>
    </row>
    <row r="3456">
      <c r="A3456" t="inlineStr">
        <is>
          <t>cc2q1m</t>
        </is>
      </c>
      <c r="B3456" t="inlineStr">
        <is>
          <t>How to be supportive</t>
        </is>
      </c>
      <c r="C3456" t="inlineStr">
        <is>
          <t>Hi everyone, hope everyone is having a good day/night. A little back story before I get to my subject line.  
Back in March my father was diagnosed with a stage 3 brain tumor that went from his ear to his eye. The surgeons were able to remove 90% of the tumor and he received radiation &amp;amp; chemo therapy. All was going well until about 2 weeks ago. 2 weeks my dad had a horrific sezuire because the doctors started taking him off steroids. This sezuire basically crippled his progress. He's in rehab right now working on the basic needs to function ( walking, talking,etc) and when he's released it sounds like he will need 24 hour care.
Now to my subject line. How can I be supportive to my mom? She sounds so tired and drained when I talk with her on the phone. It's sounds like family ( mom, brother, my husband, and our 2 year old) dinner would even be too taxing on her. She's constantly up at the hospital because they call. I just feel so bad for her. Any advice/ suggestions would be greatly appreciated. Thank you everyone and sending all the hugs to anyone who needs them!</t>
        </is>
      </c>
      <c r="D3456" t="n">
        <v>3</v>
      </c>
      <c r="E3456" t="n">
        <v>2</v>
      </c>
      <c r="F3456">
        <f>HYPERLINK("https://www.reddit.com/r/cancer/comments/cc2q1m/how_to_be_supportive/")</f>
        <v/>
      </c>
      <c r="G3456" t="inlineStr">
        <is>
          <t>2019-07-11 16:01:31</t>
        </is>
      </c>
      <c r="H3456" t="inlineStr"/>
    </row>
    <row r="3457">
      <c r="A3457" t="inlineStr">
        <is>
          <t>cc3em6</t>
        </is>
      </c>
      <c r="B3457" t="inlineStr">
        <is>
          <t>Stage 4 warriors, can y'all share how long it took you to stop going to work after your diagnosis or if you just continued to work?</t>
        </is>
      </c>
      <c r="C3457" t="inlineStr">
        <is>
          <t>My mom has been absent from work for two months and wants to return to work. I think the doctor will clear her for it but I'm just worried about her going back. She has stage 4 gallbladder cancer but has taken really well to chemo fortunately. She has kidney stones too though and those are the ones that have really done a number on her. I would just like to hear from others about how work/life balance turned out eventually.</t>
        </is>
      </c>
      <c r="D3457" t="n">
        <v>1</v>
      </c>
      <c r="E3457" t="n">
        <v>5</v>
      </c>
      <c r="F3457">
        <f>HYPERLINK("https://www.reddit.com/r/cancer/comments/cc3em6/stage_4_warriors_can_yall_share_how_long_it_took/")</f>
        <v/>
      </c>
      <c r="G3457" t="inlineStr">
        <is>
          <t>2019-07-11 17:01:11</t>
        </is>
      </c>
      <c r="H3457" t="inlineStr"/>
    </row>
    <row r="3458">
      <c r="A3458" t="inlineStr">
        <is>
          <t>cc3y3c</t>
        </is>
      </c>
      <c r="B3458" t="inlineStr">
        <is>
          <t>Scared I have lymphoma</t>
        </is>
      </c>
      <c r="C3458" t="inlineStr">
        <is>
          <t>19 Male 5'11 117 lbs. I had a sinus infection about 4 months ago and it went away after about a month, my left lymph node has been swollen and still hasn't gone down. It is movable and hasn't grown BUT after 3 months of it not going down I went in for an ultrasound and ct scan because I felt a lump in my neck which on the ultrasound showed a "mass" but my doc said I have multiple swollen lymph nodes where that mass is. I could describe it feeling as my muscle is stiff and I cant feel the lymph nodes he feels. I dont prod at them often either. Havent gotten the results from ct yet but I am very anxious. I have zero symptoms at all I feel totally fine except slight stiffness in my neck. Today I think I just found a lymph node in my groin which is tender and mobile, I also have some in my jaw apparently that hurt sometimes. I should mention that I vape and smoke weed. I was given cipro because we thought it was an infection but I didnt finish it and it almost seemed to get worse(stiffer)when I stopped them. My doctor expressed some concern which makes me scared I have cancer or something awful. This has been going on for a few months all together. I'm just freaking out and would like to be reassured that it could be many other things besides my worst fear. Personal experiences would also be comforting. Thanks guys!
Edit: the past week it's gotten a lil worse</t>
        </is>
      </c>
      <c r="D3458" t="n">
        <v>1</v>
      </c>
      <c r="E3458" t="n">
        <v>5</v>
      </c>
      <c r="F3458">
        <f>HYPERLINK("https://www.reddit.com/r/cancer/comments/cc3y3c/scared_i_have_lymphoma/")</f>
        <v/>
      </c>
      <c r="G3458" t="inlineStr">
        <is>
          <t>2019-07-11 17:51:51</t>
        </is>
      </c>
      <c r="H3458" t="inlineStr"/>
    </row>
    <row r="3459">
      <c r="A3459" t="inlineStr">
        <is>
          <t>cc4ezr</t>
        </is>
      </c>
      <c r="B3459" t="inlineStr">
        <is>
          <t>Dealing with Fatigue</t>
        </is>
      </c>
      <c r="C3459" t="inlineStr">
        <is>
          <t>[Dealing with Fatigue](https://www.cancertalkfoundation.org/post/dealing-with-fatigue)</t>
        </is>
      </c>
      <c r="D3459" t="n">
        <v>8</v>
      </c>
      <c r="E3459" t="n">
        <v>0</v>
      </c>
      <c r="F3459">
        <f>HYPERLINK("https://www.reddit.com/r/cancer/comments/cc4ezr/dealing_with_fatigue/")</f>
        <v/>
      </c>
      <c r="G3459" t="inlineStr">
        <is>
          <t>2019-07-11 18:36:22</t>
        </is>
      </c>
      <c r="H3459" t="inlineStr"/>
    </row>
    <row r="3460">
      <c r="A3460" t="inlineStr">
        <is>
          <t>cc5xdf</t>
        </is>
      </c>
      <c r="B3460" t="inlineStr">
        <is>
          <t>The scanxiety is real</t>
        </is>
      </c>
      <c r="C3460" t="inlineStr">
        <is>
          <t>Disclaimer: had my scan earlier this week and got the results earlier today. 
But man was my heart RACING after I had some bloodwork done and I was sitting in the room, waiting for my oncologist to come in.</t>
        </is>
      </c>
      <c r="D3460" t="n">
        <v>2</v>
      </c>
      <c r="E3460" t="n">
        <v>5</v>
      </c>
      <c r="F3460">
        <f>HYPERLINK("https://www.reddit.com/r/cancer/comments/cc5xdf/the_scanxiety_is_real/")</f>
        <v/>
      </c>
      <c r="G3460" t="inlineStr">
        <is>
          <t>2019-07-11 21:06:04</t>
        </is>
      </c>
      <c r="H3460" t="inlineStr"/>
    </row>
    <row r="3461">
      <c r="A3461" t="inlineStr">
        <is>
          <t>cc672r</t>
        </is>
      </c>
      <c r="B3461" t="inlineStr">
        <is>
          <t>Please answer this from your experience after radiation therapy.</t>
        </is>
      </c>
      <c r="C3461" t="inlineStr">
        <is>
          <t>My father has undergone surgery and radiotherapy for buccal carcinoma. 20 days after radiation, he still complains of pain, heat, burns and tightness. His doctor has not prescribed any painkiller or medicine. He has refused to take over the counter painkillers. 
I am really worried and want to know
How many days will it take to calm his muscular pain? He had to get buccal reconstruction so now he uses a mouth opener to stretch the muscles. Obviously the pain has worsen. Is there anything he can do to calm down? How did you cope with the pain and how much time will it take? He says that the muscles in his shoulder are still hot from radiation and feel like boiling water. What is all this? When will this get over?</t>
        </is>
      </c>
      <c r="D3461" t="n">
        <v>1</v>
      </c>
      <c r="E3461" t="n">
        <v>3</v>
      </c>
      <c r="F3461">
        <f>HYPERLINK("https://www.reddit.com/r/cancer/comments/cc672r/please_answer_this_from_your_experience_after/")</f>
        <v/>
      </c>
      <c r="G3461" t="inlineStr">
        <is>
          <t>2019-07-11 21:34:51</t>
        </is>
      </c>
      <c r="H3461" t="inlineStr"/>
    </row>
    <row r="3462">
      <c r="A3462" t="inlineStr">
        <is>
          <t>cc6lu5</t>
        </is>
      </c>
      <c r="B3462" t="inlineStr">
        <is>
          <t>Another update / random ranting</t>
        </is>
      </c>
      <c r="C3462" t="inlineStr">
        <is>
          <t>I saw my radiation oncologist today. I'm cervical cancer advanced 3b. Was told 30% chance for a cure and recurrence is fairly likely.
But I also named it today. "Mr Ball Leg". It's a weird kinda ball (ish) shape with a "leg" coming down quite far into the vaginal canal. Makes things seem less scary when you name it.
Treatment starts soon and I'm actually kind of excited. Mr Ball Leg is causing me a lot of pain and I'd quite like for him to f*ck off. 
Spent the day mostly sad and crying, but that happens when you get news you don't want. All part of the 'new normal' I suppose. Tomorrow will be better. 
I wish all of you the best of luck in your treatments! I'm praying for everyone here.
Thanks for listening. 💙</t>
        </is>
      </c>
      <c r="D3462" t="n">
        <v>1</v>
      </c>
      <c r="E3462" t="n">
        <v>0</v>
      </c>
      <c r="F3462">
        <f>HYPERLINK("https://www.reddit.com/r/cancer/comments/cc6lu5/another_update_random_ranting/")</f>
        <v/>
      </c>
      <c r="G3462" t="inlineStr">
        <is>
          <t>2019-07-11 22:20:15</t>
        </is>
      </c>
      <c r="H3462" t="inlineStr"/>
    </row>
    <row r="3463">
      <c r="A3463" t="inlineStr">
        <is>
          <t>cc6mka</t>
        </is>
      </c>
      <c r="B3463" t="inlineStr">
        <is>
          <t>Another update / random ranting</t>
        </is>
      </c>
      <c r="C3463" t="inlineStr">
        <is>
          <t>I saw my radiation oncologist today. I'm cervical cancer advanced 3b. Was told 30% chance for a cure and recurrence is fairly likely. The tumor is approx 7×10cm.
But I also named it today. "Mr Ball Leg". It's a weird kinda ball (ish) shape with a "leg" coming down quite far into the vaginal canal. Makes things seem less scary when you name it.
Treatment starts soon and I'm actually kind of excited. Mr Ball Leg is causing me a lot of pain and I'd quite like for him to f*ck off. 
Spent the day mostly sad and crying, but that happens when you get news you don't want. All part of the 'new normal' I suppose. Tomorrow will be better. 
I wish all of you the best of luck in your treatments! I'm praying for everyone here.
Thanks for listening. 💙</t>
        </is>
      </c>
      <c r="D3463" t="n">
        <v>19</v>
      </c>
      <c r="E3463" t="n">
        <v>10</v>
      </c>
      <c r="F3463">
        <f>HYPERLINK("https://www.reddit.com/r/cancer/comments/cc6mka/another_update_random_ranting/")</f>
        <v/>
      </c>
      <c r="G3463" t="inlineStr">
        <is>
          <t>2019-07-11 22:22:33</t>
        </is>
      </c>
      <c r="H3463" t="inlineStr"/>
    </row>
    <row r="3464">
      <c r="A3464" t="inlineStr">
        <is>
          <t>cc7d08</t>
        </is>
      </c>
      <c r="B3464" t="inlineStr">
        <is>
          <t>How long does it take to DX or rule out lymphoma?</t>
        </is>
      </c>
      <c r="C3464" t="inlineStr">
        <is>
          <t>My wife, 32 years old noticed a lump in her neck about 7 weeks ago, it was exactly a week after having our third child. After speaking with her OB over the phone she said it was probably hormone related to her thyroid and she would check if at her 6 week check. 2 weeks ago her OB referred my wife to our family doctor when she realized it was a lymph node during the exam. Since then my wife developed a second swollen lymph node and the original swollen lymph node has grown larger to the point it is clearly visible.  Throughout the last few weeks she has also had occasional night sweats and developed a mild cough with no other symptoms. 
After an extensive blood panel last week to rule out any other causes everything was normal except for her white blood cell count was high. She had an ultrasound on Monday morning and we are still anxiously awaiting the results, even though her doctor said she will likely refer her to a hematologist because of her symptoms and high white blood cell. 
Is her doctor moving on this fast enough or is this all part of the process? What's next from here after we see a hematologist? Thanks for any info.</t>
        </is>
      </c>
      <c r="D3464" t="n">
        <v>3</v>
      </c>
      <c r="E3464" t="n">
        <v>7</v>
      </c>
      <c r="F3464">
        <f>HYPERLINK("https://www.reddit.com/r/cancer/comments/cc7d08/how_long_does_it_take_to_dx_or_rule_out_lymphoma/")</f>
        <v/>
      </c>
      <c r="G3464" t="inlineStr">
        <is>
          <t>2019-07-11 23:46:56</t>
        </is>
      </c>
      <c r="H3464" t="inlineStr"/>
    </row>
    <row r="3465">
      <c r="A3465" t="inlineStr">
        <is>
          <t>cc930x</t>
        </is>
      </c>
      <c r="B3465" t="inlineStr">
        <is>
          <t>Question: blindness during chemo/imunoterapia for kidney cancer</t>
        </is>
      </c>
      <c r="C3465" t="inlineStr">
        <is>
          <t>My mom has been losing her eye sight progressively since last year to the point now she has lost complete sight in one eye and the other one is not looking so good. We have been to 5 different ophthalmologists (including specialists), genealogist and she’s probably gotten every single eye. exam she could possibly get, including a biopsy of her vitreo that came out negative. 
Literally every doctor we go to have said they don’t know why or how this happened. She’s getting treated targeting the symptoms they see one by one. 
She’s stage 3 renal papillary carcinoma and has been through IV chemo, oral chemo, immunotherapy...when she started complaining she was in immunotherapy but her oncologist said he’s absolutely sure this isn’t related to that but he also doesn’t know what could be. He gets just as upset at us and promises he’ll do more research and ask more, which i needed to add because that guy deserves praise!
so the question is: has anyone experienced anything like this? her cancer spread through her lungs, chest, shoulders, armpits and brain. Her brain cancer was gone after radio and again, her doctor and the specialists said that it was nowhere near where it had to be to affect her eyes.</t>
        </is>
      </c>
      <c r="D3465" t="n">
        <v>3</v>
      </c>
      <c r="E3465" t="n">
        <v>0</v>
      </c>
      <c r="F3465">
        <f>HYPERLINK("https://www.reddit.com/r/cancer/comments/cc930x/question_blindness_during_chemoimunoterapia_for/")</f>
        <v/>
      </c>
      <c r="G3465" t="inlineStr">
        <is>
          <t>2019-07-12 03:23:06</t>
        </is>
      </c>
      <c r="H3465" t="inlineStr"/>
    </row>
    <row r="3466">
      <c r="A3466" t="inlineStr">
        <is>
          <t>cc9wag</t>
        </is>
      </c>
      <c r="B3466" t="inlineStr">
        <is>
          <t>How close is my dad to the end? Advanced stage 4 D2 prostate cancer</t>
        </is>
      </c>
      <c r="C3466" t="inlineStr">
        <is>
          <t>Instead of writing a new post entirely, I'm going to share a text message to my siblings describing his state that I just sent. They're both out of town / out of state and have work and other obligations, and I really don't want them to not see him (and vice versa) before he passes. 
He has advanced stage 4 D2 prostate cancer which has metastasized to nearly all of his bones (spine, ribs, hips, etc) and lymph. Probably more, but unsure.  He's only on hormone therapy. He was diagnosed six months ago, and since then has lost nearly all mobility. 
He stays in bed 24/hrs, frequently won't respond for long periods of time if no one is there (usually his GF checks up / helps daily). 
His oncologist is either unable to give him a prognosis in terms of life expectancy or he isn't sharing it. He says that they can't really tell and only go off general statistics. 
This is the text: 
"He was shaking and hadn't eaten in 24 hrs when I saw him. He also couldn't complete ideas, I had to find words for him and he'd trail off or forget what he was saying - dementia pretty much. So my thought is that either the medication is effecting him strongly or that it has begun to spread to his brain (shaking seems in line with that). After some food and TLC, he came to a little bit and stopped shaking, but he was pretty damn out of it. I don't think he would have eaten if we didn't come by. AFAIK he's less than 130 lbs, he looks like he's lost around 10 lbs in the last week or so or since the last time I saw him. So maybe 125 at most, 120 worst. (he's 6'2). If he continues losing weight at this same rate, I think it's possible he may not be alive either in several weeks or months (I don't know). He put away the scale and won't use it anymore. I haven't seen him leave his bed any time I've seen him lately and he wouldn't today even with me and diane offering to help. Scooting to a more upright position in his bed took around 10 minutes and was a major ordeal that resulted in him being completely exhausted. From what I can tell he eats around 500 calories a day. He has extreme fatigue and is exhausted by simple tasks. He has severe bone pain and has to be heavily medicated, it has gotten much worse in only a matter of weeks."
I realize this is not enough to tell, but I'm wondering if anyone who knows someone who has passed from advanced prostate cancer (although it's basically bone cancer at this point) can tell me what the last few weeks or months look like. One of my siblings is scheduled to fly out early Sept, and I'm concerned it will be too late.</t>
        </is>
      </c>
      <c r="D3466" t="n">
        <v>4</v>
      </c>
      <c r="E3466" t="n">
        <v>5</v>
      </c>
      <c r="F3466">
        <f>HYPERLINK("https://www.reddit.com/r/cancer/comments/cc9wag/how_close_is_my_dad_to_the_end_advanced_stage_4/")</f>
        <v/>
      </c>
      <c r="G3466" t="inlineStr">
        <is>
          <t>2019-07-12 04:55:34</t>
        </is>
      </c>
      <c r="H3466" t="inlineStr"/>
    </row>
    <row r="3467">
      <c r="A3467" t="inlineStr">
        <is>
          <t>ccafl2</t>
        </is>
      </c>
      <c r="B3467" t="inlineStr">
        <is>
          <t>Dad beginning induction chemo for AML</t>
        </is>
      </c>
      <c r="C3467" t="inlineStr">
        <is>
          <t>I’ve been mostly lurking here, just wanted to begin by thanking you all for being such a resource and support network. I’ve learned so much.
My dad was diagnosed with a “pre-leukemia” called MDS but it developed into AML recently. He will be getting a bone marrow transplant, fortunately his brother is a match. In the meantime, they want to do induction chemo and keep him in hospital for four weeks so that he’s in remission before the BMT.
I’ve been so strong until now but seeing him in a hospital bed today broke me, even though he starts chemo tomorrow and all he had now was an IV. It’s suddenly so real and my heart breaks for him because I know this will be a long, painful journey. We are fortunate that he has a path to a possible cure with the BMT. But at the same time, the odds are tough. He has a 50% chance of going into remission after induction chemo; if that’s successful and he makes it to the BMT, he has a 30-40% chance of surviving that with all its complications. But of course, that’s compared to the 0% chance of surviving AML untreated.
I’m struggling with suddenly being confronted with mortality and the reality of a sick parent. We will all die one day, no matter how we go out in the end, so I am trying my best to have a healthy attitude about the fact of illness in case things don’t go as we hope. But, overall, I am hopeful that he will get through this and be cured.
Any advice or wisdom? Any suggestions for things to make this easier for dad, especially this first hospital stay and the chemo? I just want him to feel as comfortable as possible given all the discomforts coming his way. He begins “FLA-IDA” tomorrow.</t>
        </is>
      </c>
      <c r="D3467" t="n">
        <v>4</v>
      </c>
      <c r="E3467" t="n">
        <v>3</v>
      </c>
      <c r="F3467">
        <f>HYPERLINK("https://www.reddit.com/r/cancer/comments/ccafl2/dad_beginning_induction_chemo_for_aml/")</f>
        <v/>
      </c>
      <c r="G3467" t="inlineStr">
        <is>
          <t>2019-07-12 05:49:41</t>
        </is>
      </c>
      <c r="H3467" t="inlineStr"/>
    </row>
    <row r="3468">
      <c r="A3468" t="inlineStr">
        <is>
          <t>ccayvc</t>
        </is>
      </c>
      <c r="B3468" t="inlineStr">
        <is>
          <t>I need help/advice</t>
        </is>
      </c>
      <c r="C3468" t="inlineStr">
        <is>
          <t>I'm looking for advice from hopefully someone who has been through a similar experience. My partner was recently diagnosed with lung cancer a few weeks ago. He said from the get go that he wouldn't blame me for leaving him. I had said that I would stay with him and help him through it. We found out today that they will operate on his lung either next week or the week after and it would mean him spending 24 hours in intensive care followed by a weeks recovery in the hospital and 3 months bed rest at home. As time goes on I'm starting to struggle with the mood swings, constant hours of worrying and juggling work with keeping the household. I love my boyfriend so much but as time goes on he keeps bringing up that I should leave him more and more. I'm really debating whether we can stay together as it gets harder and harder each day and it's really taking a toll. It feels like I haven't slept for weeks, I'm barely able to eat due to stress and my work is starting to suffer. I'm not looking for a you should break up or stay together answer but more of an insight as too how bad it could possibly get with treatments etc. Sorry if this is a bit jumbled (due to lack of sleep.) I really hope I dont come across as selfish for questioning the relationship or debating breaking up but I'm at a complete loss.</t>
        </is>
      </c>
      <c r="D3468" t="n">
        <v>1</v>
      </c>
      <c r="E3468" t="n">
        <v>0</v>
      </c>
      <c r="F3468">
        <f>HYPERLINK("https://www.reddit.com/r/cancer/comments/ccayvc/i_need_helpadvice/")</f>
        <v/>
      </c>
      <c r="G3468" t="inlineStr">
        <is>
          <t>2019-07-12 06:39:13</t>
        </is>
      </c>
      <c r="H3468" t="inlineStr"/>
    </row>
    <row r="3469">
      <c r="A3469" t="inlineStr">
        <is>
          <t>ccbuq9</t>
        </is>
      </c>
      <c r="B3469" t="inlineStr">
        <is>
          <t>Has anyone tried apricot kernels or b17??</t>
        </is>
      </c>
      <c r="C3469" t="inlineStr">
        <is>
          <t>I know most people on reddit hate natural treatments but at least give it a go before you dismiss it. I'm Only on my second day eating kernels and I feel like myself again. I'm just saying give it a try. And don't be ridiculous saying the cyanide is going to kill you. 
All healthy cells in the body contain an enzyme called Rhodanese, EXCEPT cancer cells. 
Cancer cells contain an enzyme called Beta-Glucosidase, which is found nowhere else in the body. 
Basically the cyanide is only released where Beta-Glucosidase is, destroying cancer cells while leaving healthy cells intact.
Hope you give it a go, good luck everyone</t>
        </is>
      </c>
      <c r="D3469" t="n">
        <v>1</v>
      </c>
      <c r="E3469" t="n">
        <v>0</v>
      </c>
      <c r="F3469">
        <f>HYPERLINK("https://www.reddit.com/r/cancer/comments/ccbuq9/has_anyone_tried_apricot_kernels_or_b17/")</f>
        <v/>
      </c>
      <c r="G3469" t="inlineStr">
        <is>
          <t>2019-07-12 07:53:16</t>
        </is>
      </c>
      <c r="H3469" t="inlineStr"/>
    </row>
    <row r="3470">
      <c r="A3470" t="inlineStr">
        <is>
          <t>ccd1gi</t>
        </is>
      </c>
      <c r="B3470" t="inlineStr">
        <is>
          <t>best friend</t>
        </is>
      </c>
      <c r="C3470" t="inlineStr">
        <is>
          <t>my best friend was recently diagnosed and i don’t know what to do or the right things to say. im at a loss and im wondering how anyone else has dealt and been helpful to their friends who have been diagnosed?</t>
        </is>
      </c>
      <c r="D3470" t="n">
        <v>1</v>
      </c>
      <c r="E3470" t="n">
        <v>0</v>
      </c>
      <c r="F3470">
        <f>HYPERLINK("https://www.reddit.com/r/cancer/comments/ccd1gi/best_friend/")</f>
        <v/>
      </c>
      <c r="G3470" t="inlineStr">
        <is>
          <t>2019-07-12 09:25:40</t>
        </is>
      </c>
      <c r="H3470" t="inlineStr"/>
    </row>
    <row r="3471">
      <c r="A3471" t="inlineStr">
        <is>
          <t>cce8u2</t>
        </is>
      </c>
      <c r="B3471" t="inlineStr">
        <is>
          <t>How to show support?</t>
        </is>
      </c>
      <c r="C3471" t="inlineStr">
        <is>
          <t>My co-worker of about 8 years was diagnosed with breast cancer (the super aggressive type) in Jan. She is done with chemo sessions (did 6 of them) and next Wed is her surgery. 
&amp;amp;#x200B;
Her entire family is overseas and she's recently divorced. She has a small support system and she's not the one who easily asks for help. I got together with a few people she shared the news with back in Jan and we created care packages for her with goodies to ease with chemo. She loved it. 
&amp;amp;#x200B;
She's the strongest person I know. While going through chemo, she barely missed work, and on top of it, she kept 3 side gigs of cleaning 2 houses and helped care for a disabled guy, which she would do every week on her full time job's days off. I don't know how she managed to do this, but she's freaking out due to the financial burden the disease created and was happy that she was able to continue working as much as she did. 
&amp;amp;#x200B;
After the surgery next week, she will go do radio for a month, every day. 
&amp;amp;#x200B;
She had nobody to take her to the surgery and she promptly accepted my help when I volunteered. Here comes my questions: 
&amp;amp;#x200B;
\- I am going to sit there and wait for her surgery (she is doing partial removal of her breasts - her choice). What should I do to comfort her when she comes out? 
\- I can't spend the night at the hospital - should I arrange that someone does? She has her roommate's brother picking her up once she's released, since I will be at work. 
\- What should I bring her? I offered to go get her favorite food, but what else? 
\- What should I do after she goes home?
&amp;amp;#x200B;
Thank you for any suggestion you may be able to provide me with!</t>
        </is>
      </c>
      <c r="D3471" t="n">
        <v>3</v>
      </c>
      <c r="E3471" t="n">
        <v>5</v>
      </c>
      <c r="F3471">
        <f>HYPERLINK("https://www.reddit.com/r/cancer/comments/cce8u2/how_to_show_support/")</f>
        <v/>
      </c>
      <c r="G3471" t="inlineStr">
        <is>
          <t>2019-07-12 10:57:14</t>
        </is>
      </c>
      <c r="H3471" t="inlineStr"/>
    </row>
    <row r="3472">
      <c r="A3472" t="inlineStr">
        <is>
          <t>ccewd0</t>
        </is>
      </c>
      <c r="B3472" t="inlineStr">
        <is>
          <t>PET scan revealed that my H. Lymphoma has relapsed.</t>
        </is>
      </c>
      <c r="C3472" t="inlineStr">
        <is>
          <t>I had undergone Chemo (ABVD) for H. lymphoma for 6 months last year. Was in complete remission when we stopped chemo in Jan 2019. Today we got a scan done and came to know that it has relapsed. I have a new node in my chest. I am yet to meet my doctor to hear about next steps. 
I thought Hodgkin's Lymphoma has less chances to relapse. Does anyone here have a history like mine ?</t>
        </is>
      </c>
      <c r="D3472" t="n">
        <v>3</v>
      </c>
      <c r="E3472" t="n">
        <v>11</v>
      </c>
      <c r="F3472">
        <f>HYPERLINK("https://www.reddit.com/r/cancer/comments/ccewd0/pet_scan_revealed_that_my_h_lymphoma_has_relapsed/")</f>
        <v/>
      </c>
      <c r="G3472" t="inlineStr">
        <is>
          <t>2019-07-12 11:47:13</t>
        </is>
      </c>
      <c r="H3472" t="inlineStr"/>
    </row>
    <row r="3473">
      <c r="A3473" t="inlineStr">
        <is>
          <t>ccf9m3</t>
        </is>
      </c>
      <c r="B3473" t="inlineStr">
        <is>
          <t>Endometrial Cáncer successfully removed via laparoscopic hysterectomy, aggressive chemo still pointed as adjuvant treatment</t>
        </is>
      </c>
      <c r="C3473" t="inlineStr">
        <is>
          <t>Pathology came today: stage II-III. Doctor said there were no findings of anomalous cells and tumor was differentiated and defined so when extracted the cancer went with it. BUT says she needs chemotherapy like right now; one session of 5-6 hours every 3 weeks, 6 sessions. Can someone tell me their take on this? Their story? My mom is 76 and I thought she was only going to need radiotherapy...</t>
        </is>
      </c>
      <c r="D3473" t="n">
        <v>4</v>
      </c>
      <c r="E3473" t="n">
        <v>15</v>
      </c>
      <c r="F3473">
        <f>HYPERLINK("https://www.reddit.com/r/cancer/comments/ccf9m3/endometrial_cáncer_successfully_removed_via/")</f>
        <v/>
      </c>
      <c r="G3473" t="inlineStr">
        <is>
          <t>2019-07-12 12:15:17</t>
        </is>
      </c>
      <c r="H3473" t="inlineStr"/>
    </row>
    <row r="3474">
      <c r="A3474" t="inlineStr">
        <is>
          <t>ccggtn</t>
        </is>
      </c>
      <c r="B3474" t="inlineStr">
        <is>
          <t>Kinda just looking for advice</t>
        </is>
      </c>
      <c r="C3474" t="inlineStr">
        <is>
          <t>Hello all,
My partner’s mum is just about to start chemotherapy. Understandably my partner is incredibly stressed - she is an only child and her mum is single. She feels like the whole situation is on her shoulders.
I really, really want to be there for my partner (and her mum), but my partner just takes everything on her own shoulders. We live together and I have offered all the support I can, including being completely open and willing to have her mum live with us for the course of her treatment (and beyond) which is at least the next 12 months.
Despite this, my partner still just keeps it all to herself and snaps at me when I try to get any information. I understand, but I can’t help thinking that I also need to be aware of what the next year looks like for me (we will have to put all our own plans on hold for a year - I’m fine with that, it’s just that I’d prefer to know what we’ve got in store).
So really, how do I best support my partner? I want her to be okay but I don’t want to be in the dark. 
I don’t know if there’s an answer, but I’d appreciate any helpful input.
Thanks</t>
        </is>
      </c>
      <c r="D3474" t="n">
        <v>3</v>
      </c>
      <c r="E3474" t="n">
        <v>2</v>
      </c>
      <c r="F3474">
        <f>HYPERLINK("https://www.reddit.com/r/cancer/comments/ccggtn/kinda_just_looking_for_advice/")</f>
        <v/>
      </c>
      <c r="G3474" t="inlineStr">
        <is>
          <t>2019-07-12 13:51:01</t>
        </is>
      </c>
      <c r="H3474" t="inlineStr"/>
    </row>
    <row r="3475">
      <c r="A3475" t="inlineStr">
        <is>
          <t>ccgrib</t>
        </is>
      </c>
      <c r="B3475" t="inlineStr">
        <is>
          <t>Scared</t>
        </is>
      </c>
      <c r="C3475" t="inlineStr">
        <is>
          <t>So, I'm 16 and I've had a couple moles on my scalp for the past year-ish. At my latest physical my mom brought it up and the doctor said that the color and border is concerning, and mom said it may have changed slightly since she last saw it. We made an appointment for a dermatologist and the earliest we can go is August 23rd. That was a bit too late for me so we called another place and the earliest they have is November, so I guess we're going in August
What terrifies me is that I may have been carrying around skin cancer on my head for a year without even knowing, and that in the month before I even get to have it checked out it'll get worse... I can't stop thinking about it and I'm so so so scared, especially because all the posts on this sub say that every day counts and to go get things checked ASAP. My mom is dismissing my worries which doesn't help. How can I calm down?? Is it bad that the appointment is more than a month away???</t>
        </is>
      </c>
      <c r="D3475" t="n">
        <v>5</v>
      </c>
      <c r="E3475" t="n">
        <v>9</v>
      </c>
      <c r="F3475">
        <f>HYPERLINK("https://www.reddit.com/r/cancer/comments/ccgrib/scared/")</f>
        <v/>
      </c>
      <c r="G3475" t="inlineStr">
        <is>
          <t>2019-07-12 14:15:38</t>
        </is>
      </c>
      <c r="H3475" t="inlineStr"/>
    </row>
    <row r="3476">
      <c r="A3476" t="inlineStr">
        <is>
          <t>cchu8r</t>
        </is>
      </c>
      <c r="B3476" t="inlineStr">
        <is>
          <t>What can I do to cheer up a teenage boy with brain cancer</t>
        </is>
      </c>
      <c r="C3476" t="inlineStr">
        <is>
          <t>He underwent brain surgery recently and the next steps are radiation and chemo. His coordination and vision have been affected to a certain extent by the surgery so I don’t think he will be able to play video games, read books, or watch movies. I’m wondering if anyone has good ideas of gifts I can send to try and cheer him up or make him feel more comfortable?</t>
        </is>
      </c>
      <c r="D3476" t="n">
        <v>2</v>
      </c>
      <c r="E3476" t="n">
        <v>5</v>
      </c>
      <c r="F3476">
        <f>HYPERLINK("https://www.reddit.com/r/cancer/comments/cchu8r/what_can_i_do_to_cheer_up_a_teenage_boy_with/")</f>
        <v/>
      </c>
      <c r="G3476" t="inlineStr">
        <is>
          <t>2019-07-12 15:48:04</t>
        </is>
      </c>
      <c r="H3476" t="inlineStr"/>
    </row>
    <row r="3477">
      <c r="A3477" t="inlineStr">
        <is>
          <t>ccidna</t>
        </is>
      </c>
      <c r="B3477" t="inlineStr">
        <is>
          <t>Not handling this well</t>
        </is>
      </c>
      <c r="C3477" t="inlineStr">
        <is>
          <t>So i want to preface this with the fact that the cancer i currently have is non life threatening and im going to be fine for now. 
I got told back in march that i have a fibroblastic tumor, the type of cancer dosnt seem to have a name. To sum it up, im going to be fine. It is a soft tissue tumor and it has properties that can make it pop up again later whenever it wants, wherever it wants. Of course those thoughts have my mind running absolutely wild. I think about the future and what it can possibly hold but i try not to think about it. 
Anyways, my family is on the opposite side of the states and they havnt been able to be here with me, and my friends have stopped coming over. Its on my leg and i cant exactly walk since they had to do such an invasive surgery. I also have been off work for months and they are going to have to extend it out longer. My psyciatrist is also trying to push it out even longer since ive been so depressed.
I go to my psychiatrist regularly and my oncologist and its sad to say that thats actually the highlight of my current life situation. I miss physical interaction so much, and being 27 year old social butterfly this is really taking a toll on me. I never felt loneliness the way i do now and i wouldnt wish that on my worst enemy. 
ive had 3 surgeries and im waiting for my next one, and currently i dont have anyone who wants to take me and help me out. im just sad as hell and it makes it hard to keep going.
idk what the reason for this post is but it somehow feels a little better to throw it out to the public. I know i should be happy that this isnt life threatening and i cant imaging how it feels for the people who are really fighting hard for thier life. I probably sound like a whiny kid and im sorry. Thanks for reading.</t>
        </is>
      </c>
      <c r="D3477" t="n">
        <v>39</v>
      </c>
      <c r="E3477" t="n">
        <v>18</v>
      </c>
      <c r="F3477">
        <f>HYPERLINK("https://www.reddit.com/r/cancer/comments/ccidna/not_handling_this_well/")</f>
        <v/>
      </c>
      <c r="G3477" t="inlineStr">
        <is>
          <t>2019-07-12 16:36:57</t>
        </is>
      </c>
      <c r="H3477" t="inlineStr"/>
    </row>
    <row r="3478">
      <c r="A3478" t="inlineStr">
        <is>
          <t>ccj3x5</t>
        </is>
      </c>
      <c r="B3478" t="inlineStr">
        <is>
          <t>It's not the best feeling when you seem to be getting family/friend visits from someone new every other day when your mum has cancer... it's like everybody's coming to say final goodbyes :( Sigh.</t>
        </is>
      </c>
      <c r="C3478" t="inlineStr">
        <is>
          <t>My siblings and I are 13, 20 and 22. We're gonna lose our mum soon. It hurts so bad. Anyone else going through similar shit wanna talk? Man, it's the worst feeling. All our grandparents died over 10 years ago too. We're a small family about to get smaller :(</t>
        </is>
      </c>
      <c r="D3478" t="n">
        <v>12</v>
      </c>
      <c r="E3478" t="n">
        <v>3</v>
      </c>
      <c r="F3478">
        <f>HYPERLINK("https://www.reddit.com/r/cancer/comments/ccj3x5/its_not_the_best_feeling_when_you_seem_to_be/")</f>
        <v/>
      </c>
      <c r="G3478" t="inlineStr">
        <is>
          <t>2019-07-12 17:47:19</t>
        </is>
      </c>
      <c r="H3478" t="inlineStr"/>
    </row>
    <row r="3479">
      <c r="A3479" t="inlineStr">
        <is>
          <t>cckdqj</t>
        </is>
      </c>
      <c r="B3479" t="inlineStr">
        <is>
          <t>Proton radiation pain</t>
        </is>
      </c>
      <c r="C3479" t="inlineStr">
        <is>
          <t>My dad is undergoing proton radiation for nasal/sinus cancer. He's a little over 2 weeks in and started experiencing severe pain. Right now the doctor have him on a medication schedule which includes fentanyl, hydro, lydocaine rinse, and something that starts with a g, as well as medical marijuana. Will this pain be constant and last the rest of the time he's receiving treatment? He still has about 5 weeks left and he's not sure he can handle this. Obviously talking to his doctors myself seems like a good next step (I live one state over and am in town caring for him and visiting now) but I figured maybe someone on here has dealt with this or something similar. Thank you in advance for any advice.</t>
        </is>
      </c>
      <c r="D3479" t="n">
        <v>4</v>
      </c>
      <c r="E3479" t="n">
        <v>5</v>
      </c>
      <c r="F3479">
        <f>HYPERLINK("https://www.reddit.com/r/cancer/comments/cckdqj/proton_radiation_pain/")</f>
        <v/>
      </c>
      <c r="G3479" t="inlineStr">
        <is>
          <t>2019-07-12 19:59:43</t>
        </is>
      </c>
      <c r="H3479" t="inlineStr"/>
    </row>
    <row r="3480">
      <c r="A3480" t="inlineStr">
        <is>
          <t>ccksox</t>
        </is>
      </c>
      <c r="B3480" t="inlineStr">
        <is>
          <t>I’m going to lose my mommy</t>
        </is>
      </c>
      <c r="C3480" t="inlineStr">
        <is>
          <t>I’m 27 and moved to PA at the beginning of this year. Getting engaged was me and my boyfriends plan/goal. My mom was diagnosed with kidney cancer the last week of March. She had hip surgery yesterday and they found more tumors. I was told today that there is nothing else the doctors can do because the cancer is growing so fast that they wouldn’t be able to get ahead of it. 
I was told today that my mommy will most likely not be going with me to look for a wedding dress. I was told today that my mommy most likely won’t be there when I find my wedding dress. I was told today that my mommy most likely won’t be attending my wedding. I was told today that my mommy most likely won’t be meeting her grandkids. I was told today that I need to move back home and spend as much time with her as possible because she will most likely not be here for another year; she has a few months left to be comfortable.</t>
        </is>
      </c>
      <c r="D3480" t="n">
        <v>24</v>
      </c>
      <c r="E3480" t="n">
        <v>8</v>
      </c>
      <c r="F3480">
        <f>HYPERLINK("https://www.reddit.com/r/cancer/comments/ccksox/im_going_to_lose_my_mommy/")</f>
        <v/>
      </c>
      <c r="G3480" t="inlineStr">
        <is>
          <t>2019-07-12 20:43:26</t>
        </is>
      </c>
      <c r="H3480" t="inlineStr"/>
    </row>
    <row r="3481">
      <c r="A3481" t="inlineStr">
        <is>
          <t>cckzyg</t>
        </is>
      </c>
      <c r="B3481" t="inlineStr">
        <is>
          <t>Does this sound like cancer?</t>
        </is>
      </c>
      <c r="C3481" t="inlineStr">
        <is>
          <t>19 Male 5'11 117 lbs. I had a sinus infection about 4 months ago and it went away after about a month, my left lymph node has been swollen and still hasn't gone down. It is movable and hasn't grown BUT after 3 months of it not going down I went in for an ultrasound and ct scan because I felt a lump in my neck which on the ultrasound showed a "mass" but my doc said I have multiple swollen lymph nodes where that mass is. I could describe it feeling as my muscle is stiff and I cant feel the lymph nodes he feels. I dont prod at them often either. Havent gotten the results from ct yet but I am very anxious. I have zero symptoms at all I feel totally fine except slight stiffness in my neck. Today I think I just found a lymph node in my groin which is tender and mobile, I also have some in my jaw apparently that hurt sometimes. I should mention that I vape and smoke weed. I was given cipro because we thought it was an infection but I didnt finish it and it almost seemed to get worse(stiffer)when I stopped them. My doctor expressed some concern which makes me scared I have cancer or something awful. This has been going on for a few months all together. I'm just freaking out and would like to be reassured that it could be many other things besides my worst fear. Personal experiences would also be comforting. Thanks guys!
Edit: the past week it's gotten a lil worse. My neck is stiff and throbs. Ct scan shows multiple lymph nodes on the left side swollen. So I'm going to a oncologist next week. I should also mention I've been drinking about 4 beers daily since my sinus infection occurred.</t>
        </is>
      </c>
      <c r="D3481" t="n">
        <v>0</v>
      </c>
      <c r="E3481" t="n">
        <v>0</v>
      </c>
      <c r="F3481">
        <f>HYPERLINK("https://www.reddit.com/r/cancer/comments/cckzyg/does_this_sound_like_cancer/")</f>
        <v/>
      </c>
      <c r="G3481" t="inlineStr">
        <is>
          <t>2019-07-12 21:05:30</t>
        </is>
      </c>
      <c r="H3481" t="inlineStr"/>
    </row>
    <row r="3482">
      <c r="A3482" t="inlineStr">
        <is>
          <t>ccnjl8</t>
        </is>
      </c>
      <c r="B3482" t="inlineStr">
        <is>
          <t>I was just told yesterday that my dad’s liver is failing and he’s got about a week left.</t>
        </is>
      </c>
      <c r="C3482" t="inlineStr">
        <is>
          <t>He’s leaving behind a 14, 15, and 20 year old (me) and my mother I don’t know how to begin to process this. He’s bone-thin and in pain consistently and constantly and made the decision yesterday to start hospice care so he can leave pain-free and a little more peacefully. He cried and told me he was sorry that he couldn’t fight longer and that he wouldn’t be there for weddings and graduation and kept asking if I’ll be okay after he goes. He’s always been the man we are dependent on when we have a problem and he’s there to help and not having him here as my crutch is scary, I told him I will be okay. I’m not sure if that’s true. I don’t know what to feel as i’m in this constant state of nausea and sadness and relief knowing he’ll be okay, but this has been the biggest test of being strong willed and I don’t know that I can do it.</t>
        </is>
      </c>
      <c r="D3482" t="n">
        <v>65</v>
      </c>
      <c r="E3482" t="n">
        <v>23</v>
      </c>
      <c r="F3482">
        <f>HYPERLINK("https://www.reddit.com/r/cancer/comments/ccnjl8/i_was_just_told_yesterday_that_my_dads_liver_is/")</f>
        <v/>
      </c>
      <c r="G3482" t="inlineStr">
        <is>
          <t>2019-07-13 02:40:46</t>
        </is>
      </c>
      <c r="H3482" t="inlineStr"/>
    </row>
    <row r="3483">
      <c r="A3483" t="inlineStr">
        <is>
          <t>ccpe7n</t>
        </is>
      </c>
      <c r="B3483" t="inlineStr">
        <is>
          <t>Tips</t>
        </is>
      </c>
      <c r="C3483" t="inlineStr">
        <is>
          <t>I'm wondering if there is ways to stop my mum (50) feeling and being sick, she can't eat or she vomits and she's not even started chemo yet. Her knowing that an operation will be in the future is stressful. She has a big tumour in her left kidney, around the right, lymph nodes and lung. 
I would love some advice on pain management because her pain killers (cocodamol 30/500) aren't helping with the pain. 
She will attend a surgery appointment after the chemo treatment in the future to remove the kidney, although and I am really worried that it would be a rapid decline with doing treatment this way. 
Any tips on pain management, what to expect, how it makes you feel. I'd really appreciate any tips as I will be caring for her and I want her to be comfortable and hopefully contented during all this. 
Thank you in advance.</t>
        </is>
      </c>
      <c r="D3483" t="n">
        <v>1</v>
      </c>
      <c r="E3483" t="n">
        <v>1</v>
      </c>
      <c r="F3483">
        <f>HYPERLINK("https://www.reddit.com/r/cancer/comments/ccpe7n/tips/")</f>
        <v/>
      </c>
      <c r="G3483" t="inlineStr">
        <is>
          <t>2019-07-13 06:34:28</t>
        </is>
      </c>
      <c r="H3483" t="inlineStr"/>
    </row>
    <row r="3484">
      <c r="A3484" t="inlineStr">
        <is>
          <t>ccpz6q</t>
        </is>
      </c>
      <c r="B3484" t="inlineStr">
        <is>
          <t>We burying our dad today.</t>
        </is>
      </c>
      <c r="C3484" t="inlineStr">
        <is>
          <t>We’re burying our dad today. In two hours...  
I was just asking for advice a few weeks ago and now I’m saying my final goodbye to my dads body. We’re putting him in the ground. 
This is like a bad dream I can’t wake up from. I feel like I failed him. Didn’t give him adequate care and support. 
I wasn’t there when he needed me before cancer. I let his depression sap the strength and will from his body. When cancer came around it was just the final straw. He didn’t have anything left to fight. 
I’m sorry I failed you dad.</t>
        </is>
      </c>
      <c r="D3484" t="n">
        <v>28</v>
      </c>
      <c r="E3484" t="n">
        <v>4</v>
      </c>
      <c r="F3484">
        <f>HYPERLINK("https://www.reddit.com/r/cancer/comments/ccpz6q/we_burying_our_dad_today/")</f>
        <v/>
      </c>
      <c r="G3484" t="inlineStr">
        <is>
          <t>2019-07-13 07:33:28</t>
        </is>
      </c>
      <c r="H3484" t="inlineStr"/>
    </row>
    <row r="3485">
      <c r="A3485" t="inlineStr">
        <is>
          <t>ccq16b</t>
        </is>
      </c>
      <c r="B3485" t="inlineStr">
        <is>
          <t>My grandpa has Metastasis</t>
        </is>
      </c>
      <c r="C3485" t="inlineStr">
        <is>
          <t>He had an operation 4 years ago he had cancer tumor removal surgery, the operation was a success, however a month ago we discovered that he has small clusters of cancerous cells all over his body (lungs, liver etc.). He is currently 90 years old, but he lived a very healthy lifestyle with daily exercises twice a day and healthy food, very rarely drank alcohol, this is why until now he was in a very good shape. My question is for how long is he going to be alive? When I asked doctors about it they had no idea. I'm very close to my grandpa and I just want to know how much time can I spend with him.</t>
        </is>
      </c>
      <c r="D3485" t="n">
        <v>0</v>
      </c>
      <c r="E3485" t="n">
        <v>2</v>
      </c>
      <c r="F3485">
        <f>HYPERLINK("https://www.reddit.com/r/cancer/comments/ccq16b/my_grandpa_has_metastasis/")</f>
        <v/>
      </c>
      <c r="G3485" t="inlineStr">
        <is>
          <t>2019-07-13 07:38:32</t>
        </is>
      </c>
      <c r="H3485" t="inlineStr"/>
    </row>
    <row r="3486">
      <c r="A3486" t="inlineStr">
        <is>
          <t>ccsyw3</t>
        </is>
      </c>
      <c r="B3486" t="inlineStr">
        <is>
          <t>My dad and his family want to switch to alternative medicine</t>
        </is>
      </c>
      <c r="C3486" t="inlineStr">
        <is>
          <t>[rant] I hate when my family says they believe in natural medicine, when there's all these people that have been treated with chemo, radio, and other drugs successfully, it's like they completely ignore that.
It's been a year since they diagnosed my dad with stage 4 lung cancer, going through chemo. 
Now they want him to quit chemo "because it's not working" and try alternative medicine, some scorpion water thing that tastes like nothing and smells like nothing. 
I know he's an adult and can make his own decisions but I just don't feel like it's a good idea.</t>
        </is>
      </c>
      <c r="D3486" t="n">
        <v>21</v>
      </c>
      <c r="E3486" t="n">
        <v>17</v>
      </c>
      <c r="F3486">
        <f>HYPERLINK("https://www.reddit.com/r/cancer/comments/ccsyw3/my_dad_and_his_family_want_to_switch_to/")</f>
        <v/>
      </c>
      <c r="G3486" t="inlineStr">
        <is>
          <t>2019-07-13 11:56:28</t>
        </is>
      </c>
      <c r="H3486" t="inlineStr"/>
    </row>
    <row r="3487">
      <c r="A3487" t="inlineStr">
        <is>
          <t>cctojt</t>
        </is>
      </c>
      <c r="B3487" t="inlineStr">
        <is>
          <t>How do I support my cousin.</t>
        </is>
      </c>
      <c r="C3487" t="inlineStr">
        <is>
          <t>Hereditary Myeloma ( apparently a milder blood cancer). She was diagnosed at 35, so young. Seems like treatment is performing average. She is due to go on to the heavy chemo in Nov and lose all her hair. I don’t think she’s seen the worst of it. Our family is always there an supportive but not really. You see her mother died 5 years ago at 58 also of cancer. I think as a result it has numbed her and her remaining family members so much that now while she is suffering it’s pretty much in silence. How can I support her?</t>
        </is>
      </c>
      <c r="D3487" t="n">
        <v>3</v>
      </c>
      <c r="E3487" t="n">
        <v>0</v>
      </c>
      <c r="F3487">
        <f>HYPERLINK("https://www.reddit.com/r/cancer/comments/cctojt/how_do_i_support_my_cousin/")</f>
        <v/>
      </c>
      <c r="G3487" t="inlineStr">
        <is>
          <t>2019-07-13 12:56:45</t>
        </is>
      </c>
      <c r="H3487" t="inlineStr"/>
    </row>
    <row r="3488">
      <c r="A3488" t="inlineStr">
        <is>
          <t>ccumcw</t>
        </is>
      </c>
      <c r="B3488" t="inlineStr">
        <is>
          <t>I’m pretty sure I’ve had some kind of skin cancer for years but I can’t afford being diagnosed with it and going through the treatment process.</t>
        </is>
      </c>
      <c r="C3488" t="inlineStr">
        <is>
          <t>Pretty much the title. I have all sorts of moles, most of them new since I’ve moved to Florida. I haven’t been as careful as I should have been with sunscreen. Some of them are raised, some feel warm, some have jagged borders, some borders kind of look like pisswater emanating from a clump of sauce (lighter borders), all sorts of shapes and colors. Cancer runs in my mom’s family too, so I have every reason to suspect I may have neglected skin cancer and have had it for years. 
The problem is I can’t afford to know about it if I do have cancer. I could possibly afford a visit to a dermatologist but there is no way on earth I could afford to go through treatment if I do have cancer. If even one of these are malignant, I don’t have the money to make this discovery. 
What should I do? I’m really not sure how to proceed.</t>
        </is>
      </c>
      <c r="D3488" t="n">
        <v>0</v>
      </c>
      <c r="E3488" t="n">
        <v>8</v>
      </c>
      <c r="F3488">
        <f>HYPERLINK("https://www.reddit.com/r/cancer/comments/ccumcw/im_pretty_sure_ive_had_some_kind_of_skin_cancer/")</f>
        <v/>
      </c>
      <c r="G3488" t="inlineStr">
        <is>
          <t>2019-07-13 14:17:20</t>
        </is>
      </c>
      <c r="H3488" t="inlineStr"/>
    </row>
    <row r="3489">
      <c r="A3489" t="inlineStr">
        <is>
          <t>ccv04e</t>
        </is>
      </c>
      <c r="B3489" t="inlineStr">
        <is>
          <t>My father</t>
        </is>
      </c>
      <c r="C3489" t="inlineStr">
        <is>
          <t>Hello everyone, I’m a 14 year old boy and recently me and my family were informed that my father had a positive in the colon cancer screening test. Currently we are very close to moving to the USA and this might hold everything back, like my schooling, his job, my mothers job etc. Even though we don’t know for sure if he has cancer or not, I’ve already lost all hope and feel so lonely and empty.</t>
        </is>
      </c>
      <c r="D3489" t="n">
        <v>12</v>
      </c>
      <c r="E3489" t="n">
        <v>8</v>
      </c>
      <c r="F3489">
        <f>HYPERLINK("https://www.reddit.com/r/cancer/comments/ccv04e/my_father/")</f>
        <v/>
      </c>
      <c r="G3489" t="inlineStr">
        <is>
          <t>2019-07-13 14:52:04</t>
        </is>
      </c>
      <c r="H3489" t="inlineStr"/>
    </row>
    <row r="3490">
      <c r="A3490" t="inlineStr">
        <is>
          <t>ccv5o4</t>
        </is>
      </c>
      <c r="B3490" t="inlineStr">
        <is>
          <t>My mom is starting her first course of chemo and radiation and I want to know how I can be the best support for her</t>
        </is>
      </c>
      <c r="C3490" t="inlineStr">
        <is>
          <t>My mom was diagnosed with stage 3 cervical cancer in 2015, she had a radical hysterectomy and removal of many of her poplital and inguinal lymph nodes. She decided against any further treatment with chemo or radiation and to just 'let nature take it's course' (in her words), surprisingly she did not have any further issues until a few weeks ago during her annual PET scan showed some abnormalities, she had a visit with her oncologist who examined her and found a new tumor in her vaginal cuff. She had an MRI which showed that the tumor is in the early stages of invading her bladder, she did agree to chemo and radiation at this time. So she has 6 hour chemo sessions for the next 5 weeks and radiation for the next 6 weeks, then she will have surgery after finishing the radiation to remove the remaining tumor. She is incredibly nervous and uncomfortable in going to chemo, she has a habit of not asking questions when she needs to and just nodding along without understanding to get something over with, which makes me really nervous when I'm not there. I'll be with her every Wednesday for sure through her treatment, and a couple other days as I can throughout the week. My mom has zero support outside of me. My brother and I are her only family, and my brother does not want to be involved in any medical business (long story). She has no friends and no one else to be there for her. I want to know what are the best things I can do to support her while she's going through treatment. What were things that really helped someone else going through treatment, or what did someone do for someone else going through treatment? Any specific tips for helping with side effects?</t>
        </is>
      </c>
      <c r="D3490" t="n">
        <v>6</v>
      </c>
      <c r="E3490" t="n">
        <v>2</v>
      </c>
      <c r="F3490">
        <f>HYPERLINK("https://www.reddit.com/r/cancer/comments/ccv5o4/my_mom_is_starting_her_first_course_of_chemo_and/")</f>
        <v/>
      </c>
      <c r="G3490" t="inlineStr">
        <is>
          <t>2019-07-13 15:05:58</t>
        </is>
      </c>
      <c r="H3490" t="inlineStr"/>
    </row>
    <row r="3491">
      <c r="A3491" t="inlineStr">
        <is>
          <t>ccvack</t>
        </is>
      </c>
      <c r="B3491" t="inlineStr">
        <is>
          <t>Metastatic Melanoma in the Lymph Nodes</t>
        </is>
      </c>
      <c r="C3491" t="inlineStr">
        <is>
          <t>Well, wasn't that a shock. Here I was expecting plain 'ol Hodgkins, when sudden i'm diagnosed with at least Stage 3, possibly stage 4 Melanoma. Other than those enlarged frigging lymph nodes I'm as health as can be, didn't see this coming at all.
&amp;amp;#x200B;
Now comes the waiting for the PET scan to find out just how advanced it is - and this part is just causing me to struggle with the wait. Anyone got any tips on dealing? How to best square up final days with the kids &amp;amp; wife? This is such a shock.</t>
        </is>
      </c>
      <c r="D3491" t="n">
        <v>10</v>
      </c>
      <c r="E3491" t="n">
        <v>10</v>
      </c>
      <c r="F3491">
        <f>HYPERLINK("https://www.reddit.com/r/cancer/comments/ccvack/metastatic_melanoma_in_the_lymph_nodes/")</f>
        <v/>
      </c>
      <c r="G3491" t="inlineStr">
        <is>
          <t>2019-07-13 15:17:43</t>
        </is>
      </c>
      <c r="H3491" t="inlineStr"/>
    </row>
    <row r="3492">
      <c r="A3492" t="inlineStr">
        <is>
          <t>ccvngf</t>
        </is>
      </c>
      <c r="B3492" t="inlineStr">
        <is>
          <t>Cancerous Things (Poem I wrote during treatment)</t>
        </is>
      </c>
      <c r="C3492" t="inlineStr">
        <is>
          <t>Needles and hoses   
and hour-long sittings,  
Bright ruby blood draws and awkward tube fittings,  
Brown spots that end up with every-week stings,  
These are a few of my cancerous things.  
Cream colored skin marks and crisp sunburned freckles,  
Blotches and splotches  
and mutating speckles,  
Wild spots that fly onto limbs and fair wings,  
These are a few of my cancerous things.  
Girls dressed in white coats with blue pill box caches,  
Drip drops that flip flop my moods and cause crashes,  
Silver-white hairs that slip into my strings,  
These are a few of my cancerous things,  
When the doc writes  
all the scriptings,  
When I'm feeling had,  
I simply rebuke all my cancerous things,  
And then keep feeling rad.</t>
        </is>
      </c>
      <c r="D3492" t="n">
        <v>64</v>
      </c>
      <c r="E3492" t="n">
        <v>16</v>
      </c>
      <c r="F3492">
        <f>HYPERLINK("https://www.reddit.com/r/cancer/comments/ccvngf/cancerous_things_poem_i_wrote_during_treatment/")</f>
        <v/>
      </c>
      <c r="G3492" t="inlineStr">
        <is>
          <t>2019-07-13 15:51:28</t>
        </is>
      </c>
      <c r="H3492" t="inlineStr"/>
    </row>
    <row r="3493">
      <c r="A3493" t="inlineStr">
        <is>
          <t>ccwkqo</t>
        </is>
      </c>
      <c r="B3493" t="inlineStr">
        <is>
          <t>Anyone had experience with fingertips and toe tips turning red and swollen along with knee and lower leg pain?</t>
        </is>
      </c>
      <c r="C3493" t="inlineStr">
        <is>
          <t>So my mom has stage 4 nsclc. She was on carboplatin the first 4 months in 2019 and then moved to pemetrexid and immuno with side effects being a severe swollen face particularly around the eyes. Now her lower legs are swollen and toes and fingers swelling and turning red and says her knees feel like they are going to give out and has to sit with her legs propped up but even that doesnt take away the pain. She also just got off steroids that were trying to control the swelling. Anyone else experience or have any information?</t>
        </is>
      </c>
      <c r="D3493" t="n">
        <v>6</v>
      </c>
      <c r="E3493" t="n">
        <v>5</v>
      </c>
      <c r="F3493">
        <f>HYPERLINK("https://www.reddit.com/r/cancer/comments/ccwkqo/anyone_had_experience_with_fingertips_and_toe/")</f>
        <v/>
      </c>
      <c r="G3493" t="inlineStr">
        <is>
          <t>2019-07-13 17:20:19</t>
        </is>
      </c>
      <c r="H3493" t="inlineStr"/>
    </row>
    <row r="3494">
      <c r="A3494" t="inlineStr">
        <is>
          <t>ccya50</t>
        </is>
      </c>
      <c r="B3494" t="inlineStr">
        <is>
          <t>What can I do to help my Mom with her fatigue?</t>
        </is>
      </c>
      <c r="C3494" t="inlineStr">
        <is>
          <t>Hi guys! I am back. Things have been going pretty well lately. My Mom has renal cancer and we are going to the hotel tomorrow and we have pre-ops on Monday. 1st surgery is on July 30th. Things have been going pretty well personality wise and the family has been civil. My Mom's fatigue has been getting a lot worse. She is always talking about how tired she is and she will now ask me to make decisions on her behalf. Nothing too serious but things like "should she go to church, she feels guilty, ect." My Mom has horrible anxiety and I just want to know what I should do about the fatigue and what I can do to help her, especially before or after the surgery. Thank you!!!</t>
        </is>
      </c>
      <c r="D3494" t="n">
        <v>1</v>
      </c>
      <c r="E3494" t="n">
        <v>7</v>
      </c>
      <c r="F3494">
        <f>HYPERLINK("https://www.reddit.com/r/cancer/comments/ccya50/what_can_i_do_to_help_my_mom_with_her_fatigue/")</f>
        <v/>
      </c>
      <c r="G3494" t="inlineStr">
        <is>
          <t>2019-07-13 20:17:33</t>
        </is>
      </c>
      <c r="H3494" t="inlineStr"/>
    </row>
    <row r="3495">
      <c r="A3495" t="inlineStr">
        <is>
          <t>ccybom</t>
        </is>
      </c>
      <c r="B3495" t="inlineStr">
        <is>
          <t>Can I be around elderly people during chemo?</t>
        </is>
      </c>
      <c r="C3495" t="inlineStr">
        <is>
          <t>I work for a bed-bound 90 something year old woman. I only see things online about staying away from babies and small children.</t>
        </is>
      </c>
      <c r="D3495" t="n">
        <v>2</v>
      </c>
      <c r="E3495" t="n">
        <v>8</v>
      </c>
      <c r="F3495">
        <f>HYPERLINK("https://www.reddit.com/r/cancer/comments/ccybom/can_i_be_around_elderly_people_during_chemo/")</f>
        <v/>
      </c>
      <c r="G3495" t="inlineStr">
        <is>
          <t>2019-07-13 20:21:58</t>
        </is>
      </c>
      <c r="H3495" t="inlineStr"/>
    </row>
    <row r="3496">
      <c r="A3496" t="inlineStr">
        <is>
          <t>ccyohm</t>
        </is>
      </c>
      <c r="B3496" t="inlineStr">
        <is>
          <t>I had my 6 month scan and...</t>
        </is>
      </c>
      <c r="C3496" t="inlineStr">
        <is>
          <t>The image quality is so poor that I don't think anything can accurately be determined from them. 
I booked this facility because I liked the technician there but I got a new tech this time. I'm not sure if the poor quality is due to the new tech's lack of experience, a problem with the scanner, or too much movement on my part. I doubt it was too much movement on my part though because my other two scans yielded much clearer images and I just laid there all three times.
It just sucks because I waited 6 months for this scan and I get injected with something toxic every time I have one so they have to be spaced far apart.</t>
        </is>
      </c>
      <c r="D3496" t="n">
        <v>3</v>
      </c>
      <c r="E3496" t="n">
        <v>2</v>
      </c>
      <c r="F3496">
        <f>HYPERLINK("https://www.reddit.com/r/cancer/comments/ccyohm/i_had_my_6_month_scan_and/")</f>
        <v/>
      </c>
      <c r="G3496" t="inlineStr">
        <is>
          <t>2019-07-13 21:01:07</t>
        </is>
      </c>
      <c r="H3496" t="inlineStr"/>
    </row>
    <row r="3497">
      <c r="A3497" t="inlineStr">
        <is>
          <t>ccyst4</t>
        </is>
      </c>
      <c r="B3497" t="inlineStr">
        <is>
          <t>Talking in Sleep Question</t>
        </is>
      </c>
      <c r="C3497" t="inlineStr">
        <is>
          <t>Hello,
My dad has pancreatic cancer and also has a strange liver infection that won’t be killed by antibiotics. Lately, he’s been moving a lot and talking in his sleep. Does anyone know what that could be caused by? Has anyone else seen this before? Thanks!</t>
        </is>
      </c>
      <c r="D3497" t="n">
        <v>0</v>
      </c>
      <c r="E3497" t="n">
        <v>1</v>
      </c>
      <c r="F3497">
        <f>HYPERLINK("https://www.reddit.com/r/cancer/comments/ccyst4/talking_in_sleep_question/")</f>
        <v/>
      </c>
      <c r="G3497" t="inlineStr">
        <is>
          <t>2019-07-13 21:14:05</t>
        </is>
      </c>
      <c r="H3497" t="inlineStr"/>
    </row>
    <row r="3498">
      <c r="A3498" t="inlineStr">
        <is>
          <t>cczq8u</t>
        </is>
      </c>
      <c r="B3498" t="inlineStr">
        <is>
          <t>Aggressive and rare salivary duct carcinoma</t>
        </is>
      </c>
      <c r="C3498" t="inlineStr">
        <is>
          <t>Hello reddit. 
Sorry for any poor formatting beforehand as I am posting from mobile.
My step dad has just been diagnosed with what they've referred to as "rare and aggressive" salivary duct carcinoma that they've said they can't help him with. 
I have no idea about any of this stuff, I'm only 24 and never dealt with sickness like this in my immediate family. He is my step dad but he raised me as his own from the time I was 9 years old and he is my dad to me and I am in so much pain.
I don't know where to go from here. I have tried googling but it's all medical jargon that I can't wrap my head around and I live out of my parents house so I can't be directly involved always, due to working fulltime and living 45 minutes away. 
I don't know if anyone here has dealt with this specifically but I just need someone to talk to.</t>
        </is>
      </c>
      <c r="D3498" t="n">
        <v>1</v>
      </c>
      <c r="E3498" t="n">
        <v>5</v>
      </c>
      <c r="F3498">
        <f>HYPERLINK("https://www.reddit.com/r/cancer/comments/cczq8u/aggressive_and_rare_salivary_duct_carcinoma/")</f>
        <v/>
      </c>
      <c r="G3498" t="inlineStr">
        <is>
          <t>2019-07-13 23:07:32</t>
        </is>
      </c>
      <c r="H3498" t="inlineStr"/>
    </row>
    <row r="3499">
      <c r="A3499" t="inlineStr">
        <is>
          <t>cd178g</t>
        </is>
      </c>
      <c r="B3499" t="inlineStr">
        <is>
          <t>Chemo brain</t>
        </is>
      </c>
      <c r="C3499" t="inlineStr">
        <is>
          <t>Okay, so I’m in some desperate help here. For anyone who has undergone Chemo and has dealt with Chemo Brain, I have to know. What did you do to help fix it?
My brain is such a mess that the other day, I was at a store. I put my card in the debit machine, blinked, and completely forgot where my debit was and started to frantically search my pockets, up and down the isles, and as I was about to leave to see if I left it at home, the cashier was finally able to get my attention and tell me that it was still in the machine. 
I play a lot of puzzle games, I play a lot of Magic The Gathering, and none of those have really seemed to help. I feel that this chemo brain is just getting worse and worse. 
Ontop of that, I’ve also been having severe issues with my hands. My doctor informed me that I did suffer some brain damage from the cancer(stage 4 non-Hopkins, B-Cell, high grade Lymphoma), and because of that damage, my hands just....randomly stop working. 
And example of this is I could be sittin in a chair playing with my phone, sometimes one of two things happen, my hand just opens up on its own and my phone falls to the ground. The weirder one is....like, my hand will take whatever I’m holding and do a surprisingly hard throw using just my wrist. I’ve broken a few things doing that. The doctors for that bit haven’t been much helpful. 
They just keep telling me that because I was so fucked it before the cancer that the normal 6 months to heal, will most likely take anywhere from 1-2 years. 
 But my concern is that these issues are getting worse, not better. During chemo, the memory thing was basically nothing. And as for the hand. During chemo, it was only my left hand and it would randomly, about 1-2 times a week just go extremely numb. Almost like a fat person sat on it and it fell asleep. 
So again. I’m just asking if anyone has any tip, or tricks, or food that could help me here. The doctors have basically been no help and even though I tell them I’m still I horrible pain from everything and that my broken back(I fractured my spine about two weeks after a double lung transplant. Up til cancer my back pain was never stopping me from doing simple stuff but now, I can barely walk around the block), anyways, it seems that the Cancer and Chemo have turned my usually 3/10 pain level on my back to a CONSTANT 7-8/10. So now the doctors are basically trying to make me go cold turkey on coming off pain meds. 
So again, not to harass. I am pleading, I am begging, I am crying for any and all help. I just want to go back to the way things were before cancer. 
Sorry for the rambling. I hope people read this.</t>
        </is>
      </c>
      <c r="D3499" t="n">
        <v>17</v>
      </c>
      <c r="E3499" t="n">
        <v>17</v>
      </c>
      <c r="F3499">
        <f>HYPERLINK("https://www.reddit.com/r/cancer/comments/cd178g/chemo_brain/")</f>
        <v/>
      </c>
      <c r="G3499" t="inlineStr">
        <is>
          <t>2019-07-14 02:36:59</t>
        </is>
      </c>
      <c r="H3499" t="inlineStr"/>
    </row>
    <row r="3500">
      <c r="A3500" t="inlineStr">
        <is>
          <t>cd1spo</t>
        </is>
      </c>
      <c r="B3500" t="inlineStr">
        <is>
          <t>Odd Stares and Disgusted looks from Strangers</t>
        </is>
      </c>
      <c r="C3500" t="inlineStr">
        <is>
          <t>For those who had chemo and had this take a toll on their appearance... did you ever experience odd stares and disgusted looks from strangers?
I can't fathom how this can be. A person with chemo would inspire sympathy with me, and it would never even occur to me to stare at them. But apparently the world views different.</t>
        </is>
      </c>
      <c r="D3500" t="n">
        <v>36</v>
      </c>
      <c r="E3500" t="n">
        <v>25</v>
      </c>
      <c r="F3500">
        <f>HYPERLINK("https://www.reddit.com/r/cancer/comments/cd1spo/odd_stares_and_disgusted_looks_from_strangers/")</f>
        <v/>
      </c>
      <c r="G3500" t="inlineStr">
        <is>
          <t>2019-07-14 04:02:20</t>
        </is>
      </c>
      <c r="H3500" t="inlineStr"/>
    </row>
    <row r="3501">
      <c r="A3501" t="inlineStr">
        <is>
          <t>cd1znk</t>
        </is>
      </c>
      <c r="B3501" t="inlineStr">
        <is>
          <t>What am I meant to say to my pop?</t>
        </is>
      </c>
      <c r="C3501" t="inlineStr">
        <is>
          <t>My pops on his deathbed. What am I meant to say to him. I've never lost a family member before. 
I'm also worried that because he isn't in a good state of mind will he really hear what I say and take it to heart?</t>
        </is>
      </c>
      <c r="D3501" t="n">
        <v>5</v>
      </c>
      <c r="E3501" t="n">
        <v>4</v>
      </c>
      <c r="F3501">
        <f>HYPERLINK("https://www.reddit.com/r/cancer/comments/cd1znk/what_am_i_meant_to_say_to_my_pop/")</f>
        <v/>
      </c>
      <c r="G3501" t="inlineStr">
        <is>
          <t>2019-07-14 04:28:59</t>
        </is>
      </c>
      <c r="H3501" t="inlineStr"/>
    </row>
    <row r="3502">
      <c r="A3502" t="inlineStr">
        <is>
          <t>cd3thu</t>
        </is>
      </c>
      <c r="B3502" t="inlineStr">
        <is>
          <t>My mom lost her battle with cancer 2 weeks ago.</t>
        </is>
      </c>
      <c r="C3502" t="inlineStr">
        <is>
          <t>My mom has been fighting the initial lung cancer as it slowly ate through her body for the last 2 years.
I brought her to all her Dr. appointments and followed every x-ray, CT scan and MRI report with detailed interest.
I was with her when her drivers licence was taken away due to a mets brain tumour, as she sunk deeper and deeper into her depression.
What haunts me is that she never accepted that death was coming and we would argue as i was trying to prepare for it. 
I feel like i failed her even though i devoted the last 2 years of my life trying to save her, and it was all for nothing.
Im angry that she never got a chance to fight this thing from the start - it was always going to take her. And that is so unfair.
She deserved a chance to enjoy her life after a lifetime of working so hard, as a single mother raising me and my sister who also suffers with mental illness.
And she didnt get chance to make peace with all of us, because she could never face what was coming.</t>
        </is>
      </c>
      <c r="D3502" t="n">
        <v>57</v>
      </c>
      <c r="E3502" t="n">
        <v>12</v>
      </c>
      <c r="F3502">
        <f>HYPERLINK("https://www.reddit.com/r/cancer/comments/cd3thu/my_mom_lost_her_battle_with_cancer_2_weeks_ago/")</f>
        <v/>
      </c>
      <c r="G3502" t="inlineStr">
        <is>
          <t>2019-07-14 07:48:47</t>
        </is>
      </c>
      <c r="H3502" t="inlineStr"/>
    </row>
    <row r="3503">
      <c r="A3503" t="inlineStr">
        <is>
          <t>cd44kj</t>
        </is>
      </c>
      <c r="B3503" t="inlineStr">
        <is>
          <t>I have told 3 people</t>
        </is>
      </c>
      <c r="C3503" t="inlineStr">
        <is>
          <t>I found out I have a stromal tumor on one of my testicles. I found out in the beginning of May. I’m only 18 and was deadly afraid of the affect it would have on others lives so I got checked out and went through the process of screenings by myself. I haven’t told my parents. I told my grandmother, sister, and best friend. I went for another test to see if the tumor was benign but never went back to the doctor to get the results and have been avoiding the doctors since. That was around a month ago. I have had a lot of depressing shit run through my life recently and this isn’t on the top of my concerns. But I came on here to see how people broke the news to their loved ones and friends. I don’t want to ruin my friends’ summer but I feel I already have based on my distancing from people. I really need support in this but I can’t find it in myself.</t>
        </is>
      </c>
      <c r="D3503" t="n">
        <v>6</v>
      </c>
      <c r="E3503" t="n">
        <v>12</v>
      </c>
      <c r="F3503">
        <f>HYPERLINK("https://www.reddit.com/r/cancer/comments/cd44kj/i_have_told_3_people/")</f>
        <v/>
      </c>
      <c r="G3503" t="inlineStr">
        <is>
          <t>2019-07-14 08:16:50</t>
        </is>
      </c>
      <c r="H3503" t="inlineStr"/>
    </row>
    <row r="3504">
      <c r="A3504" t="inlineStr">
        <is>
          <t>cd46r7</t>
        </is>
      </c>
      <c r="B3504" t="inlineStr">
        <is>
          <t>I think i might have testicular cancer</t>
        </is>
      </c>
      <c r="C3504" t="inlineStr">
        <is>
          <t>What are the symptoms? Im really scared right now</t>
        </is>
      </c>
      <c r="D3504" t="n">
        <v>1</v>
      </c>
      <c r="E3504" t="n">
        <v>7</v>
      </c>
      <c r="F3504">
        <f>HYPERLINK("https://www.reddit.com/r/cancer/comments/cd46r7/i_think_i_might_have_testicular_cancer/")</f>
        <v/>
      </c>
      <c r="G3504" t="inlineStr">
        <is>
          <t>2019-07-14 08:22:16</t>
        </is>
      </c>
      <c r="H3504" t="inlineStr"/>
    </row>
    <row r="3505">
      <c r="A3505" t="inlineStr">
        <is>
          <t>cd5aes</t>
        </is>
      </c>
      <c r="B3505" t="inlineStr">
        <is>
          <t>Is there no cure for the post surgical pain? For how long will the pain last?</t>
        </is>
      </c>
      <c r="C3505" t="inlineStr">
        <is>
          <t>My father has undergone surgery and reconstruction for buccal carcinoma.  He has to use a mouth opener to stretch his muscles.  His shoulder   neck mouth lips jaw hurt all the time.  What can he do to calm down this pain? When will he lose the pain and be normal again? How will he survive the pain for so long? And why? For us?</t>
        </is>
      </c>
      <c r="D3505" t="n">
        <v>1</v>
      </c>
      <c r="E3505" t="n">
        <v>0</v>
      </c>
      <c r="F3505">
        <f>HYPERLINK("https://www.reddit.com/r/cancer/comments/cd5aes/is_there_no_cure_for_the_post_surgical_pain_for/")</f>
        <v/>
      </c>
      <c r="G3505" t="inlineStr">
        <is>
          <t>2019-07-14 09:57:48</t>
        </is>
      </c>
      <c r="H3505" t="inlineStr"/>
    </row>
    <row r="3506">
      <c r="A3506" t="inlineStr">
        <is>
          <t>cd7dan</t>
        </is>
      </c>
      <c r="B3506" t="inlineStr">
        <is>
          <t>Depression first, then cancer</t>
        </is>
      </c>
      <c r="C3506" t="inlineStr">
        <is>
          <t>I’ve been in treatment for depression 20+ years.  Then came cancer.  I’ve survived a bunch of chemo and a stem cell transplant.  Although an excellent weight loss program, I cannot recommend either.  
Now I want to be that happy, grateful victor sending out inspirational memes.  Aren’t I supposed to be a guru of survivorship?   Well, turns out that due to all this stress my depression is WAY worse.  I’m working w my psychiatrist on it, changing meds around, and considering TMS.  
I guess I’m just venting.  I AM grateful to my donor.  What a truly selfless act especially because she is a stranger to me.  I try to be worthy of her gift.  I am not sure that I am or if I can be.  
Ugh.  Ok, so I’m venting AND whining.</t>
        </is>
      </c>
      <c r="D3506" t="n">
        <v>3</v>
      </c>
      <c r="E3506" t="n">
        <v>1</v>
      </c>
      <c r="F3506">
        <f>HYPERLINK("https://www.reddit.com/r/cancer/comments/cd7dan/depression_first_then_cancer/")</f>
        <v/>
      </c>
      <c r="G3506" t="inlineStr">
        <is>
          <t>2019-07-14 12:52:16</t>
        </is>
      </c>
      <c r="H3506" t="inlineStr"/>
    </row>
    <row r="3507">
      <c r="A3507" t="inlineStr">
        <is>
          <t>cd919f</t>
        </is>
      </c>
      <c r="B3507" t="inlineStr">
        <is>
          <t>CANCER IS FOR SINNERS, WHICH ARE NIGGERS, FAGGOTS AND RETARDS!!!</t>
        </is>
      </c>
      <c r="C3507" t="inlineStr">
        <is>
          <t>YOU GET WHAT YOU DESERVE. HOPE YOU DIE SLOWLY!!!!
I HAD A KITTEN  IT WAS ORANGE. SHE DIED WHEN I SHOVED MY ENTIRE COCK IN HER LITTLE PUSSY. I DID USE LUBE BUT DID NOT SAVE HER. I CALLED A VET WHO WAS NOT NICE TO ME ON THE PHONE WHEN I EXPLAINED WHAT I DID. SHE WAS STILL BREATHING BUT I TOSSED IT IN THE TRASH. I WILL MAKE SURE THIS DOES NOT HAPPEN AGAIN. I WENT TO CONFESSION AND DONATED AT A SHELTER. I AM GETTING ANOTHER ONE THIS WEEKEND. I BOUGHT BETTER LUBE FROM CVS AND NOT THE DOLLAR STORE. I WILL WEAR A CONDOM AS WELL AS I DON’T WANT TO GET HER PREGNANT. THANK YOU REDDIT FAMILY FOR EMBRACING ME. I LOVE YOU ALL. JESUS IS LORD, HE IS LAMB AMEN!</t>
        </is>
      </c>
      <c r="D3507" t="n">
        <v>0</v>
      </c>
      <c r="E3507" t="n">
        <v>0</v>
      </c>
      <c r="F3507">
        <f>HYPERLINK("https://www.reddit.com/r/cancer/comments/cd919f/cancer_is_for_sinners_which_are_niggers_faggots/")</f>
        <v/>
      </c>
      <c r="G3507" t="inlineStr">
        <is>
          <t>2019-07-14 15:12:04</t>
        </is>
      </c>
      <c r="H3507" t="inlineStr"/>
    </row>
    <row r="3508">
      <c r="A3508" t="inlineStr">
        <is>
          <t>cdak0k</t>
        </is>
      </c>
      <c r="B3508" t="inlineStr">
        <is>
          <t>Dark line on nail, subungual melnoma or mole?</t>
        </is>
      </c>
      <c r="C3508" t="inlineStr">
        <is>
          <t>I just noticed today a faint dark line running vertically down my right pointer finger nail, from the base all the way to the very end. I never noticed it there before, but then again it's not like I stare at my nails every day so I can't be 100% sure. I'm 28 F of Asian descent and have no health problems but do have family history of cancer. I'm certain I didn't injure my finger or nail recently so I don't think it's a splinter hemorrhage. The only thing I've had done recently was getting quite a decent amount of blood drawn from that arm a few days ago and felt some aching/tingling sensation in that arm that has now disappeared.  I have a follow-up with my PCP next week in regards to my blood work so I'll bring it up to her then. 
So my question is for those who experienced something similar: did your dark line appear fairly quickly like mine did or did it appear gradually over months? What tests did you end up doing with the dermatologist to rule out melanoma? 
&amp;amp;#x200B;
*Processing img 1jnmm8b44da31...*</t>
        </is>
      </c>
      <c r="D3508" t="n">
        <v>0</v>
      </c>
      <c r="E3508" t="n">
        <v>5</v>
      </c>
      <c r="F3508">
        <f>HYPERLINK("https://www.reddit.com/r/cancer/comments/cdak0k/dark_line_on_nail_subungual_melnoma_or_mole/")</f>
        <v/>
      </c>
      <c r="G3508" t="inlineStr">
        <is>
          <t>2019-07-14 17:33:06</t>
        </is>
      </c>
      <c r="H3508" t="inlineStr"/>
    </row>
    <row r="3509">
      <c r="A3509" t="inlineStr">
        <is>
          <t>cdbioo</t>
        </is>
      </c>
      <c r="B3509" t="inlineStr">
        <is>
          <t>One of my best friends is dying</t>
        </is>
      </c>
      <c r="C3509" t="inlineStr">
        <is>
          <t>I don't know what to do. I don't know how to handle this. This is someone I grew up with and now he's dying. He has stage 4 anal melanoma. He's already had one large mass removed and now hes telling us that he has to go in for surgery again and may lose his colon. Cancer fucking sucks.</t>
        </is>
      </c>
      <c r="D3509" t="n">
        <v>41</v>
      </c>
      <c r="E3509" t="n">
        <v>4</v>
      </c>
      <c r="F3509">
        <f>HYPERLINK("https://www.reddit.com/r/cancer/comments/cdbioo/one_of_my_best_friends_is_dying/")</f>
        <v/>
      </c>
      <c r="G3509" t="inlineStr">
        <is>
          <t>2019-07-14 19:06:35</t>
        </is>
      </c>
      <c r="H3509" t="inlineStr"/>
    </row>
    <row r="3510">
      <c r="A3510" t="inlineStr">
        <is>
          <t>cdby9r</t>
        </is>
      </c>
      <c r="B3510" t="inlineStr">
        <is>
          <t>Mom was just diagnosed with breast cancer</t>
        </is>
      </c>
      <c r="C3510" t="inlineStr">
        <is>
          <t>Apparently it’s early stages but don’t know for sure. The doctor told her that she would need chemo, radiation and an operation to remove the affected breast if not both. We just found out on friday, but honestly I can’t wrap my head around it; I feel kinda numb about it like I keep repeating it in my head over and over again and I still can’t fully believe it (we have cancer history though, with my moms mom and my aunt, but I never thought my mom would get it, since she is older than my aunt; my stupid brain thought that if my aunt got it first then my mom was safe) anyways, I guess I write this to know what to expect, at least the “start” to this horrible journey. (Sorry if my writing is not that great; english is not my mother tongue)</t>
        </is>
      </c>
      <c r="D3510" t="n">
        <v>1</v>
      </c>
      <c r="E3510" t="n">
        <v>0</v>
      </c>
      <c r="F3510">
        <f>HYPERLINK("https://www.reddit.com/r/cancer/comments/cdby9r/mom_was_just_diagnosed_with_breast_cancer/")</f>
        <v/>
      </c>
      <c r="G3510" t="inlineStr">
        <is>
          <t>2019-07-14 19:48:53</t>
        </is>
      </c>
      <c r="H3510" t="inlineStr"/>
    </row>
    <row r="3511">
      <c r="A3511" t="inlineStr">
        <is>
          <t>cdgbfk</t>
        </is>
      </c>
      <c r="B3511" t="inlineStr">
        <is>
          <t>Stage 4 Lung Cancer</t>
        </is>
      </c>
      <c r="C3511" t="inlineStr">
        <is>
          <t>A beloved family friend of ours was recently diagnosed with stage 4 lung cancer. She had a nagging cough that started a few months ago. We are more than devastated as her family and ours have become like family. 
In looking at the treatment landscape, what are some novel innovative solutions that can give her and us a modicum of hope? i’ve been reading about immunotherapy etc any others come to mind?</t>
        </is>
      </c>
      <c r="D3511" t="n">
        <v>5</v>
      </c>
      <c r="E3511" t="n">
        <v>9</v>
      </c>
      <c r="F3511">
        <f>HYPERLINK("https://www.reddit.com/r/cancer/comments/cdgbfk/stage_4_lung_cancer/")</f>
        <v/>
      </c>
      <c r="G3511" t="inlineStr">
        <is>
          <t>2019-07-15 04:32:08</t>
        </is>
      </c>
      <c r="H3511" t="inlineStr"/>
    </row>
    <row r="3512">
      <c r="A3512" t="inlineStr">
        <is>
          <t>cdhabf</t>
        </is>
      </c>
      <c r="B3512" t="inlineStr">
        <is>
          <t>Gastic malt lymphoma with perforation</t>
        </is>
      </c>
      <c r="C3512" t="inlineStr">
        <is>
          <t>Cancer was discovered 3 years ago when an endoscopy was performed on bleeding gastric ulcers. No insurance and no resources for treatment. Thus for the first 2 years nothing was done except wait and watch. Then we went to mexico for amoxyline treatment. ( a natural treatment ) since it was much cheaper and no other resources could be found for typical US treatment. That was 2 months ago. For the last 2 weeks he's been in severe pain. 2 MRIs were done at 2 different times by the same hospital emergency room who subsequently sent his home with zofran and tylenol 3 which didnt even touch the pain. Yesterday we went back in where they found that he had a perforation of the stomach. Dr came in after the surgery not knowing that we knew he had cancer. He either didn't read the chart at all or it wasn't put in his chart. Dr went in and found the cancer he was not aware of. He ultimately removed 65 percent of the stomach including a 6cm tumor and some smaller ones around the perforation. He said chemo is desperately needed but said he had no avenues for support. 
The questions I have are: 
Since perforations usually only happen in advanced stages what is the life expectancy with no chemo? 
Has anyone ever done these amoxyline treatment and did they help or could they have exasperated the situation? 
Is it possible the dr got all the cancer out during surgery and that he'll heal and be cancer free or with this make more tumors flare up in what's left of his stomach? 
 Does anyone know of US treatment options that help advanced patients with help getting treatment? 
Please dont shame for trying natural remedies. It wasn't like we have much choice here and if it helped at all it was worth it.</t>
        </is>
      </c>
      <c r="D3512" t="n">
        <v>12</v>
      </c>
      <c r="E3512" t="n">
        <v>15</v>
      </c>
      <c r="F3512">
        <f>HYPERLINK("https://www.reddit.com/r/cancer/comments/cdhabf/gastic_malt_lymphoma_with_perforation/")</f>
        <v/>
      </c>
      <c r="G3512" t="inlineStr">
        <is>
          <t>2019-07-15 06:10:38</t>
        </is>
      </c>
      <c r="H3512" t="inlineStr"/>
    </row>
    <row r="3513">
      <c r="A3513" t="inlineStr">
        <is>
          <t>cdhg2x</t>
        </is>
      </c>
      <c r="B3513" t="inlineStr">
        <is>
          <t>High dose chemo with stem cell rescue / major cancer center vs other</t>
        </is>
      </c>
      <c r="C3513" t="inlineStr">
        <is>
          <t>My fiance is gearing up to start high dose chemo with stem cell rescue in the next week or 2. We find out exactly when sometime next week. For stage IV Germ Cell Cancer: Choriocarcinoma that didn't have complete response to first chemo 4x VIP.
He is a pretty physically fit guy and has done such an amazing job throughout his first round of chemo and after. Before all this we both would workout quite a bit as we both work with the local fitness community. Between his first 4 rounds of chemo he would even test how much he could workout and that has continued with a vengeance in the last 2 months that hes been done. Although hes not 100%, overall it seems he's had as good of chemo side effects as possible.
We would like to believe this will hold true for him on high dose, although maybe as good as it gets is still much worse then last time. We are hoping for "as good as it gets"
The part that is stressing him, us, out the most is that we need to leave our home, sublet our apartment or move out within a week or so. Leave our jobs, both self employed with small businesses and find housing in NYC to be at Sloan Kettering. But we live in Albany NY and there is a group here that also does High dose with stem cell transplant and we are unsure if we should opt for that if it will be the same drugs/ protocol anyway. 
Has anyone here gone through the High-dose with stem cell rescue? What was your experience? Did you go to a major cancer center or did you have another option closer?</t>
        </is>
      </c>
      <c r="D3513" t="n">
        <v>6</v>
      </c>
      <c r="E3513" t="n">
        <v>4</v>
      </c>
      <c r="F3513">
        <f>HYPERLINK("https://www.reddit.com/r/cancer/comments/cdhg2x/high_dose_chemo_with_stem_cell_rescue_major/")</f>
        <v/>
      </c>
      <c r="G3513" t="inlineStr">
        <is>
          <t>2019-07-15 06:25:52</t>
        </is>
      </c>
      <c r="H3513" t="inlineStr"/>
    </row>
    <row r="3514">
      <c r="A3514" t="inlineStr">
        <is>
          <t>cdi5fn</t>
        </is>
      </c>
      <c r="B3514" t="inlineStr">
        <is>
          <t>What are tumors supposed to feel like?</t>
        </is>
      </c>
      <c r="C3514" t="inlineStr">
        <is>
          <t>Soft? Hard and solid? Or jelly-like or something else thank you very much for you answees</t>
        </is>
      </c>
      <c r="D3514" t="n">
        <v>0</v>
      </c>
      <c r="E3514" t="n">
        <v>3</v>
      </c>
      <c r="F3514">
        <f>HYPERLINK("https://www.reddit.com/r/cancer/comments/cdi5fn/what_are_tumors_supposed_to_feel_like/")</f>
        <v/>
      </c>
      <c r="G3514" t="inlineStr">
        <is>
          <t>2019-07-15 07:29:49</t>
        </is>
      </c>
      <c r="H3514" t="inlineStr"/>
    </row>
    <row r="3515">
      <c r="A3515" t="inlineStr">
        <is>
          <t>cdie4u</t>
        </is>
      </c>
      <c r="B3515" t="inlineStr">
        <is>
          <t>The best person I've ever met is gone.</t>
        </is>
      </c>
      <c r="C3515" t="inlineStr">
        <is>
          <t>He was 33 years old, diagnosed less than six months ago. He died this morning. He was an art student, even worked on the sets of plenty of movies, but you'll never know his name. He was the nicest person I've ever fucking met. He took my sister off of the streets and helped her cope with addiction, he took me in at 17 when my parents kicked me out for being gay, he took in a coworker who had two children, so that she could get away from an abusive relationship. He always did more than expected for other people. He put them before himself almost always, you had to force the guy to do something for himself. He stayed after work for almost two hours to help a homeless man apply for an EBT card. 
I never got to say goodbye. He told me I didn't have to, he went to Pakistan, where his family is, and told me he'd come back in a month. Before he left, he proposed to my sister, and now she's devastated. He was the most caring person I've ever met. I only knew him for a short time, but he did so much for me and I'll never have the opportunity to show him how grateful I am.
Fuck cancer...</t>
        </is>
      </c>
      <c r="D3515" t="n">
        <v>114</v>
      </c>
      <c r="E3515" t="n">
        <v>14</v>
      </c>
      <c r="F3515">
        <f>HYPERLINK("https://www.reddit.com/r/cancer/comments/cdie4u/the_best_person_ive_ever_met_is_gone/")</f>
        <v/>
      </c>
      <c r="G3515" t="inlineStr">
        <is>
          <t>2019-07-15 07:50:12</t>
        </is>
      </c>
      <c r="H3515" t="inlineStr"/>
    </row>
    <row r="3516">
      <c r="A3516" t="inlineStr">
        <is>
          <t>cdjrpo</t>
        </is>
      </c>
      <c r="B3516" t="inlineStr">
        <is>
          <t>My friend thinks he has skin cancer and his parents refuse to take him to a clinic. What are his options?</t>
        </is>
      </c>
      <c r="C3516" t="inlineStr">
        <is>
          <t>As the title says. He’s afraid he might have skin cancer, yet when he brings it up to his parents brush it off and tell him it’s probably not a big deal. Recently he’s been passing out and vomiting a lot. 
So we’re both minors, we both don’t have cars, and we’re both pretty much stuck. We don’t want to wait around to see if he dies. My best idea so far has been searching around for a free clinic near us. What can we do?</t>
        </is>
      </c>
      <c r="D3516" t="n">
        <v>2</v>
      </c>
      <c r="E3516" t="n">
        <v>3</v>
      </c>
      <c r="F3516">
        <f>HYPERLINK("https://www.reddit.com/r/cancer/comments/cdjrpo/my_friend_thinks_he_has_skin_cancer_and_his/")</f>
        <v/>
      </c>
      <c r="G3516" t="inlineStr">
        <is>
          <t>2019-07-15 09:40:32</t>
        </is>
      </c>
      <c r="H3516" t="inlineStr"/>
    </row>
    <row r="3517">
      <c r="A3517" t="inlineStr">
        <is>
          <t>cdln8c</t>
        </is>
      </c>
      <c r="B3517" t="inlineStr">
        <is>
          <t>My fiance [21] is dying.</t>
        </is>
      </c>
      <c r="C3517" t="inlineStr">
        <is>
          <t>She was told today that the cancer is too aggressive and treatment won't work. She already had kidney disease. She she already had a life long disease and cancer took what little she had left. 
I don't know what to do.
It's not fair.</t>
        </is>
      </c>
      <c r="D3517" t="n">
        <v>22</v>
      </c>
      <c r="E3517" t="n">
        <v>12</v>
      </c>
      <c r="F3517">
        <f>HYPERLINK("https://www.reddit.com/r/cancer/comments/cdln8c/my_fiance_21_is_dying/")</f>
        <v/>
      </c>
      <c r="G3517" t="inlineStr">
        <is>
          <t>2019-07-15 11:51:08</t>
        </is>
      </c>
      <c r="H3517" t="inlineStr"/>
    </row>
    <row r="3518">
      <c r="A3518" t="inlineStr">
        <is>
          <t>cdlo05</t>
        </is>
      </c>
      <c r="B3518" t="inlineStr">
        <is>
          <t>Thought I'd share a quick little fun story while I had a sec!</t>
        </is>
      </c>
      <c r="C3518" t="inlineStr">
        <is>
          <t>So my gf and I have been living together for over a year now and have been planning to get married for a while. When the news of my diagnosis came through we both knew that we wanted to get at least married on paper ASAP because I am not insured but she is and I can get on her insurance and then we want do all of the official actual fun ceremony stuff later on down the road.
Long story short, we went to get our marriage license today but needed a minister to sign for it, so we asked around and some awesome people we knew pulled some strings and, since they are old school and I work at a Christian college, they booked a chapel and a minister is already planning a quick little speech for us haha. We're having the "ceremony" at 2pm all to sign the papers but nonetheless it will be a fun experience we will always remember haha.
Again, we're planning on doing all of the more formal/official stuff soon but I just thought this would be a fun little potentially uplifting story to share on our way to the thing!
Good luck in your endeavors friends!</t>
        </is>
      </c>
      <c r="D3518" t="n">
        <v>25</v>
      </c>
      <c r="E3518" t="n">
        <v>3</v>
      </c>
      <c r="F3518">
        <f>HYPERLINK("https://www.reddit.com/r/cancer/comments/cdlo05/thought_id_share_a_quick_little_fun_story_while_i/")</f>
        <v/>
      </c>
      <c r="G3518" t="inlineStr">
        <is>
          <t>2019-07-15 11:52:36</t>
        </is>
      </c>
      <c r="H3518" t="inlineStr"/>
    </row>
    <row r="3519">
      <c r="A3519" t="inlineStr">
        <is>
          <t>cdlo4m</t>
        </is>
      </c>
      <c r="B3519" t="inlineStr">
        <is>
          <t>Anybody have experience with psychedelics during/after cancer?</t>
        </is>
      </c>
      <c r="C3519" t="inlineStr">
        <is>
          <t>I'm a recent bone marrow transplant recipient as treatment for AML . I'm experiencing a great deal of depression and existential issues, and have heard really good things about psyllicibin and LSD in helping with these issues/ especially for cancer patients. I'm curious if anyone has had any experience with these?</t>
        </is>
      </c>
      <c r="D3519" t="n">
        <v>6</v>
      </c>
      <c r="E3519" t="n">
        <v>12</v>
      </c>
      <c r="F3519">
        <f>HYPERLINK("https://www.reddit.com/r/cancer/comments/cdlo4m/anybody_have_experience_with_psychedelics/")</f>
        <v/>
      </c>
      <c r="G3519" t="inlineStr">
        <is>
          <t>2019-07-15 11:52:51</t>
        </is>
      </c>
      <c r="H3519" t="inlineStr"/>
    </row>
    <row r="3520">
      <c r="A3520" t="inlineStr">
        <is>
          <t>cdlq8g</t>
        </is>
      </c>
      <c r="B3520" t="inlineStr">
        <is>
          <t>My last friend has gone</t>
        </is>
      </c>
      <c r="C3520" t="inlineStr">
        <is>
          <t>7 months ago I posted a rather depressing rant about how I escaped the recurrence of cancer whereas friends                                      succumbed within months. In may this year my friend of 32 years left this world after years of fighting. He literally fought to the bitter end; it took 5 types of cancer to bring him down. In the end, when he got his 6th round of antibiotics in so many months, he finally threw in the towel. He wanted to leave on his own terms and when all arrangements were in place he suddenly decided it was time to go. When we visit his wife - which we do often, to help or just to chat - it is still strange to look at his chair which is empty now. I know he no longer suffers and we can recall fond memories but the feeling of loss is immense.</t>
        </is>
      </c>
      <c r="D3520" t="n">
        <v>34</v>
      </c>
      <c r="E3520" t="n">
        <v>4</v>
      </c>
      <c r="F3520">
        <f>HYPERLINK("https://www.reddit.com/r/cancer/comments/cdlq8g/my_last_friend_has_gone/")</f>
        <v/>
      </c>
      <c r="G3520" t="inlineStr">
        <is>
          <t>2019-07-15 11:56:55</t>
        </is>
      </c>
      <c r="H3520" t="inlineStr"/>
    </row>
    <row r="3521">
      <c r="A3521" t="inlineStr">
        <is>
          <t>cdmyev</t>
        </is>
      </c>
      <c r="B3521" t="inlineStr">
        <is>
          <t>Confussed</t>
        </is>
      </c>
      <c r="C3521" t="inlineStr">
        <is>
          <t>I've been on Reddit for a long time, tried reaching out to people from this thread months ago. I was  told I could not because of a month rule. I'm three weeks post-op from mastectomy. 
I'm doing great, though I would still like to talk now and again. May I?</t>
        </is>
      </c>
      <c r="D3521" t="n">
        <v>9</v>
      </c>
      <c r="E3521" t="n">
        <v>5</v>
      </c>
      <c r="F3521">
        <f>HYPERLINK("https://www.reddit.com/r/cancer/comments/cdmyev/confussed/")</f>
        <v/>
      </c>
      <c r="G3521" t="inlineStr">
        <is>
          <t>2019-07-15 13:26:35</t>
        </is>
      </c>
      <c r="H3521" t="inlineStr"/>
    </row>
    <row r="3522">
      <c r="A3522" t="inlineStr">
        <is>
          <t>cdnbp0</t>
        </is>
      </c>
      <c r="B3522" t="inlineStr">
        <is>
          <t>Advice from young persons who have mucinous carcinoma..</t>
        </is>
      </c>
      <c r="C3522" t="inlineStr">
        <is>
          <t>I'm 35 and had a mastectomy. All my post-op test have been negative and I am starting radiation therapy next week (because of size of tumor, location, and age) I am scared. Please, others who may help, let me know what to expect. My doctor told me I wouldn't be too sick or get tired. I'm worried about how my skin will react, and what to use to help.</t>
        </is>
      </c>
      <c r="D3522" t="n">
        <v>7</v>
      </c>
      <c r="E3522" t="n">
        <v>7</v>
      </c>
      <c r="F3522">
        <f>HYPERLINK("https://www.reddit.com/r/cancer/comments/cdnbp0/advice_from_young_persons_who_have_mucinous/")</f>
        <v/>
      </c>
      <c r="G3522" t="inlineStr">
        <is>
          <t>2019-07-15 13:54:51</t>
        </is>
      </c>
      <c r="H3522" t="inlineStr"/>
    </row>
    <row r="3523">
      <c r="A3523" t="inlineStr">
        <is>
          <t>cdns8w</t>
        </is>
      </c>
      <c r="B3523" t="inlineStr">
        <is>
          <t>Have you Completed Cancer Treatment? Bounce Back (a virtual research study) is recruiting!</t>
        </is>
      </c>
      <c r="C3523" t="inlineStr">
        <is>
          <t>Hi! 
I am a research coordinator for the Bounce Back Study at the Massachusetts General Hospital Cancer Center. We are recruiting **adolescents and young adults** who were diagnosed with cancer (any type) between the ages of 15-27 and have **completed treatment** in the past 5 years. Bounce Back is a **VIRTUAL** stress management and resilience program that takes place over 8-weeks. Participants will be compensated up to $90 for their time. Please don’t hesitate to reach out if you are interested in learning more or have any questions. Thank you! @MGHBounceBack</t>
        </is>
      </c>
      <c r="D3523" t="n">
        <v>0</v>
      </c>
      <c r="E3523" t="n">
        <v>1</v>
      </c>
      <c r="F3523">
        <f>HYPERLINK("https://www.reddit.com/r/cancer/comments/cdns8w/have_you_completed_cancer_treatment_bounce_back_a/")</f>
        <v/>
      </c>
      <c r="G3523" t="inlineStr">
        <is>
          <t>2019-07-15 14:31:03</t>
        </is>
      </c>
      <c r="H3523" t="inlineStr"/>
    </row>
    <row r="3524">
      <c r="A3524" t="inlineStr">
        <is>
          <t>cdo80x</t>
        </is>
      </c>
      <c r="B3524" t="inlineStr">
        <is>
          <t>Am I getting too much chemo? Need advice</t>
        </is>
      </c>
      <c r="C3524" t="inlineStr">
        <is>
          <t>6 months ago I found out I have a brain tumor. In February I had the surgery and it was a complete resection, the tumor was only around 1.5cmx1cm. Pathology tests found that it was cancer, medulloblastoma. Only 200 in a million adults get this type of tumor as it’s more commonly a children’s only type of cancer and rarely occurs in adults. Because it’s so rare, there isn’t much information on how to treat adults and the doctors have just been going by how they treat children, the few studies that’s are out there and protocols. Even though I had complete resection and no spread of the cancer, they said I had to do daily radiation for 6 weeks and a once weekly chemo (vincristine). I completed that and now I have to get 6 cycles of chemo, once every 4 weeks. Each cycle consists of me getting chemo over 3 days with 2 different drugs (cisplatin on day 1 and cyclophosphamide on day 2 and 3.) I can’t help but think I’m getting all this chemo for nothing, but I also don’t know what the chances are of this tumor growing back if I don’t get all 6 cycles. I drive myself crazy thinking that I had complete resection, the tumor was small and caught super early, it didn’t spread to my spine and i seem like a good case, yet I still have to get all this chemo even after zapping my brain with so much radiation. I’m torn between thinking this is unnecessary and what if the tumor grows back without this much chemo. The doctors just keep saying this is what’s been done in the past and this is what has the best outcomes, but they don’t seem to be considering the good aspects of my case and are treating me the same as usual cases, which are usually much larger tumors that are not caught early or haven’t been completely resected. Has anyone ever been in this situation?</t>
        </is>
      </c>
      <c r="D3524" t="n">
        <v>7</v>
      </c>
      <c r="E3524" t="n">
        <v>6</v>
      </c>
      <c r="F3524">
        <f>HYPERLINK("https://www.reddit.com/r/cancer/comments/cdo80x/am_i_getting_too_much_chemo_need_advice/")</f>
        <v/>
      </c>
      <c r="G3524" t="inlineStr">
        <is>
          <t>2019-07-15 15:06:28</t>
        </is>
      </c>
      <c r="H3524" t="inlineStr"/>
    </row>
    <row r="3525">
      <c r="A3525" t="inlineStr">
        <is>
          <t>cdpjt5</t>
        </is>
      </c>
      <c r="B3525" t="inlineStr">
        <is>
          <t>My Grandpa was just diagnosed with Stage 4 Cancer</t>
        </is>
      </c>
      <c r="C3525" t="inlineStr">
        <is>
          <t>A month ago my grandpa was diagnosed with stomach cancer. They took most of his stomach out and we were told everything was looking good. Today we found out that the cancer spread and he has Stage 4 cancer in his colon lining (not in the colon) and on his lungs.
&amp;amp;#x200B;
My grandpa has been the most influential person in my life. My father was not around when I was young so he is like my father.  I can not imagine life without him. I am hoping for the best but I also want to spend my time wisely with him. He tried not to tell us how long the doctor gave him but my grandma let it slip that they are thinking two months.  
&amp;amp;#x200B;
What are some things that I can do to help while he is going through chemo and to keep him comfortable in general?</t>
        </is>
      </c>
      <c r="D3525" t="n">
        <v>12</v>
      </c>
      <c r="E3525" t="n">
        <v>3</v>
      </c>
      <c r="F3525">
        <f>HYPERLINK("https://www.reddit.com/r/cancer/comments/cdpjt5/my_grandpa_was_just_diagnosed_with_stage_4_cancer/")</f>
        <v/>
      </c>
      <c r="G3525" t="inlineStr">
        <is>
          <t>2019-07-15 17:02:37</t>
        </is>
      </c>
      <c r="H3525" t="inlineStr"/>
    </row>
    <row r="3526">
      <c r="A3526" t="inlineStr">
        <is>
          <t>cdpvs8</t>
        </is>
      </c>
      <c r="B3526" t="inlineStr">
        <is>
          <t>13 year old brother live streaming drumming to fight cancer</t>
        </is>
      </c>
      <c r="C3526" t="inlineStr">
        <is>
          <t>My Little brother is attempting a 24-hour drumming live stream to raise money for cancer research! he is taking any song request so go in there and show some love!
 [https://youtu.be/HJ-bhcMAAR0](https://youtu.be/HJ-bhcMAAR0)</t>
        </is>
      </c>
      <c r="D3526" t="n">
        <v>73</v>
      </c>
      <c r="E3526" t="n">
        <v>4</v>
      </c>
      <c r="F3526">
        <f>HYPERLINK("https://www.reddit.com/r/cancer/comments/cdpvs8/13_year_old_brother_live_streaming_drumming_to/")</f>
        <v/>
      </c>
      <c r="G3526" t="inlineStr">
        <is>
          <t>2019-07-15 17:33:51</t>
        </is>
      </c>
      <c r="H3526" t="inlineStr"/>
    </row>
    <row r="3527">
      <c r="A3527" t="inlineStr">
        <is>
          <t>cdqwn1</t>
        </is>
      </c>
      <c r="B3527" t="inlineStr">
        <is>
          <t>Anyone else feeling vulnerable and uncertain about the future?</t>
        </is>
      </c>
      <c r="C3527" t="inlineStr">
        <is>
          <t>Bit of a longtime lurker but felt like I needed to post this.I'm 19 years old and coming up on five years to the end of my last treatment in December. Objectively life is going well, I'm enrolled at a decent university studying something I'm passionate about and surround myself with a decent circle of friends, good family etc. 
However, I still don't feel fully 'whole' (if that makes sense) and just feel vulnerable, especially with constant reminders of my cancer. As I had Osteosarcoma I have a metal EPR which limits me to an extent on certain activities especially when it comes to sport and as I was treated partly with Doxorubicin I now have a heart problem which I take medication daily - most probably for life. Even five years on I struggle to escape the effects cancer has had on me, and I just sorta feel at a loss for what the future might hold for me, as I feel like I could relapse at any time even though I know that's unrealistic and instead I should just be grateful to be a survivor and make the most with my life. I just have trouble really venting about it to other people, as I virtually know no one my age with a similar cancer. I just feel sometime I don't fit in even though I get along with my mates so well as I feel like I have no one I can properly emphasise with.
I know this is probably more of a vent/rant than anything constructive, but it's something I've been feeling for a while and felt like I needed to share with someone and just wondered if anyone else in similar circumstances felt the same?</t>
        </is>
      </c>
      <c r="D3527" t="n">
        <v>34</v>
      </c>
      <c r="E3527" t="n">
        <v>28</v>
      </c>
      <c r="F3527">
        <f>HYPERLINK("https://www.reddit.com/r/cancer/comments/cdqwn1/anyone_else_feeling_vulnerable_and_uncertain/")</f>
        <v/>
      </c>
      <c r="G3527" t="inlineStr">
        <is>
          <t>2019-07-15 19:09:32</t>
        </is>
      </c>
      <c r="H3527" t="inlineStr"/>
    </row>
    <row r="3528">
      <c r="A3528" t="inlineStr">
        <is>
          <t>cdrgs3</t>
        </is>
      </c>
      <c r="B3528" t="inlineStr">
        <is>
          <t>Do I deserve being called a cancer survivor?</t>
        </is>
      </c>
      <c r="C3528" t="inlineStr">
        <is>
          <t>I had retinoblastoma (an eye cancer) from when I was 2 until I was 5. I was blinded in my left eye, but I don’t remember much about treatment and I don’t feel like it has impacted what I do today. Other’s stories about cancer makes me feel like mine was insignificant. Do I deserve to be called a survivor when compared to other people, I’ve barely gone through what they have?</t>
        </is>
      </c>
      <c r="D3528" t="n">
        <v>13</v>
      </c>
      <c r="E3528" t="n">
        <v>19</v>
      </c>
      <c r="F3528">
        <f>HYPERLINK("https://www.reddit.com/r/cancer/comments/cdrgs3/do_i_deserve_being_called_a_cancer_survivor/")</f>
        <v/>
      </c>
      <c r="G3528" t="inlineStr">
        <is>
          <t>2019-07-15 20:02:09</t>
        </is>
      </c>
      <c r="H3528" t="inlineStr"/>
    </row>
    <row r="3529">
      <c r="A3529" t="inlineStr">
        <is>
          <t>cdrsmh</t>
        </is>
      </c>
      <c r="B3529" t="inlineStr">
        <is>
          <t>Reality Check?</t>
        </is>
      </c>
      <c r="C3529" t="inlineStr">
        <is>
          <t>My father has stage 4 pancreatic cancer. His first chemo was Folfox which did not work. His oncologist then had him try another chemo that had him 3 weeks on and 1 week off. He had a pet scan done a week after the treatment was finished. He wound up in the hospital due to a huge ulcer in his stomach. So I called the oncologist asking for the results because we just needed to know. 
The oncologist said he was very happy with the results and that his tumor in the pancreas is stabilized and the cancer cells that were in his stomach are gone. We were really happy about this news and the oncologist said that in 7 weeks he will start his 3rd chemo treatment.
Now going back to him being in the hospital for the ulcer... the ulcer he had was so bad that he almost bled out and he needed emergency surgery to fix it. The surgeon who fixed the ulcer was talking to my husband and I and he brought up the cancer. We told him what the oncologist said and he basically said that he saw what the cancer was doing to him inside.
My dad has a drain in his stomach that drains liquid out due to fluid build up. The surgeon said that the liquid getting drained out of his stomach is cancer. He said he is going to slowly deteriorate and it is what is going to kill him. He said there is no curing this. He said the fluid in his stomach is what makes him stage 4. He also said we should really think about if we want him to continue with chemo and that we maybe should look into immunotherapy. He said that we should think about quality of life not quantity. He told us he called his oncologist and spoke with him. We also tried to contact the oncologist but have no gotten a call back. 
I am wondering what the surgeon saw or what the conversation was about when he called. Whatever he said is making the oncologist not return our calls. I kind of trust the surgeon. He said both of his parents died of cancer and his father had pancreatic cancer. I think he wanted to let us know this to get our feet on the ground and realize how deadly this cancer really is. It definitely gave me a reality check. 
What I am confused about is my dads results.. why did the oncologist say that everything is going great and there are no cells in his stomach when the surgeon saw something he didn't like.</t>
        </is>
      </c>
      <c r="D3529" t="n">
        <v>10</v>
      </c>
      <c r="E3529" t="n">
        <v>7</v>
      </c>
      <c r="F3529">
        <f>HYPERLINK("https://www.reddit.com/r/cancer/comments/cdrsmh/reality_check/")</f>
        <v/>
      </c>
      <c r="G3529" t="inlineStr">
        <is>
          <t>2019-07-15 20:34:41</t>
        </is>
      </c>
      <c r="H3529" t="inlineStr"/>
    </row>
    <row r="3530">
      <c r="A3530" t="inlineStr">
        <is>
          <t>cdrxuf</t>
        </is>
      </c>
      <c r="B3530" t="inlineStr">
        <is>
          <t>My first Cancer walk!! How many of you have done this?</t>
        </is>
      </c>
      <c r="C3530" t="inlineStr">
        <is>
          <t>I am now almost 3 years in remission from a rare type of blood cancer called Burkitts Lymphoma. It was tough as hell. I went through aggressive chemotherapy, 16 spinal tap chemotherapy, blood transfusions,  platelets transfusions and all in patient treatment for about 6 months. I have always been nervous to ask people to sponsor me in a walk. 
I finally found the walk the matters most to me. It is to raise money for the hospital that saved my life. Juravinski Cancer Center is always upping their game to really focus on cancer and I was lucky to live in the same city as it. 
I am so happy that I am $5.00 away from $600 sponsorship now!!! Yay!! 
How many of you have done walks like this? And what was your goals or what did you achieve? 
http://events.hamiltonhealth.ca/site/TR/Events/TeamraisersTheme1?px=1042810&amp;amp;pg=personal&amp;amp;fr_id=1991</t>
        </is>
      </c>
      <c r="D3530" t="n">
        <v>4</v>
      </c>
      <c r="E3530" t="n">
        <v>3</v>
      </c>
      <c r="F3530">
        <f>HYPERLINK("https://www.reddit.com/r/cancer/comments/cdrxuf/my_first_cancer_walk_how_many_of_you_have_done/")</f>
        <v/>
      </c>
      <c r="G3530" t="inlineStr">
        <is>
          <t>2019-07-15 20:49:23</t>
        </is>
      </c>
      <c r="H3530" t="inlineStr"/>
    </row>
    <row r="3531">
      <c r="A3531" t="inlineStr">
        <is>
          <t>cduwzg</t>
        </is>
      </c>
      <c r="B3531" t="inlineStr">
        <is>
          <t>Just got the call that my father passed about an hour ago.</t>
        </is>
      </c>
      <c r="C3531" t="inlineStr">
        <is>
          <t>I posted here about a couple months ago that my father was diagnosed with lung cancer and I had no clue what to do. It went way faster than I expected. Doctors said 6 months to a year and I think I was barely 6 months from when he learned.
.
I asked here what sort of things would be helpful to keep him busy since he was basically immobile and I’m happy I tried to give him a carpet stitching project but it think it was too late seeing how his energy level was. I had all these old vhs tapes I wanted cleaned and on dvd for him to watch at home and I’m sad to say I let that slide and he never got to watch any old memories. I still don’t know how I will approach doing this sadly. 
.
I recently went through I knee surgery and over the last month have been recovering but not ready for the drive up to his house to visit. I planned to drive up tomorrow morning with my brother. I just got the call from my step mom that he passed while at home with hospice and we were too late. There was so much I wish I said but I was always on the verge of a breakdown I just couldn’t. I am happy that every second I was around him I did interact and  see him smile. This has been the first truly close person I have lost in my life and Sadly it feels like a learning experience to sympathize with others misfortunes. For some reason I find a little joy in knowing that no matter what everyone dies and if not now it would be later. I’m just happy I was able to come to terms with it over a longer period of time that I have accepted this.</t>
        </is>
      </c>
      <c r="D3531" t="n">
        <v>45</v>
      </c>
      <c r="E3531" t="n">
        <v>11</v>
      </c>
      <c r="F3531">
        <f>HYPERLINK("https://www.reddit.com/r/cancer/comments/cduwzg/just_got_the_call_that_my_father_passed_about_an/")</f>
        <v/>
      </c>
      <c r="G3531" t="inlineStr">
        <is>
          <t>2019-07-16 02:49:27</t>
        </is>
      </c>
      <c r="H3531" t="inlineStr"/>
    </row>
    <row r="3532">
      <c r="A3532" t="inlineStr">
        <is>
          <t>cdvqyo</t>
        </is>
      </c>
      <c r="B3532" t="inlineStr">
        <is>
          <t>Head Shaving Advice</t>
        </is>
      </c>
      <c r="C3532" t="inlineStr">
        <is>
          <t>My son (9yo) was recently diagnosed with Ewing’s Sarcoma, and is expected to lose his hair soon from the chemo.  His uncle and I are going to shave our heads in support.  I have a very thick head of hair and want to be as bald as possible all the way through this with him.  Any tips?  Once upon a time I heard disposable bics are the way to go, but any/all advice I can get would be appreciated.  Thanks in advance!</t>
        </is>
      </c>
      <c r="D3532" t="n">
        <v>6</v>
      </c>
      <c r="E3532" t="n">
        <v>15</v>
      </c>
      <c r="F3532">
        <f>HYPERLINK("https://www.reddit.com/r/cancer/comments/cdvqyo/head_shaving_advice/")</f>
        <v/>
      </c>
      <c r="G3532" t="inlineStr">
        <is>
          <t>2019-07-16 04:24:36</t>
        </is>
      </c>
      <c r="H3532" t="inlineStr"/>
    </row>
    <row r="3533">
      <c r="A3533" t="inlineStr">
        <is>
          <t>cdypm0</t>
        </is>
      </c>
      <c r="B3533" t="inlineStr">
        <is>
          <t>Non-Hodgkins Lymphoma question</t>
        </is>
      </c>
      <c r="C3533" t="inlineStr">
        <is>
          <t>Hi everyone, a friend of mine has got Non-Hodgkin Lymphoma back at Stage IV. They had it some years ago but was considered cured. 
They're due to start Chemo next week and it'll be weekly for the next 3 weeks. After the 3 weeks, they will have a PET scan to see if the tumours have gone or shrunk and if they have, they'll need to stay in a different hospital whilst they give a higher dose of chemo everyday. 
After that, they will be given a stem cell transplant for the next 21 days. 
&amp;amp;#x200B;
Will a stem cell transplant be required or does it depend on the chemo? From what I've read, a stem cell transplant has a survival rate of 5 yrs being at 30-50%.
It all sounds a bit confusing and we're just trying to wrap our heads round. 
Thanks in advance :)</t>
        </is>
      </c>
      <c r="D3533" t="n">
        <v>1</v>
      </c>
      <c r="E3533" t="n">
        <v>0</v>
      </c>
      <c r="F3533">
        <f>HYPERLINK("https://www.reddit.com/r/cancer/comments/cdypm0/nonhodgkins_lymphoma_question/")</f>
        <v/>
      </c>
      <c r="G3533" t="inlineStr">
        <is>
          <t>2019-07-16 08:41:29</t>
        </is>
      </c>
      <c r="H3533" t="inlineStr"/>
    </row>
    <row r="3534">
      <c r="A3534" t="inlineStr">
        <is>
          <t>cdysva</t>
        </is>
      </c>
      <c r="B3534" t="inlineStr">
        <is>
          <t>Your thoughts on refusing Chemo ?</t>
        </is>
      </c>
      <c r="C3534" t="inlineStr">
        <is>
          <t>I have been diagnosed with stage 4 stomach cancer, which has unfortunately spread to the appendix and intestines. My understanding is that there is no cure and that chemotherapy will only extend my life a bit. Death is not what scares me, it's the deterioration that precedes it. Having seen friends and family go through similar issues, I can say that quality of life is more important to me than quantity.
My follow-up meeting with the Oncology team is next week and I'm sure we'll have a lot to talk about but I'm leaning towards declining the chemo. The life expectancy ballpark I was given was a few months with no treatment to maybe a year with all available treatment. I know all the treatments will be very taxing and I feel like buying a few months isn't worth being constantly ill through the end.
Does anyone have and insight into this decision? Advice? I haven't made up my mind 100% but the more I think about it, the more I am leaning towards refusing the chemo.</t>
        </is>
      </c>
      <c r="D3534" t="n">
        <v>35</v>
      </c>
      <c r="E3534" t="n">
        <v>44</v>
      </c>
      <c r="F3534">
        <f>HYPERLINK("https://www.reddit.com/r/cancer/comments/cdysva/your_thoughts_on_refusing_chemo/")</f>
        <v/>
      </c>
      <c r="G3534" t="inlineStr">
        <is>
          <t>2019-07-16 08:48:31</t>
        </is>
      </c>
      <c r="H3534" t="inlineStr"/>
    </row>
    <row r="3535">
      <c r="A3535" t="inlineStr">
        <is>
          <t>cdz5yi</t>
        </is>
      </c>
      <c r="B3535" t="inlineStr">
        <is>
          <t>Effective way of preventing and curing cancer</t>
        </is>
      </c>
      <c r="C3535" t="inlineStr">
        <is>
          <t>Aajonus Vonderplanitz has cures to almost all disease. It's food. Cancer isn't something that magically appears. It appears for a reason. Attacking cancer isn't the way to fix it. It is there for a reason. Fix the reason. Don't attack symptoms, attack causes. Raw food is the way to go to preventing cancer, and almost all disease for the matter. Raw meat, raw milk, and raw eggs are vital for optimal health.</t>
        </is>
      </c>
      <c r="D3535" t="n">
        <v>1</v>
      </c>
      <c r="E3535" t="n">
        <v>0</v>
      </c>
      <c r="F3535">
        <f>HYPERLINK("https://www.reddit.com/r/cancer/comments/cdz5yi/effective_way_of_preventing_and_curing_cancer/")</f>
        <v/>
      </c>
      <c r="G3535" t="inlineStr">
        <is>
          <t>2019-07-16 09:15:31</t>
        </is>
      </c>
      <c r="H3535" t="inlineStr"/>
    </row>
    <row r="3536">
      <c r="A3536" t="inlineStr">
        <is>
          <t>cdzquk</t>
        </is>
      </c>
      <c r="B3536" t="inlineStr">
        <is>
          <t>Miracles can happen right? My dad is 53 and was diagnosed with gastric cancer 6 years ago and now he might be close to the end.</t>
        </is>
      </c>
      <c r="C3536" t="inlineStr">
        <is>
          <t>In a nut shell he’s been on and off with this for years. Back in 2013 when he was first diagnosed I was still in high school so my mom was the main person who knew what really went on and after those treatments remission was called. Then he relapsed last year when it became metastatic and traveled to his kidney. He had to go through treatment again which ended with positive results in December of last year...fast foreword to now he’s currently in the ICU. He was doing just fine until last Wednesday when his health deteriorated so fast, starting with severe back pain and continuous nosebleeds. It was the nose bleed that saved his life, a majority of the doctors we saw prescribed him some pain killers or muscle relaxants and sent him home until he got his nosebleeds which led a domino affect of him being admitted to meeting with his oncologist to being sent to the ER to being monitored for his bleeding and sodium levels to finally being admitted to the ICU and diagnosed with Disseminated intravascular coagulation (DIC) and syndrome of inappropriate antidiuretic hormone secretion (Siad). His numbers starting off where low, his sodium was at a 115. 
No one can really answer why this is happening or what is causing it but they’re chalking it up to his gastric cancer which has become aggressive. After he was stabilized, his chemo sessions started yesterday but the healthcare team working on his case predicts that he will most likely not make it though these treatments..were trying to be hopeful but it’s hard when it’s just bad news after the next. 
Miracles happen right?</t>
        </is>
      </c>
      <c r="D3536" t="n">
        <v>16</v>
      </c>
      <c r="E3536" t="n">
        <v>2</v>
      </c>
      <c r="F3536">
        <f>HYPERLINK("https://www.reddit.com/r/cancer/comments/cdzquk/miracles_can_happen_right_my_dad_is_53_and_was/")</f>
        <v/>
      </c>
      <c r="G3536" t="inlineStr">
        <is>
          <t>2019-07-16 09:58:48</t>
        </is>
      </c>
      <c r="H3536" t="inlineStr"/>
    </row>
    <row r="3537">
      <c r="A3537" t="inlineStr">
        <is>
          <t>ce0r84</t>
        </is>
      </c>
      <c r="B3537" t="inlineStr">
        <is>
          <t>My grandpa was diagnosed with stage 4 liver cancer that spread to his hip bone</t>
        </is>
      </c>
      <c r="C3537" t="inlineStr">
        <is>
          <t>I had a feeling. I had a feeling that what I was going to hear wasn’t going to be good news. My grandpa, being the stand up man that he is, tried to comfort ME. Isn’t that crazy? The most beautiful, funny, outstanding soul who is struggling with this drastic life change tried to make me feel better. “Don’t worry, I’m going to be strong. I feel good. I am going to do whatever I have to do.” 
I’m just scared. It’s such a late stage already. He doesn’t want to know how much time he has left. He just wants to do what he has to do and take it day by day. I’m trying to hold it together. Everyone is trying to hold it together. We have to be strong for him because it is not about us. I’ve also already spent time thinking about the what if’s. What if treatment doesn’t help? What if he doesn’t even want treatment after a while? What if it takes him sooner than expected? Will it take him at all? Imagining a life without him in it just sounds so sad. But I know I can’t think like that. I know I have to just cherish every moment I have with him now. No single life is promised. I know that.
So for those of you who lost someone to cancer, what did you do in the time you had left with them? How can I make him feel better? How can I make him less scared? How can I make him laugh?</t>
        </is>
      </c>
      <c r="D3537" t="n">
        <v>3</v>
      </c>
      <c r="E3537" t="n">
        <v>0</v>
      </c>
      <c r="F3537">
        <f>HYPERLINK("https://www.reddit.com/r/cancer/comments/ce0r84/my_grandpa_was_diagnosed_with_stage_4_liver/")</f>
        <v/>
      </c>
      <c r="G3537" t="inlineStr">
        <is>
          <t>2019-07-16 11:12:48</t>
        </is>
      </c>
      <c r="H3537" t="inlineStr"/>
    </row>
    <row r="3538">
      <c r="A3538" t="inlineStr">
        <is>
          <t>ce15n8</t>
        </is>
      </c>
      <c r="B3538" t="inlineStr">
        <is>
          <t>So frustrated.</t>
        </is>
      </c>
      <c r="C3538" t="inlineStr">
        <is>
          <t>I apologize for any formatting issues. I'm on mobile.   
I'm stage IV colon cancer patient.  I was told I was NED mid  April 2019.  However the very last week of April I started experiencing excruciating pain which seemed to be intestinal spasms and uncontrollable vomiting.  I've been to the ER several times.  My oncologist and gastroenterologist are both perplexed.  I had a PET, CT and colonoscopy prior to the onset of the new symptoms and all were clear at the beginning of April.
Each time I went to the ER they ran CT scans (5 times each after consult with oncologist).  They  didn't show any changes. Just a calcified small mass that is inactive on PET.     I just had an exploratory laparotomy last week.   They found a tiny growth which was removed and sent for biopsy.  But doctor says this is not causing the problem. 
I haven't eaten solid food since June 8.  I'm in a liquid diet.  It's too painful to eat.  And the vomiting doesn't stop until I get injections in the ER.  My quality of life has gone down tremendously. And even if this new growth is cancer again, it is not the cause of my problem.   I'm so frustrated.  Sorry of this isn't the right place.  I don't post often mostly lurk.  I didn't have these issues even when I was on FOLFOX and it was horrible. 
The only plus is the doctor admitting he doesn't know and is sending me to another Dr for another opinion.   I don't meet with the new doctor though until the end of the month.  I will get biopsy results on Friday.  I've already been told I will be restarting chemo if it's cancerous. 
Again, I apologize. I just had to vent.</t>
        </is>
      </c>
      <c r="D3538" t="n">
        <v>39</v>
      </c>
      <c r="E3538" t="n">
        <v>17</v>
      </c>
      <c r="F3538">
        <f>HYPERLINK("https://www.reddit.com/r/cancer/comments/ce15n8/so_frustrated/")</f>
        <v/>
      </c>
      <c r="G3538" t="inlineStr">
        <is>
          <t>2019-07-16 11:42:45</t>
        </is>
      </c>
      <c r="H3538" t="inlineStr"/>
    </row>
    <row r="3539">
      <c r="A3539" t="inlineStr">
        <is>
          <t>ce18xx</t>
        </is>
      </c>
      <c r="B3539" t="inlineStr">
        <is>
          <t>Is a CEA rise normal at the start of chemo?</t>
        </is>
      </c>
      <c r="C3539" t="inlineStr">
        <is>
          <t>My dad completed chemo last year for colorectal cancer and had wondrous results with it. The cancer came back in his liver a few months ago. He has IV treatment once every three weeks and takes pill chemo everyday.
He had his blood work done after his first IV chemo treatment and it rose from 3.9 at his initial diagnosis of the liver tumors to 11.1 after his first chemo treatment. This is absolutely devastating and worrisome for me.
I've seen some articles online about how this could just be an initial CEA shock and it doesn't exactly mean the chemo isn't working. The oncologist explained that during chemo, the tumors are being destroyed and spread through the blood which can cause the CEA levels to temporarily increase, but not necessarily meaning the chemo is failing.
Has anyone else experienced this?</t>
        </is>
      </c>
      <c r="D3539" t="n">
        <v>5</v>
      </c>
      <c r="E3539" t="n">
        <v>1</v>
      </c>
      <c r="F3539">
        <f>HYPERLINK("https://www.reddit.com/r/cancer/comments/ce18xx/is_a_cea_rise_normal_at_the_start_of_chemo/")</f>
        <v/>
      </c>
      <c r="G3539" t="inlineStr">
        <is>
          <t>2019-07-16 11:49:35</t>
        </is>
      </c>
      <c r="H3539" t="inlineStr"/>
    </row>
    <row r="3540">
      <c r="A3540" t="inlineStr">
        <is>
          <t>ce2cvi</t>
        </is>
      </c>
      <c r="B3540" t="inlineStr">
        <is>
          <t>Question</t>
        </is>
      </c>
      <c r="C3540" t="inlineStr">
        <is>
          <t>Is a colon cancer screen 100 percent correct? My grandma just took one and it came back positive? She is 64 years old so I don’t know how long she has. We just found out and it might be stage 1 but we don’t know yet.</t>
        </is>
      </c>
      <c r="D3540" t="n">
        <v>1</v>
      </c>
      <c r="E3540" t="n">
        <v>2</v>
      </c>
      <c r="F3540">
        <f>HYPERLINK("https://www.reddit.com/r/cancer/comments/ce2cvi/question/")</f>
        <v/>
      </c>
      <c r="G3540" t="inlineStr">
        <is>
          <t>2019-07-16 13:13:27</t>
        </is>
      </c>
      <c r="H3540" t="inlineStr"/>
    </row>
    <row r="3541">
      <c r="A3541" t="inlineStr">
        <is>
          <t>ce2gr3</t>
        </is>
      </c>
      <c r="B3541" t="inlineStr">
        <is>
          <t>Best way to prepare for a trip to the US as a dual US/CAN citizen with cancer without US medical coverage?</t>
        </is>
      </c>
      <c r="C3541" t="inlineStr">
        <is>
          <t>I am a 35m brain cancer patient who has been living in Canada for 10 years, and wants to travel to the US for a week at the end of this month to visit family. I have medical insurance through both my province (Ontario) and work, but my existing coverage requires that I be "stable" 90 prior to travel, which I am technically not as I was in the hospital for a seizure 6 weeks ago.
I've looked into alternate travel insurance, but they all have this condition.
It seems my only options are to either attempt to purchase US health insurance for as short a period as possible, or to risk going without insurance at all.
Any advice here?
As a secondary question, if I rack up medical debt in the US because of this and pass away, is my (Canadian-only) wife liable for any of it? There is no US estate to take from.</t>
        </is>
      </c>
      <c r="D3541" t="n">
        <v>1</v>
      </c>
      <c r="E3541" t="n">
        <v>1</v>
      </c>
      <c r="F3541">
        <f>HYPERLINK("https://www.reddit.com/r/cancer/comments/ce2gr3/best_way_to_prepare_for_a_trip_to_the_us_as_a/")</f>
        <v/>
      </c>
      <c r="G3541" t="inlineStr">
        <is>
          <t>2019-07-16 13:21:49</t>
        </is>
      </c>
      <c r="H3541" t="inlineStr"/>
    </row>
    <row r="3542">
      <c r="A3542" t="inlineStr">
        <is>
          <t>ce3ljg</t>
        </is>
      </c>
      <c r="B3542" t="inlineStr">
        <is>
          <t>I wish the doctor would listen</t>
        </is>
      </c>
      <c r="C3542" t="inlineStr">
        <is>
          <t>I usually love my doc. For 2 weeks now I've had diarrhea about 5-7x a day and some nausea with infrequent vomiting. Zero appetite. I have done 4 rounds of ipi/nivo with scans coming up next week. I called when it started. Asked if I should take the Prednisone I had leftover since I was taking a bit of a treatment break for scans anyways. Nope. Didn't want to see me, told me to get immodium. Nothing. Called because I was leaving for vaca in a few days and was feeling weak and it wasn't resolving at all. Sent me lomotil. Made me nauseous, didn't help. Called and asked if I could please take Prednisone, feeling awful, ruining vacation. Nope. Keep trying immodium and stick to the brat diet and stay hydrated and take Tylenol for fever. Monday I crawl into the cancer center and they are horrified. Down to 110 lb. 101 fever. Almost puked on reception. They admitted me overnight. Missed my first 2 days back from work. Guess what I got? Fucking Prednisone and fluids. And I feel better and am home already. Now I WILL have to take a treatment break since I was due to start up next week, but instead I'll be tapering off. I am super annoyed. But grateful I'm finally feeling better, and hey I got that high school weight back 😂 but goddamn if this could not have all been avoided had they just listened!! I know I'm not a doctor, but I am living, for now, in this body. Ugh.</t>
        </is>
      </c>
      <c r="D3542" t="n">
        <v>19</v>
      </c>
      <c r="E3542" t="n">
        <v>22</v>
      </c>
      <c r="F3542">
        <f>HYPERLINK("https://www.reddit.com/r/cancer/comments/ce3ljg/i_wish_the_doctor_would_listen/")</f>
        <v/>
      </c>
      <c r="G3542" t="inlineStr">
        <is>
          <t>2019-07-16 14:48:37</t>
        </is>
      </c>
      <c r="H3542" t="inlineStr"/>
    </row>
    <row r="3543">
      <c r="A3543" t="inlineStr">
        <is>
          <t>ce42ya</t>
        </is>
      </c>
      <c r="B3543" t="inlineStr">
        <is>
          <t>Google 'panacur c cancer' - It's working for a lot of people. It's cheap, over the counter, zero side effects for most, and my biologist family friend takes it, even without a cancer diagnosis.</t>
        </is>
      </c>
      <c r="C3543" t="inlineStr">
        <is>
          <t>Here are a few resources to check out:
https://www.lewrockwell.com/2019/05/bill-sardi/a-cancer-cure-has-gotten-out-of-control-and-has-spread-beyond-the-confines-of-modern-medicine/?fbclid=IwAR21DcvR7rR1wOUAFRKe4dhKrzmdDK4WpVCeinXmrI2Yuvf4gvqdhMxwoA8
https://www.koco.com/article/edmond-man-claims-cheap-drug-for-dogs-cured-his-cancer/27276538?fbclid=IwAR1dzov1yjr1tPZnmOvtz-zWWx9h8TA73x0sggfxiEjee93ux58cmKd0VS4
https://www.thesun.co.uk/fabulous/health-and-fitness/8951390/cancer-dog-worming-drug-months-oaklahoma/?fbclid=IwAR1dMG2ppFy9WQq5qtYnZBna4GoD0Ful4e3\_HMWRUnXfSAFxWqkvHkG8Bpk
https://www.ucsf.edu/news/2017/03/406321/deworming-pill-may-be-effective-treating-liver-cancer?fbclid=IwAR2RjuOSQ-Orv1Bl2tEFQVFRuYGRb6f8wzfPyViyG\_tvmOV8RKye7jvxp2Q
https://www.thehindubusinessline.com/news/science/veterinary-drug-may-be-repurposed-for-human-cancers-study/article24793200.ece
www.mycancerstory.rocks
&amp;amp;#x200B;
I asked my biologist family friend about the recommended dosage and she said   
"One gram per day for 3 days then 4 days with no panacurC. Every week. Mix it in oily food since it is fat-soluble and make sure the food has cooled. I put a tablespoon of good sesame or olive oil on my dinner then mixed in the panacure c powder. The guy with the blog just ate the powder though. And washed it down with water. See [www.mycancerstory.rocks](http://www.mycancerstory.rocks/?fbclid=IwAR0r6D70CP6Tev44bgynvVQkTPxHj7Lu6aDzlfhTIhCkF0ePD9vu5a-Xpew)."
&amp;amp;#x200B;
I also asked her what the possible consequences of taking this stuff without a diagnosis might be and she replied   
"It doesnt hurt the dogs that were treated for worms and cancer simultaneously but it is impossible to say at this time since there is no completed human cancer studies done....
And I suppose it would have to be tested with each type of chemo drug. Then again all chemo drugs are quite toxic so if it were me I would try Panacur C alone first. But that is just my opinion. I dont like to scare people by rattling off all the long term negative effects of chemo but there are a lot including causing different cancers to arise and lung fibrosis and sometimes organ failure. That is some scary stuff "
&amp;amp;#x200B;
I've been sharing as much as I can in cancer-related Facebook groups.  I am hoping the audience that needs to see this will be larger here. 
&amp;amp;#x200B;
I can't have this information and not share it...   I have yet to find a single person that says it didn't work.  Not that it means anything, but I've been researching the crap out of this and from what I can tell it seems to be fairly consistent, regardless of where the cancer is located and even the severity of it, possibly.  I am also not diagnosed but I am strongly considering taking it just in case.    
The fact that she practices medical biology full time and is all about natural remedies but is taking this stuff without a cancer diagnosis says a lot.  
&amp;amp;#x200B;
Just something to be aware of...  If I or my mother were diagnosed, this and rick simpson oil would be utilized prior to anything else.</t>
        </is>
      </c>
      <c r="D3543" t="n">
        <v>1</v>
      </c>
      <c r="E3543" t="n">
        <v>0</v>
      </c>
      <c r="F3543">
        <f>HYPERLINK("https://www.reddit.com/r/cancer/comments/ce42ya/google_panacur_c_cancer_its_working_for_a_lot_of/")</f>
        <v/>
      </c>
      <c r="G3543" t="inlineStr">
        <is>
          <t>2019-07-16 15:26:03</t>
        </is>
      </c>
      <c r="H3543" t="inlineStr"/>
    </row>
    <row r="3544">
      <c r="A3544" t="inlineStr">
        <is>
          <t>ce4kzu</t>
        </is>
      </c>
      <c r="B3544" t="inlineStr">
        <is>
          <t>'Cancer removal site wound' remedies and help🙏🏽🖤</t>
        </is>
      </c>
      <c r="C3544" t="inlineStr">
        <is>
          <t>Hello all,
I am new to this subreddit and just have a few questions...throwing them out there to the world.
My dad is a 63 yo male, just had a piece (more like a silver-dollar-sized half sphere) of cancer cut out of his lower back &amp;amp; his directions were to only leave it bandaged for a few days and from then on just leave it uncovered. While I agree to follow doctor's orders, it does seem a little eery and strange to leave such a decent sized wound uncovered .... I'm unsure if there are any more steps involved in his recovery, however...
I am urgently curious to find out if his wound will heal safely? Thank you so much.
Also, I'm wondering if there are any remedies that can be procured at home that anyone may know of?? 🙏🏽
Also, an important side story - he broke his lower spine a little over 20 years ago when I was a child and had multiple surgeries over a span of years, the latter surgeries to assist in fixing of problems resulting from the first. 
He says that the wound and site of surgery on his back had issues healing and he had contracted a staph infection on the wound site at one (maybe more) point(s) obviously giving way to different problems. My dad says that the cancer that had 'formed', for lack of better terminology on my behalf, on the site of his scar near the previous staph/surgeries....
I appreciate any one of you that reads this✌🏼🙏🏽 and any/all advice!</t>
        </is>
      </c>
      <c r="D3544" t="n">
        <v>5</v>
      </c>
      <c r="E3544" t="n">
        <v>0</v>
      </c>
      <c r="F3544">
        <f>HYPERLINK("https://www.reddit.com/r/cancer/comments/ce4kzu/cancer_removal_site_wound_remedies_and_help/")</f>
        <v/>
      </c>
      <c r="G3544" t="inlineStr">
        <is>
          <t>2019-07-16 16:07:35</t>
        </is>
      </c>
      <c r="H3544" t="inlineStr"/>
    </row>
    <row r="3545">
      <c r="A3545" t="inlineStr">
        <is>
          <t>ce50sk</t>
        </is>
      </c>
      <c r="B3545" t="inlineStr">
        <is>
          <t>A very good friend in another state is dealing with cancer. He is older, and just had a successful removal surgery. What can I send him at home to make recovery better?</t>
        </is>
      </c>
      <c r="C3545" t="inlineStr">
        <is>
          <t>Title says it all really. Just looking for productive ways in which to reach out and help my dude. Any advice would be greatly appreciated.</t>
        </is>
      </c>
      <c r="D3545" t="n">
        <v>1</v>
      </c>
      <c r="E3545" t="n">
        <v>5</v>
      </c>
      <c r="F3545">
        <f>HYPERLINK("https://www.reddit.com/r/cancer/comments/ce50sk/a_very_good_friend_in_another_state_is_dealing/")</f>
        <v/>
      </c>
      <c r="G3545" t="inlineStr">
        <is>
          <t>2019-07-16 16:44:34</t>
        </is>
      </c>
      <c r="H3545" t="inlineStr"/>
    </row>
    <row r="3546">
      <c r="A3546" t="inlineStr">
        <is>
          <t>ce548e</t>
        </is>
      </c>
      <c r="B3546" t="inlineStr">
        <is>
          <t>What to do</t>
        </is>
      </c>
      <c r="C3546" t="inlineStr">
        <is>
          <t>My mom has progressed metastatic melanoma, and I'm her only caregiver. We live together and I'm also working and single parent to a very young child.
Her melanoma is spread throughout her  body and most recently to her brain in April. 
Over the last week or so has lost control of her bowels, sleeps nearly constantly, is barely eating and can hardly walk.
She's still going to chemo once a week as a palliative measure. 
I'm terrified of her falling while I'm at work. She's fallen once before from a seizure and that's how we discovered the brain mets. 
I just don't know what to do to help anymore. I'm just so lost. I'm an only child and she's unmarried and we really have no other family.</t>
        </is>
      </c>
      <c r="D3546" t="n">
        <v>3</v>
      </c>
      <c r="E3546" t="n">
        <v>5</v>
      </c>
      <c r="F3546">
        <f>HYPERLINK("https://www.reddit.com/r/cancer/comments/ce548e/what_to_do/")</f>
        <v/>
      </c>
      <c r="G3546" t="inlineStr">
        <is>
          <t>2019-07-16 16:53:06</t>
        </is>
      </c>
      <c r="H3546" t="inlineStr"/>
    </row>
    <row r="3547">
      <c r="A3547" t="inlineStr">
        <is>
          <t>ce5mc3</t>
        </is>
      </c>
      <c r="B3547" t="inlineStr">
        <is>
          <t>Need help staying positive.</t>
        </is>
      </c>
      <c r="C3547" t="inlineStr">
        <is>
          <t>I was supposed to get my ct scans for radiation today. But instead I spent 24 hours in the hospital getting 2 units of blood transfused. The er I originally went to couldn't really handle me, so they  transferred me to a much bigger and well equipped hospital. 
They did stop the bleeding but I am so scared it's going to start again. I just want to begin treatment so I can get rid of this cancer, but it feels so bleak in moments like this. Even now my hemoglobin is only like 9.
How do you stay positive and hopeful even when the world is crashing down around you? Maybe it's the lack of food or sleep making me feel depressed, idk. But I've spent so much time crying.
Thanks for listening. 💙</t>
        </is>
      </c>
      <c r="D3547" t="n">
        <v>9</v>
      </c>
      <c r="E3547" t="n">
        <v>21</v>
      </c>
      <c r="F3547">
        <f>HYPERLINK("https://www.reddit.com/r/cancer/comments/ce5mc3/need_help_staying_positive/")</f>
        <v/>
      </c>
      <c r="G3547" t="inlineStr">
        <is>
          <t>2019-07-16 17:38:47</t>
        </is>
      </c>
      <c r="H3547" t="inlineStr"/>
    </row>
    <row r="3548">
      <c r="A3548" t="inlineStr">
        <is>
          <t>ce5trk</t>
        </is>
      </c>
      <c r="B3548" t="inlineStr">
        <is>
          <t>Dad W/ Stage IV Pancreatic Cancer and I Went to Therapy Today For The First Time</t>
        </is>
      </c>
      <c r="C3548" t="inlineStr">
        <is>
          <t>First time in my adult life - I'm 28. There's a lot I'm suppressing, I don't want to be. Anyway, I went to therapy today for the first time since I was like 11. I almost broke down in the first few minutes, but I kept it in. I know it's healthy, but I just didn't feel ready to go to that space. Anyways, I recommend talking to someone about this stuff. I mostly post here and in the Pancreatic Cancer forum, which has been hugely helpful for me, but I'm excited and scared to embark on this other form of therapy.   
Love and light to all of you.</t>
        </is>
      </c>
      <c r="D3548" t="n">
        <v>50</v>
      </c>
      <c r="E3548" t="n">
        <v>13</v>
      </c>
      <c r="F3548">
        <f>HYPERLINK("https://www.reddit.com/r/cancer/comments/ce5trk/dad_w_stage_iv_pancreatic_cancer_and_i_went_to/")</f>
        <v/>
      </c>
      <c r="G3548" t="inlineStr">
        <is>
          <t>2019-07-16 17:57:49</t>
        </is>
      </c>
      <c r="H3548" t="inlineStr"/>
    </row>
    <row r="3549">
      <c r="A3549" t="inlineStr">
        <is>
          <t>ce6ogx</t>
        </is>
      </c>
      <c r="B3549" t="inlineStr">
        <is>
          <t>Hi All, I’m New Here</t>
        </is>
      </c>
      <c r="C3549" t="inlineStr">
        <is>
          <t>It’s been a rough couple of months for me. I was the sole caretaker of a chronically ill, then terminally ill parent for the past four years. But my mom was also my best friend. She passed on May 7th and I ignored the pain in my abdomen while planning her funeral for the next week. 
The day after the service, the pain was so bad that I drove myself to the emergency room at 4am. It turned out to be acute pancreatitis which was a complication of gallbladder stones. I spent over a week in the hospital. My BP dropped so badly that I was admitted to the ICU and unconscious for several days and now have a lovely scar on my neck from the central line they started to push enough fluids to keep my BP up enough to keep me alive. 
They couldn’t perform the surgery to remove my gallbladder and the 3 centimeter stone that had caused my pancreatitis at that point because I was too weak, so I was sent home to rest and recover. Six weeks later my surgeon sends me for final labs and scans on Friday, July 12th before the surgery date of July 17th. 
On Monday, the 15th I have my final appointment to go over pre-op stuff and he comes in the room and gives me the final blow. 
The latest CT scan has revealed a malignant tumor on my left kidney. He says they can do both of the surgeries at once. Remove my gallbladder and the top of my kidney. But my appointment with the kidney doc today wasn’t as positive. 
Since the kidney is on the other side of my abdomen, it would be two major surgeries for an entire part of my body. He wants me to get the gallbladder out and then to do radiation for six months to keep the tumor from spreading or getting larger and finally do the surgery when I’m completely healed. 
I’m so torn and upset. I’ve dealt with enough lately and am at a loss for this.</t>
        </is>
      </c>
      <c r="D3549" t="n">
        <v>18</v>
      </c>
      <c r="E3549" t="n">
        <v>8</v>
      </c>
      <c r="F3549">
        <f>HYPERLINK("https://www.reddit.com/r/cancer/comments/ce6ogx/hi_all_im_new_here/")</f>
        <v/>
      </c>
      <c r="G3549" t="inlineStr">
        <is>
          <t>2019-07-16 19:16:37</t>
        </is>
      </c>
      <c r="H3549" t="inlineStr"/>
    </row>
    <row r="3550">
      <c r="A3550" t="inlineStr">
        <is>
          <t>ce6qx2</t>
        </is>
      </c>
      <c r="B3550" t="inlineStr">
        <is>
          <t>I Think My Sister is Withdrawing Into Herself</t>
        </is>
      </c>
      <c r="C3550" t="inlineStr">
        <is>
          <t>My nephew was recently diagnosed with cancer. Specifically, chordoma. Very rare - 1 in a million. It's a bone cancer that starts in the skull and spine. 
He had surgery last week and they got 1/2 to 3/4 of the tumor. His is only in his head - pressing into his brain - and hasn't gotten to his spine, yet. 
My sister has slowly been talking to people less and less. I can't imagine what she's going through. Shane is her baby. He's only 9 - he turns 10 next month. She has 6 other, younger kids and she can't be with them right now as the hospital is 5 hours from their home and the kids are with their grandma. Her youngest isn't even 2 months old, yet. 
I dont know how to help. I've let her know that she can call anytime, day or night. I would go to her, but it's a 4 hour drive each way for me and I can't afford it again right now. I'm concerned about her. I'm incredibly worried about Shane, too, but I know the doctors and surgeons are doing their best and he has his parents with him. 
I know she's exhausted from staying strong for her son and hiding her fear. She's said she has to duck out of the room to cry. She doesn't want to scare him anymore. She isn't responding to messages or calling. I don't call her because I'm afraid of waking her up. I don't think she's taking care of herself very well. 
I guess I'm just asking, is there anything I can do to help I? Something that she needs but won't ask for? I set up a fundraiser to help with their expenses and to help pay for taking the kids to visit. It's raised over $2000. The kids have been down a few times already. Shane is loved by everyone he meets. I just wish I could do more to help. I know there aren't any magic words to make this better.</t>
        </is>
      </c>
      <c r="D3550" t="n">
        <v>4</v>
      </c>
      <c r="E3550" t="n">
        <v>21</v>
      </c>
      <c r="F3550">
        <f>HYPERLINK("https://www.reddit.com/r/cancer/comments/ce6qx2/i_think_my_sister_is_withdrawing_into_herself/")</f>
        <v/>
      </c>
      <c r="G3550" t="inlineStr">
        <is>
          <t>2019-07-16 19:22:40</t>
        </is>
      </c>
      <c r="H3550" t="inlineStr"/>
    </row>
    <row r="3551">
      <c r="A3551" t="inlineStr">
        <is>
          <t>ce7kt5</t>
        </is>
      </c>
      <c r="B3551" t="inlineStr">
        <is>
          <t>Anyone with stage IV breast cancer on immunotherapy itself (no chemo), How are you doing?</t>
        </is>
      </c>
      <c r="C3551" t="inlineStr">
        <is>
          <t>My mom (56) was diagnosed with triple negative metastatic breast cancer on April. So far she only had 3 cycles of chemo but she’s dreading it, its wearing her down and she’s a strong person so the pain must be terrible. 
She keeps saying she’d rather die than take the fourth upcoming cycle. I don’t want her to, i know it’s selfish but I’m 19 and i need my mom in my life. I keep trying to convince her but she just won’t listen. 
She had BRCA and PD-1 tests done for immunotherapy. She wants to ditch chemo entirely and only rely on immunotherapy, so i looked up if it’s possible for immunotherapy to be sufficient on its own without the chemo, but I couldn’t find anything. 
So, is there anyone with mom’s same condition but on immunotherapy on its own, and how’s your cancer? I know it’s different for everyone but i would like to know. Please share.</t>
        </is>
      </c>
      <c r="D3551" t="n">
        <v>1</v>
      </c>
      <c r="E3551" t="n">
        <v>0</v>
      </c>
      <c r="F3551">
        <f>HYPERLINK("https://www.reddit.com/r/cancer/comments/ce7kt5/anyone_with_stage_iv_breast_cancer_on/")</f>
        <v/>
      </c>
      <c r="G3551" t="inlineStr">
        <is>
          <t>2019-07-16 20:43:31</t>
        </is>
      </c>
      <c r="H3551" t="inlineStr"/>
    </row>
    <row r="3552">
      <c r="A3552" t="inlineStr">
        <is>
          <t>ce991n</t>
        </is>
      </c>
      <c r="B3552" t="inlineStr">
        <is>
          <t>This is turning out to be a bad week</t>
        </is>
      </c>
      <c r="C3552" t="inlineStr">
        <is>
          <t>I got a call from my dad yesterday to tell me that my grandfather's pneumonia has been determined to be cancer that is believed to have originated in his kidneys. I think the decision is being made in the next few days to put him on hospice care. 
Today I got a call from my uncle to let me know that my dad had an x-ray to check on a lingering cough and chest congestion that revealed a mass on his lungs. He was immediately admitted to the ER and a CT scan revealed that he has masses on his kidneys, abdomen, and lungs. The doctor said it was like looking at mirror image between my father and grandfather. Sounds like the plan is to do an MRI and PET scan tomorrow. 
I have so many questions and concerns right now that I don't even know where to begin. The fact that a father and son are both dealing with what appears to be the same advanced stages at the same time worries me that it could be something genetic. 
I'm trying to prepare myself for how to deal with this, but not knowing where to even start right now. I guess luckily, my wife works for the American Cancer Society, so I know that she will be able to tap into the resources that are her oncology nurse and doctor coworkers.</t>
        </is>
      </c>
      <c r="D3552" t="n">
        <v>14</v>
      </c>
      <c r="E3552" t="n">
        <v>5</v>
      </c>
      <c r="F3552">
        <f>HYPERLINK("https://www.reddit.com/r/cancer/comments/ce991n/this_is_turning_out_to_be_a_bad_week/")</f>
        <v/>
      </c>
      <c r="G3552" t="inlineStr">
        <is>
          <t>2019-07-16 23:47:11</t>
        </is>
      </c>
      <c r="H3552" t="inlineStr"/>
    </row>
    <row r="3553">
      <c r="A3553" t="inlineStr">
        <is>
          <t>cec74f</t>
        </is>
      </c>
      <c r="B3553" t="inlineStr">
        <is>
          <t>How do you cope seeing your loved one in extreme pain?</t>
        </is>
      </c>
      <c r="C3553" t="inlineStr">
        <is>
          <t>These last few days have been terrible. My dad's cancer has detoriated up to a point where he is yelling in pain at his hospital bed, getting agitated and pulling out his IV because the pain is making him confused.
Its so heartbreaking to see him like this and I think I am going mad watching him suffer like this. He cant get into a comfortable position and he keeps asking us to shift him here and there and yell at us to help him. We love him so much but its very tiring especially on my sister who stays with him throughout the day. 
Its also an eye opener to see the rage side of him come out where I have always known him to be a quiet social recluse. This fucking cancer really brings out the worse in people. 
I have been constantly asking his palliative team to increase his fentanyl and give him some meds to calm him down. But nothing seems to be working. They are taking the conservative approach and increasing the dose gradually. We have also requested for sedatives but he cant sleep at night and attacks the nurses. He is also delirious and in confusion. 
Any palliative radiation was put on hold and immunotherapy was also halted (we may never even reach this road) at the rate of decline. 
Has anyone faced such a situation and how do you cope mentally and emotionally??</t>
        </is>
      </c>
      <c r="D3553" t="n">
        <v>22</v>
      </c>
      <c r="E3553" t="n">
        <v>17</v>
      </c>
      <c r="F3553">
        <f>HYPERLINK("https://www.reddit.com/r/cancer/comments/cec74f/how_do_you_cope_seeing_your_loved_one_in_extreme/")</f>
        <v/>
      </c>
      <c r="G3553" t="inlineStr">
        <is>
          <t>2019-07-17 05:29:54</t>
        </is>
      </c>
      <c r="H3553" t="inlineStr"/>
    </row>
    <row r="3554">
      <c r="A3554" t="inlineStr">
        <is>
          <t>cecyjt</t>
        </is>
      </c>
      <c r="B3554" t="inlineStr">
        <is>
          <t>Colon Cancer Early signs ?</t>
        </is>
      </c>
      <c r="C3554" t="inlineStr">
        <is>
          <t xml:space="preserve"> I was wandering on the net searching for some symptoms especially the early ones of the colon cancer, as one of my relatives has it.  
As I found, in the most websites, it says that it develops in silence, nevertheless I found a website talking about some early sings and they are interesting.  
I asked a doctor I know and he confirmed some of those signs, and I thought I'd share this article with you.  
it says that this disease often develops in silence, without causing any particular symptoms. The goal of colorectal cancer awareness campaigns is to increase awareness and reduce the stigma linked to the symptoms and colorectal cancer information. As a result, colon cancer cases are being diagnosed earlier at a stage when the colon cancer treatment options are more effective.  
[https://maalomatpw.pw/2019/07/16/8-early-signs-of-colon-cancer-you-should-know-now/](https://maalomatpw.pw/2019/07/16/8-early-signs-of-colon-cancer-you-should-know-now/)</t>
        </is>
      </c>
      <c r="D3554" t="n">
        <v>5</v>
      </c>
      <c r="E3554" t="n">
        <v>0</v>
      </c>
      <c r="F3554">
        <f>HYPERLINK("https://www.reddit.com/r/cancer/comments/cecyjt/colon_cancer_early_signs/")</f>
        <v/>
      </c>
      <c r="G3554" t="inlineStr">
        <is>
          <t>2019-07-17 06:38:17</t>
        </is>
      </c>
      <c r="H3554" t="inlineStr"/>
    </row>
    <row r="3555">
      <c r="A3555" t="inlineStr">
        <is>
          <t>ced5ck</t>
        </is>
      </c>
      <c r="B3555" t="inlineStr">
        <is>
          <t>I can’t stand hospitals anymore</t>
        </is>
      </c>
      <c r="C3555" t="inlineStr">
        <is>
          <t>I was diagnosed with ALL in September 2018 and for induction therapy, I was told I’d have to stay in the hospital or about a month. I only ended up spending 8 days there as I responded very well to all the treatments, but those 8 days along with other day-long visits for LPs and chemo have given me an aversion to hospitals. I can’t even think about them without getting nauseous. Every time I step into the building to get chemo, the smell overwhelms me and I need to find a bathroom to dry heave/throw up into. I’ve started holding my breath after I walk through the front doors and only letting it out once I’ve reached the stairwell where I can only smell the rubber covering on the stairs. Kinda really hope this goes away at some point because refusing to go to hospitals doesn’t seem like a great way to extend my lifespan. Anybody else have similar issues?</t>
        </is>
      </c>
      <c r="D3555" t="n">
        <v>36</v>
      </c>
      <c r="E3555" t="n">
        <v>16</v>
      </c>
      <c r="F3555">
        <f>HYPERLINK("https://www.reddit.com/r/cancer/comments/ced5ck/i_cant_stand_hospitals_anymore/")</f>
        <v/>
      </c>
      <c r="G3555" t="inlineStr">
        <is>
          <t>2019-07-17 06:54:31</t>
        </is>
      </c>
      <c r="H3555" t="inlineStr"/>
    </row>
    <row r="3556">
      <c r="A3556" t="inlineStr">
        <is>
          <t>cedtx2</t>
        </is>
      </c>
      <c r="B3556" t="inlineStr">
        <is>
          <t>I think I am at the point where I don't want to know anymore information</t>
        </is>
      </c>
      <c r="C3556" t="inlineStr">
        <is>
          <t>I had testicular cancer for a few years now and I believe I am out of treatment options from what I am told. I think at this point I am just trying to get my nephrostomy tube and port out and just wait for nature to run its course.  I did a round of chemo and radiation and I am pretty certain its going to come back again. They already told me radiation for my cancer is not a cure, so what's the point of going back anymore unless for palliative care to keep me out of pain. I am at a good point now, where I have no pain, my tests are normal. Why even follow up with a cat scan if we already know it's going to come back?</t>
        </is>
      </c>
      <c r="D3556" t="n">
        <v>8</v>
      </c>
      <c r="E3556" t="n">
        <v>2</v>
      </c>
      <c r="F3556">
        <f>HYPERLINK("https://www.reddit.com/r/cancer/comments/cedtx2/i_think_i_am_at_the_point_where_i_dont_want_to/")</f>
        <v/>
      </c>
      <c r="G3556" t="inlineStr">
        <is>
          <t>2019-07-17 07:48:36</t>
        </is>
      </c>
      <c r="H3556" t="inlineStr"/>
    </row>
    <row r="3557">
      <c r="A3557" t="inlineStr">
        <is>
          <t>cef863</t>
        </is>
      </c>
      <c r="B3557" t="inlineStr">
        <is>
          <t>Best friend just diagnosed</t>
        </is>
      </c>
      <c r="C3557" t="inlineStr">
        <is>
          <t>My best friend (18F) was just diagnosed with Hodgkin's Lymphoma. She just told me the news and I'm not sure I handled it the best. I knew this could happen. Her lymph nodes have been swollen for 9 weeks and she got the biopsy back. How can I be there for her? What do I say? I'm lost.</t>
        </is>
      </c>
      <c r="D3557" t="n">
        <v>6</v>
      </c>
      <c r="E3557" t="n">
        <v>5</v>
      </c>
      <c r="F3557">
        <f>HYPERLINK("https://www.reddit.com/r/cancer/comments/cef863/best_friend_just_diagnosed/")</f>
        <v/>
      </c>
      <c r="G3557" t="inlineStr">
        <is>
          <t>2019-07-17 09:33:23</t>
        </is>
      </c>
      <c r="H3557" t="inlineStr"/>
    </row>
    <row r="3558">
      <c r="A3558" t="inlineStr">
        <is>
          <t>cefb8n</t>
        </is>
      </c>
      <c r="B3558" t="inlineStr">
        <is>
          <t>Small cell lung cancer— what to expect?</t>
        </is>
      </c>
      <c r="C3558" t="inlineStr">
        <is>
          <t>My grandmother was admitted to the hospital last week with a fairly severe case of pneumonia and after several tests and scans they found she likely has small cell lung cancer (pathology reports aren’t final yet). 
So far it doesn’t look like it has spread other than to lymph nodes in the region, which I think is good news, but I understand it’s an aggressive form and mutates quickly. The oncologist is meeting with her sometime today and they plan to start chemo before she leaves the hospital to see how she tolerates treatment.
Looking for some insight from someone who has been in a similar situation. What was your experience like? Just wanting to get an idea of what to expect over the next weeks/months. Not even necessarily about the outcome, but more about the chemo and dr appointments and things like that. Both for her as well as for us as caretakers— I’d just like to have some sort of idea of what to expect overall so I’m not going in totally blind.</t>
        </is>
      </c>
      <c r="D3558" t="n">
        <v>3</v>
      </c>
      <c r="E3558" t="n">
        <v>2</v>
      </c>
      <c r="F3558">
        <f>HYPERLINK("https://www.reddit.com/r/cancer/comments/cefb8n/small_cell_lung_cancer_what_to_expect/")</f>
        <v/>
      </c>
      <c r="G3558" t="inlineStr">
        <is>
          <t>2019-07-17 09:39:40</t>
        </is>
      </c>
      <c r="H3558" t="inlineStr"/>
    </row>
    <row r="3559">
      <c r="A3559" t="inlineStr">
        <is>
          <t>cefmyg</t>
        </is>
      </c>
      <c r="B3559" t="inlineStr">
        <is>
          <t>About to start Xeloda</t>
        </is>
      </c>
      <c r="C3559" t="inlineStr">
        <is>
          <t>The pills were just delivered in the mail. I have to start taking them soon. I have six months to look forward to. Does anyone want to share their experiences with me so I have an idea what I'm in for. I'm terrified to be perfectly honest with y'all</t>
        </is>
      </c>
      <c r="D3559" t="n">
        <v>1</v>
      </c>
      <c r="E3559" t="n">
        <v>24</v>
      </c>
      <c r="F3559">
        <f>HYPERLINK("https://www.reddit.com/r/cancer/comments/cefmyg/about_to_start_xeloda/")</f>
        <v/>
      </c>
      <c r="G3559" t="inlineStr">
        <is>
          <t>2019-07-17 10:04:20</t>
        </is>
      </c>
      <c r="H3559" t="inlineStr"/>
    </row>
    <row r="3560">
      <c r="A3560" t="inlineStr">
        <is>
          <t>cegm2n</t>
        </is>
      </c>
      <c r="B3560" t="inlineStr">
        <is>
          <t>Brachytherapy starts Monday.</t>
        </is>
      </c>
      <c r="C3560" t="inlineStr">
        <is>
          <t>Y’all. My poor hoohoo is TRAUMATIZED enough! (I have cervical cancer) and after countless drs looking at my stuff, fingers up the butt, bleeding, pain, butts from hell, and chemo and radiation, I am FINALLY at the finish line. I’m SO CLOSE to being finished with treatment. 
Monday is my first brachytherapy treatment, it seems pretty cut and dry, in and out, wam bam thank you ma’am, but Jesus I am scared. I don’t want to do this. I don’t want to be in an OR five times over the next two and a half weeks. I know we all have some shitty stuff we are fighting but good lord no one really talks about this part or how shitty radiation is. I don’t know how I’m suppose to just walk my ass in there and no try to run. 
I have such a positive diagnosis, 90% of it not coming back and &amp;gt;90% of beating it the first time. I just have to get thru this crap. I have to make it thru brachy and it just seems so barbaric. 
I’m misty scared of being alone In the rad room. I struggled with external rad daily and cried on the radiation table nearly everyday. 
I’m rambling and I’m sorry. I have klonopin I can take but I’m scared to death of it too. 
Send me some happy thoughts and shit Bc I’m falling apart</t>
        </is>
      </c>
      <c r="D3560" t="n">
        <v>3</v>
      </c>
      <c r="E3560" t="n">
        <v>14</v>
      </c>
      <c r="F3560">
        <f>HYPERLINK("https://www.reddit.com/r/cancer/comments/cegm2n/brachytherapy_starts_monday/")</f>
        <v/>
      </c>
      <c r="G3560" t="inlineStr">
        <is>
          <t>2019-07-17 11:18:23</t>
        </is>
      </c>
      <c r="H3560" t="inlineStr"/>
    </row>
    <row r="3561">
      <c r="A3561" t="inlineStr">
        <is>
          <t>ceh30i</t>
        </is>
      </c>
      <c r="B3561" t="inlineStr">
        <is>
          <t>If my mother had inflammatory breast cancer, am I more likely to develop inflammatory breast cancer than a different kind?</t>
        </is>
      </c>
      <c r="C3561" t="inlineStr">
        <is>
          <t>My mother was diagnosed with inflammatory breast cancer in her mid 40s, about 30 years ago, and the doctors gave her 2-3 months to live. (We were poor and she avoided medical attention for wayyyy too long.) Luckily she somehow pulled through and is still alive today.
I’m hyper aware of my risk of heredity cancer and was just wondering if I should expect inflammatory cancer.</t>
        </is>
      </c>
      <c r="D3561" t="n">
        <v>5</v>
      </c>
      <c r="E3561" t="n">
        <v>5</v>
      </c>
      <c r="F3561">
        <f>HYPERLINK("https://www.reddit.com/r/cancer/comments/ceh30i/if_my_mother_had_inflammatory_breast_cancer_am_i/")</f>
        <v/>
      </c>
      <c r="G3561" t="inlineStr">
        <is>
          <t>2019-07-17 11:54:12</t>
        </is>
      </c>
      <c r="H3561" t="inlineStr"/>
    </row>
    <row r="3562">
      <c r="A3562" t="inlineStr">
        <is>
          <t>ceh9t5</t>
        </is>
      </c>
      <c r="B3562" t="inlineStr">
        <is>
          <t>Make-A-Wish</t>
        </is>
      </c>
      <c r="C3562" t="inlineStr">
        <is>
          <t>I’m looking to see what other people asked for their wishes/if their wish was granted. I have mine coming up so I’m looking for some inspiration.</t>
        </is>
      </c>
      <c r="D3562" t="n">
        <v>3</v>
      </c>
      <c r="E3562" t="n">
        <v>7</v>
      </c>
      <c r="F3562">
        <f>HYPERLINK("https://www.reddit.com/r/cancer/comments/ceh9t5/makeawish/")</f>
        <v/>
      </c>
      <c r="G3562" t="inlineStr">
        <is>
          <t>2019-07-17 12:08:59</t>
        </is>
      </c>
      <c r="H3562" t="inlineStr"/>
    </row>
    <row r="3563">
      <c r="A3563" t="inlineStr">
        <is>
          <t>ceh9zk</t>
        </is>
      </c>
      <c r="B3563" t="inlineStr">
        <is>
          <t>Support for Adolescent and Young Adult Cancer Survivors</t>
        </is>
      </c>
      <c r="C3563" t="inlineStr">
        <is>
          <t>Hi! 
I am a research coordinator for the Bounce Back Study at the Massachusetts General Hospital Cancer Center, an affiliate of Harvard Medical School. We are recruiting adolescent and young adults who were diagnosed with cancer (any type) between the ages of 15-27 and have completed treatment in the past 5 years. Bounce Back is a stress management and resilience program that takes place over 8-weeks using virtual videoconferencing software. The goal of the program is to help young cancer survivors learn skills to cope with stress and set individualized goals to improve their overall lifestyle after completing cancer treatment. Participants will be compensated up to $90 for their time. Please email (**MGHBounceBack@mgh.harvard.edu**) or message this account if you are interested in learning more or have any questions!</t>
        </is>
      </c>
      <c r="D3563" t="n">
        <v>1</v>
      </c>
      <c r="E3563" t="n">
        <v>3</v>
      </c>
      <c r="F3563">
        <f>HYPERLINK("https://www.reddit.com/r/cancer/comments/ceh9zk/support_for_adolescent_and_young_adult_cancer/")</f>
        <v/>
      </c>
      <c r="G3563" t="inlineStr">
        <is>
          <t>2019-07-17 12:09:22</t>
        </is>
      </c>
      <c r="H3563" t="inlineStr"/>
    </row>
    <row r="3564">
      <c r="A3564" t="inlineStr">
        <is>
          <t>cehpqx</t>
        </is>
      </c>
      <c r="B3564" t="inlineStr">
        <is>
          <t>Tongue cancer update (#5?)</t>
        </is>
      </c>
      <c r="C3564" t="inlineStr">
        <is>
          <t>Out of treatment for sarcoma at the base of my tongue just over three weeks now. 
I did poorly on Cistplatin chemo ending up in the hospital twice because I was throwing everything up and losing 10 pounds per week. 
Recovering from radiation, my voice is stronger and throat is not as sore. 
Went to my ENT for follow up and he ran the camera through my nose and down my throat. Did not see anything that looked to be part of the tumor just the expected scarring and sores in the wake of radiation. 
Felt an abnormality in the lymph node that had cancer but it is much smaller than it was (I could feel the tumor I can’t feel this abnormal spot). Doctor said to not be concerned because it was almost certainly basically like scar tissue from the tumor in that lymph node. 
Not an all clear but very welcome good news. I have pet scan scheduled in a month.</t>
        </is>
      </c>
      <c r="D3564" t="n">
        <v>13</v>
      </c>
      <c r="E3564" t="n">
        <v>21</v>
      </c>
      <c r="F3564">
        <f>HYPERLINK("https://www.reddit.com/r/cancer/comments/cehpqx/tongue_cancer_update_5/")</f>
        <v/>
      </c>
      <c r="G3564" t="inlineStr">
        <is>
          <t>2019-07-17 12:42:25</t>
        </is>
      </c>
      <c r="H3564" t="inlineStr"/>
    </row>
    <row r="3565">
      <c r="A3565" t="inlineStr">
        <is>
          <t>cehwcb</t>
        </is>
      </c>
      <c r="B3565" t="inlineStr">
        <is>
          <t>Fellow kids of parents with terminal cancer</t>
        </is>
      </c>
      <c r="C3565" t="inlineStr">
        <is>
          <t>Hi I’m 16.  My mom will most likely die of cancer. I feel so alone and have no one my age who understands. Is there anybody in a similar situation? I really want someone to talk to.</t>
        </is>
      </c>
      <c r="D3565" t="n">
        <v>17</v>
      </c>
      <c r="E3565" t="n">
        <v>8</v>
      </c>
      <c r="F3565">
        <f>HYPERLINK("https://www.reddit.com/r/cancer/comments/cehwcb/fellow_kids_of_parents_with_terminal_cancer/")</f>
        <v/>
      </c>
      <c r="G3565" t="inlineStr">
        <is>
          <t>2019-07-17 12:55:41</t>
        </is>
      </c>
      <c r="H3565" t="inlineStr"/>
    </row>
    <row r="3566">
      <c r="A3566" t="inlineStr">
        <is>
          <t>ceidmo</t>
        </is>
      </c>
      <c r="B3566" t="inlineStr">
        <is>
          <t>Tips to ease the pain of mouth sores during chemo.</t>
        </is>
      </c>
      <c r="C3566" t="inlineStr">
        <is>
          <t>Hi there! My sister has Hodgkin’s Lymphoma stage 3 and she just recently started chemo. She’s been feeling pain in her mouth and it made her really depressed. Do you have any tips to ease the pain please? 
Please i don’t want her to suffer :((</t>
        </is>
      </c>
      <c r="D3566" t="n">
        <v>3</v>
      </c>
      <c r="E3566" t="n">
        <v>9</v>
      </c>
      <c r="F3566">
        <f>HYPERLINK("https://www.reddit.com/r/cancer/comments/ceidmo/tips_to_ease_the_pain_of_mouth_sores_during_chemo/")</f>
        <v/>
      </c>
      <c r="G3566" t="inlineStr">
        <is>
          <t>2019-07-17 13:31:42</t>
        </is>
      </c>
      <c r="H3566" t="inlineStr"/>
    </row>
    <row r="3567">
      <c r="A3567" t="inlineStr">
        <is>
          <t>cein4c</t>
        </is>
      </c>
      <c r="B3567" t="inlineStr">
        <is>
          <t>Suicidal Cancer Survivor</t>
        </is>
      </c>
      <c r="C3567" t="inlineStr">
        <is>
          <t>I'm aware of how terrible the irony of the title is. Life's a bit of a dark joke.
&amp;amp;#x200B;
Please don't let this dishearten anyone who is fighting cancer. This is me, not you. 
&amp;amp;#x200B;
I fought and beat cancer 10 years ago when I was 18 years old. I had to drop out of school for the 8 hours a day chemotherapy treatments. I came very close to death. But I did pull through, and now, here I am. I don't know where to begin, and I don't think that writing this will prove to be beneficial in any way. That's not to say that I don't appreciate or respect anyone's thoughts or efforts, I do. I am upset at myself for feeling this way after what I've been through. I should be thankful. I think I am. But I just don't enjoy life, and I haven't. I was financially destroyed at 18, as I was responsible for my treatment costs. I am now finally debt free. I make a decent wage at a job a hate. I can't imagine a job I wouldn't hate. To describe myself as burned out is an understatement. People say what doesn't kill you makes you stronger, but I feel that fighting cancer has taken something from deep inside me. And now I am at a loss for the purpose of existence and in conjunction, happiness. Even writing the word is difficult. I don't want to be happy, just not in a constant net of anxiety. I feel that it's getting worse. Two of my close friends committed suicide. I'm afraid of dying(how ironic).  Afraid of planning for the future. Afraid to save money for a life that I may not live to see. Retirement, such as an interesting concept, especially when you question if you'd make it to such an age. I used to have confidence. It seems all but gone. I'm an active musician, and now, even that seems meaningless to me. It seems that the depression has gotten so bad that I don't even feel it anymore. I don't know what to do. I see a therapist weekly now. I'm afraid to tell her how serious this is. I don't want to be admitted because I would lose my job and subsequently, my apartment. And then I'd be homeless. That would really piss off my cat. I'm in good shape. I work out often. I run outside. I lift weights. I make art. A decent job I hate. I have a girlfriend that loves me. I want to kill myself.
&amp;amp;#x200B;
I sound selfish. I think about fighting cancer all the time. It makes me upset. I don't know what to do to.</t>
        </is>
      </c>
      <c r="D3567" t="n">
        <v>48</v>
      </c>
      <c r="E3567" t="n">
        <v>25</v>
      </c>
      <c r="F3567">
        <f>HYPERLINK("https://www.reddit.com/r/cancer/comments/cein4c/suicidal_cancer_survivor/")</f>
        <v/>
      </c>
      <c r="G3567" t="inlineStr">
        <is>
          <t>2019-07-17 13:50:37</t>
        </is>
      </c>
      <c r="H3567" t="inlineStr"/>
    </row>
    <row r="3568">
      <c r="A3568" t="inlineStr">
        <is>
          <t>ceiu4n</t>
        </is>
      </c>
      <c r="B3568" t="inlineStr">
        <is>
          <t>Husband was diagnosed last Friday.</t>
        </is>
      </c>
      <c r="C3568" t="inlineStr">
        <is>
          <t>I never thought I’d be posting in any kind of online forum about cancer, but here I am. 
On Friday my husband was diagnosed with testicular cancer. That’s the easy sentence that bundles up several days of fear, pain, and being so anxious you can’t sleep or stomach anything. 
I’ve been told, by many, that I should be grateful that it’s only testicular cancer. That we were given the “best” of all cancers. I hate it; I hate that people think it’s okay to say we got off lucky because of this. It’s still cancer, and it’s still something happening to my husband, who is in constant pain right now. Who can’t sit in certain positions, can’t sleep, and is literally living with this... thing in his body that reminds him all day long that he has a disease he can do nothing about right now. 
I feel like a complete and utter jerk, because I’m supposed to be this perfect rock for him now. But I’m terrified they’ll tell us it’s metastasized, that we’ll spend the rest of the year (or our lives) with chemo or radio, that the man I just married in October may not see a decade of wedded bliss. I feel like I have no idea on how to comfort him, or that I’m not doing any of it right, or that I’m not doing enough. Every day just feels like one giant ball of suck. 
Right now it doesn’t matter that “we got the easy cancer”, right now it just sucks to go from talks about when we wanted to start trying for a baby, to wondering when his surgery will be and what happens after. 
This is a literal nightmare. And I feel terrible for saying it, but I wanted to say it somewhere, anywhere, that isn’t to him. He didn’t ask for this, no one ever does; if I could take it from him, I would and I’d never think twice. 
I just don’t want to see him in pain. He’s had enough of it this lifetime.</t>
        </is>
      </c>
      <c r="D3568" t="n">
        <v>11</v>
      </c>
      <c r="E3568" t="n">
        <v>5</v>
      </c>
      <c r="F3568">
        <f>HYPERLINK("https://www.reddit.com/r/cancer/comments/ceiu4n/husband_was_diagnosed_last_friday/")</f>
        <v/>
      </c>
      <c r="G3568" t="inlineStr">
        <is>
          <t>2019-07-17 14:05:01</t>
        </is>
      </c>
      <c r="H3568" t="inlineStr"/>
    </row>
    <row r="3569">
      <c r="A3569" t="inlineStr">
        <is>
          <t>cejgd4</t>
        </is>
      </c>
      <c r="B3569" t="inlineStr">
        <is>
          <t>The waiting game.</t>
        </is>
      </c>
      <c r="C3569" t="inlineStr">
        <is>
          <t>At this point I know my Flow Cytology results are back. I just don’t know what they are. I’m more freaked out knowing the results are there and I have to wait until the 8th to find out.</t>
        </is>
      </c>
      <c r="D3569" t="n">
        <v>5</v>
      </c>
      <c r="E3569" t="n">
        <v>6</v>
      </c>
      <c r="F3569">
        <f>HYPERLINK("https://www.reddit.com/r/cancer/comments/cejgd4/the_waiting_game/")</f>
        <v/>
      </c>
      <c r="G3569" t="inlineStr">
        <is>
          <t>2019-07-17 14:52:50</t>
        </is>
      </c>
      <c r="H3569" t="inlineStr"/>
    </row>
    <row r="3570">
      <c r="A3570" t="inlineStr">
        <is>
          <t>cekx83</t>
        </is>
      </c>
      <c r="B3570" t="inlineStr">
        <is>
          <t>Does anyone else think ringing the bell is kind of lame?</t>
        </is>
      </c>
      <c r="C3570" t="inlineStr">
        <is>
          <t>I'm just about to complete my round of folfox and I've seen many times people ring the bell after finishing their treatments. Of course I don't begrudge them in the accomplishment and the hell they have been through.  It's just not for me.  It seems kind of weird to me, especially when there is a high chance my cancer will return. I hope I hurt no one's feelings when I decline this Friday.</t>
        </is>
      </c>
      <c r="D3570" t="n">
        <v>17</v>
      </c>
      <c r="E3570" t="n">
        <v>22</v>
      </c>
      <c r="F3570">
        <f>HYPERLINK("https://www.reddit.com/r/cancer/comments/cekx83/does_anyone_else_think_ringing_the_bell_is_kind/")</f>
        <v/>
      </c>
      <c r="G3570" t="inlineStr">
        <is>
          <t>2019-07-17 16:57:00</t>
        </is>
      </c>
      <c r="H3570" t="inlineStr"/>
    </row>
    <row r="3571">
      <c r="A3571" t="inlineStr">
        <is>
          <t>cel1hj</t>
        </is>
      </c>
      <c r="B3571" t="inlineStr">
        <is>
          <t>Dry mouth</t>
        </is>
      </c>
      <c r="C3571" t="inlineStr">
        <is>
          <t>I had radiotherapy and chemotherapy 9 months ago. 33 session radiotherapy and 3 sessions chemotherapy. I now have a very dry mouth. Does anyone have advice on how to relieve this feeling (I chew gum all the time and drink a lot of water but at night its almost impossible to fall asleep)? Or will this get better over time? Thanks in advantage</t>
        </is>
      </c>
      <c r="D3571" t="n">
        <v>5</v>
      </c>
      <c r="E3571" t="n">
        <v>6</v>
      </c>
      <c r="F3571">
        <f>HYPERLINK("https://www.reddit.com/r/cancer/comments/cel1hj/dry_mouth/")</f>
        <v/>
      </c>
      <c r="G3571" t="inlineStr">
        <is>
          <t>2019-07-17 17:07:49</t>
        </is>
      </c>
      <c r="H3571" t="inlineStr"/>
    </row>
    <row r="3572">
      <c r="A3572" t="inlineStr">
        <is>
          <t>cela9r</t>
        </is>
      </c>
      <c r="B3572" t="inlineStr">
        <is>
          <t>Another update</t>
        </is>
      </c>
      <c r="C3572" t="inlineStr">
        <is>
          <t>Cervical cancer stage 3b here, with another update from Mr ball leg.
He decided to bleed again while getting my imaging done for radiation. Because of this my dr is starting radiation tomorrow, way ahead of schedule. Chemo is just going to have to play catch up and honestly I'm fine with that. Radiation is the big boy treatment here anyway. 
So even tho I needed 2 units of blood and am still quite anemic, some good came out of it in the form of hurrying up with treatment. 
I guess even in the darkest hour there is some light if you look hard enough to find it.</t>
        </is>
      </c>
      <c r="D3572" t="n">
        <v>19</v>
      </c>
      <c r="E3572" t="n">
        <v>10</v>
      </c>
      <c r="F3572">
        <f>HYPERLINK("https://www.reddit.com/r/cancer/comments/cela9r/another_update/")</f>
        <v/>
      </c>
      <c r="G3572" t="inlineStr">
        <is>
          <t>2019-07-17 17:29:14</t>
        </is>
      </c>
      <c r="H3572" t="inlineStr"/>
    </row>
    <row r="3573">
      <c r="A3573" t="inlineStr">
        <is>
          <t>celdq3</t>
        </is>
      </c>
      <c r="B3573" t="inlineStr">
        <is>
          <t>Does chemo gets harder over time?</t>
        </is>
      </c>
      <c r="C3573" t="inlineStr">
        <is>
          <t>My mom is on her 3rd strong chemo and she already wants to quit. It take 3-4 days to recover after chemo and back to her normal like she can do what she usually do like laundry and cooking and walking in the morning. She has 1 more strong chemo to go and the 2 will be less strong. She lost her hairs on first round of chemo that's how strong the chemo but I'm proud of her how strong she is</t>
        </is>
      </c>
      <c r="D3573" t="n">
        <v>2</v>
      </c>
      <c r="E3573" t="n">
        <v>7</v>
      </c>
      <c r="F3573">
        <f>HYPERLINK("https://www.reddit.com/r/cancer/comments/celdq3/does_chemo_gets_harder_over_time/")</f>
        <v/>
      </c>
      <c r="G3573" t="inlineStr">
        <is>
          <t>2019-07-17 17:37:51</t>
        </is>
      </c>
      <c r="H3573" t="inlineStr"/>
    </row>
    <row r="3574">
      <c r="A3574" t="inlineStr">
        <is>
          <t>cem90g</t>
        </is>
      </c>
      <c r="B3574" t="inlineStr">
        <is>
          <t>Teens with cancer</t>
        </is>
      </c>
      <c r="C3574" t="inlineStr">
        <is>
          <t>Hello fellow teenagers with cancer. How are you today? I know life can seem tough but hang in there. I believe in you.</t>
        </is>
      </c>
      <c r="D3574" t="n">
        <v>50</v>
      </c>
      <c r="E3574" t="n">
        <v>9</v>
      </c>
      <c r="F3574">
        <f>HYPERLINK("https://www.reddit.com/r/cancer/comments/cem90g/teens_with_cancer/")</f>
        <v/>
      </c>
      <c r="G3574" t="inlineStr">
        <is>
          <t>2019-07-17 19:00:03</t>
        </is>
      </c>
      <c r="H3574" t="inlineStr"/>
    </row>
    <row r="3575">
      <c r="A3575" t="inlineStr">
        <is>
          <t>ceo4xn</t>
        </is>
      </c>
      <c r="B3575" t="inlineStr">
        <is>
          <t>My Dad is Dying</t>
        </is>
      </c>
      <c r="C3575" t="inlineStr">
        <is>
          <t>I live across the country, and my dad and I were talking on the phone. He went to the doctor for what he thought was a hernia and learned he has stage IV colon cancer that has already metastasized to his liver and lungs. There is no saving him, and he probably does not have long at all.  
I'm freaking out. My mom abandoned me as a kid, and my dad raised me. We moved every couple of years, so I never had friends. I was the outcast that nobody wanted, and my dad has been pretty much the only constant I have had. He is acting like it is no big deal, that he is not afraid, but I'm horrified.  
I immediately canceled everything to travel to his place. When I told him I was going there, he started nonchalantly talking about how he is transferring his house to me. That solidifies what is going on, there is no hiding from it.   
He won't give me any details regarding his prognosis. He thinks he can live for years, but I have seen the statistics. He is refusing treatment and continuing to smoke and drink. How long does he realistically have (serious question)?  
I am completely manic. I am playing with my spouse and kids one minute and balling my eyes out the next. My spouse has not faced anything like this in her life yet, and I don't know what to do. My entire unconditional support system is gone.
&amp;amp;#x200B;
We are all going to see him, and he is still relatively healthy (other than his liver being three times its normal size). We will be there a week, and I have no idea how I will pry myself away at the end of the week. Nothing stands up in the face of my dad dying (e.g., I have to work? Well, I'll never see my dad again, and we both know it...I'm not going anywhere).  
Has anybody gone through this? I need some form of catharsis...</t>
        </is>
      </c>
      <c r="D3575" t="n">
        <v>1</v>
      </c>
      <c r="E3575" t="n">
        <v>0</v>
      </c>
      <c r="F3575">
        <f>HYPERLINK("https://www.reddit.com/r/cancer/comments/ceo4xn/my_dad_is_dying/")</f>
        <v/>
      </c>
      <c r="G3575" t="inlineStr">
        <is>
          <t>2019-07-17 22:09:20</t>
        </is>
      </c>
      <c r="H3575" t="inlineStr"/>
    </row>
    <row r="3576">
      <c r="A3576" t="inlineStr">
        <is>
          <t>ces41c</t>
        </is>
      </c>
      <c r="B3576" t="inlineStr">
        <is>
          <t>Diet and nutrition tips to fight Leukaemia (Blood Cancer)</t>
        </is>
      </c>
      <c r="C3576" t="inlineStr">
        <is>
          <t xml:space="preserve"> **1. Aim for 10 fruits and vegetables per day.** 
&amp;amp;#x200B;
[Diet For Blood Cancer](https://i.redd.it/g4pwhnn462b31.jpg)
 The vitamins, minerals, antioxidants, and phytochemicals in fruits and vegetables are known to fight cancer cells. Sprinkle berries on top of cereal or whole-grain pancakes, bake apples and sprinkle them with cinnamon, and have an apple or banana as a snack during the day. 
 **2. Steam your vegetables**. 
&amp;amp;#x200B;
[Steam your vegetables](https://i.redd.it/vritaysb62b31.jpg)
 Steaming the vegetables helps to get the most nutrients out of them. Try a stir-fry made from a variety of peppers, mushrooms, broccoli, and carrots; add steamed sweet peas, and cauliflower to a salad; top a baked potato with broccoli or tomatoes; make vegetable soup with spinach, or mustard greens, and drink low-sodium vegetable juice. 
 **3. Go for whole grain** 
&amp;amp;#x200B;
[ Go for whole grain ](https://i.redd.it/k2lzb6ek62b31.jpg)
 Every bite you take should have as much nutrition as possible. Choose 100% whole-wheat bread, brown rice instead of white rice, whole-grain cereal, and ancient grains such as quinoa. 
 **4. Make protein a priority** 
&amp;amp;#x200B;
[ Make protein a priority ](https://i.redd.it/vxi5gawr62b31.png)
 The side effects of chemotherapy can include nausea and vomiting, which takes away some people’s appetite for meat. But it’s very important for patients with leukaemia to get protein because it keeps them strong.  
It may be easier to eat chicken or fish in soup. For vegetarians, good protein foods include nuts and seeds, soy products such as tofu or soy milk, wheat or oat cereals, and eggs. 
 **5. Eat every two to four hours** 
&amp;amp;#x200B;
[ Eat every two to four hours ](https://i.redd.it/2zvplggy62b31.jpg)
People with leukaemia tend to lose weight because of a loss of appetite and nausea, but it’s very important to maintain the weight to stay strong. If it’s hard to eat a big meal, eating small snacks or meals every two to four hours may help.
When you’re eating a healthful diet, getting enough exercise, managing stress, and getting enough sleep, you’ll know you’re doing everything you can to fight the disease.
&amp;amp;#x200B;
&amp;amp;#x200B;
&amp;amp;#x200B;
[**Pavtan food products**](https://www.pavtan.com/) have been made after years of scientific research based on Ayurveda and Medical Science.
Our ‘[**Cancer Care Aata**](https://www.pavtan.com/pavtan-cancer-care-aata)’ has proved to be an ayurvedic gift to cancer patients, thousands of them have benefitted from it. The major ingredients include Raj Gira, Singhada, Saava, Kattu and Moong which help in curing cancer and preventing the cancer cells to grow further.</t>
        </is>
      </c>
      <c r="D3576" t="n">
        <v>0</v>
      </c>
      <c r="E3576" t="n">
        <v>2</v>
      </c>
      <c r="F3576">
        <f>HYPERLINK("https://www.reddit.com/r/cancer/comments/ces41c/diet_and_nutrition_tips_to_fight_leukaemia_blood/")</f>
        <v/>
      </c>
      <c r="G3576" t="inlineStr">
        <is>
          <t>2019-07-18 05:54:23</t>
        </is>
      </c>
      <c r="H3576" t="inlineStr"/>
    </row>
    <row r="3577">
      <c r="A3577" t="inlineStr">
        <is>
          <t>ces6u2</t>
        </is>
      </c>
      <c r="B3577" t="inlineStr">
        <is>
          <t>Getting an Ultrasound Guided FNA today on a lymph node in my neck - Risk of Tumor Seeding?</t>
        </is>
      </c>
      <c r="C3577" t="inlineStr">
        <is>
          <t>I was just reading up on this procedure and noticed a lot of studies demonstrating a risk for tumor seeding from FNA. How common is this? Should I be worried about it?</t>
        </is>
      </c>
      <c r="D3577" t="n">
        <v>1</v>
      </c>
      <c r="E3577" t="n">
        <v>0</v>
      </c>
      <c r="F3577">
        <f>HYPERLINK("https://www.reddit.com/r/cancer/comments/ces6u2/getting_an_ultrasound_guided_fna_today_on_a_lymph/")</f>
        <v/>
      </c>
      <c r="G3577" t="inlineStr">
        <is>
          <t>2019-07-18 06:01:46</t>
        </is>
      </c>
      <c r="H3577" t="inlineStr"/>
    </row>
    <row r="3578">
      <c r="A3578" t="inlineStr">
        <is>
          <t>ces74y</t>
        </is>
      </c>
      <c r="B3578" t="inlineStr">
        <is>
          <t>I'm sure no one will read this, but here goes</t>
        </is>
      </c>
      <c r="C3578" t="inlineStr">
        <is>
          <t>My husbands father is dying.
He has been dying since the end of last year. He got the official diagnosis of an aggressive melanoma in January. 
We got married in March, planning the whole thing in 7 weeks so he could be with us.
It was a magical day, that we will always cherish and he was a part of it with his whole family and a bunch of his friends there too.
The doctors had told us we would have time, maybe until next year.
He turns 60 in September. He only wanted to make it to 60.
After a week long hospital stay full of chronic pain, 
Today we found out that he only has 2 or 3 weeks left to live. 
Gutted doesn't even begin to cover it.
We are devastated beyond belief. My husband is losing his hero. And he is going in the worst way possible, losing his personality along with horrible pain and strong medication.
I feel numb, I want to help more but I don't know what to say or do
I honestly don't really know why I'm writing this here... Just need to get it off my chest I guess.</t>
        </is>
      </c>
      <c r="D3578" t="n">
        <v>102</v>
      </c>
      <c r="E3578" t="n">
        <v>20</v>
      </c>
      <c r="F3578">
        <f>HYPERLINK("https://www.reddit.com/r/cancer/comments/ces74y/im_sure_no_one_will_read_this_but_here_goes/")</f>
        <v/>
      </c>
      <c r="G3578" t="inlineStr">
        <is>
          <t>2019-07-18 06:02:25</t>
        </is>
      </c>
      <c r="H3578" t="inlineStr"/>
    </row>
    <row r="3579">
      <c r="A3579" t="inlineStr">
        <is>
          <t>cesr8r</t>
        </is>
      </c>
      <c r="B3579" t="inlineStr">
        <is>
          <t>30 Everyday Activities That Can Cause Cancer</t>
        </is>
      </c>
      <c r="C3579" t="inlineStr">
        <is>
          <t xml:space="preserve"> 
&amp;amp;#x200B;
https://i.redd.it/91gjtgv5h2b31.jpg
&amp;amp;#x200B;
&amp;amp;#x200B;
Everyone knows that some activities and habits can increase your risk of cancer, like smoking, drinking, or overeating. However, there are many things we do every day that can also cause our risk of cancer to increase. Cancer is the second leading cause of U.S. deaths after heart disease, so knowing the risk factors and working to protect yourself just makes sense.
The good news is that “There’s major evidence we can reduce the rates of cancer in the population through prevention.” Susan Gapstur, MPH, Ph.D., and Senior Vice President of behavioral and epidemiology research for the American Cancer Society, believes that limiting your exposure to the following known cancer-causing foods, activities, and jobs can help significantly reduce your risk!
&amp;amp;#x200B;
### 1. Sun Exposure
In the summer, laying out on the beach is an extremely popular activity. People take to the ocean in droves to relax and get some sun. But while being in the sun can help you feel good, it’s also the leading cause of skin cancer. UV rays damage the fibers in your skin and can cause discoloration, tumors, and both precancerous and cancerous skin lesions.
It’s never too late to protect yourself from further sun damage and help prevent skin cancer, though! Make sure that you’re wearing sunscreen with an SPF of 30 or higher, avoid as much sun exposure between 10:00 am and 2:00 pm (peak UV radiation hours), and make sure you’re wearing protective clothing. Following these simple rules will let you enjoy the sun
.safely and reduce your risk of skin cancer
&amp;amp;#x200B;
&amp;amp;#x200B;
&amp;amp;#x200B;
https://i.redd.it/lm37mlddh2b31.jpg
### 2. Fake Tanning
You might think that choosing an indoor tan is safer and healthier for you than tanning in the sun. However, studies have shown that tanning beds and all their associated equipment can be as deadly – and sometimes more dangerous – than sun exposure. Even one tanning bed session can increase your risk of developing melanoma by 20%, and the American Academy of Dermatology believes that over 400,000 cases of skin cancer each year may be caused by indoor tanning
How can you avoid increasing your risk of cancers like melanoma, squamous cell carcinoma, and basal cell carcinoma? Simply put: don’t tan! The tanning bed might be tempting, and everyone loves that summer glow, but tanning beds are dangerous. If you really want a tan, consider a self-tanning lotion or cream, or hit up a sunless tanning booth. These options
are generally regarded as safe as long as proper instructions are followed
&amp;amp;#x200B;
&amp;amp;#x200B;
https://i.redd.it/gpmbjqkeh2b31.jpg
### 3. Frequent Flying
Whether you’re a flight attendant, a pilot, or a jet-setting businessperson, you are at a much higher risk of a variety of cancers. Female flight attendants have a 50% higher risk of breast cancer than women in other professions, and frequent flyers are four times more likely to get non-melanoma skin cancer.
Cabin crews are also at an increased risk of cervix, thyroid, colon, liver, and stomach cancer. However, if you’re not a frequent flyer, you likely won’t be exposed to enough ionizing radiation to matter
&amp;amp;#x200B;
source article : [https://ta5sis-kg.blogspot.com/2019/06/30-everyday-activities-that-can-cause.html](https://ta5sis-kg.blogspot.com/2019/06/30-everyday-activities-that-can-cause.html)</t>
        </is>
      </c>
      <c r="D3579" t="n">
        <v>1</v>
      </c>
      <c r="E3579" t="n">
        <v>0</v>
      </c>
      <c r="F3579">
        <f>HYPERLINK("https://www.reddit.com/r/cancer/comments/cesr8r/30_everyday_activities_that_can_cause_cancer/")</f>
        <v/>
      </c>
      <c r="G3579" t="inlineStr">
        <is>
          <t>2019-07-18 06:51:42</t>
        </is>
      </c>
      <c r="H3579" t="inlineStr"/>
    </row>
    <row r="3580">
      <c r="A3580" t="inlineStr">
        <is>
          <t>cevhl5</t>
        </is>
      </c>
      <c r="B3580" t="inlineStr">
        <is>
          <t>Just starting the journey</t>
        </is>
      </c>
      <c r="C3580" t="inlineStr">
        <is>
          <t>I am 23 years old and was diagnosed with cancer just a week and a half ago. Today I had an MRI done to see the extent of the cancer. Half way through my radiologist paused the test and called one of the doctors from my team in to look at something. Is it normal in other’s experiences to have an oncologist come in to look at images on the spot? 
I’ve done a lot of MRIs before and this has never happened.</t>
        </is>
      </c>
      <c r="D3580" t="n">
        <v>7</v>
      </c>
      <c r="E3580" t="n">
        <v>7</v>
      </c>
      <c r="F3580">
        <f>HYPERLINK("https://www.reddit.com/r/cancer/comments/cevhl5/just_starting_the_journey/")</f>
        <v/>
      </c>
      <c r="G3580" t="inlineStr">
        <is>
          <t>2019-07-18 10:27:49</t>
        </is>
      </c>
      <c r="H3580" t="inlineStr"/>
    </row>
    <row r="3581">
      <c r="A3581" t="inlineStr">
        <is>
          <t>cevuqz</t>
        </is>
      </c>
      <c r="B3581" t="inlineStr">
        <is>
          <t>Cancer specialist in India: Find the best treatment here</t>
        </is>
      </c>
      <c r="C3581" t="inlineStr">
        <is>
          <t>Malignancy is a feared ailment that takes up an individual's whole consideration leaving very little for him to do. Experiencing a [Cancer treatment](http://cancercuretoday.com/) can be incredibly excruciating and rationally depleting. You can't bargain in light of the treatment and keeping this, Forerunners Healthcare Consultants acquires you contact with best Cancer Hospitals and Surgeons in India. Read more [https://bit.ly/2LslWnG](https://bit.ly/2LslWnG)</t>
        </is>
      </c>
      <c r="D3581" t="n">
        <v>1</v>
      </c>
      <c r="E3581" t="n">
        <v>0</v>
      </c>
      <c r="F3581">
        <f>HYPERLINK("https://www.reddit.com/r/cancer/comments/cevuqz/cancer_specialist_in_india_find_the_best/")</f>
        <v/>
      </c>
      <c r="G3581" t="inlineStr">
        <is>
          <t>2019-07-18 10:56:16</t>
        </is>
      </c>
      <c r="H3581" t="inlineStr"/>
    </row>
    <row r="3582">
      <c r="A3582" t="inlineStr">
        <is>
          <t>cewkw5</t>
        </is>
      </c>
      <c r="B3582" t="inlineStr">
        <is>
          <t>Stage IV Colon Cancer w/Mets 'tis but a scratch</t>
        </is>
      </c>
      <c r="C3582" t="inlineStr">
        <is>
          <t>Went to meet my Radiation Oncologist, yesterday. Just to have him tell me that one of my Oncology Surgeons phoned him the night before to say I didn't need Radiation on my ass as I am fully resectable now at 4 rounds of chemo. 
I was to do one more chemo (5 in total skipping the 6th) and then get ready to be ridden by a stallion on the operating table. I don't even begrudge them the 400-mile round trip and the tourist priced hotel room I had to get. At least we found free parking.
I keep telling myself my butt will stretch 8 inches and a raccoon only needs 4 inches to get up there (thanks for that knowledge Reddit). So if I have any ass raccoons they can get them too.
Then I went and saw my Case Manager today and they are going to pass on the 5th chemo and get me ready for surgery. The chemo drug that starts with the letter "O" that everyone hates has raised some of my liver levels. So they are not doing the 5th chemo and I am getting ready for surgery in two weeks.
I am bullshit my Iceland trip has to be canceled. But on the plus side, my odds of living has improved substantially from 3 months ago.
Sending happy thoughts and prayers that everyone has a great day today.</t>
        </is>
      </c>
      <c r="D3582" t="n">
        <v>69</v>
      </c>
      <c r="E3582" t="n">
        <v>29</v>
      </c>
      <c r="F3582">
        <f>HYPERLINK("https://www.reddit.com/r/cancer/comments/cewkw5/stage_iv_colon_cancer_wmets_tis_but_a_scratch/")</f>
        <v/>
      </c>
      <c r="G3582" t="inlineStr">
        <is>
          <t>2019-07-18 11:53:27</t>
        </is>
      </c>
      <c r="H3582" t="inlineStr"/>
    </row>
    <row r="3583">
      <c r="A3583" t="inlineStr">
        <is>
          <t>cey0p5</t>
        </is>
      </c>
      <c r="B3583" t="inlineStr">
        <is>
          <t>My girlfriends mom survived cancer when she was 12. Now my gf has strong health anxiety.</t>
        </is>
      </c>
      <c r="C3583" t="inlineStr">
        <is>
          <t xml:space="preserve">  
My girlfriend (f19) and I (m20) are dating since 3 months, however we were casual friends for a few years beforehand. 
I love her strongly and I’m incredibly happy about our relationship. She is the sweetest and kindest person I know and also highly intelligent and always interesting to talk to.
But I feel I need some advice on her anxieties and their impact on our sex life. We started to be sexually active almost immediately after our relationship began. I already had sex in the past but for her it was the first time. She was very eager to have sex and I think she wanted it even more than I did. So I tried to guide her gently through her first time. She feels only comfortable to undress when the light is dimmed, so I dimmed the light. Then I tried to proceed gently. However she insisted on keeping her bra on and didn’t wanted me to touch her boobs. 
And until now she refuses to let me see or touch her breasts.
I asked her about it and she explained that she absolutely hates her boobs and feels completely unable to think about them sexually because her mother had breast cancer when she was twelve. She said that she understands that I’m a guy and attracted to boobs and that she is sorry for making me feel uncomfortable.
Her fear about cancer is exacerbated by the fact that her maternal grandparents both died of it (prostate/pancreatic cancer).
She self examines her boobs for lumps at least weekly and she is extremely fearful that she herself or a loved one has cancer. She is often convinced that this is actually the case and no one is able to calm her down on that one for more than a pretty short time. Since we are dating she was thrice convinced that she has cancer and also was once convinced that I have cancer.
She is a rather fearful person in general but definitely not as much.
She actually tried therapy twice in the past (aged 12 and again aged 17) but she disliked both therapists and did not continued her therapy. However she is not generally against therapy and psychologists/psychiatrists.
So what can I do to help her and have a more normal sex life with her?
**TL;DR: My girlfriend has strong health-related anxieties and hates her boobs since her mother had breast cancer when she was twelve.**</t>
        </is>
      </c>
      <c r="D3583" t="n">
        <v>1</v>
      </c>
      <c r="E3583" t="n">
        <v>0</v>
      </c>
      <c r="F3583">
        <f>HYPERLINK("https://www.reddit.com/r/cancer/comments/cey0p5/my_girlfriends_mom_survived_cancer_when_she_was/")</f>
        <v/>
      </c>
      <c r="G3583" t="inlineStr">
        <is>
          <t>2019-07-18 13:47:30</t>
        </is>
      </c>
      <c r="H3583" t="inlineStr"/>
    </row>
    <row r="3584">
      <c r="A3584" t="inlineStr">
        <is>
          <t>ceyz9u</t>
        </is>
      </c>
      <c r="B3584" t="inlineStr">
        <is>
          <t>First CT since Liver Resection (TLDR Below)</t>
        </is>
      </c>
      <c r="C3584" t="inlineStr">
        <is>
          <t xml:space="preserve">
My boyfriend’s (27M) journey with cancer began in 2017 when he discovered he had testicular cancer. He had been vomiting pretty much non stop and had felt a unique pain in his testicle but didn’t think anything of it (he’s a barfer in general).  After a grand mal seizure (he is not epileptic), and his provincial health care provider nor knowing what was wrong with him, finally he was diagnosed. After removing the testicle, a round of chemo, by this time last year he was cancer free. 
On thanksgiving (which is in October here in Canada), he felt that same pain again. Headed to the hospital and sure enough - his entire abdomen was filled with tumours. Germ Cell Cancer was back with a vengeance. Stage 4. He did another round of inpatient chemo, then had his stem cells removed to be washed and transplanted back after each remaining chemical treatment. 
We made it through Christmas and New Years and even managed to turn up on NYE. His last chemo/stem cell was in January and in April he had a wedge resection of the liver (about 1/3 of his liver). But the oncologist said that all the tumours were dead!
His 3 month follow up CT was on July 10. On July 16, after 4 glorious, cancer free, love filled months, he put his dinner down and said, “babe, I have to tell you something, but I don’t want you to at upset.” And proceeds to confide in me that for a month or so, that weird, unique pain in his testicle has returned. I obviously bawled my eyes out all night. I kept running scenarios in my head of losing him, never smelling him fresh from the shower, never seeing him with our (future) babies, or waking up with him again, or walking down the aisle to him... It’s our worst nightmare. 
The next day, I ran my errands and literally talked to myself the entire time: “just stay in the present. You have a healthy, sexy man who you love and who loves you. You don’t know anything until the oncologist reads the scans and the bloodwork.” I fended off tears at the dentist, at the grocery store, and finally at the hospital. 
He was so scared and anxious when I arrived - but so strong. We held each other as the nurse went through the usual questions: nausea?, hearing?, energy?, bowel movements? He informed her about his testicle pain and that it’s the same pain indicator of past cancer. 
Finally, after what seemed like FOREVER, his oncologist arrived. She went thru the nurses notes and then began to read his CT results (chest, abdomen, pelvis) as we clutched each other’s hands, tears rolling down my cheeks. 
“No findings of metastatic disease in the lung. Bony structures stable: no findings of metastatic disease. Low-attenuation chance at the margin of resection, post surgical.  No focal splenic lesion. No adrenal masses. Pancreas is normal. Sorta is normal. No enlarged lymph nodes. No significant renal abnormalities. No free fluid. NO MASS LIKE AREAS ARE NOTED”.
After expecting bad news, we were both so shocked. We were so sure he was sick again. The doc examined his remaining testicle and abdomen and felt nothing concerning but to soothe our fears, she ordered an ultrasound for those areas. I think she could see the disbelief in his eyes. 
It has been a scary, stressful, exhausting couple of years. And every CT scan he gets reminds me to live in the moment, to love in the moment, and to let go of the small stuff. I am so blessed to love such a strong man. I’m sure that in October, when we get his next scans, we will be filled with the same fear and dread but for now, we have a happy ending. 
TLDR: bf (27m) 3 months cancer free!</t>
        </is>
      </c>
      <c r="D3584" t="n">
        <v>10</v>
      </c>
      <c r="E3584" t="n">
        <v>0</v>
      </c>
      <c r="F3584">
        <f>HYPERLINK("https://www.reddit.com/r/cancer/comments/ceyz9u/first_ct_since_liver_resection_tldr_below/")</f>
        <v/>
      </c>
      <c r="G3584" t="inlineStr">
        <is>
          <t>2019-07-18 15:04:38</t>
        </is>
      </c>
      <c r="H3584" t="inlineStr"/>
    </row>
    <row r="3585">
      <c r="A3585" t="inlineStr">
        <is>
          <t>ceyznm</t>
        </is>
      </c>
      <c r="B3585" t="inlineStr">
        <is>
          <t>Secondhand Cancer Anxiety</t>
        </is>
      </c>
      <c r="C3585" t="inlineStr">
        <is>
          <t>Does anyone who has a parent with cancer get anxious about your potential future run-ins with cancer?
My mom has stage 4 hormonal metastatic breast cancer without a family history on her mother's side, just a distant aunt and relative on her father's. 
Her sister doesn't have it, and despite doctor's orders to "wait till I'm 40" before getting genetic testing, and further medical opinions confirming that it isn't genetic, I'm fucking scared. 
I'm scared for my mom, who is now terminal, I'm scared for myself and my future children. I don't want to pass down anything like this to anyone.
Does anyone share my sentiments? Has anybody tested negative for cancer genes even when a parent has had it?</t>
        </is>
      </c>
      <c r="D3585" t="n">
        <v>8</v>
      </c>
      <c r="E3585" t="n">
        <v>16</v>
      </c>
      <c r="F3585">
        <f>HYPERLINK("https://www.reddit.com/r/cancer/comments/ceyznm/secondhand_cancer_anxiety/")</f>
        <v/>
      </c>
      <c r="G3585" t="inlineStr">
        <is>
          <t>2019-07-18 15:05:31</t>
        </is>
      </c>
      <c r="H3585" t="inlineStr"/>
    </row>
    <row r="3586">
      <c r="A3586" t="inlineStr">
        <is>
          <t>cezcku</t>
        </is>
      </c>
      <c r="B3586" t="inlineStr">
        <is>
          <t>ALL SCT patient survivors: how long until you went back to work?</t>
        </is>
      </c>
      <c r="C3586" t="inlineStr">
        <is>
          <t>I’m +56 days post SCT and am now living on disability. Ive dabbled in looking for jobs but haven’t really applied bc I’m hesitant to make such a commitment due to my health. 
I’m still visiting my onco 1x per week and have been pretty healthy so far, no signs of GVHD. I’m asking this question bc im extremely impatient and just want to get back to normalcy but I’m restricted in a lot of things (can’t swim, workout at the gym, crowds etc.) just curious how long it took other patients similar to me to return back to work. 
Thanks!</t>
        </is>
      </c>
      <c r="D3586" t="n">
        <v>2</v>
      </c>
      <c r="E3586" t="n">
        <v>2</v>
      </c>
      <c r="F3586">
        <f>HYPERLINK("https://www.reddit.com/r/cancer/comments/cezcku/all_sct_patient_survivors_how_long_until_you_went/")</f>
        <v/>
      </c>
      <c r="G3586" t="inlineStr">
        <is>
          <t>2019-07-18 15:35:20</t>
        </is>
      </c>
      <c r="H3586" t="inlineStr"/>
    </row>
    <row r="3587">
      <c r="A3587" t="inlineStr">
        <is>
          <t>cezqfk</t>
        </is>
      </c>
      <c r="B3587" t="inlineStr">
        <is>
          <t>Complaining.</t>
        </is>
      </c>
      <c r="C3587" t="inlineStr">
        <is>
          <t>I had my first pelvic radiation appt today and I was actually excited to get going with it. Got Starbucks on the way home and it was a seemingly good day.
Then I got home. All of a sudden I got so nauseous, like I had the spins from too much alcohol. I couldn't believe it. I was under the impression the radiation is more cumulative rather than *boom* nausea. 
Has this happened to anyone else? 
I've taken some zofran and no longer feel quite as bad. But omg for about an hour there I couldn't move without the world twisting around beneath me. I shudder to think of how I'll feel when they finally add chemo. 
But even if I'm sick every single day I'll still stick to it. I will beat this cancer one way or another. No matter what it takes. 
Sorry for the rant. Thanks for listening. 💙</t>
        </is>
      </c>
      <c r="D3587" t="n">
        <v>26</v>
      </c>
      <c r="E3587" t="n">
        <v>16</v>
      </c>
      <c r="F3587">
        <f>HYPERLINK("https://www.reddit.com/r/cancer/comments/cezqfk/complaining/")</f>
        <v/>
      </c>
      <c r="G3587" t="inlineStr">
        <is>
          <t>2019-07-18 16:08:08</t>
        </is>
      </c>
      <c r="H3587" t="inlineStr"/>
    </row>
    <row r="3588">
      <c r="A3588" t="inlineStr">
        <is>
          <t>cf0znq</t>
        </is>
      </c>
      <c r="B3588" t="inlineStr">
        <is>
          <t>survey about support</t>
        </is>
      </c>
      <c r="C3588" t="inlineStr">
        <is>
          <t xml:space="preserve"> [Support for Cancer Patients, Friends, &amp;amp; Family](https://forms.gle/ZQ7njumyo5CbTYGAA)
Hi all,
I am a student at the University of Washington doing a group project focused on the support that cancer patients and the friend's and family of those affected by cancer receive.
We are conducting this survey to get a better understanding of how cancer patients ( and their family/friends) seek out support and community. I wish I could say our survey was better designed - but please give it a go if it applies AND we would greatly appreciate stories (of how you coped or found your support community in rough times) too in the comments!
Thanks a bunch!</t>
        </is>
      </c>
      <c r="D3588" t="n">
        <v>4</v>
      </c>
      <c r="E3588" t="n">
        <v>0</v>
      </c>
      <c r="F3588">
        <f>HYPERLINK("https://www.reddit.com/r/cancer/comments/cf0znq/survey_about_support/")</f>
        <v/>
      </c>
      <c r="G3588" t="inlineStr">
        <is>
          <t>2019-07-18 18:05:19</t>
        </is>
      </c>
      <c r="H3588" t="inlineStr"/>
    </row>
    <row r="3589">
      <c r="A3589" t="inlineStr">
        <is>
          <t>cf1u3b</t>
        </is>
      </c>
      <c r="B3589" t="inlineStr">
        <is>
          <t>Beginning the journey</t>
        </is>
      </c>
      <c r="C3589" t="inlineStr">
        <is>
          <t>I am Male and 18 years old. Today I was just diagnosed with bone cancer (likely osteosarcoma) in my shoulder. 
I’m so scared right now, I was just getting ready to go off to college next month and even if I beat it easily, I just don’t want to put my life on pause. And if I don’t beat it easily and have to fight it hard, I have a loving family with two younger twin brothers and a girlfriend of two years who I love so much. 
I’m just terrified where this is going to take me. And I really need support right now. We caught the tumor pretty early and they doubt it’s spread, but you just never know. Thank you all and I really just need support right now.</t>
        </is>
      </c>
      <c r="D3589" t="n">
        <v>43</v>
      </c>
      <c r="E3589" t="n">
        <v>27</v>
      </c>
      <c r="F3589">
        <f>HYPERLINK("https://www.reddit.com/r/cancer/comments/cf1u3b/beginning_the_journey/")</f>
        <v/>
      </c>
      <c r="G3589" t="inlineStr">
        <is>
          <t>2019-07-18 19:26:52</t>
        </is>
      </c>
      <c r="H3589" t="inlineStr"/>
    </row>
    <row r="3590">
      <c r="A3590" t="inlineStr">
        <is>
          <t>cf343i</t>
        </is>
      </c>
      <c r="B3590" t="inlineStr">
        <is>
          <t>My father found out he has Collecting duct carcinoma</t>
        </is>
      </c>
      <c r="C3590" t="inlineStr">
        <is>
          <t>So, I pretty much live on reddit threads and figured maybe I could learn a few things here if anywhere.  
My father just found out that the kidney caner he has, is Collecting Duct Carcinoma. Which is evidently very rare.    
Now, I live in Pennsylvania and was told that Hershey PA's medical facilities are some of the best in the world regarding cancer treatment but...my father was also told that Collecting duct carcinoma is like..30-40 documented cases ever, and one doctor told my dad there were two known survivors. I figured I'd come here to ask if anyone else knew much about it or Immunotherapy treatments he's supposed to receive for it to boost his immune system?</t>
        </is>
      </c>
      <c r="D3590" t="n">
        <v>3</v>
      </c>
      <c r="E3590" t="n">
        <v>7</v>
      </c>
      <c r="F3590">
        <f>HYPERLINK("https://www.reddit.com/r/cancer/comments/cf343i/my_father_found_out_he_has_collecting_duct/")</f>
        <v/>
      </c>
      <c r="G3590" t="inlineStr">
        <is>
          <t>2019-07-18 21:39:28</t>
        </is>
      </c>
      <c r="H3590" t="inlineStr"/>
    </row>
    <row r="3591">
      <c r="A3591" t="inlineStr">
        <is>
          <t>cf36wj</t>
        </is>
      </c>
      <c r="B3591" t="inlineStr">
        <is>
          <t>I'm having a hard time crying.</t>
        </is>
      </c>
      <c r="C3591" t="inlineStr">
        <is>
          <t>When I was in the hospital, I had to keep myself from crying because it would make my nose bleed for about an hour and then I'd need platelets and more blood. I've been home for a month now, and I can't get myself to cry anymore.
I don't like this feeling.</t>
        </is>
      </c>
      <c r="D3591" t="n">
        <v>1</v>
      </c>
      <c r="E3591" t="n">
        <v>0</v>
      </c>
      <c r="F3591">
        <f>HYPERLINK("https://www.reddit.com/r/cancer/comments/cf36wj/im_having_a_hard_time_crying/")</f>
        <v/>
      </c>
      <c r="G3591" t="inlineStr">
        <is>
          <t>2019-07-18 21:48:07</t>
        </is>
      </c>
      <c r="H3591" t="inlineStr"/>
    </row>
    <row r="3592">
      <c r="A3592" t="inlineStr">
        <is>
          <t>cf3bei</t>
        </is>
      </c>
      <c r="B3592" t="inlineStr">
        <is>
          <t>Teeth whitening after treatment</t>
        </is>
      </c>
      <c r="C3592" t="inlineStr">
        <is>
          <t>Anyone tried it?  I have dry mouth from RAI now and I’d like to do something light, like whitening strips.</t>
        </is>
      </c>
      <c r="D3592" t="n">
        <v>3</v>
      </c>
      <c r="E3592" t="n">
        <v>3</v>
      </c>
      <c r="F3592">
        <f>HYPERLINK("https://www.reddit.com/r/cancer/comments/cf3bei/teeth_whitening_after_treatment/")</f>
        <v/>
      </c>
      <c r="G3592" t="inlineStr">
        <is>
          <t>2019-07-18 22:01:54</t>
        </is>
      </c>
      <c r="H3592" t="inlineStr"/>
    </row>
    <row r="3593">
      <c r="A3593" t="inlineStr">
        <is>
          <t>cf450z</t>
        </is>
      </c>
      <c r="B3593" t="inlineStr">
        <is>
          <t>Griefposting</t>
        </is>
      </c>
      <c r="C3593" t="inlineStr">
        <is>
          <t>As usual, I don't expect a response. I just need to talk.
So this morning mum's treatment team gathered us all together to discuss what I thought was going to be how at home care would look. Instead it was the efficacy of her treatment - rather, the fact we're totally out of options, and all they can do now is manage the pain.
They can't give any sort of timeframe because her cancer is so erratic and unpredictable.
I'm in pieces. I mean, I wasn't oblivious to the fact this day was coming. I just hoped we might have a little bit longer of her being healthyish and, well, her regular upbeat self. But every day she looks worse. In the space of weeks she's lost so much weight that her skin is almost hanging off her - and she was never big to begin with.
I don't know what to do. I'm so outside of my own life right now. I keep thinking of the things I'll never get with my mum. She's not going to be there when I meet my person, get married, if I have kids, graduate uni... I can't say the things I want to say because she's so out of it. I'm scared and I'm lost, and I don't know how to deal anymore.</t>
        </is>
      </c>
      <c r="D3593" t="n">
        <v>12</v>
      </c>
      <c r="E3593" t="n">
        <v>4</v>
      </c>
      <c r="F3593">
        <f>HYPERLINK("https://www.reddit.com/r/cancer/comments/cf450z/griefposting/")</f>
        <v/>
      </c>
      <c r="G3593" t="inlineStr">
        <is>
          <t>2019-07-18 23:38:46</t>
        </is>
      </c>
      <c r="H3593" t="inlineStr"/>
    </row>
    <row r="3594">
      <c r="A3594" t="inlineStr">
        <is>
          <t>cf467d</t>
        </is>
      </c>
      <c r="B3594" t="inlineStr">
        <is>
          <t>It's not about being strong or brave [rant]</t>
        </is>
      </c>
      <c r="C3594" t="inlineStr">
        <is>
          <t>With that bell ringing video making the rounds, a lot of people are throwing around the strong/brave labels again.
For me, undergoing cancer treatment is not about being strong or brave. It's like when a spider drops on to your face and you smack the shit out of yourself trying to kill it.</t>
        </is>
      </c>
      <c r="D3594" t="n">
        <v>73</v>
      </c>
      <c r="E3594" t="n">
        <v>21</v>
      </c>
      <c r="F3594">
        <f>HYPERLINK("https://www.reddit.com/r/cancer/comments/cf467d/its_not_about_being_strong_or_brave_rant/")</f>
        <v/>
      </c>
      <c r="G3594" t="inlineStr">
        <is>
          <t>2019-07-18 23:43:06</t>
        </is>
      </c>
      <c r="H3594" t="inlineStr"/>
    </row>
    <row r="3595">
      <c r="A3595" t="inlineStr">
        <is>
          <t>cf4z20</t>
        </is>
      </c>
      <c r="B3595" t="inlineStr">
        <is>
          <t>Yesterday my grandma lost her battle</t>
        </is>
      </c>
      <c r="C3595" t="inlineStr">
        <is>
          <t>My grandmother had bladder cancer in 2014-15 and pulled through with chemo and radiation. She went into remission and it came back but she also got a primary brain cancer called an astrocytoma. She passed away after only a few weeks of that diagnosis. I graduate in the fall with a degree in biochemistry and I study a disease called IPF, I hope that through my loss I can channel that into helping people battle such tough diseases. Nothing is worse than watching a loved one suffer.</t>
        </is>
      </c>
      <c r="D3595" t="n">
        <v>9</v>
      </c>
      <c r="E3595" t="n">
        <v>3</v>
      </c>
      <c r="F3595">
        <f>HYPERLINK("https://www.reddit.com/r/cancer/comments/cf4z20/yesterday_my_grandma_lost_her_battle/")</f>
        <v/>
      </c>
      <c r="G3595" t="inlineStr">
        <is>
          <t>2019-07-19 01:27:54</t>
        </is>
      </c>
      <c r="H3595" t="inlineStr"/>
    </row>
    <row r="3596">
      <c r="A3596" t="inlineStr">
        <is>
          <t>cf5qmm</t>
        </is>
      </c>
      <c r="B3596" t="inlineStr">
        <is>
          <t>What should I do to help my Uncle?</t>
        </is>
      </c>
      <c r="C3596" t="inlineStr">
        <is>
          <t>hi guys! first time posting here but we’re all in need of a bit of help. my uncle really hasn’t had a fulfilling life - he injured his back falling down the stairs when he was a teenager, meaning that he’s been mostly bed bound since then and he’s 45 now!! thus, he’s had to stay living with my grandparents because he can’t live by himself. recently, he was diagnosed with cancer in his jaw - they just thought it was a bad wisdom tooth, but it turns out it was cancer. So they cut the jaw out and replaced it with his hip bone. Since then, he’s had 6 weeks of chemotherapy and radio therapy and he’s lost so much weight and he’s in so much pain. Today he’s gone back in to see the doctor, because he has an infection that became really serious - I’m talking he can’t see out of his right eye because his cheek has swollen up so much. they’ll probably keep him in on a drip after today. 
My question is - what can I do to make him feel a bit better or to cheer him up? I know it’s a question that a lot of people trying to support those with cancer think - but he really hasn’t had much of a life up to now and it looks like he won’t from here on in.  So what do you guys think is a few little gestures I could do for him that would make him happy? Even for a moment. 
Thank you so much x</t>
        </is>
      </c>
      <c r="D3596" t="n">
        <v>2</v>
      </c>
      <c r="E3596" t="n">
        <v>1</v>
      </c>
      <c r="F3596">
        <f>HYPERLINK("https://www.reddit.com/r/cancer/comments/cf5qmm/what_should_i_do_to_help_my_uncle/")</f>
        <v/>
      </c>
      <c r="G3596" t="inlineStr">
        <is>
          <t>2019-07-19 03:10:01</t>
        </is>
      </c>
      <c r="H3596" t="inlineStr"/>
    </row>
    <row r="3597">
      <c r="A3597" t="inlineStr">
        <is>
          <t>cf69o1</t>
        </is>
      </c>
      <c r="B3597" t="inlineStr">
        <is>
          <t>Goodnight Mom</t>
        </is>
      </c>
      <c r="C3597" t="inlineStr">
        <is>
          <t>Wednesday morning my mom passed away from Cancer. She fought so hard, but despite that the cancer was so aggressive that she couldn't beat it. It feels so strange to not be able to pick up the phone and call her now. I keep thinking I need to tell her about the day and ask her how she's feeling and I can't. She's gone. She was the most amazing woman. She was a nurse for over 25 years and when we worked at the same organization I heard so many times from patients how much they loved her. She was compassionate, strong, fiercely independent, and had the best laugh. I would always try so hard to get her to laugh so I could hear it. Screw you cancer for taking her from me. It isn't fair. I will never get to ask her for advice about my son as he grows up. He will never remember her as he'll be 1 1/2 next month. This is breaking my heart. I just want my mom back. Goodnight Mom. I love you.</t>
        </is>
      </c>
      <c r="D3597" t="n">
        <v>61</v>
      </c>
      <c r="E3597" t="n">
        <v>12</v>
      </c>
      <c r="F3597">
        <f>HYPERLINK("https://www.reddit.com/r/cancer/comments/cf69o1/goodnight_mom/")</f>
        <v/>
      </c>
      <c r="G3597" t="inlineStr">
        <is>
          <t>2019-07-19 04:15:50</t>
        </is>
      </c>
      <c r="H3597" t="inlineStr"/>
    </row>
    <row r="3598">
      <c r="A3598" t="inlineStr">
        <is>
          <t>cf6ah7</t>
        </is>
      </c>
      <c r="B3598" t="inlineStr">
        <is>
          <t>26M with mediastinal testicular cancer. I have my post chemo CT scan today!</t>
        </is>
      </c>
      <c r="C3598" t="inlineStr">
        <is>
          <t>Hopefully I’ll be in remission. I find out the results on Monday and maybe I’ll never lurk/post here again 🙂</t>
        </is>
      </c>
      <c r="D3598" t="n">
        <v>3</v>
      </c>
      <c r="E3598" t="n">
        <v>1</v>
      </c>
      <c r="F3598">
        <f>HYPERLINK("https://www.reddit.com/r/cancer/comments/cf6ah7/26m_with_mediastinal_testicular_cancer_i_have_my/")</f>
        <v/>
      </c>
      <c r="G3598" t="inlineStr">
        <is>
          <t>2019-07-19 04:18:15</t>
        </is>
      </c>
      <c r="H3598" t="inlineStr"/>
    </row>
    <row r="3599">
      <c r="A3599" t="inlineStr">
        <is>
          <t>cf7nok</t>
        </is>
      </c>
      <c r="B3599" t="inlineStr">
        <is>
          <t>life after cancer</t>
        </is>
      </c>
      <c r="C3599" t="inlineStr">
        <is>
          <t>Some background info:
I was diagnosed with acute lymphoblastic leukaemia in 2013 when I was 13 years old, went into remission after the first month of induction treatment, did two more years of chemo, finished chemo in April 2015. Developed osteonecrosis from steroid treatment, causing my hip bone to crumble and led to two surgeries in 2014 and 2015. Numerous side effects - Bell’s palsy, minor heart problems, ongoing digestive problems. I went through the whole lot which is pretty hard as a teenage girl but next year I’ll officially be classed as “cured”.
Now why I’m making this post...
What was the point in surviving? My life just seems so empty. I have no friends, I had to leave university because of depression, I only work part time because I physically can’t cope with full time due to fatigue, anything I try to achieve always seems to backfire and I never get there. I see a therapist once a week, I’ve been prescribed anti-depressants but I hate taking medication because my body has been through so much, I genuinely feel so alone and down all the time and physically run down (probably due to feeling so low or vice versa). I hate being alive but I always wimp out of suicide at the last second. I make my family and boyfriend scared because they’re terrified one day I’ll go through with it. I’m sure I have Aspergers but that’s another problem I suppose..
I don’t know what I want by posting on here. Maybe just venting. Anyone else feel like this? The years of crap I went through. Having all my dignity taken away from me - my hair, my social life, just everything. For what? Mental breakdowns, social isolation, life going nowhere. I finished treatment with the attitude of having my whole life ahead of me and life is too short to spend it unhappy, it’s been four years and I’ve been happy for maybe one or two months at most. I don’t know what to do anymore.</t>
        </is>
      </c>
      <c r="D3599" t="n">
        <v>1</v>
      </c>
      <c r="E3599" t="n">
        <v>0</v>
      </c>
      <c r="F3599">
        <f>HYPERLINK("https://www.reddit.com/r/cancer/comments/cf7nok/life_after_cancer/")</f>
        <v/>
      </c>
      <c r="G3599" t="inlineStr">
        <is>
          <t>2019-07-19 06:37:30</t>
        </is>
      </c>
      <c r="H3599" t="inlineStr"/>
    </row>
    <row r="3600">
      <c r="A3600" t="inlineStr">
        <is>
          <t>cf7qdg</t>
        </is>
      </c>
      <c r="B3600" t="inlineStr">
        <is>
          <t>Got my MRI results yesterday 😢</t>
        </is>
      </c>
      <c r="C3600" t="inlineStr">
        <is>
          <t>So the past 4 months of treatment with FOLFOX, 5FU and the worst treatment for me - Erbitux, did not effect the tumors. The one tumor in my liver grew from 15mm to 19mm.
Not sure what the tumors in my spleen and the main tumor in my colon did. Was just in a daze when the doctor said that nothing happened.
I am moving to a new treatment plan with Avastin and some pills that I need to take for a 3 week cycle.
The doctor said we will have to get a surgeon to remove the tumors and to then treat the cancer after that.
To say the least I am depressed. The news caught me off sided somewhat as the Erbitux gave me te worst acne and problems with my nails and skin, and yet it was not effective at all. So will see what is in store for me.
Oh I have stage 4 colon cancer.</t>
        </is>
      </c>
      <c r="D3600" t="n">
        <v>48</v>
      </c>
      <c r="E3600" t="n">
        <v>37</v>
      </c>
      <c r="F3600">
        <f>HYPERLINK("https://www.reddit.com/r/cancer/comments/cf7qdg/got_my_mri_results_yesterday/")</f>
        <v/>
      </c>
      <c r="G3600" t="inlineStr">
        <is>
          <t>2019-07-19 06:44:31</t>
        </is>
      </c>
      <c r="H3600" t="inlineStr"/>
    </row>
    <row r="3601">
      <c r="A3601" t="inlineStr">
        <is>
          <t>cf91s4</t>
        </is>
      </c>
      <c r="B3601" t="inlineStr">
        <is>
          <t>Looking good... but have you thought about hospice?</t>
        </is>
      </c>
      <c r="C3601" t="inlineStr">
        <is>
          <t>I have posted in here a few times in regards to my step father having pancreatic cancer. But here is a short backstory. 
He was diagnosed in november of 2018. He had a stent put in because the mass was really large. Once they got his pancreas to calm down from an infection they did the whipple procedure. Once he healed from that they started him on chemo. He only has 1 more treatment left out of the 12 ordered for him to do. His most recent one was this past Tuesday (7/16). He saw his doctor beforehand to make sure he was in good enough health because he recent had c. Diff. The doctor told my mom and him that he was really impressed with the results of the most recent scan (about 3 weeks ago), but then almost in the same breath asked if anyone had talked to them about putting him on hospice.... 
Is pancreatic cancer that invasive that even with the tiniest bit left in the system it can take over so quickly they need hospice as soon as he is done with chemo? He does have another scan, but it's not until a month after his last treatment. Can anyone assist on what we might be looking at longevity wise when his chemo is over?
Thank you.</t>
        </is>
      </c>
      <c r="D3601" t="n">
        <v>7</v>
      </c>
      <c r="E3601" t="n">
        <v>3</v>
      </c>
      <c r="F3601">
        <f>HYPERLINK("https://www.reddit.com/r/cancer/comments/cf91s4/looking_good_but_have_you_thought_about_hospice/")</f>
        <v/>
      </c>
      <c r="G3601" t="inlineStr">
        <is>
          <t>2019-07-19 08:37:35</t>
        </is>
      </c>
      <c r="H3601" t="inlineStr"/>
    </row>
    <row r="3602">
      <c r="A3602" t="inlineStr">
        <is>
          <t>cf93yw</t>
        </is>
      </c>
      <c r="B3602" t="inlineStr">
        <is>
          <t>Question</t>
        </is>
      </c>
      <c r="C3602" t="inlineStr">
        <is>
          <t xml:space="preserve"> Anna's Pals is nonprofit founded in memory of my daughter who lost her battle 15 month battle to Leukemia (AML) at the age of 15 in 2014. We started off by providing activities, snacks, meals and sheets for the kids in the blood cancer unit at Boston Children's Hospital. Now, we are working on building beach cottages for families who have had children go through a Bone Marrow Transplant. These kids are in the hospital for months at a time, only to be released with a huge list of restrictions, a pharmacy of medications, and are condemned to isolation because they have no immune system. It is devastating and takes a toll on the entire family. Our beach house cottages would be built out of mold and mildew resistant materials, have air filtration systems and be cleaned to hospital standards. So, my question is, would parents of BMT kids use a get away like this? We would have loved it, as Anna loved the beach and her illness had an impact on all of us. As we continue to raise funds in hopes of purchasing the property, I would like to be sure others would be interested in a destination like this. I look forward to your responses. Thank you</t>
        </is>
      </c>
      <c r="D3602" t="n">
        <v>6</v>
      </c>
      <c r="E3602" t="n">
        <v>0</v>
      </c>
      <c r="F3602">
        <f>HYPERLINK("https://www.reddit.com/r/cancer/comments/cf93yw/question/")</f>
        <v/>
      </c>
      <c r="G3602" t="inlineStr">
        <is>
          <t>2019-07-19 08:42:18</t>
        </is>
      </c>
      <c r="H3602" t="inlineStr"/>
    </row>
    <row r="3603">
      <c r="A3603" t="inlineStr">
        <is>
          <t>cf9bz3</t>
        </is>
      </c>
      <c r="B3603" t="inlineStr">
        <is>
          <t>3rd anniversary with GBM</t>
        </is>
      </c>
      <c r="C3603" t="inlineStr">
        <is>
          <t>So today is the 3 year anniversary of My (28F) Mom’s (59F) GBM Journey. She went to the emergency room on July 19, 2016 for what she suspected was a stroke but after a CT and MRI Scan, they found a golf ball sized tumor in her brain. On July 22, 2016 she had a Craniotomy/Biopsy to remove as much of the mass as possible. They were able to remove approximately 95% of the mass. Lab results on the mass confirmed that it was GBM. My mother also had a favorable gene and her tumor was methylated. She started radiation and chemo (Temodar) soon after her surgery. Things were going really good actually.. we were very hopeful. She committed to an Alkaline Diet and was exercising daily along with taking CBD/THC, something she has never done before. She got back to back good scans and after a while they cleared her to go back to work. She went back to work and unfortunately started to get worse soon after… My mom got her first reoccurrence in August 2017, the tumor was the size of an almond. They prescribed her a new chemo which was a combination of Avastin and CCNu. At this point, they put my mom on permanent disability. She responds well to this new treatment plan. It stunt the growth of the tumor, along with her committing to the alkaline diet again and upping the CBD/THC. She again goes a few scans of good results and we are feeling hopeful again. Unfortunately my mom fell one day in March 2019 and hit her head very hard resulting in her having to get stitches. They scanned her brain and found a change in the tumor. The tumor was now the size of a walnut so they put her on this new chemotherapy called Etoposide. Etoposide literally almost killed my mom. Her health on that chemo declined very rapidly and it wasn’t even affecting the tumor at all. She just completed 2 rounds of Etoposide when the doctors decided to remove her off of it. So now she started on a new chemotherapy called Tagrisso (shit is EXPENSIVE). So far, my mom says she is feeling much better than before. We have also noticed improvement in her speech, movement, and she is spending MUCH less time sleeping. Her next check up is August 3rd so we will see how she is truly responding to the treatment. So, just wanted to give you guys a very brief recap. These past 3 years have not been easy for anyone truthfully. My mom has definitely become more depressed and we are actively trying to keep her cheerful but it’s very hard. My mom used to be able to walk but unfortunately in this past year has really lost that ability. She is experiencing paralysis on her right leg and right arm so as a result has to be in a wheelchair now. We have really adopted the mindset of living in the moment and just trying to make the best of each day. Anyways, thanks for reading...</t>
        </is>
      </c>
      <c r="D3603" t="n">
        <v>7</v>
      </c>
      <c r="E3603" t="n">
        <v>3</v>
      </c>
      <c r="F3603">
        <f>HYPERLINK("https://www.reddit.com/r/cancer/comments/cf9bz3/3rd_anniversary_with_gbm/")</f>
        <v/>
      </c>
      <c r="G3603" t="inlineStr">
        <is>
          <t>2019-07-19 09:00:26</t>
        </is>
      </c>
      <c r="H3603" t="inlineStr"/>
    </row>
    <row r="3604">
      <c r="A3604" t="inlineStr">
        <is>
          <t>cf9pf8</t>
        </is>
      </c>
      <c r="B3604" t="inlineStr">
        <is>
          <t>Been nothing but bad news for six months now.</t>
        </is>
      </c>
      <c r="C3604" t="inlineStr">
        <is>
          <t>My wife is in her 3rd and final battle with breast cancer.  The cancer has now spread to her hip, six vertebrae in her spine, her liver, and a small spot in her ribs.  Things got bad a June 2018 when the pill form chemo stopped working and we had to go on full blown infusion therapy.  She did six months of Taxol which worked really well for her.  She lost her hair and was very fatigued but it shrunk the tumors by half.   She started getting toxic in November 2018 so we took a two month chemo holiday.  In January scans showed everything was stable and had not grown at all, so we took another two months off.   Sometime in that 60 days the cancer went crazy.   Tumors in her liver doubled in size.   Five new tumors showed up out of no where and were between 1/4 and 1/2 inches.  We started a new pill form chemo called Xeloda for 3 months.   Scans in June revealed it was ineffective.  Some cancers grew, some shrunk, the spot on her ribs showed up.  So we had to go back on infusion chemo.   That took a week to setup.  She took two rounds of that new chemo on Friday a week apart.   It hit her like a truck.  She had the chemo on Friday and was down on Sunday all the way through Thursday.   They canceled the next treatment.   A week later she goes in to find that her white blood cell count is so low they can't do chemo again.  That's two missed treatments.  She goes in today after 3 weeks without treatment to hopefully get a round of chemo.
&amp;amp;#x200B;
They told her that if she stopped chemo she had maybe six to nine months.   Well we had 2 months of extreme growth, three months of ineffective treatment, and now in the last five weeks we've only managed two rounds of treatment.  I'm hoping today we can get back on the right track and get something in front of this cancer.
&amp;amp;#x200B;
For the record the treatment is her choice.  I'm not pressuring her to do anything.  I told her I back whatever decision she makes 100%.  When she's ready to be done fighting I'll support that too.  We've just had bad news for six months now.  I'd like to turn this ride around.  They gave her a median life expectancy of 5 years.   We are 3 years and 5 months into that.  So I know at some point it's going to get really bad.  I'm just hoping for more quality before that happens.</t>
        </is>
      </c>
      <c r="D3604" t="n">
        <v>10</v>
      </c>
      <c r="E3604" t="n">
        <v>10</v>
      </c>
      <c r="F3604">
        <f>HYPERLINK("https://www.reddit.com/r/cancer/comments/cf9pf8/been_nothing_but_bad_news_for_six_months_now/")</f>
        <v/>
      </c>
      <c r="G3604" t="inlineStr">
        <is>
          <t>2019-07-19 09:30:19</t>
        </is>
      </c>
      <c r="H3604" t="inlineStr"/>
    </row>
    <row r="3605">
      <c r="A3605" t="inlineStr">
        <is>
          <t>cfao15</t>
        </is>
      </c>
      <c r="B3605" t="inlineStr">
        <is>
          <t>Need Gift basket ideas for someone recently diagnosed with breast cancer</t>
        </is>
      </c>
      <c r="C3605" t="inlineStr">
        <is>
          <t>Background: dermatologist mohs surgical assistant and epidemiologist here
My boss just revealed she was diagnosed with breast cancer, She is post menopausal with high chance of cure without needing chemotherapy. She will be getting radiation and a lumpectomy. 
I’d like to put together a “spa type” box of goodies she can take to treatments to make the waiting time and general atmosphere a little less daunting. She’s pretty confident and handling it well, as she is a Mohs surgeon and does (skin) cancer all day everyday, but I still want her to know we support her while she’s undergoing this. 
Any tips of things to include in the basket/gift? Like little trinket items (rose water spray, neck pillow, comfy socks, etc) that you might recommend? 
Particularly interested in helpful tips from those who have undergone similar 
Thanks in advance for all of the help ♥️</t>
        </is>
      </c>
      <c r="D3605" t="n">
        <v>3</v>
      </c>
      <c r="E3605" t="n">
        <v>3</v>
      </c>
      <c r="F3605">
        <f>HYPERLINK("https://www.reddit.com/r/cancer/comments/cfao15/need_gift_basket_ideas_for_someone_recently/")</f>
        <v/>
      </c>
      <c r="G3605" t="inlineStr">
        <is>
          <t>2019-07-19 10:44:48</t>
        </is>
      </c>
      <c r="H3605" t="inlineStr"/>
    </row>
    <row r="3606">
      <c r="A3606" t="inlineStr">
        <is>
          <t>cfaxu7</t>
        </is>
      </c>
      <c r="B3606" t="inlineStr">
        <is>
          <t>I don't want anyone to go to my appointments</t>
        </is>
      </c>
      <c r="C3606" t="inlineStr">
        <is>
          <t>I have an appointment in a minute for a cancer center. I didn't mind my mother going but she wanted to invite my aunt. She said, " i know you don't care if anyone's there but i need someone else there." What I'm the one with cancer???
Like I am already sick of this shit. Then I find out my grandma is coming now. All my mother and grandma do is bicker. When my mother had her treatments last year, I refused to go the days my grandma went because it made me so mad the way she was treating my mother.
I just want to be by myself, I've also been a loner.
My pet scan is monday and told my mother to just drop me off and pick me up. She's said  no she's not going to drop you off our  family doesn't do that.   I'm also scared of my mother being in room and they tell me I'm terminal and don't want her at my appointments.
I'm just really close to not even mentioning anything. There's nothing I can do they will not leave me alone. They know I've always been "different" from the rest of the family but they cant accept it.</t>
        </is>
      </c>
      <c r="D3606" t="n">
        <v>12</v>
      </c>
      <c r="E3606" t="n">
        <v>6</v>
      </c>
      <c r="F3606">
        <f>HYPERLINK("https://www.reddit.com/r/cancer/comments/cfaxu7/i_dont_want_anyone_to_go_to_my_appointments/")</f>
        <v/>
      </c>
      <c r="G3606" t="inlineStr">
        <is>
          <t>2019-07-19 11:06:00</t>
        </is>
      </c>
      <c r="H3606" t="inlineStr"/>
    </row>
    <row r="3607">
      <c r="A3607" t="inlineStr">
        <is>
          <t>cfaz49</t>
        </is>
      </c>
      <c r="B3607" t="inlineStr">
        <is>
          <t>Update to so frustrated/No longer NED</t>
        </is>
      </c>
      <c r="C3607" t="inlineStr">
        <is>
          <t>I'm not really sure how to link my original post.   I'm a stage IV colon cancer patient.  I was told today that the state IV colon cancer is still there and the original NED 4/2019 was probably not correct as the nodules and growths were just too small for the PET and CT to pick up.
I'll restart chemo once insurance authorizes.  I will also possibly be given a feeding tube since I still cannot eat without extreme pain, spasms, and vomiting.  The gasto doctor is still unsure what's causing it.  I don't meet the the 2nd opinion gastro doctor until 7/31.
I'm still frustrated but I am getting a few answers.  I've only been off chemo since March so I look at it as just a mini break. I'm ready to keep fighting.  Thank you for the comments earlier in the week.  They really helped.</t>
        </is>
      </c>
      <c r="D3607" t="n">
        <v>14</v>
      </c>
      <c r="E3607" t="n">
        <v>6</v>
      </c>
      <c r="F3607">
        <f>HYPERLINK("https://www.reddit.com/r/cancer/comments/cfaz49/update_to_so_frustratedno_longer_ned/")</f>
        <v/>
      </c>
      <c r="G3607" t="inlineStr">
        <is>
          <t>2019-07-19 11:08:49</t>
        </is>
      </c>
      <c r="H3607" t="inlineStr"/>
    </row>
    <row r="3608">
      <c r="A3608" t="inlineStr">
        <is>
          <t>cfc5ss</t>
        </is>
      </c>
      <c r="B3608" t="inlineStr">
        <is>
          <t>The movie "The Farewell is based on a true story of a family's cancer choice</t>
        </is>
      </c>
      <c r="C3608" t="inlineStr">
        <is>
          <t>The grandmother was given three months to live.  Because they thought knowing this would make her die sooner, they decided not to tell her, instead, they threw a wedding for everyone to say goodbye.  The lie worked...she far outlived the prognosis, year after year.  (Proof that sometimes telling people they have a short time to live only becomes self-fulfilling)</t>
        </is>
      </c>
      <c r="D3608" t="n">
        <v>1</v>
      </c>
      <c r="E3608" t="n">
        <v>3</v>
      </c>
      <c r="F3608">
        <f>HYPERLINK("https://www.reddit.com/r/cancer/comments/cfc5ss/the_movie_the_farewell_is_based_on_a_true_story/")</f>
        <v/>
      </c>
      <c r="G3608" t="inlineStr">
        <is>
          <t>2019-07-19 12:42:39</t>
        </is>
      </c>
      <c r="H3608" t="inlineStr"/>
    </row>
    <row r="3609">
      <c r="A3609" t="inlineStr">
        <is>
          <t>cfd89g</t>
        </is>
      </c>
      <c r="B3609" t="inlineStr">
        <is>
          <t>The Cure for Numerous Kinds of Cancers Exists</t>
        </is>
      </c>
      <c r="C3609" t="inlineStr">
        <is>
          <t>If anyone has a family member or friend that is suffering from (terminal) cancer, I think it would do you and that person well to research the Gerson Therapy, Dr. Max Gerson, natural cancer cures that have been found and the number of cancer clinics that exist in Mexico that have and are still curing cancers.
&amp;amp;#x200B;
You don't have to suffer and die before your time.
&amp;amp;#x200B;
[https://www.youtube.com/watch?v=U7Ck9D45OT4](https://www.youtube.com/watch?v=U7Ck9D45OT4)</t>
        </is>
      </c>
      <c r="D3609" t="n">
        <v>0</v>
      </c>
      <c r="E3609" t="n">
        <v>1</v>
      </c>
      <c r="F3609">
        <f>HYPERLINK("https://www.reddit.com/r/cancer/comments/cfd89g/the_cure_for_numerous_kinds_of_cancers_exists/")</f>
        <v/>
      </c>
      <c r="G3609" t="inlineStr">
        <is>
          <t>2019-07-19 14:11:06</t>
        </is>
      </c>
      <c r="H3609" t="inlineStr"/>
    </row>
    <row r="3610">
      <c r="A3610" t="inlineStr">
        <is>
          <t>cfdfxu</t>
        </is>
      </c>
      <c r="B3610" t="inlineStr">
        <is>
          <t>Diagnosed this week with Testicular Cancer</t>
        </is>
      </c>
      <c r="C3610" t="inlineStr">
        <is>
          <t>I am 34 years old, father of two.  A few weeks back I noticed that one of my testicles was larger and swollen. Headed to my GP and he referred me on for an ultrasound. He thought it may be an infection, but when the sonographer told me he needed to check with his supervisor I knew it was bad news.   
When I went back to the GP he was chatting with another dr before he came into the room and I saw on his computer the word "Tumour" and I just burst out laughing.   
Now I need to have surgery and potentially radiation if the cancer has spread.  Everything feels pretty surreal and not really real at this stage. Hoping for a quick recovery. Any experiences that can be shared would be welcome.</t>
        </is>
      </c>
      <c r="D3610" t="n">
        <v>9</v>
      </c>
      <c r="E3610" t="n">
        <v>20</v>
      </c>
      <c r="F3610">
        <f>HYPERLINK("https://www.reddit.com/r/cancer/comments/cfdfxu/diagnosed_this_week_with_testicular_cancer/")</f>
        <v/>
      </c>
      <c r="G3610" t="inlineStr">
        <is>
          <t>2019-07-19 14:28:14</t>
        </is>
      </c>
      <c r="H3610" t="inlineStr"/>
    </row>
    <row r="3611">
      <c r="A3611" t="inlineStr">
        <is>
          <t>cfecw3</t>
        </is>
      </c>
      <c r="B3611" t="inlineStr">
        <is>
          <t>My mom has colon cancer</t>
        </is>
      </c>
      <c r="C3611" t="inlineStr">
        <is>
          <t>She had a colonoscopy and they had her get a rushed catscan. They won't know the details until Monday. She is 50 years old. The doctor stopped the catscan 20 cm in because they said that they were afraid she was gonna perforate her colon. Does anyone have any idea how bad this is? I've been freaking out. Please help I cant stop vomiting.</t>
        </is>
      </c>
      <c r="D3611" t="n">
        <v>7</v>
      </c>
      <c r="E3611" t="n">
        <v>15</v>
      </c>
      <c r="F3611">
        <f>HYPERLINK("https://www.reddit.com/r/cancer/comments/cfecw3/my_mom_has_colon_cancer/")</f>
        <v/>
      </c>
      <c r="G3611" t="inlineStr">
        <is>
          <t>2019-07-19 15:42:46</t>
        </is>
      </c>
      <c r="H3611" t="inlineStr"/>
    </row>
    <row r="3612">
      <c r="A3612" t="inlineStr">
        <is>
          <t>cff79w</t>
        </is>
      </c>
      <c r="B3612" t="inlineStr">
        <is>
          <t>Mental health care for late stage cancer patients and their families</t>
        </is>
      </c>
      <c r="C3612" t="inlineStr">
        <is>
          <t>My partner has just got a double whammy - both parents diagnosed with late stage cancers within the same month. One has pancreatic and one has spinal-something? Tumors in lower back and bone marrow. 
As you can imagine it’s been pretty horrible for him.  His mom is making it worse because her mental health is deteriorating. He will go over to her house to help her, and she will just let loose and scream at him. Her pain is not well-managed, and her mental state is just completely broken. She routinely verbally abuses him this way. His dad is miserable but not abusive.
Does palliative care often cover mental health services for those who are dying of cancer? She desperately needs something because she’s losing hope. I know they are both miserable and dying and it sucks but he can’t stand the abuse. Help.</t>
        </is>
      </c>
      <c r="D3612" t="n">
        <v>3</v>
      </c>
      <c r="E3612" t="n">
        <v>1</v>
      </c>
      <c r="F3612">
        <f>HYPERLINK("https://www.reddit.com/r/cancer/comments/cff79w/mental_health_care_for_late_stage_cancer_patients/")</f>
        <v/>
      </c>
      <c r="G3612" t="inlineStr">
        <is>
          <t>2019-07-19 16:59:34</t>
        </is>
      </c>
      <c r="H3612" t="inlineStr"/>
    </row>
    <row r="3613">
      <c r="A3613" t="inlineStr">
        <is>
          <t>cffgft</t>
        </is>
      </c>
      <c r="B3613" t="inlineStr">
        <is>
          <t>What are early signs of Brain Cancer?</t>
        </is>
      </c>
      <c r="C3613" t="inlineStr">
        <is>
          <t>Hi, this past month I've had sudden weight loss, pins and needles feelings, some mild memory issues, my head feeling uncomfortable sometimes, sudden blurry vision etc. Am I just having anxiety like the ER doctors said or should I be worried?</t>
        </is>
      </c>
      <c r="D3613" t="n">
        <v>1</v>
      </c>
      <c r="E3613" t="n">
        <v>14</v>
      </c>
      <c r="F3613">
        <f>HYPERLINK("https://www.reddit.com/r/cancer/comments/cffgft/what_are_early_signs_of_brain_cancer/")</f>
        <v/>
      </c>
      <c r="G3613" t="inlineStr">
        <is>
          <t>2019-07-19 17:23:58</t>
        </is>
      </c>
      <c r="H3613" t="inlineStr"/>
    </row>
    <row r="3614">
      <c r="A3614" t="inlineStr">
        <is>
          <t>cfg46g</t>
        </is>
      </c>
      <c r="B3614" t="inlineStr">
        <is>
          <t>Counselor doing research on the psychological distress caused by cancer</t>
        </is>
      </c>
      <c r="C3614" t="inlineStr">
        <is>
          <t>&amp;amp;#x200B;
https://i.redd.it/9gg5m6z13db31.png</t>
        </is>
      </c>
      <c r="D3614" t="n">
        <v>1</v>
      </c>
      <c r="E3614" t="n">
        <v>0</v>
      </c>
      <c r="F3614">
        <f>HYPERLINK("https://www.reddit.com/r/cancer/comments/cfg46g/counselor_doing_research_on_the_psychological/")</f>
        <v/>
      </c>
      <c r="G3614" t="inlineStr">
        <is>
          <t>2019-07-19 18:30:58</t>
        </is>
      </c>
      <c r="H3614" t="inlineStr"/>
    </row>
    <row r="3615">
      <c r="A3615" t="inlineStr">
        <is>
          <t>cfg5hr</t>
        </is>
      </c>
      <c r="B3615" t="inlineStr">
        <is>
          <t>Dr Burzynski ? Is he for real ?</t>
        </is>
      </c>
      <c r="C3615" t="inlineStr">
        <is>
          <t>Family member diagnosed with Glioblastoma, and considering treatment at his facility. Claims  an 86% success rate. Seems like it’s too good to be true.</t>
        </is>
      </c>
      <c r="D3615" t="n">
        <v>0</v>
      </c>
      <c r="E3615" t="n">
        <v>10</v>
      </c>
      <c r="F3615">
        <f>HYPERLINK("https://www.reddit.com/r/cancer/comments/cfg5hr/dr_burzynski_is_he_for_real/")</f>
        <v/>
      </c>
      <c r="G3615" t="inlineStr">
        <is>
          <t>2019-07-19 18:34:39</t>
        </is>
      </c>
      <c r="H3615" t="inlineStr"/>
    </row>
    <row r="3616">
      <c r="A3616" t="inlineStr">
        <is>
          <t>cfgnac</t>
        </is>
      </c>
      <c r="B3616" t="inlineStr">
        <is>
          <t>happy birthday mom</t>
        </is>
      </c>
      <c r="C3616" t="inlineStr">
        <is>
          <t>In a few hours you would have been 59
I would have given you your birthday kiss
And a big cuddle
Tell you how proud I am to be your daughter
Tell you how much I love you
But I’m here
Alone
With no one to hold
And I am still missing you
Everyday since September
I hate this life
I’m so sad
I hate your cancer
I wish you were here
Happy birthday momma.
I’m glad you were born
I wish you remained here longer</t>
        </is>
      </c>
      <c r="D3616" t="n">
        <v>14</v>
      </c>
      <c r="E3616" t="n">
        <v>4</v>
      </c>
      <c r="F3616">
        <f>HYPERLINK("https://www.reddit.com/r/cancer/comments/cfgnac/happy_birthday_mom/")</f>
        <v/>
      </c>
      <c r="G3616" t="inlineStr">
        <is>
          <t>2019-07-19 19:26:22</t>
        </is>
      </c>
      <c r="H3616" t="inlineStr"/>
    </row>
    <row r="3617">
      <c r="A3617" t="inlineStr">
        <is>
          <t>cfgvfs</t>
        </is>
      </c>
      <c r="B3617" t="inlineStr">
        <is>
          <t>Family doesn’t want to tell my MIL she has stage 4 cancer.</t>
        </is>
      </c>
      <c r="C3617" t="inlineStr">
        <is>
          <t>Hi, my husband’s mother was diagnosed with stage 4 cancer on Thursday.
She went to the hospital a week ago with stomach pain and she couldn’t keep her food down. They did an endoscopy, biopsy, CT scan and found she had a growth in her stomach. They told us it was early stage and they needed to do a bypass as growth was preventing food from going down and she would later need chemo. 
On Thursday while she was in bypass surgery, the surgeon came out and informed us that it was far worse than they expected, it was far spread and though they still want her to do chemo once she is recovered from the surgery they warned us that it was now a low chance. 
My husband and his siblings collectively decided they were not going to tell their mum. She is 60. I’m on the fence because I fear that somewhere along the way someone will let it slip (a doctor, a visitor) and it will be worse finding it out like that. Also I don’t see how they can keep it a secret as she will still need to go through treatment after this and I’m sure she will be wondering why her previously diagnosed early stage will be treated with such intensity? I really don’t know. 
I suppose there is pros and cons to not telling. I’m just wondering if it’s normal to not tell an adult what is happening to her. Their reason is so she stays motivated and try to get better. I respect that, however is it the best thing to do in this situation?</t>
        </is>
      </c>
      <c r="D3617" t="n">
        <v>4</v>
      </c>
      <c r="E3617" t="n">
        <v>12</v>
      </c>
      <c r="F3617">
        <f>HYPERLINK("https://www.reddit.com/r/cancer/comments/cfgvfs/family_doesnt_want_to_tell_my_mil_she_has_stage_4/")</f>
        <v/>
      </c>
      <c r="G3617" t="inlineStr">
        <is>
          <t>2019-07-19 19:50:02</t>
        </is>
      </c>
      <c r="H3617" t="inlineStr"/>
    </row>
    <row r="3618">
      <c r="A3618" t="inlineStr">
        <is>
          <t>cfhhfw</t>
        </is>
      </c>
      <c r="B3618" t="inlineStr">
        <is>
          <t>My father and adenocarcinoma</t>
        </is>
      </c>
      <c r="C3618" t="inlineStr">
        <is>
          <t>Hey, I’m going to need some support, emotional mostly. My father is in the hospital again and he’s not doing so well, chances are he won’t last long. We don’t know if it’ll be weeks, days, or months. But I’ll need some support for when that does happen..
It all kinda started late last year, around November. He got a case of pneumonia and that had him coughing for months, eventually around 3 or 4 months ago he got diagnosed with lung cancer. Since then we’ve been fighting it, he has had good days and bad days. A week ago he got back in the hospital and has been on a large decline since, chances are he won’t last long, so my mom isn’t doing so well, she doesn’t know how to handle it. I’m still processing a lot of this, I know I’ll make it through this, I know we’ll be alright. I’ve been mentally preparing myself to start looking for jobs.</t>
        </is>
      </c>
      <c r="D3618" t="n">
        <v>6</v>
      </c>
      <c r="E3618" t="n">
        <v>2</v>
      </c>
      <c r="F3618">
        <f>HYPERLINK("https://www.reddit.com/r/cancer/comments/cfhhfw/my_father_and_adenocarcinoma/")</f>
        <v/>
      </c>
      <c r="G3618" t="inlineStr">
        <is>
          <t>2019-07-19 20:57:28</t>
        </is>
      </c>
      <c r="H3618" t="inlineStr"/>
    </row>
    <row r="3619">
      <c r="A3619" t="inlineStr">
        <is>
          <t>cfhoyd</t>
        </is>
      </c>
      <c r="B3619" t="inlineStr">
        <is>
          <t>Penis issue</t>
        </is>
      </c>
      <c r="C3619" t="inlineStr">
        <is>
          <t>Hello all hope you are all well.
I've been having an issue with my guy downstairs and was wondering if anyone has any ideas on what it could be.
I first noticed something was wrong when I started feeling a pain down there so I checked and was shocked by a big huge ulcer/blister kind of looking thing on my glands, so I then went to sleep and woke up to it burst and thought hmm maybe its nothing too bad then, and ever since then my whole glands are turning a very red colour and is spreading all over and now covering my urethral opening and is extremely painful and feels like a burning pain.
I know it isn't an std or anything as I've been tested, I'm starting to get worried and going to be going to the doctors as it seems to be getting worse and worse.</t>
        </is>
      </c>
      <c r="D3619" t="n">
        <v>0</v>
      </c>
      <c r="E3619" t="n">
        <v>4</v>
      </c>
      <c r="F3619">
        <f>HYPERLINK("https://www.reddit.com/r/cancer/comments/cfhoyd/penis_issue/")</f>
        <v/>
      </c>
      <c r="G3619" t="inlineStr">
        <is>
          <t>2019-07-19 21:20:25</t>
        </is>
      </c>
      <c r="H3619" t="inlineStr"/>
    </row>
    <row r="3620">
      <c r="A3620" t="inlineStr">
        <is>
          <t>cfhv5g</t>
        </is>
      </c>
      <c r="B3620" t="inlineStr">
        <is>
          <t>How do you move on without forgetting but not getting bogged down?</t>
        </is>
      </c>
      <c r="C3620" t="inlineStr">
        <is>
          <t>The emotions from losing a love one are heavy as fuck. And every time I visit them it weighs me down and I have to focus and not get into a mini depressed/pessimistic episode and state.
Is it about simply forgetting for like a few hours every day? Or cycling between remembering and forgetting? How do I figure out what's right for me? Any advice on living on after losing a loved one is encouraged. Thanks for your time.</t>
        </is>
      </c>
      <c r="D3620" t="n">
        <v>2</v>
      </c>
      <c r="E3620" t="n">
        <v>3</v>
      </c>
      <c r="F3620">
        <f>HYPERLINK("https://www.reddit.com/r/cancer/comments/cfhv5g/how_do_you_move_on_without_forgetting_but_not/")</f>
        <v/>
      </c>
      <c r="G3620" t="inlineStr">
        <is>
          <t>2019-07-19 21:39:54</t>
        </is>
      </c>
      <c r="H3620" t="inlineStr"/>
    </row>
    <row r="3621">
      <c r="A3621" t="inlineStr">
        <is>
          <t>cfhyg4</t>
        </is>
      </c>
      <c r="B3621" t="inlineStr">
        <is>
          <t>1st post. Probably in the wrong group.</t>
        </is>
      </c>
      <c r="C3621" t="inlineStr">
        <is>
          <t>My wife has had 2 brain surgeries and was diagnosed with Primary CNS Lymphoma. We're currently in the hospital where she's receiving her 2nd high dose chemotherapy treatment. The hospital is a 4 hr drive from our home. We've been here for 15 days because she's dealing with some chemo related complications. Normally the treatment lasts 5-6 days. Needless to say she is very tired. Earlier today I overheard her talking to one of my step-kids on the phone and he was just bitching and moaning and being very short with her. She doesn't like me confronting them so I sent them the following text.  
"I would like to ask a personal favor. Before I do, let me give you an update. Your Mom has been moved from the Oncology floor to the intermediate care unit because they're struggling to control her body temperature and blood pressure. The Doctors moved her because they want to have her close to where she can be quickly resuscitated in case she has heart failure. Your Mom is also very tired of being here and she's slipping into depression. That being said, I would like to ask that if she calls you and you're unable to be positive and provide comfort, don't answer the phone. She's got plenty of negativity in her life at the moment. She looks to you guys for comfort. Please save your attitude for someone who's not in the fight of her life."
This was probably not the best thing to do but I did it anyway.</t>
        </is>
      </c>
      <c r="D3621" t="n">
        <v>24</v>
      </c>
      <c r="E3621" t="n">
        <v>17</v>
      </c>
      <c r="F3621">
        <f>HYPERLINK("https://www.reddit.com/r/cancer/comments/cfhyg4/1st_post_probably_in_the_wrong_group/")</f>
        <v/>
      </c>
      <c r="G3621" t="inlineStr">
        <is>
          <t>2019-07-19 21:50:25</t>
        </is>
      </c>
      <c r="H3621" t="inlineStr"/>
    </row>
    <row r="3622">
      <c r="A3622" t="inlineStr">
        <is>
          <t>cfi3ye</t>
        </is>
      </c>
      <c r="B3622" t="inlineStr">
        <is>
          <t>DH is discussing stopping any and all treatment</t>
        </is>
      </c>
      <c r="C3622" t="inlineStr">
        <is>
          <t>Says he just wants to die ASAP. He's miserable. In pain, not very mobile.
He's been through 6 months of chemo (methotrexate/doxorubicin/cisplatin) - that was quite a rocky road, but he had great tumor response. Then he underwent 5 weeks of proton beam therapy out of state. He's been gearing up for his first of several surgeries, but his neuropathy is just awful and it keeps worsening. He can't use his hands/fingers for much of anything. He has difficulty walking, and after the first two surgeries that'll certainly worsen (tumor is in bony spine). He also has a tumor in his lung that would eventually need to be addressed.
&amp;amp;#x200B;
He started our convo today with a standard "I'm not sure about surgery" and then turned left and actually said "I don't think I was ANY more treatment - I'm miserable and just want a swift progression and death. I hurt, I can't do anything for myself.".
&amp;amp;#x200B;
It's hard because we have two kids. It's hard because I don't want to be a single parent. I don't want to lose him - we've been married 18 years. It's scary. This is all so crazy. 
&amp;amp;#x200B;
I want to support him but not sure what I'm supposed to do? Do I accept it or push him to keep going? I don't want to guilt him and ultimately make him more miserable. He says he's been thinking about this for awhile. It's so surreal.
&amp;amp;#x200B;
We meet with his local doctor on Monday to discuss. At the moment, his surgery is scheduled for the middle of next month at the Mayo Clinic. 
&amp;amp;#x200B;
Cancer sucks.</t>
        </is>
      </c>
      <c r="D3622" t="n">
        <v>10</v>
      </c>
      <c r="E3622" t="n">
        <v>14</v>
      </c>
      <c r="F3622">
        <f>HYPERLINK("https://www.reddit.com/r/cancer/comments/cfi3ye/dh_is_discussing_stopping_any_and_all_treatment/")</f>
        <v/>
      </c>
      <c r="G3622" t="inlineStr">
        <is>
          <t>2019-07-19 22:08:22</t>
        </is>
      </c>
      <c r="H3622" t="inlineStr"/>
    </row>
    <row r="3623">
      <c r="A3623" t="inlineStr">
        <is>
          <t>cfi6qs</t>
        </is>
      </c>
      <c r="B3623" t="inlineStr">
        <is>
          <t>Is this standard treatment from a PET center?</t>
        </is>
      </c>
      <c r="C3623" t="inlineStr">
        <is>
          <t>I recently had a tumor removed (it was found accidentally during an unrelated surgery) and my oncologist wanted me to have a PET scan. I set it up for this coming Monday. 
They had already made me a little uncomfortable over the phone. I asked them if they have an ultrasound machine because it’s hard to start an IV on me. The tech I was speaking to said no. They have one guy who starts IVs, “but he’ll spend hours in there with you and check your feet and everything.” Hours?! Feet?! Her other suggestion was to have the oncologist put in a PICC line...no thank you. It seems a bit overkill, not to mention the additional risks of a PICC line. 
Anyways, over the phone she emphasized how important it was for me not to miss the appointment because the dose of whatever they’re ordering is really expensive and “we can’t risk losing money on this.”
Fast forward to today, Friday. I was unable to answer my phone today. They called my emergency contact, a relative...I hadn’t really wanted my family to know about the scan until I had the results back. They were unable to reach me as well because I was not able to answer my phone. So the PET scan center cancelled my appointment. They left a long message on my voicemail about how the dose costs $3400 and they can’t risk me not showing up, and if I reschedule I need to confirm the day before. 
Is this how all PET scan centers work? It seems a bit unprofessional that they’re so concerned about the money. It makes it feel like they don’t do PET scans very often. I remember my mom had a PET scan in 2010 (at a different place) but I don’t remember them going on like this. 
I wasn’t planning to cancel or skip the appointment and I’m pretty upset they cancelled. I’d really rather have another place do the test now if my insurance will allow it. I’m also going to ask the doctor if I can have the IV started under ultrasound at the hospital before I go to the imaging center.</t>
        </is>
      </c>
      <c r="D3623" t="n">
        <v>2</v>
      </c>
      <c r="E3623" t="n">
        <v>4</v>
      </c>
      <c r="F3623">
        <f>HYPERLINK("https://www.reddit.com/r/cancer/comments/cfi6qs/is_this_standard_treatment_from_a_pet_center/")</f>
        <v/>
      </c>
      <c r="G3623" t="inlineStr">
        <is>
          <t>2019-07-19 22:17:45</t>
        </is>
      </c>
      <c r="H3623" t="inlineStr"/>
    </row>
    <row r="3624">
      <c r="A3624" t="inlineStr">
        <is>
          <t>cfj1y4</t>
        </is>
      </c>
      <c r="B3624" t="inlineStr">
        <is>
          <t>Mom's gone.</t>
        </is>
      </c>
      <c r="C3624" t="inlineStr">
        <is>
          <t>My mom was a beautiful mom, she was the mom you could never replace. Fuck cancer and what it has done to you and everyone, no one deserves to go through this terrible disease. 
I came home to hear that she's already gone and I didn't get to say goodbye and im blaming myself that I should've stayed with her in her last hours but I still went out. Mom if you're still here i want to say that you did strong trying to beat this cancer, you did all you could to stay alive and I hope that you're in a better place now. I'm sorry for all the bad things I've done. I love you so much, ma.
Thank you for everything that you sacrificed for us. Thank you for giving us good memories and all. To end this post, all I want to say is:
Fuck. Cancer.</t>
        </is>
      </c>
      <c r="D3624" t="n">
        <v>15</v>
      </c>
      <c r="E3624" t="n">
        <v>8</v>
      </c>
      <c r="F3624">
        <f>HYPERLINK("https://www.reddit.com/r/cancer/comments/cfj1y4/moms_gone/")</f>
        <v/>
      </c>
      <c r="G3624" t="inlineStr">
        <is>
          <t>2019-07-20 00:13:15</t>
        </is>
      </c>
      <c r="H3624" t="inlineStr"/>
    </row>
    <row r="3625">
      <c r="A3625" t="inlineStr">
        <is>
          <t>cfk186</t>
        </is>
      </c>
      <c r="B3625" t="inlineStr">
        <is>
          <t>Surprise colon cancer tumor during surgery. What now?</t>
        </is>
      </c>
      <c r="C3625" t="inlineStr">
        <is>
          <t>So I was diagnosed with diverticulitis,  and due to the location it was decided to do surgery to remove part of my large intestine.  No colonoscopy because dr was afraid it would perforate my large intestine.   
I never made it to my scheduled surgery, I woke up in agony last friday, and went to the er.  Several days later they did the surgery.
Problem?  It wasnt divirticulitus.   It was a tumor the size of my fist.  It had perforated my large intestine, and was also attached to the stomach lining.  They removed it, removed some of my stomach lining as well.  So i have colon cancer.  Lymph nodes looked fine.
And that's all i know.  I have a appt in one week with my dr, and a appt in 2 weeks with my surgeon.  I'm told I will get a referral to a oncologist who will probably schedule chemo for me.
What can I expect?  What are my odds?  Is it a wait and see?</t>
        </is>
      </c>
      <c r="D3625" t="n">
        <v>5</v>
      </c>
      <c r="E3625" t="n">
        <v>11</v>
      </c>
      <c r="F3625">
        <f>HYPERLINK("https://www.reddit.com/r/cancer/comments/cfk186/surprise_colon_cancer_tumor_during_surgery_what/")</f>
        <v/>
      </c>
      <c r="G3625" t="inlineStr">
        <is>
          <t>2019-07-20 02:38:09</t>
        </is>
      </c>
      <c r="H3625" t="inlineStr"/>
    </row>
    <row r="3626">
      <c r="A3626" t="inlineStr">
        <is>
          <t>cfkzyw</t>
        </is>
      </c>
      <c r="B3626" t="inlineStr">
        <is>
          <t>Moving to NYC for treatment. Advice?</t>
        </is>
      </c>
      <c r="C3626" t="inlineStr">
        <is>
          <t>Hey guys,
Over the last couple weeks I’ve posted some questions on here. My guy was meant to have surgery at MSK, then his tumor marker went up, they canceled the surgery and then a few days later he had a seizure caused my a new tumor in his brain. It’s been a rough week here.
There is a small chance that doing the radiation on his new spot may kill the only active cancer tissue and his tumor marker goes to normal levels and we revisit surgery.
But more then likely he starts high dose on Aug 9 and we leave our home to go move to nyc.
We have looked into the hope lodge and they have space for us Aug 15th- October 2nd. That still leaves a lot of time in our possible 6 month stay that we don’t know where to go.
Does anyone have any experience with “cheap” (meaning as low as it can possibly go) manhattan apartments/studios, month to month? Furnished would be a plus. But I know this is asking a lot here.
Thank you!</t>
        </is>
      </c>
      <c r="D3626" t="n">
        <v>2</v>
      </c>
      <c r="E3626" t="n">
        <v>4</v>
      </c>
      <c r="F3626">
        <f>HYPERLINK("https://www.reddit.com/r/cancer/comments/cfkzyw/moving_to_nyc_for_treatment_advice/")</f>
        <v/>
      </c>
      <c r="G3626" t="inlineStr">
        <is>
          <t>2019-07-20 04:52:46</t>
        </is>
      </c>
      <c r="H3626" t="inlineStr"/>
    </row>
    <row r="3627">
      <c r="A3627" t="inlineStr">
        <is>
          <t>cflvsk</t>
        </is>
      </c>
      <c r="B3627" t="inlineStr">
        <is>
          <t>My mom was just diagnosed.</t>
        </is>
      </c>
      <c r="C3627" t="inlineStr">
        <is>
          <t>She was diagnosed Thursday. I havent been told anything about stage, i was told she has a biopsy tuesday, does that tell you? They already know its in one lung, above a kidney, and her thyroid.
I live across the world, my parents are raising my nephew while my sister goes in and out of prison, my brother just pretends they dont exist because he married rich and is too good for them.
i feel like im going to have to abandon my life in my new country, my fiance, our cats, to go help, because they dont have any one else. because id be a shit daughter for not. my wedding will likely be cancelled. perhaps im wrong, i hope i am, but in 3 places doesn't sound like there's hope. especially without insurance. im mentally preparing myself as if she's already going to go. but also the complete collapse of my life.
We've always had a rough relationship, too. but it was getting better since i moved here.
i dont know what the point of this is. i could just use some words from someone who knows more about all of this, whos got more to say than 'im sorry'.</t>
        </is>
      </c>
      <c r="D3627" t="n">
        <v>1</v>
      </c>
      <c r="E3627" t="n">
        <v>0</v>
      </c>
      <c r="F3627">
        <f>HYPERLINK("https://www.reddit.com/r/cancer/comments/cflvsk/my_mom_was_just_diagnosed/")</f>
        <v/>
      </c>
      <c r="G3627" t="inlineStr">
        <is>
          <t>2019-07-20 06:37:00</t>
        </is>
      </c>
      <c r="H3627" t="inlineStr"/>
    </row>
    <row r="3628">
      <c r="A3628" t="inlineStr">
        <is>
          <t>cfma1i</t>
        </is>
      </c>
      <c r="B3628" t="inlineStr">
        <is>
          <t>Please help. Is Pancytopenia common in people being diagnosed with multiple myeloma?</t>
        </is>
      </c>
      <c r="C3628" t="inlineStr">
        <is>
          <t>Please I’m freaking out, my doctor diagnosed me with Pancytopenia and I’ve been referred to a hematologist. He believes that it could be caused by prilosec which is used to treat heartburn. He is currently running all these tests on my blood, I’m freaking out non stop. I show no symptoms of any kind of cancer and I’m concerned that this could be multiple myeloma.
PLEASE HELP</t>
        </is>
      </c>
      <c r="D3628" t="n">
        <v>0</v>
      </c>
      <c r="E3628" t="n">
        <v>7</v>
      </c>
      <c r="F3628">
        <f>HYPERLINK("https://www.reddit.com/r/cancer/comments/cfma1i/please_help_is_pancytopenia_common_in_people/")</f>
        <v/>
      </c>
      <c r="G3628" t="inlineStr">
        <is>
          <t>2019-07-20 07:17:15</t>
        </is>
      </c>
      <c r="H3628" t="inlineStr"/>
    </row>
    <row r="3629">
      <c r="A3629" t="inlineStr">
        <is>
          <t>cfnyt5</t>
        </is>
      </c>
      <c r="B3629" t="inlineStr">
        <is>
          <t>Sex question</t>
        </is>
      </c>
      <c r="C3629" t="inlineStr">
        <is>
          <t>*for the vagina owners, this is about sex*
I'm dry as a desert down there. I have an appointment for a regular check with up my Obgyn in about 2 weeks. I was always drier before but Jesus Christ it's really bad after chemo (I've been off chemo for about 2-3 months at this point).
Any others struggle with this? I know lube can help but I still wanted to bring it up to my Obgyn.</t>
        </is>
      </c>
      <c r="D3629" t="n">
        <v>9</v>
      </c>
      <c r="E3629" t="n">
        <v>10</v>
      </c>
      <c r="F3629">
        <f>HYPERLINK("https://www.reddit.com/r/cancer/comments/cfnyt5/sex_question/")</f>
        <v/>
      </c>
      <c r="G3629" t="inlineStr">
        <is>
          <t>2019-07-20 09:52:31</t>
        </is>
      </c>
      <c r="H3629" t="inlineStr"/>
    </row>
    <row r="3630">
      <c r="A3630" t="inlineStr">
        <is>
          <t>cfo2k9</t>
        </is>
      </c>
      <c r="B3630" t="inlineStr">
        <is>
          <t>Tips on how to not panic til diagnosis confirmed? [+rant on diagnostic process]</t>
        </is>
      </c>
      <c r="C3630" t="inlineStr">
        <is>
          <t>Husband is 34, noticed a swollen right testicle last October or November, turned out to be a hydrocele on ultrasound but they noticed a small mass on the left testicle and sent him to a urologist. They monitored for a few months, no changes, and then on May 22 of this year they located a second mass and said he should have it out and wanted to schedule that for the next week. We were encouraged by his family and our PCP to get a second opinion, which got scheduled for July 11th at a fancier city hospital (which seemed a long way out vs. "let's take it out next week")...in the meantime we also went back to the original practice (different doctor), who said it would be fine to wait for that second opinion and that they usually encourage quick action so as to not let guys have second thoughts because they don't want to lose something they feel is inherent to their masculinity (fortunately not a concern for my husband). We also scheduled surgery for 7/19 presuming that the second opinion would confirm that he should have it out.
We got to the second opinion last week to find that the scans we'd been given to bring were only through March (the May 22 scan was done at the urologist's office, and they I guess hadn't sent it to our PCP's office). The doctor is paging through, explaining how you can see the mass here, but if there was blood flow you'd see it like these little dots and - oh there's blood flow, you have to have it out. Incredibly cut and dry. With scans that were by that point 4 months old.
If there was blood flow to the mass in *March*, I don't understand why the doctor didn't just say "hey this needs to come out" at that point. I vaguely recall it being mentioned as a potential course at that point, but I feel like blood flow makes it pretty clear that it's not, you know, an epidermoid cyst or something similarly benign. I'm feeling really frustrated and worried that we should've just had it out in May even though it would have super disrupted our lives as we were both in the middle of doing a show with our local community theatre group, or even that it should've come out two months before that. Now I'm worried that, you know, what if it's spread? What if he'll have had to have this surgery and then still end up needing chemo or radiation? We have a friend who's a survivor including a couple of recurrences (the first resulting in RPLND), which helps, but I know how tough the treatments were for him and I'm afraid of that for my husband.
I guess my question is, **how do you deal with these feelings?** With the confusion and yes, a bit of anger at the doctors (especially because the urologist who didn't just say "take it out, there is blood flow" in March is the one who did his radical orchiectomy yesterday, and who clearly knows what he's doing as my husband has been in almost no pain already), with the fear of what's to come? We were both doing fine before the surgery, but now that we're in "waiting for diagnosis" status we're both a lot more anxious and I had a full hour-plus-long panic attack last night over it. If it were me, whatever. But I don't want *him* to have to suffer. I know this cancer has an incredibly high survival rate (74% even when Stage III which would be *super unlikely*, though I'm admittedly worried that maybe we've gone from I to II already in waiting for the second opinion), but it's the need for potential treatment side effects that are particularly getting me right now, and the thought of months of exhaustion from both of us from dealing with it as we'd probably have to go to said fancy city hospital for chemo/radiation. We're also both emetophobic which makes the idea of chemo scarier than it would normally be.
Apologies for the long post. Any thoughts, resources, or anecdotes would be incredibly appreciated.</t>
        </is>
      </c>
      <c r="D3630" t="n">
        <v>4</v>
      </c>
      <c r="E3630" t="n">
        <v>8</v>
      </c>
      <c r="F3630">
        <f>HYPERLINK("https://www.reddit.com/r/cancer/comments/cfo2k9/tips_on_how_to_not_panic_til_diagnosis_confirmed/")</f>
        <v/>
      </c>
      <c r="G3630" t="inlineStr">
        <is>
          <t>2019-07-20 10:01:47</t>
        </is>
      </c>
      <c r="H3630" t="inlineStr"/>
    </row>
    <row r="3631">
      <c r="A3631" t="inlineStr">
        <is>
          <t>cfsco0</t>
        </is>
      </c>
      <c r="B3631" t="inlineStr">
        <is>
          <t>Any advice on coping?</t>
        </is>
      </c>
      <c r="C3631" t="inlineStr">
        <is>
          <t>Hi All,
Recently I found out that My SO has cancer that isn’t exactly looking at good survival rates. She might not be here by next year. 
I was wondering what I can do to cope with this process myself. I’m supporting her and being patient, but on the inside I’m really unsure how life is going to be like without her. I break down during random times of the day. 
Any advice would be much appreciated. 
Thank you.</t>
        </is>
      </c>
      <c r="D3631" t="n">
        <v>8</v>
      </c>
      <c r="E3631" t="n">
        <v>3</v>
      </c>
      <c r="F3631">
        <f>HYPERLINK("https://www.reddit.com/r/cancer/comments/cfsco0/any_advice_on_coping/")</f>
        <v/>
      </c>
      <c r="G3631" t="inlineStr">
        <is>
          <t>2019-07-20 16:23:39</t>
        </is>
      </c>
      <c r="H3631" t="inlineStr"/>
    </row>
    <row r="3632">
      <c r="A3632" t="inlineStr">
        <is>
          <t>cfsiu5</t>
        </is>
      </c>
      <c r="B3632" t="inlineStr">
        <is>
          <t>Why would doctors opt not to do any treatment?</t>
        </is>
      </c>
      <c r="C3632" t="inlineStr">
        <is>
          <t>Someone I know was diagnosed July 4th so a few weeks ago with stage 4 melanoma - metastasised to liver, lungs, bone marrow, stomach &amp;amp; small intestine. He is young in his 30’s previously healthy.  
They have set up a GoFundMe to try raise funds for immunotherapy as apparently due to the size and spread of the cancer they “can’t do” chemo, radiotherapy or surgery.   
So what? The doctors have said no point even trying? Unfortunately there isn’t much more information than that but now they want to try immunotherapy and the government isn’t paying for it — this is in Australia by the way where healthcare is all “free”.  
So I’m just wondering what does this mean? Does anyone know of cases where the doctors just said no point trying?</t>
        </is>
      </c>
      <c r="D3632" t="n">
        <v>3</v>
      </c>
      <c r="E3632" t="n">
        <v>15</v>
      </c>
      <c r="F3632">
        <f>HYPERLINK("https://www.reddit.com/r/cancer/comments/cfsiu5/why_would_doctors_opt_not_to_do_any_treatment/")</f>
        <v/>
      </c>
      <c r="G3632" t="inlineStr">
        <is>
          <t>2019-07-20 16:40:51</t>
        </is>
      </c>
      <c r="H3632" t="inlineStr"/>
    </row>
    <row r="3633">
      <c r="A3633" t="inlineStr">
        <is>
          <t>cfsq0z</t>
        </is>
      </c>
      <c r="B3633" t="inlineStr">
        <is>
          <t>A month out of chemo &amp;amp; radiation and I'm still puking, terrible back pain...normalish or nah?</t>
        </is>
      </c>
      <c r="C3633" t="inlineStr">
        <is>
          <t>I just finished up a round of antibiotics because my Doc thought maybe I'd picked up a bug but now I don't think it was a bug. I started immunotherapy yesterday but was reassured it wouldn't make me sick and Ive gacked twice since then so....not sure what to think. The vomiting was maybe once a week after chemo &amp;amp; rad treatment ended but it's picking back up. My back and shoulder are also incredibly painful, Tylenol isn't touching it. The shoulder pain is a symptom I had before I was diagnosed so that's freaking me out a bit. The back pain came with the radiation but seemed to be gone until last night.
Could this still be radiation &amp;amp; chemo side effects a month out? Did they oversell immunotherapy by saying it wouldn't make me sick? Am I probably working myself up? I hate fucking cancer.</t>
        </is>
      </c>
      <c r="D3633" t="n">
        <v>3</v>
      </c>
      <c r="E3633" t="n">
        <v>11</v>
      </c>
      <c r="F3633">
        <f>HYPERLINK("https://www.reddit.com/r/cancer/comments/cfsq0z/a_month_out_of_chemo_radiation_and_im_still/")</f>
        <v/>
      </c>
      <c r="G3633" t="inlineStr">
        <is>
          <t>2019-07-20 17:01:27</t>
        </is>
      </c>
      <c r="H3633" t="inlineStr"/>
    </row>
    <row r="3634">
      <c r="A3634" t="inlineStr">
        <is>
          <t>cfte70</t>
        </is>
      </c>
      <c r="B3634" t="inlineStr">
        <is>
          <t>Carboplatin vs Cisplatin?</t>
        </is>
      </c>
      <c r="C3634" t="inlineStr">
        <is>
          <t>My 4 year old daughter is in the middle of her treatment for a grade 4 ATRT brain cancer. One of the drugs they have been giving her for the last 3 cycles is cisplatin, and it was making her horribly unwell for weeks, and had started to cause renal damage as well as a host of other issues. She’s 4 weeks off treatment and still vomiting without regular doses of zofran. 
We are now waiting to start cycle 4 and they are swapping the cisplatin for carboplatin, at 80% of the usual dose. Mostly because recent pathology of her tumour has shown it will respond better to the carboplatin, but her oncologist thinks it will help with side effects a little too. 
Would anyone be able to tell me if this drug is different in terms of side effects - if you’ve had it yourself what was your experience? Will it make any difference to how sick she has been? It breaks my heart seeing her so torn apart by all this chemo. She’s still in intense pain from mucositis even now with a months break, and they are about to start chemo again which will just make it worse. 
I’m really holding on to hope that the change will help her, even if it’s just a tiny bit. Any input would be really appreciated ❤️</t>
        </is>
      </c>
      <c r="D3634" t="n">
        <v>3</v>
      </c>
      <c r="E3634" t="n">
        <v>5</v>
      </c>
      <c r="F3634">
        <f>HYPERLINK("https://www.reddit.com/r/cancer/comments/cfte70/carboplatin_vs_cisplatin/")</f>
        <v/>
      </c>
      <c r="G3634" t="inlineStr">
        <is>
          <t>2019-07-20 18:10:56</t>
        </is>
      </c>
      <c r="H3634" t="inlineStr"/>
    </row>
    <row r="3635">
      <c r="A3635" t="inlineStr">
        <is>
          <t>cfugf6</t>
        </is>
      </c>
      <c r="B3635" t="inlineStr">
        <is>
          <t>Research suggestions for treating rhabdomyosarcoma in young children?</t>
        </is>
      </c>
      <c r="C3635" t="inlineStr">
        <is>
          <t>My daughter is 15 months old and has been getting treated for rhabdomysarcoma for the last 9 months with chemotherapy and surgery.  Her oncologist is able to apply for a small grant, approx $100,000, related to treating rhabdomyosarcomas.  Does anyone have any good ideas or suggestions on what to research?  Also, if there are promising treatments that may work for multiple cancers, i.e. including potentially rhabdo, that could also be useful.</t>
        </is>
      </c>
      <c r="D3635" t="n">
        <v>4</v>
      </c>
      <c r="E3635" t="n">
        <v>2</v>
      </c>
      <c r="F3635">
        <f>HYPERLINK("https://www.reddit.com/r/cancer/comments/cfugf6/research_suggestions_for_treating/")</f>
        <v/>
      </c>
      <c r="G3635" t="inlineStr">
        <is>
          <t>2019-07-20 20:05:29</t>
        </is>
      </c>
      <c r="H3635" t="inlineStr"/>
    </row>
    <row r="3636">
      <c r="A3636" t="inlineStr">
        <is>
          <t>cfvr90</t>
        </is>
      </c>
      <c r="B3636" t="inlineStr">
        <is>
          <t>Scariest moments of my life.</t>
        </is>
      </c>
      <c r="C3636" t="inlineStr">
        <is>
          <t>Stage 3b cervical cancer here. Had/having an absolutely terrifying experience and just had to share it somewhere. 
This is a long story.
I've been hemorrhaging lately, but it always seems to stop itself. Until recently. Earlier this week I got my first transfusion and thought "whoo boy this was bad". I was wrong. That wasn't even close.
This time... this hemorrhage... it was different. I've never called 911 before yesterday but I knew I couldn't wait. I couldn't stand and the world was disappearing before my eyes.
I got very scared, and the emts repeatedly asked if I could walk, and if my hubs could drive me. That made my hubs very angry as I was seriously ill. "But your vitals are fine!" they said. Not for long assholes.
They walked me down our large flight of steps, one on each side carrying me. I reach the landing, lose consciousness and vomit on myself before regaining consciousness. I have never fainted before. 
By the time I made it into the rig, my vitals had already begun to drop. They told me I was so pale my skin was transparent. For reasons unbeknownst to me, mr ball leg decided to begin hurting more than I've ever experienced. Great timing asshole. 
I have never been closer to death than during that ambulance ride. I could barely stay awake and couldn't even lift my damn arms or head. I honestly thought "This is it. I'm gonna die next to an asshole emt that didn't even believe me." Luckily that was not the case. 
I received emergency blood (2 units) and dilaudid. I finally started to feel human again. But of course the hemorrhage was still occurring. 
After staying in this er for 7-9 hours I got transferred to the better equipped hospital and received an emergency cauterization surgery as well as some sort of liquid adhesive. The bleeding is finally under control for now and I'm receiving 3 more units of blood. My veins are all shot and have only 2 good ivs in all the attempts. My arms look like bruised pin cushions. One had to be given under general during surgery. 
I just want to reach a point in my radiation where the bleeding is finally under control. I fear I'll never get there. I apologize, I'm in a dark place today. 
Thank you for listening. 💙</t>
        </is>
      </c>
      <c r="D3636" t="n">
        <v>63</v>
      </c>
      <c r="E3636" t="n">
        <v>12</v>
      </c>
      <c r="F3636">
        <f>HYPERLINK("https://www.reddit.com/r/cancer/comments/cfvr90/scariest_moments_of_my_life/")</f>
        <v/>
      </c>
      <c r="G3636" t="inlineStr">
        <is>
          <t>2019-07-20 22:42:44</t>
        </is>
      </c>
      <c r="H3636" t="inlineStr"/>
    </row>
    <row r="3637">
      <c r="A3637" t="inlineStr">
        <is>
          <t>cfx0rd</t>
        </is>
      </c>
      <c r="B3637" t="inlineStr">
        <is>
          <t>Nothing’s working and I’m scared</t>
        </is>
      </c>
      <c r="C3637" t="inlineStr">
        <is>
          <t>Hello friends, I’ve got stage 3 Multiple myeloma. The doctors began the normal process of chemo a year ago but had to ditch it before trying something new due to lack of success. After a few more attempts of chemo, a few hospital stays and an unsuccessful stem cell transplant my doctor now is advising we try CAR T-Cell therapy. I feel selfish complaining, I’ve been through a lot but no where near the amount of pain and suffering I’ve seen or heard of. I’m just scared and needed to type this out and maybe it might help, maybe I’ll get some positive feedback or some reddit love.</t>
        </is>
      </c>
      <c r="D3637" t="n">
        <v>14</v>
      </c>
      <c r="E3637" t="n">
        <v>17</v>
      </c>
      <c r="F3637">
        <f>HYPERLINK("https://www.reddit.com/r/cancer/comments/cfx0rd/nothings_working_and_im_scared/")</f>
        <v/>
      </c>
      <c r="G3637" t="inlineStr">
        <is>
          <t>2019-07-21 01:49:06</t>
        </is>
      </c>
      <c r="H3637" t="inlineStr"/>
    </row>
    <row r="3638">
      <c r="A3638" t="inlineStr">
        <is>
          <t>cfzp9z</t>
        </is>
      </c>
      <c r="B3638" t="inlineStr">
        <is>
          <t>[Misc] Radiation and skin side effects, and some general information</t>
        </is>
      </c>
      <c r="C3638" t="inlineStr">
        <is>
          <t>I first posted this on the skincare forum, but I don't know that that was the proper place for this kind of post. 
Therapeutic radiation and (chemotherapy) can increase sun sensitivity-like how certain medications can.  I'm going to talk specifically about therapeutic radiation to treat cancer and what can happen to your skin as a side effect. 
I thought I'd try and offer some explanation as to the why, the how, advice, and a general PSA since this deals directly with skincare awareness-especially if you are currently going through cancer treatments. 
I'm sure those of you who've already undergone  treatments can offer your own personal insights, should you choose to. I'd love to hear any tips that I could pass on to current and future patients as far as the reality, and what to expect after  treatments are done.
I'd especially love to hear from women who have gone through the trifecta of breast cancer treatments (surgery, chemo, radiation).  What helped you most during and after treatments? How is your skin? Recommendations are most welcome. We typically give patients Aquaphor samples to use if/when skin becomes irritated, when it moves into the moist desquamation territory, Silvadene is usually prescribed. As far as I know, there isn't any cream that will fully prevent damage. One Rad Onc did have some information on an older cortico? steroid cream, but I'll be damned if I can remember the name. He was hesitant to commit to the phrase "it could prevent" so, by all means, ask your doctor. 
Please read the information at this link. It's very, very helpful. [Breast Cancer and skin care ](https://www.breastcancer.org/treatment/radiation/skin/care)
-How/What/Why-
Therapeutic radiation, depending on many factors such as target, max dose prescribed, dose distribution, which kind of particulate radiation used (photon, electron, proton), treatment field size, skin folds, depth of dose, if a beam modifier is used over the field (one example is brass mesh to draw the radiation up to the skins surface during treatment. They are often used on patients who've undergone a mastectomy. The brass layer will increase the tanning/burning since we're focusing treatment on the scar, the surface, and chest wall). 
- Other Factors-
Diagnosis, stage, and the safest way to treat your cancer while minimizing damage to healthy tissues, how many treatments the you have  undergone (the more radiation you accumulate, the more you will start feeling side effects), individual tolerance and skin sensitivity all play into response. Side effects continue weeks after you are done with treatment. 
-Skin- 
Treatments can potentially cause a range of skin damage from mild erythema (sunburn) to itching, tanning, blistering, skin breakdown, bleeding, moist desquamation etc.
If the skin breakdown is too severe patients are put on a break from treatment to let their skin heal before resuming.  They are typically prescribed silvadene cream by this time. This is frequently seen in head and neck, and breast cancer patients,. 
-More Why/Explanation-
As patients progress further into their treatments, they accumulate more radiation. Every treatment delivers a fraction of the total dose. This is the end achieved total dose prescribed from the beginning. Radiation is cumulative so patients typically don't feel any kind of side effect until week 2 or 3. Again, this depends on what we are treating. Palliative dose is prescribed to alleviate pain and or to slow growth such as multiple brain metastasis and cancer thst has invaded bone, especially spine. We want to slow and relieve cord compression as much as possible. 
I digress.. Your prescription is very specific to your disease and how soon it's diagnosed,and what treatments ultimate goal is. 
On average, depending on what kind of cancer you have and where it is located, full courses can range from a total dose of 3000( palliative bone and or whole brain, sometimes whole brain is done as a prophylactic measure) to 7000 cGy. This takes weeks to months of daily fractionated treatments to achieve, usually 5 days a week. 
-Skin 2-
Previously sunburned /typically exposed skin is already at risk of extra tanning/burning from the radiation. Think decolletage. 
It's especially important to keep your treatment area shielded from the sun during and after treatments. 
Your treatment area will sometimes stay tan and is even more susceptible to sunburn after you've completed your therapeutic course of radiation. 
Some patients don't realize that they are now more at risk of sunburn, where their treatment site was, than before. 
Permanent tanning of the site is possible. It is very individual. Some people tolerate the skin irritation side effects of treatment better than others.
-PSA-
Attempts to put sunblock on before your treatment does not prevent you from getting radiation induced erythema. That is solar radiation. Therapeutic radiation uses photon, electron and proton particle radiation. This is not going to be blocked by lotion. 
I only mention this because some people have attempted or inquired about it, and doing so would actually causes more skin irritation-since you have added another layer over your tissue and, unless we are specifically using brass, or another other bolus, is creating unnecessary skin irritation with.  Just wear a hat and scarf if you are going to be outside.  Use creams after your treatment. 
-Endnotes-
No one escapes the fatigue. 
You are braver than you think. 
Treatments are constantly evolving to minimize damage to healthy tissues, and with immunotherapy, better chemo drugs,  new ways to attempt treatment, or to just alleviate pain from your cancer, and curbing some of the nasty side effects from treatments...there is hope. 
People are out there in the world working tirelessly to figure out better ways to treat cancer, and to do it in ways that are easier for people to tolerate. 
TL:DR I can't really summarize this. If it applies to you, or you are simply curious about therapeutic radiation as by my ramble, and skin side effects than I imagine you'll read.</t>
        </is>
      </c>
      <c r="D3638" t="n">
        <v>3</v>
      </c>
      <c r="E3638" t="n">
        <v>11</v>
      </c>
      <c r="F3638">
        <f>HYPERLINK("https://www.reddit.com/r/cancer/comments/cfzp9z/misc_radiation_and_skin_side_effects_and_some/")</f>
        <v/>
      </c>
      <c r="G3638" t="inlineStr">
        <is>
          <t>2019-07-21 07:42:10</t>
        </is>
      </c>
      <c r="H3638" t="inlineStr"/>
    </row>
    <row r="3639">
      <c r="A3639" t="inlineStr">
        <is>
          <t>cg09w3</t>
        </is>
      </c>
      <c r="B3639" t="inlineStr">
        <is>
          <t>Concerned about a colonoscopy report?</t>
        </is>
      </c>
      <c r="C3639" t="inlineStr">
        <is>
          <t>Hi all,
&amp;amp;amp;#x200B;
&amp;amp;amp;#x200B;
&amp;amp;amp;#x200B;
My dad is a double hit lymphoma (DLBCL) patient who received a colonoscopy this week. I attach a copy of his report but basically according to his nurse they found a lateral spreading flat Polyp between 1-3 cm's located in the caecum at the very end of the colon (Paris IIb), somewhere near the appendiceal orifice. As the doctor who saw him was a registrar and the hospital was very busy this is to be removed in a month or two by a consultant with a colonoscopy or via surgery under local anaesthetic. There was only one polyp and they took routine biopsies from other parts of the procedure but not the polyp. I'm just concerned about the likelihood of cancer given that he is in remission from a very aggresive blood cancer and the results of a PET scan in January which found: "The uptake in distal descending colon is a particular intense."
&amp;amp;amp;#x200B;
He has already been through so much and at this point I'm just scared, so thank you for any feedback,
&amp;amp;amp;#x200B;
&amp;amp;amp;#x200B;
&amp;amp;amp;#x200B;
Very best,
&amp;amp;amp;#x200B;
&amp;amp;amp;#x200B;
&amp;amp;amp;#x200B;
Tranandex
&amp;amp;amp;#x200B;
&amp;amp;amp;#x200B;
&amp;amp;amp;#x200B;
Colonoscopy images here: [https://imgur.com/a/NE4yUdj](https://imgur.com/a/NE4yUdj)
&amp;amp;amp;#x200B;
&amp;amp;amp;#x200B;
&amp;amp;amp;#x200B;
&amp;amp;amp;#x200B;
&amp;amp;amp;#x200B;
Final Report: PT PET CT WHOLE BODY FDG:
&amp;amp;amp;#x200B;
&amp;amp;amp;#x200B;
&amp;amp;amp;#x200B;
HISTORY - Relapsed diffuse large B-cell lymphoma. Rituximab on the 30th of January 2019. RADIOPHARMACEUTICAL- F18-FDG INJECTED ACTIVITY - 342 MBq. UPTAKE TIME - 65 min. BLOOD GLUCOSE - 5.4 mmol/l. TECHNIQUE PET scan from thebaseof the skull through thepelvis. Low-dose non-contrast CT over the same volume. COMPARISON PET/CT July 2018. FINDINGS: NECK/CHEST There is no airspace disease or suspicious lung nodule. ABDOMEN/PELVIS There is physiologic distribution of tracer in the gastrointestinal and genitourinary systems. The uptake in distal descending colon is a particular intense. No fat stranding of free fluid is seen to suggest acute inflammation. Left-sided PICC inguinal hernia is again noted. MUSCULOSKELETAL/SKIN There is no FDG-avid bone or cutaneous lesion. Post-treatment diffuse osteosclerotic changes involving the right iliac bone remain stable. No abnormal focal muscular uptake is seen. IMPRESSION There is no evidence of disease recurrence.
&amp;amp;amp;#x200B;
&amp;amp;amp;#x200B;
&amp;amp;amp;#x200B;
&amp;amp;amp;#x200B;
&amp;amp;amp;#x200B;
&amp;amp;amp;#x200B;
&amp;amp;amp;#x200B;
Age 68
&amp;amp;amp;#x200B;
&amp;amp;amp;#x200B;
&amp;amp;amp;#x200B;
Sex Male
&amp;amp;amp;#x200B;
&amp;amp;amp;#x200B;
&amp;amp;amp;#x200B;
Height 6 foot
&amp;amp;amp;#x200B;
&amp;amp;amp;#x200B;
&amp;amp;amp;#x200B;
Weight 89 kilos
&amp;amp;amp;#x200B;
&amp;amp;amp;#x200B;
&amp;amp;amp;#x200B;
Race Irish
&amp;amp;amp;#x200B;
&amp;amp;amp;#x200B;
&amp;amp;amp;#x200B;
Duration of complaint \~ 1 year
&amp;amp;amp;#x200B;
&amp;amp;amp;#x200B;
&amp;amp;amp;#x200B;
Location (Geographic and on body) Ireland, Bowel/Colon?
&amp;amp;amp;#x200B;
&amp;amp;amp;#x200B;
&amp;amp;amp;#x200B;
Any existing relevant medical issues (if any) Diffuse large b-cell lymphoma (double hit) in remission but on treatment with lenalidomide, metformin and rituximab
&amp;amp;amp;#x200B;
&amp;amp;amp;#x200B;
&amp;amp;amp;#x200B;
Current medications (if any) Revlimid, Metformin and Rituximab
&amp;amp;amp;#x200B;
&amp;amp;amp;#x200B;
&amp;amp;amp;#x200B;
Include a photo if relevant (skin condition for example): As attached</t>
        </is>
      </c>
      <c r="D3639" t="n">
        <v>2</v>
      </c>
      <c r="E3639" t="n">
        <v>15</v>
      </c>
      <c r="F3639">
        <f>HYPERLINK("https://www.reddit.com/r/cancer/comments/cg09w3/concerned_about_a_colonoscopy_report/")</f>
        <v/>
      </c>
      <c r="G3639" t="inlineStr">
        <is>
          <t>2019-07-21 08:36:08</t>
        </is>
      </c>
      <c r="H3639" t="inlineStr"/>
    </row>
    <row r="3640">
      <c r="A3640" t="inlineStr">
        <is>
          <t>cg0i9y</t>
        </is>
      </c>
      <c r="B3640" t="inlineStr">
        <is>
          <t>took NSE marker test some half a year ago with border line values. Is there any other test for Limbic system besides MRI and CT?</t>
        </is>
      </c>
      <c r="C3640" t="inlineStr">
        <is>
          <t>basically I was given very high irradiation by CT machine after which my head was buzzing and that transferred into my head became numb like toward any emotional/feeling input. 
Also, I am developing difficulties in mental/cognitive area. 
I feel constant mild pressure in my head with occassional strange head aches too I have never felt before. I am fuctioning like this for 1 year already. 
People didn't notice much difference as I act almost the same, even tho I am much more subdued and lack energy levels, but the main thing is that I don't feel any emotions, including the reward (dopamine) pleasure, or even an anger, happiness, any emotion you name it, I don't feel it. 
what I feel in those situations where before I would feel emotions/feelings is just increased numb pressure.....
I know I have zero chance to succeed with this observation, but I wanna find out what happened in my brain after that CT scan. 
so my question is, what else can I check that can tell me what is going on? 
I don't wanna go to MRI nor CT as I am scared it could further damage or irradiate my head...(no need explaining me MRI has no radiation, I know that)
as my title said, i did NSE test and it was very near to the border line value, I might repeat that one again I guess...but other than that any pointers?</t>
        </is>
      </c>
      <c r="D3640" t="n">
        <v>1</v>
      </c>
      <c r="E3640" t="n">
        <v>3</v>
      </c>
      <c r="F3640">
        <f>HYPERLINK("https://www.reddit.com/r/cancer/comments/cg0i9y/took_nse_marker_test_some_half_a_year_ago_with/")</f>
        <v/>
      </c>
      <c r="G3640" t="inlineStr">
        <is>
          <t>2019-07-21 08:57:22</t>
        </is>
      </c>
      <c r="H3640" t="inlineStr"/>
    </row>
    <row r="3641">
      <c r="A3641" t="inlineStr">
        <is>
          <t>cg17n0</t>
        </is>
      </c>
      <c r="B3641" t="inlineStr">
        <is>
          <t>To floss or not to floss that if the question</t>
        </is>
      </c>
      <c r="C3641" t="inlineStr">
        <is>
          <t>I Started chemo in April and was told not to floss bc of anemia... We just BBQed some corn in their husks. 
It was so good but now... The floss is calling and oh so necessary...I did not think this through
 Wish me luck!!</t>
        </is>
      </c>
      <c r="D3641" t="n">
        <v>4</v>
      </c>
      <c r="E3641" t="n">
        <v>7</v>
      </c>
      <c r="F3641">
        <f>HYPERLINK("https://www.reddit.com/r/cancer/comments/cg17n0/to_floss_or_not_to_floss_that_if_the_question/")</f>
        <v/>
      </c>
      <c r="G3641" t="inlineStr">
        <is>
          <t>2019-07-21 09:58:54</t>
        </is>
      </c>
      <c r="H3641" t="inlineStr"/>
    </row>
    <row r="3642">
      <c r="A3642" t="inlineStr">
        <is>
          <t>cg1ita</t>
        </is>
      </c>
      <c r="B3642" t="inlineStr">
        <is>
          <t>How to rebuild life about a long hospital stay, chronic cancer pain, and many health issues?</t>
        </is>
      </c>
      <c r="C3642" t="inlineStr">
        <is>
          <t>Hey guys,
By now I guess many of you already know. I (41) am my wife's (33) caregiver. She was diagnosed with stage IV colon cancer in February 2018. She was successfully treated for ten months with two different chemotherapy regimens (first Folfox  and then Capecitabine + Avastin). In February 2019 she developed a biliary obstruction and was hospitalized for the first time. We've been in and out of the hospital since then due to several other complications. Her last hospital stay lasted two months and was marked by chronic, untreatable, cancer pain. The pain is finally under control through the implantation of a pain pump. However, we are now dealing with other issues related to what happened all these weeks, some physical (abdominal distension, chronic constipation, etc.) and some psychological (trauma, anxiety, depression). Furthermore, the disease has continued growing because she hasn't been able to receive little cancer treatment during the past few months.
She's getting discharged tomorrow with a pain management regimen, additional to the pump, and a psychiatric regimen. We have a meeting with the oncologist tomorrow to see what's next, but we've already been told he will suggest a combination of chemotherapy and radiotherapy. Hence, we will probably be spending a lot of more time in doctor's offices, chemotherapy units, radiotherapy units. I am currently 100% devoted to her care. I quit my job in February.
We are extremely happy to finally come back home, but we feel very lost about "regular" life. We really don't know how to rebuild it after everything that happened, after all the trauma we've experienced, with so many physical and psychological issues to address daily, and with how taxing it is to spend most of your time in medical settings. 
&amp;amp;#x200B;
Do you guys have any advice, please?</t>
        </is>
      </c>
      <c r="D3642" t="n">
        <v>13</v>
      </c>
      <c r="E3642" t="n">
        <v>6</v>
      </c>
      <c r="F3642">
        <f>HYPERLINK("https://www.reddit.com/r/cancer/comments/cg1ita/how_to_rebuild_life_about_a_long_hospital_stay/")</f>
        <v/>
      </c>
      <c r="G3642" t="inlineStr">
        <is>
          <t>2019-07-21 10:24:56</t>
        </is>
      </c>
      <c r="H3642" t="inlineStr"/>
    </row>
    <row r="3643">
      <c r="A3643" t="inlineStr">
        <is>
          <t>cg21op</t>
        </is>
      </c>
      <c r="B3643" t="inlineStr">
        <is>
          <t>Cancer in your 30’s</t>
        </is>
      </c>
      <c r="C3643" t="inlineStr">
        <is>
          <t>Hey gang, I got diagnosed with multiple myeloma about nine months ago. I’m 34 years old and was five months away from being married and living the life I dreamed of. I currently now however am in hell, I’m about three months removed from a stem cell transplant that was unsuccessful and am heading into a CAR-T cell study that is still in trial stages. For the first time in a long time I’m scared. I was the heathy one, the exercise all the time, no drugs or alcohol type of guy. I never dreamed this could happen to me. I don’t remember what the point of this post was, I  guess just needed to tell someone. I’m not big on therapy or talking about my problems to other people so this is as close to “speaking to someone” as I’ll get. Thanks for listening Reddit.</t>
        </is>
      </c>
      <c r="D3643" t="n">
        <v>99</v>
      </c>
      <c r="E3643" t="n">
        <v>46</v>
      </c>
      <c r="F3643">
        <f>HYPERLINK("https://www.reddit.com/r/cancer/comments/cg21op/cancer_in_your_30s/")</f>
        <v/>
      </c>
      <c r="G3643" t="inlineStr">
        <is>
          <t>2019-07-21 11:09:07</t>
        </is>
      </c>
      <c r="H3643" t="inlineStr"/>
    </row>
    <row r="3644">
      <c r="A3644" t="inlineStr">
        <is>
          <t>cg2mwx</t>
        </is>
      </c>
      <c r="B3644" t="inlineStr">
        <is>
          <t>Confused on what’s happening and a little about drugs.</t>
        </is>
      </c>
      <c r="C3644" t="inlineStr">
        <is>
          <t>I was told in May for my 24th birthday that I have a Germ Cell Tumor between my lungs and heart. My oncologist told me there was no need for a biopsy, apparently the markers in my blood were enough to tell her exactly what it was? Since then I’ve been going through chemo therapy to shrink it, and hopefully later have it removed. Last month I had an appointment with the doc who’s supposed to remove it, and she told me that it looks irremovable, that it’s fused with my heart and a pulmonary artery. I told my oncologist the news, she scheduled a biopsy but it came back inconclusive because they pulled out dead cancer cells to test. And she hasn’t scheduled another biopsy and I don’t think she plans to, and she started talking about radiation. 
Sorry for this rant, I’m very confused and generally just go with the flow but something doesn’t seem right. I have one question about oxycodone though, why is it I can’t feel “normal” without taking it? I feel drained and disgusting when I don’t take it. I also don’t like the way it makes me feel when I’m on oxycodone for too long. Does anyone have any idea what I’m going through?</t>
        </is>
      </c>
      <c r="D3644" t="n">
        <v>3</v>
      </c>
      <c r="E3644" t="n">
        <v>6</v>
      </c>
      <c r="F3644">
        <f>HYPERLINK("https://www.reddit.com/r/cancer/comments/cg2mwx/confused_on_whats_happening_and_a_little_about/")</f>
        <v/>
      </c>
      <c r="G3644" t="inlineStr">
        <is>
          <t>2019-07-21 12:00:33</t>
        </is>
      </c>
      <c r="H3644" t="inlineStr"/>
    </row>
    <row r="3645">
      <c r="A3645" t="inlineStr">
        <is>
          <t>cg49za</t>
        </is>
      </c>
      <c r="B3645" t="inlineStr">
        <is>
          <t>Pancreatic Cancer Shirts</t>
        </is>
      </c>
      <c r="C3645" t="inlineStr">
        <is>
          <t>Sorry if this isn't allowed. Please tell me if I need to take this down. 
My dad has Pancreatic Cancer. I made a "Kicking Cancer In the PancreASS" shirt and someone suggested others might be interested in one as well. 
Not sure if links are allowed on here, so if you're interested in the link, pm me. 
Thank you! 💜💜</t>
        </is>
      </c>
      <c r="D3645" t="n">
        <v>8</v>
      </c>
      <c r="E3645" t="n">
        <v>5</v>
      </c>
      <c r="F3645">
        <f>HYPERLINK("https://www.reddit.com/r/cancer/comments/cg49za/pancreatic_cancer_shirts/")</f>
        <v/>
      </c>
      <c r="G3645" t="inlineStr">
        <is>
          <t>2019-07-21 14:22:34</t>
        </is>
      </c>
      <c r="H3645" t="inlineStr"/>
    </row>
    <row r="3646">
      <c r="A3646" t="inlineStr">
        <is>
          <t>cg4obw</t>
        </is>
      </c>
      <c r="B3646" t="inlineStr">
        <is>
          <t>Pure CBD Oil</t>
        </is>
      </c>
      <c r="C3646" t="inlineStr">
        <is>
          <t>My husband was diagnosed with stage 4 colon cancer in 2015. He has been through several rounds of chemo and is currently experiencing chronic abdominal pain. The pain just comes out of nowhere and ramps up almost instantly. He takes hydromorphone 4mg when the pain comes, and it takes at least 30-40 minutes for it to subside. The side effects of taking the pain meds are constipation and difficulty in urinating.
Someone told us about rubbing pure CBD oil on his tummy. Has anyone here ever tried that? Did it help? What brand did you use? And what dosage?</t>
        </is>
      </c>
      <c r="D3646" t="n">
        <v>0</v>
      </c>
      <c r="E3646" t="n">
        <v>10</v>
      </c>
      <c r="F3646">
        <f>HYPERLINK("https://www.reddit.com/r/cancer/comments/cg4obw/pure_cbd_oil/")</f>
        <v/>
      </c>
      <c r="G3646" t="inlineStr">
        <is>
          <t>2019-07-21 14:58:34</t>
        </is>
      </c>
      <c r="H3646" t="inlineStr"/>
    </row>
    <row r="3647">
      <c r="A3647" t="inlineStr">
        <is>
          <t>cg8jah</t>
        </is>
      </c>
      <c r="B3647" t="inlineStr">
        <is>
          <t>Finally hit 60kg</t>
        </is>
      </c>
      <c r="C3647" t="inlineStr">
        <is>
          <t>I was at 50 kg during treatment despite growing about 4 inches. I’m 6’1” 60 kg now. 
Anyways that’s it. 
I’m happy I’m finally really gaining weight. Even if I’m 25 percentiles down. (99.6 for height and 75 for weight).</t>
        </is>
      </c>
      <c r="D3647" t="n">
        <v>27</v>
      </c>
      <c r="E3647" t="n">
        <v>5</v>
      </c>
      <c r="F3647">
        <f>HYPERLINK("https://www.reddit.com/r/cancer/comments/cg8jah/finally_hit_60kg/")</f>
        <v/>
      </c>
      <c r="G3647" t="inlineStr">
        <is>
          <t>2019-07-21 21:20:54</t>
        </is>
      </c>
      <c r="H3647" t="inlineStr"/>
    </row>
    <row r="3648">
      <c r="A3648" t="inlineStr">
        <is>
          <t>cg8loq</t>
        </is>
      </c>
      <c r="B3648" t="inlineStr">
        <is>
          <t>Afraid to get my port out</t>
        </is>
      </c>
      <c r="C3648" t="inlineStr">
        <is>
          <t>Not because of the actual procedure. But that this is all finally...over. Because it doesn't feel over to me. I feel so lost. So distant from who I used to be. I'm not depressed, I'm disassociated. I don't know how to relate to people anymore. I still look in the mirror and don't recognize the person looking back at me. 
My wonderful surgeon recently asked me to be a guest on his radio show - the topic being "Personal Strength and Resilience". At the recording, I briefly met an absolutely amazing woman battling pancreatic cancer and felt like a complete fucking imposter. SHE deserves to be a guest on that show - not me, who can't even be grateful for the absolute PRIVILAGE of being in remission. 
I'm scared for this to be over because I don't quite know how to navigate the world now.</t>
        </is>
      </c>
      <c r="D3648" t="n">
        <v>14</v>
      </c>
      <c r="E3648" t="n">
        <v>4</v>
      </c>
      <c r="F3648">
        <f>HYPERLINK("https://www.reddit.com/r/cancer/comments/cg8loq/afraid_to_get_my_port_out/")</f>
        <v/>
      </c>
      <c r="G3648" t="inlineStr">
        <is>
          <t>2019-07-21 21:28:08</t>
        </is>
      </c>
      <c r="H3648" t="inlineStr"/>
    </row>
    <row r="3649">
      <c r="A3649" t="inlineStr">
        <is>
          <t>cg9uob</t>
        </is>
      </c>
      <c r="B3649" t="inlineStr">
        <is>
          <t>Do you think you deserved a better doctor in your journey against cancer?</t>
        </is>
      </c>
      <c r="C3649" t="inlineStr">
        <is>
          <t>Doctors are humans. Some don't behave like one. How many marks will you give your oncologist out of 10 for his/her human values? Did you feel demotivated and ignored and helpless due to him/her doing/not doing something?</t>
        </is>
      </c>
      <c r="D3649" t="n">
        <v>6</v>
      </c>
      <c r="E3649" t="n">
        <v>20</v>
      </c>
      <c r="F3649">
        <f>HYPERLINK("https://www.reddit.com/r/cancer/comments/cg9uob/do_you_think_you_deserved_a_better_doctor_in_your/")</f>
        <v/>
      </c>
      <c r="G3649" t="inlineStr">
        <is>
          <t>2019-07-21 23:56:19</t>
        </is>
      </c>
      <c r="H3649" t="inlineStr"/>
    </row>
    <row r="3650">
      <c r="A3650" t="inlineStr">
        <is>
          <t>cgaiho</t>
        </is>
      </c>
      <c r="B3650" t="inlineStr">
        <is>
          <t>Goodbye, Ma.</t>
        </is>
      </c>
      <c r="C3650" t="inlineStr">
        <is>
          <t>It's been a hard long year for you and I'm happy that you fought with all you can. You may rest in peace now and your soul will live on. I love you so much mom. 
1/16/1964-7/20/2019</t>
        </is>
      </c>
      <c r="D3650" t="n">
        <v>130</v>
      </c>
      <c r="E3650" t="n">
        <v>38</v>
      </c>
      <c r="F3650">
        <f>HYPERLINK("https://www.reddit.com/r/cancer/comments/cgaiho/goodbye_ma/")</f>
        <v/>
      </c>
      <c r="G3650" t="inlineStr">
        <is>
          <t>2019-07-22 01:23:14</t>
        </is>
      </c>
      <c r="H3650" t="inlineStr"/>
    </row>
    <row r="3651">
      <c r="A3651" t="inlineStr">
        <is>
          <t>cgca0l</t>
        </is>
      </c>
      <c r="B3651" t="inlineStr">
        <is>
          <t>PROSTATE CANCER TYPES, CAUSES, SYMPTOMS, TREATMENT</t>
        </is>
      </c>
      <c r="C3651" t="inlineStr">
        <is>
          <t xml:space="preserve"> **What is prostate harm?** 
[The prostate danger](https://www.erectilewellness.com/anticancer/generic-casodex-bicalutamide) is a malady of the prostate organ. The prostate organ is a walnut estimated organ present just in men, found in the pelvis underneath the bladder. The prostate organ creases over the urethra (the chamber through which pee leaves the body) and lies before the rectum. The prostate organ secretes some part of the liquid portion of the semen, or unique fluid, which passes on sperm made by the gonads. The fluid is essential to proliferation. 
&amp;amp;#x200B;
Prostate harmful development is one of the most generally perceived sorts of illness that makes in men and is the third driving purpose behind dangerous development passings in American men, behind lung sickness and colorectal threat. In 2017, the American Cancer Society evaluated that 161,360 men will be as of late resolved to have prostate dangerous development and 26,730 men will kick the basin from the disease anyway an enormous number of them had lived with the disorder for an extensive period of time before their deaths. 
&amp;amp;#x200B;
Prostate dangerous development is included reliably of adenocarcinoma cells that rise up out of glandular tissue. Harmful development cells are named by the organ wherein they start paying little respect to where in the body we find such cells. Along these lines, if prostate danger cells spread in the body to the bones, it isn't by then called bone malady. It is a prostate illness metastatic to the bones. Metastasis is the strategy of malady spread through the blood or lymphatic structure to various organs/zones all through the body. Prostate dangerous development even more normally metastasizes to lymph centers in the pelvis and to the bones. 
&amp;amp;#x200B;
**Sorts of prostate danger** 
For all intents and purposes, all prostate dangerous developments are adenocarcinomas. These malignancies make from the organ cells (the cells that make the prostate fluid that is added to the semen). 
&amp;amp;#x200B;
Various sorts of prostate harmful development include: 
• Sarcomas 
• Small cell carcinomas 
• Neuroendocrine tumors (other than little cell carcinomas) 
• Transitional cell carcinomas 
&amp;amp;#x200B;
These various sorts of prostate harmful development are extraordinary. If you have prostate threatening development, it is for all intents and purposes sure to be an adenocarcinoma. 
Some prostate harmful developments can create and spread quickly, be that as it may, most grow step by step. In all honesty, posthumous assessment studies exhibit that various progressively prepared men (and even some increasingly energetic men) who kicked the container of various causes in like manner had a prostate illness that never impacted them during their lives. Guideline speaking, neither they nor their essential consideration doctors even acknowledged they had it. 
&amp;amp;#x200B;
**Signs of Prostate Cancer** 
Prostate threatening development is the most generally perceived sickness affecting men. 
There are commonly no appearances during the starting times of prostate ailment. In any case, if appearances do appear, they usually incorporate at any rate one of them going with: 
&amp;amp;#x200B;
• Frequent tendencies to pee, including during the night 
• Difficulty beginning and taking care of pee 
• Blood in the pee 
• Painful pee and, less normally, release 
• Difficulty achieving or keeping up an erection may be problematic
• The propelled prostate sickness can incorporate the going with symptoms: 
• Bone torment, as often as possible in the spine, femur, pelvis, or ribs 
• Bone splits 
If the infection spreads to the spine and packs the spinal string, there may be: 
• Leg weakness
• Urinary incontinence 
• Fecal incontinence 
&amp;amp;#x200B;
**Purposes behind Prostate Cancer** 
[The prostate](https://www.erectilewellness.com/anticancer) is a walnut assessed exocrine organ. This infers its fluids and releases are made arrangements for use outside of the body. 
&amp;amp;#x200B;
The prostate makes the fluid that supports and transports sperm on their voyage to merge with a female ovum, or egg, and produce human life. The prostate contracts and powers these fluids out during peak. 
&amp;amp;#x200B;
The protein released by the prostate, prostate-unequivocal antigen (PSA), empowers semen to hold its liquid state. An excess of this protein in the blood is one of the essential signs of prostate threatening development. 
&amp;amp;#x200B;
The urethra is tube through which sperm and pee leave the body. It is like manner experiences the prostate. 
&amp;amp;#x200B;
Everything considered the prostate is also responsible for pee control. It can fix and restrict the movement of pee through the urethra using countless unobtrusive muscle fibers. 
&amp;amp;#x200B;
**How might it start?** 
It, generally, starts in the glandular cells. This is known as adenocarcinoma. Minor changes occur in the shape and size of the prostate organ cells, known as prostatic intraepithelial neoplasia (PIN). This will, when all is said in done, happen slowly and does not show signs until further into the development. 
&amp;amp;#x200B;
Around 50 percent of all men past 50 years of age years have stuck. High-grade PIN is considered pre-cancer-causing, and it requires further assessment. Inferior PIN isn't an explanation behind concern. 
&amp;amp;#x200B;
Prostate dangerous development can be viably treated in case it is examined before metastasis, anyway in case it spreads, it is progressively hazardous. It most, as a rule, spreads to the bones. 
&amp;amp;#x200B;
**Will Prostate Cancer Be Prevented?** 
Doing things that are "heart-sound", will in like manner keep your prostate strong. Eating right, working out, watching your weight and not smoking can be valuable for your prosperity and help you keep up a key good ways from the prostate threat. 
&amp;amp;#x200B;
Some social protection providers acknowledge prescriptions like finasteride (Proscar ®) and dutasteride (Avodart ®) can hinder prostate threat. Others acknowledge they simply moderate the progression of prostate threat. Studies do show that men ingesting these drugs were less disposed to be resolved to have prostate malady. Everything thought of it as isn't clear if these drugs are incredible so you should speak with your PCP about the possible responses. 
&amp;amp;#x200B;
**Forewarning Signs of Prostate Cancer** 
Because of the closeness of the prostate organ to the bladder and urethra, the prostate infection may be joined by an arrangement of urinary signs, especially to start with periods. Dependent upon its size and zone, a tumor may press on and contract the urethra, blocking the movement of pee. Some early prostate dangerous development signs include: 
• Burning or torment during pee 
• Difficulty peeing, or bother starting and ending while simultaneously peeing 
• More progressive wants to pee around night time 
• Loss of bladder control 
• Decreased stream or speed of the pee stream 
• Blood in the pee (hematuria) 
• Blood in semen 
• Difficulty getting an erection (erectile brokenness) 
• Painful release 
&amp;amp;#x200B;
Prostate harm may spread (metastasize) and structure tumors in adjoining organs or bones. In case malady spreads to the spine, it may push on the spinal nerves. Signs of metastatic prostate dangerous development may include: 
• Swelling in legs or pelvic zone 
• Numbness or torment in the hips, legs or feet 
• Bone torment that doesn't leave, or prompts breaks 
The signs of prostate threatening development normally differ from patient to calm. The most generally perceived first sign of monotonous prostate danger is rising in the PSA level in the blood, making typical PSA tests much increasingly huge in evaluating the headway of treatment and checking for signs of a rehash. It is basic to report new signs or symptoms to your essential consideration doctor. 
&amp;amp;#x200B;
**Assurance of Prostate Cancer**
An authority will complete a physical evaluation and enquire about any advancing remedial history. If the patient has symptoms, or if a typical blood test shows curiously high PSA levels, further evaluations may be referenced. 
**Tests may incorporate**
• An automated rectal appraisal (DRE), in which a pro will physically check for any varieties from the standard of the prostate with their finger 
• A biomarker test checking the blood, pee, or body tissues of a person with harmful development for manufactured mixes exceptional to individuals with the malady 
If these tests show abnormal results, further tests will include: 
• A PCA3 test examining the pee for the PCA3 quality simply found in prostate malady cells 
• A transrectal ultrasound yield giving imaging of the impacted region using a test that releases sounds 
• A biopsy, or the departure of 12 to 14 little bits of tissue from a couple of regions of the prostate for evaluation under an amplifying focal point 
• These will help avow the period of the infection, paying little mind to whether it has spread, and what treatment is fitting. 
• To follow any spread or metastasis, authorities may use a bone, CT yield, or MRI channel. 
&amp;amp;#x200B;
**Danger Factors of Prostate Cancer** 
The positive purpose behind prostate harmful development is foggy, in any case, there are various possible peril factors. 
Age 
Prostate harmful development is unprecedented among men more youthful than 45 years, yet logically normal after the age of 50 years. 
Geography 
Prostate threatening development happens most a significant part of the time in North America, northwestern Europe, on the Caribbean islands, and in Australia. The reasons remain cloudy. 
Innate components 
Certain innate and ethnic social events have an extended peril of prostate malady. 
In the U.S., the prostate ailment is on any occasion 60 percent logically typical and 2 to different occasions more damaging among dull men than non-Hispanic white men. 
A man furthermore has a much higher risk of making ailment if his vague twin has it, and a man whose kin or father had prostate threat has twofold the peril of making it stood out from other men. Having kin who has or has had prostate threatening development is to a great.
**Diet** 
Studies have prescribed that an eating routine high in red meat or high-fat dairy things may manufacture a person's chances of making prostate harm, yet the association is neither confirmed nor clear. 
**Prescription** 
Some investigation has prescribed that non-steroidal quieting drug (NSAID) use may diminish the peril of prostate threatening development. Others have associated NSAID use with a higher peril of death from the sickness. This is a questionable zone, and results have not been confirmed. 
There has also been some assessment concerning whether statins may direct the development of prostate dangerous development. One 2016 assessment contemplated that results were "frail and clashing." 
**Weight** 
It is normally acknowledged that power is associated with the improvement of prostate harm, yet the American Cancer Society keeps up that there is no sensible association. A couple of examinations have found that rotundity manufactures the threat of death in front line harmful developments. Studies have in the like manner assumed that heaviness decreases the risk that threat will be below average if it happens. 
**Bio-concoction defoliants** 
Introduction to Agent Orange, a compound weapon used in the Vietnam war, may possibly be associated with the improvement of progressively compelling sorts of threat, yet the level of this has not been avowed. 
**Treatment of Prostate Cancer** 
[Treatment](https://www.erectilewellness.com/) is particular for in front of the calendar and impelled prostate dangerous developments. 
Starting period prostate harmful development 
In case the threatening development is pretty much nothing and confined, it is commonly directed by one of the going with drugs: 
Cautious delaying or watching PSA blood levels are typically checked, yet there is no speedy action. The threat of indications a portion of the time surpasses the necessity for snappy treatment for this moderate making sickness. 
Radical prostatectomy the prostate is definitely emptied. The customary therapeutic methodology requires a crisis facility to survive from up to 10 days, with a recovery time of up to 3 months. Mechanical keyhole medicinal method incorporates a shorter hospitalization and recovery period, in any case, it might be progressively expensive. Patients should address their security net supplier about incorporation. 
Brachytherapy Radioactive seeds are implanted into the prostate to pass on concentrated on radiation treatment. 
Conformal radiation treatment Radiation columns are formed with the objective that the locale where they spread is as close to a comparable shape as the organ or region that requires treatment. These cutoff points sound tissue introduction to radiation. 
The power offset radiation treatment Beams with variable power are used. This is a moved sort of conformal radiation treatment. 
First and foremost occasions, patients may get radiation treatment united with hormone treatment for 4 to a half year. 
Treatment proposals depend upon individual cases. The patient should discuss each and every open decision with their urologist or oncologist.
#</t>
        </is>
      </c>
      <c r="D3651" t="n">
        <v>1</v>
      </c>
      <c r="E3651" t="n">
        <v>0</v>
      </c>
      <c r="F3651">
        <f>HYPERLINK("https://www.reddit.com/r/cancer/comments/cgca0l/prostate_cancer_types_causes_symptoms_treatment/")</f>
        <v/>
      </c>
      <c r="G3651" t="inlineStr">
        <is>
          <t>2019-07-22 04:57:23</t>
        </is>
      </c>
      <c r="H3651" t="inlineStr"/>
    </row>
    <row r="3652">
      <c r="A3652" t="inlineStr">
        <is>
          <t>cgd1w1</t>
        </is>
      </c>
      <c r="B3652" t="inlineStr">
        <is>
          <t>My Great Grandmother</t>
        </is>
      </c>
      <c r="C3652" t="inlineStr">
        <is>
          <t>This I'd a pretty dated story, but I always think about this. My great grandmother was amazing. She was kind, put up with my thief cousin, and was probably a bigger onion hater than I was
It was funny because every summer we visited, she asked my dad to make yellow rice and quesadillas. The first ingredient in the rice? Onion powder. We never told her.
Summer of 2013 we visited and she wasn't acting herself. We were worried since she was only 80 and kicking ass. My cousin took her to the doctor. She was diagnosed with stage 4 pancreatic cancer. It was devastating. The chemo they gave her actually caused a stroke, so for her last few months she was bedridden and couldn't do anything on her own. My grandmother went to stay with her.
I drew for her when we saw her that fall. She wasn't expected to make it to Thanksgiving. I had to cry in the bathroom to not distress her.
She made it, though. She lasted until December 23rd. It's always been hard for me to accept death, and even though I wasn't as close as I wanted to be with her, she still meant a lot to me.</t>
        </is>
      </c>
      <c r="D3652" t="n">
        <v>5</v>
      </c>
      <c r="E3652" t="n">
        <v>0</v>
      </c>
      <c r="F3652">
        <f>HYPERLINK("https://www.reddit.com/r/cancer/comments/cgd1w1/my_great_grandmother/")</f>
        <v/>
      </c>
      <c r="G3652" t="inlineStr">
        <is>
          <t>2019-07-22 06:14:12</t>
        </is>
      </c>
      <c r="H3652" t="inlineStr"/>
    </row>
    <row r="3653">
      <c r="A3653" t="inlineStr">
        <is>
          <t>cgdcmk</t>
        </is>
      </c>
      <c r="B3653" t="inlineStr">
        <is>
          <t>Your reaction to afatinib?</t>
        </is>
      </c>
      <c r="C3653" t="inlineStr">
        <is>
          <t>A 90 yr old woman I know takes afatinib for treatment of NSCLC. She is exhausted just by getting up and getting dressed. Sometimes she doesn't even bother to dress (stays in nightgown). She does very little but eat and sleep pretty much all the time. Is this normal? Is it the cancer or treatment causing such extreme exhaustion?   She's been on this therapy for almost a year. Your input and experience is greatly appreciated in helping me understand.</t>
        </is>
      </c>
      <c r="D3653" t="n">
        <v>2</v>
      </c>
      <c r="E3653" t="n">
        <v>0</v>
      </c>
      <c r="F3653">
        <f>HYPERLINK("https://www.reddit.com/r/cancer/comments/cgdcmk/your_reaction_to_afatinib/")</f>
        <v/>
      </c>
      <c r="G3653" t="inlineStr">
        <is>
          <t>2019-07-22 06:41:32</t>
        </is>
      </c>
      <c r="H3653" t="inlineStr"/>
    </row>
    <row r="3654">
      <c r="A3654" t="inlineStr">
        <is>
          <t>cgdrcm</t>
        </is>
      </c>
      <c r="B3654" t="inlineStr">
        <is>
          <t>Avastin question</t>
        </is>
      </c>
      <c r="C3654" t="inlineStr">
        <is>
          <t>My dad is 70 with gbm and in the past few weeks he has been trending downward to the point he can barely talk and seems out it most of the time. He did radiation and chemo therapy but stopped the chemo about a month ago due to side effects. He can't really love but yesterday he was talking more when we bumped his steroids up to 10 mg. 
He is suppose to start avastin Tuesday but two family friends that are doctors told my mom they would not take it with his condition. My brother and me are not sure about that due to his improvement . They are afraid avastin is not worth the side effects and effect of quality of life.
I would appreciate some perspectives of people who have taken this drug or know someone who has.</t>
        </is>
      </c>
      <c r="D3654" t="n">
        <v>2</v>
      </c>
      <c r="E3654" t="n">
        <v>9</v>
      </c>
      <c r="F3654">
        <f>HYPERLINK("https://www.reddit.com/r/cancer/comments/cgdrcm/avastin_question/")</f>
        <v/>
      </c>
      <c r="G3654" t="inlineStr">
        <is>
          <t>2019-07-22 07:17:12</t>
        </is>
      </c>
      <c r="H3654" t="inlineStr"/>
    </row>
    <row r="3655">
      <c r="A3655" t="inlineStr">
        <is>
          <t>cgeja8</t>
        </is>
      </c>
      <c r="B3655" t="inlineStr">
        <is>
          <t>Just found out my step mom almost definitely has cancer</t>
        </is>
      </c>
      <c r="C3655" t="inlineStr">
        <is>
          <t>My dad called me last night to break the news. She has a mass in her esophagus, a partially collapsed lung, and it has spread into her lymph nodes. The doctor is almost certain it is cancer, but she goes in for a biopsy tomorrow. My dad said the way the doctors and nurses were acting... it doesn't look good.
They think it's probably esophageal cancer, which I made the mistake of looking into. With her symptoms, the prognosis isn't great. 
My dad is scared shitless. My step mom is terribly depressed. 
I don't know what to do, or say. I guess I just needed to post this somewhere, to people who understand. I am just hoping, really really hoping, that she can make it through this. But I am terrified. For her, for my dad, for their kids. I feel so helpless. And so guilty. 
Any advice on how to cope, especially with the specifics being unknown?</t>
        </is>
      </c>
      <c r="D3655" t="n">
        <v>6</v>
      </c>
      <c r="E3655" t="n">
        <v>4</v>
      </c>
      <c r="F3655">
        <f>HYPERLINK("https://www.reddit.com/r/cancer/comments/cgeja8/just_found_out_my_step_mom_almost_definitely_has/")</f>
        <v/>
      </c>
      <c r="G3655" t="inlineStr">
        <is>
          <t>2019-07-22 08:20:22</t>
        </is>
      </c>
      <c r="H3655" t="inlineStr"/>
    </row>
    <row r="3656">
      <c r="A3656" t="inlineStr">
        <is>
          <t>cgg1it</t>
        </is>
      </c>
      <c r="B3656" t="inlineStr">
        <is>
          <t>Patients and Caregivers: Favourite Foods and/or Recipes?</t>
        </is>
      </c>
      <c r="C3656" t="inlineStr">
        <is>
          <t>Hi friends!
In an attempt to try and lighten things up (and also sheer desperation to find things that don't upset my husband's stomach), I thought it would be a good idea to put out a call for your must have foods or recipes that get you through the thick of cancer treatment.  As each treatment affects each person differently, I don't want to limit this to specific chemo protocols.  I hope this will help other people in similar situations that I'm currently finding with my husband.  I will start and get the ball rolling:
When my husband was going through treatment in 2015 for colon cancer, he had to be on a low fibre diet as he wasn't having his tumor removal surgery right away and he was partially obstructed.  Additionally, he was on oxaliplatin so he was left with terrible cold sensitivity.  On infusion days, I would make up a bag of dumplings for dinner once we got home as it was quick and the food gave him no issues.  To combat his cold sensitivity, I was microwaving his bananas and Boost shakes for 10 seconds as anything room temperature was still too cold for him.  At the suggestion of the dietician at the cancer centre, I would make him power balls that had dates in them as a means to add some extra calories and just enough fibre to make him more comfortable while not aggravating his tumor.  
With his Ewing's treatment, he is currently on vincristine, doxorubicin, and cyclophosphamide.  This has left him nauseous, with little appetite, and a lot of his favourite foods don't currently appeal to him.  It's hard to find things to make that he will consistent eat but won't get sick of.  He has at least one boost shake a day but he isn't eating as much as he should.  Soups, whether it be good chicken noodle soup or instant ramen, seem to go down the easiest. In a pinch, if he's desperate, I can pick up chicken McNuggets and he'll eat a fair amount of those.  He can't survive on McDonalds alone, and it frustrates him when we both try to make him something and he finds he can't eat it.  I'm going to try and make him spatzel this week as it should be something that is easily digestible.</t>
        </is>
      </c>
      <c r="D3656" t="n">
        <v>4</v>
      </c>
      <c r="E3656" t="n">
        <v>8</v>
      </c>
      <c r="F3656">
        <f>HYPERLINK("https://www.reddit.com/r/cancer/comments/cgg1it/patients_and_caregivers_favourite_foods_andor/")</f>
        <v/>
      </c>
      <c r="G3656" t="inlineStr">
        <is>
          <t>2019-07-22 10:17:26</t>
        </is>
      </c>
      <c r="H3656" t="inlineStr"/>
    </row>
    <row r="3657">
      <c r="A3657" t="inlineStr">
        <is>
          <t>cggb6g</t>
        </is>
      </c>
      <c r="B3657" t="inlineStr">
        <is>
          <t>Sex drive/a healthy vagina after cancer and stem cell transplant</t>
        </is>
      </c>
      <c r="C3657" t="inlineStr">
        <is>
          <t>Hi gang,
I'm a 29 year old female. 3 months ago, I received an allogenic stem cell transplant in order to treat Acute Myeloid Leukemia (I went through 2 rounds of chemo previously to this). I am recovering EXTREMELY well (my doctors said I'm at the top 10% recovery-wise of all of their patients), and feel very fortunate for this.
&amp;amp;#x200B;
Unfortunately, I have a less-than-stellar sex drive. Will my labido return when I'm farther along on the healing process? I'm not sure if it's a physical side effect - it could very well be mental as well (reading articles about this exact problem hasn't exactly been helpful).
&amp;amp;#x200B;
Also, I'm not having vaginal discharge. Is this normal? I'm the skinniest I've been since high school (but I'm still in a healthy BMI range), so I don't know if it could be due to my body being at a lower body weight than its used to.
&amp;amp;#x200B;
Thanks y'all.</t>
        </is>
      </c>
      <c r="D3657" t="n">
        <v>15</v>
      </c>
      <c r="E3657" t="n">
        <v>5</v>
      </c>
      <c r="F3657">
        <f>HYPERLINK("https://www.reddit.com/r/cancer/comments/cggb6g/sex_drivea_healthy_vagina_after_cancer_and_stem/")</f>
        <v/>
      </c>
      <c r="G3657" t="inlineStr">
        <is>
          <t>2019-07-22 10:37:18</t>
        </is>
      </c>
      <c r="H3657" t="inlineStr"/>
    </row>
    <row r="3658">
      <c r="A3658" t="inlineStr">
        <is>
          <t>cgghyt</t>
        </is>
      </c>
      <c r="B3658" t="inlineStr">
        <is>
          <t>26 y/o male, asymmetrical wart appeared on top of a swollen lymph node today</t>
        </is>
      </c>
      <c r="C3658" t="inlineStr">
        <is>
          <t>So, I just set up an appointment with my doctor tomorrow morning, but I'm freaking out because I just found what looks like a melanoma spot smack dab on top of an infected lymph node on my groin.  It's dark brown, painless, uneven, and oozing blood and pus.  My lymph nodes have been flaring up for the past year off and on, and I didn't think anything of it because I showed no other symptoms and they'd go away after a couple days without getting very large.  This happened maybe three times.  So I'm in the shower and I realize: out of nowhere what seemed like a nearly none existent infection has swelled in the course of one night and has a big ol' mole on top of it that's already spitting out bodily fluids.  I'm not trying to be gross, but this is alarming.  I'm frankly terrified because it's melanoma that's appearing for the first time directly on top of a lymph node, which means it could have spread there from somewhere else or is about to.  Like I said, I'm going to see my doctor tomorrow morning.  How long does it take to figure out whether something like this is serious or not?   Is there any chance that a mole or wart that is dark brown and uneven can be something other than melanoma?  Or oozing?  Could it just be the result of a regular lymph node infection?</t>
        </is>
      </c>
      <c r="D3658" t="n">
        <v>0</v>
      </c>
      <c r="E3658" t="n">
        <v>1</v>
      </c>
      <c r="F3658">
        <f>HYPERLINK("https://www.reddit.com/r/cancer/comments/cgghyt/26_yo_male_asymmetrical_wart_appeared_on_top_of_a/")</f>
        <v/>
      </c>
      <c r="G3658" t="inlineStr">
        <is>
          <t>2019-07-22 10:51:46</t>
        </is>
      </c>
      <c r="H3658" t="inlineStr"/>
    </row>
    <row r="3659">
      <c r="A3659" t="inlineStr">
        <is>
          <t>cggjb0</t>
        </is>
      </c>
      <c r="B3659" t="inlineStr">
        <is>
          <t>Anyone have any knowledge on trials?</t>
        </is>
      </c>
      <c r="C3659" t="inlineStr">
        <is>
          <t>My mom is being sent to a different dr to explore the possibilities of a trail. Does anyone have any experience? Looking for any information at all to know what to expect from the upcoming apt this week. If they send you to the dr does that mean you already qualify?</t>
        </is>
      </c>
      <c r="D3659" t="n">
        <v>5</v>
      </c>
      <c r="E3659" t="n">
        <v>5</v>
      </c>
      <c r="F3659">
        <f>HYPERLINK("https://www.reddit.com/r/cancer/comments/cggjb0/anyone_have_any_knowledge_on_trials/")</f>
        <v/>
      </c>
      <c r="G3659" t="inlineStr">
        <is>
          <t>2019-07-22 10:54:46</t>
        </is>
      </c>
      <c r="H3659" t="inlineStr"/>
    </row>
    <row r="3660">
      <c r="A3660" t="inlineStr">
        <is>
          <t>cghc8l</t>
        </is>
      </c>
      <c r="B3660" t="inlineStr">
        <is>
          <t>Should I reschedule my checkup before or after vacation to deal with anxiety?</t>
        </is>
      </c>
      <c r="C3660" t="inlineStr">
        <is>
          <t>Hey all,
I'm just looking for some opinions before I make up my mind about what to do with my appointment. I'm a 26 year old thyroid cancer survivor diagnosed back in 2015. The year after diagnosis I went through some difficult surgeries and treatments, however, since then I've only needed to deal with checkups every six months.
I deal with a lot of anxiety surrounding these checkups, particularly with the blood work used to monitor my cancer levels; my levels have fallen since treatment, but never gotten to an undetectable level. While the trend has been going down, my last Tg measurement rose from 0.2 to 0.4; this is a tiny enough rise that it may very well just be normal variations between tests, however, I worry that my next blood work may show further rise, and I don't think I could take that news well.
My next checkup is scheduled for this coming September, when my girlfriend and I have scheduled a vacation to Spain! I'm looking forward to the trip, but I'm not sure what to do about rescheduling the checkup. If I do the checkup before the trip I'll get it out of the way and be able to fully enjoy the trip, however, if I find out that my cancer levels have risen again I worry that it'll have the reverse effect and ruin the trip. But if I do the checkup after the trip, I'm worried that I'll just worry about it the entire time I'm there...
Any advice is appreciated. I'm leaning towards rescheduling until after only because I know I don't deal with bad news well, and at this point no news is good news!</t>
        </is>
      </c>
      <c r="D3660" t="n">
        <v>4</v>
      </c>
      <c r="E3660" t="n">
        <v>4</v>
      </c>
      <c r="F3660">
        <f>HYPERLINK("https://www.reddit.com/r/cancer/comments/cghc8l/should_i_reschedule_my_checkup_before_or_after/")</f>
        <v/>
      </c>
      <c r="G3660" t="inlineStr">
        <is>
          <t>2019-07-22 11:56:03</t>
        </is>
      </c>
      <c r="H3660" t="inlineStr"/>
    </row>
    <row r="3661">
      <c r="A3661" t="inlineStr">
        <is>
          <t>cgibrf</t>
        </is>
      </c>
      <c r="B3661" t="inlineStr">
        <is>
          <t>Gift for my dad</t>
        </is>
      </c>
      <c r="C3661" t="inlineStr">
        <is>
          <t>My dad will be starting chemo at the end of the month. I currently live halfway across the world and want to send him something to cheer him up a bit and hopefully make him feel a bit better. Can you think of anything that made yourself or your loved ones feel better during such a hard time? 
Thanks guys!</t>
        </is>
      </c>
      <c r="D3661" t="n">
        <v>3</v>
      </c>
      <c r="E3661" t="n">
        <v>7</v>
      </c>
      <c r="F3661">
        <f>HYPERLINK("https://www.reddit.com/r/cancer/comments/cgibrf/gift_for_my_dad/")</f>
        <v/>
      </c>
      <c r="G3661" t="inlineStr">
        <is>
          <t>2019-07-22 13:12:28</t>
        </is>
      </c>
      <c r="H3661" t="inlineStr"/>
    </row>
    <row r="3662">
      <c r="A3662" t="inlineStr">
        <is>
          <t>cgicy9</t>
        </is>
      </c>
      <c r="B3662" t="inlineStr">
        <is>
          <t>Knee replacement</t>
        </is>
      </c>
      <c r="C3662" t="inlineStr">
        <is>
          <t>I go In for my knee replacement tomorrow wondering, just wondering what some user experiences are like</t>
        </is>
      </c>
      <c r="D3662" t="n">
        <v>3</v>
      </c>
      <c r="E3662" t="n">
        <v>2</v>
      </c>
      <c r="F3662">
        <f>HYPERLINK("https://www.reddit.com/r/cancer/comments/cgicy9/knee_replacement/")</f>
        <v/>
      </c>
      <c r="G3662" t="inlineStr">
        <is>
          <t>2019-07-22 13:14:59</t>
        </is>
      </c>
      <c r="H3662" t="inlineStr"/>
    </row>
    <row r="3663">
      <c r="A3663" t="inlineStr">
        <is>
          <t>cgidwn</t>
        </is>
      </c>
      <c r="B3663" t="inlineStr">
        <is>
          <t>Folfox</t>
        </is>
      </c>
      <c r="C3663" t="inlineStr">
        <is>
          <t>Anyone on this ? For how many cycles ? Can you share your experience ?</t>
        </is>
      </c>
      <c r="D3663" t="n">
        <v>3</v>
      </c>
      <c r="E3663" t="n">
        <v>14</v>
      </c>
      <c r="F3663">
        <f>HYPERLINK("https://www.reddit.com/r/cancer/comments/cgidwn/folfox/")</f>
        <v/>
      </c>
      <c r="G3663" t="inlineStr">
        <is>
          <t>2019-07-22 13:17:07</t>
        </is>
      </c>
      <c r="H3663" t="inlineStr"/>
    </row>
    <row r="3664">
      <c r="A3664" t="inlineStr">
        <is>
          <t>cgm2hh</t>
        </is>
      </c>
      <c r="B3664" t="inlineStr">
        <is>
          <t>I have a lump on the back of my head. [26 f]</t>
        </is>
      </c>
      <c r="C3664" t="inlineStr">
        <is>
          <t>Should I be worried, should I go get a diagnostic done? I just noticed it.</t>
        </is>
      </c>
      <c r="D3664" t="n">
        <v>0</v>
      </c>
      <c r="E3664" t="n">
        <v>1</v>
      </c>
      <c r="F3664">
        <f>HYPERLINK("https://www.reddit.com/r/cancer/comments/cgm2hh/i_have_a_lump_on_the_back_of_my_head_26_f/")</f>
        <v/>
      </c>
      <c r="G3664" t="inlineStr">
        <is>
          <t>2019-07-22 18:27:26</t>
        </is>
      </c>
      <c r="H3664" t="inlineStr"/>
    </row>
    <row r="3665">
      <c r="A3665" t="inlineStr">
        <is>
          <t>cgmg73</t>
        </is>
      </c>
      <c r="B3665" t="inlineStr">
        <is>
          <t>Today I peed without a million minutes of painful diarrhea🎉🎉</t>
        </is>
      </c>
      <c r="C3665" t="inlineStr">
        <is>
          <t>Today it is the little things. Goddamned treatment induced colitis. Swear it's almost worse than the cancer.</t>
        </is>
      </c>
      <c r="D3665" t="n">
        <v>102</v>
      </c>
      <c r="E3665" t="n">
        <v>29</v>
      </c>
      <c r="F3665">
        <f>HYPERLINK("https://www.reddit.com/r/cancer/comments/cgmg73/today_i_peed_without_a_million_minutes_of_painful/")</f>
        <v/>
      </c>
      <c r="G3665" t="inlineStr">
        <is>
          <t>2019-07-22 19:03:22</t>
        </is>
      </c>
      <c r="H3665" t="inlineStr"/>
    </row>
    <row r="3666">
      <c r="A3666" t="inlineStr">
        <is>
          <t>cgmmpk</t>
        </is>
      </c>
      <c r="B3666" t="inlineStr">
        <is>
          <t>Modern medicine in fighting cancer</t>
        </is>
      </c>
      <c r="C3666" t="inlineStr">
        <is>
          <t>I'm a 23 year old male who works in a diagnostic lab and am absolutley terrified of getting and having cancer. Nobody in my family has had it from both my father's side and mothers side if the family. My question is how effective is immunotherapy and chemotherapy in fighting cancer? and are there any new studies and trials that look promising to cure people from it?</t>
        </is>
      </c>
      <c r="D3666" t="n">
        <v>2</v>
      </c>
      <c r="E3666" t="n">
        <v>3</v>
      </c>
      <c r="F3666">
        <f>HYPERLINK("https://www.reddit.com/r/cancer/comments/cgmmpk/modern_medicine_in_fighting_cancer/")</f>
        <v/>
      </c>
      <c r="G3666" t="inlineStr">
        <is>
          <t>2019-07-22 19:20:56</t>
        </is>
      </c>
      <c r="H3666" t="inlineStr"/>
    </row>
    <row r="3667">
      <c r="A3667" t="inlineStr">
        <is>
          <t>cgmuhu</t>
        </is>
      </c>
      <c r="B3667" t="inlineStr">
        <is>
          <t>Questions and concerns about lymphoma diagnosis. Do I have reason to be hopeful?</t>
        </is>
      </c>
      <c r="C3667" t="inlineStr">
        <is>
          <t>My step dad is in his early 70’s. He has COPD so there was a concern that he would have trouble coming off the vent in the biopsy this morning. After a successful biopsy that was done to a 7cm tumor on his lungs, and an on site examination revealing it appears to be a type of lymphoma rather than the expected lung cancer I think everyone left feeling a lot more hopeful. Lymphoma has a higher survival rate than lung cancer so it seemed like a generally better diagnosis. 
I’ve been reading online about how substantially survival rates drop (like 40-50%) in people over 65. As the realist of the family, I’ve kept my concerns silent and just let everyone live on whatever level of hope is keeping them going right now. Are these concerns valid? Is this most likely the beginning of the end? Has anyone here over 65 beat lymphoma or known someone who has? 
The full biopsy results will reveal a lot more but sitting here with my mind spinning I figured what else can I do but pick some fellow redditors brains. 
Thanks for reading and to those who respond be it good or bad news.</t>
        </is>
      </c>
      <c r="D3667" t="n">
        <v>2</v>
      </c>
      <c r="E3667" t="n">
        <v>25</v>
      </c>
      <c r="F3667">
        <f>HYPERLINK("https://www.reddit.com/r/cancer/comments/cgmuhu/questions_and_concerns_about_lymphoma_diagnosis/")</f>
        <v/>
      </c>
      <c r="G3667" t="inlineStr">
        <is>
          <t>2019-07-22 19:41:24</t>
        </is>
      </c>
      <c r="H3667" t="inlineStr"/>
    </row>
    <row r="3668">
      <c r="A3668" t="inlineStr">
        <is>
          <t>cgmzn6</t>
        </is>
      </c>
      <c r="B3668" t="inlineStr">
        <is>
          <t>Stomach Cancer</t>
        </is>
      </c>
      <c r="C3668" t="inlineStr">
        <is>
          <t>Hello all,
So I recently found out that there is a chance that my girlfriend can have stomach cancer. She took a full health exam in Korea and they found out there is a chance and told her that her stress levels are wayyy to high and she needs to start eating healthier foods that are better for her stomach (?) 
Does anyone have any tips for things that I can do to lower her chances of getting cancer?</t>
        </is>
      </c>
      <c r="D3668" t="n">
        <v>2</v>
      </c>
      <c r="E3668" t="n">
        <v>3</v>
      </c>
      <c r="F3668">
        <f>HYPERLINK("https://www.reddit.com/r/cancer/comments/cgmzn6/stomach_cancer/")</f>
        <v/>
      </c>
      <c r="G3668" t="inlineStr">
        <is>
          <t>2019-07-22 19:55:32</t>
        </is>
      </c>
      <c r="H3668" t="inlineStr"/>
    </row>
    <row r="3669">
      <c r="A3669" t="inlineStr">
        <is>
          <t>cgo7p5</t>
        </is>
      </c>
      <c r="B3669" t="inlineStr">
        <is>
          <t>Super hope and sad</t>
        </is>
      </c>
      <c r="C3669" t="inlineStr">
        <is>
          <t>So my dad has been battling stage 4 cancer for 6 years -- yes, stage 4 sustained for 6 years. It's kind of crazy he has lived this long, but he has partially because he was an oncology researcher his whole life and turned himself into his last experiment and did a rockstar job along the way and helped a lot of genetics research and national testing standards for prostate cancer through this process. He's a scientific advisor for a national prostate cancer board and has personally helped a lot of people along the way get testing and better treatment. He's also contributed to BRCA+ research in the process, which impacts most living family members. He's very, seriously, obviously nearing the end at this point (likely less than a month, maybe less than two weeks). When he's cognizant, he's reading a book by the Dalai Lama. The other day he "woke up" but saw the Dalai Lama next to his bed, he held his hand, and told him everything would be good. We're both Catholic and it's still awesome. I've met the Pope a handful of times so I'm like "hey, why the Dalai Lama and not the Pope?" -- but I just am so grateful for kindness right now. Really grateful for it, the experience brought him a lot of peace. Kindness means so much and measures so deeply in our lives. Live kind. Live love. Really really. It's never too late to start being kind or at the least trying. Carry gratitude and it makes the rest of the load lighter. This whole process is excruciating for family, but most of all for those terminally ill saying goodbye to this entire world. But I completely trust there is more without pain beyond it, in neverending love. Pain makes us all short, and grumpy at times (understandably, reasonably) and well beyond that with that level of pain I cannot fully articulate here that so many with and caring for loved ones with cancer know. But love is greatest. Please pray for my dad and keep supporting and fighting or just chilling with the Dalai Lama or Jesus in your battles as needed.</t>
        </is>
      </c>
      <c r="D3669" t="n">
        <v>15</v>
      </c>
      <c r="E3669" t="n">
        <v>5</v>
      </c>
      <c r="F3669">
        <f>HYPERLINK("https://www.reddit.com/r/cancer/comments/cgo7p5/super_hope_and_sad/")</f>
        <v/>
      </c>
      <c r="G3669" t="inlineStr">
        <is>
          <t>2019-07-22 22:02:37</t>
        </is>
      </c>
      <c r="H3669" t="inlineStr"/>
    </row>
    <row r="3670">
      <c r="A3670" t="inlineStr">
        <is>
          <t>cgoe4p</t>
        </is>
      </c>
      <c r="B3670" t="inlineStr">
        <is>
          <t>So tired after surgery: How did you handle the inquiries?</t>
        </is>
      </c>
      <c r="C3670" t="inlineStr">
        <is>
          <t>I had a breast cancer surgery last week. I didn't think I'd be so exhausted but I am. The outpouring of support and concern has been genuine from friends, but now I'm hearing everyone's cancer stories whether they're about themselves or a relative.  Several want to know what's next, others want to come visit.
I'll find out what's next at my post-op checkup.  The saga continues, with either chemo and radiation or just radiation. I have a bunch of appointments this week and next. Still, I really don't feel up to answering questions, or reading their stories.   Would it be rude if I just gave them a thumbs up to their messages they send, and nothing more?</t>
        </is>
      </c>
      <c r="D3670" t="n">
        <v>7</v>
      </c>
      <c r="E3670" t="n">
        <v>3</v>
      </c>
      <c r="F3670">
        <f>HYPERLINK("https://www.reddit.com/r/cancer/comments/cgoe4p/so_tired_after_surgery_how_did_you_handle_the/")</f>
        <v/>
      </c>
      <c r="G3670" t="inlineStr">
        <is>
          <t>2019-07-22 22:22:22</t>
        </is>
      </c>
      <c r="H3670" t="inlineStr"/>
    </row>
    <row r="3671">
      <c r="A3671" t="inlineStr">
        <is>
          <t>cgp4cb</t>
        </is>
      </c>
      <c r="B3671" t="inlineStr">
        <is>
          <t>Find out on Wednesday.</t>
        </is>
      </c>
      <c r="C3671" t="inlineStr">
        <is>
          <t>I'll start off by saying that my issue pales in comparison to all of  you on here so I hope it is OK that I'm posting.
A got a potential melanoma removed last week and find out on Wednesday what it was. My doctor was very concerned as it displayed many of the signs of a melanoma (Abcde). I'm just really scared. I'm 29 and recently single and just feel worried. Any advice?</t>
        </is>
      </c>
      <c r="D3671" t="n">
        <v>5</v>
      </c>
      <c r="E3671" t="n">
        <v>7</v>
      </c>
      <c r="F3671">
        <f>HYPERLINK("https://www.reddit.com/r/cancer/comments/cgp4cb/find_out_on_wednesday/")</f>
        <v/>
      </c>
      <c r="G3671" t="inlineStr">
        <is>
          <t>2019-07-22 23:47:06</t>
        </is>
      </c>
      <c r="H3671" t="inlineStr"/>
    </row>
    <row r="3672">
      <c r="A3672" t="inlineStr">
        <is>
          <t>cgq75c</t>
        </is>
      </c>
      <c r="B3672" t="inlineStr">
        <is>
          <t>Desperate last-ditch attempts to survive for a relative of mine with AML and a few months left to live</t>
        </is>
      </c>
      <c r="C3672" t="inlineStr">
        <is>
          <t>Hi all, I have a 26 year old male relative with AML. He's been undergoing chemo for 2 years but it seems to have stopped working. His blast cells are 65% in the marrow and doctors told him he has a few months left to live. Since chemotherapy has stopped working, the hospitals just want to provide hospice care for now.
&amp;amp;#x200B;
Is there anything, ANYTHING he can do to have a chance at surviving this? Like any kind of promising experimental treatments? He doesn't just want to accept his fate like this and would try anything to have a chance at pulling through.</t>
        </is>
      </c>
      <c r="D3672" t="n">
        <v>9</v>
      </c>
      <c r="E3672" t="n">
        <v>6</v>
      </c>
      <c r="F3672">
        <f>HYPERLINK("https://www.reddit.com/r/cancer/comments/cgq75c/desperate_lastditch_attempts_to_survive_for_a/")</f>
        <v/>
      </c>
      <c r="G3672" t="inlineStr">
        <is>
          <t>2019-07-23 02:07:59</t>
        </is>
      </c>
      <c r="H3672" t="inlineStr"/>
    </row>
    <row r="3673">
      <c r="A3673" t="inlineStr">
        <is>
          <t>cgqf5t</t>
        </is>
      </c>
      <c r="B3673" t="inlineStr">
        <is>
          <t>Stronger than before (song)</t>
        </is>
      </c>
      <c r="C3673" t="inlineStr">
        <is>
          <t>Hey guys,
Someone I know collaborated with the German DKMS (bone marrow donation registry) and a bunch of survivors / patients and released a song for those affected by cancer and the treatment of it.
Whatever the song creates in revenue goes back to helping others deal with their struggles.
Anyway, it's a nice song and I think it's a noble cause. I am sure it will help one or another deal just a little bit better with what they're faced.
https://youtu.be/Y7RoukXGQPk
Credits go to Sarah Muldoon and Graham candy as the artists.
Best regards!</t>
        </is>
      </c>
      <c r="D3673" t="n">
        <v>1</v>
      </c>
      <c r="E3673" t="n">
        <v>0</v>
      </c>
      <c r="F3673">
        <f>HYPERLINK("https://www.reddit.com/r/cancer/comments/cgqf5t/stronger_than_before_song/")</f>
        <v/>
      </c>
      <c r="G3673" t="inlineStr">
        <is>
          <t>2019-07-23 02:35:27</t>
        </is>
      </c>
      <c r="H3673" t="inlineStr"/>
    </row>
    <row r="3674">
      <c r="A3674" t="inlineStr">
        <is>
          <t>cgqq4j</t>
        </is>
      </c>
      <c r="B3674" t="inlineStr">
        <is>
          <t>After 2.5 years, mum lost her battle with cancer this morning at age 47.</t>
        </is>
      </c>
      <c r="C3674" t="inlineStr">
        <is>
          <t>I'm not really sure what happens from here. I'm still in shock and a little afraid of the full force of it hitting me. I don't really know how to keep going, but I guess I really don't have a choice.
I want to thank this community for the love they've given in the past right when I needed it. I look forward to one day being able to offer similar love and support.
xo</t>
        </is>
      </c>
      <c r="D3674" t="n">
        <v>21</v>
      </c>
      <c r="E3674" t="n">
        <v>6</v>
      </c>
      <c r="F3674">
        <f>HYPERLINK("https://www.reddit.com/r/cancer/comments/cgqq4j/after_25_years_mum_lost_her_battle_with_cancer/")</f>
        <v/>
      </c>
      <c r="G3674" t="inlineStr">
        <is>
          <t>2019-07-23 03:11:33</t>
        </is>
      </c>
      <c r="H3674" t="inlineStr"/>
    </row>
    <row r="3675">
      <c r="A3675" t="inlineStr">
        <is>
          <t>cgrasq</t>
        </is>
      </c>
      <c r="B3675" t="inlineStr">
        <is>
          <t>Has treatment permanently ruined my bones</t>
        </is>
      </c>
      <c r="C3675" t="inlineStr">
        <is>
          <t>I need an honest opinion I’m 14 and I got lukemia when I was 11 I’m finishing treatment in 2 weeks but I’m worried no matter how hard I try to workout or anything I will never be able to be good at stuff I like climbing I climb trees but I’m not as good as my friends could I ever be better then them I always worry what they think they might think I’m a weak idiot</t>
        </is>
      </c>
      <c r="D3675" t="n">
        <v>2</v>
      </c>
      <c r="E3675" t="n">
        <v>9</v>
      </c>
      <c r="F3675">
        <f>HYPERLINK("https://www.reddit.com/r/cancer/comments/cgrasq/has_treatment_permanently_ruined_my_bones/")</f>
        <v/>
      </c>
      <c r="G3675" t="inlineStr">
        <is>
          <t>2019-07-23 04:17:43</t>
        </is>
      </c>
      <c r="H3675" t="inlineStr"/>
    </row>
    <row r="3676">
      <c r="A3676" t="inlineStr">
        <is>
          <t>cgrryu</t>
        </is>
      </c>
      <c r="B3676" t="inlineStr">
        <is>
          <t>Cancer and Insurance</t>
        </is>
      </c>
      <c r="C3676" t="inlineStr">
        <is>
          <t>My mom found out Friday that she has two masses in both her lunch and a mass on her liver. This indicates she most likely has stage 4 cancer and was referred to MD Anderson. She currently has Aetna through her job and my Dad recently switched jobs so his coverage wont kick in until 9/1/19 but he makes around 70k a yr. She was told her insurance won't cover treatment if she does get diagnosed. She does has secondary with Aflac which covers short term and long term disability along with critical illness. At this point, what do I do about insurance? Where do I start? TIA</t>
        </is>
      </c>
      <c r="D3676" t="n">
        <v>1</v>
      </c>
      <c r="E3676" t="n">
        <v>0</v>
      </c>
      <c r="F3676">
        <f>HYPERLINK("https://www.reddit.com/r/cancer/comments/cgrryu/cancer_and_insurance/")</f>
        <v/>
      </c>
      <c r="G3676" t="inlineStr">
        <is>
          <t>2019-07-23 05:08:20</t>
        </is>
      </c>
      <c r="H3676" t="inlineStr"/>
    </row>
    <row r="3677">
      <c r="A3677" t="inlineStr">
        <is>
          <t>cgsqg4</t>
        </is>
      </c>
      <c r="B3677" t="inlineStr">
        <is>
          <t>Does the worrying ever stop? (No evidence of disease in spouse for nearly 2 years now)</t>
        </is>
      </c>
      <c r="C3677" t="inlineStr">
        <is>
          <t>Hey, folks.  My wife was diagnosed in February 2017 with Stage IV colon cancer, with metastasis to the lymphatic system and liver.  She underwent surgeries in March of 2017, radiation treatment and oral chemotherapy in May through July (June?) of 2017, and I/V chemotherapy from July through November of 2017.  Since then, she has been categorized as "no evidence of disease" at every appointment.  She has had bloodwork, scans, colonoscopies, etc. that have all came back perfect positive, but I still can't stop worrying.
Someone, somewhere along the way cited some "10% chance of 5 year survival" stat at us (I don't even know if that's correct), and it's all I can think about.  "She's fine today, but in 30 months...?" and it makes me a wreck.  I can't get excited over all the positives, because I just see that great big statistical negative at the end.  And it doesn't help that the doctor told us not to use the words "remission" or "cured" because of recurrence rates, to always use the words "no evidence of disease."
I have always been a statistics guy.  I understand that they're solid data, but they're not without error.  They don't take into consideration the fact that most people diagnosed with colon cancer are already reaching the end of their natural human lifespan, while my wife was barely 27 when she was diagnosed; they don't take into consideration all the people who die in car accidents, or murders, or other natural causes;  it's just raw data.  But I still can't stop worrying.
Does that worry ever go away?</t>
        </is>
      </c>
      <c r="D3677" t="n">
        <v>3</v>
      </c>
      <c r="E3677" t="n">
        <v>3</v>
      </c>
      <c r="F3677">
        <f>HYPERLINK("https://www.reddit.com/r/cancer/comments/cgsqg4/does_the_worrying_ever_stop_no_evidence_of/")</f>
        <v/>
      </c>
      <c r="G3677" t="inlineStr">
        <is>
          <t>2019-07-23 06:39:29</t>
        </is>
      </c>
      <c r="H3677" t="inlineStr"/>
    </row>
    <row r="3678">
      <c r="A3678" t="inlineStr">
        <is>
          <t>cgss2j</t>
        </is>
      </c>
      <c r="B3678" t="inlineStr">
        <is>
          <t>Stage 4 High Grade Papillary Serous Carcinoma</t>
        </is>
      </c>
      <c r="C3678" t="inlineStr">
        <is>
          <t>My mom, 76 yr, was diagnosed with localized tumor in uterus in May and was planned for radical hysterectomy, but when they opened up the disease has spread to her abdomen and as such they closed it back up without any excision. 
Now she’s barely recovered from surgery and chemo for 18 weeks  (carboplatin + paclitaxel) appears to be the only solution to stop the spread, it’s incurable. Without treatment they’re predicting a median of 3-6 months, with treatment anywhere from 6-12 months.
Knowing the timelines, we’re finding it difficult to decide on way forward, push her towards treatment which comes with more pain and complications or continue this quality of life as much as possible. She’s already gone through a lot and it hurts to see her crumble day by day.
Just wanted to gain your wisdom and perspectives on what would you do, any thoughts would be greatly appreciated. We’ve also looked at immunotherapy, unfortunately testing it came negative. We haven’t discussed time lines with mom, knowing her she wouldn’t be able to handle. That said, she would try the treatment in the hopes that it would cure. Thank you. 🙏🏼</t>
        </is>
      </c>
      <c r="D3678" t="n">
        <v>2</v>
      </c>
      <c r="E3678" t="n">
        <v>3</v>
      </c>
      <c r="F3678">
        <f>HYPERLINK("https://www.reddit.com/r/cancer/comments/cgss2j/stage_4_high_grade_papillary_serous_carcinoma/")</f>
        <v/>
      </c>
      <c r="G3678" t="inlineStr">
        <is>
          <t>2019-07-23 06:43:23</t>
        </is>
      </c>
      <c r="H3678" t="inlineStr"/>
    </row>
    <row r="3679">
      <c r="A3679" t="inlineStr">
        <is>
          <t>cgste3</t>
        </is>
      </c>
      <c r="B3679" t="inlineStr">
        <is>
          <t>What are the most common signs of Lymphoma?</t>
        </is>
      </c>
      <c r="C3679" t="inlineStr">
        <is>
          <t>My doc had put her hands around my through/neck to check my lymph nodes a while back after I had a pretty bad cold, she said they were swollen because of post nasal drip, and I always have this lumpy feeling in my throat that shifts from side to side occassionally, she said it was caused by post nasal drip but i've been taking avamys for about 2 months now and I've noticed a minor improvement, but the feeling is still there and I'm starting to get worried, it's been since the beginning of May, although it hasn't gotten worse at least, I'm at the point where i just feel like asking them to send me for a scan?</t>
        </is>
      </c>
      <c r="D3679" t="n">
        <v>0</v>
      </c>
      <c r="E3679" t="n">
        <v>2</v>
      </c>
      <c r="F3679">
        <f>HYPERLINK("https://www.reddit.com/r/cancer/comments/cgste3/what_are_the_most_common_signs_of_lymphoma/")</f>
        <v/>
      </c>
      <c r="G3679" t="inlineStr">
        <is>
          <t>2019-07-23 06:46:44</t>
        </is>
      </c>
      <c r="H3679" t="inlineStr"/>
    </row>
    <row r="3680">
      <c r="A3680" t="inlineStr">
        <is>
          <t>cgta1p</t>
        </is>
      </c>
      <c r="B3680" t="inlineStr">
        <is>
          <t>16 year old worried about having cancer</t>
        </is>
      </c>
      <c r="C3680" t="inlineStr">
        <is>
          <t>So i started having symptoms about august of last year mainly anxiety like symptoms couldnt breath  or anything now my symptoms are i have a lump on the bottom left of my abdomen and now i have back pain really bad when sitting down ive been to the doctors 4 or 5 times once in august September and october most recent was in march and every time they've told me to lose weight but theres no way weight is the cause of a lump and mild back pain and all i can think of is cancer and also i've been thinking its just a hernia but a hernia doesnt usually happen where my lump is heres all my symptoms most of them arent as bad as they were back then but i use to have blood in stool back pain the lump and wounds that dont heal right the symptoms i still have are back pain a lump and wound healing problem ive gotten a liver kidney function blood test results were fine and ive gotten a cbc also came back fine so should i be as worried as i am or listen to the highly trained professional aka my doctor pls respond and if it is cancer im scared its too late since its been almost a year</t>
        </is>
      </c>
      <c r="D3680" t="n">
        <v>0</v>
      </c>
      <c r="E3680" t="n">
        <v>4</v>
      </c>
      <c r="F3680">
        <f>HYPERLINK("https://www.reddit.com/r/cancer/comments/cgta1p/16_year_old_worried_about_having_cancer/")</f>
        <v/>
      </c>
      <c r="G3680" t="inlineStr">
        <is>
          <t>2019-07-23 07:26:37</t>
        </is>
      </c>
      <c r="H3680" t="inlineStr"/>
    </row>
    <row r="3681">
      <c r="A3681" t="inlineStr">
        <is>
          <t>cgtdh1</t>
        </is>
      </c>
      <c r="B3681" t="inlineStr">
        <is>
          <t>Leaving now for colon cancer surgery</t>
        </is>
      </c>
      <c r="C3681" t="inlineStr">
        <is>
          <t>Supposed to take 4 to 6 hours and will be in the hospital 5 to 6 days. I love you all, wish me luck and send a prayer if you have a moment.
God bless you all. Keep fighting.</t>
        </is>
      </c>
      <c r="D3681" t="n">
        <v>119</v>
      </c>
      <c r="E3681" t="n">
        <v>57</v>
      </c>
      <c r="F3681">
        <f>HYPERLINK("https://www.reddit.com/r/cancer/comments/cgtdh1/leaving_now_for_colon_cancer_surgery/")</f>
        <v/>
      </c>
      <c r="G3681" t="inlineStr">
        <is>
          <t>2019-07-23 07:34:31</t>
        </is>
      </c>
      <c r="H3681" t="inlineStr"/>
    </row>
    <row r="3682">
      <c r="A3682" t="inlineStr">
        <is>
          <t>cgtj0z</t>
        </is>
      </c>
      <c r="B3682" t="inlineStr">
        <is>
          <t>How likely am I to develop cancer</t>
        </is>
      </c>
      <c r="C3682" t="inlineStr">
        <is>
          <t xml:space="preserve"> 4 people from my grandpa's side of the family died of cancer but he never got it.
My mother's side of the family were very healthy, and so was my grandma's side
How likely is it that I will develop cancer too at some point. I'm 20. Healthy weight and I got a pretty active lifestyle and in trying to have a healthy diet.</t>
        </is>
      </c>
      <c r="D3682" t="n">
        <v>1</v>
      </c>
      <c r="E3682" t="n">
        <v>0</v>
      </c>
      <c r="F3682">
        <f>HYPERLINK("https://www.reddit.com/r/cancer/comments/cgtj0z/how_likely_am_i_to_develop_cancer/")</f>
        <v/>
      </c>
      <c r="G3682" t="inlineStr">
        <is>
          <t>2019-07-23 07:47:24</t>
        </is>
      </c>
      <c r="H3682" t="inlineStr"/>
    </row>
    <row r="3683">
      <c r="A3683" t="inlineStr">
        <is>
          <t>cgtn0t</t>
        </is>
      </c>
      <c r="B3683" t="inlineStr">
        <is>
          <t>Advice needed on Bowel, Lung and Liver cancer</t>
        </is>
      </c>
      <c r="C3683" t="inlineStr">
        <is>
          <t>My uncle (76) was recently diagnosed with Lung and Liver cancer after a blood test. They told him they would do chemo but when they did a biopsy they said it had also spread to his bowel. 
He seemed to go downhill fast and was admitted to hospital which he hated. So they have sent him home in a hospital bed to do palliative care with Carers coming in daily.
He’s very jaundice and sleepy off the meds but he’s completely himself in his personality. He is fighting and I’m wondering is this the end? Is there nothing we can do anything alternative? I bought him a cbt vape cause he found it hard giving smoking up when he was diagnosed.</t>
        </is>
      </c>
      <c r="D3683" t="n">
        <v>2</v>
      </c>
      <c r="E3683" t="n">
        <v>1</v>
      </c>
      <c r="F3683">
        <f>HYPERLINK("https://www.reddit.com/r/cancer/comments/cgtn0t/advice_needed_on_bowel_lung_and_liver_cancer/")</f>
        <v/>
      </c>
      <c r="G3683" t="inlineStr">
        <is>
          <t>2019-07-23 07:56:07</t>
        </is>
      </c>
      <c r="H3683" t="inlineStr"/>
    </row>
    <row r="3684">
      <c r="A3684" t="inlineStr">
        <is>
          <t>cgv2o7</t>
        </is>
      </c>
      <c r="B3684" t="inlineStr">
        <is>
          <t>I have a laparotomy scheduled for July 30 to remove two growths on my ovaries</t>
        </is>
      </c>
      <c r="C3684" t="inlineStr">
        <is>
          <t>I'm only 20, but just this last week I've been going through the most. I've been in extreme pain in my abdomen but quite honestly it feels as if the pain has spread everywhere. I can no longer eat without pain, I become full so quickly. Using the restroom has proven to be more difficult than ever before. I also have been abnormally bleeding for over three weeks now.
When I finally got an ultrasound and some blood tests, my results showed that I have 2 abnormal, lumpy growths on my ovaries. (One on each. Both 5cms) The tests also show that I have over 380 cancer antigens in my blood stream. The doctors say it's rare for someone as young as me to be diagnosed with ovarian cancer; however, they scheduled the surgery as soon as possible because they are worried that if it has spread to other organs.
I have never been this fatigued before, I feel like a walking zombie. I'm very nervous and I feel quite alone in this. I've only had surgery once before during a time in the hospital when I was 6years old and I had a "virus" that the doctors were unable to determine what exactly it was but... yeah sorry If I'm not making sense with my run on sentences I just feel like I'm losing my mind waiting for answers. Has anyone had this procedure done before? What should I expect from a laparotomy? :(</t>
        </is>
      </c>
      <c r="D3684" t="n">
        <v>3</v>
      </c>
      <c r="E3684" t="n">
        <v>2</v>
      </c>
      <c r="F3684">
        <f>HYPERLINK("https://www.reddit.com/r/cancer/comments/cgv2o7/i_have_a_laparotomy_scheduled_for_july_30_to/")</f>
        <v/>
      </c>
      <c r="G3684" t="inlineStr">
        <is>
          <t>2019-07-23 09:46:42</t>
        </is>
      </c>
      <c r="H3684" t="inlineStr"/>
    </row>
    <row r="3685">
      <c r="A3685" t="inlineStr">
        <is>
          <t>cgvou3</t>
        </is>
      </c>
      <c r="B3685" t="inlineStr">
        <is>
          <t>Intimacy during cancer treatment</t>
        </is>
      </c>
      <c r="C3685" t="inlineStr">
        <is>
          <t>So it’s pretty dumb to be honest and if I could go back, I’d tell myself to not be so in-the-moment and be more responsible but what’s done is done.
I had withdrawal/pull out sex with my partner who’s undergoing cancer treatment (radiotherapy &amp;amp; chemotherapy). The good thing is I take birth control pills, the bad thing is we didn’t use condoms :( I know it’s kinda dumb but I only see him once a week and most of the time, it’s only for a meal with him (since we live far apart and his family’s taking care of him right now, also coupled with the fact that he has daily treatments).
Anyway, I did some research after we’ve already done the deed but unfortunately, this didn’t really calm me down at all since it was more generalized findings rather than personal accounts. That’s what I’m kinda hoping to get from this right now. People who’ve been intimate with their partner during cancer treatment, how did it fare in the long run? Would really appreciate some sharing. Also, yes, I will not do this again. Thank you so much in advance</t>
        </is>
      </c>
      <c r="D3685" t="n">
        <v>3</v>
      </c>
      <c r="E3685" t="n">
        <v>4</v>
      </c>
      <c r="F3685">
        <f>HYPERLINK("https://www.reddit.com/r/cancer/comments/cgvou3/intimacy_during_cancer_treatment/")</f>
        <v/>
      </c>
      <c r="G3685" t="inlineStr">
        <is>
          <t>2019-07-23 10:32:22</t>
        </is>
      </c>
      <c r="H3685" t="inlineStr"/>
    </row>
    <row r="3686">
      <c r="A3686" t="inlineStr">
        <is>
          <t>cgw7i9</t>
        </is>
      </c>
      <c r="B3686" t="inlineStr">
        <is>
          <t>Needing Advice!</t>
        </is>
      </c>
      <c r="C3686" t="inlineStr">
        <is>
          <t>I am hoping to gain some insight on how I can support and help my friend. What should I say what can I do kind of stuff. 
I will preface this by saying I’m not sure where to start or even how much is appropriate to say but in order for any one who reads this to grasp the magnitude of what is going on I think I will have to share some personal details that aren’t really mine to share. Sorry in advance. 
My best friend is 26 and a mother of two children ages 3 and 5. She is currently going through a divorce, selling a house and trying to figure out what’s next.  After a hospital stay and her current 5 weeks of recovery she will be terminated from her job because she is not eligible for any more time off including a leave of absence. Since she has been recovering from surgery she got back the pathology report and has been diagnosed with a very rare cancer that has a short outlook(based off the little information found by looking it up). She is due to travel to a hospital more equipped for rare cancers at the end of this month. 
The last couple of days she has been saying alarming things about death and ending her life. She is at the lowest of lows and I feel helpless. I love her so much and I hate that all of this is happening to her. Please help!</t>
        </is>
      </c>
      <c r="D3686" t="n">
        <v>4</v>
      </c>
      <c r="E3686" t="n">
        <v>3</v>
      </c>
      <c r="F3686">
        <f>HYPERLINK("https://www.reddit.com/r/cancer/comments/cgw7i9/needing_advice/")</f>
        <v/>
      </c>
      <c r="G3686" t="inlineStr">
        <is>
          <t>2019-07-23 11:11:33</t>
        </is>
      </c>
      <c r="H3686" t="inlineStr"/>
    </row>
    <row r="3687">
      <c r="A3687" t="inlineStr">
        <is>
          <t>cgwc7s</t>
        </is>
      </c>
      <c r="B3687" t="inlineStr">
        <is>
          <t>What is the most likely cause of death if you have pancreatic cancer?</t>
        </is>
      </c>
      <c r="C3687" t="inlineStr">
        <is>
          <t>I’m guessing it will must likely spread into your liver or kidneys and you will die of liver failure</t>
        </is>
      </c>
      <c r="D3687" t="n">
        <v>1</v>
      </c>
      <c r="E3687" t="n">
        <v>0</v>
      </c>
      <c r="F3687">
        <f>HYPERLINK("https://www.reddit.com/r/cancer/comments/cgwc7s/what_is_the_most_likely_cause_of_death_if_you/")</f>
        <v/>
      </c>
      <c r="G3687" t="inlineStr">
        <is>
          <t>2019-07-23 11:21:28</t>
        </is>
      </c>
      <c r="H3687" t="inlineStr"/>
    </row>
    <row r="3688">
      <c r="A3688" t="inlineStr">
        <is>
          <t>cgzm0s</t>
        </is>
      </c>
      <c r="B3688" t="inlineStr">
        <is>
          <t>Any cancer patients who smoke?</t>
        </is>
      </c>
      <c r="C3688" t="inlineStr">
        <is>
          <t>My mom has always been an intermittent smoker, stopping completely then starting up again every 6 months to a year. 
Usually her habit flares up when things get stressful, and she had started smoking again since her cancer diagnosis.
I'm just curious to see if any other cancer patients smoke at all? I'm also curious if there are cancer patients smoking e-cigarettes?
I kind of want to get her to switch to a juul since it smells way better and doesn't give off the second hand smoke of tobacco cigarettes.</t>
        </is>
      </c>
      <c r="D3688" t="n">
        <v>3</v>
      </c>
      <c r="E3688" t="n">
        <v>24</v>
      </c>
      <c r="F3688">
        <f>HYPERLINK("https://www.reddit.com/r/cancer/comments/cgzm0s/any_cancer_patients_who_smoke/")</f>
        <v/>
      </c>
      <c r="G3688" t="inlineStr">
        <is>
          <t>2019-07-23 15:35:56</t>
        </is>
      </c>
      <c r="H3688" t="inlineStr"/>
    </row>
    <row r="3689">
      <c r="A3689" t="inlineStr">
        <is>
          <t>cgzvji</t>
        </is>
      </c>
      <c r="B3689" t="inlineStr">
        <is>
          <t>I'm not sure if this fits here...</t>
        </is>
      </c>
      <c r="C3689" t="inlineStr">
        <is>
          <t>I recently went to the Dr. as my thyroid was swollen and tender to the touch. This was about 2 weeks ago. After some blood panels, the Dr. said everything appears "normal" (white blood cell count, and a few others) but my inflammation count was high. 
This he said was obviously due to the currently inflamed thyroid/lymph nodes in my neck. But, he also now wants to schedule me for Head, Neck, Chest, and Pelvic CT Scans in a week.
So I begin a regimen of Duexis(ibuprofen and famotidine). After a few days the swelling goes down and pain goes away. The CT is still scheduled. 
Today is the day of my CT Scans. I've had them completed and received my results. According to the Nurse who called me nothing stands out anywhere except my neck. 
She then went on to say that I have multiple lymph nodes in my neck and they don't appear to be malignant. But, I'm scheduled to come in tomorrow for another CBC(?) blood test. She also says that they're going to refer me to an oncologist/hematologist in town. 
Depending on results she says the Doctor may not refer me at all. 
This isn't a post asking for the opinion of whether or not I have Cancer. I am just so scared right now and I have no idea where to turn or who to talk to about this. Everyone is telling me to just wait for results or go get a second opinion. 
Right now, I'm just terrified. I want to shut down and hide. I'm sorry for ranting and if this is the wrong sub. I don't mean to offend anyone. 
I'm a 28 year old Father of 4. 3 beautiful daughters (9,7,6) and an amazing boy (3).
I'm too young for this. Everyone is too young for this. I'm freaking out and I can't quit crying.
I'm sorry again. Thanks for reading if you've made it this far.</t>
        </is>
      </c>
      <c r="D3689" t="n">
        <v>3</v>
      </c>
      <c r="E3689" t="n">
        <v>3</v>
      </c>
      <c r="F3689">
        <f>HYPERLINK("https://www.reddit.com/r/cancer/comments/cgzvji/im_not_sure_if_this_fits_here/")</f>
        <v/>
      </c>
      <c r="G3689" t="inlineStr">
        <is>
          <t>2019-07-23 15:58:20</t>
        </is>
      </c>
      <c r="H3689" t="inlineStr"/>
    </row>
    <row r="3690">
      <c r="A3690" t="inlineStr">
        <is>
          <t>ch08qx</t>
        </is>
      </c>
      <c r="B3690" t="inlineStr">
        <is>
          <t>Just got home from a 32 day hospital stay. Phew!</t>
        </is>
      </c>
      <c r="C3690" t="inlineStr">
        <is>
          <t>Included crazy periods of delusion (think, 'the world is ending! aliens are coming! my nurse is trying to kill me!) brought on by severe adverse reaction to my seizure meds, and massive swelling of my feet (think lymphodema) caused by lying or being restrained to my bed because of my periods of delusion.  
it's a tough road folks. Sometimes pretty far from you expect.   
Hang in there.</t>
        </is>
      </c>
      <c r="D3690" t="n">
        <v>58</v>
      </c>
      <c r="E3690" t="n">
        <v>16</v>
      </c>
      <c r="F3690">
        <f>HYPERLINK("https://www.reddit.com/r/cancer/comments/ch08qx/just_got_home_from_a_32_day_hospital_stay_phew/")</f>
        <v/>
      </c>
      <c r="G3690" t="inlineStr">
        <is>
          <t>2019-07-23 16:29:54</t>
        </is>
      </c>
      <c r="H3690" t="inlineStr"/>
    </row>
    <row r="3691">
      <c r="A3691" t="inlineStr">
        <is>
          <t>ch09pc</t>
        </is>
      </c>
      <c r="B3691" t="inlineStr">
        <is>
          <t>Let's talk about PRRT(Peptide receptor radionuclide therapy)</t>
        </is>
      </c>
      <c r="C3691" t="inlineStr">
        <is>
          <t>My mom went through her first ever treatment of PRRT for NET of the liver. It got me thinking about others who are going through the same thing. What are your experiences? What is life like after treatment? How did you handle the symptoms of radiation? Any good recipes that are easy to digest? Any advice is helpful and appreciated.</t>
        </is>
      </c>
      <c r="D3691" t="n">
        <v>3</v>
      </c>
      <c r="E3691" t="n">
        <v>0</v>
      </c>
      <c r="F3691">
        <f>HYPERLINK("https://www.reddit.com/r/cancer/comments/ch09pc/lets_talk_about_prrtpeptide_receptor_radionuclide/")</f>
        <v/>
      </c>
      <c r="G3691" t="inlineStr">
        <is>
          <t>2019-07-23 16:32:17</t>
        </is>
      </c>
      <c r="H3691" t="inlineStr"/>
    </row>
    <row r="3692">
      <c r="A3692" t="inlineStr">
        <is>
          <t>ch0i1p</t>
        </is>
      </c>
      <c r="B3692" t="inlineStr">
        <is>
          <t>All you cancer NIGGERS are week as fuck betas</t>
        </is>
      </c>
      <c r="C3692" t="inlineStr">
        <is>
          <t>imagine letting yourself develop a tumor
Be more alpha</t>
        </is>
      </c>
      <c r="D3692" t="n">
        <v>1</v>
      </c>
      <c r="E3692" t="n">
        <v>2</v>
      </c>
      <c r="F3692">
        <f>HYPERLINK("https://www.reddit.com/r/cancer/comments/ch0i1p/all_you_cancer_niggers_are_week_as_fuck_betas/")</f>
        <v/>
      </c>
      <c r="G3692" t="inlineStr">
        <is>
          <t>2019-07-23 16:52:48</t>
        </is>
      </c>
      <c r="H3692" t="inlineStr"/>
    </row>
    <row r="3693">
      <c r="A3693" t="inlineStr">
        <is>
          <t>ch0i2e</t>
        </is>
      </c>
      <c r="B3693" t="inlineStr">
        <is>
          <t>Immunotherapy</t>
        </is>
      </c>
      <c r="C3693" t="inlineStr">
        <is>
          <t>My wife (21yo, 3rd occurrence of ph+ b-cell lymphoblastic lymphoma, had a bone marrow transplant 8 years ago to treat the second occurrence) has just been approved for a relatively new immunotherapy. And costs aside, we could not be happier. Her treatment was going to be an intense 3 years and we were expecting an unfavorable outcome, now there’s a good chance of a cure by the end of the year. 
It’s going to be a process getting everything sorted, but we should be ready for the infusion in late September/early October. She needs one more in-depth evaluation which should happen some time in the next month, then it takes a few weeks for the cells to grow, and then hopefully everything will be good to go.</t>
        </is>
      </c>
      <c r="D3693" t="n">
        <v>1</v>
      </c>
      <c r="E3693" t="n">
        <v>0</v>
      </c>
      <c r="F3693">
        <f>HYPERLINK("https://www.reddit.com/r/cancer/comments/ch0i2e/immunotherapy/")</f>
        <v/>
      </c>
      <c r="G3693" t="inlineStr">
        <is>
          <t>2019-07-23 16:52:51</t>
        </is>
      </c>
      <c r="H3693" t="inlineStr"/>
    </row>
    <row r="3694">
      <c r="A3694" t="inlineStr">
        <is>
          <t>ch0xpa</t>
        </is>
      </c>
      <c r="B3694" t="inlineStr">
        <is>
          <t>Antinausea drugs</t>
        </is>
      </c>
      <c r="C3694" t="inlineStr">
        <is>
          <t>Please share what your best RX and OTC drugs for nausea and stomach upset have been.
Also, has anyone used medical marijuana to any success to curb nausea or increase appetite? If so was there a strain you used?
Hope I'm asking the right questions about all of this but loved one is going for round 2 of chemo on Friday and it's looking like hospital is giving the boot soon.
Thank you.</t>
        </is>
      </c>
      <c r="D3694" t="n">
        <v>4</v>
      </c>
      <c r="E3694" t="n">
        <v>25</v>
      </c>
      <c r="F3694">
        <f>HYPERLINK("https://www.reddit.com/r/cancer/comments/ch0xpa/antinausea_drugs/")</f>
        <v/>
      </c>
      <c r="G3694" t="inlineStr">
        <is>
          <t>2019-07-23 17:31:54</t>
        </is>
      </c>
      <c r="H3694" t="inlineStr"/>
    </row>
    <row r="3695">
      <c r="A3695" t="inlineStr">
        <is>
          <t>ch1lsa</t>
        </is>
      </c>
      <c r="B3695" t="inlineStr">
        <is>
          <t>Anxiety over diagnosis</t>
        </is>
      </c>
      <c r="C3695" t="inlineStr">
        <is>
          <t>I recently got diagnosed with cervical cancer and am having panic attacks every day.  Any tips on how to deal?</t>
        </is>
      </c>
      <c r="D3695" t="n">
        <v>4</v>
      </c>
      <c r="E3695" t="n">
        <v>4</v>
      </c>
      <c r="F3695">
        <f>HYPERLINK("https://www.reddit.com/r/cancer/comments/ch1lsa/anxiety_over_diagnosis/")</f>
        <v/>
      </c>
      <c r="G3695" t="inlineStr">
        <is>
          <t>2019-07-23 18:33:55</t>
        </is>
      </c>
      <c r="H3695" t="inlineStr"/>
    </row>
    <row r="3696">
      <c r="A3696" t="inlineStr">
        <is>
          <t>ch2axo</t>
        </is>
      </c>
      <c r="B3696" t="inlineStr">
        <is>
          <t>A really stupid day.</t>
        </is>
      </c>
      <c r="C3696" t="inlineStr">
        <is>
          <t>TLDR:  Husbands birthday today. He has one week check after start of new chemo. Husband has week old power port.  It gets infected, we think.  Go straight from oncology appointment to ED to get it removed.  I trip over stupid rolling stool that was left in the wrong place in ED room.  End up with security, Dr's, Nurses, Techs, registration all trying to help me.  And stiches in my elbow.  Get two antibiotic scripts.  Not sure which one to take.  Try to order pizza, website not working, call store, am told to call customer service.  Call customer service, wait on hold 32 minutes.  Am third in que for the last 15 minutes.  Give up call store back, explain that I want to order but want online prices.  They are super nice and pizza is on the way.
&amp;amp;#x200B;
Just noticed that all you need is the TLDR so I am not going to write it all out but will take any questions and answers.  Fuck Cancer.  Some days are just stupid.</t>
        </is>
      </c>
      <c r="D3696" t="n">
        <v>8</v>
      </c>
      <c r="E3696" t="n">
        <v>17</v>
      </c>
      <c r="F3696">
        <f>HYPERLINK("https://www.reddit.com/r/cancer/comments/ch2axo/a_really_stupid_day/")</f>
        <v/>
      </c>
      <c r="G3696" t="inlineStr">
        <is>
          <t>2019-07-23 19:40:09</t>
        </is>
      </c>
      <c r="H3696" t="inlineStr"/>
    </row>
    <row r="3697">
      <c r="A3697" t="inlineStr">
        <is>
          <t>ch2jj9</t>
        </is>
      </c>
      <c r="B3697" t="inlineStr">
        <is>
          <t>Im trying to raise money for those eefcted by Bowel Cancer, I need your vote!</t>
        </is>
      </c>
      <c r="C3697" t="inlineStr">
        <is>
          <t>So I'm in the running for Australias Gourmet Pie Guy, a competition being run by the Brumby's bakery. The winner will receive $10,000 and If I win I plan to donate the entire amount to Bowel Cancer Australia.
My journey with cancer has taught me a lot of things and one of the most profound things I have experienced is the overwhelming support and generosity that we can have for each other. It is one of the more beautiful traits of humanity and it is something that I would like to continue to pass on for others in need. BCA will use the money across programs such as awareness campaigns, resources for patients and loved ones, funding towards the Bowel Care Nurse Helpline, development of patient-led resources, bowel cancer research, etc.
All YOU have to do is follow the link and give me a vote.
It would help even more if you could like this post and share it to your timeline. It's really not a lot of heavy lifting for what could potentially affect someone's life in a positive way during a time of need. I know how much you have all helped Rachel, Frankie and I and we would love to keep the generosity flowing for others.
Please vote, if your outside Australia, you may have to use an VPN.
[https://gourmetpieguy.brumbys.com.au/profile/sam-fitzpatrick/?term\_id=4](https://gourmetpieguy.brumbys.com.au/profile/sam-fitzpatrick/?term_id=4)</t>
        </is>
      </c>
      <c r="D3697" t="n">
        <v>13</v>
      </c>
      <c r="E3697" t="n">
        <v>2</v>
      </c>
      <c r="F3697">
        <f>HYPERLINK("https://www.reddit.com/r/cancer/comments/ch2jj9/im_trying_to_raise_money_for_those_eefcted_by/")</f>
        <v/>
      </c>
      <c r="G3697" t="inlineStr">
        <is>
          <t>2019-07-23 20:03:23</t>
        </is>
      </c>
      <c r="H3697" t="inlineStr"/>
    </row>
    <row r="3698">
      <c r="A3698" t="inlineStr">
        <is>
          <t>ch2kn1</t>
        </is>
      </c>
      <c r="B3698" t="inlineStr">
        <is>
          <t>Where do I fit in?</t>
        </is>
      </c>
      <c r="C3698" t="inlineStr">
        <is>
          <t>I am trying to get some insight from people who have gone through multiple surgeries, chemotherapy, radiation, etc.. as to what my role should be through all of this.
So, my Mom went through went though everything stated above about 2 years ago and now she has discovered that she has metastatic breast cancer that spread to her hip bone, liver and brain.  My Mom is a very strong person but having a very hard time at the moment and I have never been a very sympathetic person so it is hard to get on that level when we start to talk about those things.  I am always the positive person one who thinks everything will be fine but I am not sure if that fits in that situation. It is hard for me to be there because I work  a lot and take of my son 5 days a week.  As stated in the beginning I am just trying to see what you wanted from your loved ones during all of it and how they helped you make light of the situation.
Any help is appreciated, thanks!</t>
        </is>
      </c>
      <c r="D3698" t="n">
        <v>3</v>
      </c>
      <c r="E3698" t="n">
        <v>3</v>
      </c>
      <c r="F3698">
        <f>HYPERLINK("https://www.reddit.com/r/cancer/comments/ch2kn1/where_do_i_fit_in/")</f>
        <v/>
      </c>
      <c r="G3698" t="inlineStr">
        <is>
          <t>2019-07-23 20:06:25</t>
        </is>
      </c>
      <c r="H3698" t="inlineStr"/>
    </row>
    <row r="3699">
      <c r="A3699" t="inlineStr">
        <is>
          <t>ch3e43</t>
        </is>
      </c>
      <c r="B3699" t="inlineStr">
        <is>
          <t>They gave my dad a year and a half to live. It's been 8 months and he's on his deathbed.</t>
        </is>
      </c>
      <c r="C3699" t="inlineStr">
        <is>
          <t>My dad was diagnosed with stage 3 Mesothelioma after going in to see a doctor for pain in his lung. Part of it had collapsed and investigative surgery found his ribcage lined with cancer. He was 58 years old and the strongest, healthiest, fittest man the doctors had ever met for his age. 
He outright refused chemo and ended up qualifying for Keytruda, so we went that route instead. A few months in and it just wasn't working. My dad opted to try a pseudoscientific treatment that insurance wouldn't cover... that obviously didn't work either. 
We took a big family trip while he was still walking. He was in pain for most of it. Now he is bed ridden, won't eat anything but jello, and is usually delirious. He's so tiny and frail. He weighed 200 lbs at 6'1 last year. Now he probably weighs 140. 
It's so hard for me to see him waste away. I don't understand my emotions. Instinctively, I'm trying to distance myself, like I'm cushioning for the blow. But that is so selfish. I force myself to stay close, help when he needs it, and tell him I love him as often as I can. Sometimes my own strength scares me. Sometimes I can talk as openly about what is happening as if I'm telling the weather. Other times I just break at random moments and sob until my throat is raw. But I only let him see the strong in me; the rock on the outside; the brave little warrior I've always been for him. 
 It's so hard to lose your dad at 20 years old. It hurts so, so bad. We were supposed to see the world together. How will I ever recover from this loss? It is like watching the world end from space.</t>
        </is>
      </c>
      <c r="D3699" t="n">
        <v>73</v>
      </c>
      <c r="E3699" t="n">
        <v>21</v>
      </c>
      <c r="F3699">
        <f>HYPERLINK("https://www.reddit.com/r/cancer/comments/ch3e43/they_gave_my_dad_a_year_and_a_half_to_live_its/")</f>
        <v/>
      </c>
      <c r="G3699" t="inlineStr">
        <is>
          <t>2019-07-23 21:28:29</t>
        </is>
      </c>
      <c r="H3699" t="inlineStr"/>
    </row>
    <row r="3700">
      <c r="A3700" t="inlineStr">
        <is>
          <t>ch3g2i</t>
        </is>
      </c>
      <c r="B3700" t="inlineStr">
        <is>
          <t>Going to doctor in a week. Scared.</t>
        </is>
      </c>
      <c r="C3700" t="inlineStr">
        <is>
          <t>So I'm a 29 y.o. white male. I've been sick for some time now and never really started connecting the dots until recently. My family is still in disarray from my grandmother dying about two years ago from lung cancer. She ignored it until stage 4 and lived like 8 months with chemo. 
So what does this have to do with me? Well, first my neck got kinda swollen and I said meh it'll go away. Then my right lung started giving me problems. It actually has collapsed a few times since. I'm not entirely sure if it even works at this point. Then the weird pressure in my right eye started some months ago. Probably almost a year ago. Combine this with off and on testicle pain on the left side that multiple doctors told me was nothing and here I am. Coming to the realization that this is likely testicular cancer or lung cancer, my prognosis seems rather grim. I'm a young guy, I still feel like I have so much to do in life. I also get nauseous when stressed so I've just really been avoiding this.
Before people try to convince me to not worry until I see a doctor, while I understand, I politely ask that you all humor me. I respect your struggles as I have lived through it with someone. I'm real scared x10 and have random panic attacks. I can't wait for my insurance to clear so I can go to urgent care :/</t>
        </is>
      </c>
      <c r="D3700" t="n">
        <v>1</v>
      </c>
      <c r="E3700" t="n">
        <v>4</v>
      </c>
      <c r="F3700">
        <f>HYPERLINK("https://www.reddit.com/r/cancer/comments/ch3g2i/going_to_doctor_in_a_week_scared/")</f>
        <v/>
      </c>
      <c r="G3700" t="inlineStr">
        <is>
          <t>2019-07-23 21:34:16</t>
        </is>
      </c>
      <c r="H3700" t="inlineStr"/>
    </row>
    <row r="3701">
      <c r="A3701" t="inlineStr">
        <is>
          <t>ch54wk</t>
        </is>
      </c>
      <c r="B3701" t="inlineStr">
        <is>
          <t>In two weeks time!</t>
        </is>
      </c>
      <c r="C3701" t="inlineStr">
        <is>
          <t>For the last three to six months I feel like I've been living two weeks at a time.
Would you believe me if I told you six months ago a sprained ankle turned into life changing cancer? It's not quite what you think.
 Six months ago I slipped and fell at work and ended up with a sprained ankle. I had to see the doctor every two weeks for six weeks. I went from working two jobs to sitting on my butt "healing " and it was pure torture but I would go back to that in a heart beat now. It was right before the foot doctor released me back to work that I went to see the general doctor for a regular screening, since I had some free time, and didnt know when I would have the time next. To my surprise it was three short days later the doctor called with results that were about to change my life. I was told that my pap test came back positive with "aggressive cells." My doctor had an appointment with a gyno for a biopsy and more test already scheduled for two weeks later. 
Let me tell you a cervical biopsy is about zero amount of fun! Although the procedure itself was terrible the experience over all was not so bad, thanks to the amazing doctor. Results came back quickly and I recieved a voicemail that said "your results came back with no malignancies but the doctor would like you to come in and discuss treatment options." Two weeks later I'm sitting in the doctors office being told that I have "cervical adenocarcinoma" and that because of the agression and the uncertainty of things I'm being referred to a womens cancer specialist. My head was buzzing and honestly I only heard about ten percent of what the doctor said the first time. I dont even remember driving myself home from the doctors that day. I was blindsided by all this information, when I got the voicemail it sounded like good news, I honestly wasnt expecting to hear that I have cancer. The oncologist I have to see is seven hours away and the appointment was just over a month out...
But wait there is more ...
Two weeks later again I'm in the doctors talking about the possibility of anal cancer due to the same aggressive cells. The doctor sent me for a CT scan, good news is they said it came back with no signs of tumors but I'm not holding me breath this time.
Now I am two weeks from my oncology appointment and to be honest I am getting quite nervous. Once that is over I will have two weeks until I have to go see the GI doctor, which is also quite nerve wracking.
So basically here I am living my life two weeks at a time.</t>
        </is>
      </c>
      <c r="D3701" t="n">
        <v>8</v>
      </c>
      <c r="E3701" t="n">
        <v>11</v>
      </c>
      <c r="F3701">
        <f>HYPERLINK("https://www.reddit.com/r/cancer/comments/ch54wk/in_two_weeks_time/")</f>
        <v/>
      </c>
      <c r="G3701" t="inlineStr">
        <is>
          <t>2019-07-24 00:43:54</t>
        </is>
      </c>
      <c r="H3701" t="inlineStr"/>
    </row>
    <row r="3702">
      <c r="A3702" t="inlineStr">
        <is>
          <t>ch7gwn</t>
        </is>
      </c>
      <c r="B3702" t="inlineStr">
        <is>
          <t>The Monster Fun Book of Cervical Cancer Resources and Info</t>
        </is>
      </c>
      <c r="C3702" t="inlineStr">
        <is>
          <t>*This is an ever-evolving work in progress. As new info arrives I will try to update it. If I'm not around to update it then please start another one to replace it. If you have info to share then please post in the comments, so people get the info as soon as possible and aren't waiting for me to check my messages*.
Unfortunately, many people diagnosed with cervical cancer, especially more advanced cases, in the US often are not told about the various resources available to them. This may be because such a large portion of cervical cancer cases are caught early and are treatable in a doctor's office with conization and LEEP procedures or at a local hospital with some form of hysterectomy or relatively minor surgery that is completely curative and no other treatment is required.
When regular and/or repeated PAP smears fail to detect cancer, because it is up higher and beyond the cervix or otherwise not reachable during a normal PAP smear, it can become quite advanced before symptoms are identified or possibly even taken seriously. As a consequence, that infrastructure that explains and bridges patients to services that is perhaps in place for many other cancers tends to fall short for many people with advanced cervical cancers.
The myth that cervical cancer isn't a big deal and you can just have it burned off or cut out on your next day off is strong, even among people who ought to know better and some of them are stumped by whether you really qualify for basic services they would explain to any other stage 2, 3. or 4 cancer patient. Even well-meaning relatives are baffled why you aren't just having a hysterectomy. Like, seriously, if we could opt for that don't they really think we would do it? The struggle is real, my sisters.
**National Cancer Institute Trials**
Be aware that you can apply to participate in cervical cancer trials at the National Cancer Institute as your first treatment. You do not have to go through standard treatment and have it fail or have a recurrence to qualify. If you are accepted into the NCI trial they will cover your transportation and there is no cost to you for the treatment you receive in the trial. The main doctor that I am aware of doing these trials is Dr. Hinrichs. If you want to apply to the trial you will need to speak with your gynecological oncologist and they will have to forward all of your info, biopsy report, and imaging to the NCI for review. This will take a couple of months, so you'll want to start the process as soon as possible. Your gyn onc should be aware of these trials and how to help you apply for them, if it's right for your case. If you are having major blood loss and hemorrhaging, you're probably better off starting radiation as soon as possible to stop the blood loss. Certain health conditions may put you on hold with the trials until they are resolved or may bar you from participating entirely. Here are a couple of articles that talk about some of it:
* [https://www.washingtonpost.com/national/health-science/cancer-was-killing-her-she-tried-immunotherapy/2014/11/10/0b252ae8-4fb4-11e4-babe-e91da079cb8a\_story.html?utm\_term=.0fc868b5662d](https://www.washingtonpost.com/national/health-science/cancer-was-killing-her-she-tried-immunotherapy/2014/11/10/0b252ae8-4fb4-11e4-babe-e91da079cb8a_story.html?utm_term=.0fc868b5662d)
* [https://www.nih.gov/health-information/nih-clinical-research-trials-you/immunotherapy-clinical-trials-sue-scotts-story-survival](https://www.nih.gov/health-information/nih-clinical-research-trials-you/immunotherapy-clinical-trials-sue-scotts-story-survival)
* [https://twitter.com/survivorsuewdc](https://twitter.com/survivorsuewdc)
Some other trials are available locally, at your gyn onc's, so that may be something you want to speak with your gyn onc about. My gyn onc is participating in a trial for recurrences that uses hyperthermia as a treatment. Fun, fun.
**Breast and Cervical Cancer Treatment Program**
There is a Breast and Cervical Cancer Treatment Program (BCCTP) that helps people with getting PAP smears, early treatments, like conization and LEEP, but it also assists people with advanced cancers. There is a federal BCCTP program and many states also implement their own BCCTP programs that generally have more generous provisions than the federal program.
The requirements to qualify for the **federal program** are:
* Have been screened and found to be in need of treatment for breast (women and men) and/or cervical cancer (women only), follow-up care for cancer or precancerous cervical lesions/conditions by an CDP:EWC or Family PACT provider
* Women under age 65 who has satisfactory immigration status or is a citizen or national of the United States
* California resident
* Have monthly gross family income at the time of screening and diagnosis, which is at or below 200 percent of the federal poverty level for the family size.
* Have no other health insurance including full-scope no share-of-cost Medi-Cal or Medicare.
In California, even if you have a primary insurance, you may still qualify under a **state program**. Here are the California qualifications for the state-run BCCTP program:
* Have been screened and found in need of treatment for breast (men and women) and/or cervical cancer (women only), follow-up care for cancer or precancerous cervical lesions/conditions by an EWC or Family PACT provider
* California resident
* Have monthly gross family income at the time of screening and diagnosis, which is at or below 200 percent of the federal poverty level for the family size
* Male of any age or any immigration status
* Female under 65 years of age with  unsatisfactory immigration status
* Female 65 years of age or older; and/or
* Have health insurance, including share-of-cost Medi-Cal and/or Medicare
[https://www.dhcs.ca.gov/services/medi-cal/Pages/BCCTP.aspx](https://www.dhcs.ca.gov/services/medi-cal/Pages/BCCTP.aspx)
Info on applying is on that webpage, but if you have advanced cervical cancer you don't want to fool around wading through red tape (no pun intended), so just call your state's BCCTP program directly and they can tell you exactly who you need to apply with and get the ball rolling. Search Google for the "\[name of your state\]" and "BCCTP" to find your state office, if it exists. In California, the main Sacramento BCCTP number is  1-800-824-0088. Leave a message and make sure you mention what your diagnosed stage is, so they don't shuffle you to the bottom of a pile of people with mild dysplasia.
If you have a primary insurance, BCCTP covers co-pays and other costs your primary won't pick up and it may reimburse you for your portion of the cost of your primary insurance policy (it's a quarterly thing you submit and sometimes takes a while before they send you a check). I am extremely thankful I had BCCTP coverage.
**The American Cancer Society**
Contact the American Cancer Society:  [https://www.cancer.org/](https://www.cancer.org/)  Hopefully, the social worker at your treatment hospital has already submitted your info to them and they can just look your info up when you call. If not, they take your info and confirm your diagnosis. They can help with transportation costs (gas) and finding reduced motel rates if you have to go out of town for treatment, as many of us do. They also offer some inexpensive on-site lodging if you need treatment that is too far from home for you to drive, depending on your location.
There is 1 gynecological oncologist for every 5 million people with a cervix. If you live outside of a metropolitan area there is a very good chance you will need to travel long distances for treatment.
If you qualify for full coverage Medicaid or BCCTP in some or possibly all states then there may be a local taxi service that can transport you to appointments, even if they are hundreds of  miles away. You may have to be rather aggressive in prying this info out of your local social services department or the hospitals oncology social worker. Hell, sometimes they don't even know about some resources.
**Angel Flights**
Angel Flight  [https://www.angelflight.com/](https://www.angelflight.com/)  or Angel Flight West [https://www.angelflightwest.org/](https://www.angelflightwest.org/)  may be able to connect you with private pilots looking to increase their flight hours, get a cheap deal on gas, and do a good deed in the process by flying you to distant cancer treatments or appointments. They were able to find a pilot for my flight down once, but not back, so I never had the pleasure of using their services. I bet it beats being in the car for 14 hours. I read that they recently started working with a small commercial airline and so flights are easier to get now, but I don't know the details. Something to consider if you are looking at a loooooong drive.
Those are pretty much all of the external resources I am aware of.
**Standard Treatments**
Up to stage 2a can often be treated with surgery and perhaps radiation and chemo. Starting at stage 2b, surgery is not so much an option and radiation and chemo are the standard treatment. At stages 3 and 4 surgical cure is not an option. Standard treatment at or around stage 2B is about 30 days of external radiation targeted at your tumor and 5 or 6 once per week doses of Cisplatin chemotherapy. You may also have external radiation to some or all of your lymph nodes (there is initial research suggesting this may help reduce recurrences). Somewhere near the end of this 5 or 6 weeks they will want you to begin internal high-dose, "brachy" radiation. If you have to travel a long distance to get to brachy then you may want to talk with the brachy scheduler about doing it as soon as you finish with chemo and external radiation in your local or regional area, rather than concurrently.
If you feel even slightly tempted to not do brachy therapy you should be aware that it composes about 50% of the treatment for cervical cancer. Chemo and external radiation are the other 50%. Choosing to forego brachy is like going to the dentist with a cavity and walking out after they have drilled out the cavity, but before they put the filling in. It is just a bad decision. Do your brachy treatment.
Finally, some people don't do well with brachy. A permanent radiotherapy pellet may be inserted instead of some or all of your brachy.
 [https://www.cancer.gov/types/cervical/patient/cervical-treatment-pdq](https://www.cancer.gov/types/cervical/patient/cervical-treatment-pdq) 
**Vaginal dilators, radiation shrink, stenosis, and you**
After you finish all of your treatment someone, could be your gyn onc or rad onc or a nurse, is going to talk with you about using vaginal dilators. They may hand you one or let you pick 1 or more from their delightful assortment of white plastic candlesticks in size small, medium, or "big bazongo" (the nurse's description, not mine).
Radiation itself causes tissue burns and scarring and there will also be some weird scarring where the chemo and radiation killed off the cancerous tissues. Vaginal tissue is some amazing stuff, but that scarring can play merry hell and cause stenosis, or scarring and contracting of your vaginal tissues. They want you to keep your vagina open enough to at least do regular PAP smears and exams. Their theory is that introducing the dilators early and often prevents and helps break up the scar tissue as it (inevitably) forms. They will probably tell you to use a different dildo if you feel like it. This is good advice. Lube and handles are the key to success here.
If you can be methodical about using dilators daily, then, yeah, you probably can hold enough stenosis at bay to keep your hoohaw adequately open. The reality is that many of us are feeling sick from treatment, and/or our immune systems take a dive and we get whatever illnesses our friends, coworkers, or kids are passing around, we don't feel very sexy, we're depressed, sometimes other shit happens, and dilating our vaginas isn't at the top of any of our to-do lists. Some people just simply don't do it. Sometimes, even with using the dilators religiously you still develop stenosis that impairs full entry and exams. The good news is that, unless your tumor infiltrated a significant portion of your vagina, you can pretty much always stretch things out again. It is a potential space and as long as you can get something, anything in there then you can probably still stretch the diameter over time with patience.
Here is one woman's experience. She definitely has been through it post-treatment.  
[https://cervivor.org/dilators-after-cervical-cancer/](https://cervivor.org/dilators-after-cervical-cancer/)
If you had surgery that removed the upper 1/3 of your vagina you won't be able to stretch it lengthwise, but I have seen that they do make a silicone buffer that a male partner can wear to prevent overly deep penetration. I don't have a link for that, unfortunately.
**Digital (manual) dilation**
If dilators and dildos really aren't your thing then you can get your partner to use their finger/s to keep or get things stretched out in there. Have them glove up, apply lube, and begin by inserting which ever finger is most comfortable. That may be their little finger at first. Have them move their finger around to stretch and loosen as much as possible for about 3 minutes. Over time they can work up to are larger finger or multiple fingers and increase the amount of pressure and stretching and depth.  
Vaginal tissue is pretty adaptable, so even if it has been a while you can begin dilating and, over time, work up to sexual penetration.
**Dilators**
There are some pink dilators in graduated sizes with handles that are, I think, primarily intended for women with vaginismus, but the underlying issue is similar for stenosis from radiation. They are better than the white candlesticks you're likely to get from your doctor. You can get them on Amazon or Ebay. Try searching for "CalExotics Inspire Silicone Dilator kit, pink." The other one people like is a "G spot vibrator" that comes in pink or purple with a handle. 
**What resources or tips and tricks do you know about that weren't mentioned and should definitely be shared?**</t>
        </is>
      </c>
      <c r="D3702" t="n">
        <v>1</v>
      </c>
      <c r="E3702" t="n">
        <v>0</v>
      </c>
      <c r="F3702">
        <f>HYPERLINK("https://www.reddit.com/r/cancer/comments/ch7gwn/the_monster_fun_book_of_cervical_cancer_resources/")</f>
        <v/>
      </c>
      <c r="G3702" t="inlineStr">
        <is>
          <t>2019-07-24 05:20:25</t>
        </is>
      </c>
      <c r="H3702" t="inlineStr"/>
    </row>
    <row r="3703">
      <c r="A3703" t="inlineStr">
        <is>
          <t>ch8pas</t>
        </is>
      </c>
      <c r="B3703" t="inlineStr">
        <is>
          <t>My mother is convinced she’s dying because of cancer “seeds” despite having the cancer and lymph nodes removed. Any idea how accurate her information is?</t>
        </is>
      </c>
      <c r="C3703" t="inlineStr">
        <is>
          <t>My mother was diagnosed with lung cancer earlier this year. It was the faster spreading type and they acted quick. From the beginning she said she didn’t want chemo or radiation. The doctors wanted to ensure that the cancer had not spread and all scans came back clear. The first surgery was to remove some of the lymph nodes from her lungs to prevent spreading. Meanwhile, they completed test to ensure her breathing function was adequate to remove part of her right lung. In May they removed a section of her lung and some more lymph nodes. The doctors said they thought they had gotten all of the cancer. 
During a follow-up appointment her doctor referred her back to the oncologist who is trying to convince her again to have both chemo and radiation. Despite both doctors saying the surgery was successful he is telling her that there are some cancer “seeds” that will likely spread to her brain or possibly her liver. As she is adamant that she does not want chemo or radiation she is literally planning her funeral! 
Is it possible that they’ve somehow found “seeds” despite her not having any new scans? Or is this something they’re trying to do just in case they missed something? The oncologist is not respecting her wishes and keeps reaching out to her to convince her to agree to the treatment which is making her feel like this is a life or death situation. 
Any input would be greatly appreciated! It might be relevant to add that my mom is 65, heavy smoker for probably 50 of those. She had quit but I think she’s been sneaking again. She has COPD as well.</t>
        </is>
      </c>
      <c r="D3703" t="n">
        <v>3</v>
      </c>
      <c r="E3703" t="n">
        <v>14</v>
      </c>
      <c r="F3703">
        <f>HYPERLINK("https://www.reddit.com/r/cancer/comments/ch8pas/my_mother_is_convinced_shes_dying_because_of/")</f>
        <v/>
      </c>
      <c r="G3703" t="inlineStr">
        <is>
          <t>2019-07-24 07:13:20</t>
        </is>
      </c>
      <c r="H3703" t="inlineStr"/>
    </row>
    <row r="3704">
      <c r="A3704" t="inlineStr">
        <is>
          <t>chbiij</t>
        </is>
      </c>
      <c r="B3704" t="inlineStr">
        <is>
          <t>Just had a biopsy for cervical cancer. Needing some info.</t>
        </is>
      </c>
      <c r="C3704" t="inlineStr">
        <is>
          <t>I'm rather confused with all of these cancerous phrases and diagnoses on my chart.  
I had an abnormal pap. With high cin 3 something.    
Then just had a biopsy. 
Waiting for the results but now have a diagnosis of carcinoma in situ after my visit as the follow up diagnosis.       
This is the first pap I've had in a very long time so I'm worried it could be more advanced and they're only seeing the very surface of things.    
I don't know much about this stuff but will I have to wait on the LEEP and all that before I know how bad it is or would there be a red flag before any of that?</t>
        </is>
      </c>
      <c r="D3704" t="n">
        <v>2</v>
      </c>
      <c r="E3704" t="n">
        <v>26</v>
      </c>
      <c r="F3704">
        <f>HYPERLINK("https://www.reddit.com/r/cancer/comments/chbiij/just_had_a_biopsy_for_cervical_cancer_needing/")</f>
        <v/>
      </c>
      <c r="G3704" t="inlineStr">
        <is>
          <t>2019-07-24 10:52:31</t>
        </is>
      </c>
      <c r="H3704" t="inlineStr"/>
    </row>
    <row r="3705">
      <c r="A3705" t="inlineStr">
        <is>
          <t>chbs9t</t>
        </is>
      </c>
      <c r="B3705" t="inlineStr">
        <is>
          <t>Help me interpret a sentence from scan results?</t>
        </is>
      </c>
      <c r="C3705" t="inlineStr">
        <is>
          <t>Hi! My mom is 4.5 years into a stage 4 pancreatic cancer diagnosis with a very high quality of life this whole time. She does not want to know much about the progress of her disease, so she gives me her test results so I can advise her as needed. 
Her recent scan had one sentence that seems important but is difficult to interpret. Can anyone help? It is:
(Lymph node category) Persistent vague isoattenuation within the left superior mediastinum without discrete borders.
Thank you!</t>
        </is>
      </c>
      <c r="D3705" t="n">
        <v>8</v>
      </c>
      <c r="E3705" t="n">
        <v>4</v>
      </c>
      <c r="F3705">
        <f>HYPERLINK("https://www.reddit.com/r/cancer/comments/chbs9t/help_me_interpret_a_sentence_from_scan_results/")</f>
        <v/>
      </c>
      <c r="G3705" t="inlineStr">
        <is>
          <t>2019-07-24 11:13:28</t>
        </is>
      </c>
      <c r="H3705" t="inlineStr"/>
    </row>
    <row r="3706">
      <c r="A3706" t="inlineStr">
        <is>
          <t>chd39t</t>
        </is>
      </c>
      <c r="B3706" t="inlineStr">
        <is>
          <t>Father was just diagnosed</t>
        </is>
      </c>
      <c r="C3706" t="inlineStr">
        <is>
          <t>My dad has had health concerns for a few months. He went to his physician and had bloodwork done. Numbers came back high. He got a CAT scan. Everything seemed normal. Something was blocking a duct from his gull bladder blocking everything up from his liver. They snaked a tube down his throat and discovered it's a tumor. It's being tested now and an 80% chance its cancerous. Hes had like 5 tests done just today. He was admitted to the hospital. They put an external tube in him to clear out the backup. He needs to be strong enough for this surgery where they take out organs and get the tumor then out everything back. 
Tl/dr
Dad has tumor in bile duct. Having whipple procedure and remove tumor. 
Anyone know of this problem? How serious is it? Basically: is my dad dying. Very somber I know. Please help.</t>
        </is>
      </c>
      <c r="D3706" t="n">
        <v>17</v>
      </c>
      <c r="E3706" t="n">
        <v>3</v>
      </c>
      <c r="F3706">
        <f>HYPERLINK("https://www.reddit.com/r/cancer/comments/chd39t/father_was_just_diagnosed/")</f>
        <v/>
      </c>
      <c r="G3706" t="inlineStr">
        <is>
          <t>2019-07-24 12:55:31</t>
        </is>
      </c>
      <c r="H3706" t="inlineStr"/>
    </row>
    <row r="3707">
      <c r="A3707" t="inlineStr">
        <is>
          <t>chdwux</t>
        </is>
      </c>
      <c r="B3707" t="inlineStr">
        <is>
          <t>Better off....</t>
        </is>
      </c>
      <c r="C3707" t="inlineStr">
        <is>
          <t>Fuck cancer, I shit out of my stomach, dick don't work anymore, In debt the rest of my life. I would had been better off letting cancer run its course. Seriously. I am way to young to have a shriveled up useless dick. Fuck cancer, fuck life.</t>
        </is>
      </c>
      <c r="D3707" t="n">
        <v>68</v>
      </c>
      <c r="E3707" t="n">
        <v>25</v>
      </c>
      <c r="F3707">
        <f>HYPERLINK("https://www.reddit.com/r/cancer/comments/chdwux/better_off/")</f>
        <v/>
      </c>
      <c r="G3707" t="inlineStr">
        <is>
          <t>2019-07-24 13:58:53</t>
        </is>
      </c>
      <c r="H3707" t="inlineStr"/>
    </row>
    <row r="3708">
      <c r="A3708" t="inlineStr">
        <is>
          <t>che6jb</t>
        </is>
      </c>
      <c r="B3708" t="inlineStr">
        <is>
          <t>My mother who has HCC just got hospitalised again</t>
        </is>
      </c>
      <c r="C3708" t="inlineStr">
        <is>
          <t>She’s been diagnosed with stage III HCC for 2.5 years at this point. Doctors have stopped trying to cure her illness about half a year ago. She seemed fine this afternoon but mid way through dinner she said she felt uncomfortable but refused to go to the hospital and it got worse. She started puking and got cold sweat. At 3 she faint on toilet and was sweating profusely and now we are in hospital.  I and my dad are waiting outside not knowing what to do. I really hope this isn’t the deathbed for her and she can get out of the hospital and have a trip with us in the future.</t>
        </is>
      </c>
      <c r="D3708" t="n">
        <v>6</v>
      </c>
      <c r="E3708" t="n">
        <v>1</v>
      </c>
      <c r="F3708">
        <f>HYPERLINK("https://www.reddit.com/r/cancer/comments/che6jb/my_mother_who_has_hcc_just_got_hospitalised_again/")</f>
        <v/>
      </c>
      <c r="G3708" t="inlineStr">
        <is>
          <t>2019-07-24 14:19:16</t>
        </is>
      </c>
      <c r="H3708" t="inlineStr"/>
    </row>
    <row r="3709">
      <c r="A3709" t="inlineStr">
        <is>
          <t>cheinf</t>
        </is>
      </c>
      <c r="B3709" t="inlineStr">
        <is>
          <t>Is it too much to ask to be able to watch TV for more than 30 minutes without being reminded of cancer?</t>
        </is>
      </c>
      <c r="C3709" t="inlineStr">
        <is>
          <t>Maybe I wasn't paying attention before, maybe I'm being an asshole, but I'm getting tired of the news dragging out ten minute memorials of some community leader that died of cancer seemingly every week.  Of course the stories get punctuated by Keytruda ads to really drive the point home.
It doesn't seem to bother my wife, who is currently battling the same monster and who's opinion is the only one that matters here, but the unending references remind me why i avoid TV pretty much at all costs.
Sorry, just a rant.</t>
        </is>
      </c>
      <c r="D3709" t="n">
        <v>44</v>
      </c>
      <c r="E3709" t="n">
        <v>33</v>
      </c>
      <c r="F3709">
        <f>HYPERLINK("https://www.reddit.com/r/cancer/comments/cheinf/is_it_too_much_to_ask_to_be_able_to_watch_tv_for/")</f>
        <v/>
      </c>
      <c r="G3709" t="inlineStr">
        <is>
          <t>2019-07-24 14:44:13</t>
        </is>
      </c>
      <c r="H3709" t="inlineStr"/>
    </row>
    <row r="3710">
      <c r="A3710" t="inlineStr">
        <is>
          <t>cheykp</t>
        </is>
      </c>
      <c r="B3710" t="inlineStr">
        <is>
          <t>What best can I do to help with research?</t>
        </is>
      </c>
      <c r="C3710" t="inlineStr">
        <is>
          <t>I’m really looking at what I can do to help speed up our means to beating cancer. I take part in charity events to raise money but I don’t feel it’s enough.</t>
        </is>
      </c>
      <c r="D3710" t="n">
        <v>4</v>
      </c>
      <c r="E3710" t="n">
        <v>0</v>
      </c>
      <c r="F3710">
        <f>HYPERLINK("https://www.reddit.com/r/cancer/comments/cheykp/what_best_can_i_do_to_help_with_research/")</f>
        <v/>
      </c>
      <c r="G3710" t="inlineStr">
        <is>
          <t>2019-07-24 15:18:45</t>
        </is>
      </c>
      <c r="H3710" t="inlineStr"/>
    </row>
    <row r="3711">
      <c r="A3711" t="inlineStr">
        <is>
          <t>chf6g0</t>
        </is>
      </c>
      <c r="B3711" t="inlineStr">
        <is>
          <t>Possible testicular cancer?</t>
        </is>
      </c>
      <c r="C3711" t="inlineStr">
        <is>
          <t>Hi Reddit, so recently I was doing an inspection down there and noticed a small but painful ball/lump on my right testicle. It causes some discomfort when left alone and hurts when you touch it or hold it. I became aware of its presence a few days ago and am pretty sure that’s all the time the lump has been around for. 
I’m certain this is an abnormal thing as no such thing  exists on my left one. Now I know self-diagnosis is a bad thing but I did some research and determined that this is most likely non-cancerous, however, I’m still not fully sure. It has since been a little challenging to walk or climb stairs as this activates pain similar to being kicked in the nuts but it’s less like a kick and more like the lump is letting you know it is there.
I have yet to see my doctor but plan on doing so within the next week or two. Has anyone had a similar experience like this? I sorta terrified.
If it helps, here’s some background info about myself:
- I sit down A LOT (lectures, home living room, desk chair, patio chair, etc.) 
- I am a 20 year old male
- My immediate family has never had cancer except for my mother (breast cancer when she was young). Otherwise other (distant) family members have been diagnosed with pancreatic and testicular cancer.
Thanks so much in advance for reading this</t>
        </is>
      </c>
      <c r="D3711" t="n">
        <v>0</v>
      </c>
      <c r="E3711" t="n">
        <v>2</v>
      </c>
      <c r="F3711">
        <f>HYPERLINK("https://www.reddit.com/r/cancer/comments/chf6g0/possible_testicular_cancer/")</f>
        <v/>
      </c>
      <c r="G3711" t="inlineStr">
        <is>
          <t>2019-07-24 15:35:59</t>
        </is>
      </c>
      <c r="H3711" t="inlineStr"/>
    </row>
    <row r="3712">
      <c r="A3712" t="inlineStr">
        <is>
          <t>chfm4a</t>
        </is>
      </c>
      <c r="B3712" t="inlineStr">
        <is>
          <t>Cancer strikes the family again. What do I need to know about my own future?</t>
        </is>
      </c>
      <c r="C3712" t="inlineStr">
        <is>
          <t>Hello all!
My mom and her two half siblings both died of Pacreatic cancer. Monday my dad was diagnosed with stage 3 liver cancer and was told it has spread to his lung and a leg. 
Is there something i should ask his doctors about my own future? My mom was 55 at the time of her passing (12 years ago) and my father is now 68.</t>
        </is>
      </c>
      <c r="D3712" t="n">
        <v>3</v>
      </c>
      <c r="E3712" t="n">
        <v>2</v>
      </c>
      <c r="F3712">
        <f>HYPERLINK("https://www.reddit.com/r/cancer/comments/chfm4a/cancer_strikes_the_family_again_what_do_i_need_to/")</f>
        <v/>
      </c>
      <c r="G3712" t="inlineStr">
        <is>
          <t>2019-07-24 16:12:45</t>
        </is>
      </c>
      <c r="H3712" t="inlineStr"/>
    </row>
    <row r="3713">
      <c r="A3713" t="inlineStr">
        <is>
          <t>chfmht</t>
        </is>
      </c>
      <c r="B3713" t="inlineStr">
        <is>
          <t>Cancer Studies</t>
        </is>
      </c>
      <c r="C3713" t="inlineStr">
        <is>
          <t>I want to go into a career researching cancer and trying to find medicine to help aid those with cancer, it is probably a dumb question, what's the professional name for what I want to do</t>
        </is>
      </c>
      <c r="D3713" t="n">
        <v>3</v>
      </c>
      <c r="E3713" t="n">
        <v>7</v>
      </c>
      <c r="F3713">
        <f>HYPERLINK("https://www.reddit.com/r/cancer/comments/chfmht/cancer_studies/")</f>
        <v/>
      </c>
      <c r="G3713" t="inlineStr">
        <is>
          <t>2019-07-24 16:13:36</t>
        </is>
      </c>
      <c r="H3713" t="inlineStr"/>
    </row>
    <row r="3714">
      <c r="A3714" t="inlineStr">
        <is>
          <t>chfyv0</t>
        </is>
      </c>
      <c r="B3714" t="inlineStr">
        <is>
          <t>When the anguish gets too much for you.</t>
        </is>
      </c>
      <c r="C3714" t="inlineStr">
        <is>
          <t>When my mom was dying, I talked to this woman.  She talked me off a ledge.  She's a grief coach and if you need someone non-judgemental, kind, knowledgeable and well, a person who can take your anguish into a better place, call her and talk.  As a grief coach, she will give you 15 minutes free consult and normally charges 40 for 30 minutes, but if you can't afford that, she'll work with you on that.  She is a kind person.  Helped me so much and I read so many anguished posts here, that I think you could use her help too.  Email her at [amygoodtogo@gmail.com](mailto:amygoodtogo@gmail.com).   Peace all.</t>
        </is>
      </c>
      <c r="D3714" t="n">
        <v>8</v>
      </c>
      <c r="E3714" t="n">
        <v>1</v>
      </c>
      <c r="F3714">
        <f>HYPERLINK("https://www.reddit.com/r/cancer/comments/chfyv0/when_the_anguish_gets_too_much_for_you/")</f>
        <v/>
      </c>
      <c r="G3714" t="inlineStr">
        <is>
          <t>2019-07-24 16:43:16</t>
        </is>
      </c>
      <c r="H3714" t="inlineStr"/>
    </row>
    <row r="3715">
      <c r="A3715" t="inlineStr">
        <is>
          <t>chg11d</t>
        </is>
      </c>
      <c r="B3715" t="inlineStr">
        <is>
          <t>Emotional side of finishing treatment. (Rant/asking for advice/long).</t>
        </is>
      </c>
      <c r="C3715" t="inlineStr">
        <is>
          <t>I went through 10 months for almost 0 contact of the outside world. Nobody. I went into school 3 times during those 10 months, For 15 minutes. 
For 10 months all I spoke to was close family (my sisters and parents) and medical professionals. Then, for the past 2 years 4 months (including 10 months) I have had limited interaction with people. 
I can no longer hold a conversation without talking about my cancer, or how I’m doing. I can see people getting annoyed with me, but it’s a habit. I cannot break it. They are too polite to tell  me to shut up. I wish they would. Maybe then it would sink in.
Having cancer has caused my social anxiety to get worse, and now I constantly worried that people find me annoying. 
And a couple days ago, one of my ‘friend’s’ and I had an argument. She called me ‘an attention seeker’, a ‘manipulator’, ‘someone who uses their illness for sympathy’. Now I’m terrified that that is what everyone thinks of me. I know it’s stupid but she told me that she knows at least 10 people who think that. 
Those words have been spinning around in my head for the past 48 hours. (Btw the argument started when my friend didn’t believe that I had dyspraxia). 
Is made me really anxious and depressed. I’ve been seriously thinking about Suicide as I don’t want to be that person, and I know I can never go back to who I was before this.
I hate myself. My anxiety has gotten so much worse since that argument. 
Two of my friends were round my house today. One of them said I should invite a third friend. I thought that a) its a bit cheeky to ask my mum for a third friend, especially since we are providing dinner for them, b) it’s not my house, c)I’m too afraid to ask my mum, that I would just lie and say that my mum said no.
I thought they wouldn’t find out. My mum asked what they wanted for dinner and my excuse was adhere wasn’t enough dinner, and then she said ‘I need to go to the shops to get dinner.’
I knew he can tell. I’m worried he will think I’m a liar and a loser and a manipulator, which I technically, might be, when in reality- I was just too afraid to ask my mum.
As well as this, I have started to hate myself . 
Weight, appearance, personality. It’s probably due to the fact that I have just finished fighting a major illness, but also, I’ve never been in a relationship. I know I shouldn’t rush into one, but when your friend has been in 7 in his whole life and you have had 0, is weird. It was weird whilst I was struggling to stay awake, my friends were dating people and having fun. I feel so happy for them, but it makes me feel like I have missed a major part of my life. I wish I could be normal.
It’s made me more emotional, and I cry at the little things now. I cry when my laptop switches off and I haven’t saved my work. I cry when I can’t run in the race for life because nobody told me about it. I cry when I think of my friends who died and all the things I missed.
I feel like everyone is judging me for being emotional, and I know they are. I can hear them. I hear them in the classrooms and walking down the hall. If I tell someone then I will start crying. 
I don’t want it to be true.
Does anyone have any tips about talking to people? I can’t talk to strangers. I can’t talk to people. 
And does anyone have any tips for not feeling like I missed out on anything (I missed out on milestones, trips, events, charity trips,etc)?
Does anyone have any tips on how to not be as emotional?
Am I a manipulator? Should I talk to my psychiatrist? I’m worried. What should I do?
If it’s important I’m a teenage girl.</t>
        </is>
      </c>
      <c r="D3715" t="n">
        <v>1</v>
      </c>
      <c r="E3715" t="n">
        <v>0</v>
      </c>
      <c r="F3715">
        <f>HYPERLINK("https://www.reddit.com/r/cancer/comments/chg11d/emotional_side_of_finishing_treatment_rantasking/")</f>
        <v/>
      </c>
      <c r="G3715" t="inlineStr">
        <is>
          <t>2019-07-24 16:48:46</t>
        </is>
      </c>
      <c r="H3715" t="inlineStr"/>
    </row>
    <row r="3716">
      <c r="A3716" t="inlineStr">
        <is>
          <t>chg138</t>
        </is>
      </c>
      <c r="B3716" t="inlineStr">
        <is>
          <t>The emotional side of finishing treatment (rant/asking for advice/long)</t>
        </is>
      </c>
      <c r="C3716" t="inlineStr">
        <is>
          <t>I went through 10 months for almost 0 contact of he outside world. Nobody. I went into school 3 times during those 10 months, For 15 minutes. 
For 10 months all I spoke to was close family (my sisters and parents) and medical professionals. Then, for the past 2 years 4 months (including 10 months) I have had limited interaction with people. 
I can no longer hold a conversation without talking about my cancer, or how I’m doing. I can see people getting annoyed with me, but it’s a habit. I cannot break it. They are too polite to tell  me to shut up. I wish they would. Maybe then it would sink in.
Having cancer has caused my social anxiety to get worse, and now I constantly worried that people find me annoying. 
And a couple days ago, one of my ‘friend’s’ and I had an argument. She called me ‘an attention seeker’, a ‘manipulator’, ‘someone who uses their illness for sympathy’. Now I’m terrified that that is what everyone thinks of me. I know it’s stupid but she told me that she knows at least 10 people who think that. 
Those words have been spinning around in my head for the past 48 hours. (Btw the argument started when my friend didn’t believe that I had dyspraxia). 
Is made me really anxious and depressed. I’ve been seriously thinking about Suicide as I don’t want to be that person, and I know I can never go back to who I was before this.
I hate myself. My anxiety has gotten so much worse since that argument. 
Two of my friends were round my house today. One of them said I should invite a third friend. I thought that a) its a bit cheeky to ask my mum for a third friend, especially since we are providing dinner for them, b) it’s not my house, c)I’m too afraid to ask my mum, that I would just lie and say that my mum said no.
I thought they wouldn’t find out. My mum asked what they wanted for dinner and my excuse was adhere wasn’t enough dinner, and then she said ‘I need to go to the shops to get dinner.’
I knew he can tell. I’m worried he will think I’m a liar and a loser and a manipulator, which I technically, might be, when in reality- I was just too afraid to ask my mum.
As well as this, I have started to hate myself . 
Weight, appearance, personality. It’s probably due to the fact that I have just finished fighting a major illness, but also, I’ve never been in a relationship. I know I shouldn’t rush into one, but when your friend has been in 7 in his whole life and you have had 0, is weird. It was weird whilst I was struggling to stay awake, my friends were dating people and having fun. I feel so happy for them, but it makes me feel like I have missed a major part of my life. I wish I could be normal.
It’s made me more emotional, and I cry at the little things now. I cry when my laptop switches off and I haven’t saved my work. I cry when I can’t run in the race for life because nobody told me about it. I cry when I think of my friends who died and all the things I missed.
I feel like everyone is judging me for being emotional, and I know they are. I can hear them. I hear them in the classrooms and walking down the hall. If I tell someone then I will start crying. 
I don’t want it to be true.
Does anyone have any tips about talking to people? I can’t talk to strangers. I can’t talk to people. 
And does anyone have any tips for not feeling like I missed out on anything (I missed out on milestones, trips, events, charity trips,etc)?
Does anyone have any tips on how to not be as emotional?
Am I a manipulator? Should I talk to my psychiatrist? I’m worried. What should I do?
If it’s important I’m a teenage girl.</t>
        </is>
      </c>
      <c r="D3716" t="n">
        <v>5</v>
      </c>
      <c r="E3716" t="n">
        <v>14</v>
      </c>
      <c r="F3716">
        <f>HYPERLINK("https://www.reddit.com/r/cancer/comments/chg138/the_emotional_side_of_finishing_treatment/")</f>
        <v/>
      </c>
      <c r="G3716" t="inlineStr">
        <is>
          <t>2019-07-24 16:48:51</t>
        </is>
      </c>
      <c r="H3716" t="inlineStr"/>
    </row>
    <row r="3717">
      <c r="A3717" t="inlineStr">
        <is>
          <t>chg40v</t>
        </is>
      </c>
      <c r="B3717" t="inlineStr">
        <is>
          <t>Too early to try having a baby?</t>
        </is>
      </c>
      <c r="C3717" t="inlineStr">
        <is>
          <t>Exactly a year ago from today I (27M) walked into a hospital to be treated for Burkitt Lymphoma. Almost three months later I walked out of there cancer free and have been in remission since. I was told by my doctors that the numbers for Burkitt Lymphoma cure rates are really good (85% to high 90%), which is a huge piece of encouragement. Even so, I find myself getting nervous about every little discomfort and pain that I feel in my body and the anxiety of relapse is *real*. 
Anyway, I know it's only been about nine months since my last cancer treatment, but my wife and I are wanting to have a baby....like *bad*. We've been married for a couple years now and have always known we've wanted to have a baby but never knew when we would want it. We think last year's events (I also lost my dad around the holidays last year) gave us perspective on life and helped us realize, "We only have so much time here. What are we waiting for? Family is everything." 
My wife is having baby fever hardcore. I too am having the same feelings (hardcore), but on top of it I'm having the anxiety of relapse and it's obviously giving me pause in making the decision to start trying to conceive. My biggest fear is obviously relapsing in a _really_ bad way (like in the worst way, if you know what I mean) while my wife is pregnant or sometime thereafter, and ultimately leaving my wife to be a single mom. Some of my other "less intense" fears are having my pregnant wife simultaneously dealing with both her pregnancy and my relapse and having our baby be born while I'm getting treatment (like that just seems twisted to me), or having my newborn experiencing all these negative things once they're here in the world. Aside from this, our lives are faring pretty well. We both have high paying jobs, own a home, live in a nice area (near our families, who are awesome), etc... Overall, we feel ready, but as I mentioned, I still feel this anxiety.
It's the waiting that's the hardest. I think I'm just waiting and hoping for my oncologist to suddenly declare that I'm "good to go!" I understand that it's more complicated and that there's a process and that I can't reasonably expect that from my doctor, but I'm really looking for some kind of reassurance in making a decision. My doctor says more than 50% of Burkitt's relapse cases are in the first 2-3 years (or something like that), so I'm wondering if I should be waiting until that period passes.
So, I'm here asking, has anyone here tried conceiving this soon after finishing treatment, and if so, did you share in these feelings and how did you overcome them? Or, did you wait until your oncologist gave you the "green light" to live your life and have a family? Am I just living in fear and need to change my mindset and should just go for it? I'd love to hear your thoughts.
Thank you for any support.
Keep fighting everyone, and be well!</t>
        </is>
      </c>
      <c r="D3717" t="n">
        <v>9</v>
      </c>
      <c r="E3717" t="n">
        <v>13</v>
      </c>
      <c r="F3717">
        <f>HYPERLINK("https://www.reddit.com/r/cancer/comments/chg40v/too_early_to_try_having_a_baby/")</f>
        <v/>
      </c>
      <c r="G3717" t="inlineStr">
        <is>
          <t>2019-07-24 16:55:55</t>
        </is>
      </c>
      <c r="H3717" t="inlineStr"/>
    </row>
    <row r="3718">
      <c r="A3718" t="inlineStr">
        <is>
          <t>chg901</t>
        </is>
      </c>
      <c r="B3718" t="inlineStr">
        <is>
          <t>[Serious] Is he actually getting better?</t>
        </is>
      </c>
      <c r="C3718" t="inlineStr">
        <is>
          <t>Hello to whoever is reading. My dad was diagnosed with bile duct cancer in February and started chemo quickly. He was tired, yellowish, and had a loss of appetite throughout the beginning stages. There was good news and bad news. The good was that the main area of the cancer was recessing but the bad was that, since bile duct is very aggressive, more spots had opened up. His legs, kidneys, live, and stomach had all scanned as positive for cancer cells. With this much in him he is going to die from it and they estimated 1 to 2 years left. Idk if you believe in God but that is the only way he can be cured. They started chemo again and my dad is walking better, eating more, and not as tired. I’m one who believes in false hope and I try not to believe that he is going to get better. My question is that could he be feeling better but be getting worse and he wouldn’t know it? Or could he actually be getting better? Thank you</t>
        </is>
      </c>
      <c r="D3718" t="n">
        <v>10</v>
      </c>
      <c r="E3718" t="n">
        <v>12</v>
      </c>
      <c r="F3718">
        <f>HYPERLINK("https://www.reddit.com/r/cancer/comments/chg901/serious_is_he_actually_getting_better/")</f>
        <v/>
      </c>
      <c r="G3718" t="inlineStr">
        <is>
          <t>2019-07-24 17:09:04</t>
        </is>
      </c>
      <c r="H3718" t="inlineStr"/>
    </row>
    <row r="3719">
      <c r="A3719" t="inlineStr">
        <is>
          <t>chgapa</t>
        </is>
      </c>
      <c r="B3719" t="inlineStr">
        <is>
          <t>living through my 20's with a rare cancer (neuroendocrine)</t>
        </is>
      </c>
      <c r="C3719" t="inlineStr">
        <is>
          <t>Hi Reddit. I'm a 24 year old girl fighting neuroendocrine cancer. It's not a very well known cancer which means that the amount of knowledgeable doctors who treat it is scarce. There is no cancer in my family. I was diagnosed with metastatic (stage IV disease) at the age of 19 and am thankfully still here thanks to a liver transplant I had a couple of years ago. The transplant obviously was not a cure, and I am still fighting the disease but am at least ahead of it. After years of thinking about it, I've finally started a YouTube as a way of telling my story and trying to raise awareness for NETs. If anyone is interested, you can find my first video here: [LIVING THROUGH MY 20's WITH CANCER](https://www.youtube.com/watch?v=Yp8W35SyUTU&amp;amp;feature=youtu.be)
If not, I'd still be glad to answer any questions with regards to NETs and communicate with others who are familiar with this disease and maybe have other stories to share?</t>
        </is>
      </c>
      <c r="D3719" t="n">
        <v>1</v>
      </c>
      <c r="E3719" t="n">
        <v>0</v>
      </c>
      <c r="F3719">
        <f>HYPERLINK("https://www.reddit.com/r/cancer/comments/chgapa/living_through_my_20s_with_a_rare_cancer/")</f>
        <v/>
      </c>
      <c r="G3719" t="inlineStr">
        <is>
          <t>2019-07-24 17:12:51</t>
        </is>
      </c>
      <c r="H3719" t="inlineStr"/>
    </row>
    <row r="3720">
      <c r="A3720" t="inlineStr">
        <is>
          <t>chgq6w</t>
        </is>
      </c>
      <c r="B3720" t="inlineStr">
        <is>
          <t>I got lucky</t>
        </is>
      </c>
      <c r="C3720" t="inlineStr">
        <is>
          <t>Disclaimer: sorry if it sounds braggy. I genuinely don’t mean it that  way. I’m a teenager I word things horribly I’m sorry. 
Not in the sense of it got caught early. It took a year to find. Stage 3 stuff. I’m lucky in the sense that I was 12. 
Children’s hospitals made me feel normal. Luries was the hospital I went to in Chicago. They had a tv channel where they would have hospital bingo, body parts (a game where you get 5 body parts and they call them out and when you get all 5 you win) and a live penguin cam. For the first two you get prizes if you win. It made it so much easier for my tween brain to feel not like shit When your severely allergic to your main chemo drug and get a 105 temp the first time you use it within 30 seconds. Also god bless charities. I’m sorry that adults can’t use them. They make stuff a lot easier when it comes to coping. Cals angels, bear necessities, shining stars and the MAW coming up next year. They made me really happy with their generosity.  I’m currently in Colorado with my family on the shining stars trip.
Once more I’m sorry if this offended anyone. I don’t mean to say this in a braggy way.
Have a nice day :)</t>
        </is>
      </c>
      <c r="D3720" t="n">
        <v>26</v>
      </c>
      <c r="E3720" t="n">
        <v>6</v>
      </c>
      <c r="F3720">
        <f>HYPERLINK("https://www.reddit.com/r/cancer/comments/chgq6w/i_got_lucky/")</f>
        <v/>
      </c>
      <c r="G3720" t="inlineStr">
        <is>
          <t>2019-07-24 17:53:14</t>
        </is>
      </c>
      <c r="H3720" t="inlineStr"/>
    </row>
    <row r="3721">
      <c r="A3721" t="inlineStr">
        <is>
          <t>chhrcb</t>
        </is>
      </c>
      <c r="B3721" t="inlineStr">
        <is>
          <t>Tough day and I’m outa fucks right now</t>
        </is>
      </c>
      <c r="C3721" t="inlineStr">
        <is>
          <t>terminal patient and my diagnosis doesn’t define me, so I’m not big on talking about it. All day I’m in pain and meds aren’t helping. Just needed to get it out there so I can get through the night. Fuck cancer. Someone tell me it’s worth getting to tomorrow please.</t>
        </is>
      </c>
      <c r="D3721" t="n">
        <v>61</v>
      </c>
      <c r="E3721" t="n">
        <v>41</v>
      </c>
      <c r="F3721">
        <f>HYPERLINK("https://www.reddit.com/r/cancer/comments/chhrcb/tough_day_and_im_outa_fucks_right_now/")</f>
        <v/>
      </c>
      <c r="G3721" t="inlineStr">
        <is>
          <t>2019-07-24 19:30:00</t>
        </is>
      </c>
      <c r="H3721" t="inlineStr"/>
    </row>
    <row r="3722">
      <c r="A3722" t="inlineStr">
        <is>
          <t>chi0tf</t>
        </is>
      </c>
      <c r="B3722" t="inlineStr">
        <is>
          <t>Am I a cancer survivor if I did not go through Chemo?</t>
        </is>
      </c>
      <c r="C3722" t="inlineStr">
        <is>
          <t>Hi! I’ll keep this brief, as I don’t want to go through my whole health history. I’m a 33yr old female, with 2 children 6 and 9. I’ve had skin cancer twice around 28/29, and surgery to remove that.
At 30 I was diagnosed with stage 3A colorectal cancer after an emergency appendectomy. Over the next 3-4 months I underwent 4 separate surgeries to remove half my colon and lymph nodes. 
Recovery sucked, I’ve had some complications over the past 3 yrs and living with half a colon is “shitty” sometimes, pun intended. But I’m so grateful and I know I’m lucky that everything worked out the way it did. 
Not needing chemo has always made me stop short of calling myself a “survivor”. I didn’t feel like a was BATTLING cancer. I was recovering from surgeries and it was horrible but I never get my life was threatened (had we not found it when we did, well that would be a different story).
So, am I a survivor?</t>
        </is>
      </c>
      <c r="D3722" t="n">
        <v>12</v>
      </c>
      <c r="E3722" t="n">
        <v>26</v>
      </c>
      <c r="F3722">
        <f>HYPERLINK("https://www.reddit.com/r/cancer/comments/chi0tf/am_i_a_cancer_survivor_if_i_did_not_go_through/")</f>
        <v/>
      </c>
      <c r="G3722" t="inlineStr">
        <is>
          <t>2019-07-24 19:55:14</t>
        </is>
      </c>
      <c r="H3722" t="inlineStr"/>
    </row>
    <row r="3723">
      <c r="A3723" t="inlineStr">
        <is>
          <t>chidr1</t>
        </is>
      </c>
      <c r="B3723" t="inlineStr">
        <is>
          <t>5 outa 6 did the job</t>
        </is>
      </c>
      <c r="C3723" t="inlineStr">
        <is>
          <t>So I was supposed to do six rounds of RCHOP to knock out my stage 3 high grade B cell  lymphoma, the tumor was the size of a grapefruit, blocking my mane bile duct, so they put a stent in, then gallbladder got strep infection, so they put a tube through my stomach through my liver and into my gallbladder connected to a bag on my leg, witch just got removed last week. ok now time for chemo, first round went ok, then  had first pet scan, said it was stage 3, second chemo hair started falling out, mouth sores that put me on a liquid diet, and vomiting, third chemo every thing x 2  from second. Fourth chemo sent me to ER no white cells, two weeks in hospital and losing lots of weight, I’m six foot and was down to 115 pounds, well out in time for fifth round, well it sent me back to ER same old song and dance,at this point I realized I wasn’t doing number six, got out , told my Family and friends, as well as this forum, and got mixed response, well that was almost two months ago and I got a pet scan last week and they told me today all good cancer free, so follow your gut feelings. I think the sixth round would have killed me. Oh and FUCK CANCER</t>
        </is>
      </c>
      <c r="D3723" t="n">
        <v>8</v>
      </c>
      <c r="E3723" t="n">
        <v>9</v>
      </c>
      <c r="F3723">
        <f>HYPERLINK("https://www.reddit.com/r/cancer/comments/chidr1/5_outa_6_did_the_job/")</f>
        <v/>
      </c>
      <c r="G3723" t="inlineStr">
        <is>
          <t>2019-07-24 20:30:27</t>
        </is>
      </c>
      <c r="H3723" t="inlineStr"/>
    </row>
    <row r="3724">
      <c r="A3724" t="inlineStr">
        <is>
          <t>chk019</t>
        </is>
      </c>
      <c r="B3724" t="inlineStr">
        <is>
          <t>Don’t want to celebrate my Birthday</t>
        </is>
      </c>
      <c r="C3724" t="inlineStr">
        <is>
          <t>It might sound weird, but I do not want to celebrate my birthday. It is on Sunday, but still, I don’t want to celebrate it.
My folks are planning to visit, but not in the mood for celebrating at all. I don’t even want to take phone calls from family or friends.  
I do not have anything to look forward to. Last week got scan results that showed that we wasted 4 months and a crap load of money with treatments that made the tumors grow and not shrink.
So at this stage the only thing I see is another day of pain, shitting blood and a colostomy that hinders most things I do every day. I do not have anything normal anymore. The whole world is falling apart around me. I lost my job and now have to rely on my wife for everything. Most of the days are spent sleeping due to the pain meds, and every waking moment of every day is either a headache, nausea or pain from the tumor. That is my new normal! And I hate every moment of my life. And best of all, our medical aid, has just been depleted. So now we have another expense that neither me nor my wife can pay.
If death would take me now, it will be better as I will not be a burden on anyone anymore.</t>
        </is>
      </c>
      <c r="D3724" t="n">
        <v>21</v>
      </c>
      <c r="E3724" t="n">
        <v>9</v>
      </c>
      <c r="F3724">
        <f>HYPERLINK("https://www.reddit.com/r/cancer/comments/chk019/dont_want_to_celebrate_my_birthday/")</f>
        <v/>
      </c>
      <c r="G3724" t="inlineStr">
        <is>
          <t>2019-07-24 23:27:46</t>
        </is>
      </c>
      <c r="H3724" t="inlineStr"/>
    </row>
    <row r="3725">
      <c r="A3725" t="inlineStr">
        <is>
          <t>chkkhx</t>
        </is>
      </c>
      <c r="B3725" t="inlineStr">
        <is>
          <t>MD Anderson and Sloan Kettering experiences</t>
        </is>
      </c>
      <c r="C3725" t="inlineStr">
        <is>
          <t>My sarcoma is believed to be back and pushing on my lungs, basically what I was told today is I may be sent to either MD Anderson or Sloan Kettering for better treatment and just wanted to know some peoples opinions, experiences and thoughts on these places. 
&amp;amp;#x200B;
For more info about my cancer I was first diagnosed at 20 years old(f) had major surgery and chemo, after six months had a scan that showed a new tumor. The type of tumor I had was an MNST (malignant nerve sheath tumor) which I was told is a type of sarcoma. However I haven't really heard of anyone else having this type.</t>
        </is>
      </c>
      <c r="D3725" t="n">
        <v>5</v>
      </c>
      <c r="E3725" t="n">
        <v>5</v>
      </c>
      <c r="F3725">
        <f>HYPERLINK("https://www.reddit.com/r/cancer/comments/chkkhx/md_anderson_and_sloan_kettering_experiences/")</f>
        <v/>
      </c>
      <c r="G3725" t="inlineStr">
        <is>
          <t>2019-07-25 00:36:11</t>
        </is>
      </c>
      <c r="H3725" t="inlineStr"/>
    </row>
    <row r="3726">
      <c r="A3726" t="inlineStr">
        <is>
          <t>chlfa0</t>
        </is>
      </c>
      <c r="B3726" t="inlineStr">
        <is>
          <t>Terrified mums cancer is back!</t>
        </is>
      </c>
      <c r="C3726" t="inlineStr">
        <is>
          <t>My mum was diagnosed with non hodgkin's lymphoma last October, she did chemo and radiotherapy and kicked its ass!! I was there the whole way through as I lost my job as she was diagnosed. She completed her treatment and had a PET scan which confirmed it was all gone. Fast forward 2 months and she went back for another PET scan as is the procedure here in the UK. We didn't expect to get an appointment for the results for at least 2 weeks as that is how long it usually takes (NHS over stretched and under funded and all that!) She had the scan on Monday, they called her yesterday to say they want her to see the consultant Friday (tomorrow)
For her results. I'm just terrified they are getting her back in so quickly because its come back. I'm trying to be strong and stay positive but it's hard. I put a brave face on for my mum told her I'm sure it's fine and all we be good, but I cant seem to get rid of that knot in my stomach that tells me it's not ok!</t>
        </is>
      </c>
      <c r="D3726" t="n">
        <v>5</v>
      </c>
      <c r="E3726" t="n">
        <v>0</v>
      </c>
      <c r="F3726">
        <f>HYPERLINK("https://www.reddit.com/r/cancer/comments/chlfa0/terrified_mums_cancer_is_back/")</f>
        <v/>
      </c>
      <c r="G3726" t="inlineStr">
        <is>
          <t>2019-07-25 02:28:29</t>
        </is>
      </c>
      <c r="H3726" t="inlineStr"/>
    </row>
    <row r="3727">
      <c r="A3727" t="inlineStr">
        <is>
          <t>chn9qm</t>
        </is>
      </c>
      <c r="B3727" t="inlineStr">
        <is>
          <t>A small victory.</t>
        </is>
      </c>
      <c r="C3727" t="inlineStr">
        <is>
          <t>As a kid I was allergic to bee stings. I’d sweep up into a giant balloon.  I had a stem cell transplant in February, and last night I got stung by a bee. 
Nothing. No swelling, very little pain, no itching. 
I have no idea if bone marrow transplants can cure allergies but I can finally be around bees with out having panic attacks.</t>
        </is>
      </c>
      <c r="D3727" t="n">
        <v>51</v>
      </c>
      <c r="E3727" t="n">
        <v>9</v>
      </c>
      <c r="F3727">
        <f>HYPERLINK("https://www.reddit.com/r/cancer/comments/chn9qm/a_small_victory/")</f>
        <v/>
      </c>
      <c r="G3727" t="inlineStr">
        <is>
          <t>2019-07-25 05:52:38</t>
        </is>
      </c>
      <c r="H3727" t="inlineStr"/>
    </row>
    <row r="3728">
      <c r="A3728" t="inlineStr">
        <is>
          <t>chnx35</t>
        </is>
      </c>
      <c r="B3728" t="inlineStr">
        <is>
          <t>Oral Xeloda for breast cancer...extreme abdominal pain and fever</t>
        </is>
      </c>
      <c r="C3728" t="inlineStr">
        <is>
          <t>This is partially a rant and partially a question. So I'll start with the question. Does anybody else experience several days of extreme abdominal pain after starting their oral xeloda? The last 2 rounds have been absolutely awful. Within a few hours of taking it my liver is extremely painful, and feels swollen. I can't see inside myself so I don't know if it is swollen, but it feels that way. And then I have pretty extreme abdominal pain kind of over where my bladder would be. I'm also running a fever, but I don't feel sick. It feels like the tumor fever I had in the hospital. So any experience is greatly welcome
Now for the rant. This has been going on for days. My last round of this medication landed me in the hospital for several days getting iv dilaudid to just get through. Once I got through the 1st few days, the abdominal pain seemed to go away and I was able to finish my last round with only the hand and foot syndrome to deal with. Now it's doing the same thing again and I'm just trying to keep myself out of the hospital lol. So I'm trying to get ahold of my doctors and trying to ask questions and I have talked to like 5 different nurses, and gotten no answers. All I wanna know is if they need me to come in, if they want me to skip my dose, shouldningo to my PCP for bloodwork? The doctor I spoke to on the phone last night (on call guy) said somebody would be calling me 1st thing this morning. Nobody did, I had to send out two emails and call myself. I'm at one of the biggest cancer treatment centers in Florida and I feel like I can't even get ahold of a doctor. I'm stage four, with a grapefruit sized tumor on my liver, and I'm having pretty extreme liver pain and a fever. Nobody is calling me back😡</t>
        </is>
      </c>
      <c r="D3728" t="n">
        <v>4</v>
      </c>
      <c r="E3728" t="n">
        <v>5</v>
      </c>
      <c r="F3728">
        <f>HYPERLINK("https://www.reddit.com/r/cancer/comments/chnx35/oral_xeloda_for_breast_cancerextreme_abdominal/")</f>
        <v/>
      </c>
      <c r="G3728" t="inlineStr">
        <is>
          <t>2019-07-25 06:51:45</t>
        </is>
      </c>
      <c r="H3728" t="inlineStr"/>
    </row>
    <row r="3729">
      <c r="A3729" t="inlineStr">
        <is>
          <t>chp3rc</t>
        </is>
      </c>
      <c r="B3729" t="inlineStr">
        <is>
          <t>How is the proposed International Pricing Index (IPI) going to hurt me?</t>
        </is>
      </c>
      <c r="C3729" t="inlineStr">
        <is>
          <t>I'm new to Reddit so please, be gentle with me if I say or write something incorrectly.  Does anyone have any idea of how the proposed International Pricing Index (IPI) is going to hurt those of us going through infusion therapy?</t>
        </is>
      </c>
      <c r="D3729" t="n">
        <v>1</v>
      </c>
      <c r="E3729" t="n">
        <v>0</v>
      </c>
      <c r="F3729">
        <f>HYPERLINK("https://www.reddit.com/r/cancer/comments/chp3rc/how_is_the_proposed_international_pricing_index/")</f>
        <v/>
      </c>
      <c r="G3729" t="inlineStr">
        <is>
          <t>2019-07-25 08:19:56</t>
        </is>
      </c>
      <c r="H3729" t="inlineStr"/>
    </row>
    <row r="3730">
      <c r="A3730" t="inlineStr">
        <is>
          <t>chpep8</t>
        </is>
      </c>
      <c r="B3730" t="inlineStr">
        <is>
          <t>Don’t know if my mom can make it through tonight</t>
        </is>
      </c>
      <c r="C3730" t="inlineStr">
        <is>
          <t>HCC. Internal bleeding in her liver. Surgeons decided not to operate. Puke whatever she eats/drinks, constant abdomen pain. I am sorry mother. I love you.</t>
        </is>
      </c>
      <c r="D3730" t="n">
        <v>20</v>
      </c>
      <c r="E3730" t="n">
        <v>11</v>
      </c>
      <c r="F3730">
        <f>HYPERLINK("https://www.reddit.com/r/cancer/comments/chpep8/dont_know_if_my_mom_can_make_it_through_tonight/")</f>
        <v/>
      </c>
      <c r="G3730" t="inlineStr">
        <is>
          <t>2019-07-25 08:43:14</t>
        </is>
      </c>
      <c r="H3730" t="inlineStr"/>
    </row>
    <row r="3731">
      <c r="A3731" t="inlineStr">
        <is>
          <t>chptki</t>
        </is>
      </c>
      <c r="B3731" t="inlineStr">
        <is>
          <t>So this past Friday my grandfather was givin the bad news</t>
        </is>
      </c>
      <c r="C3731" t="inlineStr">
        <is>
          <t>Quick background, back in April of this year my grandfather had a testicle removed for what was supposively an infection ( i don't think the doctor biopsied it... 😡) he said that he had never seen anything like it before, it was swollen and filled with blood, fast forward 1 month later, my uncle takes him to the hospital cause he isn't eating or drinking, they did scans and blood tests and found he was on the verge of kidney failure, the scans revieled he had a mass in his bladder, when they went to operate 2 days later it was bigger than the scan showed, the testing revieled it was a rare sarcomatoid carcinoma (MIBC),
 Fast forward about 1-2 weeks, he starts chemo at Sidney Kimmel in Philly, does 2 rounds, then starts to feel like pure sh*t, so they took him down to Jefferson in philly last friday and the scans showed that the cancer had spread to both his lungs, they drained the fluid which was also apparently filled with blood and they basically gave up on him saying there is nothing they can do, all throughout this process my uncle had been relaying all the scans and info to MSK in NY, they were pretty confident in treating him, but they never got to the appointment on July 17'th because of how my grandfather was feeling.
Question is though, is there still hope? Or is this cancer really just too far gone to do anything? 
My uncle still wants to take him to Sloan Kettering.</t>
        </is>
      </c>
      <c r="D3731" t="n">
        <v>6</v>
      </c>
      <c r="E3731" t="n">
        <v>1</v>
      </c>
      <c r="F3731">
        <f>HYPERLINK("https://www.reddit.com/r/cancer/comments/chptki/so_this_past_friday_my_grandfather_was_givin_the/")</f>
        <v/>
      </c>
      <c r="G3731" t="inlineStr">
        <is>
          <t>2019-07-25 09:14:50</t>
        </is>
      </c>
      <c r="H3731" t="inlineStr"/>
    </row>
    <row r="3732">
      <c r="A3732" t="inlineStr">
        <is>
          <t>chptv9</t>
        </is>
      </c>
      <c r="B3732" t="inlineStr">
        <is>
          <t>My uncle is dying and he doesn't realize it</t>
        </is>
      </c>
      <c r="C3732" t="inlineStr">
        <is>
          <t>Hello,
&amp;amp;#x200B;
my uncle is dying from cancer, he was too sick to get next round of chemo, which stopped working anyway.  He was hospitalized to alleviate his jaundice (from liver metastasis) according to a doctor there is nothing they can do more. He is now in palliative care.
The problem is that even though he realized that the situation is bad he still thinks it will get better and that he will be able to continue his cancer treatment. My family doesn't want to tell him that there is no hope left and he probably has weeks or even days to live.  I am really torn apart, he isn't in a lot of pain but he fell sick, he is too weak to walk and will probably spend rest of his days stuck to a hospital bed. Hope seems to be the only thing which keeps him alive and I don't want him to lose it at the same time I feel bad of lying to him. He made preparation for his funeral months ago, but he really wants to live and fight so I really worry won't truth will do to him. Right now we are just making sure he is as comfortable as possible and that people he loves visit him.</t>
        </is>
      </c>
      <c r="D3732" t="n">
        <v>18</v>
      </c>
      <c r="E3732" t="n">
        <v>15</v>
      </c>
      <c r="F3732">
        <f>HYPERLINK("https://www.reddit.com/r/cancer/comments/chptv9/my_uncle_is_dying_and_he_doesnt_realize_it/")</f>
        <v/>
      </c>
      <c r="G3732" t="inlineStr">
        <is>
          <t>2019-07-25 09:15:28</t>
        </is>
      </c>
      <c r="H3732" t="inlineStr"/>
    </row>
    <row r="3733">
      <c r="A3733" t="inlineStr">
        <is>
          <t>chqe2t</t>
        </is>
      </c>
      <c r="B3733" t="inlineStr">
        <is>
          <t>Looking for any feedback or anything on my bosses cancer story</t>
        </is>
      </c>
      <c r="C3733" t="inlineStr">
        <is>
          <t>So my best friends father got a call and the doctor said they think he has lung cancer after he got a biopsy when he had pneumonia.  When the main doctor called him back they said that they where “shocked” because all his blood tests and results came back normal, his immune system is fine they said so they can’t tell us more just that they think he has cancer due to 2 small spots on one of his lungs that is around 4cm big he was a smoker for 40+ years he just quit maybe 4 years ago, I’ve looked up the symptoms and he dose have a few of them he was coughing up blood, he recently lost weight and gained a small amount back  he has a cough that had been going on for some time now he recently had pneumonia and they gave him antibiotics that helped kick the pneumonia, so I’m just kind of confused on how they think he has cancer but his tests are fine and how even the doctor is “shocked” he is 67  years old  he works as a stone mason which for years when cutting stone there is a lot of dust that is inhaled and the spots on his lungs were discovered before by another doctor and they said to due to the size it was not cancer but they never tested it. So I’m just lookin for some feedback, similar story’s, just anything to learn a bit more about this and what others think my boss and his son have been freaking out since the call because they just said we think he has cancer and that’s it didn’t say nothing more so if anyone has a similar story or can relate in any way or just got anything to say on this situation I’m open to everything. Thanks in advance !</t>
        </is>
      </c>
      <c r="D3733" t="n">
        <v>4</v>
      </c>
      <c r="E3733" t="n">
        <v>1</v>
      </c>
      <c r="F3733">
        <f>HYPERLINK("https://www.reddit.com/r/cancer/comments/chqe2t/looking_for_any_feedback_or_anything_on_my_bosses/")</f>
        <v/>
      </c>
      <c r="G3733" t="inlineStr">
        <is>
          <t>2019-07-25 09:59:14</t>
        </is>
      </c>
      <c r="H3733" t="inlineStr"/>
    </row>
    <row r="3734">
      <c r="A3734" t="inlineStr">
        <is>
          <t>chqjy2</t>
        </is>
      </c>
      <c r="B3734" t="inlineStr">
        <is>
          <t>I know this is a little unusual, but I wrote this poem about my experience with treatment and wanted to share it with you all. Stay strong friends, I love you all.</t>
        </is>
      </c>
      <c r="C3734" t="inlineStr">
        <is>
          <t>Please be gentle friends, this is the first time I've ever shared any of my poetry with anyone
Cancer. 
An all consuming attack against the undeserving
That which cares not about race
Or age
Or sex 
Or any demographic. 
The great equalizer. 
Drip. Drip. Drip. 
A punishment for crimes not yet committed. 
You didn't choose to have kids when you were a teenager. 
Now you'll likely never get the chance. 
Drip. Drip. Drip. 
And now you'll always be looking over your shoulder. 
You'll never have a day of peace. 
Not a day will go by that you don't think to yourself
"I have cancer. When is it next going to come back?" 
Drip. Drip. Drip. 
The chemo slowly makes its way through your veins. 
The bag slowly empties into your body
Your hair would be falling out soon 
If you had any left. 
And you don't even know
How many more rounds you'll have to endure. 
Drip. Drip. Drip. 
The nausea come in waves. 
Sure, they'll give you meds to help, 
But it'll be late at night,
Two in the morning, 
When the meds wear off, 
And you find yourself hunched over the toilet again, 
Praying for this all to be over. 
Drip. Drip. Drip. 
And when your chemo is finished for the day, 
The dripping stops. 
Your body is weak. 
Exhausted. 
You can finally go home. 
But be sure to be back tomorrow for the next round.
And so it begins again. 
Drip. Drip. Drip.</t>
        </is>
      </c>
      <c r="D3734" t="n">
        <v>19</v>
      </c>
      <c r="E3734" t="n">
        <v>4</v>
      </c>
      <c r="F3734">
        <f>HYPERLINK("https://www.reddit.com/r/cancer/comments/chqjy2/i_know_this_is_a_little_unusual_but_i_wrote_this/")</f>
        <v/>
      </c>
      <c r="G3734" t="inlineStr">
        <is>
          <t>2019-07-25 10:11:40</t>
        </is>
      </c>
      <c r="H3734" t="inlineStr"/>
    </row>
    <row r="3735">
      <c r="A3735" t="inlineStr">
        <is>
          <t>chqxm1</t>
        </is>
      </c>
      <c r="B3735" t="inlineStr">
        <is>
          <t>My Oncologist just Fat-Shamed me.</t>
        </is>
      </c>
      <c r="C3735" t="inlineStr">
        <is>
          <t>I want to preface this with the acknowledgement that yes: I need to lose weight. Also, I am very aware of the risks associated with obesity and the links to cancer. I am not debating that I am fat, in any shape or form. I am 5'8" tall and currently weigh 211lbs. 
However, at my 18 month follow up with my local chem-onc today, she came in, looked at me and said that I'd - and then literally puffed out her cheeks and held her arms out in a rounded shape.
I currently weigh 20lbs more than I did when I was diagnosed (which was my lowest adult body weight). In the interim, I have been thrust into menopause and am learning about what that means for my body. I make 90% of my food from scratch (and always have), and because my body can't really process too many fruits or veggies all at once, I try and space them out as snacks during the day, paired with a small amount of carbs. We only eat red meat about three or four times a month, and I am not a soda drinker. I walk every day, and am working on reintroducing weight training on a regular schedule in to my life. (I was doing cardio but my physio asked me to stop because it was tightening up everything we are trying to loosen thanks to my messed up pelvic floor).
Her advice to me was to eat lean meat, exercise, and stay away from processed foods.
She also didn't give me any information about my latest round of blood work, or if I still had to take as much iron as she prescribed, and said that my GI mentioned suppository steroids (which is news to me, since he never said anything like that to me at all).
I've been wavering between crying and being extremely angry for the past three hours. My nurse talked me down a bit, but I think my biggest reason for being upset is how dismissed and invisible my chem-onc made me feel, and how terrifically rude she was. Had she mentioned she would like me to focus on losing weight and asked about my diet, I would have been very keen to have that discussion and hear some suggestions.
Funnily enough, just in the past weeks I have FINALLY started feeling really good - both physically and mentally - and was so excited to talk to her about the changes I am making and how amazing my body feels. I even felt pretty today.
I guess since I'm fat, though, I only merit forty five seconds of her time and mocking, rude gestures.  &amp;gt;:o</t>
        </is>
      </c>
      <c r="D3735" t="n">
        <v>26</v>
      </c>
      <c r="E3735" t="n">
        <v>52</v>
      </c>
      <c r="F3735">
        <f>HYPERLINK("https://www.reddit.com/r/cancer/comments/chqxm1/my_oncologist_just_fatshamed_me/")</f>
        <v/>
      </c>
      <c r="G3735" t="inlineStr">
        <is>
          <t>2019-07-25 10:40:58</t>
        </is>
      </c>
      <c r="H3735" t="inlineStr"/>
    </row>
    <row r="3736">
      <c r="A3736" t="inlineStr">
        <is>
          <t>chqzya</t>
        </is>
      </c>
      <c r="B3736" t="inlineStr">
        <is>
          <t>Making clinic/hospital better for adult patients</t>
        </is>
      </c>
      <c r="C3736" t="inlineStr">
        <is>
          <t>I was reading the post from r/rotorwash47 about the perks of the pediatric oncology ward, and I was wondering why the experience couldn't be made nicer for adult cancer clinics. I mean, some places ARE nice - my mum got chemo at Dana-Farber (thank you Medicare) where they offer free sandwiches and acupuncture and a library cart, but I'm betting that's not the norm. Like, when I got radiation, I got a giant-sized hospital gown and endless episodes of "The Doctors" at top volume. Scripps, you gotta step it up!
Has anyone here become a volunteer in oncology after reaching remission? I'm thinking about that when I retire in a few years. I want to make the experience easier for folks.</t>
        </is>
      </c>
      <c r="D3736" t="n">
        <v>9</v>
      </c>
      <c r="E3736" t="n">
        <v>5</v>
      </c>
      <c r="F3736">
        <f>HYPERLINK("https://www.reddit.com/r/cancer/comments/chqzya/making_clinichospital_better_for_adult_patients/")</f>
        <v/>
      </c>
      <c r="G3736" t="inlineStr">
        <is>
          <t>2019-07-25 10:45:49</t>
        </is>
      </c>
      <c r="H3736" t="inlineStr"/>
    </row>
    <row r="3737">
      <c r="A3737" t="inlineStr">
        <is>
          <t>chrhew</t>
        </is>
      </c>
      <c r="B3737" t="inlineStr">
        <is>
          <t>Dry orgasm after chemo</t>
        </is>
      </c>
      <c r="C3737" t="inlineStr">
        <is>
          <t>After his very first round of chemo, my guy was no longer able to ejaculate (dry orgasm). He has not had any surgeries as of yet and the last chemo was mid May. His oncologist says it doesn’t happen often, he doesn’t know why it happens and it’s unlikely that it will return. Has anyone else experienced this after chemo alone?</t>
        </is>
      </c>
      <c r="D3737" t="n">
        <v>6</v>
      </c>
      <c r="E3737" t="n">
        <v>3</v>
      </c>
      <c r="F3737">
        <f>HYPERLINK("https://www.reddit.com/r/cancer/comments/chrhew/dry_orgasm_after_chemo/")</f>
        <v/>
      </c>
      <c r="G3737" t="inlineStr">
        <is>
          <t>2019-07-25 11:23:15</t>
        </is>
      </c>
      <c r="H3737" t="inlineStr"/>
    </row>
    <row r="3738">
      <c r="A3738" t="inlineStr">
        <is>
          <t>chrvuu</t>
        </is>
      </c>
      <c r="B3738" t="inlineStr">
        <is>
          <t>Temozolomide and Irinotecan experiences?</t>
        </is>
      </c>
      <c r="C3738" t="inlineStr">
        <is>
          <t>My husband's oncologists are changing up his chemo protocol from VDC to temolozomide and Irinotecan for his Ewing's Sarcoma.  He is on treatment for preventative measures as he has no active disease (the tumor was removed in December and was sent to pathology, we had no idea what it was prior to then).  My husband had several rounds of VDC as a child, and even at reduced dosing is too hard on him.  The oncologist tells him that this new protocol is better tolerated.  Can anyone provide me an idea of their experiences with these drugs, particularly with their fatigue levels?  My husband is currently struggling with intense fatigue and lack of appetite from the VDC.
Thanks!</t>
        </is>
      </c>
      <c r="D3738" t="n">
        <v>7</v>
      </c>
      <c r="E3738" t="n">
        <v>0</v>
      </c>
      <c r="F3738">
        <f>HYPERLINK("https://www.reddit.com/r/cancer/comments/chrvuu/temozolomide_and_irinotecan_experiences/")</f>
        <v/>
      </c>
      <c r="G3738" t="inlineStr">
        <is>
          <t>2019-07-25 11:54:44</t>
        </is>
      </c>
      <c r="H3738" t="inlineStr"/>
    </row>
    <row r="3739">
      <c r="A3739" t="inlineStr">
        <is>
          <t>chsw3g</t>
        </is>
      </c>
      <c r="B3739" t="inlineStr">
        <is>
          <t>I got this lump..</t>
        </is>
      </c>
      <c r="C3739" t="inlineStr">
        <is>
          <t>It’s above My armpit. If i reach for the sky you can clearly see it. 
It’s kind of small and round, and it’s out more when i work out. 
It’s not hurting or anything, it’s just squishy. 
What do you guys think? 
Maybe should mention that i have alot of relatives with cancer.</t>
        </is>
      </c>
      <c r="D3739" t="n">
        <v>0</v>
      </c>
      <c r="E3739" t="n">
        <v>9</v>
      </c>
      <c r="F3739">
        <f>HYPERLINK("https://www.reddit.com/r/cancer/comments/chsw3g/i_got_this_lump/")</f>
        <v/>
      </c>
      <c r="G3739" t="inlineStr">
        <is>
          <t>2019-07-25 13:14:24</t>
        </is>
      </c>
      <c r="H3739" t="inlineStr"/>
    </row>
    <row r="3740">
      <c r="A3740" t="inlineStr">
        <is>
          <t>chtktj</t>
        </is>
      </c>
      <c r="B3740" t="inlineStr">
        <is>
          <t>It might be back.</t>
        </is>
      </c>
      <c r="C3740" t="inlineStr">
        <is>
          <t>I'm not sure how this post will turn out so just bare with me. On Sunday I went to my local GP about some chest pains and shortness of breath and after about 10 minutes I was told to get to A&amp;amp;E ASAP. On arrival I had an x-ray of my chest which showed that fluid had filled up my left chest cavity hence the breathing problems.
On Monday I had a drain fitted and since then 4 1/2 litres where drained. It's not 100% for sure but it's very likely that this is linked to the cancer I was treated for earlier this year.
Sorry for my mindless babbling but I'm so fucking worried, I'm 20 this is horrible.</t>
        </is>
      </c>
      <c r="D3740" t="n">
        <v>15</v>
      </c>
      <c r="E3740" t="n">
        <v>9</v>
      </c>
      <c r="F3740">
        <f>HYPERLINK("https://www.reddit.com/r/cancer/comments/chtktj/it_might_be_back/")</f>
        <v/>
      </c>
      <c r="G3740" t="inlineStr">
        <is>
          <t>2019-07-25 14:08:42</t>
        </is>
      </c>
      <c r="H3740" t="inlineStr"/>
    </row>
    <row r="3741">
      <c r="A3741" t="inlineStr">
        <is>
          <t>chtlif</t>
        </is>
      </c>
      <c r="B3741" t="inlineStr">
        <is>
          <t>Cervical cancer symptoms, abnormal pap, waiting for biopsy and results. Scared</t>
        </is>
      </c>
      <c r="C3741" t="inlineStr">
        <is>
          <t>24f, I had an abnormal Pap smear and it said I had ASC-H, which is abnormal cervical cells that are at risk of being more severe than other types of abnormal Pap tests. I had a colposcopy and biopsy with my gyno to see what kind of changes there were and if I needed treatment but a few days later I was called to schedule another biopsy because there weren’t enough endocervical cells to come up with the right results. 
My second biopsy is a week away and I can’t help but to be extremely nervous because over the last two years I’ve had a gut feeling something was off with my body. I’ve had all the symptoms of cervical cancer; pelvic pain, back pain, pain during and after intercourse, bleeding after intercourse, irregular periods, weird discharge... etc. 
I’ve gone to several doctors each who say nothing is wrong, but now that I’ve had my abnormal Pap smear I’m afraid that this is it and I’m about to face some really hard news...
I just can’t stand the feeling of being in this diagnosis process and I want to know if anyone has experienced this situation where you’re gut feeling has come to be true and how you cope with the waiting.</t>
        </is>
      </c>
      <c r="D3741" t="n">
        <v>2</v>
      </c>
      <c r="E3741" t="n">
        <v>0</v>
      </c>
      <c r="F3741">
        <f>HYPERLINK("https://www.reddit.com/r/cancer/comments/chtlif/cervical_cancer_symptoms_abnormal_pap_waiting_for/")</f>
        <v/>
      </c>
      <c r="G3741" t="inlineStr">
        <is>
          <t>2019-07-25 14:10:20</t>
        </is>
      </c>
      <c r="H3741" t="inlineStr"/>
    </row>
    <row r="3742">
      <c r="A3742" t="inlineStr">
        <is>
          <t>chtz0a</t>
        </is>
      </c>
      <c r="B3742" t="inlineStr">
        <is>
          <t>Having trouble with swallowing ???</t>
        </is>
      </c>
      <c r="C3742" t="inlineStr">
        <is>
          <t>Hey everybody, it has been a week since my first cycle of chemo and I noticed this hard time swallowing and gagging a lot easier (every time I cough) when I was in the hospital for treatment but it didn’t really click that it could be something completely different from just nausea? Has anyone had any experience with this? If so, was there anything that made it better?</t>
        </is>
      </c>
      <c r="D3742" t="n">
        <v>5</v>
      </c>
      <c r="E3742" t="n">
        <v>1</v>
      </c>
      <c r="F3742">
        <f>HYPERLINK("https://www.reddit.com/r/cancer/comments/chtz0a/having_trouble_with_swallowing/")</f>
        <v/>
      </c>
      <c r="G3742" t="inlineStr">
        <is>
          <t>2019-07-25 14:41:17</t>
        </is>
      </c>
      <c r="H3742" t="inlineStr"/>
    </row>
    <row r="3743">
      <c r="A3743" t="inlineStr">
        <is>
          <t>chtzv5</t>
        </is>
      </c>
      <c r="B3743" t="inlineStr">
        <is>
          <t>Need some info</t>
        </is>
      </c>
      <c r="C3743" t="inlineStr">
        <is>
          <t>I need some info preferably from medical professionals but, anyone can put their 2¢ in. I have a friend that says her husband has lung cancer from asbestos &amp;amp; has had it over 20+ years with NO treatment &amp;amp; still smokes. Now, I've googled lung cancer (all types but ESPECIALLY from asbestos) &amp;amp; it said that "most" people can survive a few years if they're young (he's in his mind 50's or so) &amp;amp; healthy &amp;amp; getting treatment. Now, I do "believe" an emergency services person (not sure what area, police, fire ect.) died 15 years after 9-11 but, he was most likely in excellent (or so) health, didn't smoke or probably stopped as soon as he found out he had cancer &amp;amp; got treatment. I'm just wondering if, this is BS or not? I KNOW she's a pathological liar &amp;amp; I told her what I found on google but, she keeps insisting he has lung cancer. 
TLDR; A friend claims her husband has lung cancer from asbestos &amp;amp; has had it for 20+ years with no treatment &amp;amp; still smoking</t>
        </is>
      </c>
      <c r="D3743" t="n">
        <v>1</v>
      </c>
      <c r="E3743" t="n">
        <v>0</v>
      </c>
      <c r="F3743">
        <f>HYPERLINK("https://www.reddit.com/r/cancer/comments/chtzv5/need_some_info/")</f>
        <v/>
      </c>
      <c r="G3743" t="inlineStr">
        <is>
          <t>2019-07-25 14:43:23</t>
        </is>
      </c>
      <c r="H3743" t="inlineStr"/>
    </row>
    <row r="3744">
      <c r="A3744" t="inlineStr">
        <is>
          <t>chuezx</t>
        </is>
      </c>
      <c r="B3744" t="inlineStr">
        <is>
          <t>Is AML hereditary?</t>
        </is>
      </c>
      <c r="C3744" t="inlineStr">
        <is>
          <t>My mum died about 10 years ago from AML. Im worried for myself and my sister. Does anyone know if AML is hereditary?
Also are there tests to be done? should i bring it up with a doctor?
&amp;amp;#x200B;
Thanks.</t>
        </is>
      </c>
      <c r="D3744" t="n">
        <v>1</v>
      </c>
      <c r="E3744" t="n">
        <v>0</v>
      </c>
      <c r="F3744">
        <f>HYPERLINK("https://www.reddit.com/r/cancer/comments/chuezx/is_aml_hereditary/")</f>
        <v/>
      </c>
      <c r="G3744" t="inlineStr">
        <is>
          <t>2019-07-25 15:18:13</t>
        </is>
      </c>
      <c r="H3744" t="inlineStr"/>
    </row>
    <row r="3745">
      <c r="A3745" t="inlineStr">
        <is>
          <t>churm3</t>
        </is>
      </c>
      <c r="B3745" t="inlineStr">
        <is>
          <t>My mum had her melanoma removed and got a skin graft, but now lumps have popped up around the site...</t>
        </is>
      </c>
      <c r="C3745" t="inlineStr">
        <is>
          <t>So my mum has been really though it recently. Long story short, she was diagnosed with malignant melanoma a few months past, and had the lump removed and replaced with a skin graft. At the same time, she was diagnosed with primary lung cancer too. She has just finished chemo for that and will soon go in for surgery, they think, but has now noticed several lumps pop up around the area where she has the skin graft, as well as a swollen lymph node near her groin. She has been to see the skin doctor person, and while he said he was not too bothered by the node, he is taking the lumps out with another graft in a few weeks. Since then she has found another lump pop up. Should we contact him about this new lump or tell him in a few weeks when we see him for the op? 
I suppose I am just curious if anyone else has been though a similar thing too. Can Melanoma return like this, with multiple lumps in the same leg? I know its stupid to worry about this, given how we do not even know what these lumps are, and he will be dealing with them in a few weeks… but still!</t>
        </is>
      </c>
      <c r="D3745" t="n">
        <v>7</v>
      </c>
      <c r="E3745" t="n">
        <v>2</v>
      </c>
      <c r="F3745">
        <f>HYPERLINK("https://www.reddit.com/r/cancer/comments/churm3/my_mum_had_her_melanoma_removed_and_got_a_skin/")</f>
        <v/>
      </c>
      <c r="G3745" t="inlineStr">
        <is>
          <t>2019-07-25 15:48:33</t>
        </is>
      </c>
      <c r="H3745" t="inlineStr"/>
    </row>
    <row r="3746">
      <c r="A3746" t="inlineStr">
        <is>
          <t>chuun6</t>
        </is>
      </c>
      <c r="B3746" t="inlineStr">
        <is>
          <t>Don't really know what to say/where to start.</t>
        </is>
      </c>
      <c r="C3746" t="inlineStr">
        <is>
          <t>Damn. I'm not sure if anyone will read this but I feel like it's worth getting out there, even if it goes unread. I (21 M) was recently diagnosed with a grade 4, diffuse midline glioma H3 K27-m. In other words I have a highly aggressive brain cancer. I'm not looking for sympathy or well wishes, I'm just looking to tell anyone who's willing to listen that I'm here if you'd like to talk; about anything at all, not just this disease or about the struggle that is fighting cancer. If you like to fish, skateboard, photograph birds, pick mushrooms, grow peppers, write poetry, play guitar or music in general, need an open ear, or just want a shoulder to cry on, I'm your guy:). This is my alt for privacy reasons, but I'm very much me. Shoot me a message if you'd like to talk. Much love y'all, this is an amazing community.</t>
        </is>
      </c>
      <c r="D3746" t="n">
        <v>1</v>
      </c>
      <c r="E3746" t="n">
        <v>1</v>
      </c>
      <c r="F3746">
        <f>HYPERLINK("https://www.reddit.com/r/cancer/comments/chuun6/dont_really_know_what_to_saywhere_to_start/")</f>
        <v/>
      </c>
      <c r="G3746" t="inlineStr">
        <is>
          <t>2019-07-25 15:56:06</t>
        </is>
      </c>
      <c r="H3746" t="inlineStr"/>
    </row>
    <row r="3747">
      <c r="A3747" t="inlineStr">
        <is>
          <t>chv53z</t>
        </is>
      </c>
      <c r="B3747" t="inlineStr">
        <is>
          <t>My Story of Urothelial Carcinoma</t>
        </is>
      </c>
      <c r="C3747" t="inlineStr">
        <is>
          <t>As of two months ago, I was diagnosed with a rare form of bladder cancer - and a real aggressive one at that - Urothelial carcinoma. To be honest, this experience has been crazy yet medically interesting. I have my ups and downs. My good days and my bad, especially when chemo is in effect. Also to note, I have two tubes, one going directly into the bladder and the other in the left kidney so long as this treatment lasts. 
There’s so much happening - and it’s crazy to think this would have happened to me. However, it is really important to keep your head up, stay hydrated and fed, and have an amazing support system, and (in my opinion) to believe in God and his works. 
I don’t know yet how to fully tell my story to the world. Or what to express. But know this, everyone - you are loved. No matter what. You’re all going to beat these cancers, including me— and you- and the people you haven’t even met yet. We’re all going to win. We have to.</t>
        </is>
      </c>
      <c r="D3747" t="n">
        <v>16</v>
      </c>
      <c r="E3747" t="n">
        <v>9</v>
      </c>
      <c r="F3747">
        <f>HYPERLINK("https://www.reddit.com/r/cancer/comments/chv53z/my_story_of_urothelial_carcinoma/")</f>
        <v/>
      </c>
      <c r="G3747" t="inlineStr">
        <is>
          <t>2019-07-25 16:21:59</t>
        </is>
      </c>
      <c r="H3747" t="inlineStr"/>
    </row>
    <row r="3748">
      <c r="A3748" t="inlineStr">
        <is>
          <t>chvd8c</t>
        </is>
      </c>
      <c r="B3748" t="inlineStr">
        <is>
          <t>I'm drunk</t>
        </is>
      </c>
      <c r="C3748" t="inlineStr">
        <is>
          <t>My heart is broken, so broken.
I feel like I love you all for your courage (and your vulnerability) as much as I love my wife. 
My heart is with you all, beautiful people with cancer and beautiful caregivers.
I'm sorry this is happening to us and I'm honored to share this path with you.
May pain be over someday for us all.</t>
        </is>
      </c>
      <c r="D3748" t="n">
        <v>111</v>
      </c>
      <c r="E3748" t="n">
        <v>35</v>
      </c>
      <c r="F3748">
        <f>HYPERLINK("https://www.reddit.com/r/cancer/comments/chvd8c/im_drunk/")</f>
        <v/>
      </c>
      <c r="G3748" t="inlineStr">
        <is>
          <t>2019-07-25 16:43:04</t>
        </is>
      </c>
      <c r="H3748" t="inlineStr"/>
    </row>
    <row r="3749">
      <c r="A3749" t="inlineStr">
        <is>
          <t>chws0q</t>
        </is>
      </c>
      <c r="B3749" t="inlineStr">
        <is>
          <t>Non-hodgkins who survived or are battling, what were your first symptoms?</t>
        </is>
      </c>
      <c r="C3749" t="inlineStr">
        <is>
          <t>What were your first symptoms with it? Did anything stand out to you?</t>
        </is>
      </c>
      <c r="D3749" t="n">
        <v>1</v>
      </c>
      <c r="E3749" t="n">
        <v>8</v>
      </c>
      <c r="F3749">
        <f>HYPERLINK("https://www.reddit.com/r/cancer/comments/chws0q/nonhodgkins_who_survived_or_are_battling_what/")</f>
        <v/>
      </c>
      <c r="G3749" t="inlineStr">
        <is>
          <t>2019-07-25 18:58:07</t>
        </is>
      </c>
      <c r="H3749" t="inlineStr"/>
    </row>
    <row r="3750">
      <c r="A3750" t="inlineStr">
        <is>
          <t>chwtqu</t>
        </is>
      </c>
      <c r="B3750" t="inlineStr">
        <is>
          <t>I think it's coming back</t>
        </is>
      </c>
      <c r="C3750" t="inlineStr">
        <is>
          <t>It's been about 7 years since I was diagnosed and treated for a rare form of brain cancer and as of 2 days ago I have started to feel symptoms very similar to early stages of what I felt right before I found out I had cancer. I'm at a point in my life right now where I'm becoming independent from my family and working and I don't want to have cancer again. I haven't told anyone that anything feels wrong and I don't want to. I don't want to be a burden on anyone. I just wish I was past this and feel like my cancer might be coming back and I'm scared.</t>
        </is>
      </c>
      <c r="D3750" t="n">
        <v>1</v>
      </c>
      <c r="E3750" t="n">
        <v>2</v>
      </c>
      <c r="F3750">
        <f>HYPERLINK("https://www.reddit.com/r/cancer/comments/chwtqu/i_think_its_coming_back/")</f>
        <v/>
      </c>
      <c r="G3750" t="inlineStr">
        <is>
          <t>2019-07-25 19:02:42</t>
        </is>
      </c>
      <c r="H3750" t="inlineStr"/>
    </row>
    <row r="3751">
      <c r="A3751" t="inlineStr">
        <is>
          <t>chyl9y</t>
        </is>
      </c>
      <c r="B3751" t="inlineStr">
        <is>
          <t>Interesting question</t>
        </is>
      </c>
      <c r="C3751" t="inlineStr">
        <is>
          <t>I always thought of myself as a "lady" who didn't discuss passing wind or bowel movements with my spouse. Until I got cancer. Now we celebrate together when I am able to use the restroom normally. It's a win for us both!
So my question is: 
To those of you with spouses/SOs, what did you never expect to discuss with your partner that is now just normal conversation? Or even is reason for celebration. 🎉</t>
        </is>
      </c>
      <c r="D3751" t="n">
        <v>6</v>
      </c>
      <c r="E3751" t="n">
        <v>6</v>
      </c>
      <c r="F3751">
        <f>HYPERLINK("https://www.reddit.com/r/cancer/comments/chyl9y/interesting_question/")</f>
        <v/>
      </c>
      <c r="G3751" t="inlineStr">
        <is>
          <t>2019-07-25 22:04:23</t>
        </is>
      </c>
      <c r="H3751" t="inlineStr"/>
    </row>
    <row r="3752">
      <c r="A3752" t="inlineStr">
        <is>
          <t>ci1grr</t>
        </is>
      </c>
      <c r="B3752" t="inlineStr">
        <is>
          <t>Sigh. Here we go again.</t>
        </is>
      </c>
      <c r="C3752" t="inlineStr">
        <is>
          <t>I'm a survivor. Three times. Yeah.
Still on yearly checks.
They found something this time. What? Who knows! Biopsy scheduled for August. All I know is that it's a "2.6 CM irregular mass".
Fuck.
I can't do this again. I can't put my husband through it. I just can't.
I don't even know for sure that it's something malignant again and it's already fucking with me. I'm stressed. I'm losing sleep. My diet has been pretty unhealthy since my doctor visit. My relatively new boss is being amazing and super supportive and understanding, but I still somehow feel like a drama queen and a flake because I got sent home when I couldn't stop crying.
Fuck cancer. And fuck not knowing.</t>
        </is>
      </c>
      <c r="D3752" t="n">
        <v>71</v>
      </c>
      <c r="E3752" t="n">
        <v>20</v>
      </c>
      <c r="F3752">
        <f>HYPERLINK("https://www.reddit.com/r/cancer/comments/ci1grr/sigh_here_we_go_again/")</f>
        <v/>
      </c>
      <c r="G3752" t="inlineStr">
        <is>
          <t>2019-07-26 04:04:38</t>
        </is>
      </c>
      <c r="H3752" t="inlineStr"/>
    </row>
    <row r="3753">
      <c r="A3753" t="inlineStr">
        <is>
          <t>ci3akf</t>
        </is>
      </c>
      <c r="B3753" t="inlineStr">
        <is>
          <t>Some Good News: Stage IV CRC and Pembro</t>
        </is>
      </c>
      <c r="C3753" t="inlineStr">
        <is>
          <t>I don't often post much here but, on the few occasions I have, everyone has been extremely helpful and caring. I do, however, browse this board often and I thought it might be encouraging to post something positive. 
After dealing with poorly treated Crohn's Disease for years, I was diagnosed with stage III colorectal cancer in 2016. After chemo, radiation, and surgery I attained a brief reprieve. My cancer, however, quickly returned with vengeance. I was now stage IV and chemo was declared ineffective. I was gently encouraged to begin getting my affairs in order. However, my oncologist found that my cancer had the right mutation that might make it susceptible to pembrolizumab (Keytruda).
With few remaining options we started on a two-year treatment plan with pembro. There were additional surgeries, and radiation rounds, but after a few months it looked like pembro was working.
I finished my two-year stint on pembro last month and this week I had my first post-treatment scan. Everything came back clean!
I've been through more pain, trauma, and darkness than I can describe but, thankfully, I can see a little light at the end of this tunnel. I know this is not a cure but, given the state I was in and the opinion of my doctors, there was very little chance I would make it this far.
But I did. Yes, there will still be endless labs, tests, scans, and surgeries for the rest of my (hopefully long) life. But for the moment I'm happy. I also managed to finish the degree I was working on when I got sick and I'm starting to look for work again. It feels nice.
I hope no one takes this post as boasting or showing off as that is not my intention. Hopefully, you find it encouraging. This disease seems to always win and steal everything. It's nice to know that, even though we haven't won the war yet, we can still win battles.</t>
        </is>
      </c>
      <c r="D3753" t="n">
        <v>7</v>
      </c>
      <c r="E3753" t="n">
        <v>6</v>
      </c>
      <c r="F3753">
        <f>HYPERLINK("https://www.reddit.com/r/cancer/comments/ci3akf/some_good_news_stage_iv_crc_and_pembro/")</f>
        <v/>
      </c>
      <c r="G3753" t="inlineStr">
        <is>
          <t>2019-07-26 07:06:33</t>
        </is>
      </c>
      <c r="H3753" t="inlineStr"/>
    </row>
    <row r="3754">
      <c r="A3754" t="inlineStr">
        <is>
          <t>ci4blu</t>
        </is>
      </c>
      <c r="B3754" t="inlineStr">
        <is>
          <t>I Should Probably Be Relieved</t>
        </is>
      </c>
      <c r="C3754" t="inlineStr">
        <is>
          <t>I just got home from a long vacation after graduating college and my mom tells me that while I was gone she had a cancerous tumor removed from her left breast. It was estrogen- and progesterone-receptor positive, stage 1a, didn't get to any lymph nodes, and was only 8mm large. The lumpectomy was successful and she'll be going through a few rounds of radiation and then (likely) going on aromatase inhibitors - although she's terrified of some of the potential side effects.
As far as cancer goes, this is pretty much a godsend. Breast cancer is highly researched and highly treatable, especially at this early of a stage. Her 5-year survival rate is essentially 100%, but my brain immediately thinks that means that year 6 sees dramatic decreases, even though I know intellectually that statistics don't work that way.
I suppose I just wanted to rant, but I'm fucking scared. I'm staring a job 1,700 miles away from home at the end of the summer and I feel disgusted with myself that I'll be so far away for (at least) a couple years, even though I know that she will almost definitely be fine within that timeframe. This sucks. Fuck cancer.</t>
        </is>
      </c>
      <c r="D3754" t="n">
        <v>8</v>
      </c>
      <c r="E3754" t="n">
        <v>2</v>
      </c>
      <c r="F3754">
        <f>HYPERLINK("https://www.reddit.com/r/cancer/comments/ci4blu/i_should_probably_be_relieved/")</f>
        <v/>
      </c>
      <c r="G3754" t="inlineStr">
        <is>
          <t>2019-07-26 08:31:14</t>
        </is>
      </c>
      <c r="H3754" t="inlineStr"/>
    </row>
    <row r="3755">
      <c r="A3755" t="inlineStr">
        <is>
          <t>ci5e69</t>
        </is>
      </c>
      <c r="B3755" t="inlineStr">
        <is>
          <t>Runny nose + possible melanoma</t>
        </is>
      </c>
      <c r="C3755" t="inlineStr">
        <is>
          <t>I’m due to have a mole removed in a couple of weeks as it changed shapes, colour and size and was considered to be a matter of urgency by the doctor. They didn’t actually tell me whether it was a melanoma or not and I forgot to ask as I was just relieved it was going to be removed. 
I’ve had a weirdly runny nose for the past couple of weeks, on and off. The snot is clear but there’s often a lot of it and I was wondering whether this is a sign my body is fighting cancer? I’ve seen some information relating to runny noses being a cancer symptom online and wanted to see if anyone has had any similar experiences.
Thanks!</t>
        </is>
      </c>
      <c r="D3755" t="n">
        <v>2</v>
      </c>
      <c r="E3755" t="n">
        <v>2</v>
      </c>
      <c r="F3755">
        <f>HYPERLINK("https://www.reddit.com/r/cancer/comments/ci5e69/runny_nose_possible_melanoma/")</f>
        <v/>
      </c>
      <c r="G3755" t="inlineStr">
        <is>
          <t>2019-07-26 09:56:03</t>
        </is>
      </c>
      <c r="H3755" t="inlineStr"/>
    </row>
    <row r="3756">
      <c r="A3756" t="inlineStr">
        <is>
          <t>ci5mpy</t>
        </is>
      </c>
      <c r="B3756" t="inlineStr">
        <is>
          <t>I have a life insurance policy that will pay £180,000 and when I die I’m leaving it to no one</t>
        </is>
      </c>
      <c r="C3756" t="inlineStr">
        <is>
          <t xml:space="preserve">
Bit of background 
Seriously no one cares. Alcoholic mother, dad who abandoned me when I was two. My brother who will avoid me if I need to talk about a scan result I’ve had etc and would rather spend his obsession cycling and would only talk when it’s convenient for him. 
That could sound bitter but I find it hard to talk about things and when I can feel up too it Boone listens. The reality is most humans are just selfish.  My “best friend” can’t spend time with me cos his gf wants him all to himself. 
I have cancer and may not have long left to live and yeah, I can’t enjoy a pint with my best friend cos of his needy gf or talk to my brother cos his cycling comes first and my mum cos drink comes first.
I prob sound bitter and needy but I’m not. The reality is most people are selfish. I think it’s society in general, everyone works longer and longer and we don’t have communities anymore.
People say I handle my cancer well lol well that’s  cos I don’t care about dying. Most women my age are toxic and I’m not gonna miss out on marriage or children by eventually getting divorce raped. 
I’m ranting. But I’m gonna think of a good cause to leave my money behind cos none of my “friends” or family are getting a fucking penny from me</t>
        </is>
      </c>
      <c r="D3756" t="n">
        <v>6</v>
      </c>
      <c r="E3756" t="n">
        <v>18</v>
      </c>
      <c r="F3756">
        <f>HYPERLINK("https://www.reddit.com/r/cancer/comments/ci5mpy/i_have_a_life_insurance_policy_that_will_pay/")</f>
        <v/>
      </c>
      <c r="G3756" t="inlineStr">
        <is>
          <t>2019-07-26 10:14:27</t>
        </is>
      </c>
      <c r="H3756" t="inlineStr"/>
    </row>
    <row r="3757">
      <c r="A3757" t="inlineStr">
        <is>
          <t>ci77c6</t>
        </is>
      </c>
      <c r="B3757" t="inlineStr">
        <is>
          <t>A hard week</t>
        </is>
      </c>
      <c r="C3757" t="inlineStr">
        <is>
          <t>My family started this week (7/21) with the passing of my sister (16). She fought with bone cancer for 5 1/2 years and after a trip she wanted to take to Comic Con, we came home early and the next morning and she stopped breathing while she was hanging out with my mom in her room. 
Today is Friday 7/26. It's my mom's birthday. I'm currently making birthday pancakes (with rainbow jimmy sprinkles as per tradition in our house). But, I don't know what else to do. We may just sit around the house. 
As my sister's sibling I'm still grieving and am still in a bad state. Who knows for how long. I just want to be there for my parents. 
I miss my sister.</t>
        </is>
      </c>
      <c r="D3757" t="n">
        <v>79</v>
      </c>
      <c r="E3757" t="n">
        <v>11</v>
      </c>
      <c r="F3757">
        <f>HYPERLINK("https://www.reddit.com/r/cancer/comments/ci77c6/a_hard_week/")</f>
        <v/>
      </c>
      <c r="G3757" t="inlineStr">
        <is>
          <t>2019-07-26 12:20:49</t>
        </is>
      </c>
      <c r="H3757" t="inlineStr"/>
    </row>
    <row r="3758">
      <c r="A3758" t="inlineStr">
        <is>
          <t>ci7mdm</t>
        </is>
      </c>
      <c r="B3758" t="inlineStr">
        <is>
          <t>How to understand your options - stage 4 small c lol neuroendocrine carcinoma</t>
        </is>
      </c>
      <c r="C3758" t="inlineStr">
        <is>
          <t>This is especially hard because I am not there all the time and can’t be there all the time so I miss a lot of conversations with doctors. 
My step dad was recently diagnosed with stage 4 small cell neuroendocrine carcinoma. He has a 7cm tumor growing on his lungs around his blood vessels restricting his air. He also in the last week has had 2 chest tubes due to his lung collapsing. They don’t seem confident the hole in his lung will heal. They also found smaller tumors on his kidneys, lymph nodes, adrenal gland and a somewhat larger one in his brain. 
Mom said the oncologist came this morning and said he is ready to start chemo even with the tubes in. He gave him 3 months to live if he does nothing. However the oncologist really didn’t go in depth about how the chemo could benefit him. Will it give him an extra month? A year? I know it’s hard to predict but these are questions my family is having trouble getting answers to. As they are weighing quality of life vs quantity of life they aren’t getting much medical advice to help with the decisions that will need to be made in the coming days. 
Ultimately, everyone has agreed this should and will be my step dads decision but they aren’t ready to present this information to him without some more insight on if chemo is even worth the go. 
At the hospital we are at the doctors just make a rounds and pop in when they have time. So basically, all of us are putting together information were being given as it comes because unless every single one us can be in that room from 7AM to 8PM every single day someone is bound to miss a doctor. Has anyone else experienced trouble putting piece together and getting the answers to the questions they have? How can we combat this? How can we understand better?</t>
        </is>
      </c>
      <c r="D3758" t="n">
        <v>2</v>
      </c>
      <c r="E3758" t="n">
        <v>0</v>
      </c>
      <c r="F3758">
        <f>HYPERLINK("https://www.reddit.com/r/cancer/comments/ci7mdm/how_to_understand_your_options_stage_4_small_c/")</f>
        <v/>
      </c>
      <c r="G3758" t="inlineStr">
        <is>
          <t>2019-07-26 12:55:07</t>
        </is>
      </c>
      <c r="H3758" t="inlineStr"/>
    </row>
    <row r="3759">
      <c r="A3759" t="inlineStr">
        <is>
          <t>ci8d9p</t>
        </is>
      </c>
      <c r="B3759" t="inlineStr">
        <is>
          <t>Romance?? Advice??</t>
        </is>
      </c>
      <c r="C3759" t="inlineStr">
        <is>
          <t>Young, 23 years here and dealing with ovarian cancer. My boyfriend of 3 years has been amazing, a true rock star. But how fo you keep a young relationship fun and sexy when hes practically a care taker.. Seeing me get sick.. Loose hair and confidence?? I just wish with chemo being done we can get back to us....</t>
        </is>
      </c>
      <c r="D3759" t="n">
        <v>19</v>
      </c>
      <c r="E3759" t="n">
        <v>5</v>
      </c>
      <c r="F3759">
        <f>HYPERLINK("https://www.reddit.com/r/cancer/comments/ci8d9p/romance_advice/")</f>
        <v/>
      </c>
      <c r="G3759" t="inlineStr">
        <is>
          <t>2019-07-26 13:54:34</t>
        </is>
      </c>
      <c r="H3759" t="inlineStr"/>
    </row>
    <row r="3760">
      <c r="A3760" t="inlineStr">
        <is>
          <t>ci8elf</t>
        </is>
      </c>
      <c r="B3760" t="inlineStr">
        <is>
          <t>Where do we go to save my wife's life?</t>
        </is>
      </c>
      <c r="C3760" t="inlineStr">
        <is>
          <t>My wife has cholangiocarcinoma.  I'm looking for expertise on this disease - it's difficult to treat by chemotherapy and radiation therapy and biopsies have not produced enough cancer cell material for DNA analysis.  Who is the best in the freaking world at curing this piece of shit disease?</t>
        </is>
      </c>
      <c r="D3760" t="n">
        <v>4</v>
      </c>
      <c r="E3760" t="n">
        <v>22</v>
      </c>
      <c r="F3760">
        <f>HYPERLINK("https://www.reddit.com/r/cancer/comments/ci8elf/where_do_we_go_to_save_my_wifes_life/")</f>
        <v/>
      </c>
      <c r="G3760" t="inlineStr">
        <is>
          <t>2019-07-26 13:57:45</t>
        </is>
      </c>
      <c r="H3760" t="inlineStr"/>
    </row>
    <row r="3761">
      <c r="A3761" t="inlineStr">
        <is>
          <t>ci97yp</t>
        </is>
      </c>
      <c r="B3761" t="inlineStr">
        <is>
          <t>Hair loss</t>
        </is>
      </c>
      <c r="C3761" t="inlineStr">
        <is>
          <t>When you first lost your hair, where was the first place you noticed?</t>
        </is>
      </c>
      <c r="D3761" t="n">
        <v>3</v>
      </c>
      <c r="E3761" t="n">
        <v>6</v>
      </c>
      <c r="F3761">
        <f>HYPERLINK("https://www.reddit.com/r/cancer/comments/ci97yp/hair_loss/")</f>
        <v/>
      </c>
      <c r="G3761" t="inlineStr">
        <is>
          <t>2019-07-26 15:04:34</t>
        </is>
      </c>
      <c r="H3761" t="inlineStr"/>
    </row>
    <row r="3762">
      <c r="A3762" t="inlineStr">
        <is>
          <t>ci9nep</t>
        </is>
      </c>
      <c r="B3762" t="inlineStr">
        <is>
          <t>Family Stuggle</t>
        </is>
      </c>
      <c r="C3762" t="inlineStr">
        <is>
          <t>My grandmother has been in the hospital since the 17th. I work 5 minutes from the hospital and live only 20 minutes away. I’d stop in before work and stop in after we didn’t know what she had, all we knew was she wasn’t okay and had to call my cousins and their whole side of the family to come over to help convince her to go to the hospital. She is very nervous about everything  and is a minimalist and tried to say she was okay. Today is my birthday (July 26) I just turned 17, and I was just told today her doctors think she has some type of blood cancer, something to do with her plasma cells. We don’t know much and my parents won’t share all the details in order to protect me and my siblings. She has a biopsy today to clarify what kind of blood cancer so we can hell decide a treatment plan. My point of coming to post here is to ask what’s next, I personally haven’t had to experience any loss much in my life nor do I have experience in handling such life changing news. My grandma is my best friend and I want to be there for her I just don’t know the best approach. Thank you ~ A worried Grandson</t>
        </is>
      </c>
      <c r="D3762" t="n">
        <v>5</v>
      </c>
      <c r="E3762" t="n">
        <v>4</v>
      </c>
      <c r="F3762">
        <f>HYPERLINK("https://www.reddit.com/r/cancer/comments/ci9nep/family_stuggle/")</f>
        <v/>
      </c>
      <c r="G3762" t="inlineStr">
        <is>
          <t>2019-07-26 15:41:44</t>
        </is>
      </c>
      <c r="H3762" t="inlineStr"/>
    </row>
    <row r="3763">
      <c r="A3763" t="inlineStr">
        <is>
          <t>cialxb</t>
        </is>
      </c>
      <c r="B3763" t="inlineStr">
        <is>
          <t>Can't tell anyone yet</t>
        </is>
      </c>
      <c r="C3763" t="inlineStr">
        <is>
          <t>I found out last night the results of the CT scan I had on Tuesday. The CT scan that was supposed to be a post operative, cancer free baseline for the five years of followup appointments I'm supposed to be starting now.
The doctors were so confident they got everything. The main tumour, in my rectum, and the solitary spot on my liver. 
But it's spread to my lungs. "Innumerable spots". It's back on my liver in two spots. 
I'm going to die from cancer and I can't bring myself to tell anyone anything yet, because I don't know what to even say, and I can't handle their fear and sadness on top of my own.</t>
        </is>
      </c>
      <c r="D3763" t="n">
        <v>72</v>
      </c>
      <c r="E3763" t="n">
        <v>19</v>
      </c>
      <c r="F3763">
        <f>HYPERLINK("https://www.reddit.com/r/cancer/comments/cialxb/cant_tell_anyone_yet/")</f>
        <v/>
      </c>
      <c r="G3763" t="inlineStr">
        <is>
          <t>2019-07-26 17:06:39</t>
        </is>
      </c>
      <c r="H3763" t="inlineStr"/>
    </row>
    <row r="3764">
      <c r="A3764" t="inlineStr">
        <is>
          <t>ciawb1</t>
        </is>
      </c>
      <c r="B3764" t="inlineStr">
        <is>
          <t>A Lesson: Don't skip mammograms</t>
        </is>
      </c>
      <c r="C3764" t="inlineStr">
        <is>
          <t>4 years ago, In addition to Graves' Disease, I got the very rare Thyroid Eye Disease and lost my ability to do everyday tasks like read, and drive. I couldn't see. One eye went south, the other north, and I had double vision. I couldn't work any longer. I was pretty much home bound, reliant on delivery services and rides until four operations got it back for me.  The past year has been pretty good, though my vision waxes and wanes. Then, a few months ago I had a mammogram. The first in 5 years because once I had all the thyroid problems (and there were many) I just didn't have time to be arsed to go in for a mammogram.  This spring,  my cardiologist sent me back to my family practitioner because he wanted some bloodwork done. My family practitioner sent me to get a mammogram.  
So I got smashed and squashed, and boom! They found a tumor. A small one. Because I'd been through such shit, I wasn't as emotional as some people reckoned I'd be. I just though, Okay, well.. NEXT.
Did the BRCA test, came back negative, though have a mutation on gene 2. But overall, good news. Had the lumpectomy with 3 sentinel nodes removed for biopsy. Yesterday, the best outcome: No spread of cancer, Stage 1a. Radiation course of 21 days and Tamifoxen. Yup, I know it's not a cakewalk, but it'll OK. Plus, I have my vision back so I can at least get myself over to radiation. 
I guess my message is.... if there's someone in your life who has skipped mammograms because life got in the way, don't let them! Had I skipped this year, and maybe even the next, the cancer would have progressed to a much worse state.</t>
        </is>
      </c>
      <c r="D3764" t="n">
        <v>38</v>
      </c>
      <c r="E3764" t="n">
        <v>14</v>
      </c>
      <c r="F3764">
        <f>HYPERLINK("https://www.reddit.com/r/cancer/comments/ciawb1/a_lesson_dont_skip_mammograms/")</f>
        <v/>
      </c>
      <c r="G3764" t="inlineStr">
        <is>
          <t>2019-07-26 17:33:45</t>
        </is>
      </c>
      <c r="H3764" t="inlineStr"/>
    </row>
    <row r="3765">
      <c r="A3765" t="inlineStr">
        <is>
          <t>cibh8y</t>
        </is>
      </c>
      <c r="B3765" t="inlineStr">
        <is>
          <t>Recent diagnosis is earth shattering and we need help</t>
        </is>
      </c>
      <c r="C3765" t="inlineStr">
        <is>
          <t>Hello r/cancer, I’d just like to say thank you god existing and thank you for reading this if you are. A close family member had been experiencing stomach pains for a week and we urged her to get it checked out. After a probe went into her stomach, they found fluid. We acted quickly as we could and asked for tests. Positive blood test for cancer. We were scared but maybe we caught it in time? She just had her biopsy. Results say. Stomach cancer stage 3, multiple tumors on her stomach and on her ovaries. This has been here for years.... I don’t know what to do. Doctor says it’s rare nothing genetic. 5 year survival rate is 7%... we will start chemo as fast as we can. Anyone with experience in this please lend me your knowledge. I beg of you, I don’t know what to do.</t>
        </is>
      </c>
      <c r="D3765" t="n">
        <v>15</v>
      </c>
      <c r="E3765" t="n">
        <v>5</v>
      </c>
      <c r="F3765">
        <f>HYPERLINK("https://www.reddit.com/r/cancer/comments/cibh8y/recent_diagnosis_is_earth_shattering_and_we_need/")</f>
        <v/>
      </c>
      <c r="G3765" t="inlineStr">
        <is>
          <t>2019-07-26 18:30:22</t>
        </is>
      </c>
      <c r="H3765" t="inlineStr"/>
    </row>
    <row r="3766">
      <c r="A3766" t="inlineStr">
        <is>
          <t>cibpcp</t>
        </is>
      </c>
      <c r="B3766" t="inlineStr">
        <is>
          <t>Preparing for hair loss with chemo</t>
        </is>
      </c>
      <c r="C3766" t="inlineStr">
        <is>
          <t>My wife is about to start 9 weeks of intensive chemo. Doctors said she’s going to lose her hair and she’s got a wig ready to go. 
But, I’m unsure how to prepare for the day when we wake up and her hair is falling out. I’ll be there to support her, but does anyone who went through this have any stand out support/items or something that really helped during this particular point in time?
I know I’m only a supporter but every single thing I can do to make it easier for her.</t>
        </is>
      </c>
      <c r="D3766" t="n">
        <v>11</v>
      </c>
      <c r="E3766" t="n">
        <v>16</v>
      </c>
      <c r="F3766">
        <f>HYPERLINK("https://www.reddit.com/r/cancer/comments/cibpcp/preparing_for_hair_loss_with_chemo/")</f>
        <v/>
      </c>
      <c r="G3766" t="inlineStr">
        <is>
          <t>2019-07-26 18:53:13</t>
        </is>
      </c>
      <c r="H3766" t="inlineStr"/>
    </row>
    <row r="3767">
      <c r="A3767" t="inlineStr">
        <is>
          <t>cie6j4</t>
        </is>
      </c>
      <c r="B3767" t="inlineStr">
        <is>
          <t>After coming back to work after Hodgkin Lymphoma got demoted.</t>
        </is>
      </c>
      <c r="C3767" t="inlineStr">
        <is>
          <t>I work for a well known Spanish company in air traffic management sector (developing systems). I had 8 months of treatment quimiotherapy and radiotherapy with four additional months of recovery. I have been off for a year. 
They got someone to cover my position for the year (I manage a team of developers), however when I returned they have decided to promote someone from the team (who happens to be about to give birth) and will be off work for 4 months at least.
Not sure what to do, my previous manager is willing to take me back but does not want to upset my manager.</t>
        </is>
      </c>
      <c r="D3767" t="n">
        <v>3</v>
      </c>
      <c r="E3767" t="n">
        <v>5</v>
      </c>
      <c r="F3767">
        <f>HYPERLINK("https://www.reddit.com/r/cancer/comments/cie6j4/after_coming_back_to_work_after_hodgkin_lymphoma/")</f>
        <v/>
      </c>
      <c r="G3767" t="inlineStr">
        <is>
          <t>2019-07-26 23:32:54</t>
        </is>
      </c>
      <c r="H3767" t="inlineStr"/>
    </row>
    <row r="3768">
      <c r="A3768" t="inlineStr">
        <is>
          <t>ciepj6</t>
        </is>
      </c>
      <c r="B3768" t="inlineStr">
        <is>
          <t>Childhood cancer</t>
        </is>
      </c>
      <c r="C3768" t="inlineStr">
        <is>
          <t>Now i know, the title is very vague BUT, I have something very important to say. I am a childhood cancer survivor and i just need to put this out here somewhere. I never see anything being put out from large corporations doing sponsorships for any other type of cancer than breast cancer. Now im not saying that this isnt good, there just needs to be more recognition within different types of cancers. Its not all breast cancer (im not knocking down breast cancer) but there just needs to be more. Im sorry if this comes off rude, if it does just let me know.</t>
        </is>
      </c>
      <c r="D3768" t="n">
        <v>2</v>
      </c>
      <c r="E3768" t="n">
        <v>3</v>
      </c>
      <c r="F3768">
        <f>HYPERLINK("https://www.reddit.com/r/cancer/comments/ciepj6/childhood_cancer/")</f>
        <v/>
      </c>
      <c r="G3768" t="inlineStr">
        <is>
          <t>2019-07-27 00:38:43</t>
        </is>
      </c>
      <c r="H3768" t="inlineStr"/>
    </row>
    <row r="3769">
      <c r="A3769" t="inlineStr">
        <is>
          <t>cieq3b</t>
        </is>
      </c>
      <c r="B3769" t="inlineStr">
        <is>
          <t>No, it's not all over now!</t>
        </is>
      </c>
      <c r="C3769" t="inlineStr">
        <is>
          <t>So this is an issue I've really been struggling with for a while now, and I'm hoping to maybe get some advice on how to get my family, especially my mother, to understand. 
I'm almost two years into my treatment for leukemia. About a year ago I was declared "in remission", but my oncologist explained to me that all that means for my particular cancer is that there have been no detectable cancer cells in my bone marrow for X amount of time, so we move into what she called "maintenance", where instead of going twice a week every week for intense IV chemotherapy, I take some chemo orally at home, and come in once a month for IV vincristine and once every three months for IT methotrexate. I also take a high dose of prednisone once a month to coincide with the vincristine. It's been a year of that, and I have another year to go. 
However, any time that I've had a particularly bad go of it (I never seem to get the same set of side effects two times in a row for these treatments, I swear) and I reach out to my family for support, I hear "But honey, you're in remission now. It's over, you're better"
If it's over.. why am I still taking three different chemotherapy drugs in three different forms, daily, weekly, monthly, and quarterly? Why do I still have to do this for a whole nother year? What reassurance is it to me that "i'm better now"? I'm.. not. I still continually shed hair (I have some but it's very thin), I still have muscle weakness, neuropathy, fatigue, a lowered immune system, fragile, weak skin and nails.. 
How do I get across to her that "remission" doesn't mean what it means with other cancers? How do I make her stop telling me that it's all over when it's not? More importantly, how do I stop being so frustrated and exhausted at the idea of 12 more months of this?</t>
        </is>
      </c>
      <c r="D3769" t="n">
        <v>20</v>
      </c>
      <c r="E3769" t="n">
        <v>13</v>
      </c>
      <c r="F3769">
        <f>HYPERLINK("https://www.reddit.com/r/cancer/comments/cieq3b/no_its_not_all_over_now/")</f>
        <v/>
      </c>
      <c r="G3769" t="inlineStr">
        <is>
          <t>2019-07-27 00:40:48</t>
        </is>
      </c>
      <c r="H3769" t="inlineStr"/>
    </row>
    <row r="3770">
      <c r="A3770" t="inlineStr">
        <is>
          <t>cifqxb</t>
        </is>
      </c>
      <c r="B3770" t="inlineStr">
        <is>
          <t>Mum found a lump in her breast (REPOST)</t>
        </is>
      </c>
      <c r="C3770" t="inlineStr">
        <is>
          <t>I posted this in r/cancercaregivers but there’s more people here and I’d love the reassurance and advice.
Today my (21F) mum (60sF) told me she found a lump in her breast in June. She didn’t tell me because I was at uni/graduating and she didn’t want to upset me, because I was already stressed about careers and jobs. 
My grandmother who I never met died of breast cancer in her early 60s, but she found it quite late and back then they didn’t have the same drugs and treatments. 
She said the lump is small, and doctors are taking her through the process quickly, and it will be removed o August 9th. She said they’re going to use radiation and some drugs that stop it coming back  (I can’t remember the name but I think it started with d or m). When she found out she told my aunt who got checked out, and they found the same thing but smaller, and also found that she didn’t have the gene for breast cancer so it shouldn’t be a genetic cancer. However surely it is if they both have it and my grandmother did?
Pretty much I just feel in my gut it’s worse than this. Honestly the idea of seeing my mum going through cancer and getting chemo is so scary, like she’s meant to be in my life forever. 
My mums friend apparently brought it up in conversation without mentioning her name, and someone said she had the same procedure and it wasn’t a big deal and she never thinks about it anymore.
I guess I’m just looking for advice and reassurance. I didn’t really ever think this day would come.
TL;DR Mum found a lump in her breast that’s quite small but I’m worried it’s something worse.</t>
        </is>
      </c>
      <c r="D3770" t="n">
        <v>12</v>
      </c>
      <c r="E3770" t="n">
        <v>9</v>
      </c>
      <c r="F3770">
        <f>HYPERLINK("https://www.reddit.com/r/cancer/comments/cifqxb/mum_found_a_lump_in_her_breast_repost/")</f>
        <v/>
      </c>
      <c r="G3770" t="inlineStr">
        <is>
          <t>2019-07-27 03:00:27</t>
        </is>
      </c>
      <c r="H3770" t="inlineStr"/>
    </row>
    <row r="3771">
      <c r="A3771" t="inlineStr">
        <is>
          <t>ciivqv</t>
        </is>
      </c>
      <c r="B3771" t="inlineStr">
        <is>
          <t>Found a tumor on my parotid gland.</t>
        </is>
      </c>
      <c r="C3771" t="inlineStr">
        <is>
          <t>I'm not sure if it's cancer or not I've got my appointment with the ENT this week.  I just had my left upper lobe of my lung taken out a couple months back due to a stupid NET and now I've got this new tumor that showed up somewhere else....My margins were clear, my lymphnodes were clear...so I don't know whats up...Who's dealt with a parotid gland tumor before and what was your outcome how did it go?</t>
        </is>
      </c>
      <c r="D3771" t="n">
        <v>6</v>
      </c>
      <c r="E3771" t="n">
        <v>0</v>
      </c>
      <c r="F3771">
        <f>HYPERLINK("https://www.reddit.com/r/cancer/comments/ciivqv/found_a_tumor_on_my_parotid_gland/")</f>
        <v/>
      </c>
      <c r="G3771" t="inlineStr">
        <is>
          <t>2019-07-27 08:34:15</t>
        </is>
      </c>
      <c r="H3771" t="inlineStr"/>
    </row>
    <row r="3772">
      <c r="A3772" t="inlineStr">
        <is>
          <t>ciiyb8</t>
        </is>
      </c>
      <c r="B3772" t="inlineStr">
        <is>
          <t>A rant about painkillers.....</t>
        </is>
      </c>
      <c r="C3772" t="inlineStr">
        <is>
          <t>Let me preface this by saying I'm aware or the opioid epidemic. Thank you to all the abusers of painkillers that have made it *comically* hard for those of us with terribly painful conditions to get any relief.
I'm just SO sick of being treated like a criminal, a junkie, an abuser when I want the painkillers. When I go to my doctor and say "I have terrible diarreah please help me". The doctor writes me prescription for something to help. If I say "I have terrible pain, please help me". I get the 3rd degree. I'm lectured. I'm questioned as to why I want them. I'm restricted beyond belief to certain times, doses, pharmacies, and doctors. 
Then at the pharmacy, I'm scrutinized again. Having to wait for hours sometimes while they 'verify' with the doctor that the prescription is intentional/correct. Ive been denied picking up the meds because it was after 10pm. Even my insurance company has insane rules regarding when I can get them and how often.
When you have giant tumors that no amount of physical therapy would ever touch, and the medication is the ONLY thing that allows you some amount of a life, that isnt laden with constant pain, *of course* I want them. Why wouldn't I?! 
The medications were invented for people like us. *This is what theyre for". If Tylenol worked for every condition, they wouldnt have invented anything stronger. In 4 years, I've never once taken more than I was allowed. Ive never asked for more, or extra. I've never run out before I was supposed to. Ive never broken even one of their rules. And yet, I lay here today in terrible, terrible pain because of a clerical error that I cant resolve till Monday. I'm debating calling an ambulance. It shouldnt be this hard for those of is with these kinds of proven diagnosis. Anyone else find themselves in these situations? I'm just sick of it.
End rant. Thanks for listening guys.</t>
        </is>
      </c>
      <c r="D3772" t="n">
        <v>43</v>
      </c>
      <c r="E3772" t="n">
        <v>21</v>
      </c>
      <c r="F3772">
        <f>HYPERLINK("https://www.reddit.com/r/cancer/comments/ciiyb8/a_rant_about_painkillers/")</f>
        <v/>
      </c>
      <c r="G3772" t="inlineStr">
        <is>
          <t>2019-07-27 08:40:17</t>
        </is>
      </c>
      <c r="H3772" t="inlineStr"/>
    </row>
    <row r="3773">
      <c r="A3773" t="inlineStr">
        <is>
          <t>cij1tv</t>
        </is>
      </c>
      <c r="B3773" t="inlineStr">
        <is>
          <t>Please say a prayer.</t>
        </is>
      </c>
      <c r="C3773" t="inlineStr">
        <is>
          <t>Doctors recently have given my girlfriend roughly two weeks to live. She’s been battling rhabdomyosarcoma for over three years now and it seems like her body can only withstand so much more.
She’s only 20 years old. 
I’m the farthest thing from a religious person but i’m willing to do anything and everything possible if it means I get to continue to walk this Earth with her. 
Please keep Val in your prayers.</t>
        </is>
      </c>
      <c r="D3773" t="n">
        <v>181</v>
      </c>
      <c r="E3773" t="n">
        <v>47</v>
      </c>
      <c r="F3773">
        <f>HYPERLINK("https://www.reddit.com/r/cancer/comments/cij1tv/please_say_a_prayer/")</f>
        <v/>
      </c>
      <c r="G3773" t="inlineStr">
        <is>
          <t>2019-07-27 08:48:19</t>
        </is>
      </c>
      <c r="H3773" t="inlineStr"/>
    </row>
    <row r="3774">
      <c r="A3774" t="inlineStr">
        <is>
          <t>cijo8k</t>
        </is>
      </c>
      <c r="B3774" t="inlineStr">
        <is>
          <t>Surgery’s done</t>
        </is>
      </c>
      <c r="C3774" t="inlineStr">
        <is>
          <t>Hey everyone,
I made it through a partial tongue removal (partial hemiglossectomy), the removal of 18 lymph nodes and a salivary gland and am healing well. Chemo and radiation beginning in a few weeks. I guess this means I’m halfway through treatment. I don’t really know how to deal with my feelings about all this. How have y’all dealt with it?</t>
        </is>
      </c>
      <c r="D3774" t="n">
        <v>22</v>
      </c>
      <c r="E3774" t="n">
        <v>17</v>
      </c>
      <c r="F3774">
        <f>HYPERLINK("https://www.reddit.com/r/cancer/comments/cijo8k/surgerys_done/")</f>
        <v/>
      </c>
      <c r="G3774" t="inlineStr">
        <is>
          <t>2019-07-27 09:38:59</t>
        </is>
      </c>
      <c r="H3774" t="inlineStr"/>
    </row>
    <row r="3775">
      <c r="A3775" t="inlineStr">
        <is>
          <t>cijstv</t>
        </is>
      </c>
      <c r="B3775" t="inlineStr">
        <is>
          <t>Make a paper 'cheer chain' for your loved one going through chemo.</t>
        </is>
      </c>
      <c r="C3775" t="inlineStr">
        <is>
          <t>My SO was diagnosed with NHL 6 years ago. When it came back so quickly, his doctors at Mayo clinic decided his best chance of survival was a SCT. I was his caregiver so we both lived in the transplant house for 6 weeks. In attempt to brighten his days (because I know there were going to be many bleak moments), I asked friends and family to write a short sentence with words of love and encouragement. I was amazed at all the responses and received more than enough to read one or two everyday. I created a cheer chain' using bright colorful strips of paper, and surprised him by hanging them up in our room while he was undergoing a procedure. 
He LOVED the concept and told me the little notes encouraged him to keep on keeping on everyday. He got to the point where he would get excited to go back to the room so we could read another message.</t>
        </is>
      </c>
      <c r="D3775" t="n">
        <v>12</v>
      </c>
      <c r="E3775" t="n">
        <v>4</v>
      </c>
      <c r="F3775">
        <f>HYPERLINK("https://www.reddit.com/r/cancer/comments/cijstv/make_a_paper_cheer_chain_for_your_loved_one_going/")</f>
        <v/>
      </c>
      <c r="G3775" t="inlineStr">
        <is>
          <t>2019-07-27 09:49:24</t>
        </is>
      </c>
      <c r="H3775" t="inlineStr"/>
    </row>
    <row r="3776">
      <c r="A3776" t="inlineStr">
        <is>
          <t>cinak3</t>
        </is>
      </c>
      <c r="B3776" t="inlineStr">
        <is>
          <t>Anyone's port placed in the jugular?</t>
        </is>
      </c>
      <c r="C3776" t="inlineStr">
        <is>
          <t>My mother had hers in her chest and said she had no pain. 99% of comments I've seen online comments say the port was mainly painless. I've only seen people with one incision scar but I have 2. It was the most painful thing in my life.  I'm wondering why the doctor chose to put it there.</t>
        </is>
      </c>
      <c r="D3776" t="n">
        <v>2</v>
      </c>
      <c r="E3776" t="n">
        <v>2</v>
      </c>
      <c r="F3776">
        <f>HYPERLINK("https://www.reddit.com/r/cancer/comments/cinak3/anyones_port_placed_in_the_jugular/")</f>
        <v/>
      </c>
      <c r="G3776" t="inlineStr">
        <is>
          <t>2019-07-27 14:35:31</t>
        </is>
      </c>
      <c r="H3776" t="inlineStr"/>
    </row>
    <row r="3777">
      <c r="A3777" t="inlineStr">
        <is>
          <t>cinisc</t>
        </is>
      </c>
      <c r="B3777" t="inlineStr">
        <is>
          <t>Mom has stage 4 lung cancer and coughing. Any thoughts?</t>
        </is>
      </c>
      <c r="C3777" t="inlineStr">
        <is>
          <t>My mom has stage 4 non small cell lung cancer. She coughs very often. She’s presently on abraxane. There are no new lesions in her lung. Any thoughts on why she’s coughing?</t>
        </is>
      </c>
      <c r="D3777" t="n">
        <v>4</v>
      </c>
      <c r="E3777" t="n">
        <v>1</v>
      </c>
      <c r="F3777">
        <f>HYPERLINK("https://www.reddit.com/r/cancer/comments/cinisc/mom_has_stage_4_lung_cancer_and_coughing_any/")</f>
        <v/>
      </c>
      <c r="G3777" t="inlineStr">
        <is>
          <t>2019-07-27 14:54:59</t>
        </is>
      </c>
      <c r="H3777" t="inlineStr"/>
    </row>
    <row r="3778">
      <c r="A3778" t="inlineStr">
        <is>
          <t>cio05r</t>
        </is>
      </c>
      <c r="B3778" t="inlineStr">
        <is>
          <t>She's almost gone</t>
        </is>
      </c>
      <c r="C3778" t="inlineStr">
        <is>
          <t>Mom was released from the hospital yesterday and we had hospice come in today. They took her vitals and her blood pressure is very low and heart rate is very high. The nurse said it could be 4 hours or 24 hours. 
The hospital doc said 6 months. 
The oncologist said maybe a month. 
But I knew. 
I just hope it's easy and peaceful. This disease is a horrendous.</t>
        </is>
      </c>
      <c r="D3778" t="n">
        <v>19</v>
      </c>
      <c r="E3778" t="n">
        <v>7</v>
      </c>
      <c r="F3778">
        <f>HYPERLINK("https://www.reddit.com/r/cancer/comments/cio05r/shes_almost_gone/")</f>
        <v/>
      </c>
      <c r="G3778" t="inlineStr">
        <is>
          <t>2019-07-27 15:37:47</t>
        </is>
      </c>
      <c r="H3778" t="inlineStr"/>
    </row>
    <row r="3779">
      <c r="A3779" t="inlineStr">
        <is>
          <t>cio6fy</t>
        </is>
      </c>
      <c r="B3779" t="inlineStr">
        <is>
          <t>Clinical Trials Testicular Cancer</t>
        </is>
      </c>
      <c r="C3779" t="inlineStr">
        <is>
          <t>How would you go about looking up clinical trials for Recurring Metastatic Testicular Cancer? I think just looking for a trial for Testicular Cancer would be too specific for a search.</t>
        </is>
      </c>
      <c r="D3779" t="n">
        <v>3</v>
      </c>
      <c r="E3779" t="n">
        <v>2</v>
      </c>
      <c r="F3779">
        <f>HYPERLINK("https://www.reddit.com/r/cancer/comments/cio6fy/clinical_trials_testicular_cancer/")</f>
        <v/>
      </c>
      <c r="G3779" t="inlineStr">
        <is>
          <t>2019-07-27 15:53:49</t>
        </is>
      </c>
      <c r="H3779" t="inlineStr"/>
    </row>
    <row r="3780">
      <c r="A3780" t="inlineStr">
        <is>
          <t>cip220</t>
        </is>
      </c>
      <c r="B3780" t="inlineStr">
        <is>
          <t>I lost my grandma today. But</t>
        </is>
      </c>
      <c r="C3780" t="inlineStr">
        <is>
          <t>I lost my best friend, mentor, nurse who made me where I am, I’m alive and in the medical field because of her.
I just want to share this, no matter how scary, or worrisome the cancer is, go kick ass. If you have it, kick some ass and tell me so I can root you on.
If you’re stressed, kick some ass, and message me so I can root you on 
If you lost someone to cancer, know I’m going to be the nurse and emt who ensures you keep fighting and never give up. EVER.</t>
        </is>
      </c>
      <c r="D3780" t="n">
        <v>18</v>
      </c>
      <c r="E3780" t="n">
        <v>5</v>
      </c>
      <c r="F3780">
        <f>HYPERLINK("https://www.reddit.com/r/cancer/comments/cip220/i_lost_my_grandma_today_but/")</f>
        <v/>
      </c>
      <c r="G3780" t="inlineStr">
        <is>
          <t>2019-07-27 17:15:08</t>
        </is>
      </c>
      <c r="H3780" t="inlineStr"/>
    </row>
    <row r="3781">
      <c r="A3781" t="inlineStr">
        <is>
          <t>cippk1</t>
        </is>
      </c>
      <c r="B3781" t="inlineStr">
        <is>
          <t>Secondary peritoneal cancer from breast cancer</t>
        </is>
      </c>
      <c r="C3781" t="inlineStr">
        <is>
          <t>My mother was diagnosed with metastatic breast cancer stage 4 with metastasis to bones in 2015.. earlier this year she stopped treatment as it was hefty, her treatment (herceptin and zoladex and xgeava) was effective and showed a hell lot of progress, but it was harsh and she was living but living isn't always alive. 
So yeah, earlier this month she was diagnosed with secondary peritoneal cancer and a triple negative breast cancer, as she experienced a 10 litre malignant ascites and high tumor markers CA 125
Did anyone you know had a similar situation and what kind of treatment he/she went through?  (Please specify the chemotherapy regime)</t>
        </is>
      </c>
      <c r="D3781" t="n">
        <v>10</v>
      </c>
      <c r="E3781" t="n">
        <v>5</v>
      </c>
      <c r="F3781">
        <f>HYPERLINK("https://www.reddit.com/r/cancer/comments/cippk1/secondary_peritoneal_cancer_from_breast_cancer/")</f>
        <v/>
      </c>
      <c r="G3781" t="inlineStr">
        <is>
          <t>2019-07-27 18:15:11</t>
        </is>
      </c>
      <c r="H3781" t="inlineStr"/>
    </row>
    <row r="3782">
      <c r="A3782" t="inlineStr">
        <is>
          <t>ciq26o</t>
        </is>
      </c>
      <c r="B3782" t="inlineStr">
        <is>
          <t>After a loved one passes...</t>
        </is>
      </c>
      <c r="C3782" t="inlineStr">
        <is>
          <t>There's a lot of complex feelings that we go through..grief relief etc.
But the one emotion that's stuck with me is paranoia. For my loved ones that are still living. My dad passed on last week from lung cancer and my remaining pillars are my mum, hubs and sister. 
I am so worried that something will happen to them now. Like my mum mentioned she had a throbbing pain in her tummy and then I immediately freeze up and think of the worst case scenarios. 
Has anyone experienced such a thing in the aftermath of a loved one passing?</t>
        </is>
      </c>
      <c r="D3782" t="n">
        <v>14</v>
      </c>
      <c r="E3782" t="n">
        <v>3</v>
      </c>
      <c r="F3782">
        <f>HYPERLINK("https://www.reddit.com/r/cancer/comments/ciq26o/after_a_loved_one_passes/")</f>
        <v/>
      </c>
      <c r="G3782" t="inlineStr">
        <is>
          <t>2019-07-27 18:48:42</t>
        </is>
      </c>
      <c r="H3782" t="inlineStr"/>
    </row>
    <row r="3783">
      <c r="A3783" t="inlineStr">
        <is>
          <t>ciq4nv</t>
        </is>
      </c>
      <c r="B3783" t="inlineStr">
        <is>
          <t>How do you cope while waiting for testing/results?</t>
        </is>
      </c>
      <c r="C3783" t="inlineStr">
        <is>
          <t>Hey Everyone,
I (34/f) have a suspected something going on in my stomach. At first they thought it was an ulcer, but it is not responding to treatment. I've been referred for an endoscopy, but it will still be 2-3 weeks before I receive one. 
I've been riddled with anxiety. I've gone through years of posts on this sub (you are all amazing, btw!). But now I wait. 
What helps you when you are waiting for testing/results?</t>
        </is>
      </c>
      <c r="D3783" t="n">
        <v>10</v>
      </c>
      <c r="E3783" t="n">
        <v>14</v>
      </c>
      <c r="F3783">
        <f>HYPERLINK("https://www.reddit.com/r/cancer/comments/ciq4nv/how_do_you_cope_while_waiting_for_testingresults/")</f>
        <v/>
      </c>
      <c r="G3783" t="inlineStr">
        <is>
          <t>2019-07-27 18:55:21</t>
        </is>
      </c>
      <c r="H3783" t="inlineStr"/>
    </row>
    <row r="3784">
      <c r="A3784" t="inlineStr">
        <is>
          <t>ciqar2</t>
        </is>
      </c>
      <c r="B3784" t="inlineStr">
        <is>
          <t>Temperature During Chemo</t>
        </is>
      </c>
      <c r="C3784" t="inlineStr">
        <is>
          <t>Hey guys!
Sarcoma patient, currently on Day 11 Cycle 2/6 of AIM. Didn't know if it was normal for temperatures to rise during chemo without infection? First Cycle I had 1 reading of 100.8 and immediately went to the ER. Had a 10 day course of antibiotics and all was well.
This cycle I've had about 2 days of 100.0 temps. No other symptoms, feeling good. Didn't know if this was common? Using an ear &amp;amp; oral thermometer. Obviously if I get that 100.4 reading I will go, just riding that line for days is maddening. 
Thanks!</t>
        </is>
      </c>
      <c r="D3784" t="n">
        <v>4</v>
      </c>
      <c r="E3784" t="n">
        <v>4</v>
      </c>
      <c r="F3784">
        <f>HYPERLINK("https://www.reddit.com/r/cancer/comments/ciqar2/temperature_during_chemo/")</f>
        <v/>
      </c>
      <c r="G3784" t="inlineStr">
        <is>
          <t>2019-07-27 19:12:18</t>
        </is>
      </c>
      <c r="H3784" t="inlineStr"/>
    </row>
    <row r="3785">
      <c r="A3785" t="inlineStr">
        <is>
          <t>ciqj24</t>
        </is>
      </c>
      <c r="B3785" t="inlineStr">
        <is>
          <t>Halfway to Heaven</t>
        </is>
      </c>
      <c r="C3785" t="inlineStr">
        <is>
          <t>My mom went on hospice 2 weeks ago, stage 4 small cell lung cancer with mets to multiple organs. She will likely pass tomorrow after her elderly father comes to visit- we have to physically carry him up the stairs to see her because he is so frail. I literally have no idea how my life or my family will go on without her. Her name is Catharina.</t>
        </is>
      </c>
      <c r="D3785" t="n">
        <v>18</v>
      </c>
      <c r="E3785" t="n">
        <v>3</v>
      </c>
      <c r="F3785">
        <f>HYPERLINK("https://www.reddit.com/r/cancer/comments/ciqj24/halfway_to_heaven/")</f>
        <v/>
      </c>
      <c r="G3785" t="inlineStr">
        <is>
          <t>2019-07-27 19:36:07</t>
        </is>
      </c>
      <c r="H3785" t="inlineStr"/>
    </row>
    <row r="3786">
      <c r="A3786" t="inlineStr">
        <is>
          <t>ciqkq5</t>
        </is>
      </c>
      <c r="B3786" t="inlineStr">
        <is>
          <t>Depression. Coping.</t>
        </is>
      </c>
      <c r="C3786" t="inlineStr">
        <is>
          <t>When ever I hear anything that has to do with cancer, I get depressed.  Whenever I hear some one talk about cancer on this subreddit and their experience, I relive my own experience and it sometimes makes me feel like im gunna get a heart attack due to stress and anxiety. 
Therapy is an option. But how do you guys deal with it?</t>
        </is>
      </c>
      <c r="D3786" t="n">
        <v>9</v>
      </c>
      <c r="E3786" t="n">
        <v>3</v>
      </c>
      <c r="F3786">
        <f>HYPERLINK("https://www.reddit.com/r/cancer/comments/ciqkq5/depression_coping/")</f>
        <v/>
      </c>
      <c r="G3786" t="inlineStr">
        <is>
          <t>2019-07-27 19:41:00</t>
        </is>
      </c>
      <c r="H3786" t="inlineStr"/>
    </row>
    <row r="3787">
      <c r="A3787" t="inlineStr">
        <is>
          <t>cir53y</t>
        </is>
      </c>
      <c r="B3787" t="inlineStr">
        <is>
          <t>I am so frusteated. By a lot of things. But mostly by no live chat. Read why in the text.</t>
        </is>
      </c>
      <c r="C3787" t="inlineStr">
        <is>
          <t>I am old.  So old that I remember before home PC.  I remember before cable.  I remember before cordless telephones.  
That said, when I first discovered the internet, thank you AOHell, there were chat rooms, for everything.  People were all about talking about everything 24/7 and we paid $3.95 an hour to do it.  It was, in fact, how I met my husband.  The one that is now dying.  Way back in the 1900's where meeting someone online was verboten. An absolute scandal. 
But, back then, I could go online at any time of the day or night and talk to someone.  Real time.  There was a chat room or something for that.  Now today.  When I need someone.  My best chance is to post it on Reddit.  And maybe someone will answer.  Or maybe they won't.  Or they might answer after I gave up and went to bed.  
There are nights/days/moments where I have the horrors.  His diagnosis, our financial situation, our housing situation. I miss talking to live people.  I thought if anyone had kept chatrooms alive it would be cancer people.  But I can't find a single one.</t>
        </is>
      </c>
      <c r="D3787" t="n">
        <v>34</v>
      </c>
      <c r="E3787" t="n">
        <v>23</v>
      </c>
      <c r="F3787">
        <f>HYPERLINK("https://www.reddit.com/r/cancer/comments/cir53y/i_am_so_frusteated_by_a_lot_of_things_but_mostly/")</f>
        <v/>
      </c>
      <c r="G3787" t="inlineStr">
        <is>
          <t>2019-07-27 20:39:43</t>
        </is>
      </c>
      <c r="H3787" t="inlineStr"/>
    </row>
    <row r="3788">
      <c r="A3788" t="inlineStr">
        <is>
          <t>ciubsq</t>
        </is>
      </c>
      <c r="B3788" t="inlineStr">
        <is>
          <t>Fatigue and exercise?</t>
        </is>
      </c>
      <c r="C3788" t="inlineStr">
        <is>
          <t>My chemo fatigue comes in waves, and usually lasts for 4-5 days at a time. I've avoided exercise during these times because friends and family tell me not to push myself and rest up, but I'm not sure that's the best advice. You don't get stronger by laying in bed all day...</t>
        </is>
      </c>
      <c r="D3788" t="n">
        <v>9</v>
      </c>
      <c r="E3788" t="n">
        <v>14</v>
      </c>
      <c r="F3788">
        <f>HYPERLINK("https://www.reddit.com/r/cancer/comments/ciubsq/fatigue_and_exercise/")</f>
        <v/>
      </c>
      <c r="G3788" t="inlineStr">
        <is>
          <t>2019-07-28 03:29:26</t>
        </is>
      </c>
      <c r="H3788" t="inlineStr"/>
    </row>
    <row r="3789">
      <c r="A3789" t="inlineStr">
        <is>
          <t>ciwf5s</t>
        </is>
      </c>
      <c r="B3789" t="inlineStr">
        <is>
          <t>CEA LEVELS ARE DOWN!</t>
        </is>
      </c>
      <c r="C3789" t="inlineStr">
        <is>
          <t>Hi reddit! I've posted a few times about my dad having stage IV colorectal cancer. Before starting his chemo, his CEA levels were 6.2. After the first round, they increased to 11.9. I was devastated thinking the chemo wouldn't work. The oncologist said it could be the tumors dissipating into his blood and raising the levels, or it could be because the tumors are rapidly growing despite the chemo.
He just got his CEA levels checked again dn they are down to 3.1!!! We are all so ecstatic and feel so much hope going forward!</t>
        </is>
      </c>
      <c r="D3789" t="n">
        <v>62</v>
      </c>
      <c r="E3789" t="n">
        <v>12</v>
      </c>
      <c r="F3789">
        <f>HYPERLINK("https://www.reddit.com/r/cancer/comments/ciwf5s/cea_levels_are_down/")</f>
        <v/>
      </c>
      <c r="G3789" t="inlineStr">
        <is>
          <t>2019-07-28 07:26:52</t>
        </is>
      </c>
      <c r="H3789" t="inlineStr"/>
    </row>
    <row r="3790">
      <c r="A3790" t="inlineStr">
        <is>
          <t>ciwpqo</t>
        </is>
      </c>
      <c r="B3790" t="inlineStr">
        <is>
          <t>Metallic Taste during Radiation Treatment</t>
        </is>
      </c>
      <c r="C3790" t="inlineStr">
        <is>
          <t>My brother is undergoing radiation treatment for brain cancer and has developed a metallic taste in his mouth. Over the last week he has slowly ate less and less, and is now not eating anything. I am very worried about him, as he is still drinking water but not much else. He says everything tastes like metal or cardboard, and he is not hungry. 
I guess my question is; What did/do others eat while going through radiation and experiencing the same symptoms as him?
I have researched and found cold foods might work best for him. He is also a normally picky eater, and has teeth issues that cannot be dealt with until he is finished treatment for a couple of months... so that makes this a little more difficult.
ANY advice, or help would be appreciated. 
Thank you!</t>
        </is>
      </c>
      <c r="D3790" t="n">
        <v>2</v>
      </c>
      <c r="E3790" t="n">
        <v>20</v>
      </c>
      <c r="F3790">
        <f>HYPERLINK("https://www.reddit.com/r/cancer/comments/ciwpqo/metallic_taste_during_radiation_treatment/")</f>
        <v/>
      </c>
      <c r="G3790" t="inlineStr">
        <is>
          <t>2019-07-28 07:52:30</t>
        </is>
      </c>
      <c r="H3790" t="inlineStr"/>
    </row>
    <row r="3791">
      <c r="A3791" t="inlineStr">
        <is>
          <t>cix9qq</t>
        </is>
      </c>
      <c r="B3791" t="inlineStr">
        <is>
          <t>As a Caregiver are you satisfied with the options you have? Does your society value you?</t>
        </is>
      </c>
      <c r="C3791" t="inlineStr">
        <is>
          <t>I don't think much people want to go deep to know how a caregiver feels. Do you recollect an incidence when someone made you feel cared for?</t>
        </is>
      </c>
      <c r="D3791" t="n">
        <v>6</v>
      </c>
      <c r="E3791" t="n">
        <v>6</v>
      </c>
      <c r="F3791">
        <f>HYPERLINK("https://www.reddit.com/r/cancer/comments/cix9qq/as_a_caregiver_are_you_satisfied_with_the_options/")</f>
        <v/>
      </c>
      <c r="G3791" t="inlineStr">
        <is>
          <t>2019-07-28 08:38:25</t>
        </is>
      </c>
      <c r="H3791" t="inlineStr"/>
    </row>
    <row r="3792">
      <c r="A3792" t="inlineStr">
        <is>
          <t>ciydwt</t>
        </is>
      </c>
      <c r="B3792" t="inlineStr">
        <is>
          <t>Obgyn birth control?</t>
        </is>
      </c>
      <c r="C3792" t="inlineStr">
        <is>
          <t>What has your doctor recommended in regards to birth control? Non hormonal based options only?
I have an appointment with mine on the 1st. I'm about 3 months post chemo (abvg) and 2 months post radiation for stage 2 Hodgkin's lymphoma. I am definitely going to ask her about this situation (I'm currently on nexplanon) but wanted to know what others have dealt with.</t>
        </is>
      </c>
      <c r="D3792" t="n">
        <v>3</v>
      </c>
      <c r="E3792" t="n">
        <v>0</v>
      </c>
      <c r="F3792">
        <f>HYPERLINK("https://www.reddit.com/r/cancer/comments/ciydwt/obgyn_birth_control/")</f>
        <v/>
      </c>
      <c r="G3792" t="inlineStr">
        <is>
          <t>2019-07-28 10:08:07</t>
        </is>
      </c>
      <c r="H3792" t="inlineStr"/>
    </row>
    <row r="3793">
      <c r="A3793" t="inlineStr">
        <is>
          <t>ciyfff</t>
        </is>
      </c>
      <c r="B3793" t="inlineStr">
        <is>
          <t>CEA LEVEL 6.8</t>
        </is>
      </c>
      <c r="C3793" t="inlineStr">
        <is>
          <t>Short story:  I'm 41, no health issues, in amazing shape.  A nutritionist recommended that I get a very extensive blood panel and one of the biomarkers was CEA.  The CEA came back at 6.8.  I did research and learned that it is high although a high CEA level can be attributed to other things other than cancer.  I went ahead got a colonoscopy done in which they removed 11 polyps 1 of which was pre-cancerous.  Also biopsies showed that i had an unusual amount of polyps that were of lymphoid aggregates.  
Other information:
(1) I smoke cannabis
(2) I was chewing on Nicotine gum during that time (sometimes when i want to drop to really low body fat levels i will chew some in order to mobilize fat stores)
Also got an ultrasound of all my organs and nothing of interest came up.  Am i freaking out for no reason?</t>
        </is>
      </c>
      <c r="D3793" t="n">
        <v>0</v>
      </c>
      <c r="E3793" t="n">
        <v>4</v>
      </c>
      <c r="F3793">
        <f>HYPERLINK("https://www.reddit.com/r/cancer/comments/ciyfff/cea_level_68/")</f>
        <v/>
      </c>
      <c r="G3793" t="inlineStr">
        <is>
          <t>2019-07-28 10:11:27</t>
        </is>
      </c>
      <c r="H3793" t="inlineStr"/>
    </row>
    <row r="3794">
      <c r="A3794" t="inlineStr">
        <is>
          <t>ciylaz</t>
        </is>
      </c>
      <c r="B3794" t="inlineStr">
        <is>
          <t>Cancer - Claiming on Travel Insurance</t>
        </is>
      </c>
      <c r="C3794" t="inlineStr">
        <is>
          <t>Hi All,
&amp;amp;#x200B;
Hope all is well in your worlds, or heading that way!
&amp;amp;#x200B;
Looking for advice from anyone whom has had to cancel holidays due to cancer related illness?
&amp;amp;#x200B;
My Father was on holiday abroad and lost his appetite / ability to digest food. Following a visit to the foreign private hospital (agreed with insurers) diagnosed with intestinal and liver cancer :-(
&amp;amp;#x200B;
Following issue of fit to fly was back in the UK and going through our NHS health system process to start the battle...
&amp;amp;#x200B;
I am sorting the insurance matters on his behalf - one less thing for him to worry about - but always tread carefully when dealing with insurance companies. Does anyone have any words of wisdom on the matter?
&amp;amp;#x200B;
He had travel insurance with sufficient coverage, no diagnosis / treatment / appointment prior to being hospitalised abroad. We would be claiming for the deposit he was required to pay to the foreign private hospital, cancellation of that holiday and cancellation of a further holiday as he will be recovering from surgery / in chemotherapy at that time.
&amp;amp;#x200B;
I have already taken the steps of establishing a detailed timeline, gathering all documents, creating a schedule of costs and contacting McMillan Cancer Support (who where great and I would highly recommend to anyone). I am calling the insurance company next week to officially start the claims process.
&amp;amp;#x200B;
Many thanks in advance.</t>
        </is>
      </c>
      <c r="D3794" t="n">
        <v>2</v>
      </c>
      <c r="E3794" t="n">
        <v>1</v>
      </c>
      <c r="F3794">
        <f>HYPERLINK("https://www.reddit.com/r/cancer/comments/ciylaz/cancer_claiming_on_travel_insurance/")</f>
        <v/>
      </c>
      <c r="G3794" t="inlineStr">
        <is>
          <t>2019-07-28 10:24:25</t>
        </is>
      </c>
      <c r="H3794" t="inlineStr"/>
    </row>
    <row r="3795">
      <c r="A3795" t="inlineStr">
        <is>
          <t>cj06jx</t>
        </is>
      </c>
      <c r="B3795" t="inlineStr">
        <is>
          <t>Symptoms for 20 days</t>
        </is>
      </c>
      <c r="C3795" t="inlineStr">
        <is>
          <t>First off I don’t want to offend anyone but I am concerned. I am a 27 year old male. I have been having stomach and back aches for the last twenty days. I have been to the dr and had blood test urine test and xrays of my abdominal area done. Everything came back normal. I have been to the dr about 7 times.  Idk what to do.  I’ve been have bm problems as well like I’ll be constipated and then have loose stools. This all started on the 5th of July. My concern I’m I have pancreatic cancer again I don’t want to offend anyone. 
Please remove if I have broken the rules.</t>
        </is>
      </c>
      <c r="D3795" t="n">
        <v>1</v>
      </c>
      <c r="E3795" t="n">
        <v>1</v>
      </c>
      <c r="F3795">
        <f>HYPERLINK("https://www.reddit.com/r/cancer/comments/cj06jx/symptoms_for_20_days/")</f>
        <v/>
      </c>
      <c r="G3795" t="inlineStr">
        <is>
          <t>2019-07-28 12:29:17</t>
        </is>
      </c>
      <c r="H3795" t="inlineStr"/>
    </row>
    <row r="3796">
      <c r="A3796" t="inlineStr">
        <is>
          <t>cj11qf</t>
        </is>
      </c>
      <c r="B3796" t="inlineStr">
        <is>
          <t>HA HA ALL YOU MOTHER FUCKERS WITH CANCER WILL DIE!!</t>
        </is>
      </c>
      <c r="C3796" t="inlineStr">
        <is>
          <t>YOU ARE SINNERS OR NIGGERS THAT IS WHY YOU HAVE CANCER!!!!! PAINFUL AHHH!! GOOD! FUCKING SINNERS, EVEN THE CHILDREN, YOU LIKE FAGGOTS MAKE ME SICK!!! DIE DIE DIE!!!!</t>
        </is>
      </c>
      <c r="D3796" t="n">
        <v>0</v>
      </c>
      <c r="E3796" t="n">
        <v>0</v>
      </c>
      <c r="F3796">
        <f>HYPERLINK("https://www.reddit.com/r/cancer/comments/cj11qf/ha_ha_all_you_mother_fuckers_with_cancer_will_die/")</f>
        <v/>
      </c>
      <c r="G3796" t="inlineStr">
        <is>
          <t>2019-07-28 13:36:23</t>
        </is>
      </c>
      <c r="H3796" t="inlineStr"/>
    </row>
    <row r="3797">
      <c r="A3797" t="inlineStr">
        <is>
          <t>cj1it2</t>
        </is>
      </c>
      <c r="B3797" t="inlineStr">
        <is>
          <t>I have cancer, 4 ways to help</t>
        </is>
      </c>
      <c r="C3797" t="inlineStr">
        <is>
          <t>I've lived through my mother's and sister's cancers... both terminal, and now I'm dealing with mine ...fortunately, caught early and curable. So I've gone from caregiver to patient, and I'm grateful for the support. People have asked how they can help. My friend who runs social media stuff made this for me to share.
https://i.redd.it/rxxunhk514d31.png</t>
        </is>
      </c>
      <c r="D3797" t="n">
        <v>114</v>
      </c>
      <c r="E3797" t="n">
        <v>23</v>
      </c>
      <c r="F3797">
        <f>HYPERLINK("https://www.reddit.com/r/cancer/comments/cj1it2/i_have_cancer_4_ways_to_help/")</f>
        <v/>
      </c>
      <c r="G3797" t="inlineStr">
        <is>
          <t>2019-07-28 14:13:33</t>
        </is>
      </c>
      <c r="H3797" t="inlineStr"/>
    </row>
    <row r="3798">
      <c r="A3798" t="inlineStr">
        <is>
          <t>cj1xuy</t>
        </is>
      </c>
      <c r="B3798" t="inlineStr">
        <is>
          <t>Need a doctor’s opinion</t>
        </is>
      </c>
      <c r="C3798" t="inlineStr">
        <is>
          <t>I hope this isn’t an inappropriate post for this sub, I really apologize if it is, but long story short I know a person who says they have terminal cancer and I have reason to believe they might be lying in order to manipulate someone. This is a 22 year old girl claiming to have throat cancer, I don’t know what stage. She says that she has stopped taking some kind of medication that is keeping her alive, in order to commit suicide. She claims that by stopping the medication she will die within a year. She has very long hair so she clearly hasn’t had any chemo within the last five years. Does this story add up? Is that medication a real thing? Thanks for any help</t>
        </is>
      </c>
      <c r="D3798" t="n">
        <v>1</v>
      </c>
      <c r="E3798" t="n">
        <v>0</v>
      </c>
      <c r="F3798">
        <f>HYPERLINK("https://www.reddit.com/r/cancer/comments/cj1xuy/need_a_doctors_opinion/")</f>
        <v/>
      </c>
      <c r="G3798" t="inlineStr">
        <is>
          <t>2019-07-28 14:48:54</t>
        </is>
      </c>
      <c r="H3798" t="inlineStr"/>
    </row>
    <row r="3799">
      <c r="A3799" t="inlineStr">
        <is>
          <t>cj2rsz</t>
        </is>
      </c>
      <c r="B3799" t="inlineStr">
        <is>
          <t>Ball cancer!??? 15 pls help</t>
        </is>
      </c>
      <c r="C3799" t="inlineStr">
        <is>
          <t>Hello guys , im asking here if anybody had or has the condision and how it started cause i dont really know . Ive had only two fairly strong hits in my life (15) into my left testicle, one about when i was five and one year ago. I had a pain in the left ball for actually fairly long like 7 years but it was like the pain was random and lasting from 5-30 seconds , it was more frequent lately but i never cared about it , last few months maybe already a year my liver or at least i think liver also got random exruciating paint like i couldnt even move or had to stop talking , now the ball hurted for like half an hour from nothing and i sensed like litle bumb or some kind of more dense area in the ball , could it be cancer ? Wouldnt it be seen on pee and blood tests ?</t>
        </is>
      </c>
      <c r="D3799" t="n">
        <v>2</v>
      </c>
      <c r="E3799" t="n">
        <v>8</v>
      </c>
      <c r="F3799">
        <f>HYPERLINK("https://www.reddit.com/r/cancer/comments/cj2rsz/ball_cancer_15_pls_help/")</f>
        <v/>
      </c>
      <c r="G3799" t="inlineStr">
        <is>
          <t>2019-07-28 15:58:28</t>
        </is>
      </c>
      <c r="H3799" t="inlineStr"/>
    </row>
    <row r="3800">
      <c r="A3800" t="inlineStr">
        <is>
          <t>cj35uv</t>
        </is>
      </c>
      <c r="B3800" t="inlineStr">
        <is>
          <t>My father passed away</t>
        </is>
      </c>
      <c r="C3800" t="inlineStr">
        <is>
          <t>Hello friends. My father just passed away today, in sleep, before morning. 
We found out about his statge 4 rectal cancer a year ago. He did a round of chemo and radiotherapy, but the cancer was too agressive. In the couple of months that he stopped recieving chemo, it nearly destroyed his liver. He suffered for about a month and a half, losing a lot of weight. He finally sucummbed this morning. I expected it, we all knew for a few months that his cancer was killing him, but still the pain is too much. 
I hope he is finally at peace. It was killing me to see him become so weak.</t>
        </is>
      </c>
      <c r="D3800" t="n">
        <v>13</v>
      </c>
      <c r="E3800" t="n">
        <v>10</v>
      </c>
      <c r="F3800">
        <f>HYPERLINK("https://www.reddit.com/r/cancer/comments/cj35uv/my_father_passed_away/")</f>
        <v/>
      </c>
      <c r="G3800" t="inlineStr">
        <is>
          <t>2019-07-28 16:31:42</t>
        </is>
      </c>
      <c r="H3800" t="inlineStr"/>
    </row>
    <row r="3801">
      <c r="A3801" t="inlineStr">
        <is>
          <t>cj4er1</t>
        </is>
      </c>
      <c r="B3801" t="inlineStr">
        <is>
          <t>I don’t know how to say goodbye.</t>
        </is>
      </c>
      <c r="C3801" t="inlineStr">
        <is>
          <t>Within the last two years I’ve found out that my mom has stage 4 colon cancer. She and my dad were keeping it from my brother, sister, and I for a little while. So we basically were told just when shit started hitting the fan. The only thing we have left is clinical trials. She’s been in and out of the hospital, yada yada yada. 
She’s planning a “vacation” in October. We know it’s just a way for her to see all of our extended family and say goodbye for maybe the last time. We don’t know what’s going to happen 
We’re a very no bullshit family. We don’t talk about our feelings. We just keep everything surface level. Now I don’t know how to say goodbye. I don’t think it’s physically possible for me to say the words. How do I do it? She’s everything to me. How do you just let go of someone who gave you everything? 
I just don’t think I can. 
Thanks for listening.</t>
        </is>
      </c>
      <c r="D3801" t="n">
        <v>15</v>
      </c>
      <c r="E3801" t="n">
        <v>7</v>
      </c>
      <c r="F3801">
        <f>HYPERLINK("https://www.reddit.com/r/cancer/comments/cj4er1/i_dont_know_how_to_say_goodbye/")</f>
        <v/>
      </c>
      <c r="G3801" t="inlineStr">
        <is>
          <t>2019-07-28 18:24:26</t>
        </is>
      </c>
      <c r="H3801" t="inlineStr"/>
    </row>
    <row r="3802">
      <c r="A3802" t="inlineStr">
        <is>
          <t>cj4nif</t>
        </is>
      </c>
      <c r="B3802" t="inlineStr">
        <is>
          <t>OncLiveTV Channel on YouTube has tons of content from oncology panels and interviews</t>
        </is>
      </c>
      <c r="C3802" t="inlineStr">
        <is>
          <t>Haven't done a real deep dive but thought I'd share before I forget: [https://www.youtube.com/user/OncLiveTV](https://www.youtube.com/user/OncLiveTV) 
Lots of little fluff vids that don't provide a lot of information but it's interesting to hear docs talking shop about various therapies, trials and some of the issues they encounter.  May also see your doc or one of their partners in there if you dig around.</t>
        </is>
      </c>
      <c r="D3802" t="n">
        <v>2</v>
      </c>
      <c r="E3802" t="n">
        <v>0</v>
      </c>
      <c r="F3802">
        <f>HYPERLINK("https://www.reddit.com/r/cancer/comments/cj4nif/onclivetv_channel_on_youtube_has_tons_of_content/")</f>
        <v/>
      </c>
      <c r="G3802" t="inlineStr">
        <is>
          <t>2019-07-28 18:47:25</t>
        </is>
      </c>
      <c r="H3802" t="inlineStr"/>
    </row>
    <row r="3803">
      <c r="A3803" t="inlineStr">
        <is>
          <t>cj4rlq</t>
        </is>
      </c>
      <c r="B3803" t="inlineStr">
        <is>
          <t>Possible Laryngeal Cancer.</t>
        </is>
      </c>
      <c r="C3803" t="inlineStr">
        <is>
          <t>I go in for a video laryngoscopy tomorrow after a CT scan reviewed a “small soft tissue fullness” in pharynx. Sadly, I have many of the symptoms associated with the disease. I’m less scared about surviving as I am about my wife and young kids lives being destroyed if I don’t make it. Posting this feels therapeutic being that I have been a mental wreck for the last few weeks. Thanks for reading.</t>
        </is>
      </c>
      <c r="D3803" t="n">
        <v>5</v>
      </c>
      <c r="E3803" t="n">
        <v>3</v>
      </c>
      <c r="F3803">
        <f>HYPERLINK("https://www.reddit.com/r/cancer/comments/cj4rlq/possible_laryngeal_cancer/")</f>
        <v/>
      </c>
      <c r="G3803" t="inlineStr">
        <is>
          <t>2019-07-28 18:58:05</t>
        </is>
      </c>
      <c r="H3803" t="inlineStr"/>
    </row>
    <row r="3804">
      <c r="A3804" t="inlineStr">
        <is>
          <t>cj53rv</t>
        </is>
      </c>
      <c r="B3804" t="inlineStr">
        <is>
          <t>Any advice is appreciated.</t>
        </is>
      </c>
      <c r="C3804" t="inlineStr">
        <is>
          <t>Hello, I posted this on r/cancercaregivers as well. I apologize if this is not allowed. Please remove if not. 
Hey Everyone, 
I guess I’ll get straight to it. My mom was recently diagnosed with ovarian cancer. She had breast cancer about 5 years ago, reacted well to the treatment and went in to remission up until now. To be completely honest, I’m so overwhelmed with the different scenarios and everything that is happening/could happen replaying over and over in my head. I apologize in advance if this jumps around all over the place, I’m basically just writing down everything that comes to mind. 
She is scheduled for a surgery to have the tumor removed, however I’m worried that there may be more or it is spreading without any signs. Seeing her go through chemotherapy and radiation is so fucking terrible. That being said, to be completely honest i am worried about my family dynamic and how it’ll be affected. She is such a caring person and would tell me to not put my life on hold for her but I can’t help but think of ways to try and be present or at least make to work. 
I’ll start off with myself. I recently started my career in a different city after having graduated college. I love my job, everything is going well, honestly could not ask for a better situation. However I’m worried about not being present to spend time with my mom. It’s not supposed to be an aggressive type however it still worries the crap out of me. I’m planning on coming up with a plan with you job to see how flexible they can be. Since I live fairly close (3 hours) my plan is to drive down every week/every other week. Would you guys recommend this? Is this something you have had to do before? I’m also I’m a long term relationship, but I don’t want to put any strain on her. She is so supportive but works a crazy schedule and would hate to add stress to her as well. I’m just worried that we will drift a part or she will resent me for not seeing her since I plan on going back home. I’m also worried that I might have to move back home for some time, and I don’t want her to have to feel like she needs to follow me. The last thing I want to do is lose one of the only support systems I have in my life especially during this trying time for my mom, and my family. 
My little brother recently graduated high school and is getting ready to leave for college. He busted his ass and was able to get in to his top choice of school. Having going though this with my mom when I first left to college, I’m sure I know how he feels. The thing I most worried about is him not reaching out to friends or having trouble expanding while away from home. Luckily he will be fairly close to my current place where we can see each other frequently. 
My little sister is I’m high school, however she is still very much a child. Immature, gives unnecessary attitude. With my mom being sick now, I’m worried for her being overwhelmed and not being able to help while my brother and i are away from home. My mom has expressed to me that she is concerned about my sister since she shows little initiative to even try to clean her room, let along help my mom around while going through treatment. 
Lastly my dad, he is a truck driver for a living. That means he is gone for a couple days at a time. I’m worried about his mental health as he spends so much time alone on the road. I’m also worried that he won’t be able to spend time at home to help my mom. This basically leaves my sister in charge as I am at work, my brother is in school and my dad is at work on the road. With my sister going back to school as well my mom will be pretty much on her own when my dad is at work. 
I guess what I need help with is deciding how we come together as a family and strategize how we will get through this. For now I think the best thing will be for my brother and I to make trips down weekly or every other week o spend time at home. My dad has a bit more flexibly and can work days when he is able to. 
Another thing that has been on my mind is the future and if my mom doesn’t make it out this time around. Would i need to take care of my brother and my dad takes care of my sister? If that happens my sister will be on her own while my dad is on the road for work. If I bring in my sister as well, my dad will be on his own. Do I move entirely back home and live at home? Does my brother defer his start date?
I’m just all over the place right now and can’t help but think of this long term since our family is so spread out. Any advice, ideas, anything would be much appreciated.</t>
        </is>
      </c>
      <c r="D3804" t="n">
        <v>1</v>
      </c>
      <c r="E3804" t="n">
        <v>0</v>
      </c>
      <c r="F3804">
        <f>HYPERLINK("https://www.reddit.com/r/cancer/comments/cj53rv/any_advice_is_appreciated/")</f>
        <v/>
      </c>
      <c r="G3804" t="inlineStr">
        <is>
          <t>2019-07-28 19:29:19</t>
        </is>
      </c>
      <c r="H3804" t="inlineStr"/>
    </row>
    <row r="3805">
      <c r="A3805" t="inlineStr">
        <is>
          <t>cj59mi</t>
        </is>
      </c>
      <c r="B3805" t="inlineStr">
        <is>
          <t>First scan post recurrence treatment.</t>
        </is>
      </c>
      <c r="C3805" t="inlineStr">
        <is>
          <t>Hey all, I've got my first scan since I completed treatment for my (first &amp;amp; only🤞🏻)  recurrence after getting into remission. I'm dealing with scanxiety fairly well but still nervous all the same.
If you're reading this I wish you health &amp;amp; peace, feel free to send some back my way 😘. 
Hopefully I'll have some good news tomorrow.</t>
        </is>
      </c>
      <c r="D3805" t="n">
        <v>16</v>
      </c>
      <c r="E3805" t="n">
        <v>11</v>
      </c>
      <c r="F3805">
        <f>HYPERLINK("https://www.reddit.com/r/cancer/comments/cj59mi/first_scan_post_recurrence_treatment/")</f>
        <v/>
      </c>
      <c r="G3805" t="inlineStr">
        <is>
          <t>2019-07-28 19:44:55</t>
        </is>
      </c>
      <c r="H3805" t="inlineStr"/>
    </row>
    <row r="3806">
      <c r="A3806" t="inlineStr">
        <is>
          <t>cj5mdj</t>
        </is>
      </c>
      <c r="B3806" t="inlineStr">
        <is>
          <t>Concern</t>
        </is>
      </c>
      <c r="C3806" t="inlineStr">
        <is>
          <t>Hi! I finished treatment for stage 3 t-cell lymphoblastic lymphoma in 2017 after being diagnosed in 2015 at 18. I entered remission about six months into treatment and I’ve been doing pretty well. In late June I got diagnosed with mono after having symptoms for about two weeks prior. I had swollen glands, a sore throat, fatigue, and a low-grade fever. I’ve been concerned because my left gland is still swollen. It has definitely gone down, but it’s not normal at all. I had off bloodwork the first time I was at oncology in early July and relatively normal bloodwork about a week ago. I also tested that I can’t transfer mono. I’m concerned about this and I was wondering if anyone has had similar experiences? My oncologist isn’t worried about relapse, but this just seems like such a long time to still have a swollen gland. I’m feeling a lot better otherwise aside from some fatigue, but this is concerning to me.</t>
        </is>
      </c>
      <c r="D3806" t="n">
        <v>1</v>
      </c>
      <c r="E3806" t="n">
        <v>0</v>
      </c>
      <c r="F3806">
        <f>HYPERLINK("https://www.reddit.com/r/cancer/comments/cj5mdj/concern/")</f>
        <v/>
      </c>
      <c r="G3806" t="inlineStr">
        <is>
          <t>2019-07-28 20:18:31</t>
        </is>
      </c>
      <c r="H3806" t="inlineStr"/>
    </row>
    <row r="3807">
      <c r="A3807" t="inlineStr">
        <is>
          <t>cj5ypj</t>
        </is>
      </c>
      <c r="B3807" t="inlineStr">
        <is>
          <t>Questions about spread to regional lymph nodes</t>
        </is>
      </c>
      <c r="C3807" t="inlineStr">
        <is>
          <t>Hi,
I know many cancers have the staging system of TNM, where stage 1 is one local tumor
, stage 2 is that tumor being over 2inches, stage 3 is Mets to regional lymph nodes and stage 4 is distant Mets. 
I had a question about stage 3, spread to regional lymph nodes. 
I have a local tumor in my gland that was 1.9 cm that spread to one lymph node that was 0.4cm. 
The statistics for my cancer are like 90% for stage 1 and 50% for stage 3. I refuse to believe that because my cancer went to one lymph node that happen to be the closet lymph node to the tumor that my chances of Survival dropped by 40% especially since there is no extranodal extension which means the tumor isn’t sticking out the lymph node effecting other lymph nodes. 
Can you somewhere give me more color on this stage of “regional lymph nodes”. If you have 10 lymph nodes effected post op , or just 1 lymph node effected that was cut out during operation or your chances better?
Please be honest with me your thoughts.
Thanks,
A</t>
        </is>
      </c>
      <c r="D3807" t="n">
        <v>3</v>
      </c>
      <c r="E3807" t="n">
        <v>9</v>
      </c>
      <c r="F3807">
        <f>HYPERLINK("https://www.reddit.com/r/cancer/comments/cj5ypj/questions_about_spread_to_regional_lymph_nodes/")</f>
        <v/>
      </c>
      <c r="G3807" t="inlineStr">
        <is>
          <t>2019-07-28 20:52:28</t>
        </is>
      </c>
      <c r="H3807" t="inlineStr"/>
    </row>
    <row r="3808">
      <c r="A3808" t="inlineStr">
        <is>
          <t>cj6h81</t>
        </is>
      </c>
      <c r="B3808" t="inlineStr">
        <is>
          <t>My rant/slightly pessimistic view 6 years after diagnosis</t>
        </is>
      </c>
      <c r="C3808" t="inlineStr">
        <is>
          <t>Some people think it's about 'beating' cancer, but for me it's just not at this point. My friend beat the shit out of cancer, every surgery, every new treatment or setback. She still lost her chance at a long life (marriage, family, a career, growing old with her loved ones like she deserved). And that doesnt mean cancer 'won' or she 'lost' her fight. My friend wasn't beat by cancer because there are no winners in cancer.
Side note I've found that prayers have little to no effect on my own terminal cancer. It doesnt mean I don't welcome prayers, good thoughts, and juju. But I place more value with my oncologist, my surgeon, the nurses and phlebotomists and pharmacists and everybody else, because they're the reason I'm still alive. Not my good attitude, not the prayers of people who love me. And even the doctors can't perform miracles when it comes to a recurrent disease.
I do have a bottom line to all this rambling. For so long I've given up on life, but still followed my treatment plan, and thought that was ok. Recently I've started feeling like the biggest FU to my cancer would be living like my looming mortality doesnt exist!! I wanna take back what cancer has stolen from me, that joy and belief that I deserve a good life- which I used to take for granted. I can't control being stage 4 but I can choose how I wanna go out of this life.</t>
        </is>
      </c>
      <c r="D3808" t="n">
        <v>1</v>
      </c>
      <c r="E3808" t="n">
        <v>0</v>
      </c>
      <c r="F3808">
        <f>HYPERLINK("https://www.reddit.com/r/cancer/comments/cj6h81/my_rantslightly_pessimistic_view_6_years_after/")</f>
        <v/>
      </c>
      <c r="G3808" t="inlineStr">
        <is>
          <t>2019-07-28 21:44:28</t>
        </is>
      </c>
      <c r="H3808" t="inlineStr"/>
    </row>
    <row r="3809">
      <c r="A3809" t="inlineStr">
        <is>
          <t>cj6ys0</t>
        </is>
      </c>
      <c r="B3809" t="inlineStr">
        <is>
          <t>My dad lost his battle today.</t>
        </is>
      </c>
      <c r="C3809" t="inlineStr">
        <is>
          <t>He died in our home in the company of my mom and younger brother. I was working and was told when I got home that he passed.  I said I wished I had been there. My mom said that it was a hard passing and that it was good that I wasn't. But I wish I was. Yesterday he was up talking and said he could feel himself "on an incline." And then today he was out of it completely and struggling to breathe. 
I shouldn't have left. I should have stayed home. I had a dream last night that he passed, and that is the weirdest part. I knew. I knew but I refused to believe it. Now he's gone and I never said goodbye.</t>
        </is>
      </c>
      <c r="D3809" t="n">
        <v>21</v>
      </c>
      <c r="E3809" t="n">
        <v>7</v>
      </c>
      <c r="F3809">
        <f>HYPERLINK("https://www.reddit.com/r/cancer/comments/cj6ys0/my_dad_lost_his_battle_today/")</f>
        <v/>
      </c>
      <c r="G3809" t="inlineStr">
        <is>
          <t>2019-07-28 22:37:27</t>
        </is>
      </c>
      <c r="H3809" t="inlineStr"/>
    </row>
    <row r="3810">
      <c r="A3810" t="inlineStr">
        <is>
          <t>cj714r</t>
        </is>
      </c>
      <c r="B3810" t="inlineStr">
        <is>
          <t>Having lost someone before..</t>
        </is>
      </c>
      <c r="C3810" t="inlineStr">
        <is>
          <t>I'm having quite a shit day at work. A year ago I was in the situation most of you are in right now. Thinking of all you ♥️.
After going through 2018, everything else feels so menial. If you're having a shit job, it can be worse - and it's something you can get through.
I found a lot of support, just remember that you are never alone too. Thinking of all of you.</t>
        </is>
      </c>
      <c r="D3810" t="n">
        <v>6</v>
      </c>
      <c r="E3810" t="n">
        <v>2</v>
      </c>
      <c r="F3810">
        <f>HYPERLINK("https://www.reddit.com/r/cancer/comments/cj714r/having_lost_someone_before/")</f>
        <v/>
      </c>
      <c r="G3810" t="inlineStr">
        <is>
          <t>2019-07-28 22:44:20</t>
        </is>
      </c>
      <c r="H3810" t="inlineStr"/>
    </row>
    <row r="3811">
      <c r="A3811" t="inlineStr">
        <is>
          <t>cj8xh2</t>
        </is>
      </c>
      <c r="B3811" t="inlineStr">
        <is>
          <t>Colonoscopy at 23?</t>
        </is>
      </c>
      <c r="C3811" t="inlineStr">
        <is>
          <t>So for the past 5ish years I've been dealing with bowel problems, from stool changes, to blood, to pain and itchiness. I first went to the doctors for it 5 years ago and revived a rectal exam, where the doctor just stated i was constipated and had hemorrhoids. Years past and I was still getting the same symptoms with no medications working. I finally recently went back to the doctors which lead to another rectal exam, but this time the doctor right away said she didn't believe it was hemorrhoids, and stated she thought it could be polyps. Right away she wanted me to do a stool test, and have a colonoscopy done. Her telling me I need a colonoscopy done at 23 years old really rubbed me the wrong way. I've always thought my symptoms were cancer related but always brushed it off that I was too young to even be thinking it's cancer. Now this Wednesday I go in for my colonoscopy and I'm beyond scared. Part of me is still thinking that it can't be cancer and another part of me is saying that death awaits me. I guess it doesn't help that I've been reading up on polyps and bowel cancer symptoms ever since I scheduled the colonoscopy. Well the only good thing to come out of this is that on Wednesday I will hopefully find out what has been bothering me for years.</t>
        </is>
      </c>
      <c r="D3811" t="n">
        <v>2</v>
      </c>
      <c r="E3811" t="n">
        <v>2</v>
      </c>
      <c r="F3811">
        <f>HYPERLINK("https://www.reddit.com/r/cancer/comments/cj8xh2/colonoscopy_at_23/")</f>
        <v/>
      </c>
      <c r="G3811" t="inlineStr">
        <is>
          <t>2019-07-29 02:31:57</t>
        </is>
      </c>
      <c r="H3811" t="inlineStr"/>
    </row>
    <row r="3812">
      <c r="A3812" t="inlineStr">
        <is>
          <t>cj9e78</t>
        </is>
      </c>
      <c r="B3812" t="inlineStr">
        <is>
          <t>After effects of cancer are still really bad. How to deal with scars?</t>
        </is>
      </c>
      <c r="C3812" t="inlineStr">
        <is>
          <t>Almost a year ago I was diagnosed.  I needed 3 surgeries and radiation. 
I had so much scar tissue in such a thin, close to the surface area that I needed a skin, muscle, and blood vessel transplant. 
They took a 2 inch wide by three inch long oval patch a few millimeters deep (to the tendons)  from my forearm and put it on top of my foot. And a blood vessel the length of my forearm, too.
I have this dark see through patch on my forearm. It's always there now,  in my line of site.  I can't stand looking at it because then I think about how it's always gonna be there.
Not only is it hard to look at,  it's hard to do anything with my hand. I get a lot of cramps and it gets very painful after barely using it.  I brought this up with physical therapy,  and they gave me mobility exercises.  That doesn't fix it hurting all day, on and off. Ibuprofen and tylenol does nothing for it. 
Doctor thinks it's the nerves repairing themselves and it takes 2 years for nerves to be "fixed". 
It's hurting just to hold my phone while I type this. It's been 6 months since the surgery.  I have a lot of anxiety that it's never going to get better.
I'm still recovering from radiation,  so I spend almost all day in bed or on the couch on my phone with my arm right in front of me.  I ended up sewing a sleeve I wear all the time.
I'm just sick of being in pain.</t>
        </is>
      </c>
      <c r="D3812" t="n">
        <v>9</v>
      </c>
      <c r="E3812" t="n">
        <v>7</v>
      </c>
      <c r="F3812">
        <f>HYPERLINK("https://www.reddit.com/r/cancer/comments/cj9e78/after_effects_of_cancer_are_still_really_bad_how/")</f>
        <v/>
      </c>
      <c r="G3812" t="inlineStr">
        <is>
          <t>2019-07-29 03:23:34</t>
        </is>
      </c>
      <c r="H3812" t="inlineStr"/>
    </row>
    <row r="3813">
      <c r="A3813" t="inlineStr">
        <is>
          <t>cj9hl5</t>
        </is>
      </c>
      <c r="B3813" t="inlineStr">
        <is>
          <t>Smoking cannabis with stage 4 lung cancer</t>
        </is>
      </c>
      <c r="C3813" t="inlineStr">
        <is>
          <t>My mom has been in the hospital for the past 3 weeks. We found out that she has non small cell lung cancer that has spread to the brain. The cancer caused her brain to swell after she fell over a baby crib ome day and caused her to not be able to move her right arm and leg. The docs removed the biggest tumor 2 Friday's ago and my mom is moving around agian and walking now. She is hopefully going to get out of the hospital tomorrow. They have been giving her radiation to help her lungs open up so she can lay flat while breathing properly to receive her gamanite radiation in 2 weeks. Then we will have to seek further treatment from a lung specialist. My question for everyone is is it ok if she smokes pot when she gets out tomorrow? Would smoking pot reverse the effects of the radiation on her lungs or make her condition worse? Has anyone ever been in this scanerio and found that pot has any benefit in this case?</t>
        </is>
      </c>
      <c r="D3813" t="n">
        <v>1</v>
      </c>
      <c r="E3813" t="n">
        <v>1</v>
      </c>
      <c r="F3813">
        <f>HYPERLINK("https://www.reddit.com/r/cancer/comments/cj9hl5/smoking_cannabis_with_stage_4_lung_cancer/")</f>
        <v/>
      </c>
      <c r="G3813" t="inlineStr">
        <is>
          <t>2019-07-29 03:34:32</t>
        </is>
      </c>
      <c r="H3813" t="inlineStr"/>
    </row>
    <row r="3814">
      <c r="A3814" t="inlineStr">
        <is>
          <t>cjan83</t>
        </is>
      </c>
      <c r="B3814" t="inlineStr">
        <is>
          <t>Here we go again.......</t>
        </is>
      </c>
      <c r="C3814" t="inlineStr">
        <is>
          <t>The first was in 09.  Testicular.  Left side orchiectomy.  Observation rather than chemo.  Same chances of recurrences with or without chemo..
2nd time on 2010.  Now it is in some lymph nodes around the kidneys.  3 rounds BEP(?) and we are done.  
3rd times is a charm.......Flash forward to 2 months ago.  Head and neck pain take me to Kaiser ED.  Head and neck CT leads to Head and Neck MRI which gives us a diagnosis of lesion on right shoulder affecting hypoglossal nerve.  
Given history of cancer, my Dr orders a PET scan.  I light up like a Christmas tree.  Bone lesions on right clavicle, left humerus, T-12 vertebra, the top bone of my neck, and the retro peritoneal lymph nodes that surround my aorta and vena cava.
Now we are off to the races.  Is this a recurrence of my original cancer or is this a new one?  If it is a recurrence then it is easier to treat and more responsive to chemo.  If it is an all new type, then we have a new set of rules.
I just had a biopsy this past Thursday and am awaiting results.
Hurry up and wait.</t>
        </is>
      </c>
      <c r="D3814" t="n">
        <v>60</v>
      </c>
      <c r="E3814" t="n">
        <v>9</v>
      </c>
      <c r="F3814">
        <f>HYPERLINK("https://www.reddit.com/r/cancer/comments/cjan83/here_we_go_again/")</f>
        <v/>
      </c>
      <c r="G3814" t="inlineStr">
        <is>
          <t>2019-07-29 05:33:56</t>
        </is>
      </c>
      <c r="H3814" t="inlineStr"/>
    </row>
    <row r="3815">
      <c r="A3815" t="inlineStr">
        <is>
          <t>cjczv5</t>
        </is>
      </c>
      <c r="B3815" t="inlineStr">
        <is>
          <t>Suggestions for in-home health care for my mom who is still working full time whilst fighting pancreatic cancer.</t>
        </is>
      </c>
      <c r="C3815" t="inlineStr">
        <is>
          <t>My mom is currently fighting pancreatic cancer, she’s about to have her 5th round of chemo and is preparing to have the Whipple procedure hopefully this fall. My mom continues to works full time because it helps her mentally and our family financially, she’s currently using up all her vacation days in order to do short term disability when she undergoes the Whipple. She is able to care for herself in every way besides cooking forcing herself to eat and drink. My mom only eats when us kids make her something and force her to eat it but my sisters and I are all going to college about 2 hours away this upcoming fall making it quite impossible to commute daily. I’m scared to leave her this fall, my dad will be with her but he works long hours and isn’t able to give my mom the care she needs. I want to take the semester off to care for her but it being my senior year my mom is not allowing me to drop out. I was wondering what my options are about in home health care, my family wouldn’t be able to afford someone coming in everyday unless insurance is able to cover it. I also do not know if she would be able to qualify for this because she still works full time. Any suggestions or advice would be greatly appreciated</t>
        </is>
      </c>
      <c r="D3815" t="n">
        <v>3</v>
      </c>
      <c r="E3815" t="n">
        <v>6</v>
      </c>
      <c r="F3815">
        <f>HYPERLINK("https://www.reddit.com/r/cancer/comments/cjczv5/suggestions_for_inhome_health_care_for_my_mom_who/")</f>
        <v/>
      </c>
      <c r="G3815" t="inlineStr">
        <is>
          <t>2019-07-29 08:46:22</t>
        </is>
      </c>
      <c r="H3815" t="inlineStr"/>
    </row>
    <row r="3816">
      <c r="A3816" t="inlineStr">
        <is>
          <t>cjd576</t>
        </is>
      </c>
      <c r="B3816" t="inlineStr">
        <is>
          <t>Predicted to lose my dads in the next few years.</t>
        </is>
      </c>
      <c r="C3816" t="inlineStr">
        <is>
          <t>Hey everyone, kinda needing some support lately. My biological father has bladder cancer that has now metastasized to the lymph nodes near his heart and lungs. I spoke to his oncologist and was informed that this was inoperable and that we had to just hope that chemo would be enough. My dad is single and I'm his only child so in the end, a lot falls to me. Lately he has been so over the cancer that he has asked me to tell his family because I'm good at keeping a strong face. We've been dealing with the bladder cancer for two years and the spread was found during his urostomy.  
My stepdad (who is as close to me as my bio dad) was diagnosed with a grade IV myxofibrosarcoma a few days after my undergraduate graduation in May. So far there has been four surgeries to try and get clean margins as the tumor was in his right oblique muscles. The most recent surgery involved complete removal of the top layer of oblique muscle. Additionally, they have now found abnormal and rapid growth in his thyroid. He is going back in to see another specialist in a few hours. 
My dad lives back home on Maui and my stepdad lives in Wisconsin. I start Veterinary School in a week and I live in California. All I've ever wanted was to be a vet but I just want my dads. They both tell me constantly to focus on school and that they are so proud of me but I feel like such a failure for not being there and not being able to help. My mom says that my stepdad tells his nurses about me during all his preps and that it makes him so happy. I'm only 22. I just want my dads. 
Sorry if this is just a ramble I feel so broken.</t>
        </is>
      </c>
      <c r="D3816" t="n">
        <v>35</v>
      </c>
      <c r="E3816" t="n">
        <v>7</v>
      </c>
      <c r="F3816">
        <f>HYPERLINK("https://www.reddit.com/r/cancer/comments/cjd576/predicted_to_lose_my_dads_in_the_next_few_years/")</f>
        <v/>
      </c>
      <c r="G3816" t="inlineStr">
        <is>
          <t>2019-07-29 08:57:34</t>
        </is>
      </c>
      <c r="H3816" t="inlineStr"/>
    </row>
    <row r="3817">
      <c r="A3817" t="inlineStr">
        <is>
          <t>cjds73</t>
        </is>
      </c>
      <c r="B3817" t="inlineStr">
        <is>
          <t>Cancer Survivor Cover Girl</t>
        </is>
      </c>
      <c r="C3817" t="inlineStr">
        <is>
          <t>My friend Tawny is a Cancer Survivor. Instead of hiding her scars from her double mastectomy, she has led a body positive campaign to become a semi-finalist in Inked Magazine's 2019 Cover Girl contest. Please take some time to vote for her so we can help heal the surgery stigma from our definitions of beauty and support survivors and their stories!
https://cover.inkedmag.com/2019/tawny-rachelle
Thank you!</t>
        </is>
      </c>
      <c r="D3817" t="n">
        <v>55</v>
      </c>
      <c r="E3817" t="n">
        <v>16</v>
      </c>
      <c r="F3817">
        <f>HYPERLINK("https://www.reddit.com/r/cancer/comments/cjds73/cancer_survivor_cover_girl/")</f>
        <v/>
      </c>
      <c r="G3817" t="inlineStr">
        <is>
          <t>2019-07-29 09:43:23</t>
        </is>
      </c>
      <c r="H3817" t="inlineStr"/>
    </row>
    <row r="3818">
      <c r="A3818" t="inlineStr">
        <is>
          <t>cjefq1</t>
        </is>
      </c>
      <c r="B3818" t="inlineStr">
        <is>
          <t>Blood cancer of a sibling</t>
        </is>
      </c>
      <c r="C3818" t="inlineStr">
        <is>
          <t>Dear all, Looking for some advice from doctors in this group. Writing this on behalf of my friend. Recently, my friend's brother passed away after undergoing treatment for sinister almost two years with Leukemia ( Blood cancer). Now she is worried about the risks and chances of getting a cancer at some point in future as she feels she is the only one now who can take care of her parents.
Her brother was around 30 when he passed away and now she is 28
She mainly has the following doubts
1) Is blood cancer genetic in nature? Is there a high chance or risk that she gets one in future since they both share the same genes
2) Statistically, what are the chances of siblings also getting blood cancers? (Like for example I have read that a breast cancer of a sibling indicates a high risk for other siblings too)</t>
        </is>
      </c>
      <c r="D3818" t="n">
        <v>4</v>
      </c>
      <c r="E3818" t="n">
        <v>3</v>
      </c>
      <c r="F3818">
        <f>HYPERLINK("https://www.reddit.com/r/cancer/comments/cjefq1/blood_cancer_of_a_sibling/")</f>
        <v/>
      </c>
      <c r="G3818" t="inlineStr">
        <is>
          <t>2019-07-29 10:30:32</t>
        </is>
      </c>
      <c r="H3818" t="inlineStr"/>
    </row>
    <row r="3819">
      <c r="A3819" t="inlineStr">
        <is>
          <t>cjesfq</t>
        </is>
      </c>
      <c r="B3819" t="inlineStr">
        <is>
          <t>Am I an asshole for not telling anyone?</t>
        </is>
      </c>
      <c r="C3819" t="inlineStr">
        <is>
          <t>There is a very good chance I will not be here in 5 years. I found out a 7 months ago when I was experiencing so many symptoms (lymphoma) that I finally took the big financial hit (no insurance) to see multiple specialists. 
I moved further away from my family 2 months after I found out. I accepted a lower paying job further away because I wanted them to kind of not have me "fresh" in their minds when I die or them notice a further decline in my health. 
I also have declined treatment because it will do no good at this stage and will only make me much weaker and sicker. 
My reasoning for not telling my family is I don't want to worry them or cause them stress or anxiety. Am I an asshole for doing this? I am still firm in my decision to never tell my family and hide it as long as possible from my new employer, But recently I've been feeling guilty about not telling my family.</t>
        </is>
      </c>
      <c r="D3819" t="n">
        <v>1</v>
      </c>
      <c r="E3819" t="n">
        <v>0</v>
      </c>
      <c r="F3819">
        <f>HYPERLINK("https://www.reddit.com/r/cancer/comments/cjesfq/am_i_an_asshole_for_not_telling_anyone/")</f>
        <v/>
      </c>
      <c r="G3819" t="inlineStr">
        <is>
          <t>2019-07-29 10:55:34</t>
        </is>
      </c>
      <c r="H3819" t="inlineStr"/>
    </row>
    <row r="3820">
      <c r="A3820" t="inlineStr">
        <is>
          <t>cjgiyi</t>
        </is>
      </c>
      <c r="B3820" t="inlineStr">
        <is>
          <t>Dad starts immunotherapy today</t>
        </is>
      </c>
      <c r="C3820" t="inlineStr">
        <is>
          <t>He’s been approved for six sessions of Keytruda. His first appointment is today. Anyone know what we can expect in terms of side effects? What was your experience like? Any advice on how I can be of help to both of my parents during this would be much appreciated.</t>
        </is>
      </c>
      <c r="D3820" t="n">
        <v>11</v>
      </c>
      <c r="E3820" t="n">
        <v>12</v>
      </c>
      <c r="F3820">
        <f>HYPERLINK("https://www.reddit.com/r/cancer/comments/cjgiyi/dad_starts_immunotherapy_today/")</f>
        <v/>
      </c>
      <c r="G3820" t="inlineStr">
        <is>
          <t>2019-07-29 13:00:08</t>
        </is>
      </c>
      <c r="H3820" t="inlineStr"/>
    </row>
    <row r="3821">
      <c r="A3821" t="inlineStr">
        <is>
          <t>cjipoz</t>
        </is>
      </c>
      <c r="B3821" t="inlineStr">
        <is>
          <t>Cancer Cancelled My Dream Wedding</t>
        </is>
      </c>
      <c r="C3821" t="inlineStr">
        <is>
          <t>Youth adult (F31) here with a spouse (M34). 6 months before our 200+ wedding and Aruba honeymoon we had to cancel EVERYTHING. My fiancé  was diagnosed with cancer. It’s been a rough 9 months. I know a wedding is materialistic and the health of my fiancé (now hubby) it important but it’s been my dream since I was 5. And we both wanted to celebrate our love in a really big way. Is there anyone out there that experienced something like this?</t>
        </is>
      </c>
      <c r="D3821" t="n">
        <v>15</v>
      </c>
      <c r="E3821" t="n">
        <v>6</v>
      </c>
      <c r="F3821">
        <f>HYPERLINK("https://www.reddit.com/r/cancer/comments/cjipoz/cancer_cancelled_my_dream_wedding/")</f>
        <v/>
      </c>
      <c r="G3821" t="inlineStr">
        <is>
          <t>2019-07-29 15:43:15</t>
        </is>
      </c>
      <c r="H3821" t="inlineStr"/>
    </row>
    <row r="3822">
      <c r="A3822" t="inlineStr">
        <is>
          <t>cjksqj</t>
        </is>
      </c>
      <c r="B3822" t="inlineStr">
        <is>
          <t>I feel like the greatest fraud in the world</t>
        </is>
      </c>
      <c r="C3822" t="inlineStr">
        <is>
          <t>I have cancer and I’m doing my best, but I feel like I’m coming up short on everything. I’m truly trying my best and I do want to achieve something, but I find myself second guessing every choice I make. I want and I want but I don’t know how to make anything happen.
Meanwhile my family, friends of the family, girlfriend and girlfriends family all seem to worship me. I feel like I have no opportunity to do something great, because if I make my bed in the morning I’m met with standing ovations.
I’m not really sure what I’m asking for, all I know is something feels off and I don’t know what to do about it.</t>
        </is>
      </c>
      <c r="D3822" t="n">
        <v>34</v>
      </c>
      <c r="E3822" t="n">
        <v>9</v>
      </c>
      <c r="F3822">
        <f>HYPERLINK("https://www.reddit.com/r/cancer/comments/cjksqj/i_feel_like_the_greatest_fraud_in_the_world/")</f>
        <v/>
      </c>
      <c r="G3822" t="inlineStr">
        <is>
          <t>2019-07-29 18:38:17</t>
        </is>
      </c>
      <c r="H3822" t="inlineStr"/>
    </row>
    <row r="3823">
      <c r="A3823" t="inlineStr">
        <is>
          <t>cjlcxd</t>
        </is>
      </c>
      <c r="B3823" t="inlineStr">
        <is>
          <t>Advice on dealing with inevitable regret?</t>
        </is>
      </c>
      <c r="C3823" t="inlineStr">
        <is>
          <t>I'll post again sometime with more details, but I am 23 and am going to lose my mom to ovarian cancer sometime in the next 6 months or so. I am an only child and my father had a brain aneurysm and stroke that left him severely disabled when I was 14, so I'm going to be dealing with this alone. I have other family, but it's not the same as a healthy parent or sibling. I moved home after college (in Dec 2018) to take care of her. I started my job at the end of June, therefore I have less time to spend with her. I know no matter what I do I'll regret not spending more time with her even though I know it's important to take care of myself too. Any advice for dealing with regrets after she passes?</t>
        </is>
      </c>
      <c r="D3823" t="n">
        <v>10</v>
      </c>
      <c r="E3823" t="n">
        <v>2</v>
      </c>
      <c r="F3823">
        <f>HYPERLINK("https://www.reddit.com/r/cancer/comments/cjlcxd/advice_on_dealing_with_inevitable_regret/")</f>
        <v/>
      </c>
      <c r="G3823" t="inlineStr">
        <is>
          <t>2019-07-29 19:27:41</t>
        </is>
      </c>
      <c r="H3823" t="inlineStr"/>
    </row>
    <row r="3824">
      <c r="A3824" t="inlineStr">
        <is>
          <t>cjldaf</t>
        </is>
      </c>
      <c r="B3824" t="inlineStr">
        <is>
          <t>My grandmother, my Nana, My Mam and My friend</t>
        </is>
      </c>
      <c r="C3824" t="inlineStr">
        <is>
          <t>Things are complicated, my grandmother or (nana) has raised me from birth (hence why I call her mam, she did Irish blood)
So we recently found out she has terminal cancer, in her liver, lungs, bowels and spreading to her kidneys, and she is with us for, well not so long anymore. I’m here with respect and curiosity for how I can help her with the pain and everything else? She gave me 30 years of her life, and I should have done a hella lot more. Thanks in advance everyone. And I I can help back, let me know x</t>
        </is>
      </c>
      <c r="D3824" t="n">
        <v>13</v>
      </c>
      <c r="E3824" t="n">
        <v>4</v>
      </c>
      <c r="F3824">
        <f>HYPERLINK("https://www.reddit.com/r/cancer/comments/cjldaf/my_grandmother_my_nana_my_mam_and_my_friend/")</f>
        <v/>
      </c>
      <c r="G3824" t="inlineStr">
        <is>
          <t>2019-07-29 19:28:31</t>
        </is>
      </c>
      <c r="H3824" t="inlineStr"/>
    </row>
    <row r="3825">
      <c r="A3825" t="inlineStr">
        <is>
          <t>cjlne4</t>
        </is>
      </c>
      <c r="B3825" t="inlineStr">
        <is>
          <t>My dad relapsed with colon cancer</t>
        </is>
      </c>
      <c r="C3825" t="inlineStr">
        <is>
          <t>Last April my dad was diagnosed with stage 3 colon cancer. He got 1 foot of his colon removed and went through 6 months of FOLFOX. He was cleared in November of cancer. We just found out today that he has stage 4 colon cancer. It spread to his liver and lungs. His scans were clear in march. My mom and I are devastated. I don't know what to think. I don't know what to expect. 
He starts chemo Thursday, but we don't know anything else. I'd love advice or anyone to talk to. I was just a lurker on this sub last year and it saddens me that i must visit again.</t>
        </is>
      </c>
      <c r="D3825" t="n">
        <v>8</v>
      </c>
      <c r="E3825" t="n">
        <v>2</v>
      </c>
      <c r="F3825">
        <f>HYPERLINK("https://www.reddit.com/r/cancer/comments/cjlne4/my_dad_relapsed_with_colon_cancer/")</f>
        <v/>
      </c>
      <c r="G3825" t="inlineStr">
        <is>
          <t>2019-07-29 19:53:52</t>
        </is>
      </c>
      <c r="H3825" t="inlineStr"/>
    </row>
    <row r="3826">
      <c r="A3826" t="inlineStr">
        <is>
          <t>cjm1lp</t>
        </is>
      </c>
      <c r="B3826" t="inlineStr">
        <is>
          <t>Spanish Support Group for Mom starting Chemo after mastectomy</t>
        </is>
      </c>
      <c r="C3826" t="inlineStr">
        <is>
          <t>Hello everyone!
My mom recently had her mastectomy after being diagnosed with Stage 1 Breast Cancer (HER2). 
At first she was finally calm and taking everything one day at a time when her pathology came back negative for cancer. But because the size of the cancerous cell were a certain size, it was finally diagnosed to be Stage 2. The doctors are recommending for her to do chemo. 
Right now, her fears are coming up again. The Latinx community has a lot of misconceptions and fears about cancer because of lack of resources and education. She gets more afraid especially because when speaking with doctors there is a language barrier.
I am looking for an online Spanish support group for her to talk to other going through the same situation. I can only do so much and I feel talking to others will help her calm her nerves. I already encourage her to go to therapy, and she has been gone to several sessions.</t>
        </is>
      </c>
      <c r="D3826" t="n">
        <v>9</v>
      </c>
      <c r="E3826" t="n">
        <v>0</v>
      </c>
      <c r="F3826">
        <f>HYPERLINK("https://www.reddit.com/r/cancer/comments/cjm1lp/spanish_support_group_for_mom_starting_chemo/")</f>
        <v/>
      </c>
      <c r="G3826" t="inlineStr">
        <is>
          <t>2019-07-29 20:30:21</t>
        </is>
      </c>
      <c r="H3826" t="inlineStr"/>
    </row>
    <row r="3827">
      <c r="A3827" t="inlineStr">
        <is>
          <t>cjm5fs</t>
        </is>
      </c>
      <c r="B3827" t="inlineStr">
        <is>
          <t>Is it okay to bring cupcakes for my dad’s nurses?</t>
        </is>
      </c>
      <c r="C3827" t="inlineStr">
        <is>
          <t>My dad has AML and is about 11 days away from  heading home from his stay at the hospital for induction chemo. He’s doing so much better than I expected after reading about the induction experience and his counts are now starting to come up again, as is his strength and appetite (he reported no metallic aftertaste today, and nausea has been gone for a few days now!).
I’m so grateful to the nurses in the wing where he’s been staying for almost three weeks stay. They’ve taken such good care of him and helped him manage his treatment (his first chemo experience) and side effects so well. I’d like to bring something in gratitude to the nurses station on discharge day, but I’m not sure what’s appropriate. Any ideas?
(On a related now, it’s just so thrilling to me to be able to think about my dad going home. He still has a bone marrow transplant later this summer to go, but I’m happy that he’s doing well with induction. Crossing my fingers that his biopsy next week reflects that!)</t>
        </is>
      </c>
      <c r="D3827" t="n">
        <v>13</v>
      </c>
      <c r="E3827" t="n">
        <v>10</v>
      </c>
      <c r="F3827">
        <f>HYPERLINK("https://www.reddit.com/r/cancer/comments/cjm5fs/is_it_okay_to_bring_cupcakes_for_my_dads_nurses/")</f>
        <v/>
      </c>
      <c r="G3827" t="inlineStr">
        <is>
          <t>2019-07-29 20:40:32</t>
        </is>
      </c>
      <c r="H3827" t="inlineStr"/>
    </row>
    <row r="3828">
      <c r="A3828" t="inlineStr">
        <is>
          <t>cjmees</t>
        </is>
      </c>
      <c r="B3828" t="inlineStr">
        <is>
          <t>I never imagined losing a parent at 26</t>
        </is>
      </c>
      <c r="C3828" t="inlineStr">
        <is>
          <t>My dad was diagnosed with stage 4 prostate cancer over 5 years ago, and he's put up a hell of a fight. He's gone through every treatment imaginable, and he's been around much longer than the doctors initially thought. I always knew the treatments would one day stop working, but now that that time is here... I'm both numb and devastated at the same time.
I can't stand seeing him like this. He can't even keep food down or walk. I can't believe I'm only in my mid-20s and about to lose my father. That he'll never walk me down the aisle or see my kids one day. I want to be strong for him, but I'm slowly breaking down. How can I accept that I'll have to live the next 50 (if I'm lucky) years without him?
This is just a rant and confession more than anything. I'm lost. I'm sad. I'm numb. Have any of you gone through this? How do you deal with losing a parent so young?</t>
        </is>
      </c>
      <c r="D3828" t="n">
        <v>22</v>
      </c>
      <c r="E3828" t="n">
        <v>7</v>
      </c>
      <c r="F3828">
        <f>HYPERLINK("https://www.reddit.com/r/cancer/comments/cjmees/i_never_imagined_losing_a_parent_at_26/")</f>
        <v/>
      </c>
      <c r="G3828" t="inlineStr">
        <is>
          <t>2019-07-29 21:04:36</t>
        </is>
      </c>
      <c r="H3828" t="inlineStr"/>
    </row>
    <row r="3829">
      <c r="A3829" t="inlineStr">
        <is>
          <t>cjoerw</t>
        </is>
      </c>
      <c r="B3829" t="inlineStr">
        <is>
          <t>So frustrated.</t>
        </is>
      </c>
      <c r="C3829" t="inlineStr">
        <is>
          <t>Hello! Cervical cancer stage 3b here with another update. 
I got my port surgery on Friday and was excited to avoid anymore needle pokes as my poor veins were just so beaten up after all the attempted pokes and transfusions. But when they tried (for an hour I might add) to access my port with increasingly large needles, they found it's backwards. My brand new port is freaking backwards! 
While I understand they can flip over, I'd had it for 72 hours and that's so unlikely. Meaning the surgeon put it in wrong side up. I am so frustrated and cried the whole time before resigning to have the chemo in my arm.
As if cancer and treatment isn't hard enough, what is with all these stupid road blocks. The surgery to fix the wonky port will be my 3rd surgery in 2 weeks. It's all getting to be too much and I'm feeling overwhelmed. Not to mention how sore I was the first 2 days after the surgery. All for nothing. 
The worst part? Even tho I'm only technically due for 3 more chemo sessions (I'm sure they'll add more later), I need this port. My veins are already shot and they know this drug will absolutely make them unusable if I continue to go in thru the arms. So I can't choose not to have it fixed/removed instead. Today was not a good day.
Sorry, rant over. Thanks for listening. 💙</t>
        </is>
      </c>
      <c r="D3829" t="n">
        <v>20</v>
      </c>
      <c r="E3829" t="n">
        <v>26</v>
      </c>
      <c r="F3829">
        <f>HYPERLINK("https://www.reddit.com/r/cancer/comments/cjoerw/so_frustrated/")</f>
        <v/>
      </c>
      <c r="G3829" t="inlineStr">
        <is>
          <t>2019-07-30 00:38:55</t>
        </is>
      </c>
      <c r="H3829" t="inlineStr"/>
    </row>
    <row r="3830">
      <c r="A3830" t="inlineStr">
        <is>
          <t>cjqa49</t>
        </is>
      </c>
      <c r="B3830" t="inlineStr">
        <is>
          <t>Dealing with the anxiety.</t>
        </is>
      </c>
      <c r="C3830" t="inlineStr">
        <is>
          <t>Hey, just got a shitty call from the hospital and they found pre cancer. The polyp in question has been removed, but I have to go for a more invasive procedure to find out if there are more, or if there is anything else.
I went through a stage of panic leading up to the first procedure and didn’t receive any results for a few weeks and no calls from my gp. I figured all was well and I had settled down, but got a call with biopsy results today.
Andenoma of some kind, I was a bit taken aback by the call and didn’t hear the first part, but from what I gather from reading up is either the more or less aggressive type. I know the chances of being positive are fairly low given my age (under 30) and that it’s slow to develop, but it’s still not a great thing to hear in the morning.
I’m not too bad at the moment, but I do feel off. I’m more worried about the lead up to the next procedure and what might come of it, despite knowing the odds are probably in my favour.
How do you keep yourself from thinking the worst and deal with what will now be new concern in my life seeing as I’m predisposed to these things developing. It’s gonna be somewhat of a shadow hanging over me and I’m not sure how to process it. I don’t mean that in an over dramatic “woe is me” way, I genuinely don’t know how to process what is happening right now.</t>
        </is>
      </c>
      <c r="D3830" t="n">
        <v>1</v>
      </c>
      <c r="E3830" t="n">
        <v>0</v>
      </c>
      <c r="F3830">
        <f>HYPERLINK("https://www.reddit.com/r/cancer/comments/cjqa49/dealing_with_the_anxiety/")</f>
        <v/>
      </c>
      <c r="G3830" t="inlineStr">
        <is>
          <t>2019-07-30 04:14:56</t>
        </is>
      </c>
      <c r="H3830" t="inlineStr"/>
    </row>
    <row r="3831">
      <c r="A3831" t="inlineStr">
        <is>
          <t>cjql1e</t>
        </is>
      </c>
      <c r="B3831" t="inlineStr">
        <is>
          <t>4 years since being diagnosed</t>
        </is>
      </c>
      <c r="C3831" t="inlineStr">
        <is>
          <t>Today it's been four years since being diagnosed with leukemia. I'll also be four years in remission in November. This date stays with me more than the date I finished treatment. I just wanted to get it off my chest because no one really knows</t>
        </is>
      </c>
      <c r="D3831" t="n">
        <v>10</v>
      </c>
      <c r="E3831" t="n">
        <v>6</v>
      </c>
      <c r="F3831">
        <f>HYPERLINK("https://www.reddit.com/r/cancer/comments/cjql1e/4_years_since_being_diagnosed/")</f>
        <v/>
      </c>
      <c r="G3831" t="inlineStr">
        <is>
          <t>2019-07-30 04:45:03</t>
        </is>
      </c>
      <c r="H3831" t="inlineStr"/>
    </row>
    <row r="3832">
      <c r="A3832" t="inlineStr">
        <is>
          <t>cjs44z</t>
        </is>
      </c>
      <c r="B3832" t="inlineStr">
        <is>
          <t>Just diagnosed with ACC</t>
        </is>
      </c>
      <c r="C3832" t="inlineStr">
        <is>
          <t>43/F here and just recently diagnosed with Adenoid Cystic Carcinoma of the minor salivary glands.  Just had a resection on the 12th and my margins came back all clear.  However, there's a good chance there willl be some radiation in my future given that my original biopsy stated "neural invasion present".  Currently being treated at the University of Miami and the general consensus is that I'm being treated by the best.  Surgeon feels we caught it early but I know this particular type of cancer, while slow-growing, is relentless and reoccurrence is common.  I go back and forth between acceptance and anxiety.  I don't know if I have 5 years or 15.  The thought of living the rest of my life with this dark cloud overhead makes me pretty depressed.</t>
        </is>
      </c>
      <c r="D3832" t="n">
        <v>8</v>
      </c>
      <c r="E3832" t="n">
        <v>4</v>
      </c>
      <c r="F3832">
        <f>HYPERLINK("https://www.reddit.com/r/cancer/comments/cjs44z/just_diagnosed_with_acc/")</f>
        <v/>
      </c>
      <c r="G3832" t="inlineStr">
        <is>
          <t>2019-07-30 06:56:46</t>
        </is>
      </c>
      <c r="H3832" t="inlineStr"/>
    </row>
    <row r="3833">
      <c r="A3833" t="inlineStr">
        <is>
          <t>cjt7d4</t>
        </is>
      </c>
      <c r="B3833" t="inlineStr">
        <is>
          <t>Post chemo/radiation question</t>
        </is>
      </c>
      <c r="C3833" t="inlineStr">
        <is>
          <t>Has anyone else noticed post chemo/radiation that their wounds heal slower? Like I considered myself average/above average with wound healing time prior to cancer but Jesus Christ I have a small scratch on my leg and arm post chemo and radiation and it's taking forever to heal.</t>
        </is>
      </c>
      <c r="D3833" t="n">
        <v>5</v>
      </c>
      <c r="E3833" t="n">
        <v>7</v>
      </c>
      <c r="F3833">
        <f>HYPERLINK("https://www.reddit.com/r/cancer/comments/cjt7d4/post_chemoradiation_question/")</f>
        <v/>
      </c>
      <c r="G3833" t="inlineStr">
        <is>
          <t>2019-07-30 08:18:48</t>
        </is>
      </c>
      <c r="H3833" t="inlineStr"/>
    </row>
    <row r="3834">
      <c r="A3834" t="inlineStr">
        <is>
          <t>cjtmc9</t>
        </is>
      </c>
      <c r="B3834" t="inlineStr">
        <is>
          <t>My beautiful star burned out yesterday.</t>
        </is>
      </c>
      <c r="C3834" t="inlineStr">
        <is>
          <t>My very dear friend and work colleague passed away from secondary breat cancer yesterday and my heart is shattered.
I'm glad she is no longer in pain, but how I wished we had more time. It was only 6 weeks ago that we found it returned to her liver and then 3 weeks after that we found out the treatment wasn't  working. It just happened so fast, we thought we would have years with her instead of weeks.
I'm so angry that they kept telling her she was fine, that nothing was wrong. When she started to get worse, they told her it was a virus, or a kidney stone, or even pulled muscles. I'm so angry at myself, because she always worried about the cancer coming back and I thought it was better to tell her not to worry than to go see a doctor. Could I have extended her life if I just told her to go see a doctor everytime something felt wrong? I don't know and that makes me angry.
I hate that I now live in a world where she's not here anymore in. It breaks my heart I will never hear her laugh or see her smile at me and I'm going to miss her singing of my name as I came into work. I loved her with all my heart and this world feels alot emptier without her.
Im heartbroken for her, her beatiful family and her loved ones.</t>
        </is>
      </c>
      <c r="D3834" t="n">
        <v>32</v>
      </c>
      <c r="E3834" t="n">
        <v>4</v>
      </c>
      <c r="F3834">
        <f>HYPERLINK("https://www.reddit.com/r/cancer/comments/cjtmc9/my_beautiful_star_burned_out_yesterday/")</f>
        <v/>
      </c>
      <c r="G3834" t="inlineStr">
        <is>
          <t>2019-07-30 08:48:48</t>
        </is>
      </c>
      <c r="H3834" t="inlineStr"/>
    </row>
    <row r="3835">
      <c r="A3835" t="inlineStr">
        <is>
          <t>cju2o1</t>
        </is>
      </c>
      <c r="B3835" t="inlineStr">
        <is>
          <t>Need Advice!</t>
        </is>
      </c>
      <c r="C3835" t="inlineStr">
        <is>
          <t>My girlfriend got diagnosed with Hodgkins lymphoma early this year. We've been together for 5 years now and it's been really taking a toll on our relationship. I do my very best to be there for her and support anyway I can.
Lately, she's been negative and depressed. Not being sure about what the future holds Not sure what comes next, stuff like that. Ive never had a family member go through this so it's really unchartered territory for me. I'm not sure what to say anymore.
I do research on other people's stories and listen to podcasts to hear other people perspective. But at this very moment I also feel lost.
What can I do to make her feel more comfortable or more assured?
I feel defeated and any advice from anyone going through something similar would be greatly appreciated!</t>
        </is>
      </c>
      <c r="D3835" t="n">
        <v>8</v>
      </c>
      <c r="E3835" t="n">
        <v>10</v>
      </c>
      <c r="F3835">
        <f>HYPERLINK("https://www.reddit.com/r/cancer/comments/cju2o1/need_advice/")</f>
        <v/>
      </c>
      <c r="G3835" t="inlineStr">
        <is>
          <t>2019-07-30 09:20:32</t>
        </is>
      </c>
      <c r="H3835" t="inlineStr"/>
    </row>
    <row r="3836">
      <c r="A3836" t="inlineStr">
        <is>
          <t>cjv13u</t>
        </is>
      </c>
      <c r="B3836" t="inlineStr">
        <is>
          <t>Question about post treatment</t>
        </is>
      </c>
      <c r="C3836" t="inlineStr">
        <is>
          <t>Post chemo/radiation question:
Can chemo or radiation (after treatment, not during, I'm current post chemo/radiation) make you more sensitive to different foods where before treatment you didn't have gi system problems with certain foods but after treatment (to give a timeline I'm about 3 months post chemo and 2 months post radiation) it gives you problems? (Stomach, intestine, stool, etc).</t>
        </is>
      </c>
      <c r="D3836" t="n">
        <v>3</v>
      </c>
      <c r="E3836" t="n">
        <v>0</v>
      </c>
      <c r="F3836">
        <f>HYPERLINK("https://www.reddit.com/r/cancer/comments/cjv13u/question_about_post_treatment/")</f>
        <v/>
      </c>
      <c r="G3836" t="inlineStr">
        <is>
          <t>2019-07-30 10:27:29</t>
        </is>
      </c>
      <c r="H3836" t="inlineStr"/>
    </row>
    <row r="3837">
      <c r="A3837" t="inlineStr">
        <is>
          <t>cjv6dm</t>
        </is>
      </c>
      <c r="B3837" t="inlineStr">
        <is>
          <t>Tell me your experiences with hormone replacement therapy post-treatment</t>
        </is>
      </c>
      <c r="C3837" t="inlineStr">
        <is>
          <t>The gyno at my hospital is recommending hormone replacement therapy (HRT). It seems like a no brainer, but I felt like she was dancing around it or trying to sell me on it? Almost like she was expecting pushback? Just want to understand what other’s experiences have been, if it’s even something your doctor recommended?
For background, I’m 27F who’s 496 days post bone marrow transplant. I was diagnosed with acute myeloid leukemia in October 2017. I’ve been through two rounds of chemo, one conditioning chemo, plus full-body, head, and spine radiation.</t>
        </is>
      </c>
      <c r="D3837" t="n">
        <v>3</v>
      </c>
      <c r="E3837" t="n">
        <v>1</v>
      </c>
      <c r="F3837">
        <f>HYPERLINK("https://www.reddit.com/r/cancer/comments/cjv6dm/tell_me_your_experiences_with_hormone_replacement/")</f>
        <v/>
      </c>
      <c r="G3837" t="inlineStr">
        <is>
          <t>2019-07-30 10:37:38</t>
        </is>
      </c>
      <c r="H3837" t="inlineStr"/>
    </row>
    <row r="3838">
      <c r="A3838" t="inlineStr">
        <is>
          <t>cjv9lp</t>
        </is>
      </c>
      <c r="B3838" t="inlineStr">
        <is>
          <t>Grandma is dying and unconscious</t>
        </is>
      </c>
      <c r="C3838" t="inlineStr">
        <is>
          <t>I’m just so hurt. My grandma was diagnosed with cancer 3 weeks ago and is already in hospice. She was talking yesterday morning, but I was at home, and when I arrived, she had slipped into the unconscious state and hasn’t woken up since then. She can’t talk, move, or open her eyes, but I think she can still hear. Occasionally she can smile at something we say. How do I cope with this? What should I say to her if she still hears sometimes? I know she’s at her last days. She seemed normal two days ago and she doesn’t look like herself anymore and it hurts so much to see her like this. I won’t get to see her open her eyes again and I just want to hear her voice again. Ugh.</t>
        </is>
      </c>
      <c r="D3838" t="n">
        <v>7</v>
      </c>
      <c r="E3838" t="n">
        <v>2</v>
      </c>
      <c r="F3838">
        <f>HYPERLINK("https://www.reddit.com/r/cancer/comments/cjv9lp/grandma_is_dying_and_unconscious/")</f>
        <v/>
      </c>
      <c r="G3838" t="inlineStr">
        <is>
          <t>2019-07-30 10:44:01</t>
        </is>
      </c>
      <c r="H3838" t="inlineStr"/>
    </row>
    <row r="3839">
      <c r="A3839" t="inlineStr">
        <is>
          <t>cjw76p</t>
        </is>
      </c>
      <c r="B3839" t="inlineStr">
        <is>
          <t>Yesterday’s scan results</t>
        </is>
      </c>
      <c r="C3839" t="inlineStr">
        <is>
          <t>My cancer is stage 4 melanoma. 
Last year I had a tumour in my groin and it spread to my lungs liver and brain. I was told if I didn’t respond well to treatment I could have only months left to live.
Yesterday my brain scan came back all clear, liver clear, just very tiny mets left in the lungs which have shrank since my last scan. Biggest lesion just less than 2mm
I work full time go to the gym and have started dating a really nice woman after I had a fling with a work colleague that didn’t go well
So I’m just living a normal life.
To those of you that are very ill and treatment ain’t going well, or those that have loved ones I’m sorry.
Those of you that just been diagnosed recently please don’t give up hope.
Ps ask me anything</t>
        </is>
      </c>
      <c r="D3839" t="n">
        <v>125</v>
      </c>
      <c r="E3839" t="n">
        <v>41</v>
      </c>
      <c r="F3839">
        <f>HYPERLINK("https://www.reddit.com/r/cancer/comments/cjw76p/yesterdays_scan_results/")</f>
        <v/>
      </c>
      <c r="G3839" t="inlineStr">
        <is>
          <t>2019-07-30 11:49:46</t>
        </is>
      </c>
      <c r="H3839" t="inlineStr"/>
    </row>
    <row r="3840">
      <c r="A3840" t="inlineStr">
        <is>
          <t>cjx3m1</t>
        </is>
      </c>
      <c r="B3840" t="inlineStr">
        <is>
          <t>Chemotherapy</t>
        </is>
      </c>
      <c r="C3840" t="inlineStr">
        <is>
          <t>Hello, 
I am a recent lurker of this subreddit. I would like to ask, if an elderly was to go through chemotherapy what are the side effects and reactions that can be seen or expected? I have very limited knowledge on the topic.
&amp;amp;#x200B;
thank you</t>
        </is>
      </c>
      <c r="D3840" t="n">
        <v>3</v>
      </c>
      <c r="E3840" t="n">
        <v>2</v>
      </c>
      <c r="F3840">
        <f>HYPERLINK("https://www.reddit.com/r/cancer/comments/cjx3m1/chemotherapy/")</f>
        <v/>
      </c>
      <c r="G3840" t="inlineStr">
        <is>
          <t>2019-07-30 12:53:58</t>
        </is>
      </c>
      <c r="H3840" t="inlineStr"/>
    </row>
    <row r="3841">
      <c r="A3841" t="inlineStr">
        <is>
          <t>cjxb2j</t>
        </is>
      </c>
      <c r="B3841" t="inlineStr">
        <is>
          <t>My (24F) Dad (65) has cancer and just need a little support</t>
        </is>
      </c>
      <c r="C3841" t="inlineStr">
        <is>
          <t>Hi so first time poster &amp;amp; visitor to the sub from the UK...
So early this year my dad was very unexpectedly diagnosed with a rare bowel cancer... I don’t remember the name and can’t find a whole lot of info about it either! 
As soon as he was diagnosed it felt like time moved very quickly, within two weeks he was in for a major operation to remove a section of the bowel which was honestly the worst day of my life, then spent a few weeks in hospital afterwards which he hated and he is now going through chemotherapy and has one more round left. 
He’s not showing that any of this is affecting him as I expected and has named his stoma bag, Homer the Stoma or Stoma Simpson. 
They said they’d caught it quite early and they looked after him very well throughout his stay and his treatments, I just can’t shake the feeling that this is far from over. 
He’s been for follow up scans and today went for an MRI for his liver, of course they don’t tell you why they just send you. 
I can see he’s worried about the scan today but would never tell me that he is and I honestly don’t know what to do or how to handle any of this, my dad is my hero and my rock so I can’t imagine this getting worse. 
So yeah bit of a long rambling post and not sure if it made sense but just wanted to write it all down and see how everyone else deals with the constant weight on their chest?</t>
        </is>
      </c>
      <c r="D3841" t="n">
        <v>4</v>
      </c>
      <c r="E3841" t="n">
        <v>3</v>
      </c>
      <c r="F3841">
        <f>HYPERLINK("https://www.reddit.com/r/cancer/comments/cjxb2j/my_24f_dad_65_has_cancer_and_just_need_a_little/")</f>
        <v/>
      </c>
      <c r="G3841" t="inlineStr">
        <is>
          <t>2019-07-30 13:08:57</t>
        </is>
      </c>
      <c r="H3841" t="inlineStr"/>
    </row>
    <row r="3842">
      <c r="A3842" t="inlineStr">
        <is>
          <t>cjxj5c</t>
        </is>
      </c>
      <c r="B3842" t="inlineStr">
        <is>
          <t>I've just been told I have a tumour and I don't know how to feel</t>
        </is>
      </c>
      <c r="C3842" t="inlineStr">
        <is>
          <t>I really don't know what else to say, what to do, what to feel. It was so unexpected</t>
        </is>
      </c>
      <c r="D3842" t="n">
        <v>1</v>
      </c>
      <c r="E3842" t="n">
        <v>0</v>
      </c>
      <c r="F3842">
        <f>HYPERLINK("https://www.reddit.com/r/cancer/comments/cjxj5c/ive_just_been_told_i_have_a_tumour_and_i_dont/")</f>
        <v/>
      </c>
      <c r="G3842" t="inlineStr">
        <is>
          <t>2019-07-30 13:25:20</t>
        </is>
      </c>
      <c r="H3842" t="inlineStr"/>
    </row>
    <row r="3843">
      <c r="A3843" t="inlineStr">
        <is>
          <t>cjxvo0</t>
        </is>
      </c>
      <c r="B3843" t="inlineStr">
        <is>
          <t>Cancer scare—alone and embarrassed.</t>
        </is>
      </c>
      <c r="C3843" t="inlineStr">
        <is>
          <t>I went to my doctor because I have a fairly large flat black mole on the side of my labia minora. It’s not raised or ragged, but it is pretty big. My doctor said that it was most likely a vulvar macule and probably not melanoma. But she recommended I go to a dermatologist and get a biopsy due to it’s size (it’s as big as a pencil eraser). 
This whole thing has been freaking me out and I feel so alone. I’m too embarrassed to tell my parents and friends, and I’m not close with anyone else where I can share intimate details. 
How do you cope with something like this? There are days where I forget about it, and then I’ll randomly remember and feel deep sadness and anxiety. 
Can anyone relate to my situation/symptoms? I’m only 26 and wasn’t mentally prepared for something like this. My derm appointment is in 2 months bc my doctor does not think it’s an emergency situation.</t>
        </is>
      </c>
      <c r="D3843" t="n">
        <v>3</v>
      </c>
      <c r="E3843" t="n">
        <v>6</v>
      </c>
      <c r="F3843">
        <f>HYPERLINK("https://www.reddit.com/r/cancer/comments/cjxvo0/cancer_scarealone_and_embarrassed/")</f>
        <v/>
      </c>
      <c r="G3843" t="inlineStr">
        <is>
          <t>2019-07-30 13:50:36</t>
        </is>
      </c>
      <c r="H3843" t="inlineStr"/>
    </row>
    <row r="3844">
      <c r="A3844" t="inlineStr">
        <is>
          <t>cjzewe</t>
        </is>
      </c>
      <c r="B3844" t="inlineStr">
        <is>
          <t>Parotid gland tumor resection.</t>
        </is>
      </c>
      <c r="C3844" t="inlineStr">
        <is>
          <t>I won't know if it's malignant until it's removed, I'll have my surgery date in a couple of days.  I'm curious if anyone has any personal/2nd hand accounts of the procedure and recovery afterwards?  
I'm not sure if this is the appropriate place to ask this or not since I don't know if this could be/is related to the cancer/lung resection I had a couple months ago.  If this isn't the correct place let me know and I'll remove it.</t>
        </is>
      </c>
      <c r="D3844" t="n">
        <v>3</v>
      </c>
      <c r="E3844" t="n">
        <v>4</v>
      </c>
      <c r="F3844">
        <f>HYPERLINK("https://www.reddit.com/r/cancer/comments/cjzewe/parotid_gland_tumor_resection/")</f>
        <v/>
      </c>
      <c r="G3844" t="inlineStr">
        <is>
          <t>2019-07-30 15:43:28</t>
        </is>
      </c>
      <c r="H3844" t="inlineStr"/>
    </row>
    <row r="3845">
      <c r="A3845" t="inlineStr">
        <is>
          <t>cjzggz</t>
        </is>
      </c>
      <c r="B3845" t="inlineStr">
        <is>
          <t>My last (hopefully) message to this sub</t>
        </is>
      </c>
      <c r="C3845" t="inlineStr">
        <is>
          <t>My dad died over 2 months ago, I still couldn't bring myself to leave this sub before writing a message but I feel like now is the time to finally do so.  
I just wanted to thank all of you for your kind words you've provided me in the 1 last horrible year, thank you for my questions which you've answered and I wish you best of luck, no matter in what situation you are. You guys ultimately became a place of hope, and a place that constantly reminded me that I am not alone in this.  
But whenever I just want to turn off for a moment and browse reddit, this sub pops up and floods my mind with all these ugly memories which I've made and lets me dive into dark thoughts that I am trying so hard to avoid these days, so I'll need to say goodbye. Of course I hope, and I think you'll understand, that I won't ever have to visit this place again.  
Stay strong and fuck cancer.</t>
        </is>
      </c>
      <c r="D3845" t="n">
        <v>84</v>
      </c>
      <c r="E3845" t="n">
        <v>8</v>
      </c>
      <c r="F3845">
        <f>HYPERLINK("https://www.reddit.com/r/cancer/comments/cjzggz/my_last_hopefully_message_to_this_sub/")</f>
        <v/>
      </c>
      <c r="G3845" t="inlineStr">
        <is>
          <t>2019-07-30 15:46:52</t>
        </is>
      </c>
      <c r="H3845" t="inlineStr"/>
    </row>
    <row r="3846">
      <c r="A3846" t="inlineStr">
        <is>
          <t>ck0u7n</t>
        </is>
      </c>
      <c r="B3846" t="inlineStr">
        <is>
          <t>Are there cancers that can't be identified with an X-ray/MRI, and simple blood test? If so, what other tests are needed to find them?</t>
        </is>
      </c>
      <c r="C3846" t="inlineStr">
        <is>
          <t>Besides skin cancer?</t>
        </is>
      </c>
      <c r="D3846" t="n">
        <v>6</v>
      </c>
      <c r="E3846" t="n">
        <v>18</v>
      </c>
      <c r="F3846">
        <f>HYPERLINK("https://www.reddit.com/r/cancer/comments/ck0u7n/are_there_cancers_that_cant_be_identified_with_an/")</f>
        <v/>
      </c>
      <c r="G3846" t="inlineStr">
        <is>
          <t>2019-07-30 17:39:09</t>
        </is>
      </c>
      <c r="H3846" t="inlineStr"/>
    </row>
    <row r="3847">
      <c r="A3847" t="inlineStr">
        <is>
          <t>ck1e69</t>
        </is>
      </c>
      <c r="B3847" t="inlineStr">
        <is>
          <t>Why is this happening to me</t>
        </is>
      </c>
      <c r="C3847" t="inlineStr">
        <is>
          <t>What did I do so wrong. I bet my ex husband is laughing about me getting cancer from an STD I didn’t know I had. I be in being punished bc I didn’t get divorced properly and I wanted to hurt him the way he hurt me. Or be I was a shitty kid and ran off all the time to drink or do drugs. I feel like I’m being punished with this damn cancer. I have fucking cervical cancer and never even tested positive for HPV. Never had an symptoms. I have four little girls and a wonderful husband and we’re trying to buy a house and a stupid ass dog who is too big and everything was finally falling into place. But per usual, I feel like the world is shitting on me. Everything was perfect in January. Everything was where it needed to be. And now I’m living with my in laws sick as hell feeling sorry for myself. I’m too anxious to go do anything and even if i wasn’t I feel too shitty. I get to go twice a week to have rods and radiation up my vagina and strapped to a table while they do it. I’m going thru menopause and not even 31. I’m having a horrible day. My back is swollen from the amount of spinal blocks that I have been given and just everything is falling apart.  I’m so tired of being positive for everyone. I’m so tired of pretending. I’m miserable. I want my life back. I didn’t do anything to deserve this. I’m sorry.</t>
        </is>
      </c>
      <c r="D3847" t="n">
        <v>29</v>
      </c>
      <c r="E3847" t="n">
        <v>12</v>
      </c>
      <c r="F3847">
        <f>HYPERLINK("https://www.reddit.com/r/cancer/comments/ck1e69/why_is_this_happening_to_me/")</f>
        <v/>
      </c>
      <c r="G3847" t="inlineStr">
        <is>
          <t>2019-07-30 18:26:09</t>
        </is>
      </c>
      <c r="H3847" t="inlineStr"/>
    </row>
    <row r="3848">
      <c r="A3848" t="inlineStr">
        <is>
          <t>ck2au0</t>
        </is>
      </c>
      <c r="B3848" t="inlineStr">
        <is>
          <t>Big test tomorrow, and I don't know how to process my emotions.</t>
        </is>
      </c>
      <c r="C3848" t="inlineStr">
        <is>
          <t>Was feeling extremely down, depressed more than usual, and extremely lethargic two weeks ago. Went to the doctor, he did a physical. Found palpable lumps on an enlarged left lymph node, right node was enlarged as well. Ultrasound confirmed, CT scheduled for tomorrow.
Started thinking about it, and I've lost about 60lbs since last year. My diet hasn't changed, nor my habits. I get night sweats, sometimes waking up drenched. It's not uncommon for me to have smaller meals throughout the day, sometimes something big at night, I'm just never that hungry. My sister has also had Non-Hodgkins Lymphoma.
I'm panicked, terrified, but also focused more inward. I've kind of just shut down. I'm really not sure how to feel about everything.
Any advice on getting through this?</t>
        </is>
      </c>
      <c r="D3848" t="n">
        <v>1</v>
      </c>
      <c r="E3848" t="n">
        <v>0</v>
      </c>
      <c r="F3848">
        <f>HYPERLINK("https://www.reddit.com/r/cancer/comments/ck2au0/big_test_tomorrow_and_i_dont_know_how_to_process/")</f>
        <v/>
      </c>
      <c r="G3848" t="inlineStr">
        <is>
          <t>2019-07-30 19:45:53</t>
        </is>
      </c>
      <c r="H3848" t="inlineStr"/>
    </row>
    <row r="3849">
      <c r="A3849" t="inlineStr">
        <is>
          <t>ck3jga</t>
        </is>
      </c>
      <c r="B3849" t="inlineStr">
        <is>
          <t>I’m worried. 19/UK</t>
        </is>
      </c>
      <c r="C3849" t="inlineStr">
        <is>
          <t>So, I’m 19 years old from the UK and have had asthma for as long as I can remember. Just to give the situation some detail.
A month or so ago I started working at a gas station and for the past week or so I’ve had an annoying cough.
It doesn’t hurt, but I cough at least once per hour. 
I’m just concerned that I may have lung cancer.
Any advice?
I’m going to call my local doctors today and ask them to make me an appointment but I have no idea what to say.
This couch combined with the fumes of being next to a gas station just seems to add up.</t>
        </is>
      </c>
      <c r="D3849" t="n">
        <v>0</v>
      </c>
      <c r="E3849" t="n">
        <v>2</v>
      </c>
      <c r="F3849">
        <f>HYPERLINK("https://www.reddit.com/r/cancer/comments/ck3jga/im_worried_19uk/")</f>
        <v/>
      </c>
      <c r="G3849" t="inlineStr">
        <is>
          <t>2019-07-30 21:41:02</t>
        </is>
      </c>
      <c r="H3849" t="inlineStr"/>
    </row>
    <row r="3850">
      <c r="A3850" t="inlineStr">
        <is>
          <t>ck3wyz</t>
        </is>
      </c>
      <c r="B3850" t="inlineStr">
        <is>
          <t>mother just having a rough time</t>
        </is>
      </c>
      <c r="C3850" t="inlineStr">
        <is>
          <t>hi all  
i've posted a few times before and am reaching out again. my mother (62 years) has an aggressive form of stomach cancer and had a full gastrectomy back in october. she's had various rounds of chemo, radiation and a combo of the two.
her most recent scans were clear (yay) but she's having a s l o w recovery. i'm incredibly worried about the amount of weight she's lost; she's wasting away, weighing a mere 89lbs. she's a small lady already at 5'1 but this is worrisome. she's had a hard time feeling hungry as nothing tastes good, or if she DOES feel hungry, sometimes she has a pain in her throat that prevents food from passing.
 apparently her esophagus is closing (?) and every couple months, her gastroenterologist conducts an endoscopy and opens her esophagus again. apparently this is an unpredictable side effect, with some people only needing this procedure a few times, with others needing this procedure every so often for the rest of their lives. 
luckily she has a J-tube, but she is definitely not connecting to the feeding machine enough.  she has major discomfort where the tube meets her abdomen, which i think factors into her use of the machine, plus there was some bullshit issue with her previous insurance denying coverage for the food, citing the food was not medically necessary (thank you United States) to her survival.  i think she got it all resolved though, thank goodness. 
anyways, i was just curious if any one else in the sub has experience with any of what she's gone through/going through. i do my best to encourage her but i have no idea what all this is really like. i also don't have any good solutions for her, but i thought maybe reaching out here could yield me some advice/tips. 
thanks in advance to everyone here. i appreciate and value each and every one of you that's dealing with cancer in some way. 🤗♥️
carola19</t>
        </is>
      </c>
      <c r="D3850" t="n">
        <v>4</v>
      </c>
      <c r="E3850" t="n">
        <v>8</v>
      </c>
      <c r="F3850">
        <f>HYPERLINK("https://www.reddit.com/r/cancer/comments/ck3wyz/mother_just_having_a_rough_time/")</f>
        <v/>
      </c>
      <c r="G3850" t="inlineStr">
        <is>
          <t>2019-07-30 22:17:33</t>
        </is>
      </c>
      <c r="H3850" t="inlineStr"/>
    </row>
    <row r="3851">
      <c r="A3851" t="inlineStr">
        <is>
          <t>ck4axv</t>
        </is>
      </c>
      <c r="B3851" t="inlineStr">
        <is>
          <t>Cancer Rant</t>
        </is>
      </c>
      <c r="C3851" t="inlineStr">
        <is>
          <t>Delete if not allowed. I'm usually a super happy and uplifting person but I get into a depressive state sometimes, especially when I get news related to my past cancers. I tried to tell my mom about my depression, I tried to tell her about the bullies is high school, and she said I was doing everything for attention. I just wish someone could understand how much pain I am actually in mentally. I couldn't talk to my dad because I didn't want to break his heart so I just lived with this, I'll continue to live this way for the rest of my life until I die. Everytime I try to get away from my cancer, it just comes and bites me in the butt. Kidneys, liver, heart, bones everything is just failing me or will fail me with my body and I just can't figure out what I did to deserve cancer. I always thought it was because God wanted me to have a story to tell people about, something so powerful that people may believe in him that he helped the people become doctors and nurses and that's how they saved me. But the deeper I fall into this rut I can't seem to climb back out. I feel like I did something bad to deserve this cancer. I was 10, 11 and 16 when I had my three cancers and every year my body just tells me it wished it died when I was ten. There is so much I have dreamed of doing with my life and I feel like I just can't accomplish it because everytime I get a goal accomplished or close to a goal and my body decides to break down like an old car. I probably can't have kids naturally which I've known for a while and now at 20 years of age I learned that I have osteoporosis. I know there are so many people who are in worse metaphorical boats than I am like ones that have hit an ice berg and don't have enough life boats. But right now I feel like I am on a door in the middle of the Atlantic just trying to survive (sorry for The Titanic reference) Again delete my post if it's not allowed. I'm not trying to make anyone else feel like crap I'm sorry.</t>
        </is>
      </c>
      <c r="D3851" t="n">
        <v>33</v>
      </c>
      <c r="E3851" t="n">
        <v>14</v>
      </c>
      <c r="F3851">
        <f>HYPERLINK("https://www.reddit.com/r/cancer/comments/ck4axv/cancer_rant/")</f>
        <v/>
      </c>
      <c r="G3851" t="inlineStr">
        <is>
          <t>2019-07-30 22:58:24</t>
        </is>
      </c>
      <c r="H3851" t="inlineStr"/>
    </row>
    <row r="3852">
      <c r="A3852" t="inlineStr">
        <is>
          <t>ck6szg</t>
        </is>
      </c>
      <c r="B3852" t="inlineStr">
        <is>
          <t>Advice for friends on how to support people whose family members have cancer? Appropriate support gifts??</t>
        </is>
      </c>
      <c r="C3852" t="inlineStr">
        <is>
          <t>Hi everyone. 
Hopefully this doesn’t reveal too much private information. 
I have two friends and both their moms have cancer. We’re still in high school (about to be juniors so it’s going to get really tough from here on out) so I really want to make sure they’re emotionally stable and don’t make any big dumb terrible decisions. And I really want to make sure they never ever hurt themselves. It’s a dark road. Friend A, her mom was diagnosed at least 2 years ago, since that’s when she told me, and I’ve noticed that she really hasn’t been the same. She’s losing hope, finding things worthless, having mental breakdowns, having trouble focusing, and the list goes on. Perhaps it’s the high school workload getting to her, but I know that her family problems have a huge impact on her life (and it goes on beyond cancer). After Friend B told me about how her mom was recently diagnosed, my first thought was that I must help her so she doesn’t end up like Friend A. This time I’ll be there and support her through the tough journey ahead of her, and this time I won’t be too late and watch another friend lose touch with reality. Friend B also has more family troubles, since her younger sister is too young to understand and also has health problems, and her brother is slightly autistic (?) so her dad can only lean on her for support. She is definitely feeling the burden and I told her that she doesn’t have to stay strong for everyone and if she stumbles I’ll be there to catch her but I don’t know how else to help her. I need help because I’ve never been in this situation so I can’t possibly understand what they’re going through, but I also want so so so so much to help them because I can’t stand to imagine friends of 9 years leave my life. Is there anything I could say when they look to me for help?? Any ways to comfort, coping mechanisms, things to avoid saying/doing, ways to cheer them up, anything at all?? Is it better to seem like I’m not pitying them, because if I come off too passive or if I only say sweet things I’m worried they’ll take it like im not taking the time to actually write thoughtful comments or I’m condescending or like I’m not someone they can turn to. I’m in desperate need of advice right now. It’s 3 am as I write this and I really don’t know what to do. Please help a kid out. 
P. S. I’ve been meaning to make friendship bracelets for a while now, and now, I’m considering doing a cancer ribbon pattern (possibly for their entire families). Is this appropriate?? I’m worried that they’ll take it as a constant reminder of the situation they’re in.... if it isn’t a good idea, is it better if I make a star pattern instead? (my name means star and I want them to think of me as someone who’ll always be there and can guide them in the darkest times) Is it also bad if I start dropping off small gifts and food for them?? I want to cheer them up but I’m scared they’ll take it the wrong way and think that I consider them as weak and I pity/need to baby them. 
Thank you for your time, comments are greatly appreciated.</t>
        </is>
      </c>
      <c r="D3852" t="n">
        <v>8</v>
      </c>
      <c r="E3852" t="n">
        <v>4</v>
      </c>
      <c r="F3852">
        <f>HYPERLINK("https://www.reddit.com/r/cancer/comments/ck6szg/advice_for_friends_on_how_to_support_people_whose/")</f>
        <v/>
      </c>
      <c r="G3852" t="inlineStr">
        <is>
          <t>2019-07-31 03:47:06</t>
        </is>
      </c>
      <c r="H3852" t="inlineStr"/>
    </row>
    <row r="3853">
      <c r="A3853" t="inlineStr">
        <is>
          <t>ck7hn0</t>
        </is>
      </c>
      <c r="B3853" t="inlineStr">
        <is>
          <t>Megellary Thyroid Carcinoma</t>
        </is>
      </c>
      <c r="C3853" t="inlineStr">
        <is>
          <t>My grandfather was diagnosed 2 months ago and is in radiation. My mother had nodes on her lymph and had ultrasound...we find out the results next Monday. I'm a crisis counselor and I need to get screened but I'm scared. I help people though death, loss, suicide, thoughts of killing others, and all I care about is if my mother is ok. Fuck cancer. I dont know why this post is happening but its 4:54am and I just got off a 11 hour shift and after all the pain I still think...my kind,  sweet, fucking mother. Kill me instead.</t>
        </is>
      </c>
      <c r="D3853" t="n">
        <v>1</v>
      </c>
      <c r="E3853" t="n">
        <v>1</v>
      </c>
      <c r="F3853">
        <f>HYPERLINK("https://www.reddit.com/r/cancer/comments/ck7hn0/megellary_thyroid_carcinoma/")</f>
        <v/>
      </c>
      <c r="G3853" t="inlineStr">
        <is>
          <t>2019-07-31 04:55:09</t>
        </is>
      </c>
      <c r="H3853" t="inlineStr"/>
    </row>
    <row r="3854">
      <c r="A3854" t="inlineStr">
        <is>
          <t>ck7jn2</t>
        </is>
      </c>
      <c r="B3854" t="inlineStr">
        <is>
          <t>How Do I Ask For Caner Screening</t>
        </is>
      </c>
      <c r="C3854" t="inlineStr">
        <is>
          <t>I've been having strange symptoms the past year and a half. I think because of some other life changes as of late, the doctors I've seen are much less concerned than I am and I'm beginning to worry that since a cause for the litany of symptoms I've been having hasn't been discovered, the more and more likely it is that it's something serious.  
It all started two years ago, right before I turned 30, when after a yearly exam I was told my blood pressure was a little too high, 140/90, that's when the symptoms began with what I preceived to be heart arrhythmia. I have always had tiny sharp pains in my chest, like, for as long as I can remember saying back to my childhood, so after some testing it was decided whatever the issue was, it wasn't my heart. 
I went vegan. I felt great. LOST A BUNCH OF WEIGHT, (Went from 278lbs to 227lbs, I'm 6'5"tall) and began living healthier. Blood pressure plummeted to 117/75. The symptoms subsided and I figured "That's that, all good."
A few months later I was pretty sick over the winter. For weeks I was coughing and achy and it culminated to one night where I had the chills so severely I was shaking uncontrollably. I was seriously constipated and ended up damaging my pelvic floor, my lymph nodes at the base of my skull were rock hard. I went in to see my primary she tells me I have some virus, it'll clear up on its own, most likely. A few days later I feel fine. 
Anyway, on and off for the next few months I have small issues, digestion isn't great, irregular bowel movements, heart burn, tightness in my chest, globus sensation in my throat, etc. So right now I'm in the middle of tests to see if I have a g.i. issue and the symptoms that go along with that are similar to some cancers, so I'm afraid that because the sypmtoms have been ALL OVER THE PLACE, and since my major weight loss coincided with a lifestyle change, my doctor isn't connecting the dots or isn't really sure, and is trying not to scare me more than trying to get to the root of the issue. She's a great primary, myself, my wife, and son all see her.
With cancer in my family and with the rising number of young people, men in particular, getting the disease, I don't know how to ASK for a screening. What should I even ask for? A blood test? A PET scan? I'm really stressed and if I could just get some scientifically supported information I feel like it would be a great relief to just know for sure this isn't cancer, or to get a diagnosis and start treatment as day as I can.
I'd love any advice, and thanks in advance!</t>
        </is>
      </c>
      <c r="D3854" t="n">
        <v>1</v>
      </c>
      <c r="E3854" t="n">
        <v>3</v>
      </c>
      <c r="F3854">
        <f>HYPERLINK("https://www.reddit.com/r/cancer/comments/ck7jn2/how_do_i_ask_for_caner_screening/")</f>
        <v/>
      </c>
      <c r="G3854" t="inlineStr">
        <is>
          <t>2019-07-31 05:00:18</t>
        </is>
      </c>
      <c r="H3854" t="inlineStr"/>
    </row>
    <row r="3855">
      <c r="A3855" t="inlineStr">
        <is>
          <t>ck8p4v</t>
        </is>
      </c>
      <c r="B3855" t="inlineStr">
        <is>
          <t>The smaller symptoms suck the worst.</t>
        </is>
      </c>
      <c r="C3855" t="inlineStr">
        <is>
          <t>So I have Hodgkins lymphoma. Prognosis is good, chemo is progressing without too many hiccups.. 
My cancer took form as a giant mass in my chest that broke my sternum and caused ungodly pain. Nerve pain, bone pain, hard to breathe, the whole nine. I took it pretty well with the help of our good friend opiods. 
BUT, now that my mass has shrunk significantly &amp;amp; my pain is reduced, I'm noticing all these smaller things that are just breaking me. Nausea, UTIs, yeast infections, oral thrush, my eyelashes are falling out and INTO my damn eyes, the fatigue, the way my body just feels WRONG after each chemo, I dont sleep well, and so on. I feel so shakey &amp;amp; unstable &amp;amp; weak. I just want to cry when I wake up because my body feels so wrong. I can handle straight pain, but all these "inconvenient" symptoms are the ones that are tearing me down right now. 
Literally sitting on the toilet right now crying because I have a UTI and I'm fatigued from sitting on the toilet for long.</t>
        </is>
      </c>
      <c r="D3855" t="n">
        <v>59</v>
      </c>
      <c r="E3855" t="n">
        <v>42</v>
      </c>
      <c r="F3855">
        <f>HYPERLINK("https://www.reddit.com/r/cancer/comments/ck8p4v/the_smaller_symptoms_suck_the_worst/")</f>
        <v/>
      </c>
      <c r="G3855" t="inlineStr">
        <is>
          <t>2019-07-31 06:44:58</t>
        </is>
      </c>
      <c r="H3855" t="inlineStr"/>
    </row>
    <row r="3856">
      <c r="A3856" t="inlineStr">
        <is>
          <t>ck9ym9</t>
        </is>
      </c>
      <c r="B3856" t="inlineStr">
        <is>
          <t>Never give up! (Good news about my mom!)</t>
        </is>
      </c>
      <c r="C3856" t="inlineStr">
        <is>
          <t>My mom's new chemo only had one in five chances of helping her. And if it didn't help her she was told she would only have 2/3 more months to live. 
I am happy to announce that she is part of that one in five!
For now the cancer is "asleep". Although they said that eventually the cancer will outsmart the chemo and will no longer help, she will continue treatment for at least another 6 months. After that she will have another CT scan to decide our next steps in this journey. 
Thank you to everyone for being on this emotional rollercoaster with me. 
We are now appreciating, and enjoying every moment even more.
Life is what you make it, so let's make it great together!!</t>
        </is>
      </c>
      <c r="D3856" t="n">
        <v>72</v>
      </c>
      <c r="E3856" t="n">
        <v>11</v>
      </c>
      <c r="F3856">
        <f>HYPERLINK("https://www.reddit.com/r/cancer/comments/ck9ym9/never_give_up_good_news_about_my_mom/")</f>
        <v/>
      </c>
      <c r="G3856" t="inlineStr">
        <is>
          <t>2019-07-31 08:28:11</t>
        </is>
      </c>
      <c r="H3856" t="inlineStr"/>
    </row>
    <row r="3857">
      <c r="A3857" t="inlineStr">
        <is>
          <t>ckagst</t>
        </is>
      </c>
      <c r="B3857" t="inlineStr">
        <is>
          <t>0.2% MRD found [29 female, AML]</t>
        </is>
      </c>
      <c r="C3857" t="inlineStr">
        <is>
          <t>I received a stem cell transplant on April 19th, and everything was running smoothly up until this point. 
&amp;amp;#x200B;
I just received news that  0.2% of leukemia cells were found in my most recent bone marrow biopsy. I am now scheduled to receive low dose chemotherapy injections, as well as additional donor cells.
Does anybody have any success stories from relapsing? I'm feeling pretty dejected and pissed off and anything positive would be of great value. I want to live a normal and healthy life and beat this thing.
Please pray for me and send me health and love.</t>
        </is>
      </c>
      <c r="D3857" t="n">
        <v>11</v>
      </c>
      <c r="E3857" t="n">
        <v>1</v>
      </c>
      <c r="F3857">
        <f>HYPERLINK("https://www.reddit.com/r/cancer/comments/ckagst/02_mrd_found_29_female_aml/")</f>
        <v/>
      </c>
      <c r="G3857" t="inlineStr">
        <is>
          <t>2019-07-31 09:08:51</t>
        </is>
      </c>
      <c r="H3857" t="inlineStr"/>
    </row>
    <row r="3858">
      <c r="A3858" t="inlineStr">
        <is>
          <t>ckcf7p</t>
        </is>
      </c>
      <c r="B3858" t="inlineStr">
        <is>
          <t>My sister got a diagnosis of large intestine cancer just now</t>
        </is>
      </c>
      <c r="C3858" t="inlineStr">
        <is>
          <t>Doesn't appear to have breached the wall and spread. Any input I can't find on medical websites? 
They have scheduled her for surgery tomorrow. Not peephole, because there is a blockage. 
Honestly the prognosis sounds kind of good, all things considering.</t>
        </is>
      </c>
      <c r="D3858" t="n">
        <v>4</v>
      </c>
      <c r="E3858" t="n">
        <v>11</v>
      </c>
      <c r="F3858">
        <f>HYPERLINK("https://www.reddit.com/r/cancer/comments/ckcf7p/my_sister_got_a_diagnosis_of_large_intestine/")</f>
        <v/>
      </c>
      <c r="G3858" t="inlineStr">
        <is>
          <t>2019-07-31 11:31:14</t>
        </is>
      </c>
      <c r="H3858" t="inlineStr"/>
    </row>
    <row r="3859">
      <c r="A3859" t="inlineStr">
        <is>
          <t>ckcps8</t>
        </is>
      </c>
      <c r="B3859" t="inlineStr">
        <is>
          <t>Vent: Mother’s diagnosis and everything else</t>
        </is>
      </c>
      <c r="C3859" t="inlineStr">
        <is>
          <t>I don’t know if this belongs here but I just need an outlet, some words of encouragement, anything really.
Earlier this month my mom was recently diagnosed with colorectal cancer, and from her biopsy results, it has metastasized to her lungs.  Today is her first day of chemo. 
I’m very fortunate to live close by to my mom, as she cares for my 1.5 year old daughter while I’m at work, but only until very recently. Ever since mom’s diagnosis, I can notice she has been significantly thinner and weaker. She now has her port-a-cath in so she is somewhat more fragile. What hurts me most is that she can’t care for or play with my daughter like she used to, or even hold her. My mom says that my daughter is her strength, and that she is going to fight this to watch my daughter and her future grandchildren to grow up.
Not to mention, my daughter has started her terrible twos, my husband is gone for work training, and now my dog has some pooping issues so I’m just very overwhelmed. 
I’m praying that this chemo works and she is able to have surgery to remove this POS so that my mom can go back to being the great mother and grandmother that she is.</t>
        </is>
      </c>
      <c r="D3859" t="n">
        <v>11</v>
      </c>
      <c r="E3859" t="n">
        <v>5</v>
      </c>
      <c r="F3859">
        <f>HYPERLINK("https://www.reddit.com/r/cancer/comments/ckcps8/vent_mothers_diagnosis_and_everything_else/")</f>
        <v/>
      </c>
      <c r="G3859" t="inlineStr">
        <is>
          <t>2019-07-31 11:54:14</t>
        </is>
      </c>
      <c r="H3859" t="inlineStr"/>
    </row>
    <row r="3860">
      <c r="A3860" t="inlineStr">
        <is>
          <t>ckdw04</t>
        </is>
      </c>
      <c r="B3860" t="inlineStr">
        <is>
          <t>My dad found out he has terminal lung cancer today</t>
        </is>
      </c>
      <c r="C3860" t="inlineStr">
        <is>
          <t>I (24F) just found out today that my dad has terminal lung cancer. I honestly don't know how to process what's happened. Hes had a cough for months but...this is...I don't even have the words to describe how I feel. I just feel so empty, and drained from crying all day. My first thought is just sheer panic for my mum. How on earth is she going to cope? My 12 year old sister has to grow up without a father. I have to be the rock to hold my family together, and I'm fucking scared. I'm scared my mum will relapse and start drinking again, scared for her for the days she has to spend alone, and the days she spends watching the man she loves deteriorate. I have no fucking idea how to process this. No words. Nothing. I feel like the last thing dad will want is us treating him differently. He will want to be laughed with, hugged, and treated with smiles. This world is so fucking cruel and I havent come to terms with all of the things I'll now never get to do with my dad. Just needed to get this off my chest. Any advice would be awesome.</t>
        </is>
      </c>
      <c r="D3860" t="n">
        <v>12</v>
      </c>
      <c r="E3860" t="n">
        <v>9</v>
      </c>
      <c r="F3860">
        <f>HYPERLINK("https://www.reddit.com/r/cancer/comments/ckdw04/my_dad_found_out_he_has_terminal_lung_cancer_today/")</f>
        <v/>
      </c>
      <c r="G3860" t="inlineStr">
        <is>
          <t>2019-07-31 13:23:08</t>
        </is>
      </c>
      <c r="H3860" t="inlineStr"/>
    </row>
    <row r="3861">
      <c r="A3861" t="inlineStr">
        <is>
          <t>ckea3f</t>
        </is>
      </c>
      <c r="B3861" t="inlineStr">
        <is>
          <t>Does anyone here have/had bladder cancer?</t>
        </is>
      </c>
      <c r="C3861" t="inlineStr">
        <is>
          <t>I'm wondering if anyone would be willing to share their experience with everything from symptoms to diagnosis to treatment of bladder cancer.</t>
        </is>
      </c>
      <c r="D3861" t="n">
        <v>2</v>
      </c>
      <c r="E3861" t="n">
        <v>0</v>
      </c>
      <c r="F3861">
        <f>HYPERLINK("https://www.reddit.com/r/cancer/comments/ckea3f/does_anyone_here_havehad_bladder_cancer/")</f>
        <v/>
      </c>
      <c r="G3861" t="inlineStr">
        <is>
          <t>2019-07-31 13:52:32</t>
        </is>
      </c>
      <c r="H3861" t="inlineStr"/>
    </row>
    <row r="3862">
      <c r="A3862" t="inlineStr">
        <is>
          <t>ckfzlu</t>
        </is>
      </c>
      <c r="B3862" t="inlineStr">
        <is>
          <t>Depression</t>
        </is>
      </c>
      <c r="C3862" t="inlineStr">
        <is>
          <t>Finished treatment over 3 years ago. Is it normal for depression to hit you 2-3 years since then? I've always been socially anxious though. I'm ok most of the time but I feel I shouldn't feel this way since I survived?</t>
        </is>
      </c>
      <c r="D3862" t="n">
        <v>6</v>
      </c>
      <c r="E3862" t="n">
        <v>8</v>
      </c>
      <c r="F3862">
        <f>HYPERLINK("https://www.reddit.com/r/cancer/comments/ckfzlu/depression/")</f>
        <v/>
      </c>
      <c r="G3862" t="inlineStr">
        <is>
          <t>2019-07-31 16:08:22</t>
        </is>
      </c>
      <c r="H3862" t="inlineStr"/>
    </row>
    <row r="3863">
      <c r="A3863" t="inlineStr">
        <is>
          <t>ckg94u</t>
        </is>
      </c>
      <c r="B3863" t="inlineStr">
        <is>
          <t>What to expect when a family member is diagnosed?</t>
        </is>
      </c>
      <c r="C3863" t="inlineStr">
        <is>
          <t>My mother was diagnosed with colon cancer this week. What should I expect? Is there anything I can do to help?</t>
        </is>
      </c>
      <c r="D3863" t="n">
        <v>3</v>
      </c>
      <c r="E3863" t="n">
        <v>9</v>
      </c>
      <c r="F3863">
        <f>HYPERLINK("https://www.reddit.com/r/cancer/comments/ckg94u/what_to_expect_when_a_family_member_is_diagnosed/")</f>
        <v/>
      </c>
      <c r="G3863" t="inlineStr">
        <is>
          <t>2019-07-31 16:30:48</t>
        </is>
      </c>
      <c r="H3863" t="inlineStr"/>
    </row>
    <row r="3864">
      <c r="A3864" t="inlineStr">
        <is>
          <t>ckhmp6</t>
        </is>
      </c>
      <c r="B3864" t="inlineStr">
        <is>
          <t>My Beautiful Mother</t>
        </is>
      </c>
      <c r="C3864" t="inlineStr">
        <is>
          <t>I sit in the hospital as my mom sleeps, thinking how none of this was supposed to happen. 
My mom was supposed to live into her 90s, like her mother; she won’t make it past 61. 
The surgery was supposed to remove the cancer, or at least give us more time; the cancer came back in six months. 
There were supposed to be options to treat the cancer palliatively and slow the cancer growth; the oncologists day my mom is too weak for chemotherapy, and that the chemotherapy won’t do anything. 
This cancer rarely spreads to the brain; the MRI from a few days ago shows potential brain lesions. 
Cancer is such a monster. I won’t get to share an eventual wedding with my mom. I won’t get to share grandchildren with my mom. I’m losing my best friend. 
Fuck cancer.</t>
        </is>
      </c>
      <c r="D3864" t="n">
        <v>69</v>
      </c>
      <c r="E3864" t="n">
        <v>26</v>
      </c>
      <c r="F3864">
        <f>HYPERLINK("https://www.reddit.com/r/cancer/comments/ckhmp6/my_beautiful_mother/")</f>
        <v/>
      </c>
      <c r="G3864" t="inlineStr">
        <is>
          <t>2019-07-31 18:31:36</t>
        </is>
      </c>
      <c r="H3864" t="inlineStr"/>
    </row>
    <row r="3865">
      <c r="A3865" t="inlineStr">
        <is>
          <t>ckicdt</t>
        </is>
      </c>
      <c r="B3865" t="inlineStr">
        <is>
          <t>I don't know what to do about my dad.</t>
        </is>
      </c>
      <c r="C3865" t="inlineStr">
        <is>
          <t>Well, my first post here. I'm not cancerous (as far as I know). At 25 my best friend died of leukemia. She was 23. A few years later I lost my best aunt to breast, lymph, and skin cancer. I'm 39 now, and now it's my dad. It's not quite leukemia, but it's a blood cancer with a long name that will take him. In the past month, we've gotten estimates of up to 10 years. Today, the doc said "Wow, you might make it to two!" with his current chemo. Like, the doc thought that was really good news. It seems my dad has hemoglobin levels so low that no doc has seen them in a person still alive. He can't get a marrow transplant due to age and health. He can't go on different chemo due to... well age and health. He's 70. I know that's way more time than many people get. I'm still just.... angry. I don't know how to vent. My mom and he are making plans, having my sister and I over to talk about end of life stuff. Still.... cancer has taken too many people from me. I wish it would just take me and leave the others alone. I don't know if I want advice or comfort, I'm just.... not sure how to deal aside from taking dad fishing when he's able and dropping my dog off at his place for a weekend (he says my dog comforts him). He can't even really throw a ball for the dog anymore... I toss where he points. It's just... nobody lasts forever, but having the docs call so many expiration points.... My mom is crumbling, but I know she wants to stay strong for him. I feel like a kid, unable to help and only able to watch and hope.</t>
        </is>
      </c>
      <c r="D3865" t="n">
        <v>7</v>
      </c>
      <c r="E3865" t="n">
        <v>5</v>
      </c>
      <c r="F3865">
        <f>HYPERLINK("https://www.reddit.com/r/cancer/comments/ckicdt/i_dont_know_what_to_do_about_my_dad/")</f>
        <v/>
      </c>
      <c r="G3865" t="inlineStr">
        <is>
          <t>2019-07-31 19:35:33</t>
        </is>
      </c>
      <c r="H3865" t="inlineStr"/>
    </row>
    <row r="3866">
      <c r="A3866" t="inlineStr">
        <is>
          <t>ckifnt</t>
        </is>
      </c>
      <c r="B3866" t="inlineStr">
        <is>
          <t>I HAD papillary thyroid cancer two weeks ago.</t>
        </is>
      </c>
      <c r="C3866" t="inlineStr">
        <is>
          <t>After a complete thyroidectomy with left neck dissection to remove some affected lymph nodes, the doctors says I should be ok.</t>
        </is>
      </c>
      <c r="D3866" t="n">
        <v>28</v>
      </c>
      <c r="E3866" t="n">
        <v>3</v>
      </c>
      <c r="F3866">
        <f>HYPERLINK("https://www.reddit.com/r/cancer/comments/ckifnt/i_had_papillary_thyroid_cancer_two_weeks_ago/")</f>
        <v/>
      </c>
      <c r="G3866" t="inlineStr">
        <is>
          <t>2019-07-31 19:44:00</t>
        </is>
      </c>
      <c r="H3866" t="inlineStr"/>
    </row>
    <row r="3867">
      <c r="A3867" t="inlineStr">
        <is>
          <t>ckikip</t>
        </is>
      </c>
      <c r="B3867" t="inlineStr">
        <is>
          <t>(24F) My father (55M) may have Multiple Myeloma. I need Hospital Advice and Other Advice.</t>
        </is>
      </c>
      <c r="C3867" t="inlineStr">
        <is>
          <t>My father recently found out he had cancer as of 2.5 weeks ago and he has been admitted to a hospital. The doctors are doing several checkups on him to no avail. I've been speaking with my boss who's had cancer 3 times, as well as my professor who has many life experiences. After discussing at length, my professor said that he may have Multiple Myeloma. 
The reason why I said "may" is because the doctors have not yet found the source/root of the cancer, and they've been checking all the major parts of his body to no avail. What my professor said about myeloma is that it has no root, as it takes up in the blood, which sounds accurate. My dad personally is remaining positive and just staying happy, looking forward and not to the past, which is very important. He is still able to move, walk around, eat, and drink with no issue, which is so relieving but I want to advance his treatment and care.
My problem is that the hospital he's staying in, is a "general" hospital and I would really love to be able to transfer him to a more specialized cancer center. They've had him in a room for 2.5 weeks without definitive answers and reliable follow-ups! He has medicaid, but I'm still unsure on how to request a transfer seamlessly. If anyone at all has an idea, or some insight on the order of operations, please do let me know. Who can I speak to? What's the chain of command in this scenario?</t>
        </is>
      </c>
      <c r="D3867" t="n">
        <v>11</v>
      </c>
      <c r="E3867" t="n">
        <v>8</v>
      </c>
      <c r="F3867">
        <f>HYPERLINK("https://www.reddit.com/r/cancer/comments/ckikip/24f_my_father_55m_may_have_multiple_myeloma_i/")</f>
        <v/>
      </c>
      <c r="G3867" t="inlineStr">
        <is>
          <t>2019-07-31 19:56:09</t>
        </is>
      </c>
      <c r="H3867" t="inlineStr"/>
    </row>
    <row r="3868">
      <c r="A3868" t="inlineStr">
        <is>
          <t>ckiq2i</t>
        </is>
      </c>
      <c r="B3868" t="inlineStr">
        <is>
          <t>I need coping advice</t>
        </is>
      </c>
      <c r="C3868" t="inlineStr">
        <is>
          <t>Hi. First time poster here and I’m on mobile. I’ve been recently told (as in like 10 minutes ago) that my grandad has cancer (lung for anyone who’s curious) and I don’t know how to cope. I’ve been crying and I don’t know what to tell people. I haven’t been so close to him but I love him so much and I’m scared. I feel so guilty for not being with him enough.</t>
        </is>
      </c>
      <c r="D3868" t="n">
        <v>11</v>
      </c>
      <c r="E3868" t="n">
        <v>5</v>
      </c>
      <c r="F3868">
        <f>HYPERLINK("https://www.reddit.com/r/cancer/comments/ckiq2i/i_need_coping_advice/")</f>
        <v/>
      </c>
      <c r="G3868" t="inlineStr">
        <is>
          <t>2019-07-31 20:10:24</t>
        </is>
      </c>
      <c r="H3868" t="inlineStr"/>
    </row>
    <row r="3869">
      <c r="A3869" t="inlineStr">
        <is>
          <t>ckj5ww</t>
        </is>
      </c>
      <c r="B3869" t="inlineStr">
        <is>
          <t>False/Positives on a PET? Advice appreciated.</t>
        </is>
      </c>
      <c r="C3869" t="inlineStr">
        <is>
          <t>I have carcinoma of the salivary gland right side localized  and I has 66 gy on my neck and clisplatin. 
I got a PET scan this week and it confirmed a 1.8cm node on my left lung with an SUV of 13.4 
Doctor said this can be cancerous or an infection. 
Basically in the last three months while I’m
aggressively taking care of one issue another node pops up?
Do you have any experiences with false positives on PET scans where infections showed up as legions through to he cancerous?
Thoughts?
Please be honest with me if you think it’s not an infection. I can take it. 
Best,
Asaf</t>
        </is>
      </c>
      <c r="D3869" t="n">
        <v>4</v>
      </c>
      <c r="E3869" t="n">
        <v>7</v>
      </c>
      <c r="F3869">
        <f>HYPERLINK("https://www.reddit.com/r/cancer/comments/ckj5ww/falsepositives_on_a_pet_advice_appreciated/")</f>
        <v/>
      </c>
      <c r="G3869" t="inlineStr">
        <is>
          <t>2019-07-31 20:53:09</t>
        </is>
      </c>
      <c r="H3869" t="inlineStr"/>
    </row>
    <row r="3870">
      <c r="A3870" t="inlineStr">
        <is>
          <t>ckk8ph</t>
        </is>
      </c>
      <c r="B3870" t="inlineStr">
        <is>
          <t>Tips for hair loss?</t>
        </is>
      </c>
      <c r="C3870" t="inlineStr">
        <is>
          <t>Hiya, so I buzzed my hair down on Sunday because I noticed some hair loss. Today it REALLY started to come out. It’s driving me nuts. Any tricks or tips on how to minimize how much it drives me nuts? Or the best way to soothe a very painful scalp? Thank you!</t>
        </is>
      </c>
      <c r="D3870" t="n">
        <v>5</v>
      </c>
      <c r="E3870" t="n">
        <v>10</v>
      </c>
      <c r="F3870">
        <f>HYPERLINK("https://www.reddit.com/r/cancer/comments/ckk8ph/tips_for_hair_loss/")</f>
        <v/>
      </c>
      <c r="G3870" t="inlineStr">
        <is>
          <t>2019-07-31 22:47:25</t>
        </is>
      </c>
      <c r="H3870" t="inlineStr"/>
    </row>
    <row r="3871">
      <c r="A3871" t="inlineStr">
        <is>
          <t>cklcxw</t>
        </is>
      </c>
      <c r="B3871" t="inlineStr">
        <is>
          <t>How do I prepare to lose my Grandad?</t>
        </is>
      </c>
      <c r="C3871" t="inlineStr">
        <is>
          <t>My grandad was diagnosed with prostate cancer in late 2017. Skip forward to today and he’s in the final stages of life. He is sleeping all the time, cannot concentrate on things and is losing the spark in him. We are not sure how long he has left. What can I do to prepare myself for when we lose him?</t>
        </is>
      </c>
      <c r="D3871" t="n">
        <v>7</v>
      </c>
      <c r="E3871" t="n">
        <v>6</v>
      </c>
      <c r="F3871">
        <f>HYPERLINK("https://www.reddit.com/r/cancer/comments/cklcxw/how_do_i_prepare_to_lose_my_grandad/")</f>
        <v/>
      </c>
      <c r="G3871" t="inlineStr">
        <is>
          <t>2019-08-01 00:58:47</t>
        </is>
      </c>
      <c r="H3871" t="inlineStr"/>
    </row>
    <row r="3872">
      <c r="A3872" t="inlineStr">
        <is>
          <t>ckqaa6</t>
        </is>
      </c>
      <c r="B3872" t="inlineStr">
        <is>
          <t>I (27F) need advice on how to take care of a long distance best friend (29M).</t>
        </is>
      </c>
      <c r="C3872" t="inlineStr">
        <is>
          <t>Thank you for taking the time to read this. I apologize if the writing is all over the place.
I’m at a loss on what to do for a close friend of mine. We’ll call him James*. 
James is completely alone. No friends or family. No quality of life... he says he literally lays in bed all day due to the pain. He doesn’t eat. 
James was diagnosed with testicular cancer in 2016. It’s then spread through his body quite a bit. I know he’s had surgery on his spine and brain along with the testicles, to remove the cancer. He is currently doing chemo treatments but says he is on a break now. He’s told me that the cancer isn’t growing anymore but that it’s still there. James is unable to receive pain medications because he’s having trouble renewing his insurance. He receives 1K in social security a month, but he pays for a two bedroom apartment that costs 1.6K. James is completely alone, living in pain every day. He’s ready to give up. I hate being so far away from him and I feel so helpless...
I guess these are my questions: is it possible to find an at home caregiver for him through his insurance? (MAP Texas) Are there any programs that help fund cancer patients in need? Any recommended support groups? Any cancer patient homes where he could be taken care of?
I need help... I want to take care of him. I’ve offered for him to live with me but he doesn’t want to burden me. I have never had someone close to me be effected by cancer so I’m at a loss of where to even start. All I know is that I love my friend dearly and he needs support from me, there is nobody else. I’m afraid he’s going to harm himself due to how depressed he is. Any advice at all would be appreciated.</t>
        </is>
      </c>
      <c r="D3872" t="n">
        <v>7</v>
      </c>
      <c r="E3872" t="n">
        <v>4</v>
      </c>
      <c r="F3872">
        <f>HYPERLINK("https://www.reddit.com/r/cancer/comments/ckqaa6/i_27f_need_advice_on_how_to_take_care_of_a_long/")</f>
        <v/>
      </c>
      <c r="G3872" t="inlineStr">
        <is>
          <t>2019-08-01 09:01:47</t>
        </is>
      </c>
      <c r="H3872" t="inlineStr"/>
    </row>
    <row r="3873">
      <c r="A3873" t="inlineStr">
        <is>
          <t>ckqeyp</t>
        </is>
      </c>
      <c r="B3873" t="inlineStr">
        <is>
          <t>Empowering people with cancer</t>
        </is>
      </c>
      <c r="C3873" t="inlineStr">
        <is>
          <t>A little less than two years ago my father was diagnosed with Stage III cancer in his sinus cavity. His road to recovery was difficult. Multiple surgeries. His chemo was bad. Worst of all was the radiation therapy. Totally burned what was left of his mouth and throat and made it difficult to impossible to eat. 
At the time I was working in software design (user experience) for a healthcare company that specialized in chronic conditions (diabetes, heart conditions, etc). Shortly after his chemo began, I got the opportunity to work for a cancer research software company and jumped at it. One of the pet projects, that was on the backburner at the time, was system to help people with cancer and caregivers understand and manage their disease and help them live better lives - from diagnosis through survivorship. 
20 months later, my dad is doing ok. He’s clear of the cancer and is dealing with the aftermath. It’s still difficult to eat. He wears a prosthesis for his upper palette and cheek, and dentures. None stay in place very well. And he needs to wear a compression vest daily to move the fluids around his body. And emotionally he’s (mostly) upbeat. 
At the cancer research software company we’ve got the greenlight to start on the patient and caregiver solution. Our temporary name for the program is Patient Empowerment. To built something the will be truely usable and valuable to people with cancer, I need to talk to as many people as I can. 
If you’re willing to talk or engage with me about you journey, please send a me direct message. I can better explain what would be involved. It’s usually a short conversation, a survey, or keeping a journal for a couple of days. Whatever you would be comfortable with. And when we build it, you could be some of the first people to use it and (hopefully) benefit from it. 
The more I learn, the better solution we can build for everyone. :)</t>
        </is>
      </c>
      <c r="D3873" t="n">
        <v>10</v>
      </c>
      <c r="E3873" t="n">
        <v>5</v>
      </c>
      <c r="F3873">
        <f>HYPERLINK("https://www.reddit.com/r/cancer/comments/ckqeyp/empowering_people_with_cancer/")</f>
        <v/>
      </c>
      <c r="G3873" t="inlineStr">
        <is>
          <t>2019-08-01 09:11:19</t>
        </is>
      </c>
      <c r="H3873" t="inlineStr"/>
    </row>
    <row r="3874">
      <c r="A3874" t="inlineStr">
        <is>
          <t>ckrlkv</t>
        </is>
      </c>
      <c r="B3874" t="inlineStr">
        <is>
          <t>My wife is dying in front of me and its driving me crazy</t>
        </is>
      </c>
      <c r="C3874" t="inlineStr">
        <is>
          <t>My wife has liver cancer and it all of a sudden exploded laat weekend from lesions to being all through it. Her kidneys are failing because her liver is too damaged. Shes in renal failure and she cant even speak properly or be awake because of her mind being clouded by the ammonia poisoning her brain. The doctor is giving her days and i just... Feel like this is a nightmare. This wasnt supposed to be like this. She only went to the hospital last week for low blood pressure and two days later this.
I dont want her to leave me but i dont want her to suffer. I just want my wife back and i cant even talk to her now. Thats the part that hurts the worst. She has such a beautiful mind and its what made me fall in love with her in the first place and now shes trapped in it. 
Hospice is our only option and giving up just feels so wrong. I wish i could will her better i wish i could take her place i wish shed gotten that fucking mole on her leg looked at sooner. Im not blaming her i just. Want time to reverse. I hate this.</t>
        </is>
      </c>
      <c r="D3874" t="n">
        <v>131</v>
      </c>
      <c r="E3874" t="n">
        <v>48</v>
      </c>
      <c r="F3874">
        <f>HYPERLINK("https://www.reddit.com/r/cancer/comments/ckrlkv/my_wife_is_dying_in_front_of_me_and_its_driving/")</f>
        <v/>
      </c>
      <c r="G3874" t="inlineStr">
        <is>
          <t>2019-08-01 10:39:34</t>
        </is>
      </c>
      <c r="H3874" t="inlineStr"/>
    </row>
    <row r="3875">
      <c r="A3875" t="inlineStr">
        <is>
          <t>cksfi7</t>
        </is>
      </c>
      <c r="B3875" t="inlineStr">
        <is>
          <t>My step son has cancer and is now starting chemotherapy. Any suggestions on how to help him pass the time while receiving treatment?</t>
        </is>
      </c>
      <c r="C3875" t="inlineStr">
        <is>
          <t>My step son was diagnosed with testicular cancer a couple of months ago and has undergone one surgery. They decided to try chemo to kill the cancer before they look on to other options. 
I don’t know him well, his father and I married pretty quick and his son lives in another state with his wife and kid. There hasn’t been much time for bonding, with his father being gone for much of the past 18 months. 
He’s a good kid and I want to do something for him. So I asked him what kind of books he likes and I ordered a couple. I want to put other stuff in the box I’m sending. I just don’t know what I should put in it. 
Any suggestions would be great! I know that he has to sit there for 5-6 hours so I’d like to help him pass the time.</t>
        </is>
      </c>
      <c r="D3875" t="n">
        <v>6</v>
      </c>
      <c r="E3875" t="n">
        <v>12</v>
      </c>
      <c r="F3875">
        <f>HYPERLINK("https://www.reddit.com/r/cancer/comments/cksfi7/my_step_son_has_cancer_and_is_now_starting/")</f>
        <v/>
      </c>
      <c r="G3875" t="inlineStr">
        <is>
          <t>2019-08-01 11:41:23</t>
        </is>
      </c>
      <c r="H3875" t="inlineStr"/>
    </row>
    <row r="3876">
      <c r="A3876" t="inlineStr">
        <is>
          <t>ckxf4e</t>
        </is>
      </c>
      <c r="B3876" t="inlineStr">
        <is>
          <t>How did you know you had lung cancer ?</t>
        </is>
      </c>
      <c r="C3876" t="inlineStr">
        <is>
          <t>Can people please share their diagnoses stories. Thank you! I wish you all well.</t>
        </is>
      </c>
      <c r="D3876" t="n">
        <v>0</v>
      </c>
      <c r="E3876" t="n">
        <v>4</v>
      </c>
      <c r="F3876">
        <f>HYPERLINK("https://www.reddit.com/r/cancer/comments/ckxf4e/how_did_you_know_you_had_lung_cancer/")</f>
        <v/>
      </c>
      <c r="G3876" t="inlineStr">
        <is>
          <t>2019-08-01 18:26:38</t>
        </is>
      </c>
      <c r="H3876" t="inlineStr"/>
    </row>
    <row r="3877">
      <c r="A3877" t="inlineStr">
        <is>
          <t>ckxlhy</t>
        </is>
      </c>
      <c r="B3877" t="inlineStr">
        <is>
          <t>A+AVD for Hodgkin's?</t>
        </is>
      </c>
      <c r="C3877" t="inlineStr">
        <is>
          <t>Hi folks! 
My wife was recently diagnosed with Hodgkin's Lymphoma (NSHL). She's at Stage 4. She has affected nodes in her neck, chest, abdomen and she has affected tissue and tumor in her lungs. We received the official diagnosis with staging on Wednesday. We are currently checking all the boxes to start chemotherapy immediately on Monday. (Port installed, heart echo done, weening our newborn off breast milk and onto formula, iron treatment due to aenemia)
My wife is 32 and 2.5 months postpartum with our third child. Our hematologist believes that she likely developed it during pregnancy. She first noticed swollen lymph nodes in her neck about a week after giving birth. The hematologist also said that for whatever reason HL tends to be more aggressive when it occurs in pregnant women.
Because of how advanced and aggressive it is he wants it to start chemo immediately. He's prescribing 12 cycles of A+AVD instead of traditional ABVD. Obviously we don't have a ton of time for a second opinion on treatment but is there anyone knowledgeable enough to say if this sounds right? We're going to call another hematologist oncologist tomorrow to see if we can be seen maybe tomorrow or Monday to see if we get a better vibe. 
Thanks for any thoughts on this!</t>
        </is>
      </c>
      <c r="D3877" t="n">
        <v>5</v>
      </c>
      <c r="E3877" t="n">
        <v>5</v>
      </c>
      <c r="F3877">
        <f>HYPERLINK("https://www.reddit.com/r/cancer/comments/ckxlhy/aavd_for_hodgkins/")</f>
        <v/>
      </c>
      <c r="G3877" t="inlineStr">
        <is>
          <t>2019-08-01 18:42:55</t>
        </is>
      </c>
      <c r="H3877" t="inlineStr"/>
    </row>
    <row r="3878">
      <c r="A3878" t="inlineStr">
        <is>
          <t>ckz1b0</t>
        </is>
      </c>
      <c r="B3878" t="inlineStr">
        <is>
          <t>Reassessing my future after 3 mo. checkpoint.</t>
        </is>
      </c>
      <c r="C3878" t="inlineStr">
        <is>
          <t>Just finished my sixth infusion and received the progress report from my halfway point CT scan. Over a 50% reduction in all detectable growths and prognosis is good. Feeling really well at the moment, but had a bit of a reality check when doc explained that I am essentially going to be on some form of chemo treatment for the rest of my life. I asked about returning to a normal life, but doc is suggests that life will be adjusting to a 'new normal' and that he would make a case for me as a metastatic cancer patient to be on continuous treatment and long-term permanent disability. It was a sobering moment but I still have a lot of question marks about what my future looks like. It kinda feels like winning the shitty lottery, but I really feel like I should take advantage of anything I can to get ahead from a shit hand. I really have a hard time envisioning returning to work at this point, but I've been in talks with my employer who is telling me that we have a good long term disability insurance plan, and is willing to help me make that transition, but I don't have all the details yet. 
Experiencing a little anxiety about my financial stability and ensuring continuous care for the unforeseeable future. But also feeling some relief that the system does seem to be working at the moment. The prospect of using disability to stay close to home and my family while focusing on the important things doesn't seem like the worst thing in world. I have no idea how long I have but I hope to make the best of it. Starting to think about the possibilities of continuing education or pursuing more passion projects with the time I have. 
Has anybody else made the transition to permanent disability or experienced complications with returning to work after treatment?</t>
        </is>
      </c>
      <c r="D3878" t="n">
        <v>11</v>
      </c>
      <c r="E3878" t="n">
        <v>10</v>
      </c>
      <c r="F3878">
        <f>HYPERLINK("https://www.reddit.com/r/cancer/comments/ckz1b0/reassessing_my_future_after_3_mo_checkpoint/")</f>
        <v/>
      </c>
      <c r="G3878" t="inlineStr">
        <is>
          <t>2019-08-01 21:00:44</t>
        </is>
      </c>
      <c r="H3878" t="inlineStr"/>
    </row>
    <row r="3879">
      <c r="A3879" t="inlineStr">
        <is>
          <t>ckz77a</t>
        </is>
      </c>
      <c r="B3879" t="inlineStr">
        <is>
          <t>Probably won't see my grandmother alive again.</t>
        </is>
      </c>
      <c r="C3879" t="inlineStr">
        <is>
          <t>My grandmother was diagnosed with small cell lung cancer less than a year ago. It has now spread to her brain. They are operating in the morning to remove one of the tumors. We live about as far away from each other as is possible in the US. There is no way I can take time off work to go see her any time soon, or afford a plane ticket. And if she dies, idk if I'll even be able to go to her funeral.</t>
        </is>
      </c>
      <c r="D3879" t="n">
        <v>4</v>
      </c>
      <c r="E3879" t="n">
        <v>0</v>
      </c>
      <c r="F3879">
        <f>HYPERLINK("https://www.reddit.com/r/cancer/comments/ckz77a/probably_wont_see_my_grandmother_alive_again/")</f>
        <v/>
      </c>
      <c r="G3879" t="inlineStr">
        <is>
          <t>2019-08-01 21:16:52</t>
        </is>
      </c>
      <c r="H3879" t="inlineStr"/>
    </row>
    <row r="3880">
      <c r="A3880" t="inlineStr">
        <is>
          <t>cl07w0</t>
        </is>
      </c>
      <c r="B3880" t="inlineStr">
        <is>
          <t>Scared Detached/Angry at everything.</t>
        </is>
      </c>
      <c r="C3880" t="inlineStr">
        <is>
          <t>I can't sleep and haven't slept for days and it's been weeks but I'm experiencing so much anxiety and depression since news that I've had severe abnormal cervical changes. I can't look at family in the face, I only feel pure anger and I'm scared because each day gets harder and I don't know how to cope at all. I just want to be able to sleep and have my head on.</t>
        </is>
      </c>
      <c r="D3880" t="n">
        <v>12</v>
      </c>
      <c r="E3880" t="n">
        <v>20</v>
      </c>
      <c r="F3880">
        <f>HYPERLINK("https://www.reddit.com/r/cancer/comments/cl07w0/scared_detachedangry_at_everything/")</f>
        <v/>
      </c>
      <c r="G3880" t="inlineStr">
        <is>
          <t>2019-08-01 23:06:36</t>
        </is>
      </c>
      <c r="H3880" t="inlineStr"/>
    </row>
    <row r="3881">
      <c r="A3881" t="inlineStr">
        <is>
          <t>cl0ex2</t>
        </is>
      </c>
      <c r="B3881" t="inlineStr">
        <is>
          <t>im really upst at my mom for forcing me not to do my make a wish right away.</t>
        </is>
      </c>
      <c r="C3881" t="inlineStr">
        <is>
          <t>I cry a lot cause I never got to do it.</t>
        </is>
      </c>
      <c r="D3881" t="n">
        <v>1</v>
      </c>
      <c r="E3881" t="n">
        <v>0</v>
      </c>
      <c r="F3881">
        <f>HYPERLINK("https://www.reddit.com/r/cancer/comments/cl0ex2/im_really_upst_at_my_mom_for_forcing_me_not_to_do/")</f>
        <v/>
      </c>
      <c r="G3881" t="inlineStr">
        <is>
          <t>2019-08-01 23:28:54</t>
        </is>
      </c>
      <c r="H3881" t="inlineStr"/>
    </row>
    <row r="3882">
      <c r="A3882" t="inlineStr">
        <is>
          <t>cl3gt6</t>
        </is>
      </c>
      <c r="B3882" t="inlineStr">
        <is>
          <t>TNBC with peritoneal carcinomatosis</t>
        </is>
      </c>
      <c r="C3882" t="inlineStr">
        <is>
          <t>Hey, My mom was diagnosed with metastatic breast cancer to bones in 2015... it was treatable with herceptin, xgeava and zoladex until she decided that it was enough already and she stopped the treatment 3 months ago.
Earlier this month, she was hospitalized, diagnosis came back 2 weeks later with Triple negative breast cancer and peritoneum carcinomatosis; induced malignant ascites and high tumor markers... Dr's a lil bit worried she might not be responsive to chemotherapy. 
Her current chemotherapy regime is taxol + gemzar.
I have some questions... 
Is it possible for cancer to be treatable with target chemotherapy (herceptin) and then kind of mutate to be TNBC? 
Is it true that in case of TNBC that treatment options arent many and  hefty? 
Is peritoneum carcinomatosis a death sentence? I've read it has a high mortality rate, and there's little that palliative chemotherapy can do.. 
Note that she has taken two sessions of chemotherapy till now.
I'm not sentimental that much, feel free to put it down as honest as you can.</t>
        </is>
      </c>
      <c r="D3882" t="n">
        <v>9</v>
      </c>
      <c r="E3882" t="n">
        <v>2</v>
      </c>
      <c r="F3882">
        <f>HYPERLINK("https://www.reddit.com/r/cancer/comments/cl3gt6/tnbc_with_peritoneal_carcinomatosis/")</f>
        <v/>
      </c>
      <c r="G3882" t="inlineStr">
        <is>
          <t>2019-08-02 05:29:38</t>
        </is>
      </c>
      <c r="H3882" t="inlineStr"/>
    </row>
    <row r="3883">
      <c r="A3883" t="inlineStr">
        <is>
          <t>cl473o</t>
        </is>
      </c>
      <c r="B3883" t="inlineStr">
        <is>
          <t>39/F, I know I have cancer but I still have a choice of a guy right</t>
        </is>
      </c>
      <c r="C3883" t="inlineStr">
        <is>
          <t>I want to break up with my bf before I got diagnosed but then when I knew. It turn my world upside down few months ago. Now I am on my chemo treatment, we are long distance anyway. I told him I don’t want to see anyone but actually I don’t want him to come to see me anymore and we only talk 5 mins everyday on FaceTime. Actually I don’t want to been with him already before I got diagnosed. Should I tell him now or later when I finished chemo? I tried to tell him and he is the one who don’t want to be an asshole. Unless I am being extremely rude. What should I do? I know I have cancer but I still have a choice of a guy right?</t>
        </is>
      </c>
      <c r="D3883" t="n">
        <v>38</v>
      </c>
      <c r="E3883" t="n">
        <v>13</v>
      </c>
      <c r="F3883">
        <f>HYPERLINK("https://www.reddit.com/r/cancer/comments/cl473o/39f_i_know_i_have_cancer_but_i_still_have_a/")</f>
        <v/>
      </c>
      <c r="G3883" t="inlineStr">
        <is>
          <t>2019-08-02 06:35:27</t>
        </is>
      </c>
      <c r="H3883" t="inlineStr"/>
    </row>
    <row r="3884">
      <c r="A3884" t="inlineStr">
        <is>
          <t>cl4fmy</t>
        </is>
      </c>
      <c r="B3884" t="inlineStr">
        <is>
          <t>Increase in resting heart rate during tx normal?</t>
        </is>
      </c>
      <c r="C3884" t="inlineStr">
        <is>
          <t>Just started cisplatin and rad yesterday.  My heart rate while resting is in the high 80s and before it was always in the high 60s.   For this who have gone through this, is this to be expected?  It’s not “racing” or “anxiety”. I’m just chilling in a recliner trying to nap.</t>
        </is>
      </c>
      <c r="D3884" t="n">
        <v>3</v>
      </c>
      <c r="E3884" t="n">
        <v>6</v>
      </c>
      <c r="F3884">
        <f>HYPERLINK("https://www.reddit.com/r/cancer/comments/cl4fmy/increase_in_resting_heart_rate_during_tx_normal/")</f>
        <v/>
      </c>
      <c r="G3884" t="inlineStr">
        <is>
          <t>2019-08-02 06:55:35</t>
        </is>
      </c>
      <c r="H3884" t="inlineStr"/>
    </row>
    <row r="3885">
      <c r="A3885" t="inlineStr">
        <is>
          <t>cl4o44</t>
        </is>
      </c>
      <c r="B3885" t="inlineStr">
        <is>
          <t>I’m about to be a cancer survivor at 21 years old but I don’t want to live anymore..</t>
        </is>
      </c>
      <c r="C3885" t="inlineStr">
        <is>
          <t>Ok so I know the title is a little bit harsh but hear me out.. 
i really hate to be weak, when they rushed me to the hospital and started taking care of me I was so mad.. I didn’t want my family &amp;amp; friends to take care of me like I was some kind of weak kid that will eventually die. 
I’ve never been in a hospital nor use any kind of legal drug like Tylenol. I was against the whole « drug &amp;amp; doctors to feel better » so when they started injecting me with morphine, Ativan, Dilaudid and so many more I panicked and developed PTSD.
I’ve also been « pierced » to the chest (big needle that goes trough your chest muscle &amp;amp; lungs. Without any drug. Blood was everywhere.
Also put a Port4 in the chest (minor surgery) 
The whole thing just traumatize me and now I’m scared of everything. 
At first, I was scared.. then I realize that I have just no will to live anymore and I just didn’t care.. 
At this point they gave me a psychologist and I was really looking forward to this. She was great and got me out of the whole « just be over with everything » for a while.
Then we started the chemo and everything turns to hell.. my chemo is a super heavy one because I’m young and I can handle it.. 
It’s a 5 days per 2 week chemo, so I’m getting the formula injected for about 96 hours straight just after they give me the formula to lower my body ability to fight the chemo. Because my body is young, it try to fight everything they put in my body and it does it well so they fucking drug me the fuck up before we start so I’m always high ASF for the first day, then all the side effects kicks in with so much power it can fight goku. 
At first I was like, ok it’s super hard and unliveable but I’ll stick to it and survive. 
NOW, I can’t feel my fucking fingers. My digestive tract is completely, utterly destroyed like I can’t even NOT EAT without having pain and if I eat, I have pain too
I have lost 25 LBS of pure muscle, DO YOU KNOW HOW HARD I WORKED? 
My sex life have completely changed and I admit, after the treatment, impossible to get an erection for 1-2 days and for a young guy, it hit you right in the feels. So I can have sex, 5-7 times between my treatment but it sucks since I’m so not fit anymore and my body is far from sexy. 
Just to name a few more things, so much headache, ulcers and some « one-time » side effects
I was very lucky, had a great job and make enough money to buy an expensive car with a nice apartment. I had to burn all my money just to keep what I build until I moved in with my parents. It’s super hard to save, I need to restart everything. 
So now I’m about to be in remission and I just don’t feel it anymore.. I’ve been told that all side effects could be for life, but most will disappear after a while.. 
My PTSD will be treated but nothing seems to work because I’m shaking all the time.. 
i need to restart the gym when I’ll have energy.. but when will I have energy? I was benching 2 plates each side.. now I can’t even bench 10lbs, it’s pathetic. I’m not a douch, but I worked so hard to get there, it was the most fit I’ve been in my life. I’ve started at 10lbs, end at two plates and now you tell me I need to redo the whole year.. 
gotta restart to save money, won’t be able to buy a house for a few years again.. 
I have scars, that I kind of like.. the only positive thing.
I’ve lost everything I build for myself, the whole process was the most painful thing I’ve ever live, I’ll never be like I was before and maybe the side effects will follow me for life.. 
I have absolutely no motivation to live, I won’t kill myself because i don’t think I’m that depressed but I know that if the chemo wouldn’t have worked, I wouldn’t have minded.. 
i have no reason to get out or to just get out of bed now.. 
I feel like I’m now super useless and basically I’m not motivated at all to do something about it. 
TDLR: Survived cancer &amp;amp; chemo but the whole process took my will to live because i lost everything and got so much pain in the process.</t>
        </is>
      </c>
      <c r="D3885" t="n">
        <v>18</v>
      </c>
      <c r="E3885" t="n">
        <v>10</v>
      </c>
      <c r="F3885">
        <f>HYPERLINK("https://www.reddit.com/r/cancer/comments/cl4o44/im_about_to_be_a_cancer_survivor_at_21_years_old/")</f>
        <v/>
      </c>
      <c r="G3885" t="inlineStr">
        <is>
          <t>2019-08-02 07:14:41</t>
        </is>
      </c>
      <c r="H3885" t="inlineStr"/>
    </row>
    <row r="3886">
      <c r="A3886" t="inlineStr">
        <is>
          <t>cl67f9</t>
        </is>
      </c>
      <c r="B3886" t="inlineStr">
        <is>
          <t>How to Support my Aunt Going through IV Chemo then Radiation for Breast Cancer</t>
        </is>
      </c>
      <c r="C3886" t="inlineStr">
        <is>
          <t>Hello,
First of all, I am new to the Reddit community, so I apologize if this post is in the wrong place. The only reason I joined Reddit is because I am absolutely desperate for advice on how to support my Aunt who has breast cancer. I don't know anyone who has ever had cancer before and undergone IV Chemo treatment followed by radiation. I talked to my Aunt last night after her first IV Chemo treatment and it sounds like she is going through absolute hell. I don't live in the same state as her or else I would try and visit her in person to help with cleaning, cooking, etc. However, living so far from her I feel helpless. 
Does anyone have any suggestions for what I can do to be helpful from far away? I tried googling and an idea I saw was to mail her hand written notes that she can open up every day for the next 3 months of treatment to give her some inspiration and love. I have no idea if this would be helpful or a burden, so I am just trying to get some honest feedback and ideas from people who have gone through this before either as a patient or a family member.
Thank you in advance for your consideration and help.</t>
        </is>
      </c>
      <c r="D3886" t="n">
        <v>1</v>
      </c>
      <c r="E3886" t="n">
        <v>0</v>
      </c>
      <c r="F3886">
        <f>HYPERLINK("https://www.reddit.com/r/cancer/comments/cl67f9/how_to_support_my_aunt_going_through_iv_chemo/")</f>
        <v/>
      </c>
      <c r="G3886" t="inlineStr">
        <is>
          <t>2019-08-02 09:15:31</t>
        </is>
      </c>
      <c r="H3886" t="inlineStr"/>
    </row>
    <row r="3887">
      <c r="A3887" t="inlineStr">
        <is>
          <t>cl6fng</t>
        </is>
      </c>
      <c r="B3887" t="inlineStr">
        <is>
          <t>Mom was in remission. 6 month scan had some concerning results.</t>
        </is>
      </c>
      <c r="C3887" t="inlineStr">
        <is>
          <t>Mom had stage 4 colon with bone mets. Looks like she’s got some concerning points on her back and her GI tract they said. 
I’m just mad. My wife is 8 months pregnant, we just lost our dog this week, and we were at the ER for almost 24 hours this week.
I’m exhausted and feel numb. I just don’t know what to do and don’t know what happens from here. 
I was so hopeful and now I feel crushed. I guess we gotta go for round 2. 
I just also am trying to not put undue stress on my wife. 
Sorry just needed to vent</t>
        </is>
      </c>
      <c r="D3887" t="n">
        <v>11</v>
      </c>
      <c r="E3887" t="n">
        <v>8</v>
      </c>
      <c r="F3887">
        <f>HYPERLINK("https://www.reddit.com/r/cancer/comments/cl6fng/mom_was_in_remission_6_month_scan_had_some/")</f>
        <v/>
      </c>
      <c r="G3887" t="inlineStr">
        <is>
          <t>2019-08-02 09:33:24</t>
        </is>
      </c>
      <c r="H3887" t="inlineStr"/>
    </row>
    <row r="3888">
      <c r="A3888" t="inlineStr">
        <is>
          <t>cl6mkp</t>
        </is>
      </c>
      <c r="B3888" t="inlineStr">
        <is>
          <t>Is it normal to think about my cancer daily?</t>
        </is>
      </c>
      <c r="C3888" t="inlineStr">
        <is>
          <t>So almost 2 years ago, I was diagnosed with Hodgkin’s lymphoma. Went through ABVD chemotherapy and was declared in remission in March 2018.
For a while after my cancer, I struggled a lot emotionally and experienced so many different and confusing emotions. It was a traumatic experience for sure. It’s gotten easier since then, but I find myself thinking about it daily still. Sometimes I just think stuff like “huh, it’s weird I had cancer” with very little other emotion. Other times, I dwell on it a lot or feel a ton of anxiety about the future or end up Googling and researching stuff about cancer because I can’t get it out of my mind. It comes up a lot in conversation with others too. 
I thought I was coping better but now I’m not so sure. Is it normal that it’s on my mind all the time or is this a sign I need extra help to deal with it? I’m kind of sick of thinking about it and reliving it in my head. I still feel like the whole experience wasn’t really real.</t>
        </is>
      </c>
      <c r="D3888" t="n">
        <v>7</v>
      </c>
      <c r="E3888" t="n">
        <v>6</v>
      </c>
      <c r="F3888">
        <f>HYPERLINK("https://www.reddit.com/r/cancer/comments/cl6mkp/is_it_normal_to_think_about_my_cancer_daily/")</f>
        <v/>
      </c>
      <c r="G3888" t="inlineStr">
        <is>
          <t>2019-08-02 09:48:09</t>
        </is>
      </c>
      <c r="H3888" t="inlineStr"/>
    </row>
    <row r="3889">
      <c r="A3889" t="inlineStr">
        <is>
          <t>cl717h</t>
        </is>
      </c>
      <c r="B3889" t="inlineStr">
        <is>
          <t>Mets to Lung, advice on treatment? Thank you</t>
        </is>
      </c>
      <c r="C3889" t="inlineStr">
        <is>
          <t>Hi all,
In March I was diagnosed with salivary gland cancer, after 66gy and 240ml of cisplatin that area is clean of cancer however after a recent PET i have 2 Pleural legions in my lungs.
My doctor is calling them a oligometastatises as they are localized and can be resected and treated with surgery, radiation, maybe immunotherapy and HER2 therapy if I am lucky.
Any with experience with pleural legions? Any one can give me any advice? I am going through a terribly difficult time. 
&amp;amp;#x200B;
Thank you,</t>
        </is>
      </c>
      <c r="D3889" t="n">
        <v>7</v>
      </c>
      <c r="E3889" t="n">
        <v>1</v>
      </c>
      <c r="F3889">
        <f>HYPERLINK("https://www.reddit.com/r/cancer/comments/cl717h/mets_to_lung_advice_on_treatment_thank_you/")</f>
        <v/>
      </c>
      <c r="G3889" t="inlineStr">
        <is>
          <t>2019-08-02 10:19:11</t>
        </is>
      </c>
      <c r="H3889" t="inlineStr"/>
    </row>
    <row r="3890">
      <c r="A3890" t="inlineStr">
        <is>
          <t>cl73gk</t>
        </is>
      </c>
      <c r="B3890" t="inlineStr">
        <is>
          <t>Experiences with elevated liver enzymes</t>
        </is>
      </c>
      <c r="C3890" t="inlineStr">
        <is>
          <t>I know these sort of posts might not be productive but I am curious to find out experiences people have in my situation.
I recently had routine blood work which showed elevated AST and ALT enzymes.  About 6 months ago I started taking a statin for cholesterol and my doctor thinks that might be what has caused the spike in the enzymes.
However, I read studies that statins causing enzyme increase is not that common.  Has anyone else had this happen?  
It got me researching more and most of the other explanations don’t fit so my mind leads me to really bad conditions like pancreatic cancer.  Other than enzyme levels being high, what other symptoms are common with pancreatic cancer?</t>
        </is>
      </c>
      <c r="D3890" t="n">
        <v>1</v>
      </c>
      <c r="E3890" t="n">
        <v>0</v>
      </c>
      <c r="F3890">
        <f>HYPERLINK("https://www.reddit.com/r/cancer/comments/cl73gk/experiences_with_elevated_liver_enzymes/")</f>
        <v/>
      </c>
      <c r="G3890" t="inlineStr">
        <is>
          <t>2019-08-02 10:23:58</t>
        </is>
      </c>
      <c r="H3890" t="inlineStr"/>
    </row>
    <row r="3891">
      <c r="A3891" t="inlineStr">
        <is>
          <t>cl97d8</t>
        </is>
      </c>
      <c r="B3891" t="inlineStr">
        <is>
          <t>Husband of cancer fighter/survivor</t>
        </is>
      </c>
      <c r="C3891" t="inlineStr">
        <is>
          <t>Hi,
My wife was diagnosed with breast cancer back in Feb of 2017.  In March of that year she had a lump removed and 2 lymph nodes.  6 chemo treatments and 20 daily radiation blasts later, hormone treatment pills to starve whatever may be left to death over the next 5 years.
All things considered she's doing quite well (I'm 48, she's 47 BTW).  She's been a trooper all the way through it and I've tried my best to be as supportive as I can.  Never missed an appointment and always stayed at home during the worst of the treatments.  Needless to say, we are both glad to have the worst behind us and to let everyone here know that it can be beaten.  The biggest take away is that this is something that no one should ever have to go through alone.  There have been many times I've held the hands of strangers in a waiting room while they quietly wept.  That is some thing no one ever tells you about.
Currently she is dealing with the side effects of the treatments.  Fatigue, hot flashes (FML the hot flashes), and pain in the breast where the radiation was applied.  This pain is the issue right now.  The doctors have prescribed everything from steroids to pain killers (oxy, which she does not like), and other types of pain meds.  It's not a crippling pain but more like a constant nagging pain that just makes life in general harder.  We are being told that it's a result of tissue damage to the breast area from the radiation where the tissue that is soft and malleable is made more dense and hard (like a water logged sponge?) creating pain in the general area and also in the collar bone muscle area just above the breast.  Sometimes it can be reddish in color, even look like a bruise.  There is no infection and she has had a run of antibiotics just in case.
We were told early on and during treatment that she would never feel the same as before she got sick.  Not quite make it to 100% but try as hard as you can to get there and we have.  The reason for me wanting to write this post is about her going back to work.  She had a nice job that she enjoyed before she got sick.  Her work was very supportive and caring.  Flowers, invites to company functions, parties, etc.  She would check in from time to time and they would call her to see how she's doing and when, maybe she would be coming back.  Here in Canada, you get 15 weeks of EI if you get cancer.  If you leave, quit, or get laid off you get 52 weeks, go figure right?  Anyway, it was never an issue.  Her doctor helped her with the paper work for CPP (Canada Pension) and she has been receiving it since her EI was done.  It's only about 1/3 of what should would be making working but still, it's fine.  I retired from the military back in May and took a full time job with a private company making pretty much the same money and getting a pension at the same time, so really, no issue.
Today she got an email saying her employment would be terminated and she would be getting her vacation pay.  Still wishing her the best and wanting her to come in and see them for a type of "post interview".  This is where it got a little weird and I'm not sure how to approach it without making it worse. I was hoping to get some feedback or personal experiences about what others in this situation have done or experienced.
She seemed disappointed and a little upset.  At this stage of the game, she had no intentions of going back quite yet and even flirted with the idea of looking for other work when she was ready.  It will be 2 years this coming March that she went off work, so am I an ass by thinking that they are more than in right to do so? She visits our family doctor about every 6 weeks for a check up to see if things are improving and supplies the documentation that is required for CPP.  It seems that she is waiting for validation from the doctors to say it's ok to got back into the work force, even though (I think, but it's me not her.  Again not trying to be an asshole here) if she were to say "I think I want to go back to work now" they would give her the thumbs up.  
I'm not the one in pain, with the fatigue, and just fought a battle with cancer.  Is it right for me to think that she should say, "hey, this is life now, deal with the battle scars and push on"?  I don't know, I really don't.  I've never pushed, never made it an issue, or lectured, or any of that bullshit.  What I am seeing is maybe fear?  Maybe a little scared to head back out into "the world"?  Like ease back, little by little, test the water, stuff like that.  I just feel like if she were to get out there, the rest would fall into place you know?  Anyone else out there been in this spot?  I'd like to hear your story or experiences.</t>
        </is>
      </c>
      <c r="D3891" t="n">
        <v>10</v>
      </c>
      <c r="E3891" t="n">
        <v>9</v>
      </c>
      <c r="F3891">
        <f>HYPERLINK("https://www.reddit.com/r/cancer/comments/cl97d8/husband_of_cancer_fightersurvivor/")</f>
        <v/>
      </c>
      <c r="G3891" t="inlineStr">
        <is>
          <t>2019-08-02 13:08:02</t>
        </is>
      </c>
      <c r="H3891" t="inlineStr"/>
    </row>
    <row r="3892">
      <c r="A3892" t="inlineStr">
        <is>
          <t>clb2uq</t>
        </is>
      </c>
      <c r="B3892" t="inlineStr">
        <is>
          <t>For My Blood Donors Out There, Do You Believe?</t>
        </is>
      </c>
      <c r="C3892" t="inlineStr">
        <is>
          <t>&amp;amp;#x200B;
![img](ikmwut6l44e31)</t>
        </is>
      </c>
      <c r="D3892" t="n">
        <v>0</v>
      </c>
      <c r="E3892" t="n">
        <v>0</v>
      </c>
      <c r="F3892">
        <f>HYPERLINK("https://www.reddit.com/r/cancer/comments/clb2uq/for_my_blood_donors_out_there_do_you_believe/")</f>
        <v/>
      </c>
      <c r="G3892" t="inlineStr">
        <is>
          <t>2019-08-02 15:41:17</t>
        </is>
      </c>
      <c r="H3892" t="inlineStr"/>
    </row>
    <row r="3893">
      <c r="A3893" t="inlineStr">
        <is>
          <t>clb6k0</t>
        </is>
      </c>
      <c r="B3893" t="inlineStr">
        <is>
          <t>Update: Val is in a better place.</t>
        </is>
      </c>
      <c r="C3893" t="inlineStr">
        <is>
          <t>I posted here recently asking for everyone to please say a prayer for my terminally ill girlfriend Val. 
I want to inform all of you who extended their prayers that despite our efforts, Val has passed on. 
I appreciate all of you who took the time to upvote and comment on my previous post. I wish nothing but happiness and good health to everyone you love.</t>
        </is>
      </c>
      <c r="D3893" t="n">
        <v>100</v>
      </c>
      <c r="E3893" t="n">
        <v>18</v>
      </c>
      <c r="F3893">
        <f>HYPERLINK("https://www.reddit.com/r/cancer/comments/clb6k0/update_val_is_in_a_better_place/")</f>
        <v/>
      </c>
      <c r="G3893" t="inlineStr">
        <is>
          <t>2019-08-02 15:50:32</t>
        </is>
      </c>
      <c r="H3893" t="inlineStr"/>
    </row>
    <row r="3894">
      <c r="A3894" t="inlineStr">
        <is>
          <t>clbxk0</t>
        </is>
      </c>
      <c r="B3894" t="inlineStr">
        <is>
          <t>Cancer support</t>
        </is>
      </c>
      <c r="C3894" t="inlineStr">
        <is>
          <t>Just found out my dad who is 62 has cancer in his lungs in lymph nodes. He has had a pet scan and this is what the doctors said. No biopsy yet. I’m honestly just looking for support. My dads my everything and I’m a very sensitive person. I’m wondering how to stay strong for him during this difficult time. Any tips would help.</t>
        </is>
      </c>
      <c r="D3894" t="n">
        <v>3</v>
      </c>
      <c r="E3894" t="n">
        <v>2</v>
      </c>
      <c r="F3894">
        <f>HYPERLINK("https://www.reddit.com/r/cancer/comments/clbxk0/cancer_support/")</f>
        <v/>
      </c>
      <c r="G3894" t="inlineStr">
        <is>
          <t>2019-08-02 16:58:30</t>
        </is>
      </c>
      <c r="H3894" t="inlineStr"/>
    </row>
    <row r="3895">
      <c r="A3895" t="inlineStr">
        <is>
          <t>clc6u0</t>
        </is>
      </c>
      <c r="B3895" t="inlineStr">
        <is>
          <t>Any Advice for Someone Just Diagnosed?</t>
        </is>
      </c>
      <c r="C3895" t="inlineStr">
        <is>
          <t>So, I was just diagnosed this week and I'm totally lost. I'm seeing a doctor next week to determine treatment, but I really want to start fighting it any way I can. Where do I even begin? What should I focus on with personal health? Anything I should ask the doctor? Any personal advice on how to face the 'C Word? Any success stories?</t>
        </is>
      </c>
      <c r="D3895" t="n">
        <v>5</v>
      </c>
      <c r="E3895" t="n">
        <v>7</v>
      </c>
      <c r="F3895">
        <f>HYPERLINK("https://www.reddit.com/r/cancer/comments/clc6u0/any_advice_for_someone_just_diagnosed/")</f>
        <v/>
      </c>
      <c r="G3895" t="inlineStr">
        <is>
          <t>2019-08-02 17:22:09</t>
        </is>
      </c>
      <c r="H3895" t="inlineStr"/>
    </row>
    <row r="3896">
      <c r="A3896" t="inlineStr">
        <is>
          <t>clclfh</t>
        </is>
      </c>
      <c r="B3896" t="inlineStr">
        <is>
          <t>May I ask a radiation therapy here?</t>
        </is>
      </c>
      <c r="C3896" t="inlineStr">
        <is>
          <t>If not please direct me because I have a question about my skin having a burn feeling and peeling like a burn.  
My question is what type of carrier oil is nice and sooting to use on the abdomin area?  Thanks</t>
        </is>
      </c>
      <c r="D3896" t="n">
        <v>8</v>
      </c>
      <c r="E3896" t="n">
        <v>13</v>
      </c>
      <c r="F3896">
        <f>HYPERLINK("https://www.reddit.com/r/cancer/comments/clclfh/may_i_ask_a_radiation_therapy_here/")</f>
        <v/>
      </c>
      <c r="G3896" t="inlineStr">
        <is>
          <t>2019-08-02 18:01:23</t>
        </is>
      </c>
      <c r="H3896" t="inlineStr"/>
    </row>
    <row r="3897">
      <c r="A3897" t="inlineStr">
        <is>
          <t>cld3fc</t>
        </is>
      </c>
      <c r="B3897" t="inlineStr">
        <is>
          <t>Freaking out</t>
        </is>
      </c>
      <c r="C3897" t="inlineStr">
        <is>
          <t>I’ve never posted, but I need to get this out of my head. Sorry it’s a long jumble. I’m 34f, used to smoke, but I quit 2 years ago. 
This all came out of the blue, and I don’t feel sick at all, but I think I have lung cancer. It started with a drug test and physical I had to take before getting hired for a new job. I went, passed the drug test, started the job, and went on with my life. And then a week later the medical company called to say they saw something that might be “funny” on my chest X-ray. He didn’t know what it was, told me it was probably nothing, but they were forwarding the results to my family doctor, and I should probably get a chest CT to get a more clear picture.  I got a referral, it was a couple months down the road, my doctor never talked to me about anything, their office just called me with the appointment date. I figured it must be nothing, and stopped worrying. 
Now last week was the CT scan. Besides me wandering around the hospital carrying my bra in my hand, things got real. Suddenly I’m signing consent forms and getting an IV of glowing dye and laying in a scary machine trying to follow the robot voice directions of when to hold my breath and when I can breathe. Then it was over and the tech told me my doctor would get results in a couple days. 
Monday morning I got a call from my doctors office to come in for a follow up on Wednesday. Ok fine. 
Then I got home from work Monday and there was a letter from Thoracic surgery at the hospital saying I have an appointment booked next week for a pre-surgery consultation. And from then on I’ve been losing my mind. 
I saw my doctor. She said there are nodules, in a few places on my lungs, one is 1.5cm, and there’s something off with my lymphs or glands. Pulmonary nodules and hilar adenopathy (I made her write it down so I could google it).  She didn’t want to say what it was, because she didn’t know, but either pulmonary malignancy, or some weird infection. 
So now Ive driven myself more crazy by googling everything about lung cancer, and I’m half convinced I’m going to die, and half in denial thinking this is all a mistake. 
5 days until I meet the surgeon. Someone tell me it’s gonna be ok.</t>
        </is>
      </c>
      <c r="D3897" t="n">
        <v>1</v>
      </c>
      <c r="E3897" t="n">
        <v>0</v>
      </c>
      <c r="F3897">
        <f>HYPERLINK("https://www.reddit.com/r/cancer/comments/cld3fc/freaking_out/")</f>
        <v/>
      </c>
      <c r="G3897" t="inlineStr">
        <is>
          <t>2019-08-02 18:49:24</t>
        </is>
      </c>
      <c r="H3897" t="inlineStr"/>
    </row>
    <row r="3898">
      <c r="A3898" t="inlineStr">
        <is>
          <t>clejg0</t>
        </is>
      </c>
      <c r="B3898" t="inlineStr">
        <is>
          <t>How can I (22F) support my friend(22M) of 19 years, that has been diagnosed with cancer?</t>
        </is>
      </c>
      <c r="C3898" t="inlineStr">
        <is>
          <t>Title says it all. He has had surgery this week and it’s looking like chemo is going to be needed. I have never lost or even met anyone with cancer before and I want to support him. I figured this was a good place to ask this, but if there’s a more appropriate sub please feel free to redirect me. TIA</t>
        </is>
      </c>
      <c r="D3898" t="n">
        <v>5</v>
      </c>
      <c r="E3898" t="n">
        <v>6</v>
      </c>
      <c r="F3898">
        <f>HYPERLINK("https://www.reddit.com/r/cancer/comments/clejg0/how_can_i_22f_support_my_friend22m_of_19_years/")</f>
        <v/>
      </c>
      <c r="G3898" t="inlineStr">
        <is>
          <t>2019-08-02 21:17:19</t>
        </is>
      </c>
      <c r="H3898" t="inlineStr"/>
    </row>
    <row r="3899">
      <c r="A3899" t="inlineStr">
        <is>
          <t>cleyn3</t>
        </is>
      </c>
      <c r="B3899" t="inlineStr">
        <is>
          <t>Interview with a lung cancer patient for a school project</t>
        </is>
      </c>
      <c r="C3899" t="inlineStr">
        <is>
          <t>Hi there! My final term project for school includes an interview with a lung cancer patient/survivor. Please feel free to message me  to answer a few questions and such (what were your daily struggles, how long you were in treatment, etc.) 
I would greatly appreciate it :))
Thank you.</t>
        </is>
      </c>
      <c r="D3899" t="n">
        <v>1</v>
      </c>
      <c r="E3899" t="n">
        <v>0</v>
      </c>
      <c r="F3899">
        <f>HYPERLINK("https://www.reddit.com/r/cancer/comments/cleyn3/interview_with_a_lung_cancer_patient_for_a_school/")</f>
        <v/>
      </c>
      <c r="G3899" t="inlineStr">
        <is>
          <t>2019-08-02 22:04:46</t>
        </is>
      </c>
      <c r="H3899" t="inlineStr"/>
    </row>
    <row r="3900">
      <c r="A3900" t="inlineStr">
        <is>
          <t>clfrqk</t>
        </is>
      </c>
      <c r="B3900" t="inlineStr">
        <is>
          <t>My mom needs help</t>
        </is>
      </c>
      <c r="C3900" t="inlineStr">
        <is>
          <t>My mom felt a lump on her chest and she thinks it’s breast cancer. She went to the doctor and the doctor said she felt something, so shes sending her to get a diagnostics at the end of the month. I don’t want the cancer to spread. Someone please help me and tell me what to do. I don’t want my mom to die. She means the world to me and without her I don’t know what I would do. We aren’t rich at all. We live off paycheck to paycheck. How much would it cost if we had Medicaid? I need help please don’t ignore this. Is there any place in California that can scan her for low cost as soon as possible?</t>
        </is>
      </c>
      <c r="D3900" t="n">
        <v>8</v>
      </c>
      <c r="E3900" t="n">
        <v>9</v>
      </c>
      <c r="F3900">
        <f>HYPERLINK("https://www.reddit.com/r/cancer/comments/clfrqk/my_mom_needs_help/")</f>
        <v/>
      </c>
      <c r="G3900" t="inlineStr">
        <is>
          <t>2019-08-02 23:44:36</t>
        </is>
      </c>
      <c r="H3900" t="inlineStr"/>
    </row>
    <row r="3901">
      <c r="A3901" t="inlineStr">
        <is>
          <t>clgibc</t>
        </is>
      </c>
      <c r="B3901" t="inlineStr">
        <is>
          <t>Im trying my best to help</t>
        </is>
      </c>
      <c r="C3901" t="inlineStr">
        <is>
          <t>Last summer my father was diagnosed with small cell lung cancer, which had spread to liver, and this last christmas it had also entered the brain. 
The doctors from my country have “given him up” and gave him until the start of this summer. 
My father is not ready to leave this world and has been trying everything and done alot of research. And up until now it seems that it had been working, atleast giving him more time. 
He went to budapest and it seemed that the help he got gave him strength, and all of us hopes. 
But 3 weeks ago his mother passed away, she was 101 so nobody was surprised and she passed sleeping with family surrounding her. But ofc, its bever easy to loose your mother, and the subject of death i must imagine my father thinks alot about.  I dont know if this affected his state of health, stress and grief is powerfull.
My brother was speaking with him on the phone last week and understood something was off with him when he had gone back to Budapest after the funeral. So he went down. What met was a much weaker father than we could imagine, as soon as he got down he just ordered me a ticket. 
He is in so much pain now, allmost constant hiccups, barely any appetite. 
He can also be very confused, suddenly speaking english to us and making sentences its hard to understand. 
My brother had to go back home for some days, but will be back soon, so now im here with him trying to get him to eat, get him to his appointments and administer drugs, vitamins and pain killers. 
When my brother gets back we have to try and get him home i think, before its too late or before he gets to weak to travel.
My cheapass father ofc didnt prepare with travel insurance, so thats creating extra stress for us to deal with without expecting help. 
Im so scared.  Im coping, but i dont know my limits yet. 
Before when i saw my father he was a big man with a big belly. 
He is very smart businessman, consultant, loving and kind to all, and great humour
Right now when i look at him and listen to him, he can be very confused, angry, stressed.(which is very understandable)
And hes figure allmost reminds of a holocaust survivor, all the muscles gone. Hes belly is big, since the biggest tumour is in his liver. 
Hope i dont offend in any way writing this, i just need to process these thoughts. 
Im doing my best to support him and remember to get him all he needs. 
But i really hope we can get him home soon.  We must.</t>
        </is>
      </c>
      <c r="D3901" t="n">
        <v>1</v>
      </c>
      <c r="E3901" t="n">
        <v>0</v>
      </c>
      <c r="F3901">
        <f>HYPERLINK("https://www.reddit.com/r/cancer/comments/clgibc/im_trying_my_best_to_help/")</f>
        <v/>
      </c>
      <c r="G3901" t="inlineStr">
        <is>
          <t>2019-08-03 01:27:02</t>
        </is>
      </c>
      <c r="H3901" t="inlineStr"/>
    </row>
    <row r="3902">
      <c r="A3902" t="inlineStr">
        <is>
          <t>clhf1a</t>
        </is>
      </c>
      <c r="B3902" t="inlineStr">
        <is>
          <t>My dad feels "not at home"</t>
        </is>
      </c>
      <c r="C3902" t="inlineStr">
        <is>
          <t>Hello fellow fighters. My dad is 2 months after being diagnosed with lower abdomen cancer, we still don't know specifically what cancer is it as they say it's extremely hard to say since the cancer cells look alot like normal cells.
He had his chemo 3 weeks ago and he will take the second one tomorrow, first one went well and he was feeling better just 3 days after, gained 3kg and the open wound (from the surgery) which was stitched and then opened again as the cancer grew, after the chemo we noticed it started to loose size fast. He is using THC oil too.
In the last week he said that suddenly he feels lost, or as he said it "not at home". He said that he forgets what he was talking about while talking to someone, has trouble reading etc, and after some time it goes away and he feels normal again. What I've noticed, is that once he takes the thc oil, he goes back to normal soon after (he takes it rectal using plugs made of 0.4mg thc oil,and 25mg cocoa butter mixed). 
What can cause that? His blood tests were very good every week. He feels better day by day, but this happens from time to time and it worries me and my mother.
P. S He doesn't walk much and hes home all the time because of the open wound, but lately he walks more and more as the pain is reduced. Please hit me with your opinions..</t>
        </is>
      </c>
      <c r="D3902" t="n">
        <v>4</v>
      </c>
      <c r="E3902" t="n">
        <v>7</v>
      </c>
      <c r="F3902">
        <f>HYPERLINK("https://www.reddit.com/r/cancer/comments/clhf1a/my_dad_feels_not_at_home/")</f>
        <v/>
      </c>
      <c r="G3902" t="inlineStr">
        <is>
          <t>2019-08-03 03:42:18</t>
        </is>
      </c>
      <c r="H3902" t="inlineStr"/>
    </row>
    <row r="3903">
      <c r="A3903" t="inlineStr">
        <is>
          <t>clipwl</t>
        </is>
      </c>
      <c r="B3903" t="inlineStr">
        <is>
          <t>I need advice for spending a week with my terminally ill aunt.</t>
        </is>
      </c>
      <c r="C3903" t="inlineStr">
        <is>
          <t>My aunt was diagnosed almost exactly a year ago. A month ago they gave her six months to live. She is currently in the hospital. I'm about to leave for a family vacation. Shes leaving the hospital for this vacation, then will be going into hospice right after. I can barely keep myself together at home, let alone spending this next week with her knowing it will be here last. Any advice is very much appreciated.</t>
        </is>
      </c>
      <c r="D3903" t="n">
        <v>3</v>
      </c>
      <c r="E3903" t="n">
        <v>5</v>
      </c>
      <c r="F3903">
        <f>HYPERLINK("https://www.reddit.com/r/cancer/comments/clipwl/i_need_advice_for_spending_a_week_with_my/")</f>
        <v/>
      </c>
      <c r="G3903" t="inlineStr">
        <is>
          <t>2019-08-03 06:24:51</t>
        </is>
      </c>
      <c r="H3903" t="inlineStr"/>
    </row>
    <row r="3904">
      <c r="A3904" t="inlineStr">
        <is>
          <t>clix2j</t>
        </is>
      </c>
      <c r="B3904" t="inlineStr">
        <is>
          <t>Anyone on rucaparib either alone or in combo? How is it going?</t>
        </is>
      </c>
      <c r="C3904" t="inlineStr">
        <is>
          <t>My wife just started a cycle of rucaparib as third line therapy for ovarian cancer.  Curious how well most folks tolerate it and what the common side effects folks are experiencing, particularly with nausea.  It's one of the first listed but I am wondering how severe it is for most and what people are doing to counter that.</t>
        </is>
      </c>
      <c r="D3904" t="n">
        <v>2</v>
      </c>
      <c r="E3904" t="n">
        <v>0</v>
      </c>
      <c r="F3904">
        <f>HYPERLINK("https://www.reddit.com/r/cancer/comments/clix2j/anyone_on_rucaparib_either_alone_or_in_combo_how/")</f>
        <v/>
      </c>
      <c r="G3904" t="inlineStr">
        <is>
          <t>2019-08-03 06:45:54</t>
        </is>
      </c>
      <c r="H3904" t="inlineStr"/>
    </row>
    <row r="3905">
      <c r="A3905" t="inlineStr">
        <is>
          <t>clkiq8</t>
        </is>
      </c>
      <c r="B3905" t="inlineStr">
        <is>
          <t>I can't find any motivation.</t>
        </is>
      </c>
      <c r="C3905" t="inlineStr">
        <is>
          <t>original post :  https://www.reddit.com/r/cancer/comments/cjan83/here_we_go_again/
So, I sit here still waiting on the results of my biopsy?  Is it a recurrence or new cancer.  Fucking Schrodinger's Cancer.  
All the while, I find no motivation for anything.  All I want to do is sleep and go to work.  As an introvert, I had very little energy for being social or out in public and now I have none.  
I even don't want to come home from work sometimes.  I know it will be just me sitting around waiting to be able to go to sleep.
This morning, I rousted myself out of the house long enough to go get pancakes and eggs.  An hour later, I was back home.  Just being in the restaurant and around the total of 12 people who were in the diner was enough to exhaust me.
It is taking me forever to do one load of laundry.  I may not even finish it today.
I can't concentrate on anything.  I might make it through ONE episode of tv.  Maybe half a movie.  A partial chapter of a book.  Even just a mindless mission run in Borderlands 2 is blah). No joy in anything.
And this all before knowing what my treatment is.  
I know, I know.  I am whining and whinging and pissing and moaning.  Being a sissy mary.
Anyone else in the same boat?
(It took me 20 minutes to write this)</t>
        </is>
      </c>
      <c r="D3905" t="n">
        <v>1</v>
      </c>
      <c r="E3905" t="n">
        <v>0</v>
      </c>
      <c r="F3905">
        <f>HYPERLINK("https://www.reddit.com/r/cancer/comments/clkiq8/i_cant_find_any_motivation/")</f>
        <v/>
      </c>
      <c r="G3905" t="inlineStr">
        <is>
          <t>2019-08-03 09:16:27</t>
        </is>
      </c>
      <c r="H3905" t="inlineStr"/>
    </row>
    <row r="3906">
      <c r="A3906" t="inlineStr">
        <is>
          <t>clklrd</t>
        </is>
      </c>
      <c r="B3906" t="inlineStr">
        <is>
          <t>Struggling to cope</t>
        </is>
      </c>
      <c r="C3906" t="inlineStr">
        <is>
          <t>Earlier this past June, my mom (who I'm very close to) was diagnosed with Stage III ovarian cancer. This hit my family and I completely by surprise, as my mom is the type of woman who rarely gets sick, always attends her doctors appointments, and does yoga 5-6 times per week despite being a bit older. She had surgery very shortly after the diagnosis and I was able to take off of work to provide home care and  be there to support her. That week was one of the most stressful and emotionally draining times for our family. My father and I had never seen my mom in that much pain or feeling so weak. I felt helpless. Yesterday she got her port in and will start chemo next Wednesday. Today, she scheduled a hair appointment to shave her head early, since her MD told her that the chemo could make her scalp very tender and it would be possibly painful to shave it later on. 
I've been struggling a lot. I'm an only child and have been travelling back and forth with my boyfriend (about 5-6 hour drive) on weekends to provide support to my parents. During the day I'm an ICU social worker. I've been having a very difficult time compartmentalizing and staying focused at work. I've also noticed that I've been feeling very guilty when I try to do things to relax and have fun, like go out with friends or even go shopping for myself. Last weekend, my parents insisted I take a break from traveling to see them and my boyfriend and I went out to explore our city. I was enjoying myself but out of nowhere I started to feel anxious, like I should be at home spending time with my mom instead of being out. My parents have told me to try to go about things normally but I get sad thinking that I might not have a lot of time to spend with her. 
Does anyone else experience this? Is there coping skills that have worked for you guys?</t>
        </is>
      </c>
      <c r="D3906" t="n">
        <v>20</v>
      </c>
      <c r="E3906" t="n">
        <v>14</v>
      </c>
      <c r="F3906">
        <f>HYPERLINK("https://www.reddit.com/r/cancer/comments/clklrd/struggling_to_cope/")</f>
        <v/>
      </c>
      <c r="G3906" t="inlineStr">
        <is>
          <t>2019-08-03 09:23:43</t>
        </is>
      </c>
      <c r="H3906" t="inlineStr"/>
    </row>
    <row r="3907">
      <c r="A3907" t="inlineStr">
        <is>
          <t>cll3k3</t>
        </is>
      </c>
      <c r="B3907" t="inlineStr">
        <is>
          <t>Shes gone.</t>
        </is>
      </c>
      <c r="C3907" t="inlineStr">
        <is>
          <t>I posted her two days ago about the love of my life dealing with kidney failure as a consequence of the liver cancer that appeared after melanoma. 1 and a half years of fighting and at 31 shes gone. 
The years we had together were the best i had. She saved my life after my father passed away and i dont know how im going to go on after this. But i will. For her. I know ill never love anyone like i love her.</t>
        </is>
      </c>
      <c r="D3907" t="n">
        <v>122</v>
      </c>
      <c r="E3907" t="n">
        <v>19</v>
      </c>
      <c r="F3907">
        <f>HYPERLINK("https://www.reddit.com/r/cancer/comments/cll3k3/shes_gone/")</f>
        <v/>
      </c>
      <c r="G3907" t="inlineStr">
        <is>
          <t>2019-08-03 10:06:19</t>
        </is>
      </c>
      <c r="H3907" t="inlineStr"/>
    </row>
    <row r="3908">
      <c r="A3908" t="inlineStr">
        <is>
          <t>cllliy</t>
        </is>
      </c>
      <c r="B3908" t="inlineStr">
        <is>
          <t>Trying to understand</t>
        </is>
      </c>
      <c r="C3908" t="inlineStr">
        <is>
          <t>Someone I know recently had a biopsy done on their leg due to a bump that was found. All that was confirmed to this point is that it’s a tumor. The severity of the tumor has not yet been determined to be benign or malignant. However, a cat scan was already ordered to see if anything spread. Would they have held off on the cat scan if they believed there was a chance it was benign? Ordering the cat scan feels like it’s assuming the worst. Does anyone have knowledge in regards to the standard procedure in which a cat scan would be conducted?</t>
        </is>
      </c>
      <c r="D3908" t="n">
        <v>2</v>
      </c>
      <c r="E3908" t="n">
        <v>0</v>
      </c>
      <c r="F3908">
        <f>HYPERLINK("https://www.reddit.com/r/cancer/comments/cllliy/trying_to_understand/")</f>
        <v/>
      </c>
      <c r="G3908" t="inlineStr">
        <is>
          <t>2019-08-03 10:49:52</t>
        </is>
      </c>
      <c r="H3908" t="inlineStr"/>
    </row>
    <row r="3909">
      <c r="A3909" t="inlineStr">
        <is>
          <t>clm2c6</t>
        </is>
      </c>
      <c r="B3909" t="inlineStr">
        <is>
          <t>I just need to speak to reddit..</t>
        </is>
      </c>
      <c r="C3909" t="inlineStr">
        <is>
          <t>My 64yo Dad was diagnosed a month ago with Colon Cancer. He had absolutely no symptoms, he found out through the bowel screening program that is posted out every 2 years to men &amp;amp; women that are age 60 years old and over in the UK.
He had previously thrown two tests away and when his third arrived i begged him to do it and said if he didn’t i wouldn’t speak to him. 
His test came back abnormal and he was then sent for a colonoscopy, when the camera was inside it couldn’t go any further than the sigmoid colon as there was a sizeable tumour closing up his bowel. Biopsy’s were taken and it was confirmed as a very aggressive stage three Colon Cancer. The tumour was mucinous and oozing. 
His CT scan showed that the tumour had spread though the wall of his bowel and into 7 of his lymph nodes, his blood vessels and veins around his bowel.
The tumour was removed through open surgery as well as 18 lymph nodes and the bowel was reattached. Since surgery he has been recovering well and his wounds are healing as they should be. His mood is very low. Which is expected. 
On Thursday of this week he had a meeting with the oncologist to discuss whether he would need chemotherapy. 
They told him that without chemo he would have only 5 years to live and that there is an 80% chance that the cancer will come back. 
The oncologist suggested that he take the chemo, he would need 8 blasts, consisting of 3 hours Oxaliplatin intravenously then two weeks Capecitabine (Xeloda) in oral form and a weeks rest. 
The chemo in this form would give him an extra 25% chance to prevent the cancer coming back. Which would mean theres a 55% chance of it returning rather than 80% 
He can opt to have just the oral chemo which would mean there is a 62% chance of it coming back. 
The oncologist has given him two weeks to decide what option he wants to take. But in my eyes either way the odds are against him. 
He is very worried about the chemotherapy, he hates the thought of the IV part, and is worried about the side effects, he said he doesnt have a lot of choice. 
I was just hoping to hear from anyone who had been though this type of chemo and their experiences. 
In one way im glad i made him do the test but im so upset that he has to go through all this and we are all helpless. Still cant get my head around this, Fuck cancer.</t>
        </is>
      </c>
      <c r="D3909" t="n">
        <v>10</v>
      </c>
      <c r="E3909" t="n">
        <v>12</v>
      </c>
      <c r="F3909">
        <f>HYPERLINK("https://www.reddit.com/r/cancer/comments/clm2c6/i_just_need_to_speak_to_reddit/")</f>
        <v/>
      </c>
      <c r="G3909" t="inlineStr">
        <is>
          <t>2019-08-03 11:30:20</t>
        </is>
      </c>
      <c r="H3909" t="inlineStr"/>
    </row>
    <row r="3910">
      <c r="A3910" t="inlineStr">
        <is>
          <t>clpqvu</t>
        </is>
      </c>
      <c r="B3910" t="inlineStr">
        <is>
          <t>So, I have just gotten the news my grandpa probably won’t make it out of 2019. (And for some reason I don’t feel anything)</t>
        </is>
      </c>
      <c r="C3910" t="inlineStr">
        <is>
          <t>He’s had multiple tumors removed in the past, has gone through chemo and other treatments including experimental ones, and is finally on the doorstep. They found a bunch of tumors in his brain so packed in that removing them would result in killing him, so we just have to wait until his brain swells so big that it suffocates in the confines of his own skull.
The thing is: I don’t feel much and death never has. When my great grandmother died I was still close to her and felt nothing. I waited for the grieving to kick in and it never did. I’m too young to have had many family members die, so this is kind of the most profound instance so far. 
I’ve always been close with him, even when they removed a tumor from his brain in 2017 and he wasn’t quite the same ever again. But even though we’re close and I know now that I have a few months and then I’ll never see him again, I feel absolutely nothing (besides reminding him that I love him and won’t forget him when he’s gone by spending more time with him). 
The only actual emotions I have towards any of it is that I know he’s scared and my other family members are scared. He’s scared that he’s dying and they are scared because they know they will have to grieve. I feel bad for my grandma because I know she hates living alone and nobody in our family lives nearby. Other than the sympathy for them because I know they’re scared and sad, I don’t feel a whole lot. 
Is it because I know everyone dies, and that at some point I will too? 
I know I love him but it almost feels like me not feeling sad that he’s going to die means I subconsciously don’t really love him. I feel like a psychopath, but I know I’m not one. The worst thing I feel towards the situation is that I feel nothing and I feel like I should feel sad but I don’t. 
I’m sorry this was a monster of a post, thanks for reading.</t>
        </is>
      </c>
      <c r="D3910" t="n">
        <v>4</v>
      </c>
      <c r="E3910" t="n">
        <v>3</v>
      </c>
      <c r="F3910">
        <f>HYPERLINK("https://www.reddit.com/r/cancer/comments/clpqvu/so_i_have_just_gotten_the_news_my_grandpa/")</f>
        <v/>
      </c>
      <c r="G3910" t="inlineStr">
        <is>
          <t>2019-08-03 17:02:05</t>
        </is>
      </c>
      <c r="H3910" t="inlineStr"/>
    </row>
    <row r="3911">
      <c r="A3911" t="inlineStr">
        <is>
          <t>clqalw</t>
        </is>
      </c>
      <c r="B3911" t="inlineStr">
        <is>
          <t>Keto diet, Cancer &amp;amp; Diabetes type 1 - anyone tried it?</t>
        </is>
      </c>
      <c r="C3911" t="inlineStr">
        <is>
          <t>Not for me but a relative. I know cancer uses insulin and glucose to grow but if you use a keto diet to put your body into a state of ketosis would that not starve the cancer?
Can the cancer process keytones as energy? If not would this be a good diet to be on with lung cancer?
Also being a type 1 diabetic how would this diet effect his insulin? Would this effect the cancer growth?
Sorry if wrong place I'm desperate. If this is can you suggest a suitable place for me to post this.
Thank you</t>
        </is>
      </c>
      <c r="D3911" t="n">
        <v>1</v>
      </c>
      <c r="E3911" t="n">
        <v>6</v>
      </c>
      <c r="F3911">
        <f>HYPERLINK("https://www.reddit.com/r/cancer/comments/clqalw/keto_diet_cancer_diabetes_type_1_anyone_tried_it/")</f>
        <v/>
      </c>
      <c r="G3911" t="inlineStr">
        <is>
          <t>2019-08-03 17:55:27</t>
        </is>
      </c>
      <c r="H3911" t="inlineStr"/>
    </row>
    <row r="3912">
      <c r="A3912" t="inlineStr">
        <is>
          <t>clr0gr</t>
        </is>
      </c>
      <c r="B3912" t="inlineStr">
        <is>
          <t>I Wish I Felt Sadness More Than I Do Anger</t>
        </is>
      </c>
      <c r="C3912" t="inlineStr">
        <is>
          <t>My dad has stage IV pancreatic cancer. My mom is sad. She's very sad, and talks about how everything is being taken from her. And me, I'm angry. I'm so angry at Cancer, I'm angry this is happening to my dad, I'm angry at God about all of it, that my mom has to continue going to work so we can have our health insurance, and my mom's sadness also makes me mad. Because when something good happens, and I see there is plenty of good, like when we get to have dinner together, she is sad, and that makes me angry.
I wish that I wasn't like this. I want to have empathy for my mom. and meet her in sadness, but I'm just so fucking mad about everything. And I love my dad. And I hate this cancer.</t>
        </is>
      </c>
      <c r="D3912" t="n">
        <v>14</v>
      </c>
      <c r="E3912" t="n">
        <v>6</v>
      </c>
      <c r="F3912">
        <f>HYPERLINK("https://www.reddit.com/r/cancer/comments/clr0gr/i_wish_i_felt_sadness_more_than_i_do_anger/")</f>
        <v/>
      </c>
      <c r="G3912" t="inlineStr">
        <is>
          <t>2019-08-03 19:08:21</t>
        </is>
      </c>
      <c r="H3912" t="inlineStr"/>
    </row>
    <row r="3913">
      <c r="A3913" t="inlineStr">
        <is>
          <t>clr5h7</t>
        </is>
      </c>
      <c r="B3913" t="inlineStr">
        <is>
          <t>How do you get by or cope and feel. And how did you react when diagnosed?</t>
        </is>
      </c>
      <c r="C3913" t="inlineStr">
        <is>
          <t>It’s late here and my mind is racing. Not in a negative way... Just thoughtful..
I didn’t cry once or feel scared at diagnosis or after and during treatment. The only thing I hated was the MRI scans due to feeling claustrophobic.
I’m not saying I’m a bad ass or an emotionless sociopath. I did feel angry and sad I started to turn my life around, got a decent place to live and a decent job.
I felt sad I didn’t live my life to its full potential “ I was convinced I was close to death”.
I’m not a religious man, but believe in God. I prayed I’ll become the best version of my self if I could live longer. Seems my prayers have been answered.
Everyone comments on how strong I am. My cousin said to me “ You never complain, just get on with it”. 
I think not having children makes it easier for me. 
I’ve not had an easy life, I was in foster care and children’s homes between the ages of 6-10 when my mum was in rehab.
Had a difficult adolescence and in my twenties also. Could of ended up in jail or worse.
I see it as another obstacle.</t>
        </is>
      </c>
      <c r="D3913" t="n">
        <v>12</v>
      </c>
      <c r="E3913" t="n">
        <v>9</v>
      </c>
      <c r="F3913">
        <f>HYPERLINK("https://www.reddit.com/r/cancer/comments/clr5h7/how_do_you_get_by_or_cope_and_feel_and_how_did/")</f>
        <v/>
      </c>
      <c r="G3913" t="inlineStr">
        <is>
          <t>2019-08-03 19:22:48</t>
        </is>
      </c>
      <c r="H3913" t="inlineStr"/>
    </row>
    <row r="3914">
      <c r="A3914" t="inlineStr">
        <is>
          <t>clrkbu</t>
        </is>
      </c>
      <c r="B3914" t="inlineStr">
        <is>
          <t>My step dads cancer is progressing faster than anyone could have expected...</t>
        </is>
      </c>
      <c r="C3914" t="inlineStr">
        <is>
          <t>Today he woke up with a fever and he has lost so much weight that I start to cry if I look at him long enough. I was crying all the way to work and started to wonder if there is a point where we have to deliberately stop thinking of sick family members to get our mind where we need it.. not want it, but need it. I just need someone to talk to about all of this.</t>
        </is>
      </c>
      <c r="D3914" t="n">
        <v>6</v>
      </c>
      <c r="E3914" t="n">
        <v>2</v>
      </c>
      <c r="F3914">
        <f>HYPERLINK("https://www.reddit.com/r/cancer/comments/clrkbu/my_step_dads_cancer_is_progressing_faster_than/")</f>
        <v/>
      </c>
      <c r="G3914" t="inlineStr">
        <is>
          <t>2019-08-03 20:06:24</t>
        </is>
      </c>
      <c r="H3914" t="inlineStr"/>
    </row>
    <row r="3915">
      <c r="A3915" t="inlineStr">
        <is>
          <t>cls7td</t>
        </is>
      </c>
      <c r="B3915" t="inlineStr">
        <is>
          <t>So Unfair</t>
        </is>
      </c>
      <c r="C3915" t="inlineStr">
        <is>
          <t>Yesterday was my nephew's 10th birthday. Instead of celebrating and having a party like a normal kid, he got to be moved back to the ICU because he developed an infection. 
Cancer can suck a dick.</t>
        </is>
      </c>
      <c r="D3915" t="n">
        <v>31</v>
      </c>
      <c r="E3915" t="n">
        <v>4</v>
      </c>
      <c r="F3915">
        <f>HYPERLINK("https://www.reddit.com/r/cancer/comments/cls7td/so_unfair/")</f>
        <v/>
      </c>
      <c r="G3915" t="inlineStr">
        <is>
          <t>2019-08-03 21:19:20</t>
        </is>
      </c>
      <c r="H3915" t="inlineStr"/>
    </row>
    <row r="3916">
      <c r="A3916" t="inlineStr">
        <is>
          <t>clsnc4</t>
        </is>
      </c>
      <c r="B3916" t="inlineStr">
        <is>
          <t>People want the instagram version of us, not the reddit version</t>
        </is>
      </c>
      <c r="C3916" t="inlineStr">
        <is>
          <t>10 days post op, and tonight I decide I'm sick of not exercising and I decide to go for a walk with my neighbors. We take the long route,  and my boob and my arm are hurting, but like a trouper, I march up the hill. I've been feeling slightly detached from everyone lately, like I've joined this shitty new country club, and they can't get in because they don't have cancer. This club is so exclusive you have to have an almost unpronounceable diagnosis, surgeries, tests, labs, and therapies to join, and membership is mandatory. 
 So the neighbors both know I had surgery, but one of them turns to me and says, "What the hell have you been up to?"   I wanted to say, *"Recovering from surgery, you asshole,"* but then I realized he didn't want to hear about my cancer, or the pain, or my upcoming treatments. What he wants is the instagram version of me, not the reddit version. 
I don't know what this is about, but to say.... I love this sub. I love all of you. Now, go fuck off, the lot of you. I'm waiting for a drink with an umbrella.</t>
        </is>
      </c>
      <c r="D3916" t="n">
        <v>89</v>
      </c>
      <c r="E3916" t="n">
        <v>35</v>
      </c>
      <c r="F3916">
        <f>HYPERLINK("https://www.reddit.com/r/cancer/comments/clsnc4/people_want_the_instagram_version_of_us_not_the/")</f>
        <v/>
      </c>
      <c r="G3916" t="inlineStr">
        <is>
          <t>2019-08-03 22:10:00</t>
        </is>
      </c>
      <c r="H3916" t="inlineStr"/>
    </row>
    <row r="3917">
      <c r="A3917" t="inlineStr">
        <is>
          <t>clsykg</t>
        </is>
      </c>
      <c r="B3917" t="inlineStr">
        <is>
          <t>Losing my dad at 27</t>
        </is>
      </c>
      <c r="C3917" t="inlineStr">
        <is>
          <t>I just found out today that my dads (53) brain tumor (no idea what type of tumor, totally zoned out during that part) that was discovered less than a year ago, has come back and is now stage 4. He was given 6-12 months with treatment and maybe 5 more if this new chemo does what it’s supposed to. I knew this would come eventually but I had no idea how soon. I’ve talked to some family today but now everyone’s asleep and I’m wide awake with no clue how I should feel or react at this point. I’ve never lost anyone in my life except a grandpa and have never actually known anyone with cancer or a brain tumor so I really don’t know what to expect. I see he is tired and his personality is different, but what else should I expect to encounter over the coming months? At this point I’m lost and don’t know what to do. 
Sorry for the long post and probably poor formatting but I’m fairly new to posting on Reddit</t>
        </is>
      </c>
      <c r="D3917" t="n">
        <v>5</v>
      </c>
      <c r="E3917" t="n">
        <v>6</v>
      </c>
      <c r="F3917">
        <f>HYPERLINK("https://www.reddit.com/r/cancer/comments/clsykg/losing_my_dad_at_27/")</f>
        <v/>
      </c>
      <c r="G3917" t="inlineStr">
        <is>
          <t>2019-08-03 22:47:47</t>
        </is>
      </c>
      <c r="H3917" t="inlineStr"/>
    </row>
    <row r="3918">
      <c r="A3918" t="inlineStr">
        <is>
          <t>clw7jh</t>
        </is>
      </c>
      <c r="B3918" t="inlineStr">
        <is>
          <t>My timeline of events &amp;amp; link to imgur</t>
        </is>
      </c>
      <c r="C3918" t="inlineStr">
        <is>
          <t>[imgur blog](https://imgur.com/gallery/shG4K8A)
Imgur will be updated since reddit is hard for me to use but for now ive copied and pasted what happened to me in hopes of giving ppl some insight. Maybe they can learn from my mistakes or take something from my story. Or give me advice in how to move forward with my battle as im still working things out.
**Updated August 4th 2019 8:45am**
- Not Cancer Free, Waiting on Clinical Trial
- Timeline of events
- Story of post op dream
Everyone seems to be confused as to what happened to me which is my fault since i didnt explain my diagnosis/current situation very well, whoops.
- Headaches began May 2015(hard to say, maybe even earlier) the suspected cause was wisdom teeth but had i no coverage for removal. 
- August 2017, finally got my wisdom teeth removed after getting coverage and becoming tired of pain.
- November 2017, my headaches were still getting excruciatingly worse. I blew a blood clot out of my nose, the amount of relief i felt from pressure leaving my head was immense. The amount of bleeding from my nose was phenomenal though. Thought i had the flu, sinus infection or was just over worked as i carpenter putting in 50-65 hours in a week. I noticed growth inside nose due to curiosity after blowing that blood clot. With the aid of my phones flashlight it made it quite easy to see. My Doctor saw me three times ignoring what i had to say thinking i was crazy. Cant blame her really as im young, Adenoid Cystic Carcinoma and even sinus cancer is very rare. Flu season was present as well. Also my experience as a production/custom home framer in the past, my eagle eye was trained to notice a wall out of plumb a quarter inch from 16-20 ft out or the slightest crown in a piece of lumber.... only the straightest for my windows and doors lads. 
- February 2018, i changed doctors. Awesome guy sent me to a specialist after our first appointment without even looking inside my nose.... he literally saved my life and still doesnt know. Tried to visit the lad but he is the hardest guy to reach all of the sudden since expansion of his clinics.
- March 2018, still working crazy hours. Tumour clearly visible from outside of my nostril. I still thought it was a cyst at this point. First doctor clearly was mistaken. Saw the specialist for CT scan and biopsy.
- April 2018, scan and biopsy results came back positive for Adenoid Cystic Carcinoma of my sinus and minor metastasis in my lymph nodes within my neck, surgeries planned for may.
- May 2018, First surgery - plan was to resect tumor and lymph nodes within one surgery and leave a week later with just  a quarter sized hole in my hard palate and only have 4 molars removed on the left side. Cancer had spread and accelerated so much before they opened me up, they realized more had to be done. The entirety of my hard palate  and a number more lymph nodes on both sides, half of my upper teeth and half of my maxilla, nerves within the left side of my face that control sensation all had to be removed. (Im numb on that side basically due to nerve removal but i do still have facial movement as those nerves were untouched, neurosurgeons are crazy) Now two more unplanned surgeries were on the horizon
Second surgery - The surgical team suggested a scapular free flap surgery to repair the hole left in my hard palate removal and told me it had a 95 percent success rate so i signed the papers. This is where they would take muscle tissue and bone from my scapula and infill whatever was removed which was my hard palate. I had high hopes after hearing the number 95 so i signed the paperwork. I woke up from the surgery expecting success but they regrettably told me it failed due to the cancer that was in my neck.... it  destroyed the blood vessels that was supposed to supply the new free flap graft. They tried using a vein from my leg but the muscle tissue and bone for the flap taken from my back was already dying from not receiving blood. They stitched me back up since it was beyond the ten hours they initially had planned for and were at their limitations of what they could do for me that day as another patient was waiting for the OR i was in.
Third surgery - they opened me up the next day following to see if they could unclot every thing to help the new grafts chances of survival. I was hopeful too but again things did not work out. Three surgeries with 7 days was too much for my body so they put a halt to the surgeries. And planned for radiation to kill what was left
- June 2018, rehab for walking, talking and eating. This was a difficult time. I had a trach which had to be cleaned everyday. Some nurses sucked the air out of my lungs at times which literally felt like drowning. Imagine sucking the air out of a plastic bag with a power vaccuum.... yea that happened. 
****I had three post surgery lucid dreams/hallucinations from the multiple medication interactions and lack of sleep. This was after my second surgery. I remember one dream/hallucination of death himself after the nurses had me take adovan? I don’t remember the name but it was a sleeping aid that had interacted with a pain medication i was taking. It was 11:30pm where the nurses turned the lights off for all of the patients. I was on the step down unit so i wasnt in a room. It was a floor with about 12 other patients. Every time i had closed my eyes, it was nighttime and i saw a flowing black curtain by the window in my apartment room. In the window frame was a tree in the middle and images/memories of loved ones were being displayed on both sides of the tree on the glass. Faces of family and friends rolling like film on one side of the tree and memories with my little brother and two very close cousins on the other side of the tree. The tree also gave off moonlight(not sure why). So back to the curtain. I saw the black curtains and on the left side curtain was the hood. I peered in that fucking hood and it was a darker/deeper/endless black. I MEAN FUCKING DEEP. i felt like if i looked more than a minute inside id get sucked in and lost forever. No face or head. A void was all it was. I yelled asking who he was knowing full well who it was. But it was silent and gave no answer. This would all happen within a minute real time but felt like hours to me due the lack of sleep. Nurses told me i was repeatedly in and out of hallucinations and sleep for about 3 -4 hours, slipping in and out every single minute to 10 minutes. Yea HOLY SHIT. I had another crazy post surgery dream/hallucination but thats another story. This one was definitely the most fucked up one out of the three. Ill post a drawing of my dream a bit later on. Ive sketched it before and  its easy to remember/recall. ***
- July 2018, i got discharged at the beginning of the month after rehab for a month. Started radiation that lasted two months 36 sessions total
- September 2018, on the 5th i was finally done with radiation. Moved to new place. Doctors planned to scan me in 6 months and attempt another reconstruction surgery if i was in remission.
- November 2018, leg and lower back pain began strangely, assumed it was from just losing strength and mass from surgeries and such. Between here and February 2019 i was experiencing excruciating pain and lack of sleep. Scans were not picking up cancer
- April 8th 2019, was told I officially had no cancer. Was not sure about how i felt. 
- June 9th, had a bout of pain so i got xrays done that finally revealed mets in my femur. Which explained why i couldnt walk at times. Further scans revealed metastasis in my right lung, six spinal discs, and a 7cm x 7cm tumour on my liver. Got admitted into cancer clinic. Put on fentanyl and had two larger than normal doses of radiation to my spine to reduce the pain.
Met amazing ppl at hospital(patients and nurses) learned a lot about myself. 
- July 2019, mid month i got discharged. Applied for Ayala pharmaceuticals target therapy for ACC but failed to get into the clinical trial due to my biopsy not having the required notches for the medication to work. 
- August 2019 (presently), waiting on different clinical trial called lenvatenib? I hear back from them August 9th. Talked to amazing ppl on imgur as well as reddit! Feeling kick ass HAAHAHH
So yea hopefully that lifts the confusion, sorry for the choppy text as well. I sold my PC to make some money since i cant work. So the most annoying thing is typing everything on my iphone.... and when u use a browser it forces u to use the app within the browser. Which makes using the tools very confusing. Number two... doody.... Im not getting very good sleep due to my malfunctioning pain pump at home. Finally readjusting after getting it fixed last week and getting medication again. So its been pretty hard to focus on forming coherent sentences... plus u stop trying after your brain feels like mush and after realizing your face looks like mush looking at a selfie for the first time in ages HAHAHAHAH. Here is my gofundme page that has more details. Dont donate but hopefully if u read it again it makes more sense? Ill re edit everything thoroughly once i get a chance. Ive just been really busy catching up on stuff at home after getting discharged. Be it chores, exercise, eating one meal takes 2hours because no palate, prosthesis for my mouth would cost me thousands since id need a series, despite having 75% coverage from OHIP, plus i cant them made until i get the hole sealed up with a reconstruction surgery which was put on hold due to Recurrence/Metastatic spread.... back to the list!!appointments, nurses coming in and out at home, visitors from all over the GTA and Hamilton area and a bunch of other stufff. Oh yea talking to you wonderful people in my pm’s :) u guys are so awesome!!:)</t>
        </is>
      </c>
      <c r="D3918" t="n">
        <v>10</v>
      </c>
      <c r="E3918" t="n">
        <v>2</v>
      </c>
      <c r="F3918">
        <f>HYPERLINK("https://www.reddit.com/r/cancer/comments/clw7jh/my_timeline_of_events_link_to_imgur/")</f>
        <v/>
      </c>
      <c r="G3918" t="inlineStr">
        <is>
          <t>2019-08-04 06:18:38</t>
        </is>
      </c>
      <c r="H3918" t="inlineStr"/>
    </row>
    <row r="3919">
      <c r="A3919" t="inlineStr">
        <is>
          <t>clwxxa</t>
        </is>
      </c>
      <c r="B3919" t="inlineStr">
        <is>
          <t>Telling family</t>
        </is>
      </c>
      <c r="C3919" t="inlineStr">
        <is>
          <t>Last Tuesday, I found out I had "some sort" of cancer. I told my immediate family (parents, 2 siblings, boyfriend) almost right away, but we all agreed not to tell my extended family until I had a more concrete diagnosis. Well, that concrete diagnosis is likely coming tomorrow or Tuesday, as my doctor has been in touch with pathology since the biopsy. Most likely some type of lymphoma. I'm close with both my grandmothers and it's been really hard not to say anything as I see or talk to them nearly every day. But it's going to be been harder to tell them. And then I have to call my aunts and uncles and cousins (of which I have too damn many), and tell them too. It wasn't so hard the first time around, because I was still in shock and I didn't have much info to share. This is going to make it real.</t>
        </is>
      </c>
      <c r="D3919" t="n">
        <v>3</v>
      </c>
      <c r="E3919" t="n">
        <v>9</v>
      </c>
      <c r="F3919">
        <f>HYPERLINK("https://www.reddit.com/r/cancer/comments/clwxxa/telling_family/")</f>
        <v/>
      </c>
      <c r="G3919" t="inlineStr">
        <is>
          <t>2019-08-04 07:33:18</t>
        </is>
      </c>
      <c r="H3919" t="inlineStr"/>
    </row>
    <row r="3920">
      <c r="A3920" t="inlineStr">
        <is>
          <t>cly0ik</t>
        </is>
      </c>
      <c r="B3920" t="inlineStr">
        <is>
          <t>Anyone take the recovery stage as an opportunity to go back to school?</t>
        </is>
      </c>
      <c r="C3920" t="inlineStr">
        <is>
          <t>I’ve been out of work for so long that I qualified for a pell grant that will more than pay for full time college. I dont have any degrees, so I thought it would be the perfect opportunity. 
I’m worried chemo brain is going to make it very hard. But I’m still excited to give it a try.</t>
        </is>
      </c>
      <c r="D3920" t="n">
        <v>8</v>
      </c>
      <c r="E3920" t="n">
        <v>4</v>
      </c>
      <c r="F3920">
        <f>HYPERLINK("https://www.reddit.com/r/cancer/comments/cly0ik/anyone_take_the_recovery_stage_as_an_opportunity/")</f>
        <v/>
      </c>
      <c r="G3920" t="inlineStr">
        <is>
          <t>2019-08-04 09:09:29</t>
        </is>
      </c>
      <c r="H3920" t="inlineStr"/>
    </row>
    <row r="3921">
      <c r="A3921" t="inlineStr">
        <is>
          <t>clykqe</t>
        </is>
      </c>
      <c r="B3921" t="inlineStr">
        <is>
          <t>How’s life after cancer?</t>
        </is>
      </c>
      <c r="C3921" t="inlineStr">
        <is>
          <t>I’m about to be in remission and I was just wondering how’s life after cancer? 
Is it a new reality where we have no stamina.. will I be able to go back to the gym? I was a adrenaline junkie and I want to continue to be like that..</t>
        </is>
      </c>
      <c r="D3921" t="n">
        <v>4</v>
      </c>
      <c r="E3921" t="n">
        <v>10</v>
      </c>
      <c r="F3921">
        <f>HYPERLINK("https://www.reddit.com/r/cancer/comments/clykqe/hows_life_after_cancer/")</f>
        <v/>
      </c>
      <c r="G3921" t="inlineStr">
        <is>
          <t>2019-08-04 09:55:18</t>
        </is>
      </c>
      <c r="H3921" t="inlineStr"/>
    </row>
    <row r="3922">
      <c r="A3922" t="inlineStr">
        <is>
          <t>clz561</t>
        </is>
      </c>
      <c r="B3922" t="inlineStr">
        <is>
          <t>I don't feel anything.</t>
        </is>
      </c>
      <c r="C3922" t="inlineStr">
        <is>
          <t>My mom just died from a metastatic sarcoma lung cancer. I cried when she was diagnosed. I cried when her first chemo doesn't work anymore. I cried when I heard that she only has a few days left. 
Now she's gone. I don't feel anything. I feel empty inside, but I can't cry or feel sad. It feels numb.</t>
        </is>
      </c>
      <c r="D3922" t="n">
        <v>42</v>
      </c>
      <c r="E3922" t="n">
        <v>20</v>
      </c>
      <c r="F3922">
        <f>HYPERLINK("https://www.reddit.com/r/cancer/comments/clz561/i_dont_feel_anything/")</f>
        <v/>
      </c>
      <c r="G3922" t="inlineStr">
        <is>
          <t>2019-08-04 10:42:08</t>
        </is>
      </c>
      <c r="H3922" t="inlineStr"/>
    </row>
    <row r="3923">
      <c r="A3923" t="inlineStr">
        <is>
          <t>cm1g2a</t>
        </is>
      </c>
      <c r="B3923" t="inlineStr">
        <is>
          <t>Just started working in a Hematology/Oncology practice, what did your medical providers do for you that you appreciated?</t>
        </is>
      </c>
      <c r="C3923" t="inlineStr">
        <is>
          <t>I just started as a medical assistant in an outpatient Hematology Oncology practice where there is chemotherapy and radiation. I see patients prior to their treatments, administer a small number of shots, and draw blood from those without ports. 
It’s been one month since I’ve started, and I feel so strongly for our patients. Is there anything that the medical providers where you receive/received treatment that was kind, helpful, or stood out in any way? Good things to do/say? Bad things? 
If this is not appropriate for this sub, please let me know. Thank you.</t>
        </is>
      </c>
      <c r="D3923" t="n">
        <v>21</v>
      </c>
      <c r="E3923" t="n">
        <v>18</v>
      </c>
      <c r="F3923">
        <f>HYPERLINK("https://www.reddit.com/r/cancer/comments/cm1g2a/just_started_working_in_a_hematologyoncology/")</f>
        <v/>
      </c>
      <c r="G3923" t="inlineStr">
        <is>
          <t>2019-08-04 13:51:50</t>
        </is>
      </c>
      <c r="H3923" t="inlineStr"/>
    </row>
    <row r="3924">
      <c r="A3924" t="inlineStr">
        <is>
          <t>cm1kwo</t>
        </is>
      </c>
      <c r="B3924" t="inlineStr">
        <is>
          <t>Needing some insight of a ALL diagnosis</t>
        </is>
      </c>
      <c r="C3924" t="inlineStr">
        <is>
          <t>A friend was sent to hospital just over a week ago now. He is 19 years old and was just diagnosed with Acute Lymphoblastic Leukemia. What I know so far is that he has started his chemo &amp;amp; was doing a blood transfusion a few days ago. But now I have heard that they have found it in his spine. Does this decrease his chances drastically? I’m sorry that I can’t find out the exact kind of ALL. But just wondering if anyone can put me at ease or give some insight to what could happen? Do they hope that he would be in remission right after the first chemo treatment? Or is that not likely? I keep reading that the survival rate is good for ALL, but I bet that depends on his chromosome type? 
Any help is appreciated!</t>
        </is>
      </c>
      <c r="D3924" t="n">
        <v>2</v>
      </c>
      <c r="E3924" t="n">
        <v>5</v>
      </c>
      <c r="F3924">
        <f>HYPERLINK("https://www.reddit.com/r/cancer/comments/cm1kwo/needing_some_insight_of_a_all_diagnosis/")</f>
        <v/>
      </c>
      <c r="G3924" t="inlineStr">
        <is>
          <t>2019-08-04 14:03:12</t>
        </is>
      </c>
      <c r="H3924" t="inlineStr"/>
    </row>
    <row r="3925">
      <c r="A3925" t="inlineStr">
        <is>
          <t>cm1ods</t>
        </is>
      </c>
      <c r="B3925" t="inlineStr">
        <is>
          <t>At the hospital, they think my wife has cancer</t>
        </is>
      </c>
      <c r="C3925" t="inlineStr">
        <is>
          <t>Need someone who has been here before, I don’t know what to do. My wife is 36 and has always been healthy. We’ve been together 14 years. We went to the hospital thinking she had a kidney stone. She had a CT scan and it’s cancer. We see the obgyn and oncologist tomorrow to find out more 
Someone else who has gone through this, are there any questions I should be asking? I’m overwhelmed. What did you do to be there for your spouse as this is happening?</t>
        </is>
      </c>
      <c r="D3925" t="n">
        <v>23</v>
      </c>
      <c r="E3925" t="n">
        <v>17</v>
      </c>
      <c r="F3925">
        <f>HYPERLINK("https://www.reddit.com/r/cancer/comments/cm1ods/at_the_hospital_they_think_my_wife_has_cancer/")</f>
        <v/>
      </c>
      <c r="G3925" t="inlineStr">
        <is>
          <t>2019-08-04 14:11:02</t>
        </is>
      </c>
      <c r="H3925" t="inlineStr"/>
    </row>
    <row r="3926">
      <c r="A3926" t="inlineStr">
        <is>
          <t>cm2qa7</t>
        </is>
      </c>
      <c r="B3926" t="inlineStr">
        <is>
          <t>Venting and stressing</t>
        </is>
      </c>
      <c r="C3926" t="inlineStr">
        <is>
          <t>Im angry at my body, it has never functioned right.  Iv had two types of cancer, a massive PE that I barely survived, kidney dysfunction due to autoimmune disease that I have to take diuretics, steroids and potassium/magnesium and two kinds of IV infusions to keep in check, and now I may be facing a recurrence about a year since the last diagnosis. My weight gain has stopped (still trying to get back to my original weight since treatment) my oncologist said he sees a 7mm 'spot' on my pancreas. The surgeon wants to do a colonoscopy because everything still goes right through me within 12 hours from eating, and then he calls me personally at 6:30 in the evening last week to tell me he wants to do another needle biopsy on the first lymph that warned me something was up with both cancers because it has changed from a pebble to about as long as a fingertip. Then it just hit me today,,, Im running low grade fevers frequently, and my pelvic area/lower back have been tender most of the time. Low level, but its there.   
And if all of that wasnt enough... my daughter told me we are expecting our first grandchild. I dont want to do this again. Iv hurt enough. But I dont want to hurt my family either. My daughter expects, and needs me to take care of the baby so she can work, she wouldn't trust anyone else to do it shes made that clear. I know Im on borrowed time. Im thankful I got to see my children become adults, so thankful. I have this horrible vision in my head of laying on a bed next to her at the hospital trying to hold on long enough to see the baby born, or worse, not being there when she has the baby.   
I dont want to go down fighting, IV fought hard and long. I want to be accepting that its time,and I want them to at least be able to understand when I stop fighting. But it doesnt look like that is probably going to happen. I dont want to quit life, I just want to stop hurting and being so very sick and close to death that I feel that anxiety that its happening in the next moment, or the next. I saw a therapist about this recently. Her response at the end of the conversation was "You dont have cognitive anxiety, you have situationally appropriate anxiety. You can not erase your past, it is what it is. You are going to have to unfortunately accept it. And some days your going to have to accept, that it is unacceptable".  Well shes not wrong... and I know how to deal with it so that it doesnt cripple me. But when I have to have another procedure or get into another infusion chair, sometimes the shaking starts and it just wont stop.</t>
        </is>
      </c>
      <c r="D3926" t="n">
        <v>7</v>
      </c>
      <c r="E3926" t="n">
        <v>2</v>
      </c>
      <c r="F3926">
        <f>HYPERLINK("https://www.reddit.com/r/cancer/comments/cm2qa7/venting_and_stressing/")</f>
        <v/>
      </c>
      <c r="G3926" t="inlineStr">
        <is>
          <t>2019-08-04 15:42:27</t>
        </is>
      </c>
      <c r="H3926" t="inlineStr"/>
    </row>
    <row r="3927">
      <c r="A3927" t="inlineStr">
        <is>
          <t>cm2wqc</t>
        </is>
      </c>
      <c r="B3927" t="inlineStr">
        <is>
          <t>What are some good resources/websites/info on new treatments, cures, tests?</t>
        </is>
      </c>
      <c r="C3927" t="inlineStr">
        <is>
          <t>Hello,
I am a brain injury survivor and going through an extreme amount of suffering in my life right now. I am asking this question to see What are some good resources/websites/info on new treatments, cures, tests? Like new discoveries and things like that by medicine, not just in America but throughout the world. I am willing to try anything for help with my symptoms and have read a lot about different things in Canada and other places. But would love some good info about top new treatments throughout the world and tests, cures, etc. Where would one go online or otherwise to find a lot of information about it?
Thanks</t>
        </is>
      </c>
      <c r="D3927" t="n">
        <v>1</v>
      </c>
      <c r="E3927" t="n">
        <v>0</v>
      </c>
      <c r="F3927">
        <f>HYPERLINK("https://www.reddit.com/r/cancer/comments/cm2wqc/what_are_some_good_resourceswebsitesinfo_on_new/")</f>
        <v/>
      </c>
      <c r="G3927" t="inlineStr">
        <is>
          <t>2019-08-04 15:58:54</t>
        </is>
      </c>
      <c r="H3927" t="inlineStr"/>
    </row>
    <row r="3928">
      <c r="A3928" t="inlineStr">
        <is>
          <t>cm3ftq</t>
        </is>
      </c>
      <c r="B3928" t="inlineStr">
        <is>
          <t>My last treatment is tomorrow</t>
        </is>
      </c>
      <c r="C3928" t="inlineStr">
        <is>
          <t>And holy fuck the emotions. It’s my last brachytherapy for cervical cancer. I hate going. I hate being stuck on the table. I hate the rods in my vag and being stuck for hours. God it sucks. But it’s over tomorrow. I leave the hospital and I get to go home and relax for a few days before I see another dr. And they aren’t gonna keep me. Just monitoring blood and junk. What do I do next?</t>
        </is>
      </c>
      <c r="D3928" t="n">
        <v>77</v>
      </c>
      <c r="E3928" t="n">
        <v>16</v>
      </c>
      <c r="F3928">
        <f>HYPERLINK("https://www.reddit.com/r/cancer/comments/cm3ftq/my_last_treatment_is_tomorrow/")</f>
        <v/>
      </c>
      <c r="G3928" t="inlineStr">
        <is>
          <t>2019-08-04 16:48:06</t>
        </is>
      </c>
      <c r="H3928" t="inlineStr"/>
    </row>
    <row r="3929">
      <c r="A3929" t="inlineStr">
        <is>
          <t>cm3xtx</t>
        </is>
      </c>
      <c r="B3929" t="inlineStr">
        <is>
          <t>I’ve been on levothyroxine for 3 months now, trying out different doses but I keep noticing side effects/changes that aren’t necessarily described/associated with it. What are people’s experiences with it?</t>
        </is>
      </c>
      <c r="C3929" t="inlineStr">
        <is>
          <t>I have aggressive metastatic papillary cancer and I’ve started taking levothyroxine and will obviously be on it for the rest of my life now but I’m noticing side effects. Just wondering how others have dealt with being on it?</t>
        </is>
      </c>
      <c r="D3929" t="n">
        <v>4</v>
      </c>
      <c r="E3929" t="n">
        <v>7</v>
      </c>
      <c r="F3929">
        <f>HYPERLINK("https://www.reddit.com/r/cancer/comments/cm3xtx/ive_been_on_levothyroxine_for_3_months_now_trying/")</f>
        <v/>
      </c>
      <c r="G3929" t="inlineStr">
        <is>
          <t>2019-08-04 17:35:42</t>
        </is>
      </c>
      <c r="H3929" t="inlineStr"/>
    </row>
    <row r="3930">
      <c r="A3930" t="inlineStr">
        <is>
          <t>cm4ahr</t>
        </is>
      </c>
      <c r="B3930" t="inlineStr">
        <is>
          <t>Anyone got hives as a side effect of ibrance?</t>
        </is>
      </c>
      <c r="C3930" t="inlineStr">
        <is>
          <t>My mom has been having them, trying to find something that can help with it.  Antihistamines have had some effect but they keep happening.  She got some quercetin, so I'm hoping that'll help, but wondering if there's anything else to look into.</t>
        </is>
      </c>
      <c r="D3930" t="n">
        <v>1</v>
      </c>
      <c r="E3930" t="n">
        <v>2</v>
      </c>
      <c r="F3930">
        <f>HYPERLINK("https://www.reddit.com/r/cancer/comments/cm4ahr/anyone_got_hives_as_a_side_effect_of_ibrance/")</f>
        <v/>
      </c>
      <c r="G3930" t="inlineStr">
        <is>
          <t>2019-08-04 18:09:24</t>
        </is>
      </c>
      <c r="H3930" t="inlineStr"/>
    </row>
    <row r="3931">
      <c r="A3931" t="inlineStr">
        <is>
          <t>cm4wm2</t>
        </is>
      </c>
      <c r="B3931" t="inlineStr">
        <is>
          <t>Anyone been through radio/Xeloda for rectal cancer?</t>
        </is>
      </c>
      <c r="C3931" t="inlineStr">
        <is>
          <t>Post local excision for a T2 tumor, and the pathology showed "small" lymphovascular invasion, even though the margins were clean.
One doctor says there's more than a 90% chance it's gone for good, another says my chances of recurrence are north of 50%.
I don't think proton therapy is applicable, and I'm terrified of pelvic radiation for all the long term side effects (urinary, sexual, bowel, more cancer), and not thrilled about the idea of Xeloda either (liver toxicity, etc... FOLFOX didn't do a thing for me initially).
Anyone go through adjuvant therapy for rectal cancer like this? I'm looking for some input or bright ideas.</t>
        </is>
      </c>
      <c r="D3931" t="n">
        <v>1</v>
      </c>
      <c r="E3931" t="n">
        <v>4</v>
      </c>
      <c r="F3931">
        <f>HYPERLINK("https://www.reddit.com/r/cancer/comments/cm4wm2/anyone_been_through_radioxeloda_for_rectal_cancer/")</f>
        <v/>
      </c>
      <c r="G3931" t="inlineStr">
        <is>
          <t>2019-08-04 19:07:54</t>
        </is>
      </c>
      <c r="H3931" t="inlineStr"/>
    </row>
    <row r="3932">
      <c r="A3932" t="inlineStr">
        <is>
          <t>cm52ym</t>
        </is>
      </c>
      <c r="B3932" t="inlineStr">
        <is>
          <t>I have a rare form of cancer and I don't know what to do</t>
        </is>
      </c>
      <c r="C3932" t="inlineStr">
        <is>
          <t>I few weeks ago, I was diagnosed with a rare form of skin cancer called porocarcinoma. The Dr. Told that it is incredibly rare form of skin cancer and even rarer for someone in my age group (early twenties) I have an appointment later this month with a dermatologist for surgery.  I did a ct scan last week. I don't. Know the results of the scan and no one has really explained my situation to me. How severe is the cancer? Am I going to die or not? What should I do to prepare for the surgery? Because of this uncertainty, I constantly feel anxious, fearful, saddened, and depressed. The friends and family that are aware of situation are incredibly caring and supportive but I can't help feeling incredibly alone. I currently am not in any pain but I am aware that the cancer is there. I try to live my life as normal as possible but it just eats me up inside. Do any of you have any experience with porocarcinoma? Do any of you know more about this type of cancer? And I want to thank everyone for reading this providing any input. Thank you.</t>
        </is>
      </c>
      <c r="D3932" t="n">
        <v>15</v>
      </c>
      <c r="E3932" t="n">
        <v>8</v>
      </c>
      <c r="F3932">
        <f>HYPERLINK("https://www.reddit.com/r/cancer/comments/cm52ym/i_have_a_rare_form_of_cancer_and_i_dont_know_what/")</f>
        <v/>
      </c>
      <c r="G3932" t="inlineStr">
        <is>
          <t>2019-08-04 19:25:27</t>
        </is>
      </c>
      <c r="H3932" t="inlineStr"/>
    </row>
    <row r="3933">
      <c r="A3933" t="inlineStr">
        <is>
          <t>cm555r</t>
        </is>
      </c>
      <c r="B3933" t="inlineStr">
        <is>
          <t>Coping with parents suffering, guilt</t>
        </is>
      </c>
      <c r="C3933" t="inlineStr">
        <is>
          <t>*TW not happy or positive*
I live abroad, but just flew home to be with my dad as he is now in hospice. It was quite sudden- in a month he went from doing ok to, well, hospice.
He  managed his own meds via GI(stomach) tube for a year, after radiation made him unable to eat or drink. Even his own morphine. Then as it got complicated his partner tried to help but she couldn’t keep track of all the meds.
Anyway, now he’s in hospice. The Drs say that his care is too specialized for him to be able to go home. He’s on an OxyContin driver(pump) and a nerve blocker, and receives IV short-term meds for breakthrough pain. Sometimes they use his stomach tube.
The tumor is big, in his neck, and it is oozing, they have found blood some days which is a big concern and I think the main reason maybe that he can’t come home? 
He is also bedridden at this point. 
But I’m still just, struggling. He just wants to go home and eat and feel normal. He can’t eat, but does this really sound like he could never come home? He always is so sad when we leave and asks who’s coming in next.  We want to start staying over with him.
I just wish we could bring him home. I think it would bring him relief. He  didn’t even get to say goodbye to the house he put so much work into. I feel like a monster distracting him when he says he wants to go home.</t>
        </is>
      </c>
      <c r="D3933" t="n">
        <v>6</v>
      </c>
      <c r="E3933" t="n">
        <v>6</v>
      </c>
      <c r="F3933">
        <f>HYPERLINK("https://www.reddit.com/r/cancer/comments/cm555r/coping_with_parents_suffering_guilt/")</f>
        <v/>
      </c>
      <c r="G3933" t="inlineStr">
        <is>
          <t>2019-08-04 19:31:42</t>
        </is>
      </c>
      <c r="H3933" t="inlineStr"/>
    </row>
    <row r="3934">
      <c r="A3934" t="inlineStr">
        <is>
          <t>cm575d</t>
        </is>
      </c>
      <c r="B3934" t="inlineStr">
        <is>
          <t>My mom is in her last few weeks, and it is so, so hard...</t>
        </is>
      </c>
      <c r="C3934" t="inlineStr">
        <is>
          <t>My mom (57F) has had breast cancer for three years, but we found out two weeks ago that it has spread to her brain. She was given a month then and put on hospice. I live 800 miles away but I am here now to help take care of her. 
I don't really know what to say, other than that this is so, SO hard. I'm only 25, single, no kids (or S/O) and here I am buying my mom's plot at the cemetery, and listening to her talk about how she wants to die faster. Not because she's in pain, but because her quality of life is zero. She can't do the things she loves, she can't enjoy family, she's just so tired all the time, and my strong independent momma needs help to go to the bathroom.
My mood is so sour all the time, some from living with my parents now when I'm used to living by myself, but mostly that my best friend is being taken from me, and when she's gone is when I'll need her the most.
It's so cliche... but you hear of people dying of cancer and you think it's something that happens to other people. Not me. My parents are too strong, too independent, too happy. And then you get a stage 4 diagnosis and you think well... she'll be in that 0.00001 percent that lives another 30 years! Just to be proven wrong... it's truly earth-shattering.
I don't really know why I'm posting here, I hope this doesn't drag anyone down. I just wanted to vent. Because cancer can fuck right off.</t>
        </is>
      </c>
      <c r="D3934" t="n">
        <v>7</v>
      </c>
      <c r="E3934" t="n">
        <v>10</v>
      </c>
      <c r="F3934">
        <f>HYPERLINK("https://www.reddit.com/r/cancer/comments/cm575d/my_mom_is_in_her_last_few_weeks_and_it_is_so_so/")</f>
        <v/>
      </c>
      <c r="G3934" t="inlineStr">
        <is>
          <t>2019-08-04 19:37:16</t>
        </is>
      </c>
      <c r="H3934" t="inlineStr"/>
    </row>
    <row r="3935">
      <c r="A3935" t="inlineStr">
        <is>
          <t>cm5mdm</t>
        </is>
      </c>
      <c r="B3935" t="inlineStr">
        <is>
          <t>Chemo fatigue</t>
        </is>
      </c>
      <c r="C3935" t="inlineStr">
        <is>
          <t>I finished my six month course of bendamustine and Rituxan for my NHL in April and am now on a bi-monthly treatment with just Rituxan for maintenance for two years.   I'm still fighting fatigue.  I try to meditate, exercise and keep going but I'm just wiped out most of the time.  Has anyone out there found anything that helped with the fatigue and brain fog?  All I want to do is nap even though I'm several months out from my full course.  My oncologist doesn't have any suggestions and just kind of shrugs his shoulders when I bring this up.  Any suggestions would be very much appreciated.</t>
        </is>
      </c>
      <c r="D3935" t="n">
        <v>3</v>
      </c>
      <c r="E3935" t="n">
        <v>4</v>
      </c>
      <c r="F3935">
        <f>HYPERLINK("https://www.reddit.com/r/cancer/comments/cm5mdm/chemo_fatigue/")</f>
        <v/>
      </c>
      <c r="G3935" t="inlineStr">
        <is>
          <t>2019-08-04 20:18:05</t>
        </is>
      </c>
      <c r="H3935" t="inlineStr"/>
    </row>
    <row r="3936">
      <c r="A3936" t="inlineStr">
        <is>
          <t>cm6l2r</t>
        </is>
      </c>
      <c r="B3936" t="inlineStr">
        <is>
          <t>Reflecting upon losing a loved one.</t>
        </is>
      </c>
      <c r="C3936" t="inlineStr">
        <is>
          <t>I lost my mom this March 2019 to stage 4 cancer. I recently turned 27 and my mother was just 56. It’s still surreal that I’ll never get to raise a family without my mom having grandkids and growing old etc. Life have many curveballs and it just really sucks being in this statistic and pivotal age of losing my best friend pretty much. I think about her everyday and for some reason I almost smile or chuckle just knowing she’s somewhere way greater than this earth, with others that have passed. It’s just good to write about things and get it off your mind. Feel free to post about how you’ve been feeling or coping with losing a loved one.</t>
        </is>
      </c>
      <c r="D3936" t="n">
        <v>8</v>
      </c>
      <c r="E3936" t="n">
        <v>6</v>
      </c>
      <c r="F3936">
        <f>HYPERLINK("https://www.reddit.com/r/cancer/comments/cm6l2r/reflecting_upon_losing_a_loved_one/")</f>
        <v/>
      </c>
      <c r="G3936" t="inlineStr">
        <is>
          <t>2019-08-04 21:57:03</t>
        </is>
      </c>
      <c r="H3936" t="inlineStr"/>
    </row>
    <row r="3937">
      <c r="A3937" t="inlineStr">
        <is>
          <t>cm7cas</t>
        </is>
      </c>
      <c r="B3937" t="inlineStr">
        <is>
          <t>My mom has a mysterious lump inside her elbow.</t>
        </is>
      </c>
      <c r="C3937" t="inlineStr">
        <is>
          <t>Hi everyone! My mother came up to me and showed me that she has a weird bump/lump inside her upper inner elbow. Now this can not be seen at all and you’d have to feel it with your hands in order to know where it is. It seems relatively small and has a peak which is ~1 inch in diameter. Now it didn’t seem like a big deal to me until I searched it up, there are quite a few cases but one of them is soft tissue sarcoma. I didn’t tell her this but I told her to go to a doctor asap just in case and I’m hoping that’s not the case. Realistically it could be a cyst or a regular tumor. She did say she fell on her elbow a few days ago. What do you guys think? I’m just worried and overthinking, tomorrow is a holiday so no doctors available so realistically she could only go for a check up in 2 days</t>
        </is>
      </c>
      <c r="D3937" t="n">
        <v>0</v>
      </c>
      <c r="E3937" t="n">
        <v>0</v>
      </c>
      <c r="F3937">
        <f>HYPERLINK("https://www.reddit.com/r/cancer/comments/cm7cas/my_mom_has_a_mysterious_lump_inside_her_elbow/")</f>
        <v/>
      </c>
      <c r="G3937" t="inlineStr">
        <is>
          <t>2019-08-04 23:22:38</t>
        </is>
      </c>
      <c r="H3937" t="inlineStr"/>
    </row>
    <row r="3938">
      <c r="A3938" t="inlineStr">
        <is>
          <t>cm7cy2</t>
        </is>
      </c>
      <c r="B3938" t="inlineStr">
        <is>
          <t>Hard time mentally accepting new scan results (advice on how to keep fighting?)</t>
        </is>
      </c>
      <c r="C3938" t="inlineStr">
        <is>
          <t>It’s 2:15 am EST so I appericate anyone out here reading but I have been having a very hard time digesting my new scan results this week. 
I battled through lymphoma in 2014 and I, as well as the doctors, were shocked when I got diagnosed with salivary gland cancer in March. 
The disease was local and after surgery doctors recommend proton therapy and chemo to make sure it knocks it right on its ass. 
I went through 7 weeks on concurrent chemo and 66gy radiation where I was pretty weaken. 
As I’m getting my PET scan results Wednesday to confirm my remission, there are two lesions noted in the pleura of my lungs. 
I got a PET exactly three months ago before starting treatment and nothing was there. Abs nothing 
Now, after 5 months of treatment,  I have to go to surgery rads immunotherapy chemo and whatever else. I’m 26 and physically my body can take it but mentally I have given up. 
After treatment I didn’t get a chance to breath, or relax or enjoy even a month of remission. 
I don’t know how to calm my mind down believing that I’m racing against the clock fighting the cancer in one part of my body while it grows in another. 
A week ago I was hiking 5 miles in Seattle and now after learning I have lesions in my lungs I’m breathing heavily, completely lost of body confidence. 
I don’t know what to tell work, family, or friends that I’m “not done”
I need advice (aside from “just do it”) on how to mentally prepare myself for more and more treatment. 
To everyone on this forum that is battling, battled, or is taking care of something battling you are in my thoughts and I thank all of you for the support. 
A</t>
        </is>
      </c>
      <c r="D3938" t="n">
        <v>24</v>
      </c>
      <c r="E3938" t="n">
        <v>14</v>
      </c>
      <c r="F3938">
        <f>HYPERLINK("https://www.reddit.com/r/cancer/comments/cm7cy2/hard_time_mentally_accepting_new_scan_results/")</f>
        <v/>
      </c>
      <c r="G3938" t="inlineStr">
        <is>
          <t>2019-08-04 23:24:51</t>
        </is>
      </c>
      <c r="H3938" t="inlineStr"/>
    </row>
    <row r="3939">
      <c r="A3939" t="inlineStr">
        <is>
          <t>cm92ht</t>
        </is>
      </c>
      <c r="B3939" t="inlineStr">
        <is>
          <t>liver transplant in India</t>
        </is>
      </c>
      <c r="C3939" t="inlineStr">
        <is>
          <t xml:space="preserve"> With the privilege of hosting world-acclaimed hospitals with highly skilled transplant surgeons, India is a worthy option for medical travelers looking for liver transplant surgery. 
Visit [MedicoExperts](https://www.medicoexperts.com/liver-transplantation) to know more about Liver transplant in India.</t>
        </is>
      </c>
      <c r="D3939" t="n">
        <v>1</v>
      </c>
      <c r="E3939" t="n">
        <v>0</v>
      </c>
      <c r="F3939">
        <f>HYPERLINK("https://www.reddit.com/r/cancer/comments/cm92ht/liver_transplant_in_india/")</f>
        <v/>
      </c>
      <c r="G3939" t="inlineStr">
        <is>
          <t>2019-08-05 03:03:37</t>
        </is>
      </c>
      <c r="H3939" t="inlineStr"/>
    </row>
    <row r="3940">
      <c r="A3940" t="inlineStr">
        <is>
          <t>cmaj3t</t>
        </is>
      </c>
      <c r="B3940" t="inlineStr">
        <is>
          <t>The world got upside down</t>
        </is>
      </c>
      <c r="C3940" t="inlineStr">
        <is>
          <t>Sorry if this becomes longer, I'm not even sure how to begin this.
When I was 16yo, my little sister died (within 3 weeks from diagnosis) of cancer when she was 11. Six month later, my mother (38y) died also of cancer (within 3 months). A few years later, my uncle and grandma died of the same illness, too. After my sister and mom died, I had a genetic test done because university hospital lab technicians found it striking that two of my first-degree blood relatives died of this disease in such a short time. It turned out that I have a genetic defect in the tp-53 gene and that the risk of developing cancer is very high. Nobody seemed to be able to help me with that and there were no contact points for me either. I had the diagnosis and was on my own with it.
At first, every time I had pain anywhere, I had panic attacks, but it went better with every months passing by. I learned to live with the knowledge that one day I'd get cancer. It was never a question of IF, but of WHEN. I tried to prepare myself for the time when sh\*t would hit the fan and I thought I was doing okay. I gave my documents to every docter I went, but they knew nothing and everyone of them underestimated it. I had thoughts about family planning, I discussed it with my SO, but in the end I wasn't sure if I wanted kids. The risk of passing that genetic defect on to my children and watching them die was too much a risk for me. I didn't want to burden my SO with him watching his children die, it would be enough if he had to go through it with me one day.
As the years passed my hope of getting old (like my grandma, she was 76) grew. I felt safe and everything was just like a bad dream of the past. And then, 2019 happened. In April, I found a lump in my chest, and two weeks ago, I got diagnosed with breastcancer. I had a ton of examinations, from punches to bone scan to MRT and I still need some diagnoses because the doctors have a hunch that the cancer has spread into the lungs and the spine.
I realised that (almost) all my mental preparations where useless. I am so scared and I don't know what to do. I try to live a "normal" life as long as possible, but everything has a bitter aftertaste. Every morning I wake up feeling like I've ended up in a nightmare and the treatments haven't even started yet. I'm 34 years old and I don't know if I should dare to dream about my life after cancer. Why does life have to be so unfair?
&amp;amp;#x200B;
If you read through until the end: thank you. I don't know what I need right now, perhaps I wanted to say 'hi' to my new family at this really bad country club (I read this in another post and it cheered me up), perhaps I just needed to vent.</t>
        </is>
      </c>
      <c r="D3940" t="n">
        <v>85</v>
      </c>
      <c r="E3940" t="n">
        <v>8</v>
      </c>
      <c r="F3940">
        <f>HYPERLINK("https://www.reddit.com/r/cancer/comments/cmaj3t/the_world_got_upside_down/")</f>
        <v/>
      </c>
      <c r="G3940" t="inlineStr">
        <is>
          <t>2019-08-05 05:45:31</t>
        </is>
      </c>
      <c r="H3940" t="inlineStr"/>
    </row>
    <row r="3941">
      <c r="A3941" t="inlineStr">
        <is>
          <t>cmb05u</t>
        </is>
      </c>
      <c r="B3941" t="inlineStr">
        <is>
          <t>At the Beginning of the Journey</t>
        </is>
      </c>
      <c r="C3941" t="inlineStr">
        <is>
          <t>My family is at the beginning of the cancer journey. We know my husband has cancer, but not what kind, where it started, or how to treat it. 
It all started with sleeping a LOT more, a cough that wouldn't go away and low back pain. I kept after him to go back to his doctor, or to urgent care, but he kept resisting. He would cough so hard he got dizzy from lack of oxygen. The day he told me that he almost passed out at church so he left Mass and went to his car, I had enough. I made the appointment with his doctor and went with him. Apparently the last 2 visits (I couldn't go to those) he had mentioned the cough but said it was a tickle in his throat and minimized it. He also told his doctor that he wasn't totally sure why I made him go to the doctor.  
His doc is female and really good. She did a chest xray and sent him for an MRI on his back and an ultrasound on a lump in his neck (that I didn't know about until the appointment - it didn't show unless you were specifically feeling around for it). We also saw his cardiologist because husband kept feeling like he couldn't catch his breath. A stress test showed a shadow that might or might not be something. They wanted to stick a catheter in to check it out and put in a stent if it was needed. Before we could do that, the MRI of his back was done and the results were bad. They cancelled the heart thing because of the results of the MRI. 
The ultrasound of the neck lump also showed cancer, so they scheduled an ultrasound guided biopsy of it. That showed adenocarcinoma. We don't know where it started. We do know it didn't start in the neck or the back. A few days after that was done, we went to the ER because he felt like he could not breathe. They did a chest CT and told us that they were not sure why he couldn't breathe. They only let us go home because we were seeing the radiologist that day. It was our 2nd ER trip in under 2 weeks. 
Hubby has a great cancer doc. Radiation is supposed to start in a few hours. We still don't know where all the cancer has spread to, or where it started, or what kind it is. He was always so healthy - never smoked, drinks moderately (not at all now with the pain meds), ate healthy foods and exercised. At least he went into this healthy. He isn't eating much. He is on oxygen. We do know that there are at least 8 tumors - 5 in his lungs, 1 in his neck, 1 in his spine and 1 we don't know about that is the starting point. I think we are going to find more. We have a PET scan today and radiation daily for a while. We get more answers on Thursday. 
It is so hard to be strong. Our oldest is on his own but our younger 2 are still at home. Our daughter has health problems and can't work full time. Our youngest is starting his 2nd year of college and living at home to save money. I am so glad they are here, but it is hard to be strong for them. They are HUGE helps with their dad, but they get so overwhelmed. His dad and stepmom come into town whenever he has an appointment with the cancer doc. They live about an hour away but will come to help any time we ask them to. My parents live close by and are willing to do anything to help. I keep it together at home, at least so far. The kids need that, at least until we have more answers. 
How do you all cope with all of this? It is just one thing after another. Every time we think we will get answers or something done, there is another crisis. We still don't know when/if that heart catheter/stent thing will be done. We are pretty sure that chemo will have to happen, but we don't know when or what all will be involved. 
I am the type who likes to have more information than less information. I like to have a plan. Every time we think there is a plan, there is another thing that complicates it. I really don't know how much more any of us can handle. We don't leave him alone longer than it takes to go use the bathroom. We even trade off who sleeps near him.  
I just don't even know how to handle all of this. I guess 1 minute at a time is all we can do. Thanks for ANY advice, tips, hints, whatever.</t>
        </is>
      </c>
      <c r="D3941" t="n">
        <v>13</v>
      </c>
      <c r="E3941" t="n">
        <v>3</v>
      </c>
      <c r="F3941">
        <f>HYPERLINK("https://www.reddit.com/r/cancer/comments/cmb05u/at_the_beginning_of_the_journey/")</f>
        <v/>
      </c>
      <c r="G3941" t="inlineStr">
        <is>
          <t>2019-08-05 06:31:04</t>
        </is>
      </c>
      <c r="H3941" t="inlineStr"/>
    </row>
    <row r="3942">
      <c r="A3942" t="inlineStr">
        <is>
          <t>cmbfyh</t>
        </is>
      </c>
      <c r="B3942" t="inlineStr">
        <is>
          <t>Sutent/Sunitinib treatment</t>
        </is>
      </c>
      <c r="C3942" t="inlineStr">
        <is>
          <t>Hi All,
Wife was diagnosed with Uveal \\Mmelanoma and after therapy/biopsy of the tumor we were given the news that her case has a greater than 50% chance of spreading to her Liver.  We were given a couple clinical trials to prevent spread to look into if we have the means to do so and we settled on a trail in Philly where she will be given Sutent for a year to prevent metastasis. We go for our first appointment in a couple weeks.
My question is for those who have been on this medicine. How bad can we expect her side effects to be?  My wife is quite worried about quality of life once she starts to take the meds especially because treatment is a year long.
Any information anybody can provide is much appreciated.</t>
        </is>
      </c>
      <c r="D3942" t="n">
        <v>2</v>
      </c>
      <c r="E3942" t="n">
        <v>0</v>
      </c>
      <c r="F3942">
        <f>HYPERLINK("https://www.reddit.com/r/cancer/comments/cmbfyh/sutentsunitinib_treatment/")</f>
        <v/>
      </c>
      <c r="G3942" t="inlineStr">
        <is>
          <t>2019-08-05 07:09:55</t>
        </is>
      </c>
      <c r="H3942" t="inlineStr"/>
    </row>
    <row r="3943">
      <c r="A3943" t="inlineStr">
        <is>
          <t>cmbza6</t>
        </is>
      </c>
      <c r="B3943" t="inlineStr">
        <is>
          <t>Today was horrible</t>
        </is>
      </c>
      <c r="C3943" t="inlineStr">
        <is>
          <t>Hey guys. I need to vent. Today 8am I started my 5th out of 6 chemo cycles. They tried to use my notorious hard to get port which didn't work. Send me to radiology to get a clear picture of what's going on. Radiology nurse managed to get the needle in and send me back. (It's only a 3min footwalk from my oncologist to the radiologist). When I arrive back it's past 9am and I have at least 4,5h of chemo ahead of me (Beacopp escalated). After about 40min into the therapy the needle flops out. So they needed to use my arm again. Great. 
I was home past 2pm. I feel like shit. Completely weak, can't eat, can't drink. Head is dizzy af. Worst part? Tomorrow is the next appointment.</t>
        </is>
      </c>
      <c r="D3943" t="n">
        <v>21</v>
      </c>
      <c r="E3943" t="n">
        <v>8</v>
      </c>
      <c r="F3943">
        <f>HYPERLINK("https://www.reddit.com/r/cancer/comments/cmbza6/today_was_horrible/")</f>
        <v/>
      </c>
      <c r="G3943" t="inlineStr">
        <is>
          <t>2019-08-05 07:55:03</t>
        </is>
      </c>
      <c r="H3943" t="inlineStr"/>
    </row>
    <row r="3944">
      <c r="A3944" t="inlineStr">
        <is>
          <t>cmdixs</t>
        </is>
      </c>
      <c r="B3944" t="inlineStr">
        <is>
          <t>After mastectomy and Oophorectomy - Any risk of use HRT?(Hormone Replacement Therapy)</t>
        </is>
      </c>
      <c r="C3944" t="inlineStr">
        <is>
          <t>Is possible to increase chance to get a cancer if female use HRT even after mastectomy and Oophorectomy?</t>
        </is>
      </c>
      <c r="D3944" t="n">
        <v>1</v>
      </c>
      <c r="E3944" t="n">
        <v>3</v>
      </c>
      <c r="F3944">
        <f>HYPERLINK("https://www.reddit.com/r/cancer/comments/cmdixs/after_mastectomy_and_oophorectomy_any_risk_of_use/")</f>
        <v/>
      </c>
      <c r="G3944" t="inlineStr">
        <is>
          <t>2019-08-05 09:53:02</t>
        </is>
      </c>
      <c r="H3944" t="inlineStr"/>
    </row>
    <row r="3945">
      <c r="A3945" t="inlineStr">
        <is>
          <t>cme4vk</t>
        </is>
      </c>
      <c r="B3945" t="inlineStr">
        <is>
          <t>How do I support and help my mom and step dad?</t>
        </is>
      </c>
      <c r="C3945" t="inlineStr">
        <is>
          <t>Just over two weeks ago my step dad went to the hospital with trouble breathing. He has COPD so this wasn’t unusual. Things quickly took a turn when they found a 7cm tumor on his longs. A few days after he was admitted his lung collapsed and he has slowly declined. Additional testing revealed tumors in his kidneys, adrenal gland and brain. He has chosen not to pursue chemo which the doctors seem to agree with. His cancer is stage 4 small cell neuroendocrine carcinoma. Because it is very aggressive, most of the doctors seem to agree it may extend the quantity of his life a little, but not the quality. 
With that being said, we’ve brought him on hospice care. In the days before he went home his mental state was extremely poor. At one point he didn’t even know his name. Being home and on steroids for the swelling is like a night and day difference. He definitely isn’t all there, but he knows who we are, who he is, how to use the tv/computer, remembers his passwords, and is *mostly* mentally functioning. 
He requires a lot of care even now and cannot be alone at any point. The level of care will be greater as he comes of steroids and continues to decline. The timeline we’ve been given is 3 months. 
Right now mom has her best friend to help but she is leaving Wednesday. She’s very overwhelmed and almost never texts me back. My sister and I want to be there to help but right now there’s so many people in and out of her house in the day she doesn’t need any help extra help around those times. In the evening, she enjoys the quiet and her friend is there. I know she would like to see us, but everything is overwhelming for now when it calms down it seems best we stay away. 
I know this will change. I fear she won’t ask for help. My sister and I would like to form a loose schedule of when we can be there to help with his care but I don’t want to bring it up because I know she’s too overwhelmed right now. How do I approach this? How do I support them both? How do I make sure she doesn’t wind herself up with “I can do this talk” and exerts herself until her heart problem flares up, or he has a fall, or something worse. 
Her best friend (who is an RN) has been really helpful and reminded her she WILL need a care plan and people around to help most of the time as we can’t afford 24 hour hospice care. She seems to understand, but just can’t think about it right now. I know day by day things will change I just want to make sure she is ok and asking for help when she needs it.</t>
        </is>
      </c>
      <c r="D3945" t="n">
        <v>2</v>
      </c>
      <c r="E3945" t="n">
        <v>1</v>
      </c>
      <c r="F3945">
        <f>HYPERLINK("https://www.reddit.com/r/cancer/comments/cme4vk/how_do_i_support_and_help_my_mom_and_step_dad/")</f>
        <v/>
      </c>
      <c r="G3945" t="inlineStr">
        <is>
          <t>2019-08-05 10:37:11</t>
        </is>
      </c>
      <c r="H3945" t="inlineStr"/>
    </row>
    <row r="3946">
      <c r="A3946" t="inlineStr">
        <is>
          <t>cme5p7</t>
        </is>
      </c>
      <c r="B3946" t="inlineStr">
        <is>
          <t>Things are getting worse.. and no one cares</t>
        </is>
      </c>
      <c r="C3946" t="inlineStr">
        <is>
          <t>I’m writing this from my moms hospital room. Last year she was diagnosed with stage 4 NSC lung cancer which had metastasized to the brain, bones, adrenals, liver (just so many places). Things have just been getting worse lately and she’s just been hospitalized because she had a huge amount of fluid buildup in her abdomen. She can hardly stay awake to take her medicines and hasn’t eaten a real meal in weeks. She is so weak and it’s so hard to see her like this and in so much pain. 
This is going to be a rant so beware. 
Anyways more than anything it just hurts how little support we have. Me, my sister and my dad are all together and we support one another. So I am really fortunate in that. But it is so hard to not have any of my friends reaching out. They know she’s not doing well and no one has messaged me or tried to see how I’m doing. People just don’t even care or think about anything that is going on here.
My friends all are going out and having fun and it feels like no one even thinks twice about how hard this time is for me. My boyfriend of three years just broke up with me too, which I can’t even get into, but I am more alone now than ever without even him to rely on. 
Even my moms family (siblings) hardly reach out and visit. It’s just so unfair!! Why does this disease isolate us so much from everyone. Why are we alone in the room for hours from morning to night? Sorry for ranting I just haven’t felt this alone in so long and I’m so mad at everything because nothing is fair</t>
        </is>
      </c>
      <c r="D3946" t="n">
        <v>21</v>
      </c>
      <c r="E3946" t="n">
        <v>18</v>
      </c>
      <c r="F3946">
        <f>HYPERLINK("https://www.reddit.com/r/cancer/comments/cme5p7/things_are_getting_worse_and_no_one_cares/")</f>
        <v/>
      </c>
      <c r="G3946" t="inlineStr">
        <is>
          <t>2019-08-05 10:39:01</t>
        </is>
      </c>
      <c r="H3946" t="inlineStr"/>
    </row>
    <row r="3947">
      <c r="A3947" t="inlineStr">
        <is>
          <t>cmfncw</t>
        </is>
      </c>
      <c r="B3947" t="inlineStr">
        <is>
          <t>Searching for bone marrow donors</t>
        </is>
      </c>
      <c r="C3947" t="inlineStr">
        <is>
          <t>Hi,
My friend’s mom has had cancer for quite a while now, and my family and I just recently found out how serious it is. She is currently in ICU, and bone marrow donation would save her life.
She is Korean, meaning the bone marrow donor also needs to be 100% Korean, which is problematic considering the low number of such donors.
If you or anyone you know have any advice tips, or need more details about this, please let me know. I have no doubt that the family would be willing to pay any price should it be required. Additionally, if there is anywhere else I can post to look for possible matches, I would be forever grateful.
Thanks in advance and have a great day.</t>
        </is>
      </c>
      <c r="D3947" t="n">
        <v>5</v>
      </c>
      <c r="E3947" t="n">
        <v>3</v>
      </c>
      <c r="F3947">
        <f>HYPERLINK("https://www.reddit.com/r/cancer/comments/cmfncw/searching_for_bone_marrow_donors/")</f>
        <v/>
      </c>
      <c r="G3947" t="inlineStr">
        <is>
          <t>2019-08-05 12:28:22</t>
        </is>
      </c>
      <c r="H3947" t="inlineStr"/>
    </row>
    <row r="3948">
      <c r="A3948" t="inlineStr">
        <is>
          <t>cmfzte</t>
        </is>
      </c>
      <c r="B3948" t="inlineStr">
        <is>
          <t>Anger</t>
        </is>
      </c>
      <c r="C3948" t="inlineStr">
        <is>
          <t>Did anyone suffer from extreme mood swings and anger as a symptom BEFORE diagnosis?</t>
        </is>
      </c>
      <c r="D3948" t="n">
        <v>1</v>
      </c>
      <c r="E3948" t="n">
        <v>1</v>
      </c>
      <c r="F3948">
        <f>HYPERLINK("https://www.reddit.com/r/cancer/comments/cmfzte/anger/")</f>
        <v/>
      </c>
      <c r="G3948" t="inlineStr">
        <is>
          <t>2019-08-05 12:52:50</t>
        </is>
      </c>
      <c r="H3948" t="inlineStr"/>
    </row>
    <row r="3949">
      <c r="A3949" t="inlineStr">
        <is>
          <t>cmg0ay</t>
        </is>
      </c>
      <c r="B3949" t="inlineStr">
        <is>
          <t>Cancer. Life after. My story.</t>
        </is>
      </c>
      <c r="C3949" t="inlineStr">
        <is>
          <t>So I'm sure you all have your own problems but I don't know where else to post. This is my story.
   It all started with slight back pains the summer after grade 6. (I was about 12 or 13; too young.) What started as as small ache, slowly progressed into a pain that bothered me so much I didn't feel comfortable in any position. My parents got me in to see a doctor a few days before I went back to school. I was told I had possibly broken a rib and and had some x-rays done.
  On the first day of school I was really happy. Thinking everything was fine and that my pain would eventually subside. Well about halfway through my day, I get pulled out of class. I get a call from my mom, sobbing. The X-ray   results showed that I had a large tumor partially attached to my 10th rib. That same day I went to the hospital for a CT scan and to have a biopsy done...
    It was confirmed that I had a rare bone cancer called euwings sarcoma. With that information, my 13 y/o mind was all over the place. I was in total shock. I didn't know what to feel. My life was fine one minute and shit the next. I was scared, scared of death, scared of leaving my family. The doctors explained chemotherapy to me, told me I would lose all my hair, and that I would have to carry around a little pump at school to keep me hydrated . The tears just rolled down my face as I stood there with a blank terrified stare. 
   The next 13 rounds of chemo during that year were excruciating. I couldn't eat without vomiting up my entire stomach. I was as weak as a human could be and on top of that, I had to be at school. When I returned to school after my diagnosis, my hair had already fallen out completely so I wore beanies, bandanas, and baseball caps. Everyone would stare. There were terrible people who made fun of me for how bald I was. In a few instances, people would rip off my hat in the middle of the hallway to see my head and they would laugh. There were many times when I would leave class for "being sick" but in reality I would just sit in the bathroom and cry. I had no friends. I thought about suicide regularly at that point in my life. If it weren't for my parents being there for me every step of the way, things might be different now.
   When the treatment had done it's work and shrank the tumor, after what felt like years, it was removed and everyone around me was thrilled that I was cancer free, that I was okay. I was very far from ok at the time but I didn't show it. I wanted everyone to stay happy. I felt like I was in a permanent slump. A year passed by.. horribly depressed, still no friends, and just starting highschool. I distanced myself from everyone and things began to get worse and worse in my head.
   Well one day while browsing the internet, I came across marijuana on some list or something of ways to relieve symptoms of chemo. I was done with the chemo by then but I read some comments of survivers feeling "able to live again" so I figured I'd give it a try regardless of my stance on drugs at the time. I acquired some some low dose edibles and gave them a try. It was amazing. I hadn't felt happy in years and with a few bites of something I'd never had, I was feeling like a new man.
   I've been in remission for about six years now and still toke it up when I can. I'm not fixed but the thc is holding me together. 
Let me know I'm not alone, cause it sure feels like it in this world.</t>
        </is>
      </c>
      <c r="D3949" t="n">
        <v>22</v>
      </c>
      <c r="E3949" t="n">
        <v>6</v>
      </c>
      <c r="F3949">
        <f>HYPERLINK("https://www.reddit.com/r/cancer/comments/cmg0ay/cancer_life_after_my_story/")</f>
        <v/>
      </c>
      <c r="G3949" t="inlineStr">
        <is>
          <t>2019-08-05 12:53:55</t>
        </is>
      </c>
      <c r="H3949" t="inlineStr"/>
    </row>
    <row r="3950">
      <c r="A3950" t="inlineStr">
        <is>
          <t>cmgwhf</t>
        </is>
      </c>
      <c r="B3950" t="inlineStr">
        <is>
          <t>Need medical debt advice. Not sure how to proceed.</t>
        </is>
      </c>
      <c r="C3950" t="inlineStr">
        <is>
          <t>Long story short, I'm out of treatment but still facing medical bills. No one tells you about how feeling unexpectedly sick for a few months can shape the rest of your financial future.  
Honestly, my medical debt is nothing compared to what I imagine other's debt is, but it's still enough to stress me out and completely change how I think about my future. No insurance. Taking home only about $600/mo after all my other bills are paid every month. Hospital has already sent most of what I owe them to collections. Said they can pull it back if I pay $300/mo. I just can't do it. 
Does anyone know of any programs or the likes that help with after-cancer debt? I found that even some programs (like the LiveStrong one) don't help at all unless you're actively in treatment. I'm seriously considering bankruptcy...</t>
        </is>
      </c>
      <c r="D3950" t="n">
        <v>4</v>
      </c>
      <c r="E3950" t="n">
        <v>7</v>
      </c>
      <c r="F3950">
        <f>HYPERLINK("https://www.reddit.com/r/cancer/comments/cmgwhf/need_medical_debt_advice_not_sure_how_to_proceed/")</f>
        <v/>
      </c>
      <c r="G3950" t="inlineStr">
        <is>
          <t>2019-08-05 14:00:27</t>
        </is>
      </c>
      <c r="H3950" t="inlineStr"/>
    </row>
    <row r="3951">
      <c r="A3951" t="inlineStr">
        <is>
          <t>cmgyqe</t>
        </is>
      </c>
      <c r="B3951" t="inlineStr">
        <is>
          <t>Hi guys, I'm a cancer researcher who writes layman descriptions of recent scientific articles. I wrote one this month on a potential new immunotherapy for a variety of cancers targeting CD24. Please let me know if you like this kind of content, and give me your feedback!</t>
        </is>
      </c>
      <c r="C3951" t="inlineStr">
        <is>
          <t>Please find the post [here](https://jeremyborniger.com/new-blog/2019/8/2/cd24-signalling-through-macrophage-siglec-10-is-a-target-for-cancer-immunotherapy)</t>
        </is>
      </c>
      <c r="D3951" t="n">
        <v>18</v>
      </c>
      <c r="E3951" t="n">
        <v>16</v>
      </c>
      <c r="F3951">
        <f>HYPERLINK("https://www.reddit.com/r/cancer/comments/cmgyqe/hi_guys_im_a_cancer_researcher_who_writes_layman/")</f>
        <v/>
      </c>
      <c r="G3951" t="inlineStr">
        <is>
          <t>2019-08-05 14:05:02</t>
        </is>
      </c>
      <c r="H3951" t="inlineStr"/>
    </row>
    <row r="3952">
      <c r="A3952" t="inlineStr">
        <is>
          <t>cmhl39</t>
        </is>
      </c>
      <c r="B3952" t="inlineStr">
        <is>
          <t>My chemo make me hungry for junk food</t>
        </is>
      </c>
      <c r="C3952" t="inlineStr">
        <is>
          <t>I don’t even know why but every time I start my chemo I cannot feel satisfied if I don’t eat junk food! 
Anyone experience this side effect?</t>
        </is>
      </c>
      <c r="D3952" t="n">
        <v>11</v>
      </c>
      <c r="E3952" t="n">
        <v>19</v>
      </c>
      <c r="F3952">
        <f>HYPERLINK("https://www.reddit.com/r/cancer/comments/cmhl39/my_chemo_make_me_hungry_for_junk_food/")</f>
        <v/>
      </c>
      <c r="G3952" t="inlineStr">
        <is>
          <t>2019-08-05 14:52:00</t>
        </is>
      </c>
      <c r="H3952" t="inlineStr"/>
    </row>
    <row r="3953">
      <c r="A3953" t="inlineStr">
        <is>
          <t>cmhrc8</t>
        </is>
      </c>
      <c r="B3953" t="inlineStr">
        <is>
          <t>Wish list for person undergoing high-dose chemo &amp;amp; auto stem cell transplant?</t>
        </is>
      </c>
      <c r="C3953" t="inlineStr">
        <is>
          <t>**Context:** we have a close friend about to get an auto transplant for multiple myeloma. I happen to work in cancer research, also with folks getting HSCT and BMT, but primarily allogeneic, which has more potential complications. Still, I know this will be a challenging time for them from what I've seen, and we want to do everything we can to help. However, our friend and his wife are the type of people to never respond to "how can we help?" or "what do you need?" because they are both very prideful, but also I don't think they really know yet.
**My question:** if you could have made a wish list for things you needed, ended up purchasing, or wish you'd had during chemo or the transplant process (inpatient OR outpatient... I'm not sure yet which he'll be, but either way he will be staying a bit of a drive from his mom's home, and a continent away from where they've lived for the last decade), what would be on it? I have concerns about things like delivering meals, knowing you have to be on a special diet and have food prepped in a specific way, so I'm trying to come up with other ways we can make things easier for them over the next 3 months.
Thanks for your advice!!</t>
        </is>
      </c>
      <c r="D3953" t="n">
        <v>3</v>
      </c>
      <c r="E3953" t="n">
        <v>3</v>
      </c>
      <c r="F3953">
        <f>HYPERLINK("https://www.reddit.com/r/cancer/comments/cmhrc8/wish_list_for_person_undergoing_highdose_chemo/")</f>
        <v/>
      </c>
      <c r="G3953" t="inlineStr">
        <is>
          <t>2019-08-05 15:05:29</t>
        </is>
      </c>
      <c r="H3953" t="inlineStr"/>
    </row>
    <row r="3954">
      <c r="A3954" t="inlineStr">
        <is>
          <t>cmhybn</t>
        </is>
      </c>
      <c r="B3954" t="inlineStr">
        <is>
          <t>Radioactive Iodine Treatment after Thyroid Cancer</t>
        </is>
      </c>
      <c r="C3954" t="inlineStr">
        <is>
          <t>I had a complete thyroidectomy a month ago today. In 2 weeks, I will have to take a radioactive iodine pill to kill any remaining cancerous thyroid cells. In reading about possible side effects, it says I could have issues with my salivary glands, chronic dry eyes, issues with taste and smell, among other things. I was wondering if anyone has received this type of treatment and if so, what I should expect. Any advice would also be appreciated. Thank you!</t>
        </is>
      </c>
      <c r="D3954" t="n">
        <v>6</v>
      </c>
      <c r="E3954" t="n">
        <v>4</v>
      </c>
      <c r="F3954">
        <f>HYPERLINK("https://www.reddit.com/r/cancer/comments/cmhybn/radioactive_iodine_treatment_after_thyroid_cancer/")</f>
        <v/>
      </c>
      <c r="G3954" t="inlineStr">
        <is>
          <t>2019-08-05 15:21:01</t>
        </is>
      </c>
      <c r="H3954" t="inlineStr"/>
    </row>
    <row r="3955">
      <c r="A3955" t="inlineStr">
        <is>
          <t>cmi01d</t>
        </is>
      </c>
      <c r="B3955" t="inlineStr">
        <is>
          <t>A second biopsy and the NIH?</t>
        </is>
      </c>
      <c r="C3955" t="inlineStr">
        <is>
          <t>So, today, 11 days after my biopsy, my oncologist calls me. He was following up on an email I sent him about my results. I couldn't get to my phone, so he left a message.
Hi, mister ******* this is Dr ****** giving you a call just to give you some update. So I think at this point right now from what I gathered from. The pathologist is this is not the same seminoma that you had, you know years ago ten years ago. This seems like a different type of tumor. They are sent it for multiple screens and it may end up even going to NIH to see what type of cancer this is. And again, this is not for not the seminoma that we had initially thought as a recurring so we'll keep you posted. The only thing is the the pathologist saying that we may get a better idea about doing another biopsy because they have used up a lot of the tissue for different stains. So I'm going to ask right Interventional radiologist to see if we can just repeat the biopsy to get more tissue so we can get a little bit more information about what's going what this is and plan treatment. Thank you. Bye.</t>
        </is>
      </c>
      <c r="D3955" t="n">
        <v>2</v>
      </c>
      <c r="E3955" t="n">
        <v>0</v>
      </c>
      <c r="F3955">
        <f>HYPERLINK("https://www.reddit.com/r/cancer/comments/cmi01d/a_second_biopsy_and_the_nih/")</f>
        <v/>
      </c>
      <c r="G3955" t="inlineStr">
        <is>
          <t>2019-08-05 15:24:48</t>
        </is>
      </c>
      <c r="H3955" t="inlineStr"/>
    </row>
    <row r="3956">
      <c r="A3956" t="inlineStr">
        <is>
          <t>cmjh7q</t>
        </is>
      </c>
      <c r="B3956" t="inlineStr">
        <is>
          <t>My dad's going to die in the next 48 hrs</t>
        </is>
      </c>
      <c r="C3956" t="inlineStr">
        <is>
          <t>Earlier this year my dad was diagnosed with stomach cancer, he's been more or less ok until the past two weeks. When I arrive to visit him after a three week break he's lost around 20kgs. His decline in health has been so dramatic that my father partner insisted my brother come to visit the other day. 
After undergoing a high risk procedure to improve his quality of life on Friday, which appeared to go well, he was hospitalised on the Saturday. He's been in hospital since then and hasn't ate anything since Thursday (which is unlike him since he was a fat fucker).
Today after seeing the consultant who really couldn't have had a better bedside manner for my dad partner, my brother and I, we were told that he has sepsis and pneumonia along with a number of other issues including cancer spreading. We were told that he is unlikely to make it through the next 48hrs.
In addition to this the consultants don't want to send him to the ICU because there is ultimately no chance for recovery and no way of improving his quality of life if he recovers. The family as well as myself agree with this decision, which although is difficult is ultimately to prevent my dad's further suffering.
However what I find difficult to deal with even though I decided on it is to keep my dad in the dark about his prognosis. I want him at peace during his final moments and not worrying, even though this means that no-one will get to say a formal goodbye to him.
To anyone who's gotten this far just know that there are people who are going through the same experience as you throughout the world and that you're not alone no matter how bad the situation.</t>
        </is>
      </c>
      <c r="D3956" t="n">
        <v>27</v>
      </c>
      <c r="E3956" t="n">
        <v>23</v>
      </c>
      <c r="F3956">
        <f>HYPERLINK("https://www.reddit.com/r/cancer/comments/cmjh7q/my_dads_going_to_die_in_the_next_48_hrs/")</f>
        <v/>
      </c>
      <c r="G3956" t="inlineStr">
        <is>
          <t>2019-08-05 17:33:14</t>
        </is>
      </c>
      <c r="H3956" t="inlineStr"/>
    </row>
    <row r="3957">
      <c r="A3957" t="inlineStr">
        <is>
          <t>cmjq8f</t>
        </is>
      </c>
      <c r="B3957" t="inlineStr">
        <is>
          <t>Sitting in limbo</t>
        </is>
      </c>
      <c r="C3957" t="inlineStr">
        <is>
          <t>Hi all, I hope this post is welcome here. I supported my aunt through her initial diagnosis of breast cancer and an eventual reoccurrence that metastasized and led to her death, which is why I originally joined this subreddit.
I have a mass in my liver. It’s not a cyst or a hemangioma, according to the imaging reports. I had an ultrasound and a CT scan already, and I have an MRI on Wednesday that hopefully will help determine whether it’s malignant or benign. I also have a benign brain tumor that I had removed in 2014 and grew back, which will require a second brain surgery once it’s big enough to remove safely. I’m on five medications to control the pain and increased intracranial pressure until then.
I’m 29. I have good insurance and a supportive partner, but I wish my aunt was still around to talk to about my anxieties surrounding this. I’d appreciate any positive vibes you have to spare, and I hope I can lean on this community if things don’t work out too good for me.</t>
        </is>
      </c>
      <c r="D3957" t="n">
        <v>6</v>
      </c>
      <c r="E3957" t="n">
        <v>12</v>
      </c>
      <c r="F3957">
        <f>HYPERLINK("https://www.reddit.com/r/cancer/comments/cmjq8f/sitting_in_limbo/")</f>
        <v/>
      </c>
      <c r="G3957" t="inlineStr">
        <is>
          <t>2019-08-05 17:56:18</t>
        </is>
      </c>
      <c r="H3957" t="inlineStr"/>
    </row>
    <row r="3958">
      <c r="A3958" t="inlineStr">
        <is>
          <t>cmjrul</t>
        </is>
      </c>
      <c r="B3958" t="inlineStr">
        <is>
          <t>Dad diagnosed with small cell brain cancer, looking for advice.</t>
        </is>
      </c>
      <c r="C3958" t="inlineStr">
        <is>
          <t>Today my dad was diagnosed with small cell brain cancer. He had small cell lung cancer about 5 years ago and has been in remission up until today. I am trying to convince him he should go to Dana-Farber but he is being hesitant. He thinks he should see doctors in our home town. I've heard to many people around here talk about how you have to go to a better research hospital to the best care.  Does anyone have any advice or their own experiences with small town care vs a research hospital. Anything would be great. He is also worried about the expense and leaving my mom with a large amount of debt, he has medicaid for health insurance. Thanks.</t>
        </is>
      </c>
      <c r="D3958" t="n">
        <v>1</v>
      </c>
      <c r="E3958" t="n">
        <v>1</v>
      </c>
      <c r="F3958">
        <f>HYPERLINK("https://www.reddit.com/r/cancer/comments/cmjrul/dad_diagnosed_with_small_cell_brain_cancer/")</f>
        <v/>
      </c>
      <c r="G3958" t="inlineStr">
        <is>
          <t>2019-08-05 18:00:20</t>
        </is>
      </c>
      <c r="H3958" t="inlineStr"/>
    </row>
    <row r="3959">
      <c r="A3959" t="inlineStr">
        <is>
          <t>cmk9zn</t>
        </is>
      </c>
      <c r="B3959" t="inlineStr">
        <is>
          <t>fuck cancer.</t>
        </is>
      </c>
      <c r="C3959" t="inlineStr">
        <is>
          <t>fuck cancer. you’ve taken my 22 year old cousin. recently the grandma i was closest to. and you’ve impacted the lives of other family members and me.</t>
        </is>
      </c>
      <c r="D3959" t="n">
        <v>70</v>
      </c>
      <c r="E3959" t="n">
        <v>11</v>
      </c>
      <c r="F3959">
        <f>HYPERLINK("https://www.reddit.com/r/cancer/comments/cmk9zn/fuck_cancer/")</f>
        <v/>
      </c>
      <c r="G3959" t="inlineStr">
        <is>
          <t>2019-08-05 18:46:12</t>
        </is>
      </c>
      <c r="H3959" t="inlineStr"/>
    </row>
    <row r="3960">
      <c r="A3960" t="inlineStr">
        <is>
          <t>cmkb8r</t>
        </is>
      </c>
      <c r="B3960" t="inlineStr">
        <is>
          <t>Radiation Treatments Question</t>
        </is>
      </c>
      <c r="C3960" t="inlineStr">
        <is>
          <t>Hi all. I’ve got my first visit with oncology tomorrow and they’re going to go over my radiation schedule. 
I’m just hoping I can get some real world advice about what to expect. I’ve already heard from a couple of people about radiation burns and to get maybe Aquifor? 
I’ve got kidney cancer. I just had my gallbladder out on Tuesday July 23rd and was back at work on Monday, July 29th, so even though I don’t think of myself as physically strong, I am very much motivated to continue to work at least full time during this process. 
I guess I’m also looking to find out what to do to keep me strong, healthy, and able to work through this. I’m a single gal who has a job i actually do love, but also helps me pay my mortgage, homeowners dues, utilities, groceries, and other bills every month. 
I used up most of my sick, vacation, and personal PTO earlier this year when I put my mother (whom I was the sole caretaker for for the last four years) into assisted living and on hospice care. $4,500 dollars a month wasn’t easy. So, now my funds are running low, not helped by the fact that I ran up a $10K bill after being hospitalized shortly after her passing for acute pancreatitis. 
I have a little built up in savings, but I’d rather save that for an emergency. I’m really nervous about the physical effects and my continued ability to keep working and putting money in my bank account.</t>
        </is>
      </c>
      <c r="D3960" t="n">
        <v>2</v>
      </c>
      <c r="E3960" t="n">
        <v>6</v>
      </c>
      <c r="F3960">
        <f>HYPERLINK("https://www.reddit.com/r/cancer/comments/cmkb8r/radiation_treatments_question/")</f>
        <v/>
      </c>
      <c r="G3960" t="inlineStr">
        <is>
          <t>2019-08-05 18:49:37</t>
        </is>
      </c>
      <c r="H3960" t="inlineStr"/>
    </row>
    <row r="3961">
      <c r="A3961" t="inlineStr">
        <is>
          <t>cml04w</t>
        </is>
      </c>
      <c r="B3961" t="inlineStr">
        <is>
          <t>I just found out a good friend of mine has testicular cancer, however it has spread.</t>
        </is>
      </c>
      <c r="C3961" t="inlineStr">
        <is>
          <t>It spread to his lungs and spine. He only recently found out and will be undergoing surgery ASAP. 
I don’t know how to feel right now. Part of me feels the need to just accept he will be gone soon. But another part of me knows he a fighter, and can get through this. Fuck.</t>
        </is>
      </c>
      <c r="D3961" t="n">
        <v>5</v>
      </c>
      <c r="E3961" t="n">
        <v>0</v>
      </c>
      <c r="F3961">
        <f>HYPERLINK("https://www.reddit.com/r/cancer/comments/cml04w/i_just_found_out_a_good_friend_of_mine_has/")</f>
        <v/>
      </c>
      <c r="G3961" t="inlineStr">
        <is>
          <t>2019-08-05 19:55:07</t>
        </is>
      </c>
      <c r="H3961" t="inlineStr"/>
    </row>
    <row r="3962">
      <c r="A3962" t="inlineStr">
        <is>
          <t>cml4vs</t>
        </is>
      </c>
      <c r="B3962" t="inlineStr">
        <is>
          <t>Awful news/how do I help my friend</t>
        </is>
      </c>
      <c r="C3962" t="inlineStr">
        <is>
          <t>I have a very good friend/roommate from  college whose boyfriend fell ill about 8 months ago. He had ulcerative colitis but it didn’t seem to really hinder him much, he always seemed very well— maybe a bit picky when eating.
When he got sick, it was sudden hospital visit after hospital visit due to jaundice, high fever, and stomach issues.
Eventually they were given several diagnosis options: he had a rare autoimmune disorder which would require him to get a liver transplant every decade, he had an infection/other odd issue, or he had cancer.
It seemed like the first option was most likely from what my friend said, and it sounded as though he would get better for a bit, then have another hospital visit, eventually leading him to have to get a bile duct tube and worry constantly about bilirubin. 
These two live together, love each other, got the careers of their dreams, have adorable cats, and I’m sure planned on getting married and having a full life together despite this. 
And now I just learned he has metastatic bile duct cancer and has been given- best case- 1 to 2 years to live.
I know this is not about me, but I have been reeling from this news. I moved 2000 miles away from my friend for a job and I feel so awful I can’t be right there with her to support. I knew her boyfriend a bit too and he’s been such a kind person, and just from how much they loved each other, it hurts so much.
I want to know if anyone has any advice to stay strong in this for her, and how I can best support her— all I knew to do was say I’m here and that my home is welcome or I can meet them for a visit if they would like. I just don’t know how to help, this was such a shock.</t>
        </is>
      </c>
      <c r="D3962" t="n">
        <v>6</v>
      </c>
      <c r="E3962" t="n">
        <v>2</v>
      </c>
      <c r="F3962">
        <f>HYPERLINK("https://www.reddit.com/r/cancer/comments/cml4vs/awful_newshow_do_i_help_my_friend/")</f>
        <v/>
      </c>
      <c r="G3962" t="inlineStr">
        <is>
          <t>2019-08-05 20:07:39</t>
        </is>
      </c>
      <c r="H3962" t="inlineStr"/>
    </row>
    <row r="3963">
      <c r="A3963" t="inlineStr">
        <is>
          <t>cmmafb</t>
        </is>
      </c>
      <c r="B3963" t="inlineStr">
        <is>
          <t>How to deal with declining mental capabilities.</t>
        </is>
      </c>
      <c r="C3963" t="inlineStr">
        <is>
          <t>Backstory: My dad has stage 4 small cell that started in the prostate which has spread to his bones and brain most notably. He's had 2 intensive radiation treatments done on his brain and most recently a laser treatment that zapped 14 tumors out of his brain. This weekend he had a stroke because of his lesions. I only kind of understand what this has done to him.
Now for the selfish part. I'm not sure how to handle his logic anymore, it's so flawed. I feel myself losing patience and I'm trying so hard to be understanding. How do I interact with his fleeing logic? It scares me so much to see his mind go.</t>
        </is>
      </c>
      <c r="D3963" t="n">
        <v>9</v>
      </c>
      <c r="E3963" t="n">
        <v>6</v>
      </c>
      <c r="F3963">
        <f>HYPERLINK("https://www.reddit.com/r/cancer/comments/cmmafb/how_to_deal_with_declining_mental_capabilities/")</f>
        <v/>
      </c>
      <c r="G3963" t="inlineStr">
        <is>
          <t>2019-08-05 22:03:58</t>
        </is>
      </c>
      <c r="H3963" t="inlineStr"/>
    </row>
    <row r="3964">
      <c r="A3964" t="inlineStr">
        <is>
          <t>cmmyg4</t>
        </is>
      </c>
      <c r="B3964" t="inlineStr">
        <is>
          <t>My mum has metastatic breast cancer and it has newly spread to the liver and possibly the brain. I’m scared.</t>
        </is>
      </c>
      <c r="C3964" t="inlineStr">
        <is>
          <t>I apologise since I am on mobile. 
My mum was diagnosed in 2016 with stage one breast cancer, within 3 months we found out it was stage four and had gone to her spine. She has been stable all these years but recently, she just got a scan and we found that she has it now in the liver, a tumour about an inch in size, and I’m just very scared. She’s getting results tomorrow to see if it is in her brain as well since she has been experiencing headaches frequently. 
I don’t want to lose my mum, shes my best friend and I truly don’t know what I’d do without her. It’s been a miracle that shes remained on the same treatment for almost 3 years and I almost feel selfish for feeling angry at the world. Her cancer is also hormone induced which makes me even angrier, something that was completely out of her control has caused her to be in this state. I’m just so sad and none of my friends truly understand, although they try.</t>
        </is>
      </c>
      <c r="D3964" t="n">
        <v>12</v>
      </c>
      <c r="E3964" t="n">
        <v>10</v>
      </c>
      <c r="F3964">
        <f>HYPERLINK("https://www.reddit.com/r/cancer/comments/cmmyg4/my_mum_has_metastatic_breast_cancer_and_it_has/")</f>
        <v/>
      </c>
      <c r="G3964" t="inlineStr">
        <is>
          <t>2019-08-05 23:21:56</t>
        </is>
      </c>
      <c r="H3964" t="inlineStr"/>
    </row>
    <row r="3965">
      <c r="A3965" t="inlineStr">
        <is>
          <t>cmr70i</t>
        </is>
      </c>
      <c r="B3965" t="inlineStr">
        <is>
          <t>Can a PET scan detect TB?</t>
        </is>
      </c>
      <c r="C3965" t="inlineStr">
        <is>
          <t>Long story short I failed a TB test I needed for school because of chemotherapy. The test came back inconclusive and I need it to be repeated.
I wanted to see if anyone knows if a PET scan can detect TB? I know it wouldn’t be the go to for diagnosis but I’m getting them anyway for the cancer follow ups. It’s more a question of curiosity than anything else, I know he can repeat the test and I’ve been out of chemo for a few months but just wondering if anyone has seen this before?</t>
        </is>
      </c>
      <c r="D3965" t="n">
        <v>3</v>
      </c>
      <c r="E3965" t="n">
        <v>6</v>
      </c>
      <c r="F3965">
        <f>HYPERLINK("https://www.reddit.com/r/cancer/comments/cmr70i/can_a_pet_scan_detect_tb/")</f>
        <v/>
      </c>
      <c r="G3965" t="inlineStr">
        <is>
          <t>2019-08-06 07:21:08</t>
        </is>
      </c>
      <c r="H3965" t="inlineStr"/>
    </row>
    <row r="3966">
      <c r="A3966" t="inlineStr">
        <is>
          <t>cmrhm8</t>
        </is>
      </c>
      <c r="B3966" t="inlineStr">
        <is>
          <t>What antiemetic did you take during chemo?</t>
        </is>
      </c>
      <c r="C3966" t="inlineStr">
        <is>
          <t>And was it effective?
I'm just wondering what different types people have been given.</t>
        </is>
      </c>
      <c r="D3966" t="n">
        <v>3</v>
      </c>
      <c r="E3966" t="n">
        <v>12</v>
      </c>
      <c r="F3966">
        <f>HYPERLINK("https://www.reddit.com/r/cancer/comments/cmrhm8/what_antiemetic_did_you_take_during_chemo/")</f>
        <v/>
      </c>
      <c r="G3966" t="inlineStr">
        <is>
          <t>2019-08-06 07:45:44</t>
        </is>
      </c>
      <c r="H3966" t="inlineStr"/>
    </row>
    <row r="3967">
      <c r="A3967" t="inlineStr">
        <is>
          <t>cmrwim</t>
        </is>
      </c>
      <c r="B3967" t="inlineStr">
        <is>
          <t>Had my first scan after treatment</t>
        </is>
      </c>
      <c r="C3967" t="inlineStr">
        <is>
          <t>Drum roll please.... The results are in and it looks like I am cancer free for now!!!!! I have been processing this info for a few days now and I don't think it has set in. I know cancer scans will now be a part of my life so but I am happy and relieved that it cam out negative!</t>
        </is>
      </c>
      <c r="D3967" t="n">
        <v>97</v>
      </c>
      <c r="E3967" t="n">
        <v>22</v>
      </c>
      <c r="F3967">
        <f>HYPERLINK("https://www.reddit.com/r/cancer/comments/cmrwim/had_my_first_scan_after_treatment/")</f>
        <v/>
      </c>
      <c r="G3967" t="inlineStr">
        <is>
          <t>2019-08-06 08:18:52</t>
        </is>
      </c>
      <c r="H3967" t="inlineStr"/>
    </row>
    <row r="3968">
      <c r="A3968" t="inlineStr">
        <is>
          <t>cmtrg6</t>
        </is>
      </c>
      <c r="B3968" t="inlineStr">
        <is>
          <t>Had my last haircut today</t>
        </is>
      </c>
      <c r="C3968" t="inlineStr">
        <is>
          <t>So I made a post here about a week ago in which I mentioned that there had been a recurrence of the cancer I had been treated for earlier this year. Well it is cancer, I've already had the first round of chemo and I decided to get my hair cut (I needed one anyway) I didn't get it shaved even though it will fall out soon.
Sorry for this post I just didn't think that less than 6 months I'd be renewing my membership for the shittiest club on earth, guess I'm just venting.
M20</t>
        </is>
      </c>
      <c r="D3968" t="n">
        <v>18</v>
      </c>
      <c r="E3968" t="n">
        <v>4</v>
      </c>
      <c r="F3968">
        <f>HYPERLINK("https://www.reddit.com/r/cancer/comments/cmtrg6/had_my_last_haircut_today/")</f>
        <v/>
      </c>
      <c r="G3968" t="inlineStr">
        <is>
          <t>2019-08-06 10:42:49</t>
        </is>
      </c>
      <c r="H3968" t="inlineStr"/>
    </row>
    <row r="3969">
      <c r="A3969" t="inlineStr">
        <is>
          <t>cmup2d</t>
        </is>
      </c>
      <c r="B3969" t="inlineStr">
        <is>
          <t>Until I see you again, Mom</t>
        </is>
      </c>
      <c r="C3969" t="inlineStr">
        <is>
          <t>Just lost my mom to bile duct cancer after an eight month fight. She fought so hard, but it was time to go. She stayed with us as long as she could, but she deserves the peace she it at now. 
I’ll miss you forever mom.</t>
        </is>
      </c>
      <c r="D3969" t="n">
        <v>44</v>
      </c>
      <c r="E3969" t="n">
        <v>14</v>
      </c>
      <c r="F3969">
        <f>HYPERLINK("https://www.reddit.com/r/cancer/comments/cmup2d/until_i_see_you_again_mom/")</f>
        <v/>
      </c>
      <c r="G3969" t="inlineStr">
        <is>
          <t>2019-08-06 11:54:20</t>
        </is>
      </c>
      <c r="H3969" t="inlineStr"/>
    </row>
    <row r="3970">
      <c r="A3970" t="inlineStr">
        <is>
          <t>cmwr0c</t>
        </is>
      </c>
      <c r="B3970" t="inlineStr">
        <is>
          <t>Self-medication</t>
        </is>
      </c>
      <c r="C3970" t="inlineStr">
        <is>
          <t>Hey y’all. I’m (24M) in a clinical trial for palliative purposes, trying to buy me some time. I have a question of advice from you all. The drug company offering me this trial lists drug and alcohol abuse as exclusion criteria, but doesn’t require drug tests. (It’s up to the doctor to determine “abuse”.) 
They tell me I don’t have a lot of time left (on the magnitude of months), but I still feel great, so I’m tearing it up with my friends when I can. Would use of alcohol or recreational drugs show up in like blood tests even if they weren’t looking for it? Does anyone have any experience with how doctors define “abuse”? I know it’s not the wisest decision, but the time for wisdom is passing with each day. After all, I’m here for a good time, not a long time.</t>
        </is>
      </c>
      <c r="D3970" t="n">
        <v>15</v>
      </c>
      <c r="E3970" t="n">
        <v>8</v>
      </c>
      <c r="F3970">
        <f>HYPERLINK("https://www.reddit.com/r/cancer/comments/cmwr0c/selfmedication/")</f>
        <v/>
      </c>
      <c r="G3970" t="inlineStr">
        <is>
          <t>2019-08-06 14:53:37</t>
        </is>
      </c>
      <c r="H3970" t="inlineStr"/>
    </row>
    <row r="3971">
      <c r="A3971" t="inlineStr">
        <is>
          <t>cmxc2z</t>
        </is>
      </c>
      <c r="B3971" t="inlineStr">
        <is>
          <t>Just diagnosed with Endometrial cancer</t>
        </is>
      </c>
      <c r="C3971" t="inlineStr">
        <is>
          <t>I had a feeling something was up for a while, but I have major issues with doctors/hospitals and tried to pretend everything was ok. I was diagnosed yesterday. I have an appointment on Monday and hopefully surgery will follow shortly. Please share any advice or experiences. One this I’m curious about is if it’s more common for a complete hysterectomy in these cases?</t>
        </is>
      </c>
      <c r="D3971" t="n">
        <v>6</v>
      </c>
      <c r="E3971" t="n">
        <v>13</v>
      </c>
      <c r="F3971">
        <f>HYPERLINK("https://www.reddit.com/r/cancer/comments/cmxc2z/just_diagnosed_with_endometrial_cancer/")</f>
        <v/>
      </c>
      <c r="G3971" t="inlineStr">
        <is>
          <t>2019-08-06 15:40:35</t>
        </is>
      </c>
      <c r="H3971" t="inlineStr"/>
    </row>
    <row r="3972">
      <c r="A3972" t="inlineStr">
        <is>
          <t>cmxyu0</t>
        </is>
      </c>
      <c r="B3972" t="inlineStr">
        <is>
          <t>I am really scared because of a lump in my testicle which hurts</t>
        </is>
      </c>
      <c r="C3972" t="inlineStr">
        <is>
          <t>As the title (and username) checks out, i have a lump in my left testicle, which hurts, not much, but it hurts still. I know it sounds like a stretch but i am scared to death its something of another level. Has anyone in here experienced the same? What advice do you have?</t>
        </is>
      </c>
      <c r="D3972" t="n">
        <v>1</v>
      </c>
      <c r="E3972" t="n">
        <v>0</v>
      </c>
      <c r="F3972">
        <f>HYPERLINK("https://www.reddit.com/r/cancer/comments/cmxyu0/i_am_really_scared_because_of_a_lump_in_my/")</f>
        <v/>
      </c>
      <c r="G3972" t="inlineStr">
        <is>
          <t>2019-08-06 16:30:25</t>
        </is>
      </c>
      <c r="H3972" t="inlineStr"/>
    </row>
    <row r="3973">
      <c r="A3973" t="inlineStr">
        <is>
          <t>cmy7w7</t>
        </is>
      </c>
      <c r="B3973" t="inlineStr">
        <is>
          <t>Recruiting Breast and Gynecological Cancer Survivors in Oregon for Study on Mindfulness and Sexual Health</t>
        </is>
      </c>
      <c r="C3973" t="inlineStr">
        <is>
          <t>Many cancer survivors have difficulty reconnecting with their sexuality. Our research team at Oregon State University is studying how a mindfulness-based program may be able to help foster positive body image, sexual health, and well-being after cancer. We are currently recruiting **female breast and gynecological cancer survivors living in Oregon** to participate in an eight-week mindfulness program (one two-hour session per week) delivered online via video conference. To find out more details or express your interest in participating, follow this link: [health.oregonstate.edu/mindful](https://health.oregonstate.edu/mindful)
Not a cancer survivor yourself, but know one who may be interested? Please feel free to share this link with any friends, family, or groups that might be interested!</t>
        </is>
      </c>
      <c r="D3973" t="n">
        <v>3</v>
      </c>
      <c r="E3973" t="n">
        <v>0</v>
      </c>
      <c r="F3973">
        <f>HYPERLINK("https://www.reddit.com/r/cancer/comments/cmy7w7/recruiting_breast_and_gynecological_cancer/")</f>
        <v/>
      </c>
      <c r="G3973" t="inlineStr">
        <is>
          <t>2019-08-06 16:51:08</t>
        </is>
      </c>
      <c r="H3973" t="inlineStr"/>
    </row>
    <row r="3974">
      <c r="A3974" t="inlineStr">
        <is>
          <t>cmybw8</t>
        </is>
      </c>
      <c r="B3974" t="inlineStr">
        <is>
          <t>Anaplastic astrocytoma IDH wild type</t>
        </is>
      </c>
      <c r="C3974" t="inlineStr">
        <is>
          <t>What is the difference between wild type and mutant? Also, "studies are negative for IDH1, IDH2, BRAF and TP53 mutations." What does this mean? My last surgery was two years ago, but I've been thinking about it a lot recently.</t>
        </is>
      </c>
      <c r="D3974" t="n">
        <v>5</v>
      </c>
      <c r="E3974" t="n">
        <v>3</v>
      </c>
      <c r="F3974">
        <f>HYPERLINK("https://www.reddit.com/r/cancer/comments/cmybw8/anaplastic_astrocytoma_idh_wild_type/")</f>
        <v/>
      </c>
      <c r="G3974" t="inlineStr">
        <is>
          <t>2019-08-06 17:00:40</t>
        </is>
      </c>
      <c r="H3974" t="inlineStr"/>
    </row>
    <row r="3975">
      <c r="A3975" t="inlineStr">
        <is>
          <t>cmym2e</t>
        </is>
      </c>
      <c r="B3975" t="inlineStr">
        <is>
          <t>IV ativan make you black out?</t>
        </is>
      </c>
      <c r="C3975" t="inlineStr">
        <is>
          <t>About 3 years ago I got offered ativan to treat nausea and it caused me to blackout. (NOTE I was 13 and only weighed about 95 pounds at the time) my mother had told me I was begging to use my phone and was trying to walk around and talk to people. I'm assuming I was over dosed and wondering how much I should take now to treat nausea without blacking out, or some alternative medicines with a similar effect on nausea.</t>
        </is>
      </c>
      <c r="D3975" t="n">
        <v>3</v>
      </c>
      <c r="E3975" t="n">
        <v>6</v>
      </c>
      <c r="F3975">
        <f>HYPERLINK("https://www.reddit.com/r/cancer/comments/cmym2e/iv_ativan_make_you_black_out/")</f>
        <v/>
      </c>
      <c r="G3975" t="inlineStr">
        <is>
          <t>2019-08-06 17:24:31</t>
        </is>
      </c>
      <c r="H3975" t="inlineStr"/>
    </row>
    <row r="3976">
      <c r="A3976" t="inlineStr">
        <is>
          <t>cmyrab</t>
        </is>
      </c>
      <c r="B3976" t="inlineStr">
        <is>
          <t>the cancer has spread to his brain...</t>
        </is>
      </c>
      <c r="C3976" t="inlineStr">
        <is>
          <t>Spread all around it, different sizes.
Everything happened so fast, but it's too late. 
I imagined him having a long life since I was little. I wanted to make my dad proud. This is too much. I never imagined this would happen in our life. I wish no one had to go through this EVER. Fuck cancer.
Please, as a side note I want each and everyone of you to be the most informed and demand for your rights to be respected and receive information about any treatment or "cure". Please. Ask all the questions you want to the doctors, or anyone that tells you that they have the "cure". I know in moments of desperation we'd do anything to be healthy, but please, caregivers and patients, ASK QUESTIONS, DEMAND ANSWERS AND BE INFORMED.</t>
        </is>
      </c>
      <c r="D3976" t="n">
        <v>46</v>
      </c>
      <c r="E3976" t="n">
        <v>18</v>
      </c>
      <c r="F3976">
        <f>HYPERLINK("https://www.reddit.com/r/cancer/comments/cmyrab/the_cancer_has_spread_to_his_brain/")</f>
        <v/>
      </c>
      <c r="G3976" t="inlineStr">
        <is>
          <t>2019-08-06 17:37:55</t>
        </is>
      </c>
      <c r="H3976" t="inlineStr"/>
    </row>
    <row r="3977">
      <c r="A3977" t="inlineStr">
        <is>
          <t>cn09vu</t>
        </is>
      </c>
      <c r="B3977" t="inlineStr">
        <is>
          <t>GOOD PEOPLE STILL EXIST</t>
        </is>
      </c>
      <c r="C3977" t="inlineStr">
        <is>
          <t>hi friends .hope this does not contradict to the rules of this community. but just want to gladly share to you my testimony.
i was diagnosed with lung cancer two years ago and since then done chemo and had no better results .so advised on taking opdivo pills which works great but problem was it was costly not until meet with www.saintspharmacy.com and they solved it all for me .since 3months ago have no problems with my medication. am so happy about this didn't know how else to express but to share with you guys ... indeed good people do exist.</t>
        </is>
      </c>
      <c r="D3977" t="n">
        <v>1</v>
      </c>
      <c r="E3977" t="n">
        <v>0</v>
      </c>
      <c r="F3977">
        <f>HYPERLINK("https://www.reddit.com/r/cancer/comments/cn09vu/good_people_still_exist/")</f>
        <v/>
      </c>
      <c r="G3977" t="inlineStr">
        <is>
          <t>2019-08-06 19:59:30</t>
        </is>
      </c>
      <c r="H3977" t="inlineStr"/>
    </row>
    <row r="3978">
      <c r="A3978" t="inlineStr">
        <is>
          <t>cn0q32</t>
        </is>
      </c>
      <c r="B3978" t="inlineStr">
        <is>
          <t>Help for sciatica from tumor on spine</t>
        </is>
      </c>
      <c r="C3978" t="inlineStr">
        <is>
          <t>My mom had a tumor on her spine earlier this year which went away after radiation. A few weeks after, she felt much better as the pain was unbearable. Doctors said the tumor was causing flairs in her sciatic nerve.
Recently, another was found on her spine which also caused pain. She did radiation again a week and a half ago but she finds it hard to sleep at night/walk around. This time I want to see if anyone knows anything that can help. 
Right now she's taking a muscle relaxant (used primarily in ALS patients), Oxycodone, CBD pills, and a load of other medicines which are for her cancer. I suggested she try medical marijuana as well, but what else can she do to help this pain go away more quickly?
She has colon cancer if that information helps at all.</t>
        </is>
      </c>
      <c r="D3978" t="n">
        <v>3</v>
      </c>
      <c r="E3978" t="n">
        <v>12</v>
      </c>
      <c r="F3978">
        <f>HYPERLINK("https://www.reddit.com/r/cancer/comments/cn0q32/help_for_sciatica_from_tumor_on_spine/")</f>
        <v/>
      </c>
      <c r="G3978" t="inlineStr">
        <is>
          <t>2019-08-06 20:44:15</t>
        </is>
      </c>
      <c r="H3978" t="inlineStr"/>
    </row>
    <row r="3979">
      <c r="A3979" t="inlineStr">
        <is>
          <t>cn0u1p</t>
        </is>
      </c>
      <c r="B3979" t="inlineStr">
        <is>
          <t>Has anyone watched "Weed The People"?</t>
        </is>
      </c>
      <c r="C3979" t="inlineStr">
        <is>
          <t>In the documentary, there was an interesting point where they used medical marijuana and saw that it caused colon cancer cells to die off. The results were rather dramatic as almost every single cell, if not all, died. Has anyone used medical marijuana, and if so how were the results? Did it make life more pleasant if it didn't at least help control tumor growth?
Whether or not it actually "cures" people, it would be nice to know as I want to try all possible routes as I will always be left wondering.</t>
        </is>
      </c>
      <c r="D3979" t="n">
        <v>4</v>
      </c>
      <c r="E3979" t="n">
        <v>14</v>
      </c>
      <c r="F3979">
        <f>HYPERLINK("https://www.reddit.com/r/cancer/comments/cn0u1p/has_anyone_watched_weed_the_people/")</f>
        <v/>
      </c>
      <c r="G3979" t="inlineStr">
        <is>
          <t>2019-08-06 20:55:40</t>
        </is>
      </c>
      <c r="H3979" t="inlineStr"/>
    </row>
    <row r="3980">
      <c r="A3980" t="inlineStr">
        <is>
          <t>cn695h</t>
        </is>
      </c>
      <c r="B3980" t="inlineStr">
        <is>
          <t>Understanding the Role of LSD2 in the molecular genetics of Ewing Sarcoma</t>
        </is>
      </c>
      <c r="C3980" t="inlineStr">
        <is>
          <t>Ewing sarcoma is a bone-associated tumor that mostly affects children and young adults. It is an aggressive and difficult to treat form of cancer. The LSD2 protein (lysine-specific demethylase 2) was the subject of the most recent publication from the Lessnick Lab. The team showed that LSD2 is important for tumor development and could be an important target for future drug development.
https://www.ncbi.nlm.nih.gov/pmc/articles/PMC6570473/</t>
        </is>
      </c>
      <c r="D3980" t="n">
        <v>1</v>
      </c>
      <c r="E3980" t="n">
        <v>0</v>
      </c>
      <c r="F3980">
        <f>HYPERLINK("https://www.reddit.com/r/cancer/comments/cn695h/understanding_the_role_of_lsd2_in_the_molecular/")</f>
        <v/>
      </c>
      <c r="G3980" t="inlineStr">
        <is>
          <t>2019-08-07 07:08:11</t>
        </is>
      </c>
      <c r="H3980" t="inlineStr"/>
    </row>
    <row r="3981">
      <c r="A3981" t="inlineStr">
        <is>
          <t>cn6mrh</t>
        </is>
      </c>
      <c r="B3981" t="inlineStr">
        <is>
          <t>Chemo, then surgery and now NED</t>
        </is>
      </c>
      <c r="C3981" t="inlineStr">
        <is>
          <t>Apologies for spelling, format, everything because of tiny screen. Her oncologist came by while she was in recovery in the hospital. It’s official. There is no evidence of disease. So there is no promise of course that some tiny, errant, evil, ninja cell could take off but ... 
Her colon tumor that originally nearly blocked her colon was reduced by chemo to only a couple cells thick. And now it’s gone. Along with 2/3 of her colon so that will be a challenge ... but it’s gone. 
The liver mets; we knew there were 2 and that one was definitely cancer. PET showed that both had nearly vanished. During surgery they found another spot on the liver. They removed all 3. Biopsied them all and all are negative. 
They removed over 30 lymph nodes and those biopsied negative.   
So no chemo afterwards. Yay! Which is great because I’m sick of chemo caregiving,  she’s sick of chemo and as we all know here; chemo sucks. 
But it worked so all together now; fuck cancer!</t>
        </is>
      </c>
      <c r="D3981" t="n">
        <v>51</v>
      </c>
      <c r="E3981" t="n">
        <v>16</v>
      </c>
      <c r="F3981">
        <f>HYPERLINK("https://www.reddit.com/r/cancer/comments/cn6mrh/chemo_then_surgery_and_now_ned/")</f>
        <v/>
      </c>
      <c r="G3981" t="inlineStr">
        <is>
          <t>2019-08-07 07:39:54</t>
        </is>
      </c>
      <c r="H3981" t="inlineStr"/>
    </row>
    <row r="3982">
      <c r="A3982" t="inlineStr">
        <is>
          <t>cn93zo</t>
        </is>
      </c>
      <c r="B3982" t="inlineStr">
        <is>
          <t>Dear stupid brain. It’s not always cancer!</t>
        </is>
      </c>
      <c r="C3982" t="inlineStr">
        <is>
          <t>Been done with treatment for a month but still exhausted. 
About  a week ago had huge setback with terrible fatigue. Throat much more sore. Was debating do I see ENT? Oncologist? GP? Finally wife says you actually sound like you have a cold. Couple days of Robitussin (gag) and starting to feel better.</t>
        </is>
      </c>
      <c r="D3982" t="n">
        <v>25</v>
      </c>
      <c r="E3982" t="n">
        <v>7</v>
      </c>
      <c r="F3982">
        <f>HYPERLINK("https://www.reddit.com/r/cancer/comments/cn93zo/dear_stupid_brain_its_not_always_cancer/")</f>
        <v/>
      </c>
      <c r="G3982" t="inlineStr">
        <is>
          <t>2019-08-07 10:52:36</t>
        </is>
      </c>
      <c r="H3982" t="inlineStr"/>
    </row>
    <row r="3983">
      <c r="A3983" t="inlineStr">
        <is>
          <t>cnaenq</t>
        </is>
      </c>
      <c r="B3983" t="inlineStr">
        <is>
          <t>Any reviews for Alecensa? Mom has Stage 4 ALK+ NSCLC.</t>
        </is>
      </c>
      <c r="C3983" t="inlineStr">
        <is>
          <t>My mom was diagnosed in May and has completed one round of radiation on June 20. She started Alecensa 4 weeks ago today but she seems to be doing worse. More shortness of breath, coughing, weakness, etc. She has also had a low grade fever for a month now (due to her tumor apparently), but the last two days, her temperature has been around 101-102 degrees. 
We just got out of the doctor’s office and they said that it might be pneumonia. However, I would like to know anyone’s experience being on Alecensa. How long until you noticed you (or your loved one) was improving? Any good news out there? Anything would help.</t>
        </is>
      </c>
      <c r="D3983" t="n">
        <v>1</v>
      </c>
      <c r="E3983" t="n">
        <v>0</v>
      </c>
      <c r="F3983">
        <f>HYPERLINK("https://www.reddit.com/r/cancer/comments/cnaenq/any_reviews_for_alecensa_mom_has_stage_4_alk_nsclc/")</f>
        <v/>
      </c>
      <c r="G3983" t="inlineStr">
        <is>
          <t>2019-08-07 12:30:42</t>
        </is>
      </c>
      <c r="H3983" t="inlineStr"/>
    </row>
    <row r="3984">
      <c r="A3984" t="inlineStr">
        <is>
          <t>cnakak</t>
        </is>
      </c>
      <c r="B3984" t="inlineStr">
        <is>
          <t>Does anyone have experience with Gene inhibitors? What should I expect if I wind up on it?</t>
        </is>
      </c>
      <c r="C3984" t="inlineStr">
        <is>
          <t>I am starting my third battle with cancer (Langerhans Cell Histiocytosis)  My first was at 10yo which was resolved with surgery. Again at 15yo which was treated with chemotherapy. I am now 20yo and have had lesions reappear on my brain I went from "business as usual" to brain surgery, steroid treatment and chemotherapy in a matter of days because of how aggressive it is this time. The chemo now is effecting me much worse than my prior treatment and we are looking into getting me admitted for a drug trial of a BRAF V600e inhibitor. Does anyone have experience with these drugs that could offer some personal insight? I'm currently weighing my options.</t>
        </is>
      </c>
      <c r="D3984" t="n">
        <v>1</v>
      </c>
      <c r="E3984" t="n">
        <v>3</v>
      </c>
      <c r="F3984">
        <f>HYPERLINK("https://www.reddit.com/r/cancer/comments/cnakak/does_anyone_have_experience_with_gene_inhibitors/")</f>
        <v/>
      </c>
      <c r="G3984" t="inlineStr">
        <is>
          <t>2019-08-07 12:42:27</t>
        </is>
      </c>
      <c r="H3984" t="inlineStr"/>
    </row>
    <row r="3985">
      <c r="A3985" t="inlineStr">
        <is>
          <t>cnaqvo</t>
        </is>
      </c>
      <c r="B3985" t="inlineStr">
        <is>
          <t>Anyone that has had osteosarcoma, specifically in the shoulders, can you explain what the treatment and experience was like?</t>
        </is>
      </c>
      <c r="C3985" t="inlineStr">
        <is>
          <t>So I have a friend that was just recently diagnosed with osteosarcoma in his shoulder. He is 21 years old. The cancer has not spread anywhere else. I am trying to research what the treatment is like and trying to find others who have had osteosarcoma in the shoulder or know someone that has. Can you share what the treatment was like? Does the whole arm have to get amputated? If the shoulder is removed, how is the rest of the arm saved? Is there a chance of it spreading to other parts of the body even after chemo and surgery?</t>
        </is>
      </c>
      <c r="D3985" t="n">
        <v>5</v>
      </c>
      <c r="E3985" t="n">
        <v>9</v>
      </c>
      <c r="F3985">
        <f>HYPERLINK("https://www.reddit.com/r/cancer/comments/cnaqvo/anyone_that_has_had_osteosarcoma_specifically_in/")</f>
        <v/>
      </c>
      <c r="G3985" t="inlineStr">
        <is>
          <t>2019-08-07 12:56:14</t>
        </is>
      </c>
      <c r="H3985" t="inlineStr"/>
    </row>
    <row r="3986">
      <c r="A3986" t="inlineStr">
        <is>
          <t>cnbe22</t>
        </is>
      </c>
      <c r="B3986" t="inlineStr">
        <is>
          <t>Cyclophosphamide side effects??</t>
        </is>
      </c>
      <c r="C3986" t="inlineStr">
        <is>
          <t>It seems that every time I’m being administered the very last bag of my treatment (Cyclophosphamide) I start to run a fever and become flushed. Has anyone else experienced this?</t>
        </is>
      </c>
      <c r="D3986" t="n">
        <v>1</v>
      </c>
      <c r="E3986" t="n">
        <v>1</v>
      </c>
      <c r="F3986">
        <f>HYPERLINK("https://www.reddit.com/r/cancer/comments/cnbe22/cyclophosphamide_side_effects/")</f>
        <v/>
      </c>
      <c r="G3986" t="inlineStr">
        <is>
          <t>2019-08-07 13:44:57</t>
        </is>
      </c>
      <c r="H3986" t="inlineStr"/>
    </row>
    <row r="3987">
      <c r="A3987" t="inlineStr">
        <is>
          <t>cnbzfk</t>
        </is>
      </c>
      <c r="B3987" t="inlineStr">
        <is>
          <t>I'm not dead yet. But, I'm told it's not far off.</t>
        </is>
      </c>
      <c r="C3987" t="inlineStr">
        <is>
          <t>I've gotten to a point that I'm rarely out of bed. I am thankful for an amazingly loving wife. My children are way too young to go through this, but I know she can help them. 
I honestly don't know how much time is left for me but I do know it's probably weeks and less likely months. Thanks for listening to my story the last months. 
If you pray, pray for my kids (12 and 14) and my loving wife. 
Thank you, 
Kevin</t>
        </is>
      </c>
      <c r="D3987" t="n">
        <v>172</v>
      </c>
      <c r="E3987" t="n">
        <v>50</v>
      </c>
      <c r="F3987">
        <f>HYPERLINK("https://www.reddit.com/r/cancer/comments/cnbzfk/im_not_dead_yet_but_im_told_its_not_far_off/")</f>
        <v/>
      </c>
      <c r="G3987" t="inlineStr">
        <is>
          <t>2019-08-07 14:31:12</t>
        </is>
      </c>
      <c r="H3987" t="inlineStr"/>
    </row>
    <row r="3988">
      <c r="A3988" t="inlineStr">
        <is>
          <t>cnc5z9</t>
        </is>
      </c>
      <c r="B3988" t="inlineStr">
        <is>
          <t>Thought I had melanoma but the biopsy came back as benign</t>
        </is>
      </c>
      <c r="C3988" t="inlineStr">
        <is>
          <t>I have a follow up appointment on the 20th but I’m just curious, I got a call from my doctors office to inform me a skin punch sample came back as benign and not cancerous, so does that mean no further treatment is needed? It was a random scab that formed on my leg, it fell off in my bandage after the doctor did a skin punch. I’m very happy but just wondering what to expect next?</t>
        </is>
      </c>
      <c r="D3988" t="n">
        <v>3</v>
      </c>
      <c r="E3988" t="n">
        <v>2</v>
      </c>
      <c r="F3988">
        <f>HYPERLINK("https://www.reddit.com/r/cancer/comments/cnc5z9/thought_i_had_melanoma_but_the_biopsy_came_back/")</f>
        <v/>
      </c>
      <c r="G3988" t="inlineStr">
        <is>
          <t>2019-08-07 14:45:56</t>
        </is>
      </c>
      <c r="H3988" t="inlineStr"/>
    </row>
    <row r="3989">
      <c r="A3989" t="inlineStr">
        <is>
          <t>cne7g3</t>
        </is>
      </c>
      <c r="B3989" t="inlineStr">
        <is>
          <t>Dad Just Diagnosed with Pancreatic Cancer</t>
        </is>
      </c>
      <c r="C3989" t="inlineStr">
        <is>
          <t>I kind of just need to write all this out. My Dad was just diagnosed with pancreatic cancer, like, an hour ago. Docs found a 10-12 cm mass behind his pancreas and tests have concluded it's cancerous. They also found spots on his liver, which is essentially leading us to believe it's now spread. I'm scared shitless. They don't know if they can operate because he's so weak, being unable to eat.
He's beating himself up for smoking and drinking to excess, eating garbage, drinking coffee like nothing else, etc. Nothing we can say will make him feel better and I feel guilty that he's upset he'll die of this like his Mom did, which made him start drinking and smoking in the first place. 
I don't know. I'm numb but I feel so much. FUCK CANCER.</t>
        </is>
      </c>
      <c r="D3989" t="n">
        <v>6</v>
      </c>
      <c r="E3989" t="n">
        <v>11</v>
      </c>
      <c r="F3989">
        <f>HYPERLINK("https://www.reddit.com/r/cancer/comments/cne7g3/dad_just_diagnosed_with_pancreatic_cancer/")</f>
        <v/>
      </c>
      <c r="G3989" t="inlineStr">
        <is>
          <t>2019-08-07 17:39:13</t>
        </is>
      </c>
      <c r="H3989" t="inlineStr"/>
    </row>
    <row r="3990">
      <c r="A3990" t="inlineStr">
        <is>
          <t>cneu92</t>
        </is>
      </c>
      <c r="B3990" t="inlineStr">
        <is>
          <t>I saw a general surgeon today and she referred me to an oncologist</t>
        </is>
      </c>
      <c r="C3990" t="inlineStr">
        <is>
          <t>I've been waiting for 2 months to have someone take me seriously and I feel like that finally happened today. I have a 6 cm mass on my arm that appeared in just a few months. The general surgeon I saw today didn't tell me anything I hadn't already read...but it was still sobering to hear those things from a doctor. I'm not sure how long it will take to get my oncology appointment and I'm not looking forward to another waiting game.
If anyone has experience with liposarcoma or any other soft tissue sarcoma I would love to hear from you. Thanks in advance. This sub has been very helpful already while I've been waiting up until this point.</t>
        </is>
      </c>
      <c r="D3990" t="n">
        <v>6</v>
      </c>
      <c r="E3990" t="n">
        <v>6</v>
      </c>
      <c r="F3990">
        <f>HYPERLINK("https://www.reddit.com/r/cancer/comments/cneu92/i_saw_a_general_surgeon_today_and_she_referred_me/")</f>
        <v/>
      </c>
      <c r="G3990" t="inlineStr">
        <is>
          <t>2019-08-07 18:37:25</t>
        </is>
      </c>
      <c r="H3990" t="inlineStr"/>
    </row>
    <row r="3991">
      <c r="A3991" t="inlineStr">
        <is>
          <t>cnf1za</t>
        </is>
      </c>
      <c r="B3991" t="inlineStr">
        <is>
          <t>Is any one from the UK willing to make an account for me on cancerresearchuk.org</t>
        </is>
      </c>
      <c r="C3991" t="inlineStr">
        <is>
          <t>I've read a few things from the forum on [https://www.cancerresearchuk.org/](https://www.cancerresearchuk.org/) and have bookmarked a lot of posts. I want to be able to participate in the forum and follow certain posts but you have to be in the UK to make an account. When I try to make an account, I get the following message:  
Thank you for showing interest in Cancer Chat. We have detected that your are trying to register from outside the UK. Currently, we do not have the resources to accept any new members to Cancer Chat from outside the UK and have emailed you with further information
If any one from the UK can make an account for me and send me the log in information (I'll switch over the email to mine so they don't bombard you with emails), I'd greatly appreciate it.
Thank you!</t>
        </is>
      </c>
      <c r="D3991" t="n">
        <v>3</v>
      </c>
      <c r="E3991" t="n">
        <v>4</v>
      </c>
      <c r="F3991">
        <f>HYPERLINK("https://www.reddit.com/r/cancer/comments/cnf1za/is_any_one_from_the_uk_willing_to_make_an_account/")</f>
        <v/>
      </c>
      <c r="G3991" t="inlineStr">
        <is>
          <t>2019-08-07 18:57:35</t>
        </is>
      </c>
      <c r="H3991" t="inlineStr"/>
    </row>
    <row r="3992">
      <c r="A3992" t="inlineStr">
        <is>
          <t>cnfcri</t>
        </is>
      </c>
      <c r="B3992" t="inlineStr">
        <is>
          <t>Dealing with terminal diagnosis</t>
        </is>
      </c>
      <c r="C3992" t="inlineStr">
        <is>
          <t>Quick, irrelevant background : I have adrenocortical carcinoma (ACC), a rare and aggressive cancer which was caught at stage IV June 2018. After reacting against the odds to the chemo I had successful surgery to remove the bulk of the tumour which was around 15cm. After recovering from surgery the scan showed it has come back and after the chemo (the only approved treatment in the UK) has now failed, my doctor today agreed that the word 'terminal' is probably the most appropriate to use. He said he would be surprised if I was alive in 6 months.
So after the obligatory quick cry and moan to a friend, I'm back to my rational self. For now, at least- I learnt the hard way when I was diagnosed last year that acceptance overnight is deceptive so I'm due a few ups and downs. 
It's back in the surgical bed, there are a lot of lung mets and it's also now spread to my oesophagus. But apart from the shaved head and reliance on a dozen pills a day to manage hormones, the disease burden is pretty invisible. Sute, I'm weaker and have less energy than I did, and have the occasional unplanned hospital visit, but I'm lucky to feel quite well. My big news only took up 5 minutes from the discussion tonight and I spent the following hour laughing with my gf and family, 
However, I've just been told it is likely I only have months to live. I'm 30 years old and whilst I have loved the life i lived, I can't say I'm anywhere close to being ready to go. So how on earth do I process this? It would be great to hear from anyone in a similar situation or any suggestions. 
 Love to you all.</t>
        </is>
      </c>
      <c r="D3992" t="n">
        <v>14</v>
      </c>
      <c r="E3992" t="n">
        <v>4</v>
      </c>
      <c r="F3992">
        <f>HYPERLINK("https://www.reddit.com/r/cancer/comments/cnfcri/dealing_with_terminal_diagnosis/")</f>
        <v/>
      </c>
      <c r="G3992" t="inlineStr">
        <is>
          <t>2019-08-07 19:25:34</t>
        </is>
      </c>
      <c r="H3992" t="inlineStr"/>
    </row>
    <row r="3993">
      <c r="A3993" t="inlineStr">
        <is>
          <t>cnfe5p</t>
        </is>
      </c>
      <c r="B3993" t="inlineStr">
        <is>
          <t>Should I be worried about having cancer at this point</t>
        </is>
      </c>
      <c r="C3993" t="inlineStr">
        <is>
          <t>I’ve had cancer like symptoms for like a year now blood in stool back pain lump on lower left abdomen headaches typically when drinking caffeine and the lump has grown but the doctors say there is no lump I’ve been to the doctor 4 times in the last year everytime just say lose weight so idk what to think at this point I have had a liver kidney function test and a CBC and came back fine so idk if I should worry or not</t>
        </is>
      </c>
      <c r="D3993" t="n">
        <v>0</v>
      </c>
      <c r="E3993" t="n">
        <v>2</v>
      </c>
      <c r="F3993">
        <f>HYPERLINK("https://www.reddit.com/r/cancer/comments/cnfe5p/should_i_be_worried_about_having_cancer_at_this/")</f>
        <v/>
      </c>
      <c r="G3993" t="inlineStr">
        <is>
          <t>2019-08-07 19:29:19</t>
        </is>
      </c>
      <c r="H3993" t="inlineStr"/>
    </row>
    <row r="3994">
      <c r="A3994" t="inlineStr">
        <is>
          <t>cng06r</t>
        </is>
      </c>
      <c r="B3994" t="inlineStr">
        <is>
          <t>Pneumonia and Empyema During Chemo</t>
        </is>
      </c>
      <c r="C3994" t="inlineStr">
        <is>
          <t>I’m not even sure how to word this...my brother is in the middle of chemo (2 cycles complete, 2 cycles to go) for testicular cancer that has metastasized to his lungs (diagnosed last year, had an orchiectomy, metastases seen on follow up scan months later).  We received a call on Saturday that he had been admitted to the hospital with an infection.  Spoke to him on Sunday, and he seemed pretty out of it, not totally sure what was going on.  Finally, spoke today to the attending.  He has pneumonia, as well an an empyema, and had a chest tube placed for drainage on Sunday.  The surgeons are apparently deciding tomorrow whether to take him to the OR for a thoracotomy, as the damage to his lung has been extensive.
My question (issue?) is that my parents don’t seem to understand how serious this is.  All along, they’ve focused on the survival rate for testicular cancer, and have brushed off concerns.  My brother is alone, in a different country, and my parents have put off going to see him because financially, it’s going to be very tough.  They had planned to go when he finished his last cycle, but I’ve urged them to go as soon as possible.  They don’t seem to understand that something like this could kill him, even if the cancer doesn’t.  
I guess I’m just wondering if anyone else has BTDT, and can offer an experience or advice.  When I had pneumonia, it knocked me on my butt for a couple of weeks - I imagine that this will be far more difficult to recover from, given the fact he’s immunocompromised, and dealing with the effects of chemo.  I’m not crazy to think they need to get out to see him sooner rather than later, right?  And that he will need help when he’s released from the hospital (the doctors haven’t even given him an approximate idea of when that might be)?</t>
        </is>
      </c>
      <c r="D3994" t="n">
        <v>8</v>
      </c>
      <c r="E3994" t="n">
        <v>3</v>
      </c>
      <c r="F3994">
        <f>HYPERLINK("https://www.reddit.com/r/cancer/comments/cng06r/pneumonia_and_empyema_during_chemo/")</f>
        <v/>
      </c>
      <c r="G3994" t="inlineStr">
        <is>
          <t>2019-08-07 20:29:33</t>
        </is>
      </c>
      <c r="H3994" t="inlineStr"/>
    </row>
    <row r="3995">
      <c r="A3995" t="inlineStr">
        <is>
          <t>cnied4</t>
        </is>
      </c>
      <c r="B3995" t="inlineStr">
        <is>
          <t>My Aunt Lost the Battle with NET Cancer.</t>
        </is>
      </c>
      <c r="C3995" t="inlineStr">
        <is>
          <t>I know I’m new here, so I’m sorry about the sadpost. My aunt was given until summer of 2 years ago, but just passed away a few days ago. I’ve never dealt with a death before, does anyone have any tips? Most of the articles aren’t really helping, and any ones about teens are all about how to help a grieving teen. Any and all info is nice. Thank you for your time.</t>
        </is>
      </c>
      <c r="D3995" t="n">
        <v>8</v>
      </c>
      <c r="E3995" t="n">
        <v>4</v>
      </c>
      <c r="F3995">
        <f>HYPERLINK("https://www.reddit.com/r/cancer/comments/cnied4/my_aunt_lost_the_battle_with_net_cancer/")</f>
        <v/>
      </c>
      <c r="G3995" t="inlineStr">
        <is>
          <t>2019-08-08 00:39:41</t>
        </is>
      </c>
      <c r="H3995" t="inlineStr"/>
    </row>
    <row r="3996">
      <c r="A3996" t="inlineStr">
        <is>
          <t>cnivl5</t>
        </is>
      </c>
      <c r="B3996" t="inlineStr">
        <is>
          <t>Cancer and sexuality and loneliness</t>
        </is>
      </c>
      <c r="C3996" t="inlineStr">
        <is>
          <t>I’ve been diagnosed with Stage 1 kidney cancer in April this year. I (42f) am in a long term relationship with a (50m). This is a lonely path to walk and feel like I have no one who understands me. I have noticed that my partner doesn’t want to be intimate as much with me in the last 2 months. I am always the initiator and feel that he may be looking at me as unsexual or off limits because of the cancer. I feel ok still And I am still wanting to make love but every time I bring it up he gets angry with me and now I can’t even discuss it with him. I’m not sure what to do.. has anyone else had this problem with their partners ? Or is this in my head? Not only do I feel like I’m unattractive sexually to him but it’s made me feel so very lonely.  Any advice would be very helpful.</t>
        </is>
      </c>
      <c r="D3996" t="n">
        <v>8</v>
      </c>
      <c r="E3996" t="n">
        <v>6</v>
      </c>
      <c r="F3996">
        <f>HYPERLINK("https://www.reddit.com/r/cancer/comments/cnivl5/cancer_and_sexuality_and_loneliness/")</f>
        <v/>
      </c>
      <c r="G3996" t="inlineStr">
        <is>
          <t>2019-08-08 01:37:56</t>
        </is>
      </c>
      <c r="H3996" t="inlineStr"/>
    </row>
    <row r="3997">
      <c r="A3997" t="inlineStr">
        <is>
          <t>cnk6gc</t>
        </is>
      </c>
      <c r="B3997" t="inlineStr">
        <is>
          <t>another bleed.</t>
        </is>
      </c>
      <c r="C3997" t="inlineStr">
        <is>
          <t>My dad had another bleed this morning. 
They’re getting more and more frequent. 
This one scared the living shit out of me. I had been up all night, because how do you sleep with someone who, the second you close your eyes manages to lose their nurse call button in the blankets and then needs it and writhes around in agony trying to find 
He was grouchy with me this morning because he was hurting. The nurses came to give him his meds and bath so I was waiting outside the room when his SO came to pick me up. 
We were waiting for them to finish up before saying hi and bye to him. Then an alarm went off and a room number flashed. Not green for routine, not yellow for nurse button, but red for fucking panic. Every staff member came out of nowhere and flat out ran to a room. I remember saying “that’s dad.” 
We sat. And we sat and we sat. She prayed “please not now. Please not like this. Just a little longer.” Because you’re never ready.  Even when you know it ends their suffering you’re never ready. 
One staff member, bless her, tried to find more info and was visibly upset for us. More came in and out, avoiding eye contact, tense lips. We searched their faces for anything reassuring. A janitor paused by his room with a mop. I just closed my eyes.
Ten thousand years later the  doctor came out to tell us that he is stable. For now. 
 Dad is calm, she said. He wasn’t panicked. He was probably high out of his mind. But she did suggest getting him darker pillowcases for future. Not a catastrophic vessel, just the tumor itself, and it is under control for now. 
Catastrophic bleeds are rare, but his neck cancer is rare. And it’s bleeding. Over and over again. 
I am so relieved and so scared and so heartbroken because again, he is really not coming home. I pray that he doesn’t go out like this. Please let him just fall asleep. Please just give him too much pain meds. Please just not this.</t>
        </is>
      </c>
      <c r="D3997" t="n">
        <v>9</v>
      </c>
      <c r="E3997" t="n">
        <v>0</v>
      </c>
      <c r="F3997">
        <f>HYPERLINK("https://www.reddit.com/r/cancer/comments/cnk6gc/another_bleed/")</f>
        <v/>
      </c>
      <c r="G3997" t="inlineStr">
        <is>
          <t>2019-08-08 04:05:07</t>
        </is>
      </c>
      <c r="H3997" t="inlineStr"/>
    </row>
    <row r="3998">
      <c r="A3998" t="inlineStr">
        <is>
          <t>cnmelz</t>
        </is>
      </c>
      <c r="B3998" t="inlineStr">
        <is>
          <t>Stage IV Colon Cancer w/Mets - Ouch</t>
        </is>
      </c>
      <c r="C3998" t="inlineStr">
        <is>
          <t>It has been a week since my Lower Anterior Resection (LAR). It was supposed to be Laparoscopic but the Ghost of Christmas Future visited my surgeon the night before and he decided we were doing the Full Monty.
So now I am dealing with 20 staples in my belly, a drain, and a poop bag. I must admit I am a big fan of the epidural. Other than the fact my left thigh was uselessly numb. But that stood me in good stead as they kept sticking me with heparin and I couldn't feel it.
But OMG the food. No wonder 20% of cancer patients starve to death. On the 3rd day after surgery the meal was so bad I burst into tears (which hurts like a mother fucker with staples in your belly). 
Then I called my favorite restaurant near the hospital and the boss ran me up my dinner. I hugged and cried on him too.
But I did get to leave on the 4th day. The poor weekend doctor came in to examine me to see if I was able to go home. I was dressed, packed and waiting for my T3 prescription to be written. That young fella had quite a funny look on his face but didn't attempt to stand in my way.
I couldn't understand why my nether regions felt like the aftermath of an '80s orgy but apparently, I got a bonus colonoscopy and lady bits exam. Yeah, me.
But the good news is Artie the Ass Tumor is no more. He was completely encapsulated and hadn't gone where he shouldn't.  Plenty of margins so my poop bag is temporary (and not as bad as you would think - don't be scared of it just don't eat hard-boiled eggs).
While the surgeon was in there he took a look-see at Larry the Liver who was looking great. The Daryll Tumors are still there of course but you couldn't tell by looking.
6 more weeks and we do it all again. Wheeee!!!
I hope everyone is having the best day they can. Fuck Cancer.</t>
        </is>
      </c>
      <c r="D3998" t="n">
        <v>83</v>
      </c>
      <c r="E3998" t="n">
        <v>34</v>
      </c>
      <c r="F3998">
        <f>HYPERLINK("https://www.reddit.com/r/cancer/comments/cnmelz/stage_iv_colon_cancer_wmets_ouch/")</f>
        <v/>
      </c>
      <c r="G3998" t="inlineStr">
        <is>
          <t>2019-08-08 07:18:13</t>
        </is>
      </c>
      <c r="H3998" t="inlineStr"/>
    </row>
    <row r="3999">
      <c r="A3999" t="inlineStr">
        <is>
          <t>cnndgk</t>
        </is>
      </c>
      <c r="B3999" t="inlineStr">
        <is>
          <t>ER doctors found a mass in my esophagus. Saying it “could” be cancer</t>
        </is>
      </c>
      <c r="C3999" t="inlineStr">
        <is>
          <t>Age: 27
Sex: Female
Height: 5’4
Weight: 109
Race: white/Mexican
Duration of complaint: just found out
Geography on body: esophagus 
Current medications: Oral birth control, klonopin 1mg taken daily, Wellbutrin 150mg (started a week ago), and albuterol inhaler
today I was at work and had shortness of breath. I would need to feel the need to take a big breath just to feel like I was breathing properly. I thought I was just my anxiety and that it would go away on its own. Well it didn’t. I started getting lightheaded and told my boss I can’t work and that I’d be going to the ER.
My boyfriend drove me there. Doctors did blood work, EKG, chest X-rays, and a CT scan. Everything came out normal except what the radiologist found after the CT scan. They said that they found mass in my esophagus. The doctor said “it’s highly unlikely that it’s cancer”.
The second she said that, the look on my face must have said it all because then she quickly said “it’s unlikely but we want to rule it out”. That they were going to have a panel of specializes doctors (otolaryngologist, oncologist, and a few others I forgot) that they were going to look at my test results and determine the best way to figure this out. I’m not in any pain. I’ve always had trouble gaining weight since I was a kid so I don’t know what to think. 
My primary care doctor will contact me in a week to see what they said. That they’ll most likely have to do an upper endoscopy to take a sample. 
This is terrifying me beyond belief. I can’t eat, sleep, and can’t stop thinking about what if it is cancer. I’m freaking out because I went in for one thing (which didn’t get resolved) and came out with a POSSIBILITY of having fucking cancer. I’m so scared. The doctor said it could be “Benign”. I’m just terrified. 
I’m not even sure what I’m trying to ask. Any chance that this is cancer?? I know without seeing pics or my records it’s hard to tell. But in your experience (if you’re a doctor) how likely is this?
This couldn’t come at a worse time, I’m supposed to be starting school in 2 weeks. How can I even think about school when I could possibly have cancer. I’m a wreck. How likely do you think it is? I know it’s hard to know 100% but I guess I just want some reassurance. 
When you got the news that you have cancer, what went through your mind? How did you cope with this?</t>
        </is>
      </c>
      <c r="D3999" t="n">
        <v>5</v>
      </c>
      <c r="E3999" t="n">
        <v>22</v>
      </c>
      <c r="F3999">
        <f>HYPERLINK("https://www.reddit.com/r/cancer/comments/cnndgk/er_doctors_found_a_mass_in_my_esophagus_saying_it/")</f>
        <v/>
      </c>
      <c r="G3999" t="inlineStr">
        <is>
          <t>2019-08-08 08:34:25</t>
        </is>
      </c>
      <c r="H3999" t="inlineStr"/>
    </row>
    <row r="4000">
      <c r="A4000" t="inlineStr">
        <is>
          <t>cnnu8h</t>
        </is>
      </c>
      <c r="B4000" t="inlineStr">
        <is>
          <t>Losing a Parent</t>
        </is>
      </c>
      <c r="C4000" t="inlineStr">
        <is>
          <t>My dad was diagnosed with 3 kinds of cancer just after his birthday. Stage 3 liver, stage 1 lungs and stage 3 something of the lymph nodes, my parents don't want to tell me much so I don't worry (their logic).
He had tried chemo but after 3 or 4 treatments decided to stop because his liver is getting worse. The doctor told us he has anywhere from weeks or months to live and we are setting up hospice for him so he can at least die at home.
How do you cope with this? I'm almost 30, I know eventually I'm going to lose my parents but I always thought there would be a decade or 2 left. I feel like a scared little kid now. He had always gotten between me and my mom when she got cruel, he built me up to be the person I am today. 
What almost makes it worse is that my parents are looking at me and telling me how proud they are of me handling this so  maturely, when I really just go home and cry in the middle of the living room floor and can barely take care of myself.</t>
        </is>
      </c>
      <c r="D4000" t="n">
        <v>8</v>
      </c>
      <c r="E4000" t="n">
        <v>11</v>
      </c>
      <c r="F4000">
        <f>HYPERLINK("https://www.reddit.com/r/cancer/comments/cnnu8h/losing_a_parent/")</f>
        <v/>
      </c>
      <c r="G4000" t="inlineStr">
        <is>
          <t>2019-08-08 09:08:40</t>
        </is>
      </c>
      <c r="H4000" t="inlineStr"/>
    </row>
    <row r="4001">
      <c r="A4001" t="inlineStr">
        <is>
          <t>cnoji9</t>
        </is>
      </c>
      <c r="B4001" t="inlineStr">
        <is>
          <t>Good news</t>
        </is>
      </c>
      <c r="C4001" t="inlineStr">
        <is>
          <t>Just had the results of a biopsy to remove a mass left over from my Chemo/radiotherapy treatment 
Normally pathology 
Now to look forward to three monthly colonoscopies and MRIs for next few years</t>
        </is>
      </c>
      <c r="D4001" t="n">
        <v>30</v>
      </c>
      <c r="E4001" t="n">
        <v>5</v>
      </c>
      <c r="F4001">
        <f>HYPERLINK("https://www.reddit.com/r/cancer/comments/cnoji9/good_news/")</f>
        <v/>
      </c>
      <c r="G4001" t="inlineStr">
        <is>
          <t>2019-08-08 09:58:59</t>
        </is>
      </c>
      <c r="H4001" t="inlineStr"/>
    </row>
    <row r="4002">
      <c r="A4002" t="inlineStr">
        <is>
          <t>cnoogo</t>
        </is>
      </c>
      <c r="B4002" t="inlineStr">
        <is>
          <t>Advice on tolerating cryotherapy gloves</t>
        </is>
      </c>
      <c r="C4002" t="inlineStr">
        <is>
          <t>I’m looking for some advice for my coworker. She’s going through her second round of chemo for her reoccurring ovarian cancer. During the first round of chemo they had her try the frozen gloves to help reduce neuropathy side effects and she only made it about 20 minutes before not being able to tolerate the cold. This time the side effects for the drug they are giving her are open sores on her feet and hands and recommended trying the frozen gloves again. The duration is going to be for about an hour and a half. Does anyone have any recommendations for successful getting through the full time?</t>
        </is>
      </c>
      <c r="D4002" t="n">
        <v>6</v>
      </c>
      <c r="E4002" t="n">
        <v>3</v>
      </c>
      <c r="F4002">
        <f>HYPERLINK("https://www.reddit.com/r/cancer/comments/cnoogo/advice_on_tolerating_cryotherapy_gloves/")</f>
        <v/>
      </c>
      <c r="G4002" t="inlineStr">
        <is>
          <t>2019-08-08 10:08:06</t>
        </is>
      </c>
      <c r="H4002" t="inlineStr"/>
    </row>
    <row r="4003">
      <c r="A4003" t="inlineStr">
        <is>
          <t>cnp659</t>
        </is>
      </c>
      <c r="B4003" t="inlineStr">
        <is>
          <t>This afternoon I lost my grandfather to cancer...</t>
        </is>
      </c>
      <c r="C4003" t="inlineStr">
        <is>
          <t>My dear Papa (grandfather) was diagnosed with cancer just a few weeks ago. It was already in his brain, spine, lungs and liver. It was a very quick decline... He lived a long life and couldn’t fight it off.
Today he passed surrounded by family, reciting the Lord’s Prayer that he and his wife said together every single night. 
I know he’s at peace... 
it just hurts my heart how quickly a loved one can be ripped away. 
Thank you for listening.</t>
        </is>
      </c>
      <c r="D4003" t="n">
        <v>5</v>
      </c>
      <c r="E4003" t="n">
        <v>0</v>
      </c>
      <c r="F4003">
        <f>HYPERLINK("https://www.reddit.com/r/cancer/comments/cnp659/this_afternoon_i_lost_my_grandfather_to_cancer/")</f>
        <v/>
      </c>
      <c r="G4003" t="inlineStr">
        <is>
          <t>2019-08-08 10:42:56</t>
        </is>
      </c>
      <c r="H4003" t="inlineStr"/>
    </row>
    <row r="4004">
      <c r="A4004" t="inlineStr">
        <is>
          <t>cnqys6</t>
        </is>
      </c>
      <c r="B4004" t="inlineStr">
        <is>
          <t>What does this mean? Lung cancer</t>
        </is>
      </c>
      <c r="C4004" t="inlineStr">
        <is>
          <t>My dad was just recently diagnosed with lung cancer non small cell adenocarcinoma. I’m doing my best to stay proactive in regards to everything because he is starting treatment in the next week or so. We are all very ignorant to this disease so I have so many questions. What I’m currently confused is about is my dad got his test result on something called PD-L1 Immunohistochemistry Analysis (PD-L1 22C3 FDA-Keytruda for NSCLC:expressed)...I’m confused as to what exactly that even is and I’m confused about what his results mean . His results say the following : Tumor Proportion score: 25% ....Intensity:2..... if anyone could please help me out with this I’d appreciate it. Thanks!</t>
        </is>
      </c>
      <c r="D4004" t="n">
        <v>7</v>
      </c>
      <c r="E4004" t="n">
        <v>1</v>
      </c>
      <c r="F4004">
        <f>HYPERLINK("https://www.reddit.com/r/cancer/comments/cnqys6/what_does_this_mean_lung_cancer/")</f>
        <v/>
      </c>
      <c r="G4004" t="inlineStr">
        <is>
          <t>2019-08-08 12:50:33</t>
        </is>
      </c>
      <c r="H4004" t="inlineStr"/>
    </row>
    <row r="4005">
      <c r="A4005" t="inlineStr">
        <is>
          <t>cnr9xw</t>
        </is>
      </c>
      <c r="B4005" t="inlineStr">
        <is>
          <t>I‘m scared</t>
        </is>
      </c>
      <c r="C4005" t="inlineStr">
        <is>
          <t>Hey guys, not really sure what i‘m doing here, considering I „just“ have pre-stages of cancer, but i feel like maybe some of you might understand me better. Its been a week since I‘ve known and it just keeps coming back. Like i feel happy or distracted and suddenly I don‘t feel anything except fear of this fucking tumor thats slowly starting to grow.
Some info, i‘m twenty, and cancer has been messing with me for a long time, cause my mom had colon cancer when I was like 6 and I too have a genetic predisposition for cancer, so I kinda knew it was coming, just didn‘t expect it to happen so fuckin soon.</t>
        </is>
      </c>
      <c r="D4005" t="n">
        <v>1</v>
      </c>
      <c r="E4005" t="n">
        <v>3</v>
      </c>
      <c r="F4005">
        <f>HYPERLINK("https://www.reddit.com/r/cancer/comments/cnr9xw/im_scared/")</f>
        <v/>
      </c>
      <c r="G4005" t="inlineStr">
        <is>
          <t>2019-08-08 13:12:31</t>
        </is>
      </c>
      <c r="H4005" t="inlineStr"/>
    </row>
    <row r="4006">
      <c r="A4006" t="inlineStr">
        <is>
          <t>cnrscb</t>
        </is>
      </c>
      <c r="B4006" t="inlineStr">
        <is>
          <t>Has anyone had any kind of thyriodectomy?</t>
        </is>
      </c>
      <c r="C4006" t="inlineStr">
        <is>
          <t>just want to know what to expect 😬</t>
        </is>
      </c>
      <c r="D4006" t="n">
        <v>6</v>
      </c>
      <c r="E4006" t="n">
        <v>5</v>
      </c>
      <c r="F4006">
        <f>HYPERLINK("https://www.reddit.com/r/cancer/comments/cnrscb/has_anyone_had_any_kind_of_thyriodectomy/")</f>
        <v/>
      </c>
      <c r="G4006" t="inlineStr">
        <is>
          <t>2019-08-08 13:48:32</t>
        </is>
      </c>
      <c r="H4006" t="inlineStr"/>
    </row>
    <row r="4007">
      <c r="A4007" t="inlineStr">
        <is>
          <t>cnrx3m</t>
        </is>
      </c>
      <c r="B4007" t="inlineStr">
        <is>
          <t>Similar Experiences / Outcomes - Colon Cancer with Metastasis to Liver</t>
        </is>
      </c>
      <c r="C4007" t="inlineStr">
        <is>
          <t>Hi All,
&amp;amp;#x200B;
Hope all is doing well / better in your worlds.
&amp;amp;#x200B;
Following on from a previous post my Father has been diagnosed with Colon cancer with metastasis to the Liver, and is being treated by the NHS, UK.
&amp;amp;#x200B;
I have been busy sorting some insurance matters on his behalf (cancelled holidays) whilst his wife and my sister progress with him on the treatment front. He is scheduled for surgery to remove as much of the Colon cancer as possible, following up with Chemotherapy for any remainder / Liver.
&amp;amp;#x200B;
However the insurance matter is drawing to the end, so I am now turning my full attention to understanding his current position, treatments and likely outcomes which I am now researching.
&amp;amp;#x200B;
Have any of you / your loved ones suffered from the same diagnosis? If so how did it go for you? What was the outcome
&amp;amp;#x200B;
Tell me your stories, particularly anything you wish you knew earlier in the process!
&amp;amp;#x200B;
Thanks,
&amp;amp;#x200B;
half\_pint2152.</t>
        </is>
      </c>
      <c r="D4007" t="n">
        <v>3</v>
      </c>
      <c r="E4007" t="n">
        <v>1</v>
      </c>
      <c r="F4007">
        <f>HYPERLINK("https://www.reddit.com/r/cancer/comments/cnrx3m/similar_experiences_outcomes_colon_cancer_with/")</f>
        <v/>
      </c>
      <c r="G4007" t="inlineStr">
        <is>
          <t>2019-08-08 13:57:59</t>
        </is>
      </c>
      <c r="H4007" t="inlineStr"/>
    </row>
    <row r="4008">
      <c r="A4008" t="inlineStr">
        <is>
          <t>cnt21k</t>
        </is>
      </c>
      <c r="B4008" t="inlineStr">
        <is>
          <t>My Bucket List Items With Dad</t>
        </is>
      </c>
      <c r="C4008" t="inlineStr">
        <is>
          <t>Hey fam, It’s been a hospital week. I’ve had a little time to reflect on my bucket list items with my dad/hero.
I want him to know his family loves him.
I want him to know I’m proud of him.
I want to watch his favorite ‘feel good’ movie “The Parent Trap” - we should be able to do that tonight.
I want to claim my rightful thrown as backgammon King (doubtful) - again we can accomplish this from the hospital. 
I want to see him enjoy some food.
I want to listen to some rock together.
I want him to know I’m okay. 
I’d like to watch lotr (all of them)
I want him to feel handsome
I want him to love himself.</t>
        </is>
      </c>
      <c r="D4008" t="n">
        <v>30</v>
      </c>
      <c r="E4008" t="n">
        <v>8</v>
      </c>
      <c r="F4008">
        <f>HYPERLINK("https://www.reddit.com/r/cancer/comments/cnt21k/my_bucket_list_items_with_dad/")</f>
        <v/>
      </c>
      <c r="G4008" t="inlineStr">
        <is>
          <t>2019-08-08 15:21:32</t>
        </is>
      </c>
      <c r="H4008" t="inlineStr"/>
    </row>
    <row r="4009">
      <c r="A4009" t="inlineStr">
        <is>
          <t>cntcjd</t>
        </is>
      </c>
      <c r="B4009" t="inlineStr">
        <is>
          <t>Carcinoid syndrome</t>
        </is>
      </c>
      <c r="C4009" t="inlineStr">
        <is>
          <t>Can someone please explain to me carcinoid syndrome and what it feels like? And explain how the flushing feels and looks and is triggered?
And how it can effect normal blood tests? Like for example inflammatory markers?
Sorry for the question, very scared girl here.</t>
        </is>
      </c>
      <c r="D4009" t="n">
        <v>2</v>
      </c>
      <c r="E4009" t="n">
        <v>7</v>
      </c>
      <c r="F4009">
        <f>HYPERLINK("https://www.reddit.com/r/cancer/comments/cntcjd/carcinoid_syndrome/")</f>
        <v/>
      </c>
      <c r="G4009" t="inlineStr">
        <is>
          <t>2019-08-08 15:44:39</t>
        </is>
      </c>
      <c r="H4009" t="inlineStr"/>
    </row>
    <row r="4010">
      <c r="A4010" t="inlineStr">
        <is>
          <t>cntin3</t>
        </is>
      </c>
      <c r="B4010" t="inlineStr">
        <is>
          <t>For those of us who lose taste due to chemo, suggestions.</t>
        </is>
      </c>
      <c r="C4010" t="inlineStr">
        <is>
          <t>I know everyone is different, but I thought it’d be nice to share some foods and drinks that are still palatable for those of us who lose taste.  I’m a week out, and I can taste hardly anything.
Except...
Cranberry juice
Mint or spearmint gum
Balsamic Vinaigrette (comes through a little on a salad)
Please, add other suggestions that work/ed for you.  I need all the flavors I can get.</t>
        </is>
      </c>
      <c r="D4010" t="n">
        <v>7</v>
      </c>
      <c r="E4010" t="n">
        <v>17</v>
      </c>
      <c r="F4010">
        <f>HYPERLINK("https://www.reddit.com/r/cancer/comments/cntin3/for_those_of_us_who_lose_taste_due_to_chemo/")</f>
        <v/>
      </c>
      <c r="G4010" t="inlineStr">
        <is>
          <t>2019-08-08 15:58:02</t>
        </is>
      </c>
      <c r="H4010" t="inlineStr"/>
    </row>
    <row r="4011">
      <c r="A4011" t="inlineStr">
        <is>
          <t>cnugzt</t>
        </is>
      </c>
      <c r="B4011" t="inlineStr">
        <is>
          <t>[30F] Found a lump and am scheduled to meet with a breast surgeon after the ultrasound. I'm lost.</t>
        </is>
      </c>
      <c r="C4011" t="inlineStr">
        <is>
          <t>I found a lump in my breast a few months ago and scheduled an appointment with my doctor as soon as possible.
When I went in for my initial appointment, my doctor nonchalantly told me I probably had nothing to worry about, and that I was too young to have breast cancer, lumps are common and often benign, etcetera.
When she felt the lump, her whole disposition changed. She started talking to me in serious yet quiet tone and told me that there’s a chance that I might have to remove 50% of my breast. Uh, that escalated quickly… She pauses and says, “You’re so young. I really hope we don’t have to do that. It can be so disfiguring.” She says she wants to find out as much as possible before we proceed, which calms be down a bit. She ordered an ultrasound and mammogram for me.
I called immediately to schedule an appointment for the tests, and the earliest available one was a month from that time. I guess this is normal, but it was definitely not fun playing the waiting game.
Appointment day finally rolls around, and once I get there, I’m told they are only going to do the ultrasound and scrap the mammogram. I was told I’m at an age where my breast tissue is too dense for the mammogram to even give us any information. I go along with it hoping that it’s not something I’ll need eventually and will have to make another appointment for with another month of waiting. These situations are always a bit uncomfortable. I don’t want to be the annoying person who is combative with the professional in the field, but it’s a little disconcerting to anticipate getting something done that was recommended by your doctor only to be told it’s not happening. Shrugs.
I scheduled a follow-up to with my primary doctor to get the results. I spoke with the nurse practitioner for five minutes and she started to divulge that they had found something suspicious, but then stopped talking when she realized I haven’t seen the results yet. She told me the doctor would be with me shortly.
The doctor, the nurse practitioner, and some other lady came into the room at the same time. They looked at results on the iPad on their own. The doctor asked if she could feel the lump again. I just plopped on the table and exposed my breast. Side note: I’m not shy about this stuff, but I think a good chunk of the population would have felt uncomfortable just exposing themselves to three strangers.
They told me that the test center recommended a fine needle biopsy because they couldn’t conclude that it was benign and wanted more information. My doctor said they received my results over the weekend and already sent a referral for a breast surgeon. She explained that a fine needle biopsy could be dangerous because it’s likely to be a false negative, and that I should just remove it. I was shocked and had lots of questions, but didn’t really know where to begin. She was suggesting that I skip the biopsy altogether and just schedule the surgery.
I understand that she might have more information and understanding to be able to make that conclusion, but I need a little help getting there. The lady who did my ultrasound said that if they find anything of slight concern, they’ll probably end up tracking me every 3-6 months just in case of any new developments. My doctor didn’t tell me anything like this or really offer up any other options. I felt like the only legitimate option she was giving me was to get the surgery. I asked it was possible to get the fine needle biopsy and go on from there. If it came back positive for cancer, I would feel confident about the surgery. If it came out negative, I’d still be in the same spot that I’m in now, but I thought it was a better option to sign up for the surgery when I feel so uneasy about everything. She seemed very annoyed by this and made the comment that the breast surgeon will probably say the same thing that she told me. I’m just confused and have so many questions, but literally had under 10 minutes with my doctor.
Just in a weird place. The first appointment, she seemed so concerned that I might have to remove half of my breast and really wanted to avoid doing that. Now, I feel like she’s pressuring me to get the surgery and acting like it’s not a big deal.
After a little research and advice from a friend, I found out that skipping the mammogram is pretty normal. She also told me that the fine needle biopsies are rarely done because they are unreliable, but that there are other, more accurate biopsies.
1. If there are other biopsies or tests available, why aren’t they in the discussion?
2. Is it perfectly reasonable to get a lumpectomy after an ultrasound?
3. She described it as potentially benign cancer. Is this a thing? Oxymoron?
4. At what point do they decide it is better to get a mastectomy versus a lumpectomy? I ask because my doctor said she found another lump near the first one and am wondering if it’s possible that they decide enough tissue is being removed to warrant a mastectomy.
5. After the lumpectomy, is there still a chance I have breast cancer?
6. What is the post-surgery recovery like?
7. Is this all just relatively standard stuff that I’m making a big deal out of?
8. Will any of this affect my ability to have children?
I know these aren’t the most brilliant questions, but I’m just extremely lost. The waiting periods between appointments are so brutal. I’d really appreciate any advice or experiences that any of you have had.</t>
        </is>
      </c>
      <c r="D4011" t="n">
        <v>16</v>
      </c>
      <c r="E4011" t="n">
        <v>11</v>
      </c>
      <c r="F4011">
        <f>HYPERLINK("https://www.reddit.com/r/cancer/comments/cnugzt/30f_found_a_lump_and_am_scheduled_to_meet_with_a/")</f>
        <v/>
      </c>
      <c r="G4011" t="inlineStr">
        <is>
          <t>2019-08-08 17:17:01</t>
        </is>
      </c>
      <c r="H4011" t="inlineStr"/>
    </row>
    <row r="4012">
      <c r="A4012" t="inlineStr">
        <is>
          <t>cnvzan</t>
        </is>
      </c>
      <c r="B4012" t="inlineStr">
        <is>
          <t>Struggling with diagnosis</t>
        </is>
      </c>
      <c r="C4012" t="inlineStr">
        <is>
          <t>Hey everyone, 
I am really struggling and I need some advice. My grandmother was diagnosed with lung cancer about a year and a half ago. She was recently hospitalized for a blood clot and they did a PET scan while she was there. The cancer has spread EVERYWHERE. The doctors didn’t tell her, but gave myself and my parents the results. 
My mom does not want to show my grandmother the results, but I feel like she should know. I feel like she should know that the doctors gave her only a few weeks to live. My mom thinks it will cause her to get worse mentally. 
What do you all think?</t>
        </is>
      </c>
      <c r="D4012" t="n">
        <v>4</v>
      </c>
      <c r="E4012" t="n">
        <v>8</v>
      </c>
      <c r="F4012">
        <f>HYPERLINK("https://www.reddit.com/r/cancer/comments/cnvzan/struggling_with_diagnosis/")</f>
        <v/>
      </c>
      <c r="G4012" t="inlineStr">
        <is>
          <t>2019-08-08 19:27:33</t>
        </is>
      </c>
      <c r="H4012" t="inlineStr"/>
    </row>
    <row r="4013">
      <c r="A4013" t="inlineStr">
        <is>
          <t>cnwa2a</t>
        </is>
      </c>
      <c r="B4013" t="inlineStr">
        <is>
          <t>My wife is ready to die. I am ready to say goodbye.</t>
        </is>
      </c>
      <c r="C4013" t="inlineStr">
        <is>
          <t>After seven months of hospital stays, procedures, tests, surgeries, opioids, and mainly a lot of pain and suffering, my wife has decided she is ready to die. Her doctors have done all they can. They were committed to recovering her well-being and the quality of life she deserves but the disease was stronger than them. 
This morning she finally told me she's ready to stop, and I informed her doctors. Her family and friends have started to visit her and will continue to visit her during the next few days.
I don't know how long it will take, but the doctors and nurses have promised us it will be as peaceful and comfortable as possible for her. I really hope they can fulfill that promise. 
She is at peace. I am at peace.
I will be forever grateful to you all for the support we have received since her diagnosis. I couldn't have done my job as caretaker as well as I did without this community. 
Thank you, thank you, thank you.</t>
        </is>
      </c>
      <c r="D4013" t="n">
        <v>205</v>
      </c>
      <c r="E4013" t="n">
        <v>28</v>
      </c>
      <c r="F4013">
        <f>HYPERLINK("https://www.reddit.com/r/cancer/comments/cnwa2a/my_wife_is_ready_to_die_i_am_ready_to_say_goodbye/")</f>
        <v/>
      </c>
      <c r="G4013" t="inlineStr">
        <is>
          <t>2019-08-08 19:53:23</t>
        </is>
      </c>
      <c r="H4013" t="inlineStr"/>
    </row>
    <row r="4014">
      <c r="A4014" t="inlineStr">
        <is>
          <t>cnwyix</t>
        </is>
      </c>
      <c r="B4014" t="inlineStr">
        <is>
          <t>Wife Starting Chemo</t>
        </is>
      </c>
      <c r="C4014" t="inlineStr">
        <is>
          <t>So it seems like a bad dream but the day has come for my wife to start chemo for stage 3 breast cancer.  Got advice from some that have been through it but mostly things for her,  anything for the SO to be prepared for? I know it's about her but just looking for advise for holding the house together with  two toddlers and a wife that I know won't be able to interact with them the way she wants.</t>
        </is>
      </c>
      <c r="D4014" t="n">
        <v>4</v>
      </c>
      <c r="E4014" t="n">
        <v>4</v>
      </c>
      <c r="F4014">
        <f>HYPERLINK("https://www.reddit.com/r/cancer/comments/cnwyix/wife_starting_chemo/")</f>
        <v/>
      </c>
      <c r="G4014" t="inlineStr">
        <is>
          <t>2019-08-08 20:55:11</t>
        </is>
      </c>
      <c r="H4014" t="inlineStr"/>
    </row>
    <row r="4015">
      <c r="A4015" t="inlineStr">
        <is>
          <t>cnx7zq</t>
        </is>
      </c>
      <c r="B4015" t="inlineStr">
        <is>
          <t>Curcumin may be a cure for cancer</t>
        </is>
      </c>
      <c r="C4015" t="inlineStr">
        <is>
          <t>It’s been 5 months since my mom was first diagnosed with lung cancer. I gave her curcumin every day after her diagnosis and prior to surgery. I cannot be more thrilled with her recovery and am happy to say that she is now cancer free! I’m hoping to spread the word about curcumin and it’s benefits. The following is the first post I wrote after my mom’s diagnosis.
“I hardly ever post on social media but I'd like to address something I feel so strongly about. A few days ago, my mom fell ill and went to the ER. She had horrible pains in her chest, left arm, and back of the neck. Along with that, she also had extremely high blood pressure and felt nauseous, weak, dizzy, and a loss of appetite. We waited in the ER for over 14 hours before finally completing the medical examinations. Throughout this time, her voice was becoming hoarse and she began coughing more and more.
We finally heard back from the doctors. They found a small spot (around 2.5cm) in her lower left lung and presumed it to be cancerous. After seeing her condition and hearing from the doctors, I completely broke down. Even though it was not fully confirmed, I was convinced that my mom had lung cancer and that it had already spread throughout her body. To make matters worse, doctors were not able to perform a biopsy that day and booked her in for one month later. I’ve never felt more helpless in my life.
I lost my father a few years ago and to see my mother in so much pain completely shattered me. So, I turned to natural medicine and remembered reading numerous articles about the cancer-fighting abilities of curcumin (the active ingredient in turmeric - found in most grocery stores). I had to at least try it and pray that it would work. My mom was so hesitant to try anything not recommended by doctors but I knew I had to beg and force her to.
Almost miraculously, all of her symptoms went away. Within a few days, she seems to have bounced back completely. Her blood pressure is stable, her pain is gone, her energy is back, and her cough went away.
I know that many people have used curcumin for centuries and that it is already well studied, however, it is not yet mainstream in western society.
Lastly, this is my personal opinion, so please do your own research and take your own precautions. I've seen the effects with my own eyes and I’m sharing this in hopes that it will reach others who are currently battling cancer.
*Caution* - I initially gave my mom 1000mg of a curcumin/piperine complex (piperine helps increase the absorption of curcumin) and she suddenly had horrible chest pain that lasted all throughout the night. I've never felt more scared thinking that I've made matters even worse. Soon after, I read online that a very high dose can cause more harm than good. I'm now giving her 250mg - 500mg periodically and she seems to be improving.”</t>
        </is>
      </c>
      <c r="D4015" t="n">
        <v>1</v>
      </c>
      <c r="E4015" t="n">
        <v>0</v>
      </c>
      <c r="F4015">
        <f>HYPERLINK("https://www.reddit.com/r/cancer/comments/cnx7zq/curcumin_may_be_a_cure_for_cancer/")</f>
        <v/>
      </c>
      <c r="G4015" t="inlineStr">
        <is>
          <t>2019-08-08 21:19:45</t>
        </is>
      </c>
      <c r="H4015" t="inlineStr"/>
    </row>
    <row r="4016">
      <c r="A4016" t="inlineStr">
        <is>
          <t>cnxbdp</t>
        </is>
      </c>
      <c r="B4016" t="inlineStr">
        <is>
          <t>A terrified daughter looking for advice.</t>
        </is>
      </c>
      <c r="C4016" t="inlineStr">
        <is>
          <t>Im sorry if this doesn't fit on this sub.
A month ago my mom [59] was diagnosed with stage two breast cancer. I'm her only daughter. She was in her early 20's when she lost her mom to breast cancer. I'll turn 21 this year.
In the weeks after the initial diagnosis, she's looked to me for support. Each time she doesn't find what she's looking for, she resents me more. She's made that clear. The issue is, I don't know what she needs from me. Now an already strained relationship is getting worse. I just keep trying to be what she needs. I'm finding it impossible to decipher what that is. She won't tell me how I can support her. If I ask she will scream that I've proven that I don't care or love her. Now every interaction turns into her berating everything about me. I've become her emotional punching bag. I am trying to hold it together because this isn't about me. This is about her. I can't seem to find a foothold to make her feel loved and supported. From what little I can gather, it's because I shut down when she told me. She called me first thing in the morning when she got her results back. I don't remember much of that phone call. Frankly, I was reeling. I remember saying I'm so sorry and I love you a lot. I went to see her that night. I told her I loved her and let her talk about how she was feeling and what the next steps were. That's all my brain could come up with. I tried to treat her how I would want my family to treat me. That's the best I could come up with. She called me a few days after on the morning of her first Drs appointment post-diagnosis. She was crying so hard I couldn't make out a single word. I tried. I did. "I'm sorry, I love you, it will be okay." On a loop. She hung up on me. That's where I failed I guess. I didn't call her back. I just sat in my bed, shell shocked. I went back to sleep. 
Every interaction since has been a living nightmare. She screams at me that I don't care if she dies. That I'm emotionless, cold, heartless. None of that is true. I love my mom. I want to see her kick cancer's ass. I'm trying so so hard. I don't want her to feel this way. I don't want her to hate me. I just keep telling her I'm sorry. That I want to be what she needs. That I'm sorry I'm disappointing her. That I do love her. None of it makes a difference. So I let her rip into me and hope that helps her. Maybe she needs to expel all of her anger somehow. That doesn't stop it from hurting like hell.
I'm only twenty, I'm still a kid. A kid that's trying to grow up as fast as I can. There's no guide book for people, for their pain, or for cancer. I know that. I'm sorry if this sounds selfish. I just need guidance, even if its harsh. I'm so lost. I just want to help my mom.</t>
        </is>
      </c>
      <c r="D4016" t="n">
        <v>4</v>
      </c>
      <c r="E4016" t="n">
        <v>7</v>
      </c>
      <c r="F4016">
        <f>HYPERLINK("https://www.reddit.com/r/cancer/comments/cnxbdp/a_terrified_daughter_looking_for_advice/")</f>
        <v/>
      </c>
      <c r="G4016" t="inlineStr">
        <is>
          <t>2019-08-08 21:28:59</t>
        </is>
      </c>
      <c r="H4016" t="inlineStr"/>
    </row>
    <row r="4017">
      <c r="A4017" t="inlineStr">
        <is>
          <t>cnxd94</t>
        </is>
      </c>
      <c r="B4017" t="inlineStr">
        <is>
          <t>I’m 18 years old is it possible I have colon cancer</t>
        </is>
      </c>
      <c r="C4017" t="inlineStr">
        <is>
          <t>Over the past few months I’ve had these horrible gas pain stomachaches every few months never close between each other, and lately I’ve noticed changes in my bowel habits. It seems almost hard to get a lot out, and like it doesn’t happen a lot. I may want to mention I have a really bad unsteady diet, I eat a lot sometimes, and eat nothing other times. I guess I don’t eat the most great food, but I’m not fat, I’m 155-160 pounds and 5’8”. I bike a lot and snowboard in the winter and I’m not exactly sedentary, but I have been depressed this past year and I would say I’ve decreased my rate of outdoor activity. I still snowboarded this winter though, and I still bike often. I’m scared especially now because my mother got cancer recently, and my older brother had cancer a few years ago. I may want to add I’ve also had problems with urnination as in like getting it going. I’m absolutely terrified right now and would just appreciate someone’s help.</t>
        </is>
      </c>
      <c r="D4017" t="n">
        <v>1</v>
      </c>
      <c r="E4017" t="n">
        <v>5</v>
      </c>
      <c r="F4017">
        <f>HYPERLINK("https://www.reddit.com/r/cancer/comments/cnxd94/im_18_years_old_is_it_possible_i_have_colon_cancer/")</f>
        <v/>
      </c>
      <c r="G4017" t="inlineStr">
        <is>
          <t>2019-08-08 21:34:12</t>
        </is>
      </c>
      <c r="H4017" t="inlineStr"/>
    </row>
    <row r="4018">
      <c r="A4018" t="inlineStr">
        <is>
          <t>cnxhpg</t>
        </is>
      </c>
      <c r="B4018" t="inlineStr">
        <is>
          <t>My dad is dying.</t>
        </is>
      </c>
      <c r="C4018" t="inlineStr">
        <is>
          <t>And I'm not ready. A couple of weeks ago he called to let me know that his small cell lung cancer had come back, after previously thinking he'd put it behind him for good. I did what any normal 20-something kid does and spent hours online trying to find any scrap of information that would make me feel better.
As you guys probably know, reccurent small cell doesn't have treatment. And you don't get much time after it comes back either.
So I've spent the better part of two weeks volleying between sobbing uncontrollably while my two year old sleeps, working as hard as I possibly can to distract myself, and trying to find any means to both visit him on the other side of the country and afford to take time off work so that I don't put myself and my daughter at risk of homelessness.
I lost my Nana and my uncle to cancer in September of last year, and my Grandfather in August the year before that. I have so many regrets about what I did and didn't do because I didn't know or couldn't afford to be there. I'm really trying not to have those regrets with my dad.
Any advice on how to cope, how to better understand things, or just someone who knows what I'm going through to help me handle it, all appreciated.</t>
        </is>
      </c>
      <c r="D4018" t="n">
        <v>3</v>
      </c>
      <c r="E4018" t="n">
        <v>3</v>
      </c>
      <c r="F4018">
        <f>HYPERLINK("https://www.reddit.com/r/cancer/comments/cnxhpg/my_dad_is_dying/")</f>
        <v/>
      </c>
      <c r="G4018" t="inlineStr">
        <is>
          <t>2019-08-08 21:46:40</t>
        </is>
      </c>
      <c r="H4018" t="inlineStr"/>
    </row>
    <row r="4019">
      <c r="A4019" t="inlineStr">
        <is>
          <t>cnxw9n</t>
        </is>
      </c>
      <c r="B4019" t="inlineStr">
        <is>
          <t>Recently diagnosed MDS, process of BMT to avoid AML just started</t>
        </is>
      </c>
      <c r="C4019" t="inlineStr">
        <is>
          <t>Hi there. I'm so sorry if this isn't the place I belong (it sort of feels that way. I feel like a bit of a fraud for posting here but I'm not sure where else to go), and if it's not a kind redirect would be extremely appreciated. Just a head's up, I'm not going to proofread this when I'm done because just typing it hurts.
I have a blood issue (Kostmann syndrome, basically means I have no white blood cells). I was always told that this put me at a higher risk of leukemia. But I guess I never thought it'd happen. The doctors kept saying that "just because I'm at higher risk doesn't mean it'll actually happen" and then...
I go for routine blood tests because of my KS. Just to make sure that's all stable. My doc noticed something was off, indicative of MDS. She did a test on my bone marrow. Said she was very concerned for it. Referred me to a cancer doctor.
Got another bone marrow test. Yep, it's MDS. Obviously we're afraid of this turning into AML, so I'm going to get a BMT.
I'm female. 20. My 21st birthday is in December of this year. School is starting up next month.
I can't go to school this year. The chemo from the BMT could make me infertile so I'm getting my eggs harvested before the BMT. Idk when the egg process will be but it's soon.
I'm not feeling good. Physically, I feel fine, but I'm in one of the worst mental places I've been in a while. My life was so shit for a while, and then it got better for a year, and now it's way worse. I was excited for my classes. I was excited to see my friends. I don't want to be in the hospital for 2-3mo without my two cats.
The doctors say I'm lucky I have this time before the BMT. Time to have fun. But how am I supposed to have fun?
How am I supposed to do things and enjoy doing them, knowing pretty soon I'll be in the hospital for 2-3mo? Pretty soon I might be infertile (yeah I'm getting eggs harvested but it's not the same), might lose my hair (so much of my identity is tied to my hair, man...), might have organ issues, higher risk for diabetes, all the other potential chemo and BMT side effects...?
I don't want to lose my period. It's an unpopular opinion but I love it. It's the one time a month I know something, ANYTHING in my body is working correctly. And that might be taken away from me.
I don't know what to do. My doctor is referring me to a young adult group for cancer patients. I haven't gone yet, and I want to go, but I feel like a fraud going there too. My mom says I might meet people there who are also getting/have gotten a BMT, but I feel like such... I keep repeating it but I feel like a fraud if I talk to them. Yeah we're both having a BMT, but you have CANCER. You have leukemia. I don't. Your situation is way worse than mine. I feel like a selfish bitch for complaining.
I feel bad being upset, but I don't know how to be happy. Please help me. Please tell me how to process this and what to do. This is my reality now and I'm not sure how to accept it but I know I need to.
I'm just so afraid.</t>
        </is>
      </c>
      <c r="D4019" t="n">
        <v>0</v>
      </c>
      <c r="E4019" t="n">
        <v>4</v>
      </c>
      <c r="F4019">
        <f>HYPERLINK("https://www.reddit.com/r/cancer/comments/cnxw9n/recently_diagnosed_mds_process_of_bmt_to_avoid/")</f>
        <v/>
      </c>
      <c r="G4019" t="inlineStr">
        <is>
          <t>2019-08-08 22:28:17</t>
        </is>
      </c>
      <c r="H4019" t="inlineStr"/>
    </row>
    <row r="4020">
      <c r="A4020" t="inlineStr">
        <is>
          <t>cnzw9a</t>
        </is>
      </c>
      <c r="B4020" t="inlineStr">
        <is>
          <t>Appropriate time to tell close family</t>
        </is>
      </c>
      <c r="C4020" t="inlineStr">
        <is>
          <t>I’m currently awaiting results on an ultrasound and a blood test to get more information on a possible Lymphoma diagnosis. The symptoms aren’t severe enough that my family has noticed yet because I don’t live with them. I’m not sure whether to talk to them about it now, after the results from these tests, or after results from conclusive tests like a biopsy. 
My fiancé knows and I have plenty of support I’m just wondering when to tell my parents and sister. I feel like there’s nothing they can do and there’s no need to worry them. But, I’m also worried that they’ll be upset if I only tell them once I know for sure. 
I also have an uncle with a terminal illness who just got placed in hospice care so my family is already worried about him. However he is in his late 80’s so it was expected.  
When did you talk to your family and friends? When would you suggest I tell them?</t>
        </is>
      </c>
      <c r="D4020" t="n">
        <v>6</v>
      </c>
      <c r="E4020" t="n">
        <v>10</v>
      </c>
      <c r="F4020">
        <f>HYPERLINK("https://www.reddit.com/r/cancer/comments/cnzw9a/appropriate_time_to_tell_close_family/")</f>
        <v/>
      </c>
      <c r="G4020" t="inlineStr">
        <is>
          <t>2019-08-09 02:20:15</t>
        </is>
      </c>
      <c r="H4020" t="inlineStr"/>
    </row>
    <row r="4021">
      <c r="A4021" t="inlineStr">
        <is>
          <t>co1hzm</t>
        </is>
      </c>
      <c r="B4021" t="inlineStr">
        <is>
          <t>When does immunotherapy stop working</t>
        </is>
      </c>
      <c r="C4021" t="inlineStr">
        <is>
          <t>Just a bit of background. My Friend was diagnosed with Stage 4 Small Cell Terminal Lung Cancer nearly 18 months ago. He was given 6 months to live without Treatment, or 12 to 18 months with Treatement including Chemo and immunotherapy. Unfortunately the immunotherapy treatement stuffed up his Kidneys, so they have to stop the Treatement last November, by that time he had 3 doses.
Now, as well as a Large Mass on his lung, he also had cancer in both his addrenal glands. In January, he had a scan which showed no difference, but by this time, he had changed his diet and started alternative medicines. Now, by the April Scan, The Cancer had gone from both his addrenal Glands, and by July, he had reduced the Large Mass on his chest, so that it was very small, in Fact, the Hopsital now want to bring him in to remove this small cancer, at which point he would be classed cancer free.
So to get onto my question, would immunotherapy that was stopped in November of last year, still be working as far as August this year? We are trying to understand whether the life Style, Diet and Alternative medicines are playing a part, or whether in fact the immunotherapy can still be working some 10 months on. He now has to decide whether to go for the op, with the risks involved, or continue with what he is doing which he feels is what is shrinking the cancer.
Any advice appreciated.</t>
        </is>
      </c>
      <c r="D4021" t="n">
        <v>6</v>
      </c>
      <c r="E4021" t="n">
        <v>6</v>
      </c>
      <c r="F4021">
        <f>HYPERLINK("https://www.reddit.com/r/cancer/comments/co1hzm/when_does_immunotherapy_stop_working/")</f>
        <v/>
      </c>
      <c r="G4021" t="inlineStr">
        <is>
          <t>2019-08-09 05:10:24</t>
        </is>
      </c>
      <c r="H4021" t="inlineStr"/>
    </row>
    <row r="4022">
      <c r="A4022" t="inlineStr">
        <is>
          <t>co1y6j</t>
        </is>
      </c>
      <c r="B4022" t="inlineStr">
        <is>
          <t>Hemoglobin count</t>
        </is>
      </c>
      <c r="C4022" t="inlineStr">
        <is>
          <t>Hello so my mom is in her 3rd chemotherapy session and is going to switch to hormone therapy because the oncologist wants to see what is better for her. Her hemoglobin count has been low for the last months. It’s at 7 right now. Why does this happen? she’s taking a lot of supplements and other things to try to help her raise her count but it’s still fairly low. Did anyone experience this during their chemo ?</t>
        </is>
      </c>
      <c r="D4022" t="n">
        <v>4</v>
      </c>
      <c r="E4022" t="n">
        <v>3</v>
      </c>
      <c r="F4022">
        <f>HYPERLINK("https://www.reddit.com/r/cancer/comments/co1y6j/hemoglobin_count/")</f>
        <v/>
      </c>
      <c r="G4022" t="inlineStr">
        <is>
          <t>2019-08-09 05:52:04</t>
        </is>
      </c>
      <c r="H4022" t="inlineStr"/>
    </row>
    <row r="4023">
      <c r="A4023" t="inlineStr">
        <is>
          <t>co4cpt</t>
        </is>
      </c>
      <c r="B4023" t="inlineStr">
        <is>
          <t>Question about Fast Tracking Disability</t>
        </is>
      </c>
      <c r="C4023" t="inlineStr">
        <is>
          <t>My mother has stage 4 lung cancer, and when filing for permanent disability they said it would be about 3-4 months before she gets an answer. That seems awfully long for “fast track”. Should I do something or file something to help this go faster? She really is in need of a mobility scooter because she has gotten so weak she can barely push herself around.
Also does anyone know where we can get a mobility scooter if it will take 4 months?</t>
        </is>
      </c>
      <c r="D4023" t="n">
        <v>6</v>
      </c>
      <c r="E4023" t="n">
        <v>19</v>
      </c>
      <c r="F4023">
        <f>HYPERLINK("https://www.reddit.com/r/cancer/comments/co4cpt/question_about_fast_tracking_disability/")</f>
        <v/>
      </c>
      <c r="G4023" t="inlineStr">
        <is>
          <t>2019-08-09 08:59:59</t>
        </is>
      </c>
      <c r="H4023" t="inlineStr"/>
    </row>
    <row r="4024">
      <c r="A4024" t="inlineStr">
        <is>
          <t>co4jby</t>
        </is>
      </c>
      <c r="B4024" t="inlineStr">
        <is>
          <t>Mom just got diagnosed.</t>
        </is>
      </c>
      <c r="C4024" t="inlineStr">
        <is>
          <t>Ok so, I already had written this before but deleted it because I felt weird about it, or maybe didn’t want it to feel so real... my mom got diagnosed with stage 2 breast cancer (ILC) almost a month ago; doctor said she had to get done a mastectomy; first he said it was better on both sides but she had a pre op study for her heart and apparently she had like a mini heart attack (?) or something that made the doctor think it was better if they just removed the “bad” breast. He said after that she will need chemo and radiation. My grandma had the same cancer, and my moms younger sister had a similar one as well (it shocked me that my mom had it as well because I guess since my aunt got it and my mom didn’t, I thought she was “off the hook”, stupid I know). Everything has been normal with my family, my mom has a “what can you do about it” attitude and she is ready to fight it (she is my best friend and I love her so much!!!). But well this post is mainly to ask you guys what can I expect, how can I help her in the future, and to vent I guess, I haven’t told any of my friends yet cause I just don’t want to make them feel like they have to say something, you know what I mean? ok I’m done now, thank you for reading!</t>
        </is>
      </c>
      <c r="D4024" t="n">
        <v>9</v>
      </c>
      <c r="E4024" t="n">
        <v>5</v>
      </c>
      <c r="F4024">
        <f>HYPERLINK("https://www.reddit.com/r/cancer/comments/co4jby/mom_just_got_diagnosed/")</f>
        <v/>
      </c>
      <c r="G4024" t="inlineStr">
        <is>
          <t>2019-08-09 09:12:55</t>
        </is>
      </c>
      <c r="H4024" t="inlineStr"/>
    </row>
    <row r="4025">
      <c r="A4025" t="inlineStr">
        <is>
          <t>co5jxq</t>
        </is>
      </c>
      <c r="B4025" t="inlineStr">
        <is>
          <t>Those of you who had Mouth or Throat cancer what was your very first symptoms that you recall?</t>
        </is>
      </c>
      <c r="C4025" t="inlineStr">
        <is>
          <t>And how old were you?
Did you smoke?</t>
        </is>
      </c>
      <c r="D4025" t="n">
        <v>0</v>
      </c>
      <c r="E4025" t="n">
        <v>7</v>
      </c>
      <c r="F4025">
        <f>HYPERLINK("https://www.reddit.com/r/cancer/comments/co5jxq/those_of_you_who_had_mouth_or_throat_cancer_what/")</f>
        <v/>
      </c>
      <c r="G4025" t="inlineStr">
        <is>
          <t>2019-08-09 10:26:14</t>
        </is>
      </c>
      <c r="H4025" t="inlineStr"/>
    </row>
    <row r="4026">
      <c r="A4026" t="inlineStr">
        <is>
          <t>co5va9</t>
        </is>
      </c>
      <c r="B4026" t="inlineStr">
        <is>
          <t>ICE regimen</t>
        </is>
      </c>
      <c r="C4026" t="inlineStr">
        <is>
          <t>I’ve been given some pretty bad news about my cancer today and basically I was told my tumor is going to kill me and they’re just going to do treatments to buy me more time. One of the treatments is called the ICE regimen chemotherapy , was wondering what others peoples experiences are with this and if it helped what kind of cancer they had etc right now I’m desperate and I feel like I’ve posted about this too many times on here but I feel so desperate for answers or to hear that this worked for someone else who may have a similar case to mine</t>
        </is>
      </c>
      <c r="D4026" t="n">
        <v>7</v>
      </c>
      <c r="E4026" t="n">
        <v>1</v>
      </c>
      <c r="F4026">
        <f>HYPERLINK("https://www.reddit.com/r/cancer/comments/co5va9/ice_regimen/")</f>
        <v/>
      </c>
      <c r="G4026" t="inlineStr">
        <is>
          <t>2019-08-09 10:48:45</t>
        </is>
      </c>
      <c r="H4026" t="inlineStr"/>
    </row>
    <row r="4027">
      <c r="A4027" t="inlineStr">
        <is>
          <t>co8jag</t>
        </is>
      </c>
      <c r="B4027" t="inlineStr">
        <is>
          <t>Bad News</t>
        </is>
      </c>
      <c r="C4027" t="inlineStr">
        <is>
          <t>We saw the oncologist and radiologist yesterday, along with having radiation. The tumors are widespread to almost everywhere. They are especially in his bones. None in the bladder or prostate, so that is good. Bad is that they still can't tell if it is pancreatic or lung cancer. There are tumors in both. It is probably pancreatic, according to the radiologist. He says that it is very rare to see other cancers spread to the pancreas, but it is common for pancreatic cancer to spread to the lungs and other areas.
They have ordered chemo. We will get an informational meeting before that. They also want a brain MRI because he is confused a lot. I still feel mostly numb. Well, I also have a migraine, but that is probably unrelated. I get tons of them. Anyway, I just don't even know what to feel or how to feel. Right now it is IF I feel, because I am so numb. 
Hubby is refusing to sleep at night because he is so disoriented at times. He finds it scariest at night. 
Also, thanks to stupid new laws, we couldn't get all of his pain meds when they were first prescribed. The pharmacy cannot refill them until at least 28 days has passed, even knowing they didn't give us a month's worth last time. They also could not just "owe" us some and give them to us later. A whole new prescription has to be written. So we have 4 days with zero pain meds for him. I am SO PISSED about this. I guess that is one thing I am feeling. If I could to go buy some on the street, I would. I wouldn't even know where to start looking though. The next few days are going to be miserable for us and 1000x worse for him.
Thank you for letting me get this out here. I am super overwhelmed right now.</t>
        </is>
      </c>
      <c r="D4027" t="n">
        <v>58</v>
      </c>
      <c r="E4027" t="n">
        <v>25</v>
      </c>
      <c r="F4027">
        <f>HYPERLINK("https://www.reddit.com/r/cancer/comments/co8jag/bad_news/")</f>
        <v/>
      </c>
      <c r="G4027" t="inlineStr">
        <is>
          <t>2019-08-09 14:05:53</t>
        </is>
      </c>
      <c r="H4027" t="inlineStr"/>
    </row>
    <row r="4028">
      <c r="A4028" t="inlineStr">
        <is>
          <t>cobp26</t>
        </is>
      </c>
      <c r="B4028" t="inlineStr">
        <is>
          <t>cholangiocarcinoma- liver transplant?</t>
        </is>
      </c>
      <c r="C4028" t="inlineStr">
        <is>
          <t>Hello everyone! 
I have had ulcerative colitis for the last 8 years, and was diagnosed with psc (primary sclerosing cholangitis) last week. Through the diagnosis process, it looks like I have cholangiocarcinoma as well. 
I’ve done my research and spoken with my doctor- I know the outcome isn’t great. But, I’m lucky enough to live about 90 minutes away from the Mayo Clinic in Minnesota and my doctor is referring me to a doctor there. He said they are one of the only hospitals that treat this type of cancer with a liver transplant. 
This is such a rare type of cancer and such a rare way of treating it but I’m wondering if anyone is maybe familiar with using a transplant as treatment? 
Thank you.</t>
        </is>
      </c>
      <c r="D4028" t="n">
        <v>5</v>
      </c>
      <c r="E4028" t="n">
        <v>5</v>
      </c>
      <c r="F4028">
        <f>HYPERLINK("https://www.reddit.com/r/cancer/comments/cobp26/cholangiocarcinoma_liver_transplant/")</f>
        <v/>
      </c>
      <c r="G4028" t="inlineStr">
        <is>
          <t>2019-08-09 18:33:53</t>
        </is>
      </c>
      <c r="H4028" t="inlineStr"/>
    </row>
    <row r="4029">
      <c r="A4029" t="inlineStr">
        <is>
          <t>coccqg</t>
        </is>
      </c>
      <c r="B4029" t="inlineStr">
        <is>
          <t>Mom was just diagnosed with ovarian cancer</t>
        </is>
      </c>
      <c r="C4029" t="inlineStr">
        <is>
          <t>There's a hole where my heart was and I have no appetite. My mom was just diagnosed with ovarian cancer today and had surgery done. She's going on meds and chemo and is going in for more surgery soon to have her ovaries removed. I don't know what stage she has but from what my dad said I think it's gotta be 3 or 4 because it definitely isn't just around the ovaries anymore. I don't think it has progressed to any other organs but the tumors are supposedly pretty big.
Anyway, I'm here because I need someone to say something to calm me down so I don't go absolutely insane with anxiety. I'm really good at putting on a face that says "Everything is okay" but my mind is bouncing all over the place.</t>
        </is>
      </c>
      <c r="D4029" t="n">
        <v>16</v>
      </c>
      <c r="E4029" t="n">
        <v>8</v>
      </c>
      <c r="F4029">
        <f>HYPERLINK("https://www.reddit.com/r/cancer/comments/coccqg/mom_was_just_diagnosed_with_ovarian_cancer/")</f>
        <v/>
      </c>
      <c r="G4029" t="inlineStr">
        <is>
          <t>2019-08-09 19:36:22</t>
        </is>
      </c>
      <c r="H4029" t="inlineStr"/>
    </row>
    <row r="4030">
      <c r="A4030" t="inlineStr">
        <is>
          <t>codu62</t>
        </is>
      </c>
      <c r="B4030" t="inlineStr">
        <is>
          <t>4 years of bad news</t>
        </is>
      </c>
      <c r="C4030" t="inlineStr">
        <is>
          <t>My dad 4 years ago was the picture of health. We worked out together, drank green smoothies, and have been vegetarian all our lives. One day my dad felt a sudden pain in his side and my mom decided to take him to the er. They found a tumor in his urethra and they later diagnosed it as cancer. He had surgery to remove the tumor however some cancer cells were left behind so he underwent intense chemotherapy. After the chem, his veins were so damaged he had to be on blood thinners every day. Anyways, he was in remission for a little less than 2 years and then he had a scan which revealed his cancer was back. They decided to put my dad on a trial for 3 months. The trial never worked and the side effects nearly killed him. They then did another scan and found his cancer had spread to his liver. He then underwent the y-90 procedure which helped but he still had cancer that spread to his lymphnodes. My parents found a trial that showed promise to help my dad but after 2 doses he we had to rush him to the er because he had a horrible reaction. He was hospitalized for 5 days. My dad just had another scan last week and the doctors say the cancer is back on his liver. 
Sorry for the extremely long post but its just so frustrating and I just feel like we are running out of options and everything seems hopeless :(</t>
        </is>
      </c>
      <c r="D4030" t="n">
        <v>4</v>
      </c>
      <c r="E4030" t="n">
        <v>4</v>
      </c>
      <c r="F4030">
        <f>HYPERLINK("https://www.reddit.com/r/cancer/comments/codu62/4_years_of_bad_news/")</f>
        <v/>
      </c>
      <c r="G4030" t="inlineStr">
        <is>
          <t>2019-08-09 22:05:06</t>
        </is>
      </c>
      <c r="H4030" t="inlineStr"/>
    </row>
    <row r="4031">
      <c r="A4031" t="inlineStr">
        <is>
          <t>coe6ml</t>
        </is>
      </c>
      <c r="B4031" t="inlineStr">
        <is>
          <t>Give me the honest truth about CT scan radiation and cancer please.</t>
        </is>
      </c>
      <c r="C4031" t="inlineStr">
        <is>
          <t>Please give me the non bias truth on what the increased risk of cancer from two head CT scans are? I got one in 2015 and a CTA last month.</t>
        </is>
      </c>
      <c r="D4031" t="n">
        <v>0</v>
      </c>
      <c r="E4031" t="n">
        <v>2</v>
      </c>
      <c r="F4031">
        <f>HYPERLINK("https://www.reddit.com/r/cancer/comments/coe6ml/give_me_the_honest_truth_about_ct_scan_radiation/")</f>
        <v/>
      </c>
      <c r="G4031" t="inlineStr">
        <is>
          <t>2019-08-09 22:43:29</t>
        </is>
      </c>
      <c r="H4031" t="inlineStr"/>
    </row>
    <row r="4032">
      <c r="A4032" t="inlineStr">
        <is>
          <t>coepyg</t>
        </is>
      </c>
      <c r="B4032" t="inlineStr">
        <is>
          <t>My dad can’t walk me down the aisle</t>
        </is>
      </c>
      <c r="C4032" t="inlineStr">
        <is>
          <t>My dad was diagnosed with stage 4 lung cancer out of the blue 2 months ago. He was always very healthy and fit so this was a shock, but he remained positive. His decline has been rapid and yesterday we found out it’s on his pelvic and hip bone, liver, spine. He’s in so much pain now and it’s so hard for him to move. 
I’m supposed to get married next year, and I know it’s selfish but all I can think about is how my dad won’t be able to walk me down the aisle, and I don’t even know if he will be here to see me on my wedding day. My dad is my best friend. Ever since I was a kid I had our father-daughter dance song picked out (it’s how deep is your love by the Bee Gees) I’m starting to feel jealous that my siblings were able to share these moments with him before me (marriage, children). They got to spend 8 more years with him. My beautiful, sweet, caring and funny dad is in so much pain and I wish with every fibre of my being I can take it away. I would do anything to live over the day before June 9, before he was sick, before we knew he had cancer. I love you so much dad. You’re the best.</t>
        </is>
      </c>
      <c r="D4032" t="n">
        <v>28</v>
      </c>
      <c r="E4032" t="n">
        <v>17</v>
      </c>
      <c r="F4032">
        <f>HYPERLINK("https://www.reddit.com/r/cancer/comments/coepyg/my_dad_cant_walk_me_down_the_aisle/")</f>
        <v/>
      </c>
      <c r="G4032" t="inlineStr">
        <is>
          <t>2019-08-09 23:47:29</t>
        </is>
      </c>
      <c r="H4032" t="inlineStr"/>
    </row>
    <row r="4033">
      <c r="A4033" t="inlineStr">
        <is>
          <t>cof0ct</t>
        </is>
      </c>
      <c r="B4033" t="inlineStr">
        <is>
          <t>Having trouble climbing out off my emotional black hole.</t>
        </is>
      </c>
      <c r="C4033" t="inlineStr">
        <is>
          <t>So, we found lot last week that the iv treatment I'm on isn't really working. Onto the next thing...
The thing is, I'm having a hard time getting over this one. the chemo side effects were the worst that I've had over the last two years and my insomnia was so bad, I was having panic attacks about not sleeping. 
I just keep focusing on how that misery wasn't worth it. When I was up with uncontrolled shakes and hot flashes for six hours straight, I kept telling myself it's better than dying.
Well, sure ... I'm not dead yet, but another failed treatment eeks me closer and closer to the *running out of options* line that is fast approaching.
Any strategies to work through this or too dig myself out of this.</t>
        </is>
      </c>
      <c r="D4033" t="n">
        <v>24</v>
      </c>
      <c r="E4033" t="n">
        <v>9</v>
      </c>
      <c r="F4033">
        <f>HYPERLINK("https://www.reddit.com/r/cancer/comments/cof0ct/having_trouble_climbing_out_off_my_emotional/")</f>
        <v/>
      </c>
      <c r="G4033" t="inlineStr">
        <is>
          <t>2019-08-10 00:22:56</t>
        </is>
      </c>
      <c r="H4033" t="inlineStr"/>
    </row>
    <row r="4034">
      <c r="A4034" t="inlineStr">
        <is>
          <t>cofijy</t>
        </is>
      </c>
      <c r="B4034" t="inlineStr">
        <is>
          <t>For those that survived and beat cancer, do you ever feel guilty about it?</t>
        </is>
      </c>
      <c r="C4034" t="inlineStr">
        <is>
          <t>At times I do. It's as if it's some sort of survivors guilt. I found out on July 5th I had colon cancer and it was all removed by surgery on July 23rd.
Im still having issues, mostly pain related, to recovery, but at times it seems like this was "too easy" so to speak. I don't feel like I have any right to talk about being a cancer survivor or to complain about the pain recovery related. I find out in two weeks if they want me to do chemo or not, but Doc days not likely. They took out 15" of colon and 61 lymph nodes and no cancer was detected in the LN's.
I just don't feel like I have any say in feelings about cancer I guess. Especially being cancer free just 18 days after diagnosis at only 43 years of age.</t>
        </is>
      </c>
      <c r="D4034" t="n">
        <v>9</v>
      </c>
      <c r="E4034" t="n">
        <v>9</v>
      </c>
      <c r="F4034">
        <f>HYPERLINK("https://www.reddit.com/r/cancer/comments/cofijy/for_those_that_survived_and_beat_cancer_do_you/")</f>
        <v/>
      </c>
      <c r="G4034" t="inlineStr">
        <is>
          <t>2019-08-10 01:27:09</t>
        </is>
      </c>
      <c r="H4034" t="inlineStr"/>
    </row>
    <row r="4035">
      <c r="A4035" t="inlineStr">
        <is>
          <t>coh34m</t>
        </is>
      </c>
      <c r="B4035" t="inlineStr">
        <is>
          <t>Back home after my bilateral mastectomy</t>
        </is>
      </c>
      <c r="C4035" t="inlineStr">
        <is>
          <t>Thursday I had a bilateral mastectomy with the start of reconstruction (expanders) after being diagnosed with invasive ductal carcinoma on my right breast and coming up positive for the BRCA2 mutation. It was a hard choice, but I'm young, 31, and I know I couldn't handle the tests every 6 months for the rest of my life and waiting for the results to eventually be another cancerous mass. I was a mess after every mammogram, ultrasound, MRI, biopsy and test they ran before and during my diagnosis. I'm still going to need to have those invasive scans for my ovaries until they have me take those out, but my oncology team wants them out by the time I'm 40. 
But right now I'm focusing on healing from the mastectomy. I came out of surgery with 4 drains when they told me I'd only have 2. Everyone said they would be the worst part, and its only been a day and a half but I have to agree. I'm terrified of pulling the tubes, sitting on them or kinking them. 
I feel like I'm delicate and could break everything with a sneeze. I'm staying with my parents for a week (I don't currently have a partner, but I have a very supportive family and group of friends) and they're so helpful, but I'm terrible at asking for help, for letting people do things for me. I don't like people seeing me vulnerable.
I'm not sure what my point is, but maybe I just needed to write down what I'm feeling right now. I'm glad the cancer they could see on tests is out, but I've got to heal from this and then I start the medical treatment with the oncologists after they get my final staging confirmed from the tissue and tumor size the surgeons removed. 
One thing at a time.</t>
        </is>
      </c>
      <c r="D4035" t="n">
        <v>21</v>
      </c>
      <c r="E4035" t="n">
        <v>27</v>
      </c>
      <c r="F4035">
        <f>HYPERLINK("https://www.reddit.com/r/cancer/comments/coh34m/back_home_after_my_bilateral_mastectomy/")</f>
        <v/>
      </c>
      <c r="G4035" t="inlineStr">
        <is>
          <t>2019-08-10 04:51:08</t>
        </is>
      </c>
      <c r="H4035" t="inlineStr"/>
    </row>
    <row r="4036">
      <c r="A4036" t="inlineStr">
        <is>
          <t>coj0do</t>
        </is>
      </c>
      <c r="B4036" t="inlineStr">
        <is>
          <t>Risk of using marijuana when weight and blood pressure are low? [Stage 4 Pancreatic Cancer]</t>
        </is>
      </c>
      <c r="C4036" t="inlineStr">
        <is>
          <t>Dad \[62\] has Stage 4 mets pancreatic cancer with severe cachexia and having A LOT of trouble eating, only have a few hundred calories the last few days. I want him to try vaping some marijuana for appetite stimulation but I am worried he is too weak and that could affect things. Or is there not really a risk at this point? Should I make sure he eats something small first? I just feel like very helpless re: getting him to eat</t>
        </is>
      </c>
      <c r="D4036" t="n">
        <v>2</v>
      </c>
      <c r="E4036" t="n">
        <v>12</v>
      </c>
      <c r="F4036">
        <f>HYPERLINK("https://www.reddit.com/r/cancer/comments/coj0do/risk_of_using_marijuana_when_weight_and_blood/")</f>
        <v/>
      </c>
      <c r="G4036" t="inlineStr">
        <is>
          <t>2019-08-10 07:54:25</t>
        </is>
      </c>
      <c r="H4036" t="inlineStr"/>
    </row>
    <row r="4037">
      <c r="A4037" t="inlineStr">
        <is>
          <t>coloku</t>
        </is>
      </c>
      <c r="B4037" t="inlineStr">
        <is>
          <t>Superior vena cava syndrome? Anyone have any experience with this?</t>
        </is>
      </c>
      <c r="C4037" t="inlineStr">
        <is>
          <t>I’ve been chasing down every potential reason why I could be swelling the way I am in my neck, face, back and shoulders. Lymphedema &amp;amp; edema sounded bad enough, Superior vena cava syndrome sounds especially scary.</t>
        </is>
      </c>
      <c r="D4037" t="n">
        <v>3</v>
      </c>
      <c r="E4037" t="n">
        <v>4</v>
      </c>
      <c r="F4037">
        <f>HYPERLINK("https://www.reddit.com/r/cancer/comments/coloku/superior_vena_cava_syndrome_anyone_have_any/")</f>
        <v/>
      </c>
      <c r="G4037" t="inlineStr">
        <is>
          <t>2019-08-10 11:27:34</t>
        </is>
      </c>
      <c r="H4037" t="inlineStr"/>
    </row>
    <row r="4038">
      <c r="A4038" t="inlineStr">
        <is>
          <t>coo0qu</t>
        </is>
      </c>
      <c r="B4038" t="inlineStr">
        <is>
          <t>Almost done with chemo!</t>
        </is>
      </c>
      <c r="C4038" t="inlineStr">
        <is>
          <t>I have 2 rounds left of dose-dense AC-T for stage 3 breast cancer.  I was wondering if anyone gave a thank you gift to their onco nurse.  I know it isn’t expected, but I was just curious what people’s thoughts or experiences were with this.</t>
        </is>
      </c>
      <c r="D4038" t="n">
        <v>65</v>
      </c>
      <c r="E4038" t="n">
        <v>33</v>
      </c>
      <c r="F4038">
        <f>HYPERLINK("https://www.reddit.com/r/cancer/comments/coo0qu/almost_done_with_chemo/")</f>
        <v/>
      </c>
      <c r="G4038" t="inlineStr">
        <is>
          <t>2019-08-10 14:36:34</t>
        </is>
      </c>
      <c r="H4038" t="inlineStr"/>
    </row>
    <row r="4039">
      <c r="A4039" t="inlineStr">
        <is>
          <t>coo3ri</t>
        </is>
      </c>
      <c r="B4039" t="inlineStr">
        <is>
          <t>Love vs Charity (late night ramble)</t>
        </is>
      </c>
      <c r="C4039" t="inlineStr">
        <is>
          <t>I told my friends that I have cancer and some of them are really good at making me feel really shit about it. But not intentionally. Which makes things awkward. I find there's a clear distinction of acts of kindness done because the person cares about you and values you, and acts of kindness done out of a sense of charity. Which is not to say that those second things are worthless but they are definitely responsible for making me feel like total crap a lot of the time. Because they make you feel like a charity case. Like someone who is only there because they've got cancer, all they see is the cancer, they don't see you.
This isn't all my friends. I've got a number who will offer accommodations for me and I know they're doing it because they genuinely care about me. They'll offer a lift but they'll readily back off when I state that I'm okay and that I'd rather walk. They'll send me an elaborate gift package because they want to do something nice for me. But hanging out with old school friends in particular is hard. Maybe it was always going to be hard, that awkward phase where you don't really have anything in common anymore but you feel the need to honour those years shared together, as potentially that easy camaraderie might return, yet you also wonder if you really had anything in common to begin with, or perhaps you are just too different to fit together anymore. 
My family will readily baby me. If I say that I could maybe want an orange juice they'll immediately run down to the shop and buy some. They will fetch me food and water and clean my socks and basically act like my maids. I don't mind it as for one thing, they see me at my worst and there are absolutely days where I need to babied, but also I know that its coming from a place of pure love. They love me and they want to help anyway they can. They love me, the person. Hanging out with some of my friends though makes me feel like someone who is not valued for their friendship but instead placed upon a pedestal because they are sick, and as such the cuddles and the offers to buy drinks feel fake and make me feel like a loser. And they baby me too much. They won't listen to me. They'll offer to wait 2 mins for the bus with me and when I say that its fine, perfectly content to scroll through my phone for a couple mins, they'll ignore me. I feel like a fucking five year old. 
I realise this might appear that I am just raging against people being nice to me. But I know there's a difference when it comes from people who genuinely value your presence in their lives. When it comes from another place, it makes me feel like absolute crap. Also, when I left tonight, it looked like two of the babying friends were about to hook up. Which is fine, I don't have feelings for either for them and they'd probably make a good couple, but it does make me feel shit because its another reminder that other people are moving forward, and I'll be stuck here forever.</t>
        </is>
      </c>
      <c r="D4039" t="n">
        <v>13</v>
      </c>
      <c r="E4039" t="n">
        <v>2</v>
      </c>
      <c r="F4039">
        <f>HYPERLINK("https://www.reddit.com/r/cancer/comments/coo3ri/love_vs_charity_late_night_ramble/")</f>
        <v/>
      </c>
      <c r="G4039" t="inlineStr">
        <is>
          <t>2019-08-10 14:43:33</t>
        </is>
      </c>
      <c r="H4039" t="inlineStr"/>
    </row>
    <row r="4040">
      <c r="A4040" t="inlineStr">
        <is>
          <t>coq3wa</t>
        </is>
      </c>
      <c r="B4040" t="inlineStr">
        <is>
          <t>CANCER FUNDRAISER</t>
        </is>
      </c>
      <c r="C4040" t="inlineStr">
        <is>
          <t>So my reddit friend u/poopies_money has been diagnosed with terminal cancer. I wanted to help her and other people on this sub reddit. Please donate for her at
 https://m.gofund.me/f5pbs-cancer-help
99% of the donations will go to her. Please guys, show some love :)</t>
        </is>
      </c>
      <c r="D4040" t="n">
        <v>0</v>
      </c>
      <c r="E4040" t="n">
        <v>0</v>
      </c>
      <c r="F4040">
        <f>HYPERLINK("https://www.reddit.com/r/cancer/comments/coq3wa/cancer_fundraiser/")</f>
        <v/>
      </c>
      <c r="G4040" t="inlineStr">
        <is>
          <t>2019-08-10 17:39:53</t>
        </is>
      </c>
      <c r="H4040" t="inlineStr"/>
    </row>
    <row r="4041">
      <c r="A4041" t="inlineStr">
        <is>
          <t>coqfpa</t>
        </is>
      </c>
      <c r="B4041" t="inlineStr">
        <is>
          <t>Mother and father 2018</t>
        </is>
      </c>
      <c r="C4041" t="inlineStr">
        <is>
          <t>Hello all,
Just wanted to post here because i never really talk about it anymore and it still kind of gets to me. The reality of it anyways. One thing about my story is that i worry that people think I’m begging for attention so i rarely bring it up now. 
In 2018 my mother and father both passed away from the same cancer. Im leaving out details so people don’t identify this.
Doctors and people told me it was like a 1/10,000 chance that both parents could pass in the same year from the same cancer. 
It was really tough on my little sister, who was 17 at the time. My mother lost her mom to cancer when my mom was my sisters age so the future scares my sister a-lot. My parents left us in a good position and we are doing ok. My sister has just left for college and will be a veterinarian. Shes a very compassionate person. 
My older brother took it hard too. We haven’t spoken too much and i know i need to contact him again soon. He got mad about some money conflict within this situation and i just kind of shut down from it. I hope him, his wife, and my niece are doing well.
Anyways, part of why i tell this story is because this shit happens and you never think it’ll happen to you until it does. 
“Life’s a bitch and then you die so have fun and kind of try.”</t>
        </is>
      </c>
      <c r="D4041" t="n">
        <v>13</v>
      </c>
      <c r="E4041" t="n">
        <v>5</v>
      </c>
      <c r="F4041">
        <f>HYPERLINK("https://www.reddit.com/r/cancer/comments/coqfpa/mother_and_father_2018/")</f>
        <v/>
      </c>
      <c r="G4041" t="inlineStr">
        <is>
          <t>2019-08-10 18:11:13</t>
        </is>
      </c>
      <c r="H4041" t="inlineStr"/>
    </row>
    <row r="4042">
      <c r="A4042" t="inlineStr">
        <is>
          <t>cos089</t>
        </is>
      </c>
      <c r="B4042" t="inlineStr">
        <is>
          <t>Having a lot of pain right now</t>
        </is>
      </c>
      <c r="C4042" t="inlineStr">
        <is>
          <t>So, cancer really fucking sucks. I have already dealt with uterine and ovarian and had a hysterectomy a couple years ago, and beat it. 
Now I have cervical cancer, yeaaaaaa me! Ever since the first treatment on Friday I have been in excruciating pain and bleeding like crazy, I actually bought tampons, it’s that heavy. 
Anyone have any advice for the pain or the bleeding? I am in the healthcare field so I know it’s completely normal, it just really sucks.</t>
        </is>
      </c>
      <c r="D4042" t="n">
        <v>13</v>
      </c>
      <c r="E4042" t="n">
        <v>24</v>
      </c>
      <c r="F4042">
        <f>HYPERLINK("https://www.reddit.com/r/cancer/comments/cos089/having_a_lot_of_pain_right_now/")</f>
        <v/>
      </c>
      <c r="G4042" t="inlineStr">
        <is>
          <t>2019-08-10 20:44:33</t>
        </is>
      </c>
      <c r="H4042" t="inlineStr"/>
    </row>
    <row r="4043">
      <c r="A4043" t="inlineStr">
        <is>
          <t>coszf9</t>
        </is>
      </c>
      <c r="B4043" t="inlineStr">
        <is>
          <t>She's not gone yet, but I miss my Mom so much.</t>
        </is>
      </c>
      <c r="C4043" t="inlineStr">
        <is>
          <t>3 months ago. My mom was perfectly healthy. She never got sick, and if she got a cold or something she'd drink some tea and be okay again. I was finishing up school and my Mom was so excited for my summer vacation, and my Dad was the only sick person of the family, with glaucoma and diabetes. Mom always took care of him. 
My Mom's urine started turning yellow, and she'd never had yellow urine. Her entire life it'd been clear, she was always hydrated. She went to the doctor, after not having gone for maybe 6 years. Her eyes started turning yellow, and she got extreme, extreme itching. I was so scared seeing her in pain. 
If any of my classmates saw this they'd make fun of me, but I've always slept in the same bed with my Mom. I know it's weird. When I was 6 I slept in the same bed as my Dad and my Mom, but then Dad got glaucoma and we were scared of hitting his eyes or something. And then I never really grew out of it, no matter how many times I said I would. The comfort of having my Mom near me, especially when I was scared of my Dad going blind, was so nice. She'd tell me stories from her kindergarten days to her college days and we'd just laugh until we fell asleep. I'm so close to my Mom, so when she was itching, it hurt me to see her in pain. 
That's also left me with adjustment issues because once she started having extreme itching, she couldn't be in the same bed as me and I could never sleep on my own. 
Maybe around June 10th she went to the doctor with my Dad, and they immediately sent her to the ER. I was terrified. They sent her to a hospital and she liked it there! I would stay with her in the day, while my Dad had work. Mom didn't work though, she's always been a housewife, so it was easy for her to take a break, but not for me and my Dad. Hell, we didn't know how to use our dishwashing for a little while. 
Then she got diagnosed with cancer, and my world fell apart. I couldn't eat at all. Just looking at food made me want to vomit. Never had I imagined a world without my Mom.
God I did so much research, but it's in the worst place, it's not operable, she can't get a transplant, and she doesn't wanna do chemo because her mother had a bad experience doing chemo for lung cancer. I cried so much. The doctors said she only had 1 year. She always tried to tell me she was gonna live for 5 more years, with the aurvedic medicine that she wanted to try. We're Indian, but we live in the US, by the way. 
She had a surgery to put what I think is called a catheter in her right and life bile ducts. Her blood pressure went down, and she was put in the ICU. She was depressed. I had never seen her so depressed. She could barely eat. And the doctors said she had 3-6 weeks. (It's been like 7 weeks after this and my Mom's still alive) My Dad was debating putting her in hospice. I was broken. I didn't think I could ever live without my Mom, especially not at my age. I'm only 14. 
We somehow got her to go to India. My Dad went with her in business class seats on a flight, which cost him a lot of money, but was most definitely worth it, because she's doing better there. Surrounded by friends and family, and is eating a lot. 
She's in some hospital in India, and I've been able to distract myself from the scary word that is cancer, because every adult is telling me she has like 5 more years, and because it's want to hear, I believe them naively. I still video call her every day though. But, I was hoping maybe they could operate on it there, and cure her, but even there they can't do it. I don't know why I thought it'd be any different. Now they can't do chemo though, she's apparently too weak. She wants to try aurvedic medicine, but that's no replacement for chemo and radiation I don't think. I just don't wanna lose my Mom. I love her so much, and god I hate sounding selfish. Is it selfish to want more time? 
I still can't sleep on my own. It was so much easier with her. I could fall asleep easy then, now I stay up till late hours in the night, I'm literally writing this at 1 am. I really miss my Mom. And I'm such a baby, needing to be in the same bed as her Mom but everything has gotten harder since she hasn't been here for me. 
My Dad has had to rewrite everything, like his will and stuff. He tells me about what'll happen if he and my Mom die, and god that's one of my greatest fears. He was sure of the fact he would die first, but now we can't be sure of anything. I've also debated therapy to cope with everything, but he thinks it'll cause more problems. 
I just want everything to go back to the way it was, but it's too much to ask for. I hope I don't sound selfish. My head is pounding just thinking about her. Everything is so overwhelming. 
I've wrote on this sub-reddit before, this exact same story, but this includes much more detail, and I really needed to get this stuff out, I'm feeling hopeless right now. If anyone knows anything about bile duct cancer that could possibly help my Mom it would help greatly. Or how to cope, that would probably help me. Sorry if this was just a jumble of words, I can't get my thoughts together.</t>
        </is>
      </c>
      <c r="D4043" t="n">
        <v>68</v>
      </c>
      <c r="E4043" t="n">
        <v>23</v>
      </c>
      <c r="F4043">
        <f>HYPERLINK("https://www.reddit.com/r/cancer/comments/coszf9/shes_not_gone_yet_but_i_miss_my_mom_so_much/")</f>
        <v/>
      </c>
      <c r="G4043" t="inlineStr">
        <is>
          <t>2019-08-10 22:28:48</t>
        </is>
      </c>
      <c r="H4043" t="inlineStr"/>
    </row>
    <row r="4044">
      <c r="A4044" t="inlineStr">
        <is>
          <t>coubis</t>
        </is>
      </c>
      <c r="B4044" t="inlineStr">
        <is>
          <t>Post-Cancer cutting hair</t>
        </is>
      </c>
      <c r="C4044" t="inlineStr">
        <is>
          <t>Hey everyone, so I 20 and cancer free as of around a year. I finished my treatment around 4 months ago, and I have noticed that a bunch of basically invisible (Only visible when looking up close) hairs have started growing on my head. In fact, one of them has grown to be an inch+. I want to have all my hair back, but at the same time some of these hairs are getting too long. Is it a safe operation to shave off the hair? or will it impact the regrowth of my hair?</t>
        </is>
      </c>
      <c r="D4044" t="n">
        <v>6</v>
      </c>
      <c r="E4044" t="n">
        <v>3</v>
      </c>
      <c r="F4044">
        <f>HYPERLINK("https://www.reddit.com/r/cancer/comments/coubis/postcancer_cutting_hair/")</f>
        <v/>
      </c>
      <c r="G4044" t="inlineStr">
        <is>
          <t>2019-08-11 01:22:38</t>
        </is>
      </c>
      <c r="H4044" t="inlineStr"/>
    </row>
    <row r="4045">
      <c r="A4045" t="inlineStr">
        <is>
          <t>covms8</t>
        </is>
      </c>
      <c r="B4045" t="inlineStr">
        <is>
          <t>2nd biopsy on Saturday</t>
        </is>
      </c>
      <c r="C4045" t="inlineStr">
        <is>
          <t>Malignant neoplasm with neuroendocrine identification and associated myxoid stroma. This is as good as they could get with 5 pieces from the first biopsy. Now they want more, and will probably send some to NIH.
Plus..... The initial PET scan showed widespread bone metastases.
I just want to be the treatment started.</t>
        </is>
      </c>
      <c r="D4045" t="n">
        <v>4</v>
      </c>
      <c r="E4045" t="n">
        <v>0</v>
      </c>
      <c r="F4045">
        <f>HYPERLINK("https://www.reddit.com/r/cancer/comments/covms8/2nd_biopsy_on_saturday/")</f>
        <v/>
      </c>
      <c r="G4045" t="inlineStr">
        <is>
          <t>2019-08-11 04:25:41</t>
        </is>
      </c>
      <c r="H4045" t="inlineStr"/>
    </row>
    <row r="4046">
      <c r="A4046" t="inlineStr">
        <is>
          <t>cowbek</t>
        </is>
      </c>
      <c r="B4046" t="inlineStr">
        <is>
          <t>Tumour markers - accurate?</t>
        </is>
      </c>
      <c r="C4046" t="inlineStr">
        <is>
          <t>First time posting on Reddit and throwaway as family know my username. 
My mum was diagnosed with secondary breast cancer in her bones 15 months ago. She's now on a mixture of medication including one that classes as chemotherapy.  In this time she's had 3 full body scans, the most recent one 8 months ago. 
We see her oncologist every 4 weeks and get told her tumour markers. So far, they look good.  They've significantly decreased since she was diagnosed and are now more or less stable. Does anyone have experience with this type of test and know how accurate it is? Also any idea what number is "good"/bad i.e. how can we use this information to know how much cancer there is..
I am becoming frustrated that it is the only information we ever get given and don't know if it is a good indication on whether the cancer has spread anymore. 
I've suggested that she asks for another scan but she doesn't want to as she becomes very nervous and hates them (says she would rather not know, but I definitely do want to know).</t>
        </is>
      </c>
      <c r="D4046" t="n">
        <v>3</v>
      </c>
      <c r="E4046" t="n">
        <v>4</v>
      </c>
      <c r="F4046">
        <f>HYPERLINK("https://www.reddit.com/r/cancer/comments/cowbek/tumour_markers_accurate/")</f>
        <v/>
      </c>
      <c r="G4046" t="inlineStr">
        <is>
          <t>2019-08-11 05:45:56</t>
        </is>
      </c>
      <c r="H4046" t="inlineStr"/>
    </row>
    <row r="4047">
      <c r="A4047" t="inlineStr">
        <is>
          <t>cowgo3</t>
        </is>
      </c>
      <c r="B4047" t="inlineStr">
        <is>
          <t>Is it rude to donate tour hair to Cancer?</t>
        </is>
      </c>
      <c r="C4047" t="inlineStr">
        <is>
          <t>So, my wife exclaimed that she is going to lop her hair off and donate it to (and I quote,"Cancer") I tried pointing out that you cannot donate it to Cancer and can donate to people that are going thru Kimo or people that want hair that don't have any and she keeps repeting that she is going to donate it to "Cancer." Is that rude?</t>
        </is>
      </c>
      <c r="D4047" t="n">
        <v>1</v>
      </c>
      <c r="E4047" t="n">
        <v>0</v>
      </c>
      <c r="F4047">
        <f>HYPERLINK("https://www.reddit.com/r/cancer/comments/cowgo3/is_it_rude_to_donate_tour_hair_to_cancer/")</f>
        <v/>
      </c>
      <c r="G4047" t="inlineStr">
        <is>
          <t>2019-08-11 06:01:35</t>
        </is>
      </c>
      <c r="H4047" t="inlineStr"/>
    </row>
    <row r="4048">
      <c r="A4048" t="inlineStr">
        <is>
          <t>cowkjr</t>
        </is>
      </c>
      <c r="B4048" t="inlineStr">
        <is>
          <t>Donation Acceptability?</t>
        </is>
      </c>
      <c r="C4048" t="inlineStr">
        <is>
          <t>So, my wife exclaimed that she is going to lop her hair off and donate it to (and I quote,"Cancer") I tried pointing out that you cannot donate it to Cancer and can donate to people that are going thru Kimo or people that want hair that don't have any and she keeps repeting that she is going to donate it to "Cancer." Is that rude?</t>
        </is>
      </c>
      <c r="D4048" t="n">
        <v>0</v>
      </c>
      <c r="E4048" t="n">
        <v>1</v>
      </c>
      <c r="F4048">
        <f>HYPERLINK("https://www.reddit.com/r/cancer/comments/cowkjr/donation_acceptability/")</f>
        <v/>
      </c>
      <c r="G4048" t="inlineStr">
        <is>
          <t>2019-08-11 06:12:36</t>
        </is>
      </c>
      <c r="H4048" t="inlineStr"/>
    </row>
    <row r="4049">
      <c r="A4049" t="inlineStr">
        <is>
          <t>coz0o0</t>
        </is>
      </c>
      <c r="B4049" t="inlineStr">
        <is>
          <t>I miss the mama we had before the cancer diagnoses</t>
        </is>
      </c>
      <c r="C4049" t="inlineStr">
        <is>
          <t>Before mama was diagnosed with cancer she was still working part time (she is 76) She was outgoing,positive,social butterfly. Then in February this year she started feeling weary and started loosing weight. Doctors noticed her lymph nodes was fairly big and ordered a CAT scan with contrast it showed huge masses in her abdominal region. Next step was a biopsy. Biopsy done she was diagnosed with Non Hodgkin Lymphoma stage 3 aggressive type. When the doctor told her she completely zoned out. Denial set in big time for not just her but all of the family. 
Her family doctor refer her to oncology doctors. All her medical records and biopsy. They oncologist order a PET scan and lots of blood work. PET scan showed what the CAT scan detected it was bad. The PET scan shows organ involvement. My mama zoned out even more. She has become anti-social,short tempered,doesn't like people to call or come by. She has isolated herself from her church friends. I know she is depressed but she won't say anything to us her family. We all have suggested she go to counseling she gets angry about that. Even the doctors suggest she seek counseling she just ignores it when they say it. 
Mama opted for chemo and has had 4 sessions so far. The after effects have left her with no appetite even more depressed and withdrawn. She has lost a total of  25 pounds from diagnosed to present. Nothing sound good to her. She does eat a tiny amount through out the day at least. The doctors did tell us this ISN'T a cure just a treatment to keep those lymph nodes from infiltrating her liver and spleen even farther. They really haven't given her a life expectancy estimate or at least not that I have heard or read in her medical records. The doctors haven't suggested hospice yet either.
I have 1 sister and 3 brothers and I'm disabled but I'm the one that takes mama back and forth to her appointments. I'm the one that sits and listens to the doctors. I have obsessed over her diagnoses. I have read all the research I can get my hands on. I'm the one mama does talk to. She may have isolated herself but she talks to me. She has told me where all the legal papers are her wishes and so on when she passes away. She has informed me of what to do with division of her estate and so on. She has let me know of all this. It is so much to absorb.
Its so hard dealing with mama alone but the rest of our family work a lot and have families. Mama's thinking is that she doesn't want to bother them with anything. So the weight is on me to do all that is needed. With the way mama is thinking she has completely ignored how I feel. I do have health issues but none of them are going to kill me but chronic pain is part of it. Mama health trumps all. She expects so much from me. (I would list my health issues but this isn't the forum for that.) 
Its so hard dealing with cancer the invader that has took over Mama. Cancer sucks!
(Sorry so random in this typing. I tend to go off on tangents but hope you all understand)
Warmest hugs</t>
        </is>
      </c>
      <c r="D4049" t="n">
        <v>9</v>
      </c>
      <c r="E4049" t="n">
        <v>4</v>
      </c>
      <c r="F4049">
        <f>HYPERLINK("https://www.reddit.com/r/cancer/comments/coz0o0/i_miss_the_mama_we_had_before_the_cancer_diagnoses/")</f>
        <v/>
      </c>
      <c r="G4049" t="inlineStr">
        <is>
          <t>2019-08-11 09:44:13</t>
        </is>
      </c>
      <c r="H4049" t="inlineStr"/>
    </row>
    <row r="4050">
      <c r="A4050" t="inlineStr">
        <is>
          <t>cp0ac8</t>
        </is>
      </c>
      <c r="B4050" t="inlineStr">
        <is>
          <t>I’m so over all this....</t>
        </is>
      </c>
      <c r="C4050" t="inlineStr">
        <is>
          <t>I thought once chemo and radiation wrapped up, things would improve slowly but surely. I’m in the middle of immuno therapy which doesn’t seem to be doing anything. The pain in my neck and shoulders drops me to the ground, zero sleep, so I’m now on Oxycodone which is helping full the pain but I feel stoned all the time. The swelling in my face, neck and shoulders makes it difficult to move and breathe. Last night, with no warning I threw up, projectile vomiting that I haven’t experienced in weeks since chemo. This morning my lips were tinged blue, I’ve been dizzy all morning, lack of oxygen coming into play I guess? I feel like I did before I was diagnosed, before treatment began and I felt like I was dying.....I’m convinced the tumor is growing again in which case I’m fucked. I am getting another MRI on Tuesday, am going to ask that they scan my lung again in addition to neck &amp;amp; shoulder. I’m so freaked out, worn out and bummed out. I thought things would be on the upswing and they are anything but. I’m sorry....I need to vent this somewhere. This is the fucking pits, a miserable spot to be in. I hate it all. I knew it was going to be hard to heal but am I healing? It sure doesn’t feel like it. Goddamn....</t>
        </is>
      </c>
      <c r="D4050" t="n">
        <v>44</v>
      </c>
      <c r="E4050" t="n">
        <v>16</v>
      </c>
      <c r="F4050">
        <f>HYPERLINK("https://www.reddit.com/r/cancer/comments/cp0ac8/im_so_over_all_this/")</f>
        <v/>
      </c>
      <c r="G4050" t="inlineStr">
        <is>
          <t>2019-08-11 11:23:21</t>
        </is>
      </c>
      <c r="H4050" t="inlineStr"/>
    </row>
    <row r="4051">
      <c r="A4051" t="inlineStr">
        <is>
          <t>cp1z24</t>
        </is>
      </c>
      <c r="B4051" t="inlineStr">
        <is>
          <t>New here getting double mastectomy Friday.</t>
        </is>
      </c>
      <c r="C4051" t="inlineStr">
        <is>
          <t>Hi , I usually hang out in beauty section but I decided to do search to see if there was cancer area because I have finished chemo and am having double mastectomy on 16th and I am really freaking out! I don't have any family who is offering to help and I have no friends . I live with boyfriend but he will be at work Monday so 3 days after surgery I will be on own is that manageable? I have co- workers who are offering to stop by but I am not sure I feel comfortable with them seeing me like that . I only talk to these people at work. I was not prepared for this day I have been on chemo for 5 months and this was always a day far in future  So I have questions
Do I really have to sleep in recliner and for how long?
When can I drive?
Best way to deal with drains?
I read you can only lift up to 5 pounds for 6 weeks is that true?
Thank you in advance.</t>
        </is>
      </c>
      <c r="D4051" t="n">
        <v>14</v>
      </c>
      <c r="E4051" t="n">
        <v>9</v>
      </c>
      <c r="F4051">
        <f>HYPERLINK("https://www.reddit.com/r/cancer/comments/cp1z24/new_here_getting_double_mastectomy_friday/")</f>
        <v/>
      </c>
      <c r="G4051" t="inlineStr">
        <is>
          <t>2019-08-11 13:34:04</t>
        </is>
      </c>
      <c r="H4051" t="inlineStr"/>
    </row>
    <row r="4052">
      <c r="A4052" t="inlineStr">
        <is>
          <t>cp27q4</t>
        </is>
      </c>
      <c r="B4052" t="inlineStr">
        <is>
          <t>I’m 19 M, I just got my first apartment... and now I have cancer.</t>
        </is>
      </c>
      <c r="C4052" t="inlineStr">
        <is>
          <t>I don’t know how to feel. I’m generally a really reserved person anyways. I was excited about furnishing my new apartment, having my first really professional job, and learning how to be an adult and all of those milestones were exciting. 
I feel like this just isn’t fair. It’s like, childish maybe to be angry, but I was just starting something. I already have been through foster care and an all-around awful childhood, and I felt like my apartment with my roommates who are awesome and starting my adult life would be an exciting growth period where I could enjoy my independence. But now it’s going to be doctors and sickness. They did a biopsy on my throat that left me hyperventilating crying because I was so terrified with the thing in my nose and how many people were in the room, and I’m horrified that’s going to be how every new treatment or test is. 
They said that hodgkin’s lymphoma is super treatable, and that’s a good thing. I still feel like, the emphasis that implies this isn’t REAL cancer makes me think I’m not allowed to be as upset about it as I am. 
Everything is overwhelming. I keep having anxiety attacks, and I haven’t even started any kind of chemo or radiation, they’re still trying to stage me. Is this how it is going to be?? And then at the end if I make it out fine, I don’t even get a guarantee it won’t come back? I don’t even know what to do with the anger and frustration I feel, because there’s no cause or reason or person who’s done this. I can’t even do anything but be sick and hope the next time I see a doctor they don’t have to do something I’ll have nightmares about.</t>
        </is>
      </c>
      <c r="D4052" t="n">
        <v>93</v>
      </c>
      <c r="E4052" t="n">
        <v>35</v>
      </c>
      <c r="F4052">
        <f>HYPERLINK("https://www.reddit.com/r/cancer/comments/cp27q4/im_19_m_i_just_got_my_first_apartment_and_now_i/")</f>
        <v/>
      </c>
      <c r="G4052" t="inlineStr">
        <is>
          <t>2019-08-11 13:53:22</t>
        </is>
      </c>
      <c r="H4052" t="inlineStr"/>
    </row>
    <row r="4053">
      <c r="A4053" t="inlineStr">
        <is>
          <t>cp2ak0</t>
        </is>
      </c>
      <c r="B4053" t="inlineStr">
        <is>
          <t>Just the older sister to a cancer fighting Girl</t>
        </is>
      </c>
      <c r="C4053" t="inlineStr">
        <is>
          <t>And I am the Last in the row (cancer -sister,Mom,Younger sister) to complain. I have the Most free time and the least responsibilitys.
But I feel Like Life was Stolen from us.
My Mom is a single Mom of us 3 . 
This is Always a Bit Harder I guess .
But I am 22 now,an adult by any means . .
And I am Not able to keep the flat Clean or handle my sister (10years old) .
I feel Like she does things Just to annoy me while i know she is Testing her boundaries to regain her safety.
She is going to Riding Lessons ,WE have to Take Public Transport. She is moving her Riding crop into my dircextion .i Tell her to Stop.  I explain ,i have Bad Vision ,even with glasses. I was so short before breaking IT Just to make her Stop. 
And I know her behaviour is totally age apropriate. I am Not reallymad at her -rather at myself for Not being able to handle this . 
Deep down i am disappointed by myself .</t>
        </is>
      </c>
      <c r="D4053" t="n">
        <v>6</v>
      </c>
      <c r="E4053" t="n">
        <v>1</v>
      </c>
      <c r="F4053">
        <f>HYPERLINK("https://www.reddit.com/r/cancer/comments/cp2ak0/just_the_older_sister_to_a_cancer_fighting_girl/")</f>
        <v/>
      </c>
      <c r="G4053" t="inlineStr">
        <is>
          <t>2019-08-11 13:59:33</t>
        </is>
      </c>
      <c r="H4053" t="inlineStr"/>
    </row>
    <row r="4054">
      <c r="A4054" t="inlineStr">
        <is>
          <t>cp4i4w</t>
        </is>
      </c>
      <c r="B4054" t="inlineStr">
        <is>
          <t>sometimes shit happens</t>
        </is>
      </c>
      <c r="C4054" t="inlineStr">
        <is>
          <t>Welp, my mom starts a new clinical study thing next week. 2 new drugs of some sort. Its been approved by the FDA for other cancers just not for gleoblastoma or however its spelt. It been about a year and a half since she got diagnosed. It was 1 month after I had finished treatment, not even a week after I had been cleared. The Optune device thingy didnt work so thats cool. We dont know a timeline, I dont want to know one to be honest. I just want my mom to see me graduate. its just 4 years. My mom is pretty healthy and she's young for her type of cancer. I hope that means she can make it longer</t>
        </is>
      </c>
      <c r="D4054" t="n">
        <v>1</v>
      </c>
      <c r="E4054" t="n">
        <v>0</v>
      </c>
      <c r="F4054">
        <f>HYPERLINK("https://www.reddit.com/r/cancer/comments/cp4i4w/sometimes_shit_happens/")</f>
        <v/>
      </c>
      <c r="G4054" t="inlineStr">
        <is>
          <t>2019-08-11 17:00:16</t>
        </is>
      </c>
      <c r="H4054" t="inlineStr"/>
    </row>
    <row r="4055">
      <c r="A4055" t="inlineStr">
        <is>
          <t>cp4qv6</t>
        </is>
      </c>
      <c r="B4055" t="inlineStr">
        <is>
          <t>Overwhelmed by cancer knowledge</t>
        </is>
      </c>
      <c r="C4055" t="inlineStr">
        <is>
          <t>This weekend, I was listening to my two friends discuss cars, using terminology that I didn’t know. I was confused and just went along with it. As I was listening, I came to the sad realization that this is probably how people feel when I discuss my dad’s cancer. 
“He can’t do chemo today.”
“Oh why?”
“His platelets are too low”
“What does that mean? Is he more sick?”
“His nodules are decreasing in size!”
“That’s good.. right?”
And don’t even get my started on explaining his cancer regimen...
I’m not trying to criticize anyone who doesn’t know about cancer, because I was absolutely there before my father’s diagnosis. It’s just an unfortunate place when you realize you have a bunch of knowledge gained on a topic that you never wanted. I don’t know if what I’m saying makes sense... but just wanted to vent. Also, I have wonderful friends who do try and understand. I’m just thankful for this community to have a place where people are in the same boat. Shitty club, but you guys are the best.
Fuck cancer.</t>
        </is>
      </c>
      <c r="D4055" t="n">
        <v>37</v>
      </c>
      <c r="E4055" t="n">
        <v>6</v>
      </c>
      <c r="F4055">
        <f>HYPERLINK("https://www.reddit.com/r/cancer/comments/cp4qv6/overwhelmed_by_cancer_knowledge/")</f>
        <v/>
      </c>
      <c r="G4055" t="inlineStr">
        <is>
          <t>2019-08-11 17:22:10</t>
        </is>
      </c>
      <c r="H4055" t="inlineStr"/>
    </row>
    <row r="4056">
      <c r="A4056" t="inlineStr">
        <is>
          <t>cp6h9q</t>
        </is>
      </c>
      <c r="B4056" t="inlineStr">
        <is>
          <t>I’ve been avoiding this group</t>
        </is>
      </c>
      <c r="C4056" t="inlineStr">
        <is>
          <t>I see the subreddit on my feed and skip it as quick as possible. I just can’t read it, I could before but now yet another family member has been diagnosed so I have been ignoring it. My cousin is whittling away from a rare form of cancer. It’s so fucking stupid. Why!? He’s suffering and he doesn’t deserve it. I’ve lost my mom, my amazing aunt, my step dad, and almost my dad  4 damn times due to cancer. Now it’s my cousin, who is basically a sibling to me. I’m so pissed. He has a family, he’s an amazing dad, works his ass off, and is a good human. I hate our insurance, because I believe there’s a cure, but if they share it they won’t make as much money, so instead they’ll put people through radiation and chemo so they suffer in their last days and rack up medical bills.  I hate it. I’m so angry, sad and feel utterly helpless. I’d do anything to fix him. I love him so much.</t>
        </is>
      </c>
      <c r="D4056" t="n">
        <v>12</v>
      </c>
      <c r="E4056" t="n">
        <v>4</v>
      </c>
      <c r="F4056">
        <f>HYPERLINK("https://www.reddit.com/r/cancer/comments/cp6h9q/ive_been_avoiding_this_group/")</f>
        <v/>
      </c>
      <c r="G4056" t="inlineStr">
        <is>
          <t>2019-08-11 19:57:17</t>
        </is>
      </c>
      <c r="H4056" t="inlineStr"/>
    </row>
    <row r="4057">
      <c r="A4057" t="inlineStr">
        <is>
          <t>cp7g85</t>
        </is>
      </c>
      <c r="B4057" t="inlineStr">
        <is>
          <t>looking for solidarity re: the chronic nature of grief in the cancer world</t>
        </is>
      </c>
      <c r="C4057" t="inlineStr">
        <is>
          <t>Haven’t posted here for a bit. I’ve been fine, in general. 
Having a hard time right now with regards to the community level, chronic grief that often exists in cancer spaces. This happens on and off for me, but it’s really bad for me right now. Just looking for solidarity/if anyone can relate. Feeling extremely isolated and alone as most I know offline, cannot even begin to comprehend it.</t>
        </is>
      </c>
      <c r="D4057" t="n">
        <v>18</v>
      </c>
      <c r="E4057" t="n">
        <v>14</v>
      </c>
      <c r="F4057">
        <f>HYPERLINK("https://www.reddit.com/r/cancer/comments/cp7g85/looking_for_solidarity_re_the_chronic_nature_of/")</f>
        <v/>
      </c>
      <c r="G4057" t="inlineStr">
        <is>
          <t>2019-08-11 21:29:19</t>
        </is>
      </c>
      <c r="H4057" t="inlineStr"/>
    </row>
    <row r="4058">
      <c r="A4058" t="inlineStr">
        <is>
          <t>cp7i9r</t>
        </is>
      </c>
      <c r="B4058" t="inlineStr">
        <is>
          <t>Testing advice for no insurance? (27M)</t>
        </is>
      </c>
      <c r="C4058" t="inlineStr">
        <is>
          <t>Hello all,
Long story short I've been having a lot of unexplained stomach pains that have been constant for 2 months.  When I was 14, precancerous cells were found in my esophagus and was diagnosed with IBS a month later.  The last two months have been like no pain I've ever experienced accompanied with constant heartburn.  I've been having a bland diet for the entire time as well.
Anyway, I'd really like testing as cancer is very prominent in my family but I have no insurance and therefore no doctor.  Does anyone have advice on what I can do to get tested or where I can go?</t>
        </is>
      </c>
      <c r="D4058" t="n">
        <v>2</v>
      </c>
      <c r="E4058" t="n">
        <v>12</v>
      </c>
      <c r="F4058">
        <f>HYPERLINK("https://www.reddit.com/r/cancer/comments/cp7i9r/testing_advice_for_no_insurance_27m/")</f>
        <v/>
      </c>
      <c r="G4058" t="inlineStr">
        <is>
          <t>2019-08-11 21:34:58</t>
        </is>
      </c>
      <c r="H4058" t="inlineStr"/>
    </row>
    <row r="4059">
      <c r="A4059" t="inlineStr">
        <is>
          <t>cp7ldf</t>
        </is>
      </c>
      <c r="B4059" t="inlineStr">
        <is>
          <t>Mum has cancer. I want it to be over</t>
        </is>
      </c>
      <c r="C4059" t="inlineStr">
        <is>
          <t>Hi all, 
I feel terrible at the minute, my mum has cancer and it’s terminal. I feel like I should be sad or angry or scared but I’m not. I just want it to over and done with and I feel horrible for thinking that. 
I’m 17 and she’s had cancer 3 times since I was 13, basically my entire teenage life. This time we got the news she wasn’t gonna get better and this was it.
The realisation of what this means just hit me tonight and instead of crying I just felt relieved. I feel like once it’s over I’ll finally just be able to move on after 4 years without having it hanging over me. The only family I’ll have left will be my sister and I’ve come to terms with that. I just want it to happen already so I can stop dreading the moment I’ve been waiting on for 4 years.
I feel so bad for thinking this way and don’t wanna tell my mum as I think this will just hurt her. Has anyone else felt like this? Thanks for reading x</t>
        </is>
      </c>
      <c r="D4059" t="n">
        <v>16</v>
      </c>
      <c r="E4059" t="n">
        <v>9</v>
      </c>
      <c r="F4059">
        <f>HYPERLINK("https://www.reddit.com/r/cancer/comments/cp7ldf/mum_has_cancer_i_want_it_to_be_over/")</f>
        <v/>
      </c>
      <c r="G4059" t="inlineStr">
        <is>
          <t>2019-08-11 21:43:53</t>
        </is>
      </c>
      <c r="H4059" t="inlineStr"/>
    </row>
    <row r="4060">
      <c r="A4060" t="inlineStr">
        <is>
          <t>cp82dz</t>
        </is>
      </c>
      <c r="B4060" t="inlineStr">
        <is>
          <t>Prolife Cancer Centre – Best Cancer Treatment Hospital in Pune</t>
        </is>
      </c>
      <c r="C4060" t="inlineStr">
        <is>
          <t xml:space="preserve">  
**Why Prolife is best cancer hospital in Pune?**
Prolife Cancer Centre is most recommended [**cancer hospital in Pune**](https://www.prolifecancercentre.co.in/). Dr. Sumit Shah started Prolife to provide state-of-art **cancer treatment in Pune**. The primary goal of Prolife is to cure and provide better quality life to people suffering from cancer, to eliminate the fear of Cancer from people’s minds and make them realize that cancer is indeed a curable disease and deliver evidence-based, personalized care for each patient we serve. We have team of [**best cancer specialists in Pune**](https://www.prolifecancercentre.co.in/) that are well trained and highly experienced. 
**Our team includes:**
1. Dr. Sumit shah – He is best cancer surgeon in Pune. He is the Founder of Prolife Cancer Centre and is the Chief Consultant, **Surgical Oncologist** &amp;amp; Laparoscopic Cancer Surgeon in Pune.  His vision is to provide comprehensive cancer treatment to all.
2. Dr. Minish Jain is a consultant medical [**cancer surgeon in Pune**.](https://www.prolifecancercentre.co.in/team/dr-minish-jain/) He is one of the senior most medical oncologists in the city of Pune with national and international recognition. 
3. Dr. Sumit Basu is a consultant Radiation [**oncologist in Pune**](https://g.page/Prolife-Cancer-Treatment-Centre?share). He has more than 20 years of experience in this field. He is one of the renowned and Best Cancer Doctor in Pune.
**Services offered at Prolife Cancer Centre**
We at Prolife cancer centre provide you the best cancer treatment for all type of cancers including breast cancer, gastrointestinal cancer, head and neck cancer, gynaecologic cancer, stomach cancer, thoracic cancer, urologic cancer SARCOMAS,  Endocrine etc. 
**Our Facilities include**
· Laparoscopic Cancer Surgery
· Chemotherapy Unit
· Radiotherapy Consultation
· Radiotherapy Consultation
· Lymphedema Clinic
· Stoma Clinic
· Speech and Swallowing Rehabilitation
· Physiotherapy
· Pain Clinic
· Home Visits
· Cancer Screening
Apart from this, our patients benefit from bedside music, Internet access, and healthful and nutritious food geared to their needs.</t>
        </is>
      </c>
      <c r="D4060" t="n">
        <v>0</v>
      </c>
      <c r="E4060" t="n">
        <v>0</v>
      </c>
      <c r="F4060">
        <f>HYPERLINK("https://www.reddit.com/r/cancer/comments/cp82dz/prolife_cancer_centre_best_cancer_treatment/")</f>
        <v/>
      </c>
      <c r="G4060" t="inlineStr">
        <is>
          <t>2019-08-11 22:34:34</t>
        </is>
      </c>
      <c r="H4060" t="inlineStr"/>
    </row>
    <row r="4061">
      <c r="A4061" t="inlineStr">
        <is>
          <t>cp8pvt</t>
        </is>
      </c>
      <c r="B4061" t="inlineStr">
        <is>
          <t>Soft tissue mass removal this Tuesday. Anal</t>
        </is>
      </c>
      <c r="C4061" t="inlineStr">
        <is>
          <t>This is grrrrreat./s so  when I have to tell coworker/boss/family I'm having surgery they ask for what, or where or whatever... Nice. Like I'm not enough of a basket case with this, pardon the pun, SHIT.
The mass is hard. And feels connected to my anus, and they have be seeing a specialist surgeon that deals in colorectal surgery. No Scopes, just going to go in there and get it out. It feels about 2 inches long and 1.5 inches wide. Docs have confirmed it's not a hemorrhoid.
I'm a 44 yr old female.  I'm freaking out. Every female on my mom's side has gotten cancer. DAMNIT....
Mom had blood cancer, Grandma, bladder cancer, great-grandma breast cancer, Aunt- leukemia... 
I have itching, I had minor bleeding, basically at least 4 out of 5 symptoms. I went to doctors right away. Egad I'm a mess right now. 
Trying not to freak out but... I don't think the odds are in my favor.
Thanks for letting me vent. Sorry guys.</t>
        </is>
      </c>
      <c r="D4061" t="n">
        <v>31</v>
      </c>
      <c r="E4061" t="n">
        <v>14</v>
      </c>
      <c r="F4061">
        <f>HYPERLINK("https://www.reddit.com/r/cancer/comments/cp8pvt/soft_tissue_mass_removal_this_tuesday_anal/")</f>
        <v/>
      </c>
      <c r="G4061" t="inlineStr">
        <is>
          <t>2019-08-11 23:49:06</t>
        </is>
      </c>
      <c r="H4061" t="inlineStr"/>
    </row>
    <row r="4062">
      <c r="A4062" t="inlineStr">
        <is>
          <t>cp8vtw</t>
        </is>
      </c>
      <c r="B4062" t="inlineStr">
        <is>
          <t>Anyone have experience with aflac cancer insurance</t>
        </is>
      </c>
      <c r="C4062" t="inlineStr">
        <is>
          <t>Hi folks!  
So I should have the last paperwork needed for them, i was wonduring if anyone here had any experience with the aflac cancer insurance so I can know what to expect with them?  I have their cancer insurance,  short and long term disability, and hospitalization which all seem to cover different aspects of what's gone on.  I also have my normal healthcare insurance of course.  I always thought I was over insured.  Now not so much.  Even with this my finances are going to be hurting.  And if aflacs rough to work with it's going to really suck.</t>
        </is>
      </c>
      <c r="D4062" t="n">
        <v>7</v>
      </c>
      <c r="E4062" t="n">
        <v>5</v>
      </c>
      <c r="F4062">
        <f>HYPERLINK("https://www.reddit.com/r/cancer/comments/cp8vtw/anyone_have_experience_with_aflac_cancer_insurance/")</f>
        <v/>
      </c>
      <c r="G4062" t="inlineStr">
        <is>
          <t>2019-08-12 00:07:51</t>
        </is>
      </c>
      <c r="H4062" t="inlineStr"/>
    </row>
    <row r="4063">
      <c r="A4063" t="inlineStr">
        <is>
          <t>cpa5y2</t>
        </is>
      </c>
      <c r="B4063" t="inlineStr">
        <is>
          <t>Breast cancer scare at 25</t>
        </is>
      </c>
      <c r="C4063" t="inlineStr">
        <is>
          <t>I am 25 years old and a week or so ago I noticed a hard lump/ two lumps in my left breast that I have never felt before, prior to this I noticed something a week or so before that in the shower but thought I was just squeezing the gland in my breast too hard. It doesn't feel right and I have an awful gut feeling about it but I managed to get a doctors appointment as soon as possible, the doctor felt the lump and gave me an urgent referral (which has also freaked me out) I am terrified of this and it's all I can think about and I know that cancer can happen at any age but nothing is helping. I am going to get checked out on monday to see if it's cancer and i'm completely terrified...</t>
        </is>
      </c>
      <c r="D4063" t="n">
        <v>8</v>
      </c>
      <c r="E4063" t="n">
        <v>15</v>
      </c>
      <c r="F4063">
        <f>HYPERLINK("https://www.reddit.com/r/cancer/comments/cpa5y2/breast_cancer_scare_at_25/")</f>
        <v/>
      </c>
      <c r="G4063" t="inlineStr">
        <is>
          <t>2019-08-12 02:44:52</t>
        </is>
      </c>
      <c r="H4063" t="inlineStr"/>
    </row>
    <row r="4064">
      <c r="A4064" t="inlineStr">
        <is>
          <t>cpc1r2</t>
        </is>
      </c>
      <c r="B4064" t="inlineStr">
        <is>
          <t>Books on diet/nutrition while fighting cancer?</t>
        </is>
      </c>
      <c r="C4064" t="inlineStr">
        <is>
          <t>Hello,
A biopsy showed malignancies in some tissue from my mom's lungs but a full pathology report is not yet completed so type of cancer, aggressiveness, etc. are not yet determined.
My mom is looking for a book on nutrition/diet that may assist with her fighting this cancer. I've found a myriad of online resources on the websites of MD Anderson, NIH, ACI, Dana Farber, ACS, and WebMD but my mom wants a physical book from a leading expert in diet/nutrition as it relates to cancer. 
From what I gather, diet is a very contentious issue as it pertains to cancer so I'm hoping posting here might provide me with some clarity that could help.
Thank you.</t>
        </is>
      </c>
      <c r="D4064" t="n">
        <v>6</v>
      </c>
      <c r="E4064" t="n">
        <v>7</v>
      </c>
      <c r="F4064">
        <f>HYPERLINK("https://www.reddit.com/r/cancer/comments/cpc1r2/books_on_dietnutrition_while_fighting_cancer/")</f>
        <v/>
      </c>
      <c r="G4064" t="inlineStr">
        <is>
          <t>2019-08-12 05:59:39</t>
        </is>
      </c>
      <c r="H4064" t="inlineStr"/>
    </row>
    <row r="4065">
      <c r="A4065" t="inlineStr">
        <is>
          <t>cpdi6d</t>
        </is>
      </c>
      <c r="B4065" t="inlineStr">
        <is>
          <t>My brother has late stage small cell lung cancer</t>
        </is>
      </c>
      <c r="C4065" t="inlineStr">
        <is>
          <t>He called my last night i think he's gonna die soon</t>
        </is>
      </c>
      <c r="D4065" t="n">
        <v>11</v>
      </c>
      <c r="E4065" t="n">
        <v>3</v>
      </c>
      <c r="F4065">
        <f>HYPERLINK("https://www.reddit.com/r/cancer/comments/cpdi6d/my_brother_has_late_stage_small_cell_lung_cancer/")</f>
        <v/>
      </c>
      <c r="G4065" t="inlineStr">
        <is>
          <t>2019-08-12 07:59:35</t>
        </is>
      </c>
      <c r="H4065" t="inlineStr"/>
    </row>
    <row r="4066">
      <c r="A4066" t="inlineStr">
        <is>
          <t>cpf6io</t>
        </is>
      </c>
      <c r="B4066" t="inlineStr">
        <is>
          <t>Stage four Melanoma Experience</t>
        </is>
      </c>
      <c r="C4066" t="inlineStr">
        <is>
          <t>I am writing for my father. He is currently at Stage four Melanoma, he was diagnosed with melanoma last year, and had an operation on his hand. He had his right thumb removed on that operation. However, we found out that it had spread to other parts of his body the beginning of this year. Then, he was on Immunol-therapy, before the second treatment, he was not able to stand up due to the cancer cell eating up his left hip's bone. The treatment got delayed because of that and even the third treatment got delayed because there was the worry of an inflection. He got skinnier and skinnier through the treatments and he lost his appetite last year after the surgery. Devastatingly, it seems that the Immunol-therapy did not work for my father. Due to his high blood sugar, he was hospitalized for one week. Now, he has been discharged from hospices. His situation got a little bit better at home than in the hospices. This morning, he told me that his mind stopped at certain time. 
For me, everything seems so unreal. He is so weak right now, but I feel like he will be okay (which he is not). What can I do right now for him and what can our family do?</t>
        </is>
      </c>
      <c r="D4066" t="n">
        <v>12</v>
      </c>
      <c r="E4066" t="n">
        <v>0</v>
      </c>
      <c r="F4066">
        <f>HYPERLINK("https://www.reddit.com/r/cancer/comments/cpf6io/stage_four_melanoma_experience/")</f>
        <v/>
      </c>
      <c r="G4066" t="inlineStr">
        <is>
          <t>2019-08-12 10:00:36</t>
        </is>
      </c>
      <c r="H4066" t="inlineStr"/>
    </row>
    <row r="4067">
      <c r="A4067" t="inlineStr">
        <is>
          <t>cpfovr</t>
        </is>
      </c>
      <c r="B4067" t="inlineStr">
        <is>
          <t>Just a little message.</t>
        </is>
      </c>
      <c r="C4067" t="inlineStr">
        <is>
          <t>I'm not a cancer patient and I pray that I never join the worst club on earth. I just wanted to let you all know that I read your stories , and your vents, and your happy news and your sad news, and as you go through this know that someone you dont know is by your side feeling for you ! 
I hope everyone stays strong, and I sincerely hope and pray for the best results for each and everyone of you!
I plan on making an artwork for you all, hoping to bring even one smile to one person.
&amp;amp;#x200B;
My beloved grandma had late stage bladder cancer that came back. I was very young. She had her bladder removed and was given 4-5 years to live. She lived for 11 years and passed for other reasons. Doctors did not believe it.
Stay strong &amp;lt;3 I love each and every one of you.</t>
        </is>
      </c>
      <c r="D4067" t="n">
        <v>124</v>
      </c>
      <c r="E4067" t="n">
        <v>15</v>
      </c>
      <c r="F4067">
        <f>HYPERLINK("https://www.reddit.com/r/cancer/comments/cpfovr/just_a_little_message/")</f>
        <v/>
      </c>
      <c r="G4067" t="inlineStr">
        <is>
          <t>2019-08-12 10:37:08</t>
        </is>
      </c>
      <c r="H4067" t="inlineStr"/>
    </row>
    <row r="4068">
      <c r="A4068" t="inlineStr">
        <is>
          <t>cpg6x9</t>
        </is>
      </c>
      <c r="B4068" t="inlineStr">
        <is>
          <t>My CT scan came back clean</t>
        </is>
      </c>
      <c r="C4068" t="inlineStr">
        <is>
          <t>Just wanted to be able to share the news with others who can understand scan-xiety. Had triple negative breast cancer March of last year and underwent 7 months of chemo, surgery, and radiation. 
I was experiencing shortness of breath so I had a chest CT done 3 months ago and two new nodes lit up on my cancer side. 
Still too small to biopsy my pulmonologist ordered a scan in 3 months time to reassess. 
Well the scan showed that one node resolved while the other is stable at 2 mm. They were probably a result of inflammation from my radiation. 
Still in remission, still cancer free as far as anyone is aware. I can breathe easy again.</t>
        </is>
      </c>
      <c r="D4068" t="n">
        <v>92</v>
      </c>
      <c r="E4068" t="n">
        <v>3</v>
      </c>
      <c r="F4068">
        <f>HYPERLINK("https://www.reddit.com/r/cancer/comments/cpg6x9/my_ct_scan_came_back_clean/")</f>
        <v/>
      </c>
      <c r="G4068" t="inlineStr">
        <is>
          <t>2019-08-12 11:12:12</t>
        </is>
      </c>
      <c r="H4068" t="inlineStr"/>
    </row>
    <row r="4069">
      <c r="A4069" t="inlineStr">
        <is>
          <t>cpgd5m</t>
        </is>
      </c>
      <c r="B4069" t="inlineStr">
        <is>
          <t>AFP level 120 ng/ml, is it really bad? Should I be worrying?</t>
        </is>
      </c>
      <c r="C4069" t="inlineStr">
        <is>
          <t>Hello all, I just joined this subreddit and I hope you guys are doing well and having a great day. I apologize in advance if there is any grammatical mistake as English is not my first language or me violating the 'is this cancer' question rule. So, my dad who is 63 years of age got his body check result back recently and his AFP level increased from 4 ng/ml to 120 ng/ml as I mentioned above. He will be getting some blood tests tomorrow, but in the meantime, I can't help but to start worrying how likely is he going to get cancer like liver or pancreatic cancer? What does the AFP test result indicate? My dad means everything to me and I'm worrying af right now.</t>
        </is>
      </c>
      <c r="D4069" t="n">
        <v>2</v>
      </c>
      <c r="E4069" t="n">
        <v>2</v>
      </c>
      <c r="F4069">
        <f>HYPERLINK("https://www.reddit.com/r/cancer/comments/cpgd5m/afp_level_120_ngml_is_it_really_bad_should_i_be/")</f>
        <v/>
      </c>
      <c r="G4069" t="inlineStr">
        <is>
          <t>2019-08-12 11:24:44</t>
        </is>
      </c>
      <c r="H4069" t="inlineStr"/>
    </row>
    <row r="4070">
      <c r="A4070" t="inlineStr">
        <is>
          <t>cphdqf</t>
        </is>
      </c>
      <c r="B4070" t="inlineStr">
        <is>
          <t>How to handle well wishers?</t>
        </is>
      </c>
      <c r="C4070" t="inlineStr">
        <is>
          <t>My cancer is terminal.  I'm doing chemo to hopefully buy some time.  How should I handle the constant comments of get well soon, hang in there, you'll be fine?  When it is someone I dont know I just say thanks, but how would you respond to well wishers that you know, but are not close enough to that they know all the details?  It is especially difficult for me when my daughter is with me when it happens, because she gets upset.  I dont want to be a jerk or embarrass anyone, but it is also hard when people assume I'll be fine after chemo.  I will be on chemo until it stops working and then I will go on hospice.  This is as good as I'm gonna get, and I am ok with that but feel flustered each time someone assumes I will get well soon.  Thank you for any advice you have.</t>
        </is>
      </c>
      <c r="D4070" t="n">
        <v>37</v>
      </c>
      <c r="E4070" t="n">
        <v>24</v>
      </c>
      <c r="F4070">
        <f>HYPERLINK("https://www.reddit.com/r/cancer/comments/cphdqf/how_to_handle_well_wishers/")</f>
        <v/>
      </c>
      <c r="G4070" t="inlineStr">
        <is>
          <t>2019-08-12 12:36:56</t>
        </is>
      </c>
      <c r="H4070" t="inlineStr"/>
    </row>
    <row r="4071">
      <c r="A4071" t="inlineStr">
        <is>
          <t>cphvgj</t>
        </is>
      </c>
      <c r="B4071" t="inlineStr">
        <is>
          <t>Experience with Winship or Cancer Treatment of Amer in GA</t>
        </is>
      </c>
      <c r="C4071" t="inlineStr">
        <is>
          <t>Does anyone have current info on either Winship or Cancer Treatment of America in GA, specifically relating to accurately staging anal cancer and treatment options.  I’m looking for a second opinion so searching for anyone who has experience with specific doctors in either of these institutions, experience on the process (length of time it took to get appointment, other experience), securing the right team to accurately determine if the cancer is level 1, 2 or 3, available treatment options, risks, and what to expect before, during and after any treatment.  I am researching for someone close to me.  I understand the general definitions of this cancer and the level criteria.  I am more interested in specifics related to these 2 places which may help in narrowing down the best place for a second opinion and possibly subsequent treatment. Thank you.</t>
        </is>
      </c>
      <c r="D4071" t="n">
        <v>2</v>
      </c>
      <c r="E4071" t="n">
        <v>7</v>
      </c>
      <c r="F4071">
        <f>HYPERLINK("https://www.reddit.com/r/cancer/comments/cphvgj/experience_with_winship_or_cancer_treatment_of/")</f>
        <v/>
      </c>
      <c r="G4071" t="inlineStr">
        <is>
          <t>2019-08-12 13:12:25</t>
        </is>
      </c>
      <c r="H4071" t="inlineStr"/>
    </row>
    <row r="4072">
      <c r="A4072" t="inlineStr">
        <is>
          <t>cphzj8</t>
        </is>
      </c>
      <c r="B4072" t="inlineStr">
        <is>
          <t>Mid cycle CT result Stage 3 Colon Cancer</t>
        </is>
      </c>
      <c r="C4072" t="inlineStr">
        <is>
          <t>Just finished a meeting with my doctor over the results of the CT scan I got after round 4. Unfortunately the tumour has stayed basically the same size, tumour markers are slightly up as well. However no metastases, and my lymph nodes have shrunk.</t>
        </is>
      </c>
      <c r="D4072" t="n">
        <v>3</v>
      </c>
      <c r="E4072" t="n">
        <v>2</v>
      </c>
      <c r="F4072">
        <f>HYPERLINK("https://www.reddit.com/r/cancer/comments/cphzj8/mid_cycle_ct_result_stage_3_colon_cancer/")</f>
        <v/>
      </c>
      <c r="G4072" t="inlineStr">
        <is>
          <t>2019-08-12 13:20:32</t>
        </is>
      </c>
      <c r="H4072" t="inlineStr"/>
    </row>
    <row r="4073">
      <c r="A4073" t="inlineStr">
        <is>
          <t>cpi57g</t>
        </is>
      </c>
      <c r="B4073" t="inlineStr">
        <is>
          <t>my spouse (41f) was diagnosed with stage III colorectal cancer, we're overwhelmed.</t>
        </is>
      </c>
      <c r="C4073" t="inlineStr">
        <is>
          <t>Prior to July 30th's colonscopy, we just thought she had IBS and were ready to tackle a chronic disease like that. Attending doctor came in, told us she had cancer, and left. We've done CT/MRI scans and biopsies since. Tomorrow we go to see our oncologist. So far doctors don't seem to think her stomach issues are related to the cancer. We go back to a gastroenterologist soon to see if we can't address those issues during all this. 
She's depressed &amp;amp; terrified/anxious, so am I. Night time is the worst, dark intrusive thoughts happen regularly. She doesn't want to open up to anyone but me. I feel woefully unprepared to shoulder it alone and I don't think it's a beneficial thing for her. Thankfully I work from home and her work isn't an issue (contract work). She has told me she's scared to be out of my sight, even me just going outside causes anxiety for her. 
I guess I just wanted to get that out, but also I want to know if there are any recommendations/advice during this full diagnosis period, before treatment becomes something we can focus on. 
Reading other posts in this subreddit have helped me, by knowing it's not just us going through it. Fuck cancer.</t>
        </is>
      </c>
      <c r="D4073" t="n">
        <v>6</v>
      </c>
      <c r="E4073" t="n">
        <v>11</v>
      </c>
      <c r="F4073">
        <f>HYPERLINK("https://www.reddit.com/r/cancer/comments/cpi57g/my_spouse_41f_was_diagnosed_with_stage_iii/")</f>
        <v/>
      </c>
      <c r="G4073" t="inlineStr">
        <is>
          <t>2019-08-12 13:32:28</t>
        </is>
      </c>
      <c r="H4073" t="inlineStr"/>
    </row>
    <row r="4074">
      <c r="A4074" t="inlineStr">
        <is>
          <t>cpj6gn</t>
        </is>
      </c>
      <c r="B4074" t="inlineStr">
        <is>
          <t>What are some good resources/websites/info on new treatments, cures, tests?</t>
        </is>
      </c>
      <c r="C4074" t="inlineStr">
        <is>
          <t>Hello,
&amp;amp;#x200B;
I am a brain injury survivor and going through an extreme amount of suffering in my life right now. I am asking this question to see What are some good resources/websites/info on new treatments, cures, tests? Like new discoveries and things like that by medicine, not just in America but throughout the world. I am willing to try anything for help with my symptoms and have read a lot about different things in Canada and other places. But would love some good info about top new treatments throughout the world and tests, cures, etc. Where would one go online or otherwise to find a lot of information about it?
&amp;amp;#x200B;
Thanks</t>
        </is>
      </c>
      <c r="D4074" t="n">
        <v>1</v>
      </c>
      <c r="E4074" t="n">
        <v>0</v>
      </c>
      <c r="F4074">
        <f>HYPERLINK("https://www.reddit.com/r/cancer/comments/cpj6gn/what_are_some_good_resourceswebsitesinfo_on_new/")</f>
        <v/>
      </c>
      <c r="G4074" t="inlineStr">
        <is>
          <t>2019-08-12 14:48:09</t>
        </is>
      </c>
      <c r="H4074" t="inlineStr"/>
    </row>
    <row r="4075">
      <c r="A4075" t="inlineStr">
        <is>
          <t>cpk75s</t>
        </is>
      </c>
      <c r="B4075" t="inlineStr">
        <is>
          <t>Research Team looking for breast/gynecological cancer survivors in Oregon to participate in a study on mindfulness and sexual health!</t>
        </is>
      </c>
      <c r="C4075" t="inlineStr">
        <is>
          <t>Many cancer survivors and those living with cancer have difficulty reconnecting with their sexuality. We are studying how mindfulness training may be able to help improve sexual and mental well-being in survivorship. [**health.oregonstate.edu/mindful**](http://health.oregonstate.edu/mindful)
Not a cancer survivor yourself, but know one? Please feel free to share this information with any friends, family, or groups that might be interested!</t>
        </is>
      </c>
      <c r="D4075" t="n">
        <v>1</v>
      </c>
      <c r="E4075" t="n">
        <v>0</v>
      </c>
      <c r="F4075">
        <f>HYPERLINK("https://www.reddit.com/r/cancer/comments/cpk75s/research_team_looking_for_breastgynecological/")</f>
        <v/>
      </c>
      <c r="G4075" t="inlineStr">
        <is>
          <t>2019-08-12 16:05:19</t>
        </is>
      </c>
      <c r="H4075" t="inlineStr"/>
    </row>
    <row r="4076">
      <c r="A4076" t="inlineStr">
        <is>
          <t>cpl17q</t>
        </is>
      </c>
      <c r="B4076" t="inlineStr">
        <is>
          <t>Experiences with cabozantinib / Cabometyx / Cometriq? (Or similar c-MET inhibitors)</t>
        </is>
      </c>
      <c r="C4076" t="inlineStr">
        <is>
          <t>Hi all, 
I am a stage IV sarcoma patient with mets to the lungs and I will likely start on cabozantinib soon. It's an off-label use of the drug but there aren't any good options for my sarcoma type, so we are going to try this to see if it helps. I am wondering if anyone else (or their friends/loved ones) has experience with this drug (or if not, with similar c-MET inhibitors). I have read some older posts on this topic in this sub but they weren't very active, so I figured I'd ask around again.
For those who have taken it, what was your experience like? Were you able to go about your normal daily activities, or were the side effects really bad? I don't really know what to expect in terms of quality of  life, and my oncologist basically just said "it depends" and "we will just have to see how you tolerate it." I understand it varies from person to person, but I'm just curious about other peoples' experiences.
Thanks, and I hope you are all doing well.</t>
        </is>
      </c>
      <c r="D4076" t="n">
        <v>4</v>
      </c>
      <c r="E4076" t="n">
        <v>2</v>
      </c>
      <c r="F4076">
        <f>HYPERLINK("https://www.reddit.com/r/cancer/comments/cpl17q/experiences_with_cabozantinib_cabometyx_cometriq/")</f>
        <v/>
      </c>
      <c r="G4076" t="inlineStr">
        <is>
          <t>2019-08-12 17:12:30</t>
        </is>
      </c>
      <c r="H4076" t="inlineStr"/>
    </row>
    <row r="4077">
      <c r="A4077" t="inlineStr">
        <is>
          <t>cpmmc3</t>
        </is>
      </c>
      <c r="B4077" t="inlineStr">
        <is>
          <t>Port vs peripheral chemo</t>
        </is>
      </c>
      <c r="C4077" t="inlineStr">
        <is>
          <t>Hoping for some advice. My husband has limited stage small cell lung cancer. He justo went through 4 rounds of chemo and 30 radiation treatments from late May to early Aug. Scan came back with no metastasis and 50-75 percent reduction of 3 tumors in right lobe.  We both are breathing a sigh of relief for now!
My husband received chemo peripherally for the first four rounds. Doctor wants to do two more starting next week with PCI to follow. Towards end of first chemo course, the nurses had a very hard time finding a vein to start IVs. The last time he received chemo, 7 attempts were made before they finally secured an IV. He also had get fluids for dehydration and went through the same routine. Both arms were poked, prodded, and painfully bruised.
For the next round of chemo, his health care team still doesn’t want to have a port installed. I am seeking  advice from health care professionals or any cancer patients/ caregivers about ports vs. peripheral chemo. As a nursing student who works in an oncology unit, I don’t see many patients without the port. On the flip side, ports increase infection risk; i.e. sepsis. Any input would be greatly appreciated!</t>
        </is>
      </c>
      <c r="D4077" t="n">
        <v>2</v>
      </c>
      <c r="E4077" t="n">
        <v>5</v>
      </c>
      <c r="F4077">
        <f>HYPERLINK("https://www.reddit.com/r/cancer/comments/cpmmc3/port_vs_peripheral_chemo/")</f>
        <v/>
      </c>
      <c r="G4077" t="inlineStr">
        <is>
          <t>2019-08-12 19:20:49</t>
        </is>
      </c>
      <c r="H4077" t="inlineStr"/>
    </row>
    <row r="4078">
      <c r="A4078" t="inlineStr">
        <is>
          <t>cpmvrm</t>
        </is>
      </c>
      <c r="B4078" t="inlineStr">
        <is>
          <t>What are the best/most thoughtful ways to help recently diagnosed family?</t>
        </is>
      </c>
      <c r="C4078" t="inlineStr">
        <is>
          <t>&amp;amp;#x200B;
A co-worker of ours just got the news that his wife was diagnosed with pretty poor prognosis cancer. They're a family of 4 with two young kids under the age of 4.  She has surgery and chemotherapy coming up. We want to offer support and help and honestly just would like to know what actions/items could offer the most useful support. Any and all ideas would be so helpful, thank you so much</t>
        </is>
      </c>
      <c r="D4078" t="n">
        <v>6</v>
      </c>
      <c r="E4078" t="n">
        <v>9</v>
      </c>
      <c r="F4078">
        <f>HYPERLINK("https://www.reddit.com/r/cancer/comments/cpmvrm/what_are_the_bestmost_thoughtful_ways_to_help/")</f>
        <v/>
      </c>
      <c r="G4078" t="inlineStr">
        <is>
          <t>2019-08-12 19:42:31</t>
        </is>
      </c>
      <c r="H4078" t="inlineStr"/>
    </row>
    <row r="4079">
      <c r="A4079" t="inlineStr">
        <is>
          <t>cpni2n</t>
        </is>
      </c>
      <c r="B4079" t="inlineStr">
        <is>
          <t>my grandpa has 3 types of cancer and I want to know how serious it is</t>
        </is>
      </c>
      <c r="C4079" t="inlineStr">
        <is>
          <t>I know any kind of cancer is serious but I want to know how just how serious my grandpas situation is. He has lung, bone, and prostate cancer and it’s apparently stage 4 cancer, that’s all I know from what my mom has told me. I’m sorry I really don’t know much about how cancer works and it’s stages. If someone could explain to me more about stage 4 cancer and the 3 types of cancer he has it would really be helpful.</t>
        </is>
      </c>
      <c r="D4079" t="n">
        <v>6</v>
      </c>
      <c r="E4079" t="n">
        <v>2</v>
      </c>
      <c r="F4079">
        <f>HYPERLINK("https://www.reddit.com/r/cancer/comments/cpni2n/my_grandpa_has_3_types_of_cancer_and_i_want_to/")</f>
        <v/>
      </c>
      <c r="G4079" t="inlineStr">
        <is>
          <t>2019-08-12 20:36:26</t>
        </is>
      </c>
      <c r="H4079" t="inlineStr"/>
    </row>
    <row r="4080">
      <c r="A4080" t="inlineStr">
        <is>
          <t>cpnimw</t>
        </is>
      </c>
      <c r="B4080" t="inlineStr">
        <is>
          <t>Help needed ASAP. Mother needs to gain weight.</t>
        </is>
      </c>
      <c r="C4080" t="inlineStr">
        <is>
          <t>No negative comments. Going through enough as is.
TLDR : Need weight gain diet information or weight gain supplement powder information.
Gender: Female
Age: 65
Height: 5' 11"
Weight: 75 Lbs
Diagnosed - Squamous Cell Carcinoma. Metastasized to Skull and possibly Lymph Nodes. 11x5cm lung mass.
2 week hospital stay for discovery, diagnosis and stabilization. In a rehab facility currently for Physical Therapy. Has to put on weight and get strong enough to leave for home to start treatments. (Even if they opt out of Chemo/Radiation she absolutely has to gain weight)
Always been a small woman. Barely breaking 100Lbs on her best day. Nothing sounds good to her. She won't eat hardly anything. She's been drinking 3 Ensures a day to supplement. Not good in my opinion.
I have a list of foods I will share at the bottom of this post that are notorious weight gainers, albeit not that healthy. Once she puts weight on we can worry about healthier options for sustainability. Not sure if she should be using the best high calorie, high protein supplement powder I can buy and eating what she can, or if she should just eat as many smaller meals consisting of "bad" foods throughout the day as she can.
Any information on weight gaining diets or great supplements to pack on the pounds is GREATLY APPRECIATED. I might not have the time to say it to every post so I will say it now- Thank you so much.
List-
Cheese, Ice Cream, Canned Fruit (Heavy Syrup), Dried Fruits, Nuts, (Peanut Butter, Cashew Butter, Nutella) with Crackers, Muffins, Cottage Cheese, Chocolate Milk, Potato Chips, Fries, White Bread, Fruit Juice, Pastries, Pizza, Sugary Drinks, Rice, Milk, Cream Cheese, Sour Cream, Butter, Gravy, Mayonnaise, Avocado, Jam, Jelly, Honey</t>
        </is>
      </c>
      <c r="D4080" t="n">
        <v>5</v>
      </c>
      <c r="E4080" t="n">
        <v>22</v>
      </c>
      <c r="F4080">
        <f>HYPERLINK("https://www.reddit.com/r/cancer/comments/cpnimw/help_needed_asap_mother_needs_to_gain_weight/")</f>
        <v/>
      </c>
      <c r="G4080" t="inlineStr">
        <is>
          <t>2019-08-12 20:38:02</t>
        </is>
      </c>
      <c r="H4080" t="inlineStr"/>
    </row>
    <row r="4081">
      <c r="A4081" t="inlineStr">
        <is>
          <t>cpnlob</t>
        </is>
      </c>
      <c r="B4081" t="inlineStr">
        <is>
          <t>PICC line dressing sensitivity</t>
        </is>
      </c>
      <c r="C4081" t="inlineStr">
        <is>
          <t>Hi all! So I have a PICC line in my right upper arm. I get the dressing changed once a week but I am allergic to adhesive so my skin is constantly itchy and red where the bandage is. Today, my skin blistered where the bandage was placed before (they move it slightly to five areas of my skin a break). Has anyone had a similar experience? Do they have an alternative with less adhesive or none at all?</t>
        </is>
      </c>
      <c r="D4081" t="n">
        <v>5</v>
      </c>
      <c r="E4081" t="n">
        <v>11</v>
      </c>
      <c r="F4081">
        <f>HYPERLINK("https://www.reddit.com/r/cancer/comments/cpnlob/picc_line_dressing_sensitivity/")</f>
        <v/>
      </c>
      <c r="G4081" t="inlineStr">
        <is>
          <t>2019-08-12 20:46:05</t>
        </is>
      </c>
      <c r="H4081" t="inlineStr"/>
    </row>
    <row r="4082">
      <c r="A4082" t="inlineStr">
        <is>
          <t>cpohih</t>
        </is>
      </c>
      <c r="B4082" t="inlineStr">
        <is>
          <t>Can you sleep in the same bed as someone who has cancer?</t>
        </is>
      </c>
      <c r="C4082" t="inlineStr">
        <is>
          <t>My girlfriend (27) was recently diagnosed with breast cancer. We live in a small apartment in NY. She just had a bilateral mastectomy today. The plan is for her to take our bed, and for me to sleep on an air mattress. It’s hard to find a long term solution, but I’m thinking of getting rid of the dresser and buying a small bed from ikea.
Is it safe to sleep with her in the same bed?
What about during chemotherapy?
It’s been difficult to find this answer. Appreciate any help here, thank you.</t>
        </is>
      </c>
      <c r="D4082" t="n">
        <v>3</v>
      </c>
      <c r="E4082" t="n">
        <v>11</v>
      </c>
      <c r="F4082">
        <f>HYPERLINK("https://www.reddit.com/r/cancer/comments/cpohih/can_you_sleep_in_the_same_bed_as_someone_who_has/")</f>
        <v/>
      </c>
      <c r="G4082" t="inlineStr">
        <is>
          <t>2019-08-12 22:11:19</t>
        </is>
      </c>
      <c r="H4082" t="inlineStr"/>
    </row>
    <row r="4083">
      <c r="A4083" t="inlineStr">
        <is>
          <t>cpotqa</t>
        </is>
      </c>
      <c r="B4083" t="inlineStr">
        <is>
          <t>Can skin cancer develop easily?</t>
        </is>
      </c>
      <c r="C4083" t="inlineStr">
        <is>
          <t>I’ve recently gone outside for a vacation consistently for 2 and a half weeks in Hawaii. I have pretty fair skin and I have this scabby thing that popped up 3 days ago randomly. My question is, can skin cancer develop easily from going outside a lot in the sun for simply 2 weeks?</t>
        </is>
      </c>
      <c r="D4083" t="n">
        <v>0</v>
      </c>
      <c r="E4083" t="n">
        <v>2</v>
      </c>
      <c r="F4083">
        <f>HYPERLINK("https://www.reddit.com/r/cancer/comments/cpotqa/can_skin_cancer_develop_easily/")</f>
        <v/>
      </c>
      <c r="G4083" t="inlineStr">
        <is>
          <t>2019-08-12 22:48:10</t>
        </is>
      </c>
      <c r="H4083" t="inlineStr"/>
    </row>
    <row r="4084">
      <c r="A4084" t="inlineStr">
        <is>
          <t>cps6kx</t>
        </is>
      </c>
      <c r="B4084" t="inlineStr">
        <is>
          <t>Immunotherapy costs for lung cancer</t>
        </is>
      </c>
      <c r="C4084" t="inlineStr">
        <is>
          <t>Hello everyone,
I’ve recently been diagnosed with lung cancer (I’m awaiting staging of the disease). My local oncologist talked to me about possibly having chemo, radiotherapy, and I’m waiting for biomarker results to figure out if some drugs are a good alternative for me.
I’ve been reading that immunotherapy is currently the best treatment possibly and I wish to go that route, but I’m afraid of the costs associated.
What kind of costs do you have on this treatment and does Medicare help pay for it? Also what are the best facilities to seek treatment either in the US or in Europe.
For reference, I live in Portugal (a country famous for its low wages), but I do have American citizenship so traveling to the US could be an option.</t>
        </is>
      </c>
      <c r="D4084" t="n">
        <v>6</v>
      </c>
      <c r="E4084" t="n">
        <v>20</v>
      </c>
      <c r="F4084">
        <f>HYPERLINK("https://www.reddit.com/r/cancer/comments/cps6kx/immunotherapy_costs_for_lung_cancer/")</f>
        <v/>
      </c>
      <c r="G4084" t="inlineStr">
        <is>
          <t>2019-08-13 05:04:37</t>
        </is>
      </c>
      <c r="H4084" t="inlineStr"/>
    </row>
    <row r="4085">
      <c r="A4085" t="inlineStr">
        <is>
          <t>cptcxz</t>
        </is>
      </c>
      <c r="B4085" t="inlineStr">
        <is>
          <t>Short venting session - 2yo son diagnosed with Leukemia, 3yo dog diagnosed with cancer yesterday</t>
        </is>
      </c>
      <c r="C4085" t="inlineStr">
        <is>
          <t>Hi all, 
This may not  be the right sub for this, but I am so fucking sick of cancer. My two year old son was diagnosed with Leukemia last November and yesterday our three year old dog was diagnosed with Sebaceous Adenocarcinoma. Our pup had what they thought was an infected sebaceous cyst so they had to surgically remove it. They biopsied the mass "just to be safe" and it resulted in being malignant. There is a slight chance they got the entire mass during the initial surgery, but I'm not optimistic because I haven't had anything good happen to me in the last 10 months so why would it start now? The vet left that mass on there for a year thinking it was a "horn" (a build up of excess keratin resulting in a benign mass). So it probably spread. I'm so frustrated for not pushing harder to get it biopsied last year. I trusted the vet. 
&amp;amp;#x200B;
I feel like I could not be anymore stressed if I tried. I feel like I have a permanent migraine and I need to throw up. I'm not sure how we are going to deal with this logistically or financially.   
&amp;amp;#x200B;
I know should consider myself lucky that my son's prognosis is good, and I do, but damn. I need to catch a fucking break here before I lose my mind.  
&amp;amp;#x200B;
Fuck cancer...</t>
        </is>
      </c>
      <c r="D4085" t="n">
        <v>45</v>
      </c>
      <c r="E4085" t="n">
        <v>12</v>
      </c>
      <c r="F4085">
        <f>HYPERLINK("https://www.reddit.com/r/cancer/comments/cptcxz/short_venting_session_2yo_son_diagnosed_with/")</f>
        <v/>
      </c>
      <c r="G4085" t="inlineStr">
        <is>
          <t>2019-08-13 06:45:43</t>
        </is>
      </c>
      <c r="H4085" t="inlineStr"/>
    </row>
    <row r="4086">
      <c r="A4086" t="inlineStr">
        <is>
          <t>cpv7ic</t>
        </is>
      </c>
      <c r="B4086" t="inlineStr">
        <is>
          <t>Air travel advice</t>
        </is>
      </c>
      <c r="C4086" t="inlineStr">
        <is>
          <t>My husband and I are traveling to LA, and are looking for some travel advice. 
He’s got osteosarcoma and it’s in a lot of areas in his body, lungs included. 
He’s had spots in his lungs for years and we’ve traveled by air since his diagnosis back in 2013.
We mentioned to his doctor we’re flying to LA and he didn’t say anything other than stay out of the hospitals (jokingly) but I’m just not sure what to expect. 
We’re there for 5 days. Any advice about being traveling to LA with cancer is helpful. 
Thanks!</t>
        </is>
      </c>
      <c r="D4086" t="n">
        <v>4</v>
      </c>
      <c r="E4086" t="n">
        <v>5</v>
      </c>
      <c r="F4086">
        <f>HYPERLINK("https://www.reddit.com/r/cancer/comments/cpv7ic/air_travel_advice/")</f>
        <v/>
      </c>
      <c r="G4086" t="inlineStr">
        <is>
          <t>2019-08-13 09:06:01</t>
        </is>
      </c>
      <c r="H4086" t="inlineStr"/>
    </row>
    <row r="4087">
      <c r="A4087" t="inlineStr">
        <is>
          <t>cpvbpd</t>
        </is>
      </c>
      <c r="B4087" t="inlineStr">
        <is>
          <t>I wish I could refuse to do this</t>
        </is>
      </c>
      <c r="C4087" t="inlineStr">
        <is>
          <t>About to leave for another needle biopsy of my 'warning node' that has grown a little in the last few months. I really wish I could just not. The anxiety of being jabbed repeatedly to get the sample, and the anxiety of what the results might be has me physically shaking. Please let this be quick, as painless as possible this time, and negative.</t>
        </is>
      </c>
      <c r="D4087" t="n">
        <v>12</v>
      </c>
      <c r="E4087" t="n">
        <v>7</v>
      </c>
      <c r="F4087">
        <f>HYPERLINK("https://www.reddit.com/r/cancer/comments/cpvbpd/i_wish_i_could_refuse_to_do_this/")</f>
        <v/>
      </c>
      <c r="G4087" t="inlineStr">
        <is>
          <t>2019-08-13 09:13:59</t>
        </is>
      </c>
      <c r="H4087" t="inlineStr"/>
    </row>
    <row r="4088">
      <c r="A4088" t="inlineStr">
        <is>
          <t>cpw0yh</t>
        </is>
      </c>
      <c r="B4088" t="inlineStr">
        <is>
          <t>Parents diagnosed with advanced digestive cancers less than two months apart. Suggestions on how to help?</t>
        </is>
      </c>
      <c r="C4088" t="inlineStr">
        <is>
          <t>In March my mother was suddenly suffering back pain, itching all over, and her skin was yellowing. It took three months and a roux-en y biliary bypass to get a definitive diagnosis of adenocarcinoma originating in the gallbladder. She's been healthy her entire life, literally only saw doctors in relation to her pregnancies -- and her youngest is 35. Three weeks after her surgery, my father took a fall and started being unable to swallow solid food. An endoscopy procedure discovered a giant mass in the lower third of his esophagus, and biopsy confirmed adenocarcinoma originating in the esophagus. A subsequent PET scan confirmed he is at Stage IVA, the tumor is inoperable and the cancer is present in more than 7 lymphnodes. His diagnosis came four days after my mother started chemotherapy (flofox). Last Thursday, he started targeted radiation and was adamant that he was not getting a feeding tube.  The radiation has caused him to completely lose his appetite (he can still ingest liquids and pureed foods), and he went all of Friday and Saturday without water or food. He flatly refused, saying he wasn't hungry. The chemo doctor gave him a strict talking to yesterday about the need to get nutrition and stay healthy or he won't be able to start chemo on the 26th, but again is refusing to eat and saying he's just not hungry. He's been given IV fluid appointments 3x a week to see if that helps him feel better/hungrier. 
It's a lot. My mother is unable to be the doting caretaker that she has always been for my father's various health issues (high cholesterol, diabetes, heart attack, open heart surgery (2x)) and it feels as if everyone has forgotten she is also fighting for her life because my father's cancer is so much more advanced and he's being, honestly, a nightmare of a patient. To top it all off, we just learned neither of my parents have a will. My father basically just presumed he would die first and my mom would get everything and then she could handle it. 
Where do I even start to help them? Has anyone had to navigate two family members in the same household undergoing cancer treatment at the same time? Any suggestions on how to help my mother feel like we are still supporting her, even though my father is the one screaming the loudest?</t>
        </is>
      </c>
      <c r="D4088" t="n">
        <v>6</v>
      </c>
      <c r="E4088" t="n">
        <v>3</v>
      </c>
      <c r="F4088">
        <f>HYPERLINK("https://www.reddit.com/r/cancer/comments/cpw0yh/parents_diagnosed_with_advanced_digestive_cancers/")</f>
        <v/>
      </c>
      <c r="G4088" t="inlineStr">
        <is>
          <t>2019-08-13 10:04:17</t>
        </is>
      </c>
      <c r="H4088" t="inlineStr"/>
    </row>
    <row r="4089">
      <c r="A4089" t="inlineStr">
        <is>
          <t>cpwhzu</t>
        </is>
      </c>
      <c r="B4089" t="inlineStr">
        <is>
          <t>Today is my 16 year anniversary of being diagnosed with stage IIIb, triple neg breast cancer. I'M STILL HERE, MOTHERFUCKER.</t>
        </is>
      </c>
      <c r="C4089" t="inlineStr">
        <is>
          <t>Shit did NOT look good back then. For a while, every damn test came back with just the worst results. I was only 34 and it was fucking aggressive. I made my peace with going out and sat back for the ride.
Well, here I am. 
Have thought about it pretty much every damn day ever since but am pretty good with appreciating the second chance I've been given. 
Honestly, I expected it come back long ago. I finally started contributing to a retirement plan this year, lol, at the ripe old age of 50.</t>
        </is>
      </c>
      <c r="D4089" t="n">
        <v>220</v>
      </c>
      <c r="E4089" t="n">
        <v>46</v>
      </c>
      <c r="F4089">
        <f>HYPERLINK("https://www.reddit.com/r/cancer/comments/cpwhzu/today_is_my_16_year_anniversary_of_being/")</f>
        <v/>
      </c>
      <c r="G4089" t="inlineStr">
        <is>
          <t>2019-08-13 10:37:32</t>
        </is>
      </c>
      <c r="H4089" t="inlineStr"/>
    </row>
    <row r="4090">
      <c r="A4090" t="inlineStr">
        <is>
          <t>cpx28s</t>
        </is>
      </c>
      <c r="B4090" t="inlineStr">
        <is>
          <t>Cancer really forces you to grow as a person.</t>
        </is>
      </c>
      <c r="C4090" t="inlineStr">
        <is>
          <t>Hi, I’m (21M) and i was diagnosed 2 months ago with cancer... just a little thing that i want to share with others. I realize that, for someone my age, cancer is something that forced me to grow really fast. As i watched my friend go on with their life while mine suddenly stopped, i wonder if i ever could be normal again and the answer is no. 
I never wanted to go to the hospital, do surgeries, let someone see me vulnerable, being taken care of or any of all the challenges that i win or will win. 
I never wanted to stop working, stop having a blast living, stop working out or working on myself everyday. 
I didn’t choose any of this and because i joined this club i also gained wisdom. Life is precious and you’re far from invincible. Most of young people think that they’ll never die and most of old people are telling them that they should be careful because they will eventually die or grow old. 
Cancer will forces you to grow way faster, not only because of chemo side effects, but in your head too.</t>
        </is>
      </c>
      <c r="D4090" t="n">
        <v>15</v>
      </c>
      <c r="E4090" t="n">
        <v>6</v>
      </c>
      <c r="F4090">
        <f>HYPERLINK("https://www.reddit.com/r/cancer/comments/cpx28s/cancer_really_forces_you_to_grow_as_a_person/")</f>
        <v/>
      </c>
      <c r="G4090" t="inlineStr">
        <is>
          <t>2019-08-13 11:17:10</t>
        </is>
      </c>
      <c r="H4090" t="inlineStr"/>
    </row>
    <row r="4091">
      <c r="A4091" t="inlineStr">
        <is>
          <t>cpx7xh</t>
        </is>
      </c>
      <c r="B4091" t="inlineStr">
        <is>
          <t>Leftover Cancer Medication</t>
        </is>
      </c>
      <c r="C4091" t="inlineStr">
        <is>
          <t>Any experiences with leftover cancer medicine from a deceased family member? We have an unopened box of immunotherapy drugs that cost tens of thousands of dollars. The box still has the tamper seal. Is there a legal way to give this to a person or organization that can use them?</t>
        </is>
      </c>
      <c r="D4091" t="n">
        <v>3</v>
      </c>
      <c r="E4091" t="n">
        <v>6</v>
      </c>
      <c r="F4091">
        <f>HYPERLINK("https://www.reddit.com/r/cancer/comments/cpx7xh/leftover_cancer_medication/")</f>
        <v/>
      </c>
      <c r="G4091" t="inlineStr">
        <is>
          <t>2019-08-13 11:28:39</t>
        </is>
      </c>
      <c r="H4091" t="inlineStr"/>
    </row>
    <row r="4092">
      <c r="A4092" t="inlineStr">
        <is>
          <t>cpxwjj</t>
        </is>
      </c>
      <c r="B4092" t="inlineStr">
        <is>
          <t>Is it okay to ask about people's experiences with a specific chemo drug?</t>
        </is>
      </c>
      <c r="C4092" t="inlineStr">
        <is>
          <t>I'm not cancerous, but my father is. I'm 39, he's 70. The cancer (myelodysplastic syndrome) was only discovered due to other complicating factors. The doctors tell us this is how it usually happens. He is not eligible for a bone marrow transplant due to other health issues. The doctors have him on  Azacitidine.  He's gone through nearly two months of treatment but we're told we won't know if it works until at least 4 months in. His condition is chronic, and we've heard estimates from 6 months to 6 years life expectancy. Has anyone out there had any experience with this chemo regimen? I guess it's a relatively new treatment and I just was hoping to hear others' stories and figure out what to expect.</t>
        </is>
      </c>
      <c r="D4092" t="n">
        <v>2</v>
      </c>
      <c r="E4092" t="n">
        <v>2</v>
      </c>
      <c r="F4092">
        <f>HYPERLINK("https://www.reddit.com/r/cancer/comments/cpxwjj/is_it_okay_to_ask_about_peoples_experiences_with/")</f>
        <v/>
      </c>
      <c r="G4092" t="inlineStr">
        <is>
          <t>2019-08-13 12:17:52</t>
        </is>
      </c>
      <c r="H4092" t="inlineStr"/>
    </row>
    <row r="4093">
      <c r="A4093" t="inlineStr">
        <is>
          <t>cpyf1k</t>
        </is>
      </c>
      <c r="B4093" t="inlineStr">
        <is>
          <t>Father just diagnosed with brain tumor, possibly elsewhere as well.</t>
        </is>
      </c>
      <c r="C4093" t="inlineStr">
        <is>
          <t>Hi, everyone. First time poster here. My father (78M, retired Physician) for the past few days had a bad cold. He was complaining about unable to move on side of his body. My mother called 911 and they thought stroke. Imaging showed he has a tumor (Where I was not told specifically in the brain) and now they are going to do imaging to see if he has any elsewhere. I'm mostly just....posting this for some support and to vent. I hope that's okay. I'm just really afraid. I'm on the young side (33M) of having a father his age and I've always worried about this happening "too soon" in my life. We just lost a good friend a year ago to a rare form of throat cancer in a matter of weeks and almost lost my aunt to AML the year before. So this is a really raw nerve.
I am mostly very sad and in tears all day and angry and I can't help but think "I don't own anything to wear to a funeral."
Anyway. Thank you for listening.</t>
        </is>
      </c>
      <c r="D4093" t="n">
        <v>3</v>
      </c>
      <c r="E4093" t="n">
        <v>0</v>
      </c>
      <c r="F4093">
        <f>HYPERLINK("https://www.reddit.com/r/cancer/comments/cpyf1k/father_just_diagnosed_with_brain_tumor_possibly/")</f>
        <v/>
      </c>
      <c r="G4093" t="inlineStr">
        <is>
          <t>2019-08-13 12:53:59</t>
        </is>
      </c>
      <c r="H4093" t="inlineStr"/>
    </row>
    <row r="4094">
      <c r="A4094" t="inlineStr">
        <is>
          <t>cpyt11</t>
        </is>
      </c>
      <c r="B4094" t="inlineStr">
        <is>
          <t>My [24M] Dad [63] has Stage 4 Prostate Cancer...</t>
        </is>
      </c>
      <c r="C4094" t="inlineStr">
        <is>
          <t>So, my Dad has stage 4 prostate cancer; we just had it confirmed today. It's a bit of a weird experience, going from barely acknowledging cancer to it immediately affecting your life, more so if it is affecting someone you deeply love. I'm worried, because I know my Dad won't survive past 70 (and even then that would be a miracle). 
My family and I are at this point a bit numb to the situation. We went from 'Oh, it might be just an enlarged prostate', to 'Oh, maybe it's just localized in the prostate/bladder' to 'Oh, maybe it hasn't gotten to the lymph nodes', to 'It has spread to his lower spine, regional lymph nodes, and his ribs'... 
The only 'good news' my family received lately was that it went from 'It's an aggressive stage 4 bladder cancer' to 'It's an aggressive stage 4 prostate cancer'... It's draining everyone, as we're just hoping for some/*any* good news to make everyone hopeful for the future...
My younger brothers are avoiding the house as much as they can, leaving me consoling my Dad alone. It's helped him mentally immensely, but my Mom is falling apart; I've essentially become the crutch this family needs to get through this traumatizing time. I can continue doing what I'm doing to emotionally support my parents, more so my Dad, but I don't know how to keep a positive mindset in the household and prevent everyone from falling into a deep despair.
My Dad can hear the clock ticking, and is finding everything pointless. We're waiting on lung scans, which we're preparing for the worst if it has spread to his ribs, and tomorrow are bone scans to assess how bad it is in his pelvis, lower spine, and ribs. I'm telling myself that there is a chance that we may have caught it at the 'earliest stage' of it being stage 4, but I'm also losing hope and it's really crushing me. 
My Dad is facing his mortality at such a young age, and it's scaring me as I don't know how to help him. Therapy is on the table, but I need to figure out how I can make him, and my Mom, hopeful about the future. I've done some reading, and from what I've heard is that men typically die 'with cancer' as opposed to 'of cancer', and I'm not sure if my Dad will fall under this category of people, despite him being only 63. My Dad is a doctor; he knows quite well the affects of cancer when treatment fails - this terrifies him beyond anything I've seen.
I don't know what to do.</t>
        </is>
      </c>
      <c r="D4094" t="n">
        <v>1</v>
      </c>
      <c r="E4094" t="n">
        <v>0</v>
      </c>
      <c r="F4094">
        <f>HYPERLINK("https://www.reddit.com/r/cancer/comments/cpyt11/my_24m_dad_63_has_stage_4_prostate_cancer/")</f>
        <v/>
      </c>
      <c r="G4094" t="inlineStr">
        <is>
          <t>2019-08-13 13:21:13</t>
        </is>
      </c>
      <c r="H4094" t="inlineStr"/>
    </row>
    <row r="4095">
      <c r="A4095" t="inlineStr">
        <is>
          <t>cpzght</t>
        </is>
      </c>
      <c r="B4095" t="inlineStr">
        <is>
          <t>Does blood test reveal brain tumor?</t>
        </is>
      </c>
      <c r="C4095" t="inlineStr">
        <is>
          <t>Title</t>
        </is>
      </c>
      <c r="D4095" t="n">
        <v>3</v>
      </c>
      <c r="E4095" t="n">
        <v>2</v>
      </c>
      <c r="F4095">
        <f>HYPERLINK("https://www.reddit.com/r/cancer/comments/cpzght/does_blood_test_reveal_brain_tumor/")</f>
        <v/>
      </c>
      <c r="G4095" t="inlineStr">
        <is>
          <t>2019-08-13 14:08:06</t>
        </is>
      </c>
      <c r="H4095" t="inlineStr"/>
    </row>
    <row r="4096">
      <c r="A4096" t="inlineStr">
        <is>
          <t>cpznt4</t>
        </is>
      </c>
      <c r="B4096" t="inlineStr">
        <is>
          <t>Hopefully last bone marrow biopsy done, nervous.</t>
        </is>
      </c>
      <c r="C4096" t="inlineStr">
        <is>
          <t>I've been fighting this cancer since Dec 4th 2018 and ever since this battle has been taking the toll on myself.
Ever since may, I have been finally feeling better, minus some bone pain once and a while. For once my fears of it coming back were gone.
Now they come back up after today's Bone Marrow Biopsy, my 5th one to be exact.
I feel cancer is stalking me again and hope this is just nerves. I needed to vent this here.</t>
        </is>
      </c>
      <c r="D4096" t="n">
        <v>3</v>
      </c>
      <c r="E4096" t="n">
        <v>0</v>
      </c>
      <c r="F4096">
        <f>HYPERLINK("https://www.reddit.com/r/cancer/comments/cpznt4/hopefully_last_bone_marrow_biopsy_done_nervous/")</f>
        <v/>
      </c>
      <c r="G4096" t="inlineStr">
        <is>
          <t>2019-08-13 14:22:59</t>
        </is>
      </c>
      <c r="H4096" t="inlineStr"/>
    </row>
    <row r="4097">
      <c r="A4097" t="inlineStr">
        <is>
          <t>cpzy99</t>
        </is>
      </c>
      <c r="B4097" t="inlineStr">
        <is>
          <t>My father's cancer med is going to cost $888</t>
        </is>
      </c>
      <c r="C4097" t="inlineStr">
        <is>
          <t>The $888 is a price discount from the manufacturer.  Is there anyway to buy Gleevec or the generic Imatinib Mesylate legally from another country.  Without the discount it will cost him circa $15,000 a month. It is a tier 5 Medicare med so it only pays 33% of the medicine.</t>
        </is>
      </c>
      <c r="D4097" t="n">
        <v>2</v>
      </c>
      <c r="E4097" t="n">
        <v>4</v>
      </c>
      <c r="F4097">
        <f>HYPERLINK("https://www.reddit.com/r/cancer/comments/cpzy99/my_fathers_cancer_med_is_going_to_cost_888/")</f>
        <v/>
      </c>
      <c r="G4097" t="inlineStr">
        <is>
          <t>2019-08-13 14:44:07</t>
        </is>
      </c>
      <c r="H4097" t="inlineStr"/>
    </row>
    <row r="4098">
      <c r="A4098" t="inlineStr">
        <is>
          <t>cpzz11</t>
        </is>
      </c>
      <c r="B4098" t="inlineStr">
        <is>
          <t>I'm looking for information from folks who have had urine bags put in (the permanent kind)</t>
        </is>
      </c>
      <c r="C4098" t="inlineStr">
        <is>
          <t>My stepmom was recently diagnosed with bladder cancer and she has decided to not do chemo.  Because her cancer is 100% confined to her bladder, they have the option of taking it out, along with other lady parts, and then she would have to have a bag. 
The complication is that she is blind, and has been since she was in her late teens.  She's going on 70 now.  She is terrified about what the bag means she won't be able to do, caring for it, buying supplies, and all that.  
If you happen to have information or know of a subreddit where I might find info about this, I would super appreciate it.  Thanks for listening.</t>
        </is>
      </c>
      <c r="D4098" t="n">
        <v>2</v>
      </c>
      <c r="E4098" t="n">
        <v>1</v>
      </c>
      <c r="F4098">
        <f>HYPERLINK("https://www.reddit.com/r/cancer/comments/cpzz11/im_looking_for_information_from_folks_who_have/")</f>
        <v/>
      </c>
      <c r="G4098" t="inlineStr">
        <is>
          <t>2019-08-13 14:45:47</t>
        </is>
      </c>
      <c r="H4098" t="inlineStr"/>
    </row>
    <row r="4099">
      <c r="A4099" t="inlineStr">
        <is>
          <t>cq01lr</t>
        </is>
      </c>
      <c r="B4099" t="inlineStr">
        <is>
          <t>Just diagnosed with Colon Cancer (Male, 37) in the transverse colon. How long before surgery, is too long?</t>
        </is>
      </c>
      <c r="C4099" t="inlineStr">
        <is>
          <t>I had a colonoscopy done last week for some blood in the stool and anemia. They found a mass (2.8 cm x 2.3 cm) which had pus and blood. The biopsy came back with - INVASIVE MODERATELY DIFFERENTIATED ADENOCARCINOMA.
This was followed by a CT scan of the torso, in which they mentioned - "no definite evidence of metastatic disease".
They don't have any staging information yet. But because my mom had - (1) Uterine cancer (Age: 43) and (2) Colon Cancer: Age: 62 &amp;amp; 63. They want me to undergo DNA testing for Lynch Syndrome.
The surgeon mentioned, the test will take 2 weeks and they will take another 2 weeks to schedule a resection of the colon. I'm with Kaiser in California and I am not sure, if the 4-5 week of wait from Diagnosis to surgery is optimal.
Has anyone else waited 4+ weeks after diagnosis to have their surgery scheduled? Does the wait mean the disease has a chance to spread?
&amp;amp;#x200B;
This is the first time, I've been diagnosed with any disease. Non-smoker, drinker and mostly avoid red meat. So very surprised and disheartened to learn about this.</t>
        </is>
      </c>
      <c r="D4099" t="n">
        <v>3</v>
      </c>
      <c r="E4099" t="n">
        <v>10</v>
      </c>
      <c r="F4099">
        <f>HYPERLINK("https://www.reddit.com/r/cancer/comments/cq01lr/just_diagnosed_with_colon_cancer_male_37_in_the/")</f>
        <v/>
      </c>
      <c r="G4099" t="inlineStr">
        <is>
          <t>2019-08-13 14:50:57</t>
        </is>
      </c>
      <c r="H4099" t="inlineStr"/>
    </row>
    <row r="4100">
      <c r="A4100" t="inlineStr">
        <is>
          <t>cq0cg1</t>
        </is>
      </c>
      <c r="B4100" t="inlineStr">
        <is>
          <t>Good Fake Eyelashes in the US?</t>
        </is>
      </c>
      <c r="C4100" t="inlineStr">
        <is>
          <t>My mom had breast cancer a couple years ago and is doing well now. (YAY!) Except...none of her hair ever came back. This has been very devastating for her as a former beauty queen who loves getting cute and fancy. She's invested in good wigs and diligently draws on her eyebrows and applies false eyelashes every day. Problem is, her eyelashes never stay put. They're always falling off within a few hours. 
I saw the C-lash by Eylure that was designed by a cancer survivor and got REALLY excited! Bad news is, I'm in the US and it looks like you can only buy them in the UK. :(
I've looked up a few other brands to try and find something for her, but I am not 100% sold on these being REALLY GOOD eyelashes. I want to surprise her with some quality eyelashes for her birthday. So I'm appealing to you, hoping you can maybe tell me from experience which eyelashes my 60 year old mama will really love that I can buy in the USA. Price really isn't much of an object, I want to spoil my mama.</t>
        </is>
      </c>
      <c r="D4100" t="n">
        <v>5</v>
      </c>
      <c r="E4100" t="n">
        <v>2</v>
      </c>
      <c r="F4100">
        <f>HYPERLINK("https://www.reddit.com/r/cancer/comments/cq0cg1/good_fake_eyelashes_in_the_us/")</f>
        <v/>
      </c>
      <c r="G4100" t="inlineStr">
        <is>
          <t>2019-08-13 15:13:28</t>
        </is>
      </c>
      <c r="H4100" t="inlineStr"/>
    </row>
    <row r="4101">
      <c r="A4101" t="inlineStr">
        <is>
          <t>cq0twn</t>
        </is>
      </c>
      <c r="B4101" t="inlineStr">
        <is>
          <t>Prayers</t>
        </is>
      </c>
      <c r="C4101" t="inlineStr">
        <is>
          <t>23 year old female here, i have my very first scan tomorrow and i am so incredibly scared i could use warm thoughts, thank you</t>
        </is>
      </c>
      <c r="D4101" t="n">
        <v>14</v>
      </c>
      <c r="E4101" t="n">
        <v>5</v>
      </c>
      <c r="F4101">
        <f>HYPERLINK("https://www.reddit.com/r/cancer/comments/cq0twn/prayers/")</f>
        <v/>
      </c>
      <c r="G4101" t="inlineStr">
        <is>
          <t>2019-08-13 15:50:35</t>
        </is>
      </c>
      <c r="H4101" t="inlineStr"/>
    </row>
    <row r="4102">
      <c r="A4102" t="inlineStr">
        <is>
          <t>cq24s4</t>
        </is>
      </c>
      <c r="B4102" t="inlineStr">
        <is>
          <t>(23m) I just got diagnosed with Liposarcoma in my lower spine. Not sure how to begin processing any of this</t>
        </is>
      </c>
      <c r="C4102" t="inlineStr">
        <is>
          <t>As the title says, I just got diagnosed with Liposarcoma. The growth is in my spine (around the S1 nerve) and has entered the bone. 
I haven’t gotten an official treatment plan yet. My CT scan is tomorrow, to figure out if it has spread to any other areas. Without getting to grim, what can I expect for the next few months of my life? 
I just graduated college and was supposed to start work in a month, but that’s obviously on hold now. What the hell is gonna happen to me? Can this be beaten?</t>
        </is>
      </c>
      <c r="D4102" t="n">
        <v>4</v>
      </c>
      <c r="E4102" t="n">
        <v>4</v>
      </c>
      <c r="F4102">
        <f>HYPERLINK("https://www.reddit.com/r/cancer/comments/cq24s4/23m_i_just_got_diagnosed_with_liposarcoma_in_my/")</f>
        <v/>
      </c>
      <c r="G4102" t="inlineStr">
        <is>
          <t>2019-08-13 17:37:45</t>
        </is>
      </c>
      <c r="H4102" t="inlineStr"/>
    </row>
    <row r="4103">
      <c r="A4103" t="inlineStr">
        <is>
          <t>cq2ew7</t>
        </is>
      </c>
      <c r="B4103" t="inlineStr">
        <is>
          <t>Any doctors on here?</t>
        </is>
      </c>
      <c r="C4103" t="inlineStr">
        <is>
          <t>Been thinking a lot about cancer lately and the different stages. Especially stage 4. 
My first question is why (correct if i'm wrong) doctors focus more on treating cancer rather than replacing the persons organs. Plenty of folks die in car accidents with healthy organs. 
This brings me to my next question. 
For some reason lets say that there is a shortage of human organs.
Is there anything preventing doctors from taking the brain of a human and putting it in an android?  (aside from brain cancer of course) 
I would hate to see people die just because some doctor doesn't think its moral.
They would never have cancer again and their body would be repairable!</t>
        </is>
      </c>
      <c r="D4103" t="n">
        <v>0</v>
      </c>
      <c r="E4103" t="n">
        <v>1</v>
      </c>
      <c r="F4103">
        <f>HYPERLINK("https://www.reddit.com/r/cancer/comments/cq2ew7/any_doctors_on_here/")</f>
        <v/>
      </c>
      <c r="G4103" t="inlineStr">
        <is>
          <t>2019-08-13 18:02:07</t>
        </is>
      </c>
      <c r="H4103" t="inlineStr"/>
    </row>
    <row r="4104">
      <c r="A4104" t="inlineStr">
        <is>
          <t>cq2fr4</t>
        </is>
      </c>
      <c r="B4104" t="inlineStr">
        <is>
          <t>First day of chemo done!</t>
        </is>
      </c>
      <c r="C4104" t="inlineStr">
        <is>
          <t>I started radiation last week and have had 4 treatments so far. It should be at least another week before I get to the side effects. How have y’all fared throughout radiation? I’m 32, and would LOVE to hear from people who had head/neck cancer when they were classified as a “young adult”! 
Also, I think I can handle this chemo thing. An hour after I was finished with the treatment I got super nauseated and couldn’t stop vomiting for almost an hour. They wouldn’t do radiation because it would have put me at risk of aspirating on vomit. I’m glad they didn’t let that happen. 
Back to radiation tomorrow and I have a week to recover from the Cisplatin before I have my next chemo appointment :-) The treatment itself wasn’t a bad experience, my nurses are awesome and it’s a very peaceful place. Had some guy not brought his kids to work with him today, I would have been the youngest person in a room full of people, which hasn’t happened since I was a baby. I am really grateful to have been diagnosed so young. Though I am not happy to have the disease, it’s unlikely that I will ever have to deal with this again and my doctors are all really happy with how quickly I have been progressing in my healing process. 
Thanks for listening!</t>
        </is>
      </c>
      <c r="D4104" t="n">
        <v>14</v>
      </c>
      <c r="E4104" t="n">
        <v>9</v>
      </c>
      <c r="F4104">
        <f>HYPERLINK("https://www.reddit.com/r/cancer/comments/cq2fr4/first_day_of_chemo_done/")</f>
        <v/>
      </c>
      <c r="G4104" t="inlineStr">
        <is>
          <t>2019-08-13 18:03:53</t>
        </is>
      </c>
      <c r="H4104" t="inlineStr"/>
    </row>
    <row r="4105">
      <c r="A4105" t="inlineStr">
        <is>
          <t>cq2vtn</t>
        </is>
      </c>
      <c r="B4105" t="inlineStr">
        <is>
          <t>Howdy</t>
        </is>
      </c>
      <c r="C4105" t="inlineStr">
        <is>
          <t>Hi y’all, I’m a 25(m). My father and mother were both diagnosed with the same type of esophageal cancer, my mothers was in 16’ she had been a smoker and alcoholic all her life, and her treatment went fantastic at UTSW. Enough so that her surgeon wanted to display her case and have her come up to Denver with the robot that did the surgery for a talk/convention.
My father has pretty much been a saint since he left the fraternity house, but ended up getting diagnosed with the same cancer about 6 months after my mom’s recovery, and it’s been a lot more aggressive. 
I’ve been living at home since they got diagnosed and about two weeks ago my mom broke down and told my brother(who lives downtown) and I that it was definitely terminal, but we were hoping for another 2-12 months with him. Sadly it’s starting to look a lot like 2 more weeks if anything, his draining is bad, he’s leaking, he can barely walk or talk, can’t stay awake etc and obviously in pain. He’s been through a couple of rounds of chemo and radiation, but sadly surgery wasn’t an option and the cancer got incredibly aggressive and mutated rapidly since the diagnoses, but has been much more aggressive in the last 4-5 weeks. 
Came here to pretty much ask what the fuck I can do to make his life better since he’s not good at accepting help, and what should I expect in the couple of days before the end? I’ve seen disgusting and painful with my mom and with my dads stays in the hospital, but this is a different level. 
Should I ask my brother to spend a week or two here with me? Its been a bit of a shit show. I don’t know if that would make my father feel worse or better.He finally told the rest of his family what was happening today and they’re all flying down tomorrow, and I don’t think he wants them to see him like this but that’s how it goes. 
Honestly just kind of lost</t>
        </is>
      </c>
      <c r="D4105" t="n">
        <v>1</v>
      </c>
      <c r="E4105" t="n">
        <v>0</v>
      </c>
      <c r="F4105">
        <f>HYPERLINK("https://www.reddit.com/r/cancer/comments/cq2vtn/howdy/")</f>
        <v/>
      </c>
      <c r="G4105" t="inlineStr">
        <is>
          <t>2019-08-13 18:42:40</t>
        </is>
      </c>
      <c r="H4105" t="inlineStr"/>
    </row>
    <row r="4106">
      <c r="A4106" t="inlineStr">
        <is>
          <t>cq3zdx</t>
        </is>
      </c>
      <c r="B4106" t="inlineStr">
        <is>
          <t>Taking Control in the final days</t>
        </is>
      </c>
      <c r="C4106" t="inlineStr">
        <is>
          <t>I posted up a few weeks ago about my father in law and him being given around 2 or 3 weeks left to live. Two days ago we were given the news that he has a perforation in his colon, and will Eb coming home today. Once he is home he will not last long. As we reach the end of the journey he will be at home, surrounded by those he loves and in his comfortable space. I decided to share something I did for him a couple of weeks ago, a transformation of his radiation therapy mask which can be seen here:
https://flic.kr/s/aHsmG7CHgb
The album shows the process of transforming my father in law's radiation therapy mask into an art piece to make a statement about his cancer journey, showing both the light and love, and the dark and fear of the process.
My father in law was diagnosed with a squamous cell carcinoma last year and has been battling ever since. His cancer has been aggressive and spread quickly and without expectations. One of his treatments was to go through radiaton therapy on his neck, which they made this mask for him which undergoing the treatment. While a lot of people throw their masks away, he wanted to claim back some control and requested of me to transform it into an art installation. The idea was to have words of love and happiness on the outside representing his family, and the fear and pain on the inside, both aspects of his journey that are all too real. Some may find it confronting, but it was a very brave act of him to decide to control his situation and turn it into something beautiful and positive, which is the same attitude he has carried with him during his entire cancer journey. No more respect and admiration can be given for his level of bravery and spirit during this tough time.
The intent for this piece is to have it mounted on a frame, and be hung on the wall on a hinge, so you can see the darker side when it swings open.
I am happy to answer any and all questions about the process, if any one is interested in doing the same.</t>
        </is>
      </c>
      <c r="D4106" t="n">
        <v>30</v>
      </c>
      <c r="E4106" t="n">
        <v>11</v>
      </c>
      <c r="F4106">
        <f>HYPERLINK("https://www.reddit.com/r/cancer/comments/cq3zdx/taking_control_in_the_final_days/")</f>
        <v/>
      </c>
      <c r="G4106" t="inlineStr">
        <is>
          <t>2019-08-13 20:20:00</t>
        </is>
      </c>
      <c r="H4106" t="inlineStr"/>
    </row>
    <row r="4107">
      <c r="A4107" t="inlineStr">
        <is>
          <t>cq58y2</t>
        </is>
      </c>
      <c r="B4107" t="inlineStr">
        <is>
          <t>Dad has untreatable cancer, has 1 year max to live, should we suggest stopping chemo?</t>
        </is>
      </c>
      <c r="C4107" t="inlineStr">
        <is>
          <t>Found out 3 weeks ago that Dad has liver cancer that has metastasized to his lungs and bone, has been taking nexavar and oxycoton he has swelling and fluid retention as well as chronic pain and constipation, he’s been to the ER multiple times in the past week, my siblings and I are looking into it and think that if stopping chemo can ease the rest of his life, we think he might prefer that and bring it up as a suggestion to him.
Side question if we were to stop chemo, would it shorten his life GREATLY? 
Side question 2 what forms of Palliative care should we get for him?</t>
        </is>
      </c>
      <c r="D4107" t="n">
        <v>4</v>
      </c>
      <c r="E4107" t="n">
        <v>18</v>
      </c>
      <c r="F4107">
        <f>HYPERLINK("https://www.reddit.com/r/cancer/comments/cq58y2/dad_has_untreatable_cancer_has_1_year_max_to_live/")</f>
        <v/>
      </c>
      <c r="G4107" t="inlineStr">
        <is>
          <t>2019-08-13 22:24:29</t>
        </is>
      </c>
      <c r="H4107" t="inlineStr"/>
    </row>
    <row r="4108">
      <c r="A4108" t="inlineStr">
        <is>
          <t>cq6irb</t>
        </is>
      </c>
      <c r="B4108" t="inlineStr">
        <is>
          <t>Any recommendations w/new Lynch syndrome Dx?</t>
        </is>
      </c>
      <c r="C4108" t="inlineStr">
        <is>
          <t>My dad has had 55 colon polyps removed, bladder and prostate CA, and also growths on his kidney, pancreas, and small bowel.  His dad had colon cancer twice, the 1st time around age 50, whereupon he had a bowel resection with colostomy bag.  Within 10 years, he git it again and needed another bowel resection, but he did not survive that surgery due to sepsis.
I mentioned this to my new ObGYN after my 1st exam and he also saw that I had a complex ovarian cyst.  I told him I have them all the time for the past 10 years and he seemed concerned, discussed briefly that the only true way to determine what type of cysts is to do surgery.  I have had a few MRIs and multiple different types of ultrasounds, but they seem to be hemorrhagic cysts, which are benign.  I have new strange things besides my inguinal lymph nodes having been swollen for 20 years, I began developing multiple cherry angiomas near the site in the past 3 years, and most recently developed multiple angiolipomas near the area that were not well defined upon removal.
I had colonoscopy about 6 years ago and was normal other than severe adhesions/i recall the extreme pain deep inside where the adhesions are/i have pain with BMs due to the scar tissue if 3 abdominal surgeries and perforated  IUD in my 20s (I am 44 now).  I also had EGD due to heartburn every day. Everything was normal, I do not smoke, and my dad is 65 this month with no colon cancer and smokes like a chimney.  
I have had strenge upper abdominal pain intermittently the past 2-2.5 yrs..right where the solar plexus is, as if you got hit in the stomach/the wind knocked out of you.  I figured it was probably some type of gastritis or even ulcer.  That hardly ever happens any more.  The other pain is left upper quadrant , right below and behind the bottom rib.  It is more noticeable when laying down, and is also intermittent.  I rarely have had a scary tyoe intense pain that is intermittent and it feels like a searing pain that spreads across the inside of my entire abdomen in a wave like fashion..almost as if the interior lining of my abdomen wants to spasm? That is very intense when that happens.
I have to say that i look and seem healthy, except that I just found out I got lynch syndrome due to genetic testing.  I also found out almost a year and a half ago that I have lupus and Antiphospholipid antibody positive, which can increase risk of stroke or other thromboembolic events quite a bit (my dad has that as well). 
We are moving in 6 months out of state and I wondered what 1st steps I should take after this new diagnosis.   I have a rheumatoligist, a dermatologist, and a primary care NP right now.  Should I ask for specific screening tests, and what can wait and what shouldnt?  Thanks!</t>
        </is>
      </c>
      <c r="D4108" t="n">
        <v>3</v>
      </c>
      <c r="E4108" t="n">
        <v>2</v>
      </c>
      <c r="F4108">
        <f>HYPERLINK("https://www.reddit.com/r/cancer/comments/cq6irb/any_recommendations_wnew_lynch_syndrome_dx/")</f>
        <v/>
      </c>
      <c r="G4108" t="inlineStr">
        <is>
          <t>2019-08-14 00:52:19</t>
        </is>
      </c>
      <c r="H4108" t="inlineStr"/>
    </row>
    <row r="4109">
      <c r="A4109" t="inlineStr">
        <is>
          <t>cq6jor</t>
        </is>
      </c>
      <c r="B4109" t="inlineStr">
        <is>
          <t>I just want answers</t>
        </is>
      </c>
      <c r="C4109" t="inlineStr">
        <is>
          <t>Hi I’m 17 and I am just about to finish my 2nd cycle of chemo. I was diagnosed with A.L.L and after my 1st cycle they had said that all signs of the cancer were gone from what they could see and I don’t know if that’s good or bad or normal after a month. I still hate the feeling of having numb fingertips and I’m hoping they will eventually go away. I just want to know truthfully instead of me worrying about it what my chances are like and if I actually will get cured.</t>
        </is>
      </c>
      <c r="D4109" t="n">
        <v>1</v>
      </c>
      <c r="E4109" t="n">
        <v>2</v>
      </c>
      <c r="F4109">
        <f>HYPERLINK("https://www.reddit.com/r/cancer/comments/cq6jor/i_just_want_answers/")</f>
        <v/>
      </c>
      <c r="G4109" t="inlineStr">
        <is>
          <t>2019-08-14 00:55:41</t>
        </is>
      </c>
      <c r="H4109" t="inlineStr"/>
    </row>
    <row r="4110">
      <c r="A4110" t="inlineStr">
        <is>
          <t>cq6jy6</t>
        </is>
      </c>
      <c r="B4110" t="inlineStr">
        <is>
          <t>Can leukemia rash appear and disappear within a minutes?</t>
        </is>
      </c>
      <c r="C4110" t="inlineStr">
        <is>
          <t>Hello I have a question about leukemia rash, is the rash associated with leukemia something that’s always there or does it appear and disappear?</t>
        </is>
      </c>
      <c r="D4110" t="n">
        <v>0</v>
      </c>
      <c r="E4110" t="n">
        <v>0</v>
      </c>
      <c r="F4110">
        <f>HYPERLINK("https://www.reddit.com/r/cancer/comments/cq6jy6/can_leukemia_rash_appear_and_disappear_within_a/")</f>
        <v/>
      </c>
      <c r="G4110" t="inlineStr">
        <is>
          <t>2019-08-14 00:56:43</t>
        </is>
      </c>
      <c r="H4110" t="inlineStr"/>
    </row>
    <row r="4111">
      <c r="A4111" t="inlineStr">
        <is>
          <t>cq8s8x</t>
        </is>
      </c>
      <c r="B4111" t="inlineStr">
        <is>
          <t>III negative breast cancer, biopsy result and diagnosis, and need opinions, experience...</t>
        </is>
      </c>
      <c r="C4111" t="inlineStr">
        <is>
          <t>Hi everyone! 
My wonderful 56yo mom was diagnosed with III negative breast cancer today. 
She had yearly check-ups since she was 35yo because of our family history with cancer. A lump was found in 2013 and the biopsy showed that it is benign. Years passed and it looked the same (turns out it grew last year but they didn't notice). This year however, that same lump grew twice in size and during the ultrasound and biopsy another "tubular" shaped lump was found right above the initial one. Both were tested, the results are below. 
If anyone can translate this to non-doctor language please!! I want to know as much as I can about it!
The biopsy results and diagnosis says  (bear with me, I'm translating this to English):
Histological type of invasive tumor:  possibly an a priori special type composed of large atypical glandular formations    
lined with cells of copious foamy cytoplasms and large hyperchromic nuclei with some occasional visible nucleoli.    
Immunohistochemical staining of tumor cells are strongly and diffusely CK7, CK19, CK20 positive, GCDFP  is focally strongly positive. GATA3 negative, CDX2, TTF negative.
Nuclear gradus of tumor cells: high
Necrosis: yes  
Calcification :yes
Lymphovascular invasion: Not present
Perineural invasion: Not present  
ER (limit value 1%): 0%
PR (limit value 20%): 0%
HER2: negative (negative coloring (0%) in 100% of the tumor cells)
Ki67 (limit value 20%): 39%
Breast cancer subtype: Triple negative
Tumor occlusion: without peculiarity
She and the doctor agreed that a double masectomy is the way to go. The biopsy samples are also going to be shipped to another (better) clinic to get a second opinion.. She is having loads of other tests as well; some markers, abdomen CT, lungs, liver etc. All tests came back clean, we are just waiting for a couple of marker tests to arrive.
For now, it looks like stage 1!
Does anyone have any experience with this subtype of breast cancer? Any opinions, helpful advice.. Anything..
Thank you, I hope you and your loved ones get/stay healthy and cancer-clean &amp;lt;3</t>
        </is>
      </c>
      <c r="D4111" t="n">
        <v>2</v>
      </c>
      <c r="E4111" t="n">
        <v>15</v>
      </c>
      <c r="F4111">
        <f>HYPERLINK("https://www.reddit.com/r/cancer/comments/cq8s8x/iii_negative_breast_cancer_biopsy_result_and/")</f>
        <v/>
      </c>
      <c r="G4111" t="inlineStr">
        <is>
          <t>2019-08-14 05:10:10</t>
        </is>
      </c>
      <c r="H4111" t="inlineStr"/>
    </row>
    <row r="4112">
      <c r="A4112" t="inlineStr">
        <is>
          <t>cqa7f0</t>
        </is>
      </c>
      <c r="B4112" t="inlineStr">
        <is>
          <t>T-Cell LGL</t>
        </is>
      </c>
      <c r="C4112" t="inlineStr">
        <is>
          <t>I’m 23. I’m scared. But really I don’t feel anything. I’ve known this was coming for a few weeks. I don’t know what to expect going forward. I don’t even know what stage I am. I’m getting another biopsy in two weeks to be 100% confirm. This isn’t how I pictured my life. I don’t want this. Please let a miracle happen and this biopsy show up normal, I know it won’t. But please. When I first got sick, my boyfriend said he’d marry me if it turned out to be cancer. I guess there’s a silver lining here, huh?</t>
        </is>
      </c>
      <c r="D4112" t="n">
        <v>12</v>
      </c>
      <c r="E4112" t="n">
        <v>8</v>
      </c>
      <c r="F4112">
        <f>HYPERLINK("https://www.reddit.com/r/cancer/comments/cqa7f0/tcell_lgl/")</f>
        <v/>
      </c>
      <c r="G4112" t="inlineStr">
        <is>
          <t>2019-08-14 07:10:53</t>
        </is>
      </c>
      <c r="H4112" t="inlineStr"/>
    </row>
    <row r="4113">
      <c r="A4113" t="inlineStr">
        <is>
          <t>cqbdih</t>
        </is>
      </c>
      <c r="B4113" t="inlineStr">
        <is>
          <t>Pre-Op appointment today... shits gettin' real</t>
        </is>
      </c>
      <c r="C4113" t="inlineStr">
        <is>
          <t>My view from St. Vincent's hospital Worcester, Ma...
Just pre-op boring stuff today...
[caption](https://imgur.com/dEHCLA2.jpg)
This appointment was scheduled 7 weeks ago.  For the first few weeks I was nervous.  Then I got busy with work stuff.  Now this appointment is bringing back all the nervous feels.  Breathe!!!!!!!!!!!!!!</t>
        </is>
      </c>
      <c r="D4113" t="n">
        <v>19</v>
      </c>
      <c r="E4113" t="n">
        <v>14</v>
      </c>
      <c r="F4113">
        <f>HYPERLINK("https://www.reddit.com/r/cancer/comments/cqbdih/preop_appointment_today_shits_gettin_real/")</f>
        <v/>
      </c>
      <c r="G4113" t="inlineStr">
        <is>
          <t>2019-08-14 08:38:46</t>
        </is>
      </c>
      <c r="H4113" t="inlineStr"/>
    </row>
    <row r="4114">
      <c r="A4114" t="inlineStr">
        <is>
          <t>cqbna9</t>
        </is>
      </c>
      <c r="B4114" t="inlineStr">
        <is>
          <t>Clinical Trials</t>
        </is>
      </c>
      <c r="C4114" t="inlineStr">
        <is>
          <t>Hello all, I recently found out that my father was diagnosed with locally advanced bladder cancer. They are considering clinical trials as a treatment option but there seem to be so many options on the clinical trials. He is very healthy and has had no treatment thus far so he should be included in many trials if he applies. Does anyone have any insight into what to look for as far as finding a trial (phase 2 vs phase 3, chemo with new drug, gene therapy, etc.). Any info would be helpful in us making decisions
Thanks!!</t>
        </is>
      </c>
      <c r="D4114" t="n">
        <v>3</v>
      </c>
      <c r="E4114" t="n">
        <v>1</v>
      </c>
      <c r="F4114">
        <f>HYPERLINK("https://www.reddit.com/r/cancer/comments/cqbna9/clinical_trials/")</f>
        <v/>
      </c>
      <c r="G4114" t="inlineStr">
        <is>
          <t>2019-08-14 08:59:02</t>
        </is>
      </c>
      <c r="H4114" t="inlineStr"/>
    </row>
    <row r="4115">
      <c r="A4115" t="inlineStr">
        <is>
          <t>cqbrqi</t>
        </is>
      </c>
      <c r="B4115" t="inlineStr">
        <is>
          <t>Caregiver Burnout.</t>
        </is>
      </c>
      <c r="C4115" t="inlineStr">
        <is>
          <t>Sorry for the word-vomit, I just need a safe place to vent.
I spent a year and a half caregiving my father while he died of cancer. It was an honor to do so, and my dad was grateful, if stoic. I learned quickly what foods comforted him, and we settled into a quiet routine of appointments, back rubs, food experiments, and antiques roadshow.
Less than six months after we buried him my husband is diagnosed, and I am thrown head first back into caregiving. He had surgery at the end of May and has been on chemo since, and he’s *miserable.* Nothing about this is routine. He had strict dietary restrictions before he got sick, and now he can’t eat even those things. He is starving and in pain from the chemo, and not at all stoic. He is craving childhood comfort foods, and sending me out to find random items that he shoves away in angry frustration when he can’t swallow them. And everything has to be made fresh and homemade, because most packaged food contains his allergens, or is too salty, or off in some unexplainable way.
I am running myself ragged trying to feed him, and he is wasting away, and moaning in pain. Not from the cancer, they removed the cancer. It’s the *treatment* that’s killing hm. His mouth hurts, his stomach hurts, his muscles hurt. He won’t take his meds properly, he won’t drink the only dietarily acceptable protein shakes I found for him, even mixed with the only dietarily acceptable ice cream. He weighs less than our dog, at this point, and I’m afraid he’ll die of starvation or heart failure long before the cancer can kill him.
He’s angry at every bite of food, and at me for not being able to make things he can eat, and I’m *tired.* Little bubbles of resentment rising to the surface for the memories of every time I was sick, or injured, or recovering from surgery, and the most he could do for me was offer a cup of tea (but forget to make it half the time). 
And I know none of this is his fault, of course. And I would suffer all of this in his place, if I could. But this is exhausting. And I don’t even know if it’s going to do him any good in the end. :(</t>
        </is>
      </c>
      <c r="D4115" t="n">
        <v>59</v>
      </c>
      <c r="E4115" t="n">
        <v>26</v>
      </c>
      <c r="F4115">
        <f>HYPERLINK("https://www.reddit.com/r/cancer/comments/cqbrqi/caregiver_burnout/")</f>
        <v/>
      </c>
      <c r="G4115" t="inlineStr">
        <is>
          <t>2019-08-14 09:07:34</t>
        </is>
      </c>
      <c r="H4115" t="inlineStr"/>
    </row>
    <row r="4116">
      <c r="A4116" t="inlineStr">
        <is>
          <t>cqch33</t>
        </is>
      </c>
      <c r="B4116" t="inlineStr">
        <is>
          <t>21M Diagnosed with Hodgkin's Lymphoma today</t>
        </is>
      </c>
      <c r="C4116" t="inlineStr">
        <is>
          <t>About a month ago I noticed some swollen nodes in my neck and today I finally heard back from the surgeon and I indeed have CHL-NS. Meeting with an oncologist in a few days. Wish me luck. Fuck cancer.</t>
        </is>
      </c>
      <c r="D4116" t="n">
        <v>19</v>
      </c>
      <c r="E4116" t="n">
        <v>33</v>
      </c>
      <c r="F4116">
        <f>HYPERLINK("https://www.reddit.com/r/cancer/comments/cqch33/21m_diagnosed_with_hodgkins_lymphoma_today/")</f>
        <v/>
      </c>
      <c r="G4116" t="inlineStr">
        <is>
          <t>2019-08-14 09:58:44</t>
        </is>
      </c>
      <c r="H4116" t="inlineStr"/>
    </row>
    <row r="4117">
      <c r="A4117" t="inlineStr">
        <is>
          <t>cqdrd7</t>
        </is>
      </c>
      <c r="B4117" t="inlineStr">
        <is>
          <t>Mother in law has small cell lung cancer</t>
        </is>
      </c>
      <c r="C4117" t="inlineStr">
        <is>
          <t>Hello all,
Yesterday we got the horrible news my sweet mother in law has small cell lung cancer. At this time we do not know what stage just that the mass is rather large and probably has just developed within the last month or two. We are all kind of scared, what comes next. I’m looking maybe for encouragement or someone who’s went through this? What can I expect? All the statistics that I find are horribly discouraging, and I’m praying that she beats this. She’s still just in her forties, has three grandkids. She works and has so much life to live. We need our sweet nana around for longer and this is terrifying. I’m sorry to ramble but looking for answers.
Thanks reddit</t>
        </is>
      </c>
      <c r="D4117" t="n">
        <v>4</v>
      </c>
      <c r="E4117" t="n">
        <v>7</v>
      </c>
      <c r="F4117">
        <f>HYPERLINK("https://www.reddit.com/r/cancer/comments/cqdrd7/mother_in_law_has_small_cell_lung_cancer/")</f>
        <v/>
      </c>
      <c r="G4117" t="inlineStr">
        <is>
          <t>2019-08-14 11:31:12</t>
        </is>
      </c>
      <c r="H4117" t="inlineStr"/>
    </row>
    <row r="4118">
      <c r="A4118" t="inlineStr">
        <is>
          <t>cqdx9q</t>
        </is>
      </c>
      <c r="B4118" t="inlineStr">
        <is>
          <t>There’s Hope!</t>
        </is>
      </c>
      <c r="C4118" t="inlineStr">
        <is>
          <t>I was diagnosed with liver cancer last October and had surgery in November. They ended up removing 3 tumors, one the size of a cantaloupe, and burned out one more. After a long 12 days in the hospital, 3 days of which were in ICU, I returned home for rest and recovery. I had my second follow up today and I am still cancer free! Can it come back, yes, will I let that stop me from living my best life? Heck no. As of right now, I am cancer free and happy as hell.</t>
        </is>
      </c>
      <c r="D4118" t="n">
        <v>20</v>
      </c>
      <c r="E4118" t="n">
        <v>5</v>
      </c>
      <c r="F4118">
        <f>HYPERLINK("https://www.reddit.com/r/cancer/comments/cqdx9q/theres_hope/")</f>
        <v/>
      </c>
      <c r="G4118" t="inlineStr">
        <is>
          <t>2019-08-14 11:42:36</t>
        </is>
      </c>
      <c r="H4118" t="inlineStr"/>
    </row>
    <row r="4119">
      <c r="A4119" t="inlineStr">
        <is>
          <t>cqeun3</t>
        </is>
      </c>
      <c r="B4119" t="inlineStr">
        <is>
          <t>How bad does barium sulfate taste?</t>
        </is>
      </c>
      <c r="C4119" t="inlineStr">
        <is>
          <t>I’m getting my CT scan tomorrow, and I need to drink two bottles of barium sulfate. I know this should be low on my list of concerns, but I’m worried about gagging and puking. It looks pretty gross</t>
        </is>
      </c>
      <c r="D4119" t="n">
        <v>5</v>
      </c>
      <c r="E4119" t="n">
        <v>9</v>
      </c>
      <c r="F4119">
        <f>HYPERLINK("https://www.reddit.com/r/cancer/comments/cqeun3/how_bad_does_barium_sulfate_taste/")</f>
        <v/>
      </c>
      <c r="G4119" t="inlineStr">
        <is>
          <t>2019-08-14 12:49:03</t>
        </is>
      </c>
      <c r="H4119" t="inlineStr"/>
    </row>
    <row r="4120">
      <c r="A4120" t="inlineStr">
        <is>
          <t>cqf2hi</t>
        </is>
      </c>
      <c r="B4120" t="inlineStr">
        <is>
          <t>Baldness after chemo</t>
        </is>
      </c>
      <c r="C4120" t="inlineStr">
        <is>
          <t>Hey I know this is superficial but after one year chemo free I have decided that my hair is obviously not entirely coming back and it has the exact pattern of the typical male baldness, even though I had none before the treatment but the chemo hit me particularly hard.
I don't want any medicament or treatment for hair, I'm kinda tired of it, I was just wondering if any of you had a super-acceperated baldness after chemo.
Thanks !</t>
        </is>
      </c>
      <c r="D4120" t="n">
        <v>3</v>
      </c>
      <c r="E4120" t="n">
        <v>0</v>
      </c>
      <c r="F4120">
        <f>HYPERLINK("https://www.reddit.com/r/cancer/comments/cqf2hi/baldness_after_chemo/")</f>
        <v/>
      </c>
      <c r="G4120" t="inlineStr">
        <is>
          <t>2019-08-14 13:04:55</t>
        </is>
      </c>
      <c r="H4120" t="inlineStr"/>
    </row>
    <row r="4121">
      <c r="A4121" t="inlineStr">
        <is>
          <t>cqghk7</t>
        </is>
      </c>
      <c r="B4121" t="inlineStr">
        <is>
          <t>Lump in Neck After Serious Rib Injury</t>
        </is>
      </c>
      <c r="C4121" t="inlineStr">
        <is>
          <t>So my mom had a pretty bad fall about 2 weeks ago where she hit her ribs on a railing. She was in severe pain for a while and during this time she noticed a good sized lump had formed on her neck. However, the lump has since shrank a lot and is now very small. More importantly, my mom claims she feels no pain in that area so we were not expecting this to be anything serious. We thought it was just another injury that arose from the initial rib injury, as there seemed to be a strong correlation.
Turns out we were wrong. The doctors took an ultrasound and it turns out it's a tumor. Personally, I find this really difficult to believe. It seems more than coincidence that the lump in the neck and the injury to the ribs happened simultaneously, especially since the lump was not there prior. Furthermore, as her injury progressively healed, the lump in her neck shrunk. Do tumors just randomly appear and shrink like this? Does the traumatic and painful experience of severe injuries lead to the sudden development of tumors? I will push my mom to get a second opinion, but is it wrong of me to doubt the ultrasound or is it common for these scans to misdiagnose? 
I am uncertain if I am breaking any rules or if this type of post is frowned upon in this community, but I am having a hard time finding answers elsewhere. If I am, I apologize in advance.</t>
        </is>
      </c>
      <c r="D4121" t="n">
        <v>4</v>
      </c>
      <c r="E4121" t="n">
        <v>3</v>
      </c>
      <c r="F4121">
        <f>HYPERLINK("https://www.reddit.com/r/cancer/comments/cqghk7/lump_in_neck_after_serious_rib_injury/")</f>
        <v/>
      </c>
      <c r="G4121" t="inlineStr">
        <is>
          <t>2019-08-14 14:49:45</t>
        </is>
      </c>
      <c r="H4121" t="inlineStr"/>
    </row>
    <row r="4122">
      <c r="A4122" t="inlineStr">
        <is>
          <t>cqgi13</t>
        </is>
      </c>
      <c r="B4122" t="inlineStr">
        <is>
          <t>After almost 3 years of treatment I got the call.</t>
        </is>
      </c>
      <c r="C4122" t="inlineStr">
        <is>
          <t>My pet scan came back clean. No sign of anything! My lymph nodes are begining calcification and I still have a year of maintenance to keep it in remission but I'm through the worst of it. I know I'll be living on edge for the rest of my life, but for now I feel free.</t>
        </is>
      </c>
      <c r="D4122" t="n">
        <v>45</v>
      </c>
      <c r="E4122" t="n">
        <v>6</v>
      </c>
      <c r="F4122">
        <f>HYPERLINK("https://www.reddit.com/r/cancer/comments/cqgi13/after_almost_3_years_of_treatment_i_got_the_call/")</f>
        <v/>
      </c>
      <c r="G4122" t="inlineStr">
        <is>
          <t>2019-08-14 14:50:46</t>
        </is>
      </c>
      <c r="H4122" t="inlineStr"/>
    </row>
    <row r="4123">
      <c r="A4123" t="inlineStr">
        <is>
          <t>cqh0rz</t>
        </is>
      </c>
      <c r="B4123" t="inlineStr">
        <is>
          <t>Looking for some eyebrow help</t>
        </is>
      </c>
      <c r="C4123" t="inlineStr">
        <is>
          <t>So my partner has Hodgkin Lymphoma and is done 10/12 treatments. His last treatment will be done just before he is back to his final year of University. He is feeling very self conscious about attending classes without eyebrows. I looked for local resources through our local cancer center, but there is nothing geared towards men. He also looked into microblading/powder brows but his oncologist won't give the go ahead until he is 6 weeks post-treatment. 
So, does anyone here have any resources for how I can help my partner create natural looking brows with makeup? I have tried to tell him his glasses frame his face etc., but the truth is, no platitudes are going to help right now, but if I could help him draw a decent set of brows it might. 
Thank you!</t>
        </is>
      </c>
      <c r="D4123" t="n">
        <v>2</v>
      </c>
      <c r="E4123" t="n">
        <v>8</v>
      </c>
      <c r="F4123">
        <f>HYPERLINK("https://www.reddit.com/r/cancer/comments/cqh0rz/looking_for_some_eyebrow_help/")</f>
        <v/>
      </c>
      <c r="G4123" t="inlineStr">
        <is>
          <t>2019-08-14 15:29:45</t>
        </is>
      </c>
      <c r="H4123" t="inlineStr"/>
    </row>
    <row r="4124">
      <c r="A4124" t="inlineStr">
        <is>
          <t>cqi78m</t>
        </is>
      </c>
      <c r="B4124" t="inlineStr">
        <is>
          <t>Thank the lord</t>
        </is>
      </c>
      <c r="C4124" t="inlineStr">
        <is>
          <t>My first CT scan came back clear!!!</t>
        </is>
      </c>
      <c r="D4124" t="n">
        <v>97</v>
      </c>
      <c r="E4124" t="n">
        <v>15</v>
      </c>
      <c r="F4124">
        <f>HYPERLINK("https://www.reddit.com/r/cancer/comments/cqi78m/thank_the_lord/")</f>
        <v/>
      </c>
      <c r="G4124" t="inlineStr">
        <is>
          <t>2019-08-14 17:06:44</t>
        </is>
      </c>
      <c r="H4124" t="inlineStr"/>
    </row>
    <row r="4125">
      <c r="A4125" t="inlineStr">
        <is>
          <t>cqib9v</t>
        </is>
      </c>
      <c r="B4125" t="inlineStr">
        <is>
          <t>Pain 2 weeks after finishing Taxol?</t>
        </is>
      </c>
      <c r="C4125" t="inlineStr">
        <is>
          <t>I had 12 weeks of Taxol (12 treatments once a week) which I finished July 29th I did not have a lot of issues with it at all . Then about 5 days ago I started feeling muscle pain all over both thighs and both arms. This pain does not go away and makes it hard to sleep. I have not done anything to pull a muscle let alone both arms and legs. I have never experienced anything like this . It has to be the chemo but like I said I stopped 2 weeks ago and I didn't have pain during chemo. To add insult to injury my surgery is Friday so I can't take anything but Tylenol. Has anyone else experienced "withdrawal" from Taxol or any other chemo?</t>
        </is>
      </c>
      <c r="D4125" t="n">
        <v>4</v>
      </c>
      <c r="E4125" t="n">
        <v>2</v>
      </c>
      <c r="F4125">
        <f>HYPERLINK("https://www.reddit.com/r/cancer/comments/cqib9v/pain_2_weeks_after_finishing_taxol/")</f>
        <v/>
      </c>
      <c r="G4125" t="inlineStr">
        <is>
          <t>2019-08-14 17:15:39</t>
        </is>
      </c>
      <c r="H4125" t="inlineStr"/>
    </row>
    <row r="4126">
      <c r="A4126" t="inlineStr">
        <is>
          <t>cqj2lj</t>
        </is>
      </c>
      <c r="B4126" t="inlineStr">
        <is>
          <t>Question about support</t>
        </is>
      </c>
      <c r="C4126" t="inlineStr">
        <is>
          <t>Hello all! I hope this post is allowed here, but if not feel free to remove. I'm sorry in advance if this is kind of a silly question. Also sorry this is so short and kind of vague, but I don't want to make it overly personal. 
A month or two ago, I began working a new job with an uncle, and his crew quickly became like a second family to me. Specifically, this one guy I'll call Tim. 
Tim is an older man (mid 60s) and has honestly given me so much wisdom in the short time I've known him, I would never be able to thank him enough for the impact he's made. (Like the father/grandfather I'd never had) We became friends pretty quickly. 
For the next week, Tim is out of town for an assessment on his stomach cancer. (I'm not sure what stage) He's talked to me a bit about it, and says he's had it before and that he isn't afraid and that whatever happens, happens. He says that he's not going to go through chemo again, which I understand. 
I wanted to send him a text and let him know I'm thinking about him, but I don't know what to say. His cancer isn't a huge deal to him, as far as I can tell, but I have ASD and coming up with the right words (even smalltalk) isn't my specialty. 
Any feedback is appreciated! Thank you.</t>
        </is>
      </c>
      <c r="D4126" t="n">
        <v>1</v>
      </c>
      <c r="E4126" t="n">
        <v>0</v>
      </c>
      <c r="F4126">
        <f>HYPERLINK("https://www.reddit.com/r/cancer/comments/cqj2lj/question_about_support/")</f>
        <v/>
      </c>
      <c r="G4126" t="inlineStr">
        <is>
          <t>2019-08-14 18:19:41</t>
        </is>
      </c>
      <c r="H4126" t="inlineStr"/>
    </row>
    <row r="4127">
      <c r="A4127" t="inlineStr">
        <is>
          <t>cqj6st</t>
        </is>
      </c>
      <c r="B4127" t="inlineStr">
        <is>
          <t>For those who had/have cancer, what were your symptoms before you found out?</t>
        </is>
      </c>
      <c r="C4127" t="inlineStr">
        <is>
          <t>I understand this is a sensitive subject however I am curious. In my experiences, whenever I have heard of someone having cancer, nobody ever explains what led up to it or signs and symptoms</t>
        </is>
      </c>
      <c r="D4127" t="n">
        <v>5</v>
      </c>
      <c r="E4127" t="n">
        <v>48</v>
      </c>
      <c r="F4127">
        <f>HYPERLINK("https://www.reddit.com/r/cancer/comments/cqj6st/for_those_who_hadhave_cancer_what_were_your/")</f>
        <v/>
      </c>
      <c r="G4127" t="inlineStr">
        <is>
          <t>2019-08-14 18:30:04</t>
        </is>
      </c>
      <c r="H4127" t="inlineStr"/>
    </row>
    <row r="4128">
      <c r="A4128" t="inlineStr">
        <is>
          <t>cqkxkr</t>
        </is>
      </c>
      <c r="B4128" t="inlineStr">
        <is>
          <t>Does anyone recommend cannabis for supplementing treatments?</t>
        </is>
      </c>
      <c r="C4128" t="inlineStr">
        <is>
          <t>There’s a medical MJ doctor near where I live. Does anyone use cannabis for benefits during chemo and your treatments? I’d love to hear about the pros and cons and any recommendations you guys might have. Fuck cancer and thanks in advance!</t>
        </is>
      </c>
      <c r="D4128" t="n">
        <v>3</v>
      </c>
      <c r="E4128" t="n">
        <v>19</v>
      </c>
      <c r="F4128">
        <f>HYPERLINK("https://www.reddit.com/r/cancer/comments/cqkxkr/does_anyone_recommend_cannabis_for_supplementing/")</f>
        <v/>
      </c>
      <c r="G4128" t="inlineStr">
        <is>
          <t>2019-08-14 21:07:15</t>
        </is>
      </c>
      <c r="H4128" t="inlineStr"/>
    </row>
    <row r="4129">
      <c r="A4129" t="inlineStr">
        <is>
          <t>cqmy2p</t>
        </is>
      </c>
      <c r="B4129" t="inlineStr">
        <is>
          <t>Fuck cancer</t>
        </is>
      </c>
      <c r="C4129" t="inlineStr">
        <is>
          <t>Here I am 1 week out from my 10 year anniversary of acute lymphoblastic leukemia.
I'm upset about so many things.
I'm upset with my self and not being able to bring the change that I needed to further improve my self mostly. I'm disappointed that I see so much posts on this subs and that I have nothing to say to someone, I'm disappointed in the world 
It really does feel like no one gets it and no one ever will all the Willy nilly "get wells" it will get better have good intention but it means nothing to me I have bee
I'm just so fucking done with cancer and wish this never happend to me or anyone else I am stuck I am fucked I'm just so done with this. 
I'm just the kid the cancer and the one that could have been but didn't.</t>
        </is>
      </c>
      <c r="D4129" t="n">
        <v>45</v>
      </c>
      <c r="E4129" t="n">
        <v>6</v>
      </c>
      <c r="F4129">
        <f>HYPERLINK("https://www.reddit.com/r/cancer/comments/cqmy2p/fuck_cancer/")</f>
        <v/>
      </c>
      <c r="G4129" t="inlineStr">
        <is>
          <t>2019-08-15 01:09:05</t>
        </is>
      </c>
      <c r="H4129" t="inlineStr"/>
    </row>
    <row r="4130">
      <c r="A4130" t="inlineStr">
        <is>
          <t>cqnnpq</t>
        </is>
      </c>
      <c r="B4130" t="inlineStr">
        <is>
          <t>Foods that help</t>
        </is>
      </c>
      <c r="C4130" t="inlineStr">
        <is>
          <t>Hi everyone!
My mom was diagnosed yesterday with triple negative breast cancer (stage 1 or 2, around 3cm).
She is having the traditional treatment: probably surgery and then chemo (the exact treatment plan will be known on tuesday).
Along with the traditional treatment, I want to find anything that can help along the way.
I've been researching what foods and diet changes are good for slowing cancer growth etc. 
I was wondering what your experiences are? 
Are there any foods that she needs to avoid? Or some foods that are known to help?
And what food suited you best when you were on chemo?
Anything helps!! thank you</t>
        </is>
      </c>
      <c r="D4130" t="n">
        <v>3</v>
      </c>
      <c r="E4130" t="n">
        <v>8</v>
      </c>
      <c r="F4130">
        <f>HYPERLINK("https://www.reddit.com/r/cancer/comments/cqnnpq/foods_that_help/")</f>
        <v/>
      </c>
      <c r="G4130" t="inlineStr">
        <is>
          <t>2019-08-15 02:44:09</t>
        </is>
      </c>
      <c r="H4130" t="inlineStr"/>
    </row>
    <row r="4131">
      <c r="A4131" t="inlineStr">
        <is>
          <t>cqo3xq</t>
        </is>
      </c>
      <c r="B4131" t="inlineStr">
        <is>
          <t>My bestfriends mom just lost her battle after being diagnosed 3 months ago, I don’t know how to be a good friend rn</t>
        </is>
      </c>
      <c r="C4131" t="inlineStr">
        <is>
          <t>He’s my absolute best friend. We’ve been friends for 10 years. His mother got diagnosed w stage 3 lung cancer in early June and she passed Tuesday. I would just love to know how to be there for him. I haven’t said too much because I don’t want to overwhelm him. I’m scared to make the same jokes, none bad, bt I just don’t know how to carry myself for him. I’m strong always when he needs me, bt if any of y’all who lost a parent in their mid twenties, or every in general to cancer or please something relatable- I’m begging you to give me insight on how to be here for him. I’m broken for him, his two brother and his mother’s husband. He’s my oldest sons godfather; he is my brother. I am in so much pain for him.</t>
        </is>
      </c>
      <c r="D4131" t="n">
        <v>11</v>
      </c>
      <c r="E4131" t="n">
        <v>6</v>
      </c>
      <c r="F4131">
        <f>HYPERLINK("https://www.reddit.com/r/cancer/comments/cqo3xq/my_bestfriends_mom_just_lost_her_battle_after/")</f>
        <v/>
      </c>
      <c r="G4131" t="inlineStr">
        <is>
          <t>2019-08-15 03:39:18</t>
        </is>
      </c>
      <c r="H4131" t="inlineStr"/>
    </row>
    <row r="4132">
      <c r="A4132" t="inlineStr">
        <is>
          <t>cqpizv</t>
        </is>
      </c>
      <c r="B4132" t="inlineStr">
        <is>
          <t>Alternatives to medical marijuana for chemo side effects</t>
        </is>
      </c>
      <c r="C4132" t="inlineStr">
        <is>
          <t>My girlfriend is getting chemotherapy and uses cannabis to help ease the rough side effects of chemo. Is there anything out there that helps with pain and appetite like cannabis does? Cannabis is very effective at helping with negative side effects, but the psychoactive aspects of it are unwanted. She has tried CBD oil with little luck.</t>
        </is>
      </c>
      <c r="D4132" t="n">
        <v>8</v>
      </c>
      <c r="E4132" t="n">
        <v>23</v>
      </c>
      <c r="F4132">
        <f>HYPERLINK("https://www.reddit.com/r/cancer/comments/cqpizv/alternatives_to_medical_marijuana_for_chemo_side/")</f>
        <v/>
      </c>
      <c r="G4132" t="inlineStr">
        <is>
          <t>2019-08-15 06:03:12</t>
        </is>
      </c>
      <c r="H4132" t="inlineStr"/>
    </row>
    <row r="4133">
      <c r="A4133" t="inlineStr">
        <is>
          <t>cqsifv</t>
        </is>
      </c>
      <c r="B4133" t="inlineStr">
        <is>
          <t>Is it normal to not have anything get sucked in the syringe during a needle biopsy? What did yours look like?</t>
        </is>
      </c>
      <c r="C4133" t="inlineStr">
        <is>
          <t>I had a needle biopsy on a enlarged lymph node I’ve had for months. When the doc pulled out the needles, I didn’t see anything get filled into his syringe. Is this normal? How can they test if nothing comes out? Is this a good sign? Also the puncture wounds are above where the lymph node is. Did he biopsy the wrong spot/wrong lymph node, or is it always like this?</t>
        </is>
      </c>
      <c r="D4133" t="n">
        <v>2</v>
      </c>
      <c r="E4133" t="n">
        <v>2</v>
      </c>
      <c r="F4133">
        <f>HYPERLINK("https://www.reddit.com/r/cancer/comments/cqsifv/is_it_normal_to_not_have_anything_get_sucked_in/")</f>
        <v/>
      </c>
      <c r="G4133" t="inlineStr">
        <is>
          <t>2019-08-15 09:52:39</t>
        </is>
      </c>
      <c r="H4133" t="inlineStr"/>
    </row>
    <row r="4134">
      <c r="A4134" t="inlineStr">
        <is>
          <t>cqtdd4</t>
        </is>
      </c>
      <c r="B4134" t="inlineStr">
        <is>
          <t>How likely is it that I will have cancer?</t>
        </is>
      </c>
      <c r="C4134" t="inlineStr">
        <is>
          <t>Almost everyone from my moms side of the family died in various types of cancers and my dads dad and his grandad also died because of lung cancer. I'm kinda worried.</t>
        </is>
      </c>
      <c r="D4134" t="n">
        <v>0</v>
      </c>
      <c r="E4134" t="n">
        <v>5</v>
      </c>
      <c r="F4134">
        <f>HYPERLINK("https://www.reddit.com/r/cancer/comments/cqtdd4/how_likely_is_it_that_i_will_have_cancer/")</f>
        <v/>
      </c>
      <c r="G4134" t="inlineStr">
        <is>
          <t>2019-08-15 10:55:24</t>
        </is>
      </c>
      <c r="H4134" t="inlineStr"/>
    </row>
    <row r="4135">
      <c r="A4135" t="inlineStr">
        <is>
          <t>cqte9c</t>
        </is>
      </c>
      <c r="B4135" t="inlineStr">
        <is>
          <t>My wife, 34, just found a lump</t>
        </is>
      </c>
      <c r="C4135" t="inlineStr">
        <is>
          <t>She doesn't want anyone to know yet, but I'm really frightened and I need to talk.
My wife (we've been married 6 years) found an odd lump in her breast, near the armpit. Today she got it checked out by a doctor and has been referred to a breast examination clinic which will be a couple of weeks away. Her own mother died early from breast cancer too. We have two kids, 4 and 1.
I've researched a bit and they say that the majority of lumps are not cancer at all. Even then, advancements have been made since my wife's mother in law and survival rates are improving all the time. But I don't know, I think my mind just goes to the worst possible scenario. My wife is my best friend, and I can't stand thinking of the pain, both physical and emotional, she could be potentially facing. She's 10 times the parent I am, I don't know how I'd cope. I can't handle the possibility that she might not see our daughter and son grow up.
This just happened today so I'm still quite emotional and I know I'm probably not thinking straight. I know I've got no control and it's all in God's hands, I just don't want to lose my Katie. Not this soon.</t>
        </is>
      </c>
      <c r="D4135" t="n">
        <v>5</v>
      </c>
      <c r="E4135" t="n">
        <v>9</v>
      </c>
      <c r="F4135">
        <f>HYPERLINK("https://www.reddit.com/r/cancer/comments/cqte9c/my_wife_34_just_found_a_lump/")</f>
        <v/>
      </c>
      <c r="G4135" t="inlineStr">
        <is>
          <t>2019-08-15 10:57:17</t>
        </is>
      </c>
      <c r="H4135" t="inlineStr"/>
    </row>
    <row r="4136">
      <c r="A4136" t="inlineStr">
        <is>
          <t>cqu3tf</t>
        </is>
      </c>
      <c r="B4136" t="inlineStr">
        <is>
          <t>I'm scared (20 yr old)</t>
        </is>
      </c>
      <c r="C4136" t="inlineStr">
        <is>
          <t>I started having stomach pain and problems with digestion that would stop me from eating so I went to the doctor and did some exams and they found out a mass in the head of the pancreas.
I'm going to do a biopsy next month and I'm fucking scared.
My mom is currently suffering from breast cancer and I feel bad even thinking about my problems...</t>
        </is>
      </c>
      <c r="D4136" t="n">
        <v>10</v>
      </c>
      <c r="E4136" t="n">
        <v>7</v>
      </c>
      <c r="F4136">
        <f>HYPERLINK("https://www.reddit.com/r/cancer/comments/cqu3tf/im_scared_20_yr_old/")</f>
        <v/>
      </c>
      <c r="G4136" t="inlineStr">
        <is>
          <t>2019-08-15 11:47:37</t>
        </is>
      </c>
      <c r="H4136" t="inlineStr"/>
    </row>
    <row r="4137">
      <c r="A4137" t="inlineStr">
        <is>
          <t>cqu4si</t>
        </is>
      </c>
      <c r="B4137" t="inlineStr">
        <is>
          <t>Just found out my dad (52) has metastatic kidney cancer</t>
        </is>
      </c>
      <c r="C4137" t="inlineStr">
        <is>
          <t>Just need somewhere to get this off my chest. 
My dad had a bump removed from his chin at a local dermatologist two weeks ago. They told us bumps like his were almost never cancer, but wanted to biopsy it just to be sure. We thought it was just a boil/wart/cyst. 
Jump to today, he goes to the appointment where they discuss the results of the biopsy. Doctor says he has metasticized kidney cancer. He hasn't seen an oncologist yet, but we can only assume (in our limited online research) it's stage 4 since it's appearing on his face. Online says 8-12% survival rate past 5 years. 
He has no health insurance, and my family can hardly manage any more debt. I am terrified. I can't imagine living without my dad, I love him so much
Any tips on coping with this news? What to say to my dad?</t>
        </is>
      </c>
      <c r="D4137" t="n">
        <v>13</v>
      </c>
      <c r="E4137" t="n">
        <v>6</v>
      </c>
      <c r="F4137">
        <f>HYPERLINK("https://www.reddit.com/r/cancer/comments/cqu4si/just_found_out_my_dad_52_has_metastatic_kidney/")</f>
        <v/>
      </c>
      <c r="G4137" t="inlineStr">
        <is>
          <t>2019-08-15 11:49:41</t>
        </is>
      </c>
      <c r="H4137" t="inlineStr"/>
    </row>
    <row r="4138">
      <c r="A4138" t="inlineStr">
        <is>
          <t>cquim2</t>
        </is>
      </c>
      <c r="B4138" t="inlineStr">
        <is>
          <t>Any advice.. please.</t>
        </is>
      </c>
      <c r="C4138" t="inlineStr">
        <is>
          <t>My friend, 24 years old, was recently diagnosed with stage 4 chronic myeloma leukemia and was given 6 months to live. Is there any chance of survival? He just started chemo. Are there any alternative or trial treatments that you guys know about. Any advice or feedback would be greatly appreciated. Thank you so much.</t>
        </is>
      </c>
      <c r="D4138" t="n">
        <v>3</v>
      </c>
      <c r="E4138" t="n">
        <v>3</v>
      </c>
      <c r="F4138">
        <f>HYPERLINK("https://www.reddit.com/r/cancer/comments/cquim2/any_advice_please/")</f>
        <v/>
      </c>
      <c r="G4138" t="inlineStr">
        <is>
          <t>2019-08-15 12:16:21</t>
        </is>
      </c>
      <c r="H4138" t="inlineStr"/>
    </row>
    <row r="4139">
      <c r="A4139" t="inlineStr">
        <is>
          <t>cquiyi</t>
        </is>
      </c>
      <c r="B4139" t="inlineStr">
        <is>
          <t>More cancer??</t>
        </is>
      </c>
      <c r="C4139" t="inlineStr">
        <is>
          <t>Lately these past 2 years I’ve been seeing that people around me have developed some kind of cancer, and it’s more people every time on different circles of my community.
What I want to ask is, has anyone felt that there’s more cases of cancer than before?? It’s really scary</t>
        </is>
      </c>
      <c r="D4139" t="n">
        <v>1</v>
      </c>
      <c r="E4139" t="n">
        <v>3</v>
      </c>
      <c r="F4139">
        <f>HYPERLINK("https://www.reddit.com/r/cancer/comments/cquiyi/more_cancer/")</f>
        <v/>
      </c>
      <c r="G4139" t="inlineStr">
        <is>
          <t>2019-08-15 12:17:05</t>
        </is>
      </c>
      <c r="H4139" t="inlineStr"/>
    </row>
    <row r="4140">
      <c r="A4140" t="inlineStr">
        <is>
          <t>cqurl1</t>
        </is>
      </c>
      <c r="B4140" t="inlineStr">
        <is>
          <t>Post Chemo Symptoms and dealing with permanent changes in our bodies</t>
        </is>
      </c>
      <c r="C4140" t="inlineStr">
        <is>
          <t>Hey everyone! 
I am around 8 months out from finishing chemo (I believe it was ABVD and Dec 4th was my last treatment) and am in the clear! But since then have been noticing new and different things about my body and I wanted to see how common this is and who else has experienced these things. It is definitely weird to go through such an initial dramatic change with your body (losing weight, hair loss, and feeling the sickness that comes from having cancer) as well as the changes you experience while going through chemo. Now that I am post chemo I am still dealing with and trying to come to terms with how my body has changed. 
I have posted about this specifically before but I now have **hyper pigmentation** all over my body from during chemo when I simply scratched my skin too hard or roughly, or from where they accessed my port. So now I have marks on my stomach, arms, legs, chest and while it really isn't affecting me physically, it still kind of bothers me. I know I shouldn't get too caught up on this because compared to what I went through it is silly, but again I am still trying to come to terms with it. 
Along the lines of visible symptoms on my skin I also noticed more so towards the end of chemo/post chemo that I had **very tiny (like pin-prick size) red dots pop up on my body**. This is not necessarily something new because I have had a couple dots like this (one being on my pointer finger) previous to chemo, but quite a few new ones appeared recently and while it also does bother me, it is mostly the curiosity that is killing me. What are they, why and how did they show up? I have considered asking my oncologist about it when I meet with her during my regular check ups, but again, compared to what I just went through it seems so insignificant and that it shouldn't matter right? 
Another weird symptom that does somewhat bother me physically (and I did mention this to my oncologist but she said not to worry and just keep going about my normal routine) is a sort of **muscle spasm in my upper arm/bicep**. I have mostly noticed this when I am doing yoga or something physically straining on that specific arm. It doesn't necessarily hurt, it is just a weird sensation, and it is only in my right arm. Otherwise my arm is perfectly fine. But again, I am curious what this is and why it is happening? 
Now as for my **hair** (something I have also already posted about here) it has really grown back in the last few months (yay!) but still seems pretty thin compared to how it used to be. Before I was diagnosed and went through chemo I was noticing that my hair was thinning, and then during chemo of course lost a lot of my hair and shaved it all etc. Now that has mostly grown back it still feels thinner than I was used to pre cancer and chemo. I am wondering if this is something permanent, if my hair will never be as thick and full as it used to be? Or does it really take time for it to go back to its original thickness? I have also noticed in the past couple weeks, while washing my hair in the shower, the hair that is falling out are the very thin little baby hairs that were the first hairs to grow back, amongst a few of the thicker hairs. I am assuming that this is natural for those sad little baby hairs to fall out as they were not strong and healthy, and hoping that means the thicker hair will be growing back in. If anyone has some insight on this that would be super helpful! I know I shouldn't freak out, but a part of me still kinda freaks out when I see all these hairs coming out in the shower! 
Other than these specific things I have just noticed more general aches and pains than I was normally used to, including occasional digestive issues/upset stomach. I know while I am through the worst part of it, getting to know this new body of mine is still something I am gonna be dealing with for a time. And I am not necessarily asking for any medical advice and that if I do have serious concerns that I should talk to my oncologist, but I would really just love to hear from some people who have dealt with the same or similar issues. While I feel like I could bring these things up with my oncologist (and have for a few things) it really does seem like she kinda brushes it off. Nothing against her or anything because she is great and I am so lucky to have her for my oncologist. I guess I just want to hear that I am not the only one that is dealing with or has dealt with these weird post-chemo symptoms and changes in my body. It is just a weird thing to experience and to try to regain ownership over my own body. It is hard to see and feel these drastic changes (during and after chemo) within your own body to the point that it doesn't feel like your own anymore. I guess that is also the symptom of aging, but I guess it is different because that happens more gradually so you almost hardly even notice it? 
Basically IDK what I am looking to gain from posting this, but I guess if anyone could give a 22 year old girl who is about to start her final year of undergrad some wisdom, encouragement, advice, kind words, etc. I would super duper appreciate it! Just trying to get a handle on my life again and try to make sense of everything.</t>
        </is>
      </c>
      <c r="D4140" t="n">
        <v>26</v>
      </c>
      <c r="E4140" t="n">
        <v>23</v>
      </c>
      <c r="F4140">
        <f>HYPERLINK("https://www.reddit.com/r/cancer/comments/cqurl1/post_chemo_symptoms_and_dealing_with_permanent/")</f>
        <v/>
      </c>
      <c r="G4140" t="inlineStr">
        <is>
          <t>2019-08-15 12:34:49</t>
        </is>
      </c>
      <c r="H4140" t="inlineStr"/>
    </row>
    <row r="4141">
      <c r="A4141" t="inlineStr">
        <is>
          <t>cquuuj</t>
        </is>
      </c>
      <c r="B4141" t="inlineStr">
        <is>
          <t>How to help my mom</t>
        </is>
      </c>
      <c r="C4141" t="inlineStr">
        <is>
          <t>My (18) mom (46) was diagnosed with stage 2 breast cancer about a month ago and she started chemotherapy yesterday. I haven’t seen her yet since her treatment but I was wondering how I can help her out while she’s going through this. I’ve been taking care of my little brothers during the day when I’m not working, making dinner, and doing groceries and I’ll keep doing that because I know she’ll be tired but is there anything specific I can do to make things better/easier for her? I’m a little lost.</t>
        </is>
      </c>
      <c r="D4141" t="n">
        <v>6</v>
      </c>
      <c r="E4141" t="n">
        <v>9</v>
      </c>
      <c r="F4141">
        <f>HYPERLINK("https://www.reddit.com/r/cancer/comments/cquuuj/how_to_help_my_mom/")</f>
        <v/>
      </c>
      <c r="G4141" t="inlineStr">
        <is>
          <t>2019-08-15 12:41:16</t>
        </is>
      </c>
      <c r="H4141" t="inlineStr"/>
    </row>
    <row r="4142">
      <c r="A4142" t="inlineStr">
        <is>
          <t>cqvaq6</t>
        </is>
      </c>
      <c r="B4142" t="inlineStr">
        <is>
          <t>https://docs.google.com/forms/d/1PfEOC-PZIOVVqKqXYTHfhmRd-djnMEEJXebCCBD9W14/edit</t>
        </is>
      </c>
      <c r="C4142" t="inlineStr">
        <is>
          <t>Only 2% of cancer studies and trials involve enough minorities to provide useful data. We are conducting a study on medications currently being used to treat cancer in minority populations to see efficacy and  side effect effects on minority populations. Please help out. Completely antonymous.</t>
        </is>
      </c>
      <c r="D4142" t="n">
        <v>1</v>
      </c>
      <c r="E4142" t="n">
        <v>2</v>
      </c>
      <c r="F4142">
        <f>HYPERLINK("https://www.reddit.com/r/cancer/comments/cqvaq6/httpsdocsgooglecomformsd1pfeocpziovvqkqxythfhmrddj/")</f>
        <v/>
      </c>
      <c r="G4142" t="inlineStr">
        <is>
          <t>2019-08-15 13:13:38</t>
        </is>
      </c>
      <c r="H4142" t="inlineStr"/>
    </row>
    <row r="4143">
      <c r="A4143" t="inlineStr">
        <is>
          <t>cqwnkg</t>
        </is>
      </c>
      <c r="B4143" t="inlineStr">
        <is>
          <t>What were the signs your loved ones cancer had finally spread?</t>
        </is>
      </c>
      <c r="C4143" t="inlineStr">
        <is>
          <t>To be more specific, dad has liver cancer (has had it for five years). They’ve stopped TACE (chemo through iv drip connected to main vein going to liver) as his body can’t handle it anymore. So now doctor has decided nothing else he can do and just live out his days. My dad all year has been fine with no main concerns however he’s been complaining that his throat feels like it shuts every time he swallows. He’s also lost heaps of weight, his legs are always achy (when I massage that feel tough and swollen.) his energy is zapped and he’s having trouble breathing sometimes. His most recent ct scan was in June but because of his change of symptoms he’s scheduled for another one early September. He’s worried, we are worried. There’s nothing you can do once it’s spread but he looks so weak it’s so sad seeing your once strong father so sick</t>
        </is>
      </c>
      <c r="D4143" t="n">
        <v>16</v>
      </c>
      <c r="E4143" t="n">
        <v>11</v>
      </c>
      <c r="F4143">
        <f>HYPERLINK("https://www.reddit.com/r/cancer/comments/cqwnkg/what_were_the_signs_your_loved_ones_cancer_had/")</f>
        <v/>
      </c>
      <c r="G4143" t="inlineStr">
        <is>
          <t>2019-08-15 14:53:52</t>
        </is>
      </c>
      <c r="H4143" t="inlineStr"/>
    </row>
    <row r="4144">
      <c r="A4144" t="inlineStr">
        <is>
          <t>cqwsgs</t>
        </is>
      </c>
      <c r="B4144" t="inlineStr">
        <is>
          <t>What does this mean?</t>
        </is>
      </c>
      <c r="C4144" t="inlineStr">
        <is>
          <t>So I came home from work and my friend snapped me saying someone called him trying to contact me. The lady asked “is Mr.Xxx there?” He replies no. Then she said “oh you’re his friend can you please have him called me back”. 
Turns out the number was from an oncology center in Texas, one that I’ve never been to. What could this mean? Why would a oncology center contact my friend instead of my parents or siblings?</t>
        </is>
      </c>
      <c r="D4144" t="n">
        <v>1</v>
      </c>
      <c r="E4144" t="n">
        <v>4</v>
      </c>
      <c r="F4144">
        <f>HYPERLINK("https://www.reddit.com/r/cancer/comments/cqwsgs/what_does_this_mean/")</f>
        <v/>
      </c>
      <c r="G4144" t="inlineStr">
        <is>
          <t>2019-08-15 15:03:53</t>
        </is>
      </c>
      <c r="H4144" t="inlineStr"/>
    </row>
    <row r="4145">
      <c r="A4145" t="inlineStr">
        <is>
          <t>cqxabe</t>
        </is>
      </c>
      <c r="B4145" t="inlineStr">
        <is>
          <t>What would be a good bucket list for someone with less than a year and limited mobility?</t>
        </is>
      </c>
      <c r="C4145" t="inlineStr">
        <is>
          <t>For example, no bungee jumping or skydiving or 6 mile hikes, etc. Any advice or ideas would be awesome.</t>
        </is>
      </c>
      <c r="D4145" t="n">
        <v>6</v>
      </c>
      <c r="E4145" t="n">
        <v>5</v>
      </c>
      <c r="F4145">
        <f>HYPERLINK("https://www.reddit.com/r/cancer/comments/cqxabe/what_would_be_a_good_bucket_list_for_someone_with/")</f>
        <v/>
      </c>
      <c r="G4145" t="inlineStr">
        <is>
          <t>2019-08-15 15:40:55</t>
        </is>
      </c>
      <c r="H4145" t="inlineStr"/>
    </row>
    <row r="4146">
      <c r="A4146" t="inlineStr">
        <is>
          <t>cqxebg</t>
        </is>
      </c>
      <c r="B4146" t="inlineStr">
        <is>
          <t>Dad likely has prostate cancer - Vent / Advice?</t>
        </is>
      </c>
      <c r="C4146" t="inlineStr">
        <is>
          <t>My dad has been going through a series of setbacks for the past several years. Being a boomer in software engineering, he has had a difficult time keeping contracts/jobs since the 2008 crash and is currently unemployed. He's type 2 diabetic but has been trying to take walks every day. His car keeps breaking down on him and he can't afford a new one. He complains often how LL my mother is, and the DB they have. My mom also doesn't work because of mental issues; he wanted to file for divorce when my sister and I graduated high school, but when he lost his job it put a damper on his plans. I work two jobs and send money to him every month to help as much as I can. It seems like nothing has been going his way for many years, and just as he's been getting certifications which his recruiters assure him will help him get a job, his doctor tells him he has four nodes which look cancerous. Over the next several weeks he'll be undergoing tests and whatnot to see which course of action he needs to take. 
My dad said he'll be coping through Klonopin, because he knew this would happen but he didn't think it would happen so soon (he is 58). My sister left just last month to serve a mission and will be gone for 18 months, so he doesn't want to break the news to her yet. 
We keep assuring each other that at least we have caught it early and there are many steps which can be taken, but I can tell my dad is under enormous pressure. He does a fantastic job at masking his pain and I know that can only make it worse. What can I do? I refuse to believe this is some sort of death sentence for him but I am also terrified for his mental health. I know it's not my responsibility, I know it's his life and his relationship with my mother, but I love him so much and hate knowing how unhappy he is. I feel so powerless.</t>
        </is>
      </c>
      <c r="D4146" t="n">
        <v>4</v>
      </c>
      <c r="E4146" t="n">
        <v>4</v>
      </c>
      <c r="F4146">
        <f>HYPERLINK("https://www.reddit.com/r/cancer/comments/cqxebg/dad_likely_has_prostate_cancer_vent_advice/")</f>
        <v/>
      </c>
      <c r="G4146" t="inlineStr">
        <is>
          <t>2019-08-15 15:49:25</t>
        </is>
      </c>
      <c r="H4146" t="inlineStr"/>
    </row>
    <row r="4147">
      <c r="A4147" t="inlineStr">
        <is>
          <t>cqy8kl</t>
        </is>
      </c>
      <c r="B4147" t="inlineStr">
        <is>
          <t>MRI tomorrow</t>
        </is>
      </c>
      <c r="C4147" t="inlineStr">
        <is>
          <t>I've had two brain tumors removed. First was a grade 2 astrocytoma, second was grade 3. I had chemo and radiation starting two years ago. I've been fine since then, but have recently been having really bad headaches right where my tumors were. My MRI was supposed to be next month, but I contacted my oncologist the other day about the headaches and am now going in tomorrow. Has anyone else had these headaches before? They've only been noticeable in recent weeks.</t>
        </is>
      </c>
      <c r="D4147" t="n">
        <v>7</v>
      </c>
      <c r="E4147" t="n">
        <v>1</v>
      </c>
      <c r="F4147">
        <f>HYPERLINK("https://www.reddit.com/r/cancer/comments/cqy8kl/mri_tomorrow/")</f>
        <v/>
      </c>
      <c r="G4147" t="inlineStr">
        <is>
          <t>2019-08-15 16:56:26</t>
        </is>
      </c>
      <c r="H4147" t="inlineStr"/>
    </row>
    <row r="4148">
      <c r="A4148" t="inlineStr">
        <is>
          <t>cqyuf6</t>
        </is>
      </c>
      <c r="B4148" t="inlineStr">
        <is>
          <t>Mom most likely has cancer... i have questions. Completely new to this.</t>
        </is>
      </c>
      <c r="C4148" t="inlineStr">
        <is>
          <t>Hello reddit.
I don't really know where to start. So lets begin with my/our current living situation:
I'm a 28 years old chronically ill heart/lung patient ( hypoplastic left-heart syndrome / pulmonary hypertension ) in bad shape, and my caregiver, my mom (55), has been diagnosed with "metastases" in an MRI today. And thats basically all i know, too.
She's had back-ache for about a year now, it got worse basically every week/month, so they assumed she had a disc-prolapse. She got her MRI today, they didnt find anything but they also said they found metastases. And thats why they kept her there.
I dont really know anything about cancer, and i am all over the place at the moment. I dont know where to start, what to do, what to expect. Does having metastases always mean its "too late"? I've been riding through the internet so much today the only thing i am is worried and confused.
Maybe some kind redditor can help me clear some things up on what to expect etc.
Thank you.</t>
        </is>
      </c>
      <c r="D4148" t="n">
        <v>1</v>
      </c>
      <c r="E4148" t="n">
        <v>6</v>
      </c>
      <c r="F4148">
        <f>HYPERLINK("https://www.reddit.com/r/cancer/comments/cqyuf6/mom_most_likely_has_cancer_i_have_questions/")</f>
        <v/>
      </c>
      <c r="G4148" t="inlineStr">
        <is>
          <t>2019-08-15 17:45:27</t>
        </is>
      </c>
      <c r="H4148" t="inlineStr"/>
    </row>
    <row r="4149">
      <c r="A4149" t="inlineStr">
        <is>
          <t>cqz02i</t>
        </is>
      </c>
      <c r="B4149" t="inlineStr">
        <is>
          <t>Marijuana isn’t just for potheads 🤯</t>
        </is>
      </c>
      <c r="C4149" t="inlineStr">
        <is>
          <t>My family is conservative so of course they were mind blown when the doctor suggested that medical marijuana would help with the post-chemo symptoms. 
Little do they know that there’s some in the basement 🤫</t>
        </is>
      </c>
      <c r="D4149" t="n">
        <v>59</v>
      </c>
      <c r="E4149" t="n">
        <v>16</v>
      </c>
      <c r="F4149">
        <f>HYPERLINK("https://www.reddit.com/r/cancer/comments/cqz02i/marijuana_isnt_just_for_potheads/")</f>
        <v/>
      </c>
      <c r="G4149" t="inlineStr">
        <is>
          <t>2019-08-15 17:58:53</t>
        </is>
      </c>
      <c r="H4149" t="inlineStr"/>
    </row>
    <row r="4150">
      <c r="A4150" t="inlineStr">
        <is>
          <t>cqz4te</t>
        </is>
      </c>
      <c r="B4150" t="inlineStr">
        <is>
          <t>I'm kinda freaking out.</t>
        </is>
      </c>
      <c r="C4150" t="inlineStr">
        <is>
          <t>A year ago (exactly) I found out I had a tumor in my spine and was diagnosed with a rare form of cancer. It also spread to my lungs. I had a surgery to remove the tumor and I went through 8 months of chemo. It eliminated some spots on my lungs but there is still one there that didn't shrink nor grow. I just had my 3 month set of scans post chemo. Nothing grew in my lungs. However they did notice some potential fluid building up where I had my surgery and lower on my spine it lit up a little more on the MRI.
I am starting school again soon and trying to get my life restarted. I'm freaking out because idk how I'm going to be able to deal with all the scans and potential relapse. Also my insurance just ended. 
I guess I'm asking for advice about scanxiety and dealing with all this.</t>
        </is>
      </c>
      <c r="D4150" t="n">
        <v>22</v>
      </c>
      <c r="E4150" t="n">
        <v>5</v>
      </c>
      <c r="F4150">
        <f>HYPERLINK("https://www.reddit.com/r/cancer/comments/cqz4te/im_kinda_freaking_out/")</f>
        <v/>
      </c>
      <c r="G4150" t="inlineStr">
        <is>
          <t>2019-08-15 18:09:58</t>
        </is>
      </c>
      <c r="H4150" t="inlineStr"/>
    </row>
    <row r="4151">
      <c r="A4151" t="inlineStr">
        <is>
          <t>cr0nd4</t>
        </is>
      </c>
      <c r="B4151" t="inlineStr">
        <is>
          <t>My mom died—how do I act around people?</t>
        </is>
      </c>
      <c r="C4151" t="inlineStr">
        <is>
          <t>I’m 17 and start senior year of high school on Tuesday. My mom died today early in the morning. It was a peaceful death; the whole family was there telling her we loved her and she died painlessly. and maybe I’m just in shock, but I feel like I’ve accepted it. I’m focusing on the positives, somehow, despite my severe anxiety/OCD.
The thing is, I don’t know how I’m supposed to act in front of people. Do I tell them my mom died? What if I see something that reminds me of her and start crying? 
I don’t know how to act around people as if I didn’t just experience something so tragic and traumatic. Everything feels off right now. I wish I at least had time to process it all before school, but that isn’t an option. Any advice would be appreciated.</t>
        </is>
      </c>
      <c r="D4151" t="n">
        <v>45</v>
      </c>
      <c r="E4151" t="n">
        <v>32</v>
      </c>
      <c r="F4151">
        <f>HYPERLINK("https://www.reddit.com/r/cancer/comments/cr0nd4/my_mom_diedhow_do_i_act_around_people/")</f>
        <v/>
      </c>
      <c r="G4151" t="inlineStr">
        <is>
          <t>2019-08-15 20:26:18</t>
        </is>
      </c>
      <c r="H4151" t="inlineStr"/>
    </row>
    <row r="4152">
      <c r="A4152" t="inlineStr">
        <is>
          <t>cr0p0v</t>
        </is>
      </c>
      <c r="B4152" t="inlineStr">
        <is>
          <t>Just joined the club today</t>
        </is>
      </c>
      <c r="C4152" t="inlineStr">
        <is>
          <t>Got back from my doctors office a few hours ago to find out that I have thyroid cancer. It’s affecting both sides and there’s a calcifies nodule in a lymph node that needs removal. I’ve had a paralyzed vocal cord for half a year and largely been unable to speak other then in a hoarse whisper this whole time. 
I’m told that they’ll be running to check to make sure I have no other cancerous cells throughout my body because of the lymph nodes possibility of spreading stuff across the endocrine system. 
Now i know I’m lucky for having gotten a type of cancer that seems to be largely treatable but it still worries me a bit. 
I was wondering if anyone here could speak to their experiences of having their thyroid removed completely or what radioactive iodine therapy was like.</t>
        </is>
      </c>
      <c r="D4152" t="n">
        <v>25</v>
      </c>
      <c r="E4152" t="n">
        <v>6</v>
      </c>
      <c r="F4152">
        <f>HYPERLINK("https://www.reddit.com/r/cancer/comments/cr0p0v/just_joined_the_club_today/")</f>
        <v/>
      </c>
      <c r="G4152" t="inlineStr">
        <is>
          <t>2019-08-15 20:30:43</t>
        </is>
      </c>
      <c r="H4152" t="inlineStr"/>
    </row>
    <row r="4153">
      <c r="A4153" t="inlineStr">
        <is>
          <t>cr2gk4</t>
        </is>
      </c>
      <c r="B4153" t="inlineStr">
        <is>
          <t>Can't sleep.</t>
        </is>
      </c>
      <c r="C4153" t="inlineStr">
        <is>
          <t>Started radiation this week, and just can't sleep. Now, I'm dragging all day, until I get to radiation, then I'm dragging all night.   
Did anyone else have difficulties with sleep?</t>
        </is>
      </c>
      <c r="D4153" t="n">
        <v>10</v>
      </c>
      <c r="E4153" t="n">
        <v>9</v>
      </c>
      <c r="F4153">
        <f>HYPERLINK("https://www.reddit.com/r/cancer/comments/cr2gk4/cant_sleep/")</f>
        <v/>
      </c>
      <c r="G4153" t="inlineStr">
        <is>
          <t>2019-08-15 23:26:13</t>
        </is>
      </c>
      <c r="H4153" t="inlineStr"/>
    </row>
    <row r="4154">
      <c r="A4154" t="inlineStr">
        <is>
          <t>cr39ay</t>
        </is>
      </c>
      <c r="B4154" t="inlineStr">
        <is>
          <t>Chordoma: a rare bone cancer. Any questions welcome.</t>
        </is>
      </c>
      <c r="C4154" t="inlineStr">
        <is>
          <t>Tldr; I have a rare cancer and welcome any questions about my experience to provide a discussion/resource for anyone searching for it in the future.
I was diagnosed with a malignant tumour earlier this year and I'm currently recovering from the surgery. The reason for this post is that when looking for personal experiences for people with this kind of cancer, it was difficult due to the rarity of the condition (1 in 2,000,00 of the population).
So I'd like to open myself up to any questions on my experiences so far. As for medical questions on chordoma I am certainly not an expert, and the Chordoma foundation (link below) is a fantastic resource which helped me find a surgeon with experience with these kind of tumours.
One aspect of this is that it's different to most cancers, I've even heard doctor's refer to it as not "real" or "proper" cancer which is true in its way although misleading if put in the wrong context. It's incredibly slow growing (usually occurs as a foetal abnormality) and mine was found at age 30 which is incredibly young. Usually these are found around ages 45+.
On the other hand it's resistant to radiotherapy and virtually untouched by chemotherapy which is bad news if it spreads.
I'd welcome any questions about my experience simply so that there's a discussion here to be found the next time someone comes looking for it.</t>
        </is>
      </c>
      <c r="D4154" t="n">
        <v>5</v>
      </c>
      <c r="E4154" t="n">
        <v>8</v>
      </c>
      <c r="F4154">
        <f>HYPERLINK("https://www.reddit.com/r/cancer/comments/cr39ay/chordoma_a_rare_bone_cancer_any_questions_welcome/")</f>
        <v/>
      </c>
      <c r="G4154" t="inlineStr">
        <is>
          <t>2019-08-16 00:59:37</t>
        </is>
      </c>
      <c r="H4154" t="inlineStr"/>
    </row>
    <row r="4155">
      <c r="A4155" t="inlineStr">
        <is>
          <t>cr4b0g</t>
        </is>
      </c>
      <c r="B4155" t="inlineStr">
        <is>
          <t>my dad deals with his cancer diagnosis by drinking</t>
        </is>
      </c>
      <c r="C4155" t="inlineStr">
        <is>
          <t>my dad is quite old and has been diagnosed with lung cancer for the past 2 years. now he is going through the 2nd round of cancer bout. but he drinks to deal with it. one shot can make him really cranky and he starts to talk about death and all these...i left an excellent job and life abroad to come care for mum and him but....sometimes i cant. its tough.  ive explained to him that even one shot makes him drunk but he thinks he is 20 years old (he is 83). he wants to act young again. but all these puts a toll on me and mum. my mum is 83 as well, im 32 and i have a very explosive character, so i do shout/scream etc when i see him act like this. i dont know what to do.</t>
        </is>
      </c>
      <c r="D4155" t="n">
        <v>11</v>
      </c>
      <c r="E4155" t="n">
        <v>6</v>
      </c>
      <c r="F4155">
        <f>HYPERLINK("https://www.reddit.com/r/cancer/comments/cr4b0g/my_dad_deals_with_his_cancer_diagnosis_by_drinking/")</f>
        <v/>
      </c>
      <c r="G4155" t="inlineStr">
        <is>
          <t>2019-08-16 03:06:01</t>
        </is>
      </c>
      <c r="H4155" t="inlineStr"/>
    </row>
    <row r="4156">
      <c r="A4156" t="inlineStr">
        <is>
          <t>cr5j4d</t>
        </is>
      </c>
      <c r="B4156" t="inlineStr">
        <is>
          <t>Never get a Ferret to do a Weasel's job.</t>
        </is>
      </c>
      <c r="C4156" t="inlineStr">
        <is>
          <t>I am 2 weeks post-surgery and according to my paperwork, I was supposed to meet with my surgeon (who is exceptional). I was also supposed to have the home healthcare nurse call me but she didn't (someone's in trooou-ble).
So I call my surgeon's office and speak with his incredibly competent receptionist to get an appointment. She fits me in. I tell her the nurse hasn't called and I still have my drain and staples in. I ask if my surgeon can take them out or if I need to track down the nurse or see my GP. She tells me my surgeon can do it. I suspect she is a sadist.
I then hear her rooting around in what sounds like her junk drawer looking for a staple remover. Found one. But it really sounded like she found one from Office Depot and not Medical Depot.
I get to my appointment. We go over the results and everything is freaking awesome. They tested 18 lymph nodes that came back negative and my tumor had really shrunk so I had great margins, blah, blah, blah. I said, "But?" He said, "Don't worry your butt still works." He then assured me there were no buts.
We then discussed my drain and staples. Not particularly jazzed the nurse hadn't called. He said hop up onto the table. Then he asked himself if he had a staple remover. I assured him he did. He opened up that cabinet and it was waiting for him. We briefly discussed how screwed he would be if the receptionist ever quit.
Then we begin.
Holy mother of god was the staple removal painful. Apparently, I am a good healer. Staple, staple, staple, take a break, break over, staple, staple, staple, etc until 20 staples were out. No time to waste.
Then we get to the drain. Whoops, need suture scissors. Had to go ask the receptionist for them. She delivers them.
He snipped the suture on the drain hole and reefed that puppy out of me. I screamed and questioned his close personal relationship with his mother. 
I was heard in the reception area. Ergo my suspicions about the receptionist.
Next time. I am going to a nurse or my GP. I am having them drug me. Hold my hand. And whisper sweet nothings in my ear. Then they can remove that drain and staples.</t>
        </is>
      </c>
      <c r="D4156" t="n">
        <v>43</v>
      </c>
      <c r="E4156" t="n">
        <v>12</v>
      </c>
      <c r="F4156">
        <f>HYPERLINK("https://www.reddit.com/r/cancer/comments/cr5j4d/never_get_a_ferret_to_do_a_weasels_job/")</f>
        <v/>
      </c>
      <c r="G4156" t="inlineStr">
        <is>
          <t>2019-08-16 05:14:49</t>
        </is>
      </c>
      <c r="H4156" t="inlineStr"/>
    </row>
    <row r="4157">
      <c r="A4157" t="inlineStr">
        <is>
          <t>cr6424</t>
        </is>
      </c>
      <c r="B4157" t="inlineStr">
        <is>
          <t>How did you handle financials for yourself / loved one due to cancer?</t>
        </is>
      </c>
      <c r="C4157" t="inlineStr">
        <is>
          <t>Hi everyone! Just want to say these posts have been extremely humbling and I’m so thankful that you have shared your experiences. Hope to also help others in the same way.
My dad was just diagnosed with stage 4 prostate cancer and will be starting on Zytiga soon. He is 63, working and under my mom's health insurance plan. He could have to stop working and may apply for disability (short-term and / or long-term), FMLA (2 months), as well as early retirement. At least, these are some of his options for now as he tries to figure out how to manage the finances. 
I’m wondering — what have you done in your experience, as in how did you strategize working and / or taking disability, etc.? Also curious about how you handled your financials because of cancer (e.g. disability, social security, early retirement, etc.) 
I'm happy to hear any advice at all. It all seems extremely overwhelming right now to determine his total benefits, etc. Thanks!</t>
        </is>
      </c>
      <c r="D4157" t="n">
        <v>8</v>
      </c>
      <c r="E4157" t="n">
        <v>10</v>
      </c>
      <c r="F4157">
        <f>HYPERLINK("https://www.reddit.com/r/cancer/comments/cr6424/how_did_you_handle_financials_for_yourself_loved/")</f>
        <v/>
      </c>
      <c r="G4157" t="inlineStr">
        <is>
          <t>2019-08-16 06:06:59</t>
        </is>
      </c>
      <c r="H4157" t="inlineStr"/>
    </row>
    <row r="4158">
      <c r="A4158" t="inlineStr">
        <is>
          <t>cr6awb</t>
        </is>
      </c>
      <c r="B4158" t="inlineStr">
        <is>
          <t>Are there any resources for men coping with the hair loss of chemo?</t>
        </is>
      </c>
      <c r="C4158" t="inlineStr">
        <is>
          <t>A little frustrated that every single resource I can find for hair loss and cancer are for women. I haven't found a single thing for men in any cancer-related sources. Does anyone have any links or resources that they use that could help? I'm still undecided on if I want a wig or not, but being able to see men even mentioned using them might help me feel better about wanting one.
My hair is really important to me and my identity and how I see myself, and I already know that losing it is going to hit me hard. Men get cancer too, so where is any mention of them dealing with hair loss??</t>
        </is>
      </c>
      <c r="D4158" t="n">
        <v>5</v>
      </c>
      <c r="E4158" t="n">
        <v>4</v>
      </c>
      <c r="F4158">
        <f>HYPERLINK("https://www.reddit.com/r/cancer/comments/cr6awb/are_there_any_resources_for_men_coping_with_the/")</f>
        <v/>
      </c>
      <c r="G4158" t="inlineStr">
        <is>
          <t>2019-08-16 06:23:06</t>
        </is>
      </c>
      <c r="H4158" t="inlineStr"/>
    </row>
    <row r="4159">
      <c r="A4159" t="inlineStr">
        <is>
          <t>cr7m9w</t>
        </is>
      </c>
      <c r="B4159" t="inlineStr">
        <is>
          <t>How long have hospitals or cancer centers used Virtual Reality as a distraction technique for pain and anxiety?</t>
        </is>
      </c>
      <c r="C4159" t="inlineStr">
        <is>
          <t>Where can I learn more about pain relief using VR without hitting a paywall?</t>
        </is>
      </c>
      <c r="D4159" t="n">
        <v>2</v>
      </c>
      <c r="E4159" t="n">
        <v>0</v>
      </c>
      <c r="F4159">
        <f>HYPERLINK("https://www.reddit.com/r/cancer/comments/cr7m9w/how_long_have_hospitals_or_cancer_centers_used/")</f>
        <v/>
      </c>
      <c r="G4159" t="inlineStr">
        <is>
          <t>2019-08-16 08:06:03</t>
        </is>
      </c>
      <c r="H4159" t="inlineStr"/>
    </row>
    <row r="4160">
      <c r="A4160" t="inlineStr">
        <is>
          <t>cr84rf</t>
        </is>
      </c>
      <c r="B4160" t="inlineStr">
        <is>
          <t>I likely have kidney cancer and I'm kind of freaking out</t>
        </is>
      </c>
      <c r="C4160" t="inlineStr">
        <is>
          <t>Hey everyone, just looking for some help on how to deal with the news. I had two CT scans in the last week and they found an enhancing lesion in one of my kidneys the doctors are pretty sure is cancer, but hopefully early. I meet with the surgeon next week to discuss treatment options. But I'm kind of a wreck. Emotionally and mentally I can't stop thinking about it and I can't really focus on anything. I just want to drink to not think about it. How did you all handle the waiting until you could get definitive answers and know your treatment strategies?</t>
        </is>
      </c>
      <c r="D4160" t="n">
        <v>2</v>
      </c>
      <c r="E4160" t="n">
        <v>7</v>
      </c>
      <c r="F4160">
        <f>HYPERLINK("https://www.reddit.com/r/cancer/comments/cr84rf/i_likely_have_kidney_cancer_and_im_kind_of/")</f>
        <v/>
      </c>
      <c r="G4160" t="inlineStr">
        <is>
          <t>2019-08-16 08:41:58</t>
        </is>
      </c>
      <c r="H4160" t="inlineStr"/>
    </row>
    <row r="4161">
      <c r="A4161" t="inlineStr">
        <is>
          <t>cr86cc</t>
        </is>
      </c>
      <c r="B4161" t="inlineStr">
        <is>
          <t>My fear of doctors and pain bas led me to receive the big C diagnosis yesterday... I'm terrified.</t>
        </is>
      </c>
      <c r="C4161" t="inlineStr">
        <is>
          <t>So a little backstory...
After I had my 2nd child, I went into my gyno for a colposcopy. At the time I was unaware that they did biopsies. I had a colpo done a quite a few months prior but because I was pregnant appearently they couldn't do a biopsy.
When they did the biopsy not only did she have a Male student observe without my consent but it also hurt. Really really bad. I have an extreme fear of doctors and also an extreme sensitivity to any and all pain.
When the gyno called me to give me the results of my biopsy, all she would tell me was that she needed to do the LEEP procedure. She informed me that the procedure would be done on her office and they would only be numbing my cervix, so I needed to take some tylanol before hand to help with discomfort. I asked her what they found and why I needed the procedure and she wouldn't tell me. All she did was repeat over and over that I needed the procedure done. 
To me, this was a red flag. There should have been no reason for her to withhold that information. Before we ended the call, I asked if I could get a copy of my test results. She then acted very defensively and accused me of questioning her ability to do her job. She ended the call with "well, if you want to waste money and our records staff time then go right ahead!"
I immediately sought out a new doctor for a second opinion.
My results said something along the lines of me having HPV and CIN 3 lesions on my cervix.
I was hoping that the new gyno I was going to could just go by those results but of course she had to do her own colpo.
My anxiety took over and I ended up leaving the office before I even undressed.
This all happened in 2013.
I even went back in 2016 to have my IUD replaced. No one mentioned it so I left it alone.
Fast forward to 11 months ago. I had mysteriously developed a seizure disorder near the end of 2016 and after some really bad seizures and going into ventricular tachycardia I ended up in the ICU.
At the time my problem with my cervix crossed my mind but with the doctors prepping me for surgery to implant a pacemaker/defibrillator I was too afraid of going through more pain.
Fast forward again to 3 weeks ago. My husband and I were camping with my mother-in-law and my kids. I went to the bathroom one morning and decided to do my usual check on the strings to my IUD when I came across a very large lump on my cervix.
I freaked and my husband made me promis to call asap to get in with a gyno.
After trying and failing to reach the last gyno I had been seeing, a friend recommended a really good one nearby.
I went to my appointment on Wednesday. The gyno was an NP and assured me that she would be as gentle as possible.  She told me that if I wanted, she could go ahead and do a biopsy so i didn't have to come back for a colpo. Only if i was ok with it though. She also assured me that if she noticed anything too abnormal she could always call in the doctor (as soon as the doctor had a moment) to take a look as well. She hadn't been looking at me for more than 5 minutes before she asked the assisting nurse to go and find the doctor right away ( she did this is the calmest voice I have ever heard, so not to alarm me). My fear only grew once i saw the face of the doctor as she examined my insides.
At this point she and my husband decided i didn't have a choice about the biopsy. It was urgently needed.
The funny thing is however, i didn't even feel it. I was shaking really bad and I asked how bad it would hurt when she nonchalantly said " I already did the biopsy!". I thought she was just using one of the 30 somthing swabs they had to use. They ended up having to use a lot of some sort of medicine to try to help stop the bleeding.
She then told me that they needed me to get an ultrasound as soon as possible because they could no longer find the strings to my IUD or the opening to my cervix.
They tried to get one set up for that day but were unsuccessful. Luckily I got one for next Friday. She then told me that they would rush the biopsy sample to their lab and would hopefully have it back by Friday, Monday at the most.
She said the reason for me not feeling my biopsy was probably because the nerve endings are damaged there.
So, I was out yesterday with my father-in-law and my husband on the way to the pharmacy for my seizure meds when I got the call.
I had to put it on speaker because the hearing loss i have makes me unable to hear anyone on my shitty cellphone.
I could tell by the tone of the NP's voice that it was bad news.
She asked if I was ok with her giving me the results over the phone or did she need to put me in for an appointment today. After my asshole father-in-law spoke up and said " I'm not taking you up there tomarrow so forget that". I told her i was fine with hearing about it over the phone. She then said in the calmest voice she could muster " I am very sorry to have to tell you this, but unfortunately your biopsy showed that the lesions on your cervix have progressed into an invasive cancer". She then informed me that I needed to get into a gynecologic oncologist for staging and treatment options immediately. Unfortunately the nearest gynecologic oncologist is nearly 150 miles away from me. She apologized nearly 10 times and informed me that one of the girls from her office would be calling me with my appointment date and time.
Since I got the news I have basically been in a kind of shock. 
No. Not so much as shock, but I think it's more anger and disappointment in myself. If I had just gotten this taken care of waaay back when,  i know i would be fine now. But I'm nothing but a huge coward. I came home and went straight to our room. I didn't want to talk to anyone. Especially my husband. I was so upset and he seemed like he was just lost.  He has suffered so much loss in the past 10 years and has always said that if I died he couldn't stand to live anymore. 
As I laid in bed trying to force myself to sleep, anything to stop my mind from racing my husband just sat on the edge of the bed for close to 2 hours just staring at our wedding photo.
Its breaking my heart so bad. I had just lost my mother to cancer 3 years ago.
Watching her go through the agonizing pain and her body deteriorate. 
She also had special needs so that only made it harder, but she had unwavering faith. She knew that no matter what, she would be ok.
Unfortunately, I lost my faith a few years ago. I don't have the faith that she had. She seemed fearless. I am a coward.
I am glad however that she didn't live long enough to see this happen to me. It would have crushed her.
Now I just feel lost. Numb. I don't know what to do. My depression has increased tenfold. 
I'm not even sure why I'm posting this. I guess it's to warn others about the dangers of letting things like this go.
You could end up paying for it in the end.</t>
        </is>
      </c>
      <c r="D4161" t="n">
        <v>17</v>
      </c>
      <c r="E4161" t="n">
        <v>15</v>
      </c>
      <c r="F4161">
        <f>HYPERLINK("https://www.reddit.com/r/cancer/comments/cr86cc/my_fear_of_doctors_and_pain_bas_led_me_to_receive/")</f>
        <v/>
      </c>
      <c r="G4161" t="inlineStr">
        <is>
          <t>2019-08-16 08:45:01</t>
        </is>
      </c>
      <c r="H4161" t="inlineStr"/>
    </row>
    <row r="4162">
      <c r="A4162" t="inlineStr">
        <is>
          <t>cr8gs8</t>
        </is>
      </c>
      <c r="B4162" t="inlineStr">
        <is>
          <t>Survivor Checking In</t>
        </is>
      </c>
      <c r="C4162" t="inlineStr">
        <is>
          <t>I'm a survivor.  What I fear, though, is that I'm not actually living anymore.  I'm surviving 4 months at a time - From one checkup to the other.  My next round of scans is this Wednesday.  I've been holding off on dating, buying a home, exploring job opportunities, etc.  The mental block that's holding me back is fear of the unknown. Which I'm sure everyone deals with, regardless of their health issues/lack thereof. But I actually feel stuck right now.
I'm praying this next checkup is all clear. I keep telling myself this will be the one that delivers me freedom. Freedom from this wretched mentality that's prevented me from stepping outside my comfort zone. I have all the support in the world but I'm still hesitant on taking that next step forward.
Just taking it one day at a time, I suppose. Not sure what else to do at this point. 
Anyway, wishing you all good health and good luck as you continue life's journey.</t>
        </is>
      </c>
      <c r="D4162" t="n">
        <v>53</v>
      </c>
      <c r="E4162" t="n">
        <v>25</v>
      </c>
      <c r="F4162">
        <f>HYPERLINK("https://www.reddit.com/r/cancer/comments/cr8gs8/survivor_checking_in/")</f>
        <v/>
      </c>
      <c r="G4162" t="inlineStr">
        <is>
          <t>2019-08-16 09:06:37</t>
        </is>
      </c>
      <c r="H4162" t="inlineStr"/>
    </row>
    <row r="4163">
      <c r="A4163" t="inlineStr">
        <is>
          <t>cr8wy0</t>
        </is>
      </c>
      <c r="B4163" t="inlineStr">
        <is>
          <t>I don't know if I can learn anymore. Grade 2 Olidendrioglioma brain tumor</t>
        </is>
      </c>
      <c r="C4163" t="inlineStr">
        <is>
          <t>I am sitting here at work in on a break from a training session at work and nothing is sticking.  Same thing as the last one.  I am unbelievably grateful to still be here to have it deal with the situation but shit it is tough today. I can't remember what I'm being taught and that means I am going to lose my job. I fucking hate brain cancer.</t>
        </is>
      </c>
      <c r="D4163" t="n">
        <v>10</v>
      </c>
      <c r="E4163" t="n">
        <v>2</v>
      </c>
      <c r="F4163">
        <f>HYPERLINK("https://www.reddit.com/r/cancer/comments/cr8wy0/i_dont_know_if_i_can_learn_anymore_grade_2/")</f>
        <v/>
      </c>
      <c r="G4163" t="inlineStr">
        <is>
          <t>2019-08-16 09:39:02</t>
        </is>
      </c>
      <c r="H4163" t="inlineStr"/>
    </row>
    <row r="4164">
      <c r="A4164" t="inlineStr">
        <is>
          <t>cr98gb</t>
        </is>
      </c>
      <c r="B4164" t="inlineStr">
        <is>
          <t>Close friend has been diagnosed with multiple myeloma and needs painful bone marrow biopsies</t>
        </is>
      </c>
      <c r="C4164" t="inlineStr">
        <is>
          <t>However, there is a new method that uses a liquid biopsy, basically looking at circulating tumor DNA in the blood. Early studies suggest that this has a pretty good alignment with the results from bone marrow biopsies.  How do I get my friend to a doctor that will use this less painful method rather than bone marrow biopsies?  Thanks.</t>
        </is>
      </c>
      <c r="D4164" t="n">
        <v>2</v>
      </c>
      <c r="E4164" t="n">
        <v>3</v>
      </c>
      <c r="F4164">
        <f>HYPERLINK("https://www.reddit.com/r/cancer/comments/cr98gb/close_friend_has_been_diagnosed_with_multiple/")</f>
        <v/>
      </c>
      <c r="G4164" t="inlineStr">
        <is>
          <t>2019-08-16 10:00:11</t>
        </is>
      </c>
      <c r="H4164" t="inlineStr"/>
    </row>
    <row r="4165">
      <c r="A4165" t="inlineStr">
        <is>
          <t>cr9iyr</t>
        </is>
      </c>
      <c r="B4165" t="inlineStr">
        <is>
          <t>Need advice from oncologists.</t>
        </is>
      </c>
      <c r="C4165" t="inlineStr">
        <is>
          <t>Im 18 y/o, recently gotten diagnosed with Astrocytoma in may (this is my third time having cancer). My doctors gave me the option of radiation, but i decided to take the pills for a year (dabrafenib (Tafinlar) and menkinst).
Well, i took it for a week, i started to notice little things, but i ignored it. Plus i didn't go to any of my appointments to monitor me while taking the meds(i know that was dumb, but i have alot of things going on in my life, cancer is just really inconvenient for me in this moment in my life.)
So, another week past, things where getting worse, but i continued to take the meds, for the greater good. But almost by the end of june, i stopped, the side effects got so bad, my doctors were still trying to see me, to see if i had any alarming changes, but i still didn't go (like a dummy).
Anyway, i stopped taking the meds at the end of June, its August now, the side effects are still hitting me hard-when will they be completely out of my system? How long would i have to live if it's untreated? Is radiation a good idea? I just need advice.</t>
        </is>
      </c>
      <c r="D4165" t="n">
        <v>6</v>
      </c>
      <c r="E4165" t="n">
        <v>16</v>
      </c>
      <c r="F4165">
        <f>HYPERLINK("https://www.reddit.com/r/cancer/comments/cr9iyr/need_advice_from_oncologists/")</f>
        <v/>
      </c>
      <c r="G4165" t="inlineStr">
        <is>
          <t>2019-08-16 10:21:37</t>
        </is>
      </c>
      <c r="H4165" t="inlineStr"/>
    </row>
    <row r="4166">
      <c r="A4166" t="inlineStr">
        <is>
          <t>crb9b5</t>
        </is>
      </c>
      <c r="B4166" t="inlineStr">
        <is>
          <t>Found out one of my parents long time friends has been diagnosed with a growth that can potentially be cancerous once again.</t>
        </is>
      </c>
      <c r="C4166" t="inlineStr">
        <is>
          <t>They won't know if the growth is cancerous until Monday but I'm curious about some stuff I've heard through friends and science type stuff.
I've heard the that marijuana can help stunt the growth or at least slow the progress of the growth. I'm curious if this can be used to instead of chemo therapy or should it be used while in chemo and if smoking helps at all or is it just some fairytale. 
I'm just trying to help the poor guy as he has no family besides my parents and I know it's been rough for him this past week</t>
        </is>
      </c>
      <c r="D4166" t="n">
        <v>5</v>
      </c>
      <c r="E4166" t="n">
        <v>3</v>
      </c>
      <c r="F4166">
        <f>HYPERLINK("https://www.reddit.com/r/cancer/comments/crb9b5/found_out_one_of_my_parents_long_time_friends_has/")</f>
        <v/>
      </c>
      <c r="G4166" t="inlineStr">
        <is>
          <t>2019-08-16 12:31:30</t>
        </is>
      </c>
      <c r="H4166" t="inlineStr"/>
    </row>
    <row r="4167">
      <c r="A4167" t="inlineStr">
        <is>
          <t>crbjw4</t>
        </is>
      </c>
      <c r="B4167" t="inlineStr">
        <is>
          <t>Severe Headache/ Migraines</t>
        </is>
      </c>
      <c r="C4167" t="inlineStr">
        <is>
          <t>I was a migraine sufferer before all of this cancer stuff (at least one a week) and it was manageable with Excedrine. Now after chemo treatments, I’m having migraines or headaches almost everyday. I can’t take Excedrine anymore because I’m on blood thinners, but I was prescribed Imitrex which doesn’t work all that well. Has anyone else experienced problems with migraines or severe headaches? Any tips or tricks to help manage them better?</t>
        </is>
      </c>
      <c r="D4167" t="n">
        <v>4</v>
      </c>
      <c r="E4167" t="n">
        <v>3</v>
      </c>
      <c r="F4167">
        <f>HYPERLINK("https://www.reddit.com/r/cancer/comments/crbjw4/severe_headache_migraines/")</f>
        <v/>
      </c>
      <c r="G4167" t="inlineStr">
        <is>
          <t>2019-08-16 12:53:56</t>
        </is>
      </c>
      <c r="H4167" t="inlineStr"/>
    </row>
    <row r="4168">
      <c r="A4168" t="inlineStr">
        <is>
          <t>crbnf0</t>
        </is>
      </c>
      <c r="B4168" t="inlineStr">
        <is>
          <t>Stem cell transplant caregiver advice</t>
        </is>
      </c>
      <c r="C4168" t="inlineStr">
        <is>
          <t>My mom (56) was diagnosed with a plasmacytoma about a year ago. After a very invasive and unpleasant surgery in her neck, She went through about 30 treatments of radiation treatment. Just before she finished radiation treatments, we found another bone legion was stage 1 multiple myeloma. She’s just starting her sixth and final month of chemo and determining whether or not to get get a stem cell treatment now or wait. How do I support her during her decision making process?</t>
        </is>
      </c>
      <c r="D4168" t="n">
        <v>4</v>
      </c>
      <c r="E4168" t="n">
        <v>0</v>
      </c>
      <c r="F4168">
        <f>HYPERLINK("https://www.reddit.com/r/cancer/comments/crbnf0/stem_cell_transplant_caregiver_advice/")</f>
        <v/>
      </c>
      <c r="G4168" t="inlineStr">
        <is>
          <t>2019-08-16 13:01:39</t>
        </is>
      </c>
      <c r="H4168" t="inlineStr"/>
    </row>
    <row r="4169">
      <c r="A4169" t="inlineStr">
        <is>
          <t>crbs9k</t>
        </is>
      </c>
      <c r="B4169" t="inlineStr">
        <is>
          <t>Opdivo immunotherapy</t>
        </is>
      </c>
      <c r="C4169" t="inlineStr">
        <is>
          <t>Is there anyone out there that is taking this? If so, are you experiencing cognitive problems that start 3-4 days after treatment and subside a week or so later? Treatment plan is IV administered every 2 weeks. Any help would be appreciated.</t>
        </is>
      </c>
      <c r="D4169" t="n">
        <v>4</v>
      </c>
      <c r="E4169" t="n">
        <v>6</v>
      </c>
      <c r="F4169">
        <f>HYPERLINK("https://www.reddit.com/r/cancer/comments/crbs9k/opdivo_immunotherapy/")</f>
        <v/>
      </c>
      <c r="G4169" t="inlineStr">
        <is>
          <t>2019-08-16 13:11:30</t>
        </is>
      </c>
      <c r="H4169" t="inlineStr"/>
    </row>
    <row r="4170">
      <c r="A4170" t="inlineStr">
        <is>
          <t>crc4cz</t>
        </is>
      </c>
      <c r="B4170" t="inlineStr">
        <is>
          <t>Can CA-125 tell if the tumor is malignant?</t>
        </is>
      </c>
      <c r="C4170" t="inlineStr">
        <is>
          <t>Hello!
My mom went to a CA-125 molecular marker test. She had and hernia and had a surgery a few months ago... But the pain didn't go away, so she went with the doctor and she diagnosed she might had ovarian cancer. Then she did a CA-125 molecular marker test and scored almost 200 and a CT scan. I know a value above 35 is considered cancer, but the doctor told her that it could be a benign tumor, based on the CT, and there was nothing to worry about. That was almost 2 months ago. Today she went for another revision becuase they're removing the tumor, but the CA-125 levels this time scored 1600. I wanted to know if you can tell by just the levels if the tumor is malignant or benign, and if the fact that she has a lot of colitis could increase the CA-125 levels.
Thank you so much for all your comments, she's having a surgery on monday.</t>
        </is>
      </c>
      <c r="D4170" t="n">
        <v>4</v>
      </c>
      <c r="E4170" t="n">
        <v>11</v>
      </c>
      <c r="F4170">
        <f>HYPERLINK("https://www.reddit.com/r/cancer/comments/crc4cz/can_ca125_tell_if_the_tumor_is_malignant/")</f>
        <v/>
      </c>
      <c r="G4170" t="inlineStr">
        <is>
          <t>2019-08-16 13:37:37</t>
        </is>
      </c>
      <c r="H4170" t="inlineStr"/>
    </row>
    <row r="4171">
      <c r="A4171" t="inlineStr">
        <is>
          <t>crdl3h</t>
        </is>
      </c>
      <c r="B4171" t="inlineStr">
        <is>
          <t>It WAS going to be a decent weekend......</t>
        </is>
      </c>
      <c r="C4171" t="inlineStr">
        <is>
          <t>I went in for treatment today- the game plan was first getting bloodwork , then meeting with doc to go over results then on to the infusion room for Opdivo immuno therapy. I did my bloodwork but the doctor was out so I was under the impression I'd meet with his nurse or NP. Nope, they sent me into the infusion room and I had my ball of Opdivo and went on my way, happily for a change because I wasn't there 4 hours to get an half hour infusion.
Later today I get a sorta panicky call from Doc's nurse telling me that I have to come in first thing on Monday and have another blood draw because I had elevated liver levels, and then again on Thursday. Okaaaay...I can do that. Then she asks "Do you feel ok?"  I answered 'yes but tired' but I wanted to say "Well not now, now I'm nervous and anxious. WTF is going on??" I didn't say that but maybe shouldve. We ended the call, I'll see her bright and early on Monday. 
I pulled up my labwork on the hospitals patient portal app and heres what I found that stood out from todays draw.
AST  
85 Unit/L (HIGH) Reference Range 11 Unit/L - 39 UNIT/L
ALT
233 Unit/L (HIGH) Reference Range 7 Unit/L - 52 UNIT/L
I have no idea what any of this means other than its related to my liver and thats it's WAY TOO high. I'm not sure if this is a side effect of Opdivo or the fact I take Tylenol like crazy. Or both? I'm going to stress on this all weekend. GAHHHHH.</t>
        </is>
      </c>
      <c r="D4171" t="n">
        <v>3</v>
      </c>
      <c r="E4171" t="n">
        <v>9</v>
      </c>
      <c r="F4171">
        <f>HYPERLINK("https://www.reddit.com/r/cancer/comments/crdl3h/it_was_going_to_be_a_decent_weekend/")</f>
        <v/>
      </c>
      <c r="G4171" t="inlineStr">
        <is>
          <t>2019-08-16 15:31:06</t>
        </is>
      </c>
      <c r="H4171" t="inlineStr"/>
    </row>
    <row r="4172">
      <c r="A4172" t="inlineStr">
        <is>
          <t>crdnhr</t>
        </is>
      </c>
      <c r="B4172" t="inlineStr">
        <is>
          <t>Am I an a*hole for feeling like my friend is milking his cancer for attention and financial gain?</t>
        </is>
      </c>
      <c r="C4172" t="inlineStr">
        <is>
          <t>I feel like a shitty human for even writing this, but I've finally reached the point where I have to put how I feel out there and see what other people think. 
Eight months ago my best friend was diagnosed with a super rare cancer that had already metastasized, and was given a grim prognosis (1-3 years). So far, though, he's remained in good health and chemo/immunotherapy/alternative medicine seems to be keeping it at bay. 
When he was first diagnosed, he moved to another state where his dad and sisters live to undergo treatment there. He made a GoFundMe to pay for the move, the herbal and holistic treatments he was getting that insurance wouldn't cover, etc. He ended up getting almost $20,000. Amazing, right? Don't get me wrong-- he's a good person, has tons of friends, and the news of his diagnosis was such a shock to everyone it made sense that they would open their wallets for him. 
Fast forward a few months, and he'd burned through the $20,000. He went on Facebook asking for more donations-- saying it was for medical treatments. He got another couple grand. Shortly after that, he paid for us both to go on a trip to NYC. Fancy hotel, front row tickets to Broadway shows, etc. It gave me pause, but I just figured-- well, it's his money to use how he wants, and if this makes him happy I guess it's worth it. 
We had a great time in NYC, and when we got back he suddenly decided he wanted to be a playwright. Where this came from I have no idea, since he had never expressed an interest in anything like that before. He said he wanted to write a play about his cancer experience. Fair enough. He showed me a few drafts-- I actually DO write plays, as well as other things, and I teach theater arts--  and I have to be honest....it wasn't great. It was super maudlin and didn't make much sense and ended with him dying, on stage, while the other characters around him wept hysterically. But what the hell was I supposed to say? I figured it was just a way for him to process what he was going through, so I offered some constructive feedback and left it at that. 
Well, then he decided he wanted the play to be performed by theater company. And he wanted to pay actors to perform in it. He talked to the owners of a local community theater and they said sure, but he had to rent out the space at the low cost of another couple thousand dollars. 
So he made another GoFundMe to ask for donations to pay the theater. He tells everyone he wants to leave something behind when he dies, he wants to change people's lives and inspire them to live life to the fullest. And he got the entire amount and then some. At this point I was beginning to feel weird, but of course I could never say anything out loud so I kept my feelings to myself. 
Did I mention that he's currently got about $75,000 of student loan debt? And that this entire time he's literally hitting up the producers of talk shows asking if they'll put him on TV and pay his student loan debt for him because it would be such an inspiring story? And he's planning trips to Europe? 
Oh, but it gets better. He comes back a couple of days later and tells Facebook that the theater is now asking for a extra $1,200 for a deposit on top of the several thousand they wanted for rent. And, what do you know, people give it to him. 
A few days after that we're talking, and he mentions that he's got some bill he needs to pay for something or another. The amount? $1,200. I hold my tongue. 
Yesterday he went on Facebook and announced that he's applying for an MFA in Playwriting. The cost of the program? Only around $50,000. 
I just...I don't even know what to think anymore. My boyfriend says that it's not my business, it's impossible to know what's going on in his brain right now, and it makes sense that he would start doing out of character stuff.  Like, he's partially being honest when he asks people for money, but I feel like they aren't getting the whole story, and he's being frivolous and kind of manipulative. 
Is this normal, to use your cancer as a money-making opportunity? Is that even what's happening here? Am I wrong to feel uncomfortable? And it's not just the money-- he uses his diagnosis to get shit all the time. He's used it to get refunds on stuff he bought by guilting the salespeople. Recently somebody stole a parking space he wanted, so he went up to the person and told him he'd just stolen a space from someone who was dying of cancer. Etc. 
I figured, who else to ask but people on their own cancer journeys? Please, help me understand why he's doing this.</t>
        </is>
      </c>
      <c r="D4172" t="n">
        <v>1</v>
      </c>
      <c r="E4172" t="n">
        <v>0</v>
      </c>
      <c r="F4172">
        <f>HYPERLINK("https://www.reddit.com/r/cancer/comments/crdnhr/am_i_an_ahole_for_feeling_like_my_friend_is/")</f>
        <v/>
      </c>
      <c r="G4172" t="inlineStr">
        <is>
          <t>2019-08-16 15:36:22</t>
        </is>
      </c>
      <c r="H4172" t="inlineStr"/>
    </row>
    <row r="4173">
      <c r="A4173" t="inlineStr">
        <is>
          <t>crewfv</t>
        </is>
      </c>
      <c r="B4173" t="inlineStr">
        <is>
          <t>Cancer has aged me like cigarettes</t>
        </is>
      </c>
      <c r="C4173" t="inlineStr">
        <is>
          <t>My mom changed her desktop background to a family portrait from Xmas 2017 and I got super emotional. 
I’ve lost ~ 20 lbs and have a gaunt face with sunken eyes and a buzz cut. 
The stark contrast is heart breaking. 
Fuck this disease.</t>
        </is>
      </c>
      <c r="D4173" t="n">
        <v>30</v>
      </c>
      <c r="E4173" t="n">
        <v>13</v>
      </c>
      <c r="F4173">
        <f>HYPERLINK("https://www.reddit.com/r/cancer/comments/crewfv/cancer_has_aged_me_like_cigarettes/")</f>
        <v/>
      </c>
      <c r="G4173" t="inlineStr">
        <is>
          <t>2019-08-16 17:21:56</t>
        </is>
      </c>
      <c r="H4173" t="inlineStr"/>
    </row>
    <row r="4174">
      <c r="A4174" t="inlineStr">
        <is>
          <t>crfdv9</t>
        </is>
      </c>
      <c r="B4174" t="inlineStr">
        <is>
          <t>Just had my last round of Chemotherapy today!</t>
        </is>
      </c>
      <c r="C4174" t="inlineStr">
        <is>
          <t>I have posted a month ago in this community forum about how the cancer is gone and how I' m now in remission. Well as of today I completed my last round of Chemo. :D I have to scan occasionally every 3-6 months. I'm always worried that the cancer will come back and if it does I will fight again!! Thank you to everyone on this platform for your support and encouragement,it means a lot to me. Take care of yourselves and one another :)</t>
        </is>
      </c>
      <c r="D4174" t="n">
        <v>115</v>
      </c>
      <c r="E4174" t="n">
        <v>14</v>
      </c>
      <c r="F4174">
        <f>HYPERLINK("https://www.reddit.com/r/cancer/comments/crfdv9/just_had_my_last_round_of_chemotherapy_today/")</f>
        <v/>
      </c>
      <c r="G4174" t="inlineStr">
        <is>
          <t>2019-08-16 18:05:07</t>
        </is>
      </c>
      <c r="H4174" t="inlineStr"/>
    </row>
    <row r="4175">
      <c r="A4175" t="inlineStr">
        <is>
          <t>crfgtc</t>
        </is>
      </c>
      <c r="B4175" t="inlineStr">
        <is>
          <t>My best friend is about to die</t>
        </is>
      </c>
      <c r="C4175" t="inlineStr">
        <is>
          <t>Now in a hospice home she only has a few weeks to a few months left to live. She refuses to let any of her friends see her because she wants to be remembered positively. She’s the best person I know and it’s crushing me that she won’t be around much longer. Does anyone have any ways of coping with the soon to be loss of a best friend?</t>
        </is>
      </c>
      <c r="D4175" t="n">
        <v>6</v>
      </c>
      <c r="E4175" t="n">
        <v>5</v>
      </c>
      <c r="F4175">
        <f>HYPERLINK("https://www.reddit.com/r/cancer/comments/crfgtc/my_best_friend_is_about_to_die/")</f>
        <v/>
      </c>
      <c r="G4175" t="inlineStr">
        <is>
          <t>2019-08-16 18:12:36</t>
        </is>
      </c>
      <c r="H4175" t="inlineStr"/>
    </row>
    <row r="4176">
      <c r="A4176" t="inlineStr">
        <is>
          <t>crfr3y</t>
        </is>
      </c>
      <c r="B4176" t="inlineStr">
        <is>
          <t>Surgery is scheduled</t>
        </is>
      </c>
      <c r="C4176" t="inlineStr">
        <is>
          <t>My hysterectomy is scheduled for next Friday. Part of me is so relieved and excited that I will be free from the bleeding. Another part is a little terrified that I may find out this cancer has spread. I’m trying to remain positive. One hurdle at a time...</t>
        </is>
      </c>
      <c r="D4176" t="n">
        <v>4</v>
      </c>
      <c r="E4176" t="n">
        <v>2</v>
      </c>
      <c r="F4176">
        <f>HYPERLINK("https://www.reddit.com/r/cancer/comments/crfr3y/surgery_is_scheduled/")</f>
        <v/>
      </c>
      <c r="G4176" t="inlineStr">
        <is>
          <t>2019-08-16 18:38:50</t>
        </is>
      </c>
      <c r="H4176" t="inlineStr"/>
    </row>
    <row r="4177">
      <c r="A4177" t="inlineStr">
        <is>
          <t>crft5x</t>
        </is>
      </c>
      <c r="B4177" t="inlineStr">
        <is>
          <t>Is the end nearing?</t>
        </is>
      </c>
      <c r="C4177" t="inlineStr">
        <is>
          <t>My mom is 60 and has been battling Stage 3 Ovarian Cancer for the last three years. Couple months ago, my mom was asked to take a break from chemo because her body had deteriorated too much despite the fact that additional chemo was required. A month ago, we realized it was time to get back to chemo after she started developing ascites again for the first time in 3 years. But this time around the rate at which its filling up and its symptoms seem to be much severe. She seems to be accumulating 3\~4L every 4\~5 days and usually by the 2nd or 3rd day she's complains of immense discomfort to the point where she can't even lie down or sit still, let alone sleep during the night. At the pace at she's filling up right now, it seems like she needs to be drained every 2\~3 days but the doctors would often turn her away when she asks to be drained and I just dont understand why. We hoped the ascites would go away once we start this new chemo drug they're trying out but it seems like the ascites are not going away which probably means the chemo is not working. We've tried two different chemos at this point, a type of immunotherapy, and the cancer is still here and seems to have came back stronger than ever. I don't know what other options we have left. I did some research on ascites on this subreddit and it seems like ascites are often present for patients when they're near their last couple weeks or months. Does this mean by mom is nearing her end? What should I make of all this?</t>
        </is>
      </c>
      <c r="D4177" t="n">
        <v>4</v>
      </c>
      <c r="E4177" t="n">
        <v>3</v>
      </c>
      <c r="F4177">
        <f>HYPERLINK("https://www.reddit.com/r/cancer/comments/crft5x/is_the_end_nearing/")</f>
        <v/>
      </c>
      <c r="G4177" t="inlineStr">
        <is>
          <t>2019-08-16 18:44:08</t>
        </is>
      </c>
      <c r="H4177" t="inlineStr"/>
    </row>
    <row r="4178">
      <c r="A4178" t="inlineStr">
        <is>
          <t>crg980</t>
        </is>
      </c>
      <c r="B4178" t="inlineStr">
        <is>
          <t>Someone please give me some hope for my dad.</t>
        </is>
      </c>
      <c r="C4178" t="inlineStr">
        <is>
          <t>Hey everyone. My dad is 67, and was just diagnosed with localized SCLC (Small Cell Lung Cancer). I’m currently an emotional mess over it and don’t know how to cope with my father’s diagnosis. 
What are the statistics? 
How can I make his life easier? 
What can I do for him?
I just want to help him, the doctor told him the statistics don’t look good and I’m scared.</t>
        </is>
      </c>
      <c r="D4178" t="n">
        <v>6</v>
      </c>
      <c r="E4178" t="n">
        <v>7</v>
      </c>
      <c r="F4178">
        <f>HYPERLINK("https://www.reddit.com/r/cancer/comments/crg980/someone_please_give_me_some_hope_for_my_dad/")</f>
        <v/>
      </c>
      <c r="G4178" t="inlineStr">
        <is>
          <t>2019-08-16 19:25:46</t>
        </is>
      </c>
      <c r="H4178" t="inlineStr"/>
    </row>
    <row r="4179">
      <c r="A4179" t="inlineStr">
        <is>
          <t>crg9yf</t>
        </is>
      </c>
      <c r="B4179" t="inlineStr">
        <is>
          <t>What exactly makes Pancreatic Cancer so terrible?</t>
        </is>
      </c>
      <c r="C4179" t="inlineStr">
        <is>
          <t>I know that Pancreatic cancer is considered as one of the worst, it has less than a 5% survival rate, it is very resistant to chemotherapy and even if it goes into remission it generally comes back (in the same place or in other organs) in a relatively short span.
Being completely ignorant about medicine I am curious why this is the case though. What are the biological reasons that make pancreatic cancer so hard to defeat?</t>
        </is>
      </c>
      <c r="D4179" t="n">
        <v>4</v>
      </c>
      <c r="E4179" t="n">
        <v>13</v>
      </c>
      <c r="F4179">
        <f>HYPERLINK("https://www.reddit.com/r/cancer/comments/crg9yf/what_exactly_makes_pancreatic_cancer_so_terrible/")</f>
        <v/>
      </c>
      <c r="G4179" t="inlineStr">
        <is>
          <t>2019-08-16 19:27:46</t>
        </is>
      </c>
      <c r="H4179" t="inlineStr"/>
    </row>
    <row r="4180">
      <c r="A4180" t="inlineStr">
        <is>
          <t>crh2om</t>
        </is>
      </c>
      <c r="B4180" t="inlineStr">
        <is>
          <t>The start</t>
        </is>
      </c>
      <c r="C4180" t="inlineStr">
        <is>
          <t>Two weeks ago I was diagnosed with rectal cancer. After the meetings and another scan, it has been determined to start on chemotherapy. I have to get a port inserted first and then will start my first round. I’m not sure to how it’ll be but I’m closing my fists and putting it up. Let’s start this battle</t>
        </is>
      </c>
      <c r="D4180" t="n">
        <v>5</v>
      </c>
      <c r="E4180" t="n">
        <v>11</v>
      </c>
      <c r="F4180">
        <f>HYPERLINK("https://www.reddit.com/r/cancer/comments/crh2om/the_start/")</f>
        <v/>
      </c>
      <c r="G4180" t="inlineStr">
        <is>
          <t>2019-08-16 20:44:00</t>
        </is>
      </c>
      <c r="H4180" t="inlineStr"/>
    </row>
    <row r="4181">
      <c r="A4181" t="inlineStr">
        <is>
          <t>crh80y</t>
        </is>
      </c>
      <c r="B4181" t="inlineStr">
        <is>
          <t>Help, my spleen and organs feel like they are exploding from this Neupogen shot.</t>
        </is>
      </c>
      <c r="C4181" t="inlineStr">
        <is>
          <t>Someone, I’m in so much pain. This isn’t my first neupogen rodeo. But I’ve never felt organ pain this bad. It’s all around the spleen area, my entire torso is contracting. It feels like there isn’t enough space for my organs and it HURTS. Relief ? Plz anyone</t>
        </is>
      </c>
      <c r="D4181" t="n">
        <v>2</v>
      </c>
      <c r="E4181" t="n">
        <v>5</v>
      </c>
      <c r="F4181">
        <f>HYPERLINK("https://www.reddit.com/r/cancer/comments/crh80y/help_my_spleen_and_organs_feel_like_they_are/")</f>
        <v/>
      </c>
      <c r="G4181" t="inlineStr">
        <is>
          <t>2019-08-16 20:58:21</t>
        </is>
      </c>
      <c r="H4181" t="inlineStr"/>
    </row>
    <row r="4182">
      <c r="A4182" t="inlineStr">
        <is>
          <t>crias8</t>
        </is>
      </c>
      <c r="B4182" t="inlineStr">
        <is>
          <t>Would lymphoma bad enough to cause symptoms show on a CBC?</t>
        </is>
      </c>
      <c r="C4182" t="inlineStr">
        <is>
          <t>I should note, I only noticed this 4 weeks ago. Once I, hypochondriac I am, read up on symptoms, I started feeling itchy and have have night sweats 3 times in the past 4 weeks. These only began when I read up on symptoms, and hit at once, so IDK if it could be a reverse placebo effect there. 
I've been touching and poking it constantly. Could that have stopped it from going down? Sometimes it feels softer, sometimes harder. It is painless and rubbery. 
And CBC tests have been fine. I feel like if I had lymphoma bad enough to cause symptoms, blood counts would be off. Right?
I'll also note that it has not grown. Being an anxious wreck, I measured it. It's about 2cm long and 1.4 cm in diameter. 
I'm having an ultrsound tuesday. Wish me luck. Thanks!</t>
        </is>
      </c>
      <c r="D4182" t="n">
        <v>0</v>
      </c>
      <c r="E4182" t="n">
        <v>6</v>
      </c>
      <c r="F4182">
        <f>HYPERLINK("https://www.reddit.com/r/cancer/comments/crias8/would_lymphoma_bad_enough_to_cause_symptoms_show/")</f>
        <v/>
      </c>
      <c r="G4182" t="inlineStr">
        <is>
          <t>2019-08-16 22:51:16</t>
        </is>
      </c>
      <c r="H4182" t="inlineStr"/>
    </row>
    <row r="4183">
      <c r="A4183" t="inlineStr">
        <is>
          <t>crjeak</t>
        </is>
      </c>
      <c r="B4183" t="inlineStr">
        <is>
          <t>Anxiety before appointments, and feeling isolated because of this gross disease</t>
        </is>
      </c>
      <c r="C4183" t="inlineStr">
        <is>
          <t>So a little backstory I guess, shortly after my 18th birthday this year I underwent surgery to remove what was thought to be an apendymoma in my spinal cord. A few months later, I’m recovering pretty well physically (couldn’t walk after the operation or feel anything below like.. armpit level? but now i’m walking again just fine, still can’t run though lol) i’ve had 6 weeks of radiotherapy as well. Tests came back saying it is not an apendymoma but a high grade glioma, so, far worse :(  although, my symptoms and tumor progression were not very consistent with a high grade tumor since i was having back pain due to it for nearly 2 years prior to diagnosis, and typically these tumors grow a lot faster. 
ANYWAY, i’m nearly 6 weeks out of radiation and onco said they found a marker on my tumor that responds well to a certain medication, however, this is approved in the USA, but in my country (australia) they’re still running clinical trials. The trial my onco wanted me to partake in is at a children’s hospital, so there’s a chance they might turn me away because i’m 18, even though i was diagnosed at 17 and had my operation at a children’s hospital too. So anyway, I had an MRI last week and have an appointment with onco on monday, and i am so scared. Scared he will tell me bad news, that my tumor is worse, that it’s spread to my brain, that i’ve been refused from the clinical trial, that my only other option is chemo. I hate to feel so stressed over news i haven’t even received yet but i can’t help it. I’ve been anxious all week :(( 
I know this is a very long story, if you read it, thankyou!! I guess i just needed to get things off my chest, any advice is very welcome tho haha! 
( another thing I hate is how alone in all of this i feel, i have no friends close in age that have been through cancer also, so nobody around me really knows how I feel. Feels like i’m trapped inside a cold dark cave and nobody knows where i am or how to save me.)</t>
        </is>
      </c>
      <c r="D4183" t="n">
        <v>16</v>
      </c>
      <c r="E4183" t="n">
        <v>9</v>
      </c>
      <c r="F4183">
        <f>HYPERLINK("https://www.reddit.com/r/cancer/comments/crjeak/anxiety_before_appointments_and_feeling_isolated/")</f>
        <v/>
      </c>
      <c r="G4183" t="inlineStr">
        <is>
          <t>2019-08-17 01:04:03</t>
        </is>
      </c>
      <c r="H4183" t="inlineStr"/>
    </row>
    <row r="4184">
      <c r="A4184" t="inlineStr">
        <is>
          <t>crkuu7</t>
        </is>
      </c>
      <c r="B4184" t="inlineStr">
        <is>
          <t>Just want to thank this subreddit for helping my wife and I to cope with my mother-in-law.</t>
        </is>
      </c>
      <c r="C4184" t="inlineStr">
        <is>
          <t>My mother-in-law was diagnosed with stage-4 small cell lung cancer that spread to just about everything else by the time she passed last week.  All of her siblings have also died from cancer, so we're going to be proactive with testing for my wife.
My wife doesn't know I go here, or participate in reddit at all ... I just tell her I 'read it online'.  Your stories have helped me cope and give ammunition for the things I say to her, my approaches, what to prepare for and what to ask the doctors.  Someone here was explaining immunotherapy (did I spell that right?), so we found a more proactive doctor that gave her this drug treatment, which must have extended her life, because she lived for 7 months, instead of 6 weeks as we were told.  By the way, if you are not comfortable with the doctor you are working with, do not hesitate to look online for doctor reviews.  The one we found was amazing, and kept in contact with us throughout.  They had zero money, and unfortunately, it seems you get zero effort from doctors to go along with it.
I can't really keep it together to finish this, but I just wanted you all to know that reading your stories has helped us immensely and directly.  You gave us more time with her, because we didn't just let her be part of the production line.  Thank you all so much, and even though I don't know you all personally, it doesn't really matter in the end, as we're all the same deep inside.  
Love to you all, and thank you for being responsible for extending our time with her.  I will never forget the change in my wife when we heard she can live longer.  I cannot finish.  I love you all.</t>
        </is>
      </c>
      <c r="D4184" t="n">
        <v>73</v>
      </c>
      <c r="E4184" t="n">
        <v>6</v>
      </c>
      <c r="F4184">
        <f>HYPERLINK("https://www.reddit.com/r/cancer/comments/crkuu7/just_want_to_thank_this_subreddit_for_helping_my/")</f>
        <v/>
      </c>
      <c r="G4184" t="inlineStr">
        <is>
          <t>2019-08-17 04:08:31</t>
        </is>
      </c>
      <c r="H4184" t="inlineStr"/>
    </row>
    <row r="4185">
      <c r="A4185" t="inlineStr">
        <is>
          <t>crlpvs</t>
        </is>
      </c>
      <c r="B4185" t="inlineStr">
        <is>
          <t>Still looking for Options Metastatic Seminoma</t>
        </is>
      </c>
      <c r="C4185" t="inlineStr">
        <is>
          <t>Hello, 
I am still looking for any other options besides High Dose Chemo + stem cell transplant for Metastatic Seminoma Testicular Cancer. They won't do because of poor Kidney Function 35%.  If anybody could just put feelers out there if you talk to your oncologist , that would be great. My Oncologist is checking with a few places around the country and I have a follow up next week to discuss any other options. Thanks.</t>
        </is>
      </c>
      <c r="D4185" t="n">
        <v>3</v>
      </c>
      <c r="E4185" t="n">
        <v>0</v>
      </c>
      <c r="F4185">
        <f>HYPERLINK("https://www.reddit.com/r/cancer/comments/crlpvs/still_looking_for_options_metastatic_seminoma/")</f>
        <v/>
      </c>
      <c r="G4185" t="inlineStr">
        <is>
          <t>2019-08-17 05:47:37</t>
        </is>
      </c>
      <c r="H4185" t="inlineStr"/>
    </row>
    <row r="4186">
      <c r="A4186" t="inlineStr">
        <is>
          <t>crncaq</t>
        </is>
      </c>
      <c r="B4186" t="inlineStr">
        <is>
          <t>Why do I miss the hospital?</t>
        </is>
      </c>
      <c r="C4186" t="inlineStr">
        <is>
          <t>I'm 15 and was diagnosed with ALL when i was 8, Recently I was diagnosed with malignant brain tumors from my previous radiation treatment. I know I should be glad to to be out of the hospital, but I missthe child life specialists and nurses there and so want to go back</t>
        </is>
      </c>
      <c r="D4186" t="n">
        <v>7</v>
      </c>
      <c r="E4186" t="n">
        <v>6</v>
      </c>
      <c r="F4186">
        <f>HYPERLINK("https://www.reddit.com/r/cancer/comments/crncaq/why_do_i_miss_the_hospital/")</f>
        <v/>
      </c>
      <c r="G4186" t="inlineStr">
        <is>
          <t>2019-08-17 08:11:29</t>
        </is>
      </c>
      <c r="H4186" t="inlineStr"/>
    </row>
    <row r="4187">
      <c r="A4187" t="inlineStr">
        <is>
          <t>crnxxw</t>
        </is>
      </c>
      <c r="B4187" t="inlineStr">
        <is>
          <t>Has anyone heard of double masectomy being an outpatient procedure?</t>
        </is>
      </c>
      <c r="C4187" t="inlineStr">
        <is>
          <t>I had a double masectomy yesterday and 40 minutes after I woke up the Dr told nurse to ask  if I wanted to go home?! I said no of course . So today my boyfriend asked different doctor if that was normal and Dr confirmed that is standard procedure if patients feel good after. Um what? I was on morphine every 2 hours I would not have access to morphine st home. Then nurse ratchet is telling me I should not just stay home and rest I should be going to store etc. I was like I am not suppose to drive with drains not to mention groceries weigh more than 5 lbs which is suppose to be my limit  and she said sure you can. I am going home today this place is crazy!</t>
        </is>
      </c>
      <c r="D4187" t="n">
        <v>5</v>
      </c>
      <c r="E4187" t="n">
        <v>18</v>
      </c>
      <c r="F4187">
        <f>HYPERLINK("https://www.reddit.com/r/cancer/comments/crnxxw/has_anyone_heard_of_double_masectomy_being_an/")</f>
        <v/>
      </c>
      <c r="G4187" t="inlineStr">
        <is>
          <t>2019-08-17 08:56:53</t>
        </is>
      </c>
      <c r="H4187" t="inlineStr"/>
    </row>
    <row r="4188">
      <c r="A4188" t="inlineStr">
        <is>
          <t>crojvn</t>
        </is>
      </c>
      <c r="B4188" t="inlineStr">
        <is>
          <t>Delayed melanoma biopsy</t>
        </is>
      </c>
      <c r="C4188" t="inlineStr">
        <is>
          <t>Recently went to MSK for melanoma surgery. Support staff and nurses were great overall. Sentinel node biopsy came back positive for cancer in lymph nodes. So, my surgeon sat on this report which came back from the lab a week after surgery but my surgeon didn't notify me or share it with me until my surgical follow-up appointment that was 3 weeks since the surgery. I feel like I've lost those two weeks when I could have been planning my next steps. Another thing is that no one at MSK told me that I would have to continue my care with a new doctor once surgery was done. My surgeon said I now need to make an appointment with a "medical oncologists" to treat the melanoma at the site and in the lymph nodes. I cannot get an appointment for another 2 weeks, so I've lost a month that could have gone towards my treatment. Is there anyone at MSK that I can talk to about this?</t>
        </is>
      </c>
      <c r="D4188" t="n">
        <v>1</v>
      </c>
      <c r="E4188" t="n">
        <v>0</v>
      </c>
      <c r="F4188">
        <f>HYPERLINK("https://www.reddit.com/r/cancer/comments/crojvn/delayed_melanoma_biopsy/")</f>
        <v/>
      </c>
      <c r="G4188" t="inlineStr">
        <is>
          <t>2019-08-17 09:44:24</t>
        </is>
      </c>
      <c r="H4188" t="inlineStr"/>
    </row>
    <row r="4189">
      <c r="A4189" t="inlineStr">
        <is>
          <t>crorl4</t>
        </is>
      </c>
      <c r="B4189" t="inlineStr">
        <is>
          <t>Just diagnosed with a desmoid-type fibromatosis looking to learn what my outlook will be most surgery</t>
        </is>
      </c>
      <c r="C4189" t="inlineStr">
        <is>
          <t>I hope this is an appropriate subreddit, if anyone knows of a better place I welcome all help!!
About: 30 year old male in the military so navy medicine to the rescue, definitely not what I was expecting to find when turning 30. But I have a (thank god confirmed benign) mass under half my abdominal wall,13cm x 9cm x 4cm. A desmoid tumor. Its locally invasive but cant metastasis. It has grown into my muscles and to the surface of my skin. They are going to try to stop the growth with other therapies but it looks like due to the pain and size resection is going to be in my future. I was told they are going to have to take the left half of my abdominal wall to include the skin above it, some of my pelvic floor, and testicle to get the negative margin. This would require a large reconstruction once it's all out. And even so there is like a high recurrence rate.
My question: I am searching for case studies not just for the surgery itself, which I have found some, but patient reports of functionality and quality of life with that kind of muscle loss. I am accepting this is gonna happen but I want to be as informed about what my life will look like after. I get that my career as a Marine will be over but as a civilian I would like to start to understand what my limitations will be from people who have gone through it. Everything I find is more from the surgery recovery and I would also like to lear what the 1year, 2,5, and so on looks like. 
Sorry for the long post but even with the good news of benign after 1 biopsy then an open biopsy, having a tumor that will invade anything it touches still has rocked my world. I definitely dont wanna take way from people who have cancer but I couldnt find any subreddits for benign tumors or  desmoid tumors.  Thank you for reading, any help, sites, or advice would be so helpful.</t>
        </is>
      </c>
      <c r="D4189" t="n">
        <v>1</v>
      </c>
      <c r="E4189" t="n">
        <v>0</v>
      </c>
      <c r="F4189">
        <f>HYPERLINK("https://www.reddit.com/r/cancer/comments/crorl4/just_diagnosed_with_a_desmoidtype_fibromatosis/")</f>
        <v/>
      </c>
      <c r="G4189" t="inlineStr">
        <is>
          <t>2019-08-17 10:01:46</t>
        </is>
      </c>
      <c r="H4189" t="inlineStr"/>
    </row>
    <row r="4190">
      <c r="A4190" t="inlineStr">
        <is>
          <t>crp5h9</t>
        </is>
      </c>
      <c r="B4190" t="inlineStr">
        <is>
          <t>Intra-abdominal wall desmoid tumor surgery</t>
        </is>
      </c>
      <c r="C4190" t="inlineStr">
        <is>
          <t>I hope this is an appropriate subreddit, if anyone knows of a better place I welcome all help!!
About: 30 year old male in the military so navy medicine to the rescue, definitely not what I was expecting to find when turning 30. But I have a (thank god confirmed benign) mass under half my abdominal wall,13cm x 9cm x 4cm. A desmoid tumor. Its locally invasive but cant metastasis. It has grown into my muscles and to the surface of my skin. They are going to try to stop the growth with other therapies but it looks like due to the pain and size resection is going to be in my future. I was told they are going to have to take the left half of my abdominal wall to include the skin above it, some of my pelvic floor, and testicle to get the negative margin. This would require a large reconstruction once it's all out. And even so there is like a high recurrence rate.
My question: I am searching for case studies not just for the surgery itself, which I have found some, but patient reports of functionality and quality of life with that kind of muscle loss. I am accepting this is gonna happen but I want to be as informed about what my life will look like after. I get that my career as a Marine will be over but as a civilian I would like to start to understand what my limitations will be from people who have gone through it. Everything I find is more from the surgery recovery and I would also like to lear what the 1year, 2,5, and so on looks like. 
Sorry for the long post but even with the good news of benign after 1 biopsy then an open biopsy, having a tumor that will invade anything it touches still has rocked my world. I definitely dont wanna take way from people who have cancer but I couldnt find any subreddits for benign tumors or desmoid tumors. Thank you for reading, any help, sites, or advice would be so helpful.</t>
        </is>
      </c>
      <c r="D4190" t="n">
        <v>1</v>
      </c>
      <c r="E4190" t="n">
        <v>3</v>
      </c>
      <c r="F4190">
        <f>HYPERLINK("https://www.reddit.com/r/cancer/comments/crp5h9/intraabdominal_wall_desmoid_tumor_surgery/")</f>
        <v/>
      </c>
      <c r="G4190" t="inlineStr">
        <is>
          <t>2019-08-17 10:29:54</t>
        </is>
      </c>
      <c r="H4190" t="inlineStr"/>
    </row>
    <row r="4191">
      <c r="A4191" t="inlineStr">
        <is>
          <t>crpcd7</t>
        </is>
      </c>
      <c r="B4191" t="inlineStr">
        <is>
          <t>BRCA 2 positive. Advice needed</t>
        </is>
      </c>
      <c r="C4191" t="inlineStr">
        <is>
          <t>Hi everyone
I’m female 36 years old, no family history of breast or ovarian cancer. Recently tested positive for a BRCA2 mutation. Meaning that while a normal woman has. 12% chance of getting breast cancer by 80, I have. 70% chance. 
I am doing a hysterectomy as preventative measure for ovarian cancer. I do not want to do a double mastectomy. Reason is the following; after my hysterectomy, i will need hormone replacement therapy. If ibget breast cancer in my early 40s, i am not allowed hormone replacements. So, i would go into menopause at 40 and not be ablw to take any hormones.  
Just wondering if anyone else has been in this boat, and what tgey decided to do and why.</t>
        </is>
      </c>
      <c r="D4191" t="n">
        <v>3</v>
      </c>
      <c r="E4191" t="n">
        <v>5</v>
      </c>
      <c r="F4191">
        <f>HYPERLINK("https://www.reddit.com/r/cancer/comments/crpcd7/brca_2_positive_advice_needed/")</f>
        <v/>
      </c>
      <c r="G4191" t="inlineStr">
        <is>
          <t>2019-08-17 10:43:32</t>
        </is>
      </c>
      <c r="H4191" t="inlineStr"/>
    </row>
    <row r="4192">
      <c r="A4192" t="inlineStr">
        <is>
          <t>crpczp</t>
        </is>
      </c>
      <c r="B4192" t="inlineStr">
        <is>
          <t>Can someone point me to a source for information on private cancer treatment in Canada that is available to U.S. citizens? Tell of any experience with it?</t>
        </is>
      </c>
      <c r="C4192" t="inlineStr">
        <is>
          <t>Oncology/Urology in general. Specifically one of the BCG strains not available in the U.S.</t>
        </is>
      </c>
      <c r="D4192" t="n">
        <v>1</v>
      </c>
      <c r="E4192" t="n">
        <v>6</v>
      </c>
      <c r="F4192">
        <f>HYPERLINK("https://www.reddit.com/r/cancer/comments/crpczp/can_someone_point_me_to_a_source_for_information/")</f>
        <v/>
      </c>
      <c r="G4192" t="inlineStr">
        <is>
          <t>2019-08-17 10:44:48</t>
        </is>
      </c>
      <c r="H4192" t="inlineStr"/>
    </row>
    <row r="4193">
      <c r="A4193" t="inlineStr">
        <is>
          <t>crq5qk</t>
        </is>
      </c>
      <c r="B4193" t="inlineStr">
        <is>
          <t>Post Stem Cell Transplant patients, how's it going?</t>
        </is>
      </c>
      <c r="C4193" t="inlineStr">
        <is>
          <t>Had a HSCT in September, Its almost going to be a year. Exercising feels like hell, have to wait for immunization. Beginning to get oral GVHD which oncologists want, going to back to regular life and it all feels surreal to me. 
How are you holding up?</t>
        </is>
      </c>
      <c r="D4193" t="n">
        <v>1</v>
      </c>
      <c r="E4193" t="n">
        <v>0</v>
      </c>
      <c r="F4193">
        <f>HYPERLINK("https://www.reddit.com/r/cancer/comments/crq5qk/post_stem_cell_transplant_patients_hows_it_going/")</f>
        <v/>
      </c>
      <c r="G4193" t="inlineStr">
        <is>
          <t>2019-08-17 11:44:51</t>
        </is>
      </c>
      <c r="H4193" t="inlineStr"/>
    </row>
    <row r="4194">
      <c r="A4194" t="inlineStr">
        <is>
          <t>crr0iq</t>
        </is>
      </c>
      <c r="B4194" t="inlineStr">
        <is>
          <t>Inspirational story: Cancer be damned, conductor takes the stage again</t>
        </is>
      </c>
      <c r="C4194" t="inlineStr">
        <is>
          <t>A great story for today (and always)
[Cancer be damned, Hollywood Bowl fave Bramwell Tovey reclaims the stage.](https://www.latimes.com/entertainment-arts/story/2019-08-14/cancer-diagnosis-be-damned-hollywood-bowl-favorite-bramwell-tovey-hits-stage)
"Tovey, a fan favorite since his first Bowl concert in 2003 (he became principal guest conductor of the L.A. Phil at the Bowl in 2008), is in the midst of a six-month treatment for a rare form of cancer, diagnosed in June. He told a Providence Journal reporter that he felt a lump in his chest and immediately visited a walk-in clinic for X-rays and an ultrasound."</t>
        </is>
      </c>
      <c r="D4194" t="n">
        <v>1</v>
      </c>
      <c r="E4194" t="n">
        <v>1</v>
      </c>
      <c r="F4194">
        <f>HYPERLINK("https://www.reddit.com/r/cancer/comments/crr0iq/inspirational_story_cancer_be_damned_conductor/")</f>
        <v/>
      </c>
      <c r="G4194" t="inlineStr">
        <is>
          <t>2019-08-17 12:51:16</t>
        </is>
      </c>
      <c r="H4194" t="inlineStr"/>
    </row>
    <row r="4195">
      <c r="A4195" t="inlineStr">
        <is>
          <t>crrzw1</t>
        </is>
      </c>
      <c r="B4195" t="inlineStr">
        <is>
          <t>How can I help my dad when he is semi conscious most of the time?</t>
        </is>
      </c>
      <c r="C4195" t="inlineStr">
        <is>
          <t>At the beginning of June my dad got admitted into hospital with peritonitis. After having surgery they found a tumor in his colon. Stage 2. He's had a colostomy and had his appendix removed. He wears a colostomy bag now. He was prescribed chemo and was supposed to have an operation after he recovers after the peritonitis operation. After the operation he had regular fevers for a month an a half. Then he got better, maybe for a week. He seemed generally fine, like before.
We weren't too close when I was growing up. Butt over the last two years, after I moved out, we grew closer. We started talking about music, my vinyl collection, he supported my interest in woodworking. We've had our differences, sure, but it was a *huge* improvement over my childhood relationship with him. 
When he was feeling better he visited his dacha (a home in the exurbs with a vegetables garden) which he loved. He's really into growing vegetables and stuff, he was really happy to be out of the city again. A few days after that he got worse. Semi-constant fevers returned. Had a sharp pain in his lower back, followed by an extreme pain in his right leg. He screamed for an entire night. He's gotten weak, could barely walk. 
Yesterday I got up at night to make some tea and we talked about new kreg driver bits I bought and the idea of pocket holes in woodworking in general. When I woke up the next day he had a fever and was practically unresponsive. My mum called an ambulance and he got admitted to a hospital. He was semi-conscious the entire day. Didn't understand where he was or what was happening. Several family members visited him, and he called all of us by my mum's name. He opens his eyes from time to time, but doesn't seem fully there. The pain in his leg is returning. The doctor said he has something called "cancer intoxication". I was going to ask if anyone ever dealt with something like that. But after some googling I could only find dodgy articles in Russian with no sources (I live in a Russian speaking country by the way.) Googling it in English gave no results except for one quora article saying that it's bullshit. But if it's not this, what is it? And what can I do to make my dad more comfortable when he seems to not understand what I'm saying or what's happening 90% of the time?
 I just don't know what to do anymore. Everything changed so fast.</t>
        </is>
      </c>
      <c r="D4195" t="n">
        <v>2</v>
      </c>
      <c r="E4195" t="n">
        <v>0</v>
      </c>
      <c r="F4195">
        <f>HYPERLINK("https://www.reddit.com/r/cancer/comments/crrzw1/how_can_i_help_my_dad_when_he_is_semi_conscious/")</f>
        <v/>
      </c>
      <c r="G4195" t="inlineStr">
        <is>
          <t>2019-08-17 14:09:42</t>
        </is>
      </c>
      <c r="H4195" t="inlineStr"/>
    </row>
    <row r="4196">
      <c r="A4196" t="inlineStr">
        <is>
          <t>crscp0</t>
        </is>
      </c>
      <c r="B4196" t="inlineStr">
        <is>
          <t>Overwhelmed</t>
        </is>
      </c>
      <c r="C4196" t="inlineStr">
        <is>
          <t>I was recently diagnosed with esophageal cancer. I am 49 years old and have had acid reflux as long as I can remember. It progressed into Barrett’s Disease, which then turned cancerous. I’m in the middle of a divorce after 23 years of marriage. She is in law enforcement &amp;amp; has turned to drinking more &amp;amp; more in the last 5 years. I have 4 children, 2 are minors. I have been taking care of my younger children up until 2 weeks ago. I have lost 35 lbs because I can’t eat solid foods &amp;amp; I just don’t have the energy to take of them. My youngest is severely autistic and requires constant supervision. I sent them to live with their mom even though she is an alcoholic and her boyfriend has actually been a fight with my oldest son. I just don’t know what to do anymore. I have 4-6 months of treatment ahead of me. This includes chemo &amp;amp; radiation for 2 months, and then surgery to remove most of my esophagus. I told my older kids who are in their 20’s to look out for the younger 2 &amp;amp; I will bring them back as soon as I can. I feel like a failure as a father &amp;amp; it’s so hard to stay positive when it seems like the whole world is burning down around me. I have spent my whole life trying to provide for my kids and do the right thing. Now, I can’t even take care of myself. All I hear is you have to stay positive from everyone. How do you stay positive?</t>
        </is>
      </c>
      <c r="D4196" t="n">
        <v>10</v>
      </c>
      <c r="E4196" t="n">
        <v>9</v>
      </c>
      <c r="F4196">
        <f>HYPERLINK("https://www.reddit.com/r/cancer/comments/crscp0/overwhelmed/")</f>
        <v/>
      </c>
      <c r="G4196" t="inlineStr">
        <is>
          <t>2019-08-17 14:38:40</t>
        </is>
      </c>
      <c r="H4196" t="inlineStr"/>
    </row>
    <row r="4197">
      <c r="A4197" t="inlineStr">
        <is>
          <t>crt92v</t>
        </is>
      </c>
      <c r="B4197" t="inlineStr">
        <is>
          <t>Women who went through menopause brought on by chemotherapy: what were the symptoms and how did you manage them?</t>
        </is>
      </c>
      <c r="C4197" t="inlineStr">
        <is>
          <t>I'm going to be going through a week of very strong chemo next month, before I get a BMT. I'm mostly worried about the mood swings, loss of breast fullness, and low libido. I'm in a long-term relationship and not only am I worried about how this'll affect me, but also how it'll affect my partner. I love him very much and I start tearing up at the thought of our intimacy level going down because of the chemo. I don't want to lose that. I can't.</t>
        </is>
      </c>
      <c r="D4197" t="n">
        <v>11</v>
      </c>
      <c r="E4197" t="n">
        <v>8</v>
      </c>
      <c r="F4197">
        <f>HYPERLINK("https://www.reddit.com/r/cancer/comments/crt92v/women_who_went_through_menopause_brought_on_by/")</f>
        <v/>
      </c>
      <c r="G4197" t="inlineStr">
        <is>
          <t>2019-08-17 15:53:52</t>
        </is>
      </c>
      <c r="H4197" t="inlineStr"/>
    </row>
    <row r="4198">
      <c r="A4198" t="inlineStr">
        <is>
          <t>crth5e</t>
        </is>
      </c>
      <c r="B4198" t="inlineStr">
        <is>
          <t>for once i have a bit of happy story for you</t>
        </is>
      </c>
      <c r="C4198" t="inlineStr">
        <is>
          <t>Last night I went out to a few bars with some friends for a change. Woke up feeling pretty rough, didn't feel restored from sleep at all, felt nauseous and really sensitive to light. I was quite worried about the sudden influx of bad symptoms following a relatively good period so I texted my nurse and told her about my situation and that'd I just wanted to lie in bed all day and that I wanted to know if something was wrong with me. 
She informed me that I had a hangover. Which is something I totally forgot actually existed. And now I kinda feel like a dumbass.</t>
        </is>
      </c>
      <c r="D4198" t="n">
        <v>117</v>
      </c>
      <c r="E4198" t="n">
        <v>9</v>
      </c>
      <c r="F4198">
        <f>HYPERLINK("https://www.reddit.com/r/cancer/comments/crth5e/for_once_i_have_a_bit_of_happy_story_for_you/")</f>
        <v/>
      </c>
      <c r="G4198" t="inlineStr">
        <is>
          <t>2019-08-17 16:12:41</t>
        </is>
      </c>
      <c r="H4198" t="inlineStr"/>
    </row>
    <row r="4199">
      <c r="A4199" t="inlineStr">
        <is>
          <t>cru1ms</t>
        </is>
      </c>
      <c r="B4199" t="inlineStr">
        <is>
          <t>Pretty much official, just waiting on NIH to confirm the stains......small cell neuroendocrine carcinoma with bone metastases.</t>
        </is>
      </c>
      <c r="C4199" t="inlineStr">
        <is>
          <t>Technically, this should be lung cancer but it didn't present that way.
I've got a meeting with my oncologist on Wednesday to confirm and get treatment plan.</t>
        </is>
      </c>
      <c r="D4199" t="n">
        <v>3</v>
      </c>
      <c r="E4199" t="n">
        <v>2</v>
      </c>
      <c r="F4199">
        <f>HYPERLINK("https://www.reddit.com/r/cancer/comments/cru1ms/pretty_much_official_just_waiting_on_nih_to/")</f>
        <v/>
      </c>
      <c r="G4199" t="inlineStr">
        <is>
          <t>2019-08-17 17:03:38</t>
        </is>
      </c>
      <c r="H4199" t="inlineStr"/>
    </row>
    <row r="4200">
      <c r="A4200" t="inlineStr">
        <is>
          <t>cru28n</t>
        </is>
      </c>
      <c r="B4200" t="inlineStr">
        <is>
          <t>Click here to support Stand With Mike. BARRESI STRONG organized by Pete Barresi</t>
        </is>
      </c>
      <c r="C4200" t="inlineStr">
        <is>
          <t>PLease consider sharing this in support of Mike. He's a dear friend who in July 2017, was diagnosed with a #glioblastoma -- 3 surgeries and countless treatments later, Mike's tumor is unfortunately back. Doctors at Dana-Farber Cancer Institute say there is nothing more they can do. But Mike isn't ready to give up. He's only 47, and recently became a single father to his 9-year old son. His brother Pete Barresi set up this GoFundMe site to help raise money for Mike to pursue alternative treatment options - possibly outside the U.S. I'm sharing in hopes that others will too. [https://www.gofundme.com/f/wj74n-help-mike-beat-brain-tumor-barresi-strong?pc=fb\_dn\_cpgntopstickysmall\_r&amp;amp;rcid=r01-156599297219-55c06c7b949846b4&amp;amp;utm\_source=facebook&amp;amp;utm\_medium=social&amp;amp;utm\_campaign=fb\_dn\_cpgntopstickysmall\_r&amp;amp;fbclid=IwAR2D1EfE6DfFUSNtOg3\_skzPx\_FFRJzNRAdWhnVkInHwojn8GEjRq58iDXs](https://www.gofundme.com/f/wj74n-help-mike-beat-brain-tumor-barresi-strong?pc=fb_dn_cpgntopstickysmall_r&amp;amp;rcid=r01-156599297219-55c06c7b949846b4&amp;amp;utm_source=facebook&amp;amp;utm_medium=social&amp;amp;utm_campaign=fb_dn_cpgntopstickysmall_r&amp;amp;fbclid=IwAR0iirQA6vGGIquG4rQrTLndQmNWEOtE8mHriZ-swBbrI6x--Bz6UwU5gBo)</t>
        </is>
      </c>
      <c r="D4200" t="n">
        <v>1</v>
      </c>
      <c r="E4200" t="n">
        <v>0</v>
      </c>
      <c r="F4200">
        <f>HYPERLINK("https://www.reddit.com/r/cancer/comments/cru28n/click_here_to_support_stand_with_mike_barresi/")</f>
        <v/>
      </c>
      <c r="G4200" t="inlineStr">
        <is>
          <t>2019-08-17 17:05:20</t>
        </is>
      </c>
      <c r="H4200" t="inlineStr"/>
    </row>
    <row r="4201">
      <c r="A4201" t="inlineStr">
        <is>
          <t>crvlf6</t>
        </is>
      </c>
      <c r="B4201" t="inlineStr">
        <is>
          <t>Recessive gun line due to chemotherapy</t>
        </is>
      </c>
      <c r="C4201" t="inlineStr">
        <is>
          <t>Hey everyone,
My mom is going through chemotherapy for stage 4 Pancreatic cancer. She was diagnosed last April 2018 and has had chemotherapy every 2 weeks (she's probably had at least 30 rounds so far) and she will have to be on maintenance chemo the rest of her life. However, her gum lines are starting to receede almost down to the bone and the doctors said it was just a side effect and there wasn't anything they could do. 
Has anyone had this problem and if so any solution or at least relief from pain and sensitivity?
She is using the softest toothbrush out there but I told her she should use foam but she's not receptive to that idea. She can't get any work done like surgery because of her low immune system and easy bleeding.
Thank you in advance for any help or suggestions!!!!!</t>
        </is>
      </c>
      <c r="D4201" t="n">
        <v>1</v>
      </c>
      <c r="E4201" t="n">
        <v>2</v>
      </c>
      <c r="F4201">
        <f>HYPERLINK("https://www.reddit.com/r/cancer/comments/crvlf6/recessive_gun_line_due_to_chemotherapy/")</f>
        <v/>
      </c>
      <c r="G4201" t="inlineStr">
        <is>
          <t>2019-08-17 19:28:07</t>
        </is>
      </c>
      <c r="H4201" t="inlineStr"/>
    </row>
    <row r="4202">
      <c r="A4202" t="inlineStr">
        <is>
          <t>crwgrs</t>
        </is>
      </c>
      <c r="B4202" t="inlineStr">
        <is>
          <t>Question for you all..</t>
        </is>
      </c>
      <c r="C4202" t="inlineStr">
        <is>
          <t>My mother was diagnosed with liver cancer about a year ago. Today, she has about two weeks to live. My drug addict heroiin brother has done nothing but cause constant pain in this family. He has abused my mom and dad in every way possible and they lived in denial the whole time and never did anything about. So now, she is going to die and my dad will be left alone. My stepmom are healthy, didn't smoke, no drugs, exercised every day. In your opinions, do you think a decade of psychological, financial and physical abuse sealed the deal on being able to cure this cancer? Could her chances have been better if she lived in an environment of love and leave rather than constant screaming, blame and abuse? I will never forgive him for what he's done to them. They could have been out there enjoying life for a decade but instead they were stuck cleaning up his messes, paying his bills, and getting beat up for it, and having everything they worked hard for stolen by him. It's a long story but basically what I want to know is this his fault? Could there have been hope for survival if she lived in a different environment?</t>
        </is>
      </c>
      <c r="D4202" t="n">
        <v>1</v>
      </c>
      <c r="E4202" t="n">
        <v>3</v>
      </c>
      <c r="F4202">
        <f>HYPERLINK("https://www.reddit.com/r/cancer/comments/crwgrs/question_for_you_all/")</f>
        <v/>
      </c>
      <c r="G4202" t="inlineStr">
        <is>
          <t>2019-08-17 20:53:18</t>
        </is>
      </c>
      <c r="H4202" t="inlineStr"/>
    </row>
    <row r="4203">
      <c r="A4203" t="inlineStr">
        <is>
          <t>crwmao</t>
        </is>
      </c>
      <c r="B4203" t="inlineStr">
        <is>
          <t>Sometimes, I wish they'd never even told us the statistics (just venting)</t>
        </is>
      </c>
      <c r="C4203" t="inlineStr">
        <is>
          <t>Sometimes, like tonight, I can't sleep because I remember that two-and-a-half years ago, my wife, partner, and parent to my children was given a Stage IV cancer diagnosis and we were given some pretty gnarly and intimidating odds at the time, and even though her treatments were all super successful, and even though the last eighteen months have been "no evidence of disease" every time, no one has ever told us "new" numbers, so those old numbers still mess with my head (I'm a very numbers based guy.)  
And frankly, sometimes I wish they'd never told us the numbers, because it would be easier to just keep doing every day if I didn't know the statistics associated with future days. 
Good night, folks.</t>
        </is>
      </c>
      <c r="D4203" t="n">
        <v>22</v>
      </c>
      <c r="E4203" t="n">
        <v>3</v>
      </c>
      <c r="F4203">
        <f>HYPERLINK("https://www.reddit.com/r/cancer/comments/crwmao/sometimes_i_wish_theyd_never_even_told_us_the/")</f>
        <v/>
      </c>
      <c r="G4203" t="inlineStr">
        <is>
          <t>2019-08-17 21:08:59</t>
        </is>
      </c>
      <c r="H4203" t="inlineStr"/>
    </row>
    <row r="4204">
      <c r="A4204" t="inlineStr">
        <is>
          <t>crwoib</t>
        </is>
      </c>
      <c r="B4204" t="inlineStr">
        <is>
          <t>Where do I learn more about cancer?</t>
        </is>
      </c>
      <c r="C4204" t="inlineStr">
        <is>
          <t>The doctors found colon in my mom's anorectum. She had a colostomy too and I've sort of researched that as well. Where do I learn more about cancer and treating it and everything I should know about it?
I'd prefer some PDF or something instead of a bunch of separate small articles.</t>
        </is>
      </c>
      <c r="D4204" t="n">
        <v>1</v>
      </c>
      <c r="E4204" t="n">
        <v>6</v>
      </c>
      <c r="F4204">
        <f>HYPERLINK("https://www.reddit.com/r/cancer/comments/crwoib/where_do_i_learn_more_about_cancer/")</f>
        <v/>
      </c>
      <c r="G4204" t="inlineStr">
        <is>
          <t>2019-08-17 21:15:07</t>
        </is>
      </c>
      <c r="H4204" t="inlineStr"/>
    </row>
    <row r="4205">
      <c r="A4205" t="inlineStr">
        <is>
          <t>crylqv</t>
        </is>
      </c>
      <c r="B4205" t="inlineStr">
        <is>
          <t>ORAL Squamous cell carcinoma..does treatment always involve jaw removal/disfigurement?</t>
        </is>
      </c>
      <c r="C4205" t="inlineStr">
        <is>
          <t>Say, for stages 1 and 2 located near the jawline?</t>
        </is>
      </c>
      <c r="D4205" t="n">
        <v>3</v>
      </c>
      <c r="E4205" t="n">
        <v>3</v>
      </c>
      <c r="F4205">
        <f>HYPERLINK("https://www.reddit.com/r/cancer/comments/crylqv/oral_squamous_cell_carcinomadoes_treatment_always/")</f>
        <v/>
      </c>
      <c r="G4205" t="inlineStr">
        <is>
          <t>2019-08-18 01:11:13</t>
        </is>
      </c>
      <c r="H4205" t="inlineStr"/>
    </row>
    <row r="4206">
      <c r="A4206" t="inlineStr">
        <is>
          <t>crzwij</t>
        </is>
      </c>
      <c r="B4206" t="inlineStr">
        <is>
          <t>Wheel chair ramp today.</t>
        </is>
      </c>
      <c r="C4206" t="inlineStr">
        <is>
          <t>My father in law keeps falling and is refusing the walker, but he will use the wheel chair. I need to get a ramp set up for him ASAP for appointments tomorrow. Where could I buy a metal ramp today?</t>
        </is>
      </c>
      <c r="D4206" t="n">
        <v>1</v>
      </c>
      <c r="E4206" t="n">
        <v>3</v>
      </c>
      <c r="F4206">
        <f>HYPERLINK("https://www.reddit.com/r/cancer/comments/crzwij/wheel_chair_ramp_today/")</f>
        <v/>
      </c>
      <c r="G4206" t="inlineStr">
        <is>
          <t>2019-08-18 04:05:57</t>
        </is>
      </c>
      <c r="H4206" t="inlineStr"/>
    </row>
    <row r="4207">
      <c r="A4207" t="inlineStr">
        <is>
          <t>cs279t</t>
        </is>
      </c>
      <c r="B4207" t="inlineStr">
        <is>
          <t>Dad [62M StageIV Pancreatic] suddenly admitted with hepatic encephalopathy (from high ammonia levels). Any experiences with this in late stage cancer? Was this the "new normal" for them or were they able to recover?</t>
        </is>
      </c>
      <c r="C4207" t="inlineStr">
        <is>
          <t>Dad was diagnosed Fall 2017 and has recently gotten much worse ( Stage IV pancreatic with mets to liver, failed whipple but had pancreatic bypass). On Friday, he started to be slightly confused but by Friday evening he was just repeating himself and mixing words up. Called Doctor and said to take him in that night or next morning since it was likely due to dehydration. Took him in first thing Saturday morning (now kicking myself wondering if we should have taken him the previous night though not sure if that would have changed it) and had very high ammonia levels from low liver function and was admitted and taking Lactulose.
&amp;amp;#x200B;
I'm wondering if anyone has had acute episodes of this where they were able to get better? Did it recur? Was it a sign of very end stages? Anything a close family member can do to make him feel better when he can't communicate? He is getting very frustrated and agitated and was 100% fine mentally (though a bit sleepy) only 3 days ago. It's very scary to see him not able to communicate and being so confused and doctors say we have to wait to see if the Lactulose starts working after a couple days.</t>
        </is>
      </c>
      <c r="D4207" t="n">
        <v>9</v>
      </c>
      <c r="E4207" t="n">
        <v>3</v>
      </c>
      <c r="F4207">
        <f>HYPERLINK("https://www.reddit.com/r/cancer/comments/cs279t/dad_62m_stageiv_pancreatic_suddenly_admitted_with/")</f>
        <v/>
      </c>
      <c r="G4207" t="inlineStr">
        <is>
          <t>2019-08-18 07:57:43</t>
        </is>
      </c>
      <c r="H4207" t="inlineStr"/>
    </row>
    <row r="4208">
      <c r="A4208" t="inlineStr">
        <is>
          <t>cs35la</t>
        </is>
      </c>
      <c r="B4208" t="inlineStr">
        <is>
          <t>Panic attacks</t>
        </is>
      </c>
      <c r="C4208" t="inlineStr">
        <is>
          <t>I (23F) was diagnosed with AML in march. Everything was going great, my doctors were very happy with the results until I unexpectedly relapsed two weeks ago.
Ever since I've heard the bad news, I've had really bad panic attacks. I don't why it's just starting now, and why I was not feeling so bad when I first learned I had leukemia but that's it. It's like I'm just realizing now that I could die from this.
I can manage to keep it together when I am with the doctors, but as soon as I am alone, I cry like I've never cried before, and I keep punching my pillow because I am so angry. It's so bad now that my hands are shaking everytime. And I don't know how to calm down. I've had one of these panic attacks in front of my boyfriend and he ended up crying because he thought I was gonna kill myself.
I am taking antidepressant and anxiolytics but I feel like it is not enough anymore. Do you have any advice on how I could manage my emotions?</t>
        </is>
      </c>
      <c r="D4208" t="n">
        <v>17</v>
      </c>
      <c r="E4208" t="n">
        <v>6</v>
      </c>
      <c r="F4208">
        <f>HYPERLINK("https://www.reddit.com/r/cancer/comments/cs35la/panic_attacks/")</f>
        <v/>
      </c>
      <c r="G4208" t="inlineStr">
        <is>
          <t>2019-08-18 09:13:12</t>
        </is>
      </c>
      <c r="H4208" t="inlineStr"/>
    </row>
    <row r="4209">
      <c r="A4209" t="inlineStr">
        <is>
          <t>cs3w5o</t>
        </is>
      </c>
      <c r="B4209" t="inlineStr">
        <is>
          <t>Bladder Cancer</t>
        </is>
      </c>
      <c r="C4209" t="inlineStr">
        <is>
          <t>Mother thought she had kidney stones due to blood in urine and typical discomfort one has with kidney stones. Discomfort was minor. CT showed some spots on bladder and is scheduled for a follow-up. 
As many family members get, I too am stressed out waiting for full diagnosis. 
Anyone know of what stage bladder cancer typically is when the person starts feeling discomfort similar to kidney stones?
Thanks</t>
        </is>
      </c>
      <c r="D4209" t="n">
        <v>3</v>
      </c>
      <c r="E4209" t="n">
        <v>1</v>
      </c>
      <c r="F4209">
        <f>HYPERLINK("https://www.reddit.com/r/cancer/comments/cs3w5o/bladder_cancer/")</f>
        <v/>
      </c>
      <c r="G4209" t="inlineStr">
        <is>
          <t>2019-08-18 10:08:02</t>
        </is>
      </c>
      <c r="H4209" t="inlineStr"/>
    </row>
    <row r="4210">
      <c r="A4210" t="inlineStr">
        <is>
          <t>cs3wiq</t>
        </is>
      </c>
      <c r="B4210" t="inlineStr">
        <is>
          <t>Hopeless and lost</t>
        </is>
      </c>
      <c r="C4210" t="inlineStr">
        <is>
          <t>My boyfriend is being treated at MD in TX and has been there for 7+ months. He has been going through treatment with a stem cell transplant as the goal. It’s become clear that he is not going to achieve remission long enough for transplant because each treatment option has worked briefly but not long enough. They’re trying a new round of chemo now in hopes of getting him to CAR-T then to stem cell. 
Everything I’ve read online says that people with the lymphoma he has live 8-12 months but that a cure is possible with stem cell. He’s reaching eight months and I’m panicking. He’s determined to fight this and try every possibility but I’m so scared that he will die there. I feel selfish for wanting him to cease treatment and come home to spend time with family and friends. I of course don’t tell him this. When we talk he talks about going back to work when he gets home and he is so positive but I’ve read the stats and have lost all hope. 
I can’t visit him which is killing me. I also feel like I’m smothering him with my calls. I miss him so much, it’s breaking my heart. I want to talk to him as much as possible and he feels horrible. But I am not doing well here by myself. I don’t know how to handle this or what to do. I’ve stopped eating and I only leave my house if I have to. As you all know, this is so painful. If anyone has any advice, or inspiring words will you please share with me? This is so hard.</t>
        </is>
      </c>
      <c r="D4210" t="n">
        <v>33</v>
      </c>
      <c r="E4210" t="n">
        <v>16</v>
      </c>
      <c r="F4210">
        <f>HYPERLINK("https://www.reddit.com/r/cancer/comments/cs3wiq/hopeless_and_lost/")</f>
        <v/>
      </c>
      <c r="G4210" t="inlineStr">
        <is>
          <t>2019-08-18 10:08:49</t>
        </is>
      </c>
      <c r="H4210" t="inlineStr"/>
    </row>
    <row r="4211">
      <c r="A4211" t="inlineStr">
        <is>
          <t>cs5o2q</t>
        </is>
      </c>
      <c r="B4211" t="inlineStr">
        <is>
          <t>Occupational therapist?</t>
        </is>
      </c>
      <c r="C4211" t="inlineStr">
        <is>
          <t>I'm 15 and was recently diagnosed with malignant brain tumors that the doctors think came from previous radiation treatment from when I had leukemia. School is starting again but I'm obviously not gonna be able to go, and even with home schooling or whatever, being stuck at home is eventually gonna break my mental state, so I was wondering if I could get like an occupational therapist or someone to keep me company and distracted while I undergo my new treatment plan at home for the next year or so</t>
        </is>
      </c>
      <c r="D4211" t="n">
        <v>3</v>
      </c>
      <c r="E4211" t="n">
        <v>14</v>
      </c>
      <c r="F4211">
        <f>HYPERLINK("https://www.reddit.com/r/cancer/comments/cs5o2q/occupational_therapist/")</f>
        <v/>
      </c>
      <c r="G4211" t="inlineStr">
        <is>
          <t>2019-08-18 12:18:15</t>
        </is>
      </c>
      <c r="H4211" t="inlineStr"/>
    </row>
    <row r="4212">
      <c r="A4212" t="inlineStr">
        <is>
          <t>cs5vsn</t>
        </is>
      </c>
      <c r="B4212" t="inlineStr">
        <is>
          <t>What are my options for working while in recovery?</t>
        </is>
      </c>
      <c r="C4212" t="inlineStr">
        <is>
          <t>I was diagnosed with Liposarcoma in my lower back last week. I haven’t gotten an official treatment plan yet, but the oncologist said it could be a combination of radiation and surgery. He said in a best case scenario, I’ll be fully recovered by December/January. 
What kind of temporary/part time work would be suitable for me during my recovery time? I don’t know what my next 6 months truly look like, but I want to start planning. I don’t want to be idle</t>
        </is>
      </c>
      <c r="D4212" t="n">
        <v>3</v>
      </c>
      <c r="E4212" t="n">
        <v>7</v>
      </c>
      <c r="F4212">
        <f>HYPERLINK("https://www.reddit.com/r/cancer/comments/cs5vsn/what_are_my_options_for_working_while_in_recovery/")</f>
        <v/>
      </c>
      <c r="G4212" t="inlineStr">
        <is>
          <t>2019-08-18 12:34:00</t>
        </is>
      </c>
      <c r="H4212" t="inlineStr"/>
    </row>
    <row r="4213">
      <c r="A4213" t="inlineStr">
        <is>
          <t>cs68s5</t>
        </is>
      </c>
      <c r="B4213" t="inlineStr">
        <is>
          <t>A bad dream</t>
        </is>
      </c>
      <c r="C4213" t="inlineStr">
        <is>
          <t>Sorry for posting but I’m feeling very lost. My dad has had prostate cancer for 19 years. He’s fought it so bravely even though it was getting into all of his bones. His PSA was up at 2600 but after a course of cabazitaxcel it came down to 1100 and I thought we would have more time. 
The cancer ate through his femur last month and he had to have a hip replacement which has made him even more frail. The drs have said he can’t have his last 2 doses of cabazitaxcel as he is so weak from the hip replacement and that there are no other options. The cancer is all through his bones but not in any organs. I just don’t know what to expect for the next couple of months and I think realistically that’s all he has left. He seems at peace with everything. I just don’t know what I should do. Or say to him. Or my mum. What happens now?</t>
        </is>
      </c>
      <c r="D4213" t="n">
        <v>3</v>
      </c>
      <c r="E4213" t="n">
        <v>1</v>
      </c>
      <c r="F4213">
        <f>HYPERLINK("https://www.reddit.com/r/cancer/comments/cs68s5/a_bad_dream/")</f>
        <v/>
      </c>
      <c r="G4213" t="inlineStr">
        <is>
          <t>2019-08-18 13:00:39</t>
        </is>
      </c>
      <c r="H4213" t="inlineStr"/>
    </row>
    <row r="4214">
      <c r="A4214" t="inlineStr">
        <is>
          <t>cs6n93</t>
        </is>
      </c>
      <c r="B4214" t="inlineStr">
        <is>
          <t>Gifts for keeping the mind occupied.</t>
        </is>
      </c>
      <c r="C4214" t="inlineStr">
        <is>
          <t>My friend has recently had spine surgery related to cancer (full diagnosis pending). She is currently in recovery from the surgery which is expected to last 6 - 10 weeks. After this she will then be receiving treatment for the tumor. Obviously this leaves a lot of 'thinking time'. What gifts can you recommend which may help keep her mind occupied? Thank you</t>
        </is>
      </c>
      <c r="D4214" t="n">
        <v>4</v>
      </c>
      <c r="E4214" t="n">
        <v>8</v>
      </c>
      <c r="F4214">
        <f>HYPERLINK("https://www.reddit.com/r/cancer/comments/cs6n93/gifts_for_keeping_the_mind_occupied/")</f>
        <v/>
      </c>
      <c r="G4214" t="inlineStr">
        <is>
          <t>2019-08-18 13:31:06</t>
        </is>
      </c>
      <c r="H4214" t="inlineStr"/>
    </row>
    <row r="4215">
      <c r="A4215" t="inlineStr">
        <is>
          <t>cs7dt6</t>
        </is>
      </c>
      <c r="B4215" t="inlineStr">
        <is>
          <t>Shaving my head...</t>
        </is>
      </c>
      <c r="C4215" t="inlineStr">
        <is>
          <t>I was diagnosed in mid July of this year and I’ve been able to plow through it so fast my just pretending  it didn’t exist. But today I have to shave my head and I just feel like my defense has been taken from me. It just feels so wrong. Even though my girlfriend and my family have reassured me and said they liked it. It still feels wrong. And I know that compared to a lot of you guys 32 weeks of chemo isn’t that much but when you’re so far away from the end of it, it just feels like there’s nothing left for me until it’s gone. This is a nightmare.</t>
        </is>
      </c>
      <c r="D4215" t="n">
        <v>22</v>
      </c>
      <c r="E4215" t="n">
        <v>7</v>
      </c>
      <c r="F4215">
        <f>HYPERLINK("https://www.reddit.com/r/cancer/comments/cs7dt6/shaving_my_head/")</f>
        <v/>
      </c>
      <c r="G4215" t="inlineStr">
        <is>
          <t>2019-08-18 14:28:20</t>
        </is>
      </c>
      <c r="H4215" t="inlineStr"/>
    </row>
    <row r="4216">
      <c r="A4216" t="inlineStr">
        <is>
          <t>cs7l26</t>
        </is>
      </c>
      <c r="B4216" t="inlineStr">
        <is>
          <t>Bad cough after mastectomy</t>
        </is>
      </c>
      <c r="C4216" t="inlineStr">
        <is>
          <t>Did anyone else get bad cough after surgery? It is really annoying. Most cough syrup has acetaminophen and I need my pain meds which also has acetaminophen more. I am using the spirometer but that just makes my cough worse. It is just a pain to have a cough on top of recovery I just had surgery Friday.</t>
        </is>
      </c>
      <c r="D4216" t="n">
        <v>5</v>
      </c>
      <c r="E4216" t="n">
        <v>6</v>
      </c>
      <c r="F4216">
        <f>HYPERLINK("https://www.reddit.com/r/cancer/comments/cs7l26/bad_cough_after_mastectomy/")</f>
        <v/>
      </c>
      <c r="G4216" t="inlineStr">
        <is>
          <t>2019-08-18 14:44:24</t>
        </is>
      </c>
      <c r="H4216" t="inlineStr"/>
    </row>
    <row r="4217">
      <c r="A4217" t="inlineStr">
        <is>
          <t>cs8fom</t>
        </is>
      </c>
      <c r="B4217" t="inlineStr">
        <is>
          <t>I feel like an imposter</t>
        </is>
      </c>
      <c r="C4217" t="inlineStr">
        <is>
          <t>About ten months ago, my friend, Joanna, passed at age 28 from very aggressive uterine cancer that metastasized to her liver and lungs and peritoneum. I met Joanna online and was very close for about a year and a half at the time of her passing. We were very close and talked about everything, including her fears about the cancer she was diagnosed with about eight months into our friendship . However, she kept pushing me visiting her back because she wanted to be off chemo so we could have a proper good time.
When she passed, she was with her fiance and our mutual friend who had moved to her city from another country that year to be closer.
Joanna had cut contact with everyone about a month before she passed, when she was told it was critical and terminal. She just wanted to be in peace, got very upset, so of course both our friend and I respected her wishes even though it killed us inside. I wasn't there when she passed. I wasn't at the funeral. I wasn't there to help pack her things up.
And I feel like such a fake. Like I'm not entitled to feeling this pain that she's gone. I never met her. Even writing this makes me feel like I'm just whoring her story out for sympathy points on the Internet for a pain I should be over. It's gotten so much easier, but sometimes, I still miss her so much. I see our Discord conversation and can't wrap my mind around that, if I hit 'start call', no one will be there. Ever again.
Has anyone else felt like this?</t>
        </is>
      </c>
      <c r="D4217" t="n">
        <v>14</v>
      </c>
      <c r="E4217" t="n">
        <v>8</v>
      </c>
      <c r="F4217">
        <f>HYPERLINK("https://www.reddit.com/r/cancer/comments/cs8fom/i_feel_like_an_imposter/")</f>
        <v/>
      </c>
      <c r="G4217" t="inlineStr">
        <is>
          <t>2019-08-18 15:53:42</t>
        </is>
      </c>
      <c r="H4217" t="inlineStr"/>
    </row>
    <row r="4218">
      <c r="A4218" t="inlineStr">
        <is>
          <t>cs9p97</t>
        </is>
      </c>
      <c r="B4218" t="inlineStr">
        <is>
          <t>Rest In Piece My Friend</t>
        </is>
      </c>
      <c r="C4218" t="inlineStr">
        <is>
          <t>My old classmate Badr recently died by cancer, everyone bullied him in school but i was his friend and gave him pokemon cards. I just wanted to share this, thank you Badr for being such a nice guy. Rest in piece little guy!</t>
        </is>
      </c>
      <c r="D4218" t="n">
        <v>73</v>
      </c>
      <c r="E4218" t="n">
        <v>5</v>
      </c>
      <c r="F4218">
        <f>HYPERLINK("https://www.reddit.com/r/cancer/comments/cs9p97/rest_in_piece_my_friend/")</f>
        <v/>
      </c>
      <c r="G4218" t="inlineStr">
        <is>
          <t>2019-08-18 17:42:35</t>
        </is>
      </c>
      <c r="H4218" t="inlineStr"/>
    </row>
    <row r="4219">
      <c r="A4219" t="inlineStr">
        <is>
          <t>cs9vwu</t>
        </is>
      </c>
      <c r="B4219" t="inlineStr">
        <is>
          <t>Witness Cremation</t>
        </is>
      </c>
      <c r="C4219" t="inlineStr">
        <is>
          <t>My friend passed away last week after a battle with stage 4 non hogkins lymphoma followed by CNS lymphoma (brain cancer). He died at home  surrounded by his close friends. We stayed with him 1.5 hours post death after we promised him he wouldn’t be alone in the end. Friday we met with the funeral home he had chosen to be cremated and we had many questions about what happens. It was presented to us that we can witness the cremation and if we chose to also press the button to start the process. We will have 30 minutes with him before the cremation. Has anyone done this? Or have thoughts on it? The few people I’ve told have all eluded to “you’re brave” which I’m translating as “you’re crazy!”. Would love thoughts.</t>
        </is>
      </c>
      <c r="D4219" t="n">
        <v>6</v>
      </c>
      <c r="E4219" t="n">
        <v>9</v>
      </c>
      <c r="F4219">
        <f>HYPERLINK("https://www.reddit.com/r/cancer/comments/cs9vwu/witness_cremation/")</f>
        <v/>
      </c>
      <c r="G4219" t="inlineStr">
        <is>
          <t>2019-08-18 17:59:22</t>
        </is>
      </c>
      <c r="H4219" t="inlineStr"/>
    </row>
    <row r="4220">
      <c r="A4220" t="inlineStr">
        <is>
          <t>csapmt</t>
        </is>
      </c>
      <c r="B4220" t="inlineStr">
        <is>
          <t>Day by Day Sucks</t>
        </is>
      </c>
      <c r="C4220" t="inlineStr">
        <is>
          <t>A little over a month ago I found out my mother has Stage 3a lung cancer. At the time, she was told she probably has 6 months or less before it advances to 3b. I have three siblings and we've all been dealing with it in our own ways. My sisters have reached out a lot to see how everyone is doing, my brother and I don't talk about it much but I've heard he has been struggling. He lives with my mom currently so he has a lot more exposure to it every day.  
As for me, I've tried to compartmentalize a lot. It gets to me when I think about it so, at work I try not to bring it up or talk about it. I'm not close with many people besides those at work so, haven't really had to discuss it with anyone outside of family. I don't talk a lot about it with my mom, I get the general sense that she gets tired of talking about it. I also think, since I've show the least emotion around her, that I've become a bit of a rock for her. I'm the person she can say things too when she just wants to get something off her chest and doesn't want to deal with freaking someone out or upsetting them.  
A couple weeks ago, when I was visiting in the morning while my brother was still asleep, she talked to me about needing to get a will in order. It was the first time I had heard her talk about something related to death. The topic had come up before among my siblings, and of course I had thought of it many times myself, but it was the first time I had heard it coming from her. We talked about it really matter-of-factly, and I get the impression she appreciated being able to have an honest conversation without it needing to be emotional.  
So anyway, I'm here for a couple reasons. One, I get anxiety sometimes on the weekends. I think it has to do with going back to work on Monday and wanting to make sure I got everything done I needed to over the weekend, that I'm ready for the week again. So, at 10pm on a Sunday, my anxiety is pretty strong and has been most of the day. With this news, some of my weekends are worse than others and I figured I should vent some where.  
But the other reason I'm here is because, I don't really have much concept of what her chances are. That is to say, I've never discussed with her what her doctors have said, and it's not come up much with my siblings. Just after we found out, I looked up the statistics on lung cancer and of course, they're very bad. I think she said at one point her first doctor gave her 5 years, but from the stats I found, that could be on the very optimistic side.  
I know that stats can't predict individual cases, I understand outliers and how every case is different but, I want to be prepared for the reality. I don't want to be caught off guard, and it is so hard doing this "take everything day by day" crap. I mean, I know that's what we have to do but, it's hard to go to work everyday knowing that the time I have left with her could be numbered. It's hard to not text her because she might be sick of talking to everyone, while also knowing there could be a day not too long from now where I can't text her, and wondering if I'm going to regret not sending one more message.  
And at the same time, what the fuck do I say? "Hey mom, just wanted to say I love you, and how are you doing, because you might be dead soon and I might not get another chance."  
So for those of you on the other end dealing with having cancer, what is the best thing your loved ones can do? Just, take things (and your mood) day by day? Because truthfully, I understand that as much as I'm going through, I need to be there for her and do whatever is going to give her the most comfort, whether she winds up in remission one day or not.</t>
        </is>
      </c>
      <c r="D4220" t="n">
        <v>1</v>
      </c>
      <c r="E4220" t="n">
        <v>0</v>
      </c>
      <c r="F4220">
        <f>HYPERLINK("https://www.reddit.com/r/cancer/comments/csapmt/day_by_day_sucks/")</f>
        <v/>
      </c>
      <c r="G4220" t="inlineStr">
        <is>
          <t>2019-08-18 19:13:08</t>
        </is>
      </c>
      <c r="H4220" t="inlineStr"/>
    </row>
    <row r="4221">
      <c r="A4221" t="inlineStr">
        <is>
          <t>csbicc</t>
        </is>
      </c>
      <c r="B4221" t="inlineStr">
        <is>
          <t>Mom is in rehab and seems bored. Any ideas on activities for her or us to do?</t>
        </is>
      </c>
      <c r="C4221" t="inlineStr">
        <is>
          <t>Hi there! My mom just got transferred from the ICU to a rehab center due to an illness she suffered because of her suppressed immune system. For the past two weeks, we’ve been watching movies. As she is getting to be more mobile and able to do some things for herself, I can tell she is getting bored from TV. 
I wanted to get like an activity basket or a collection of things for her to do so she doesn’t go insane. She is a very creative person and loves to work with her hands. She is also very smart and loves to watch game shows. 
Does anybody have any ideas of things I could bring for her or buy for her that would make her time less alienating and boring??
Thank you so much for any advice or insight you have!!</t>
        </is>
      </c>
      <c r="D4221" t="n">
        <v>1</v>
      </c>
      <c r="E4221" t="n">
        <v>5</v>
      </c>
      <c r="F4221">
        <f>HYPERLINK("https://www.reddit.com/r/cancer/comments/csbicc/mom_is_in_rehab_and_seems_bored_any_ideas_on/")</f>
        <v/>
      </c>
      <c r="G4221" t="inlineStr">
        <is>
          <t>2019-08-18 20:27:42</t>
        </is>
      </c>
      <c r="H4221" t="inlineStr"/>
    </row>
    <row r="4222">
      <c r="A4222" t="inlineStr">
        <is>
          <t>csbl2n</t>
        </is>
      </c>
      <c r="B4222" t="inlineStr">
        <is>
          <t>Anybody else NOT freaked out with your diagnosis?</t>
        </is>
      </c>
      <c r="C4222" t="inlineStr">
        <is>
          <t>🍹Boat drinks!</t>
        </is>
      </c>
      <c r="D4222" t="n">
        <v>1</v>
      </c>
      <c r="E4222" t="n">
        <v>12</v>
      </c>
      <c r="F4222">
        <f>HYPERLINK("https://www.reddit.com/r/cancer/comments/csbl2n/anybody_else_not_freaked_out_with_your_diagnosis/")</f>
        <v/>
      </c>
      <c r="G4222" t="inlineStr">
        <is>
          <t>2019-08-18 20:34:52</t>
        </is>
      </c>
      <c r="H4222" t="inlineStr"/>
    </row>
    <row r="4223">
      <c r="A4223" t="inlineStr">
        <is>
          <t>csbqr5</t>
        </is>
      </c>
      <c r="B4223" t="inlineStr">
        <is>
          <t>CEA levels keep dropping!!</t>
        </is>
      </c>
      <c r="C4223" t="inlineStr">
        <is>
          <t>Hi everyone! I've been posting about my dad's journey (49M with colorectal cancer with Mets to the liver).
He has (hopefully) his final chemo on Tuesday before surgery to remove the nasty lover Mets. He just had blood work done and his CEA dropped further down to 2.8, which is considered a normal level to some people.
I know CEA isn't the best indicator, but it seems like a good fucking sign to me that surgery will be possible soon and my dad will be cancer free and overcome stage IV!
I always appreciate positivity and good news in this sub, I want to share it with everyone else when I get it. FUCK CANCER!</t>
        </is>
      </c>
      <c r="D4223" t="n">
        <v>10</v>
      </c>
      <c r="E4223" t="n">
        <v>1</v>
      </c>
      <c r="F4223">
        <f>HYPERLINK("https://www.reddit.com/r/cancer/comments/csbqr5/cea_levels_keep_dropping/")</f>
        <v/>
      </c>
      <c r="G4223" t="inlineStr">
        <is>
          <t>2019-08-18 20:49:55</t>
        </is>
      </c>
      <c r="H4223" t="inlineStr"/>
    </row>
    <row r="4224">
      <c r="A4224" t="inlineStr">
        <is>
          <t>csdwbk</t>
        </is>
      </c>
      <c r="B4224" t="inlineStr">
        <is>
          <t>Looks like I may be in for an all nighter</t>
        </is>
      </c>
      <c r="C4224" t="inlineStr">
        <is>
          <t>I just cannot sleep. I'm hoping if I get everything out of my head it'll quiet down enough that I can get a few hours in.
My mom has stage 4 lung cancer. When they discovered it, it had already spread to her brain. It was causing seizures so they had her on steroids to keep the swelling down. They hit the brain and lungs with radiation and started lowering the steroids in preparation for her immunotherapy (steroids interfere with it).
Unfortunately, the radiation didn't do much of anything. We had a really scary moment where she started seizing and wouldn't stop. We live in a rural area and she had to be ambulanced to the nearest hospital because the EMTs didn't have the drugs to stop the seizures.
At the hospital they stopped the seizures and sent her away to get scanned. Her brain tumor was up from 5mm to 17mm (in a month). They cranked her steroids back up to prevent seizures until she could get brain surgery.
(Oh yeah fun aside: this is a very rural hospital... not the one we normally go to. One nurse rambled about how flu shots are a scam cooked up by the governments and big pharma. Casually used the word "retarded" in conversation. We don't like that hospital very much.)
So she gets the brain surgery and it's a success. Now she can finally start weaning off the steroids and start treatment! They've delayed immunotherapy a few times now and we're looking forward to actually doing something productive. She's still on some steroids but less when they finally start treatment.
They do immunotherapy and almost immediate my mom has a high fever and other flu-like symptoms. Apparently this can be a side effect of immunotherapy, but not this fast. She has a shortness of breath and a cough. A few days after immunotherapy I drive her to emerg. This was last Wednesday.
It took them a while to find out what it was, but she has phemonia, caused from the steroids weakening her immune system. Unfortunately, aside from the antibiotics, they need her on more steroids to manage the swelling in her lungs. Her oxygen is low and it's hard for her to breath.
It's frustrating because the steroids are the antidote and the poison. They say it'll just take some time for her to get better, and then they can wean her off again.
She's been in the hospital for a while now and she's starting to get really depressed. Me and my sister and her boyfriend visit often, brought books and plants, veggies and non-hospital water. I'm sure it helps but it still sucks for her.
Even before my mom's diagnosis I struggled with depression. I'm lucky to have an accommodating boss that lets me work flexible hours. I'm not afraid of losing my job, but I've been working less and less hours lately. I feel like I'm being crushed under the weight of the tiniest items on the to-do list. And of course this is causing a financial strain. I can't afford therapy so I've been pirating self help ebooks.
Right now it just feels like all momentum is gone. It's weird how the days can seem so fleeting and precious and at the same time can't go by fast enough. I want my mom to get better and off the steroids so she can at least *try* this immunotherapy.</t>
        </is>
      </c>
      <c r="D4224" t="n">
        <v>8</v>
      </c>
      <c r="E4224" t="n">
        <v>11</v>
      </c>
      <c r="F4224">
        <f>HYPERLINK("https://www.reddit.com/r/cancer/comments/csdwbk/looks_like_i_may_be_in_for_an_all_nighter/")</f>
        <v/>
      </c>
      <c r="G4224" t="inlineStr">
        <is>
          <t>2019-08-19 00:48:11</t>
        </is>
      </c>
      <c r="H4224" t="inlineStr"/>
    </row>
    <row r="4225">
      <c r="A4225" t="inlineStr">
        <is>
          <t>cse0uv</t>
        </is>
      </c>
      <c r="B4225" t="inlineStr">
        <is>
          <t>Dealing with lymphedema</t>
        </is>
      </c>
      <c r="C4225" t="inlineStr">
        <is>
          <t>I had a mastectomy, with lymph node removal in my armpit, and was warned about lymphedema and the need for a compression sleeve.  I got measured and got a sleeve, but it is not even remotely comfortable to wear.  I have had my arm swell up a few times, I try to use the sleeve before it swells too much but sometimes I'm not in a position to put it on.  
When I do wear it, I can feel it creating pressure in my elbow, and my joints pop a lot.  I can't sleep when I gave it on, and have a hard time with finer hand/finger movements.  I am an automotive technician, and in a lot of situations I need to have some pretty fine control.
Is this something I just need to put up with, or can I make this more comfortable?</t>
        </is>
      </c>
      <c r="D4225" t="n">
        <v>2</v>
      </c>
      <c r="E4225" t="n">
        <v>8</v>
      </c>
      <c r="F4225">
        <f>HYPERLINK("https://www.reddit.com/r/cancer/comments/cse0uv/dealing_with_lymphedema/")</f>
        <v/>
      </c>
      <c r="G4225" t="inlineStr">
        <is>
          <t>2019-08-19 01:04:03</t>
        </is>
      </c>
      <c r="H4225" t="inlineStr"/>
    </row>
    <row r="4226">
      <c r="A4226" t="inlineStr">
        <is>
          <t>cse8f8</t>
        </is>
      </c>
      <c r="B4226" t="inlineStr">
        <is>
          <t>I’m getting it tested but I’m almost positive I have mouth cancer(floor of the mouth) I’m only 20</t>
        </is>
      </c>
      <c r="C4226" t="inlineStr">
        <is>
          <t>Oh my god. Oh my god. Oh my god. 
If this gets deleted I’ll just post again after I get a fucking test back. 
II know I have it okay already 
I’m probably going to die</t>
        </is>
      </c>
      <c r="D4226" t="n">
        <v>1</v>
      </c>
      <c r="E4226" t="n">
        <v>0</v>
      </c>
      <c r="F4226">
        <f>HYPERLINK("https://www.reddit.com/r/cancer/comments/cse8f8/im_getting_it_tested_but_im_almost_positive_i/")</f>
        <v/>
      </c>
      <c r="G4226" t="inlineStr">
        <is>
          <t>2019-08-19 01:31:13</t>
        </is>
      </c>
      <c r="H4226" t="inlineStr"/>
    </row>
    <row r="4227">
      <c r="A4227" t="inlineStr">
        <is>
          <t>csg5oh</t>
        </is>
      </c>
      <c r="B4227" t="inlineStr">
        <is>
          <t>Scared for my Mom- Ovarian Cancer Possible Recurrence; How to Deal?</t>
        </is>
      </c>
      <c r="C4227" t="inlineStr">
        <is>
          <t>Hi everyone,
Thanks so much in advance for any support, kind thoughts, prayers, advice, or anything else you may have for me.  As some background, I am in my early 30s and have a 1 year-old daughter and am married. We live in Canada.
&amp;amp;#x200B;
Since 2012, my mom has been fighting ovarian cancer.  She was diagnosed in late 2012 (stage 2, which is rare for OVCA).  She had surgery to remove her entire reproductive system and was successfully treated with chemotherapy.  The cancer, which has a high recurrence rate, did not return until September of 2017.  Since then, she's had it twice (so 3 times in total) and it is somewhat likely that she is facing another recurrence as her CA-125 has slowly been creeping up.  She had a CT scan last week and will find out the results tomorrow.  Her last scan at the beginning of June was clear and she finished chemotherapy at the beginning of May.
&amp;amp;#x200B;
As some further background, my mom is truly my best friend.  We have a very close relationship.  I live less than 10 minutes away from her and we talk on the phone several times per day.  She is my biggest support, my biggest champion, and such a wonderful source of advice (she is a very smart woman).  She did such a wonderful job raising me and I have very happy memories of my childhood.  We are both very high-anxiety individuals who are pessimistic, as well.  We have both been crying the past week because we are scared of the doctor's visit tomorrow.  Every time before my mom has a doctor's appointment, which she goes to with my dad, I am terrified that they will tell her either that there is some kind of metastasis (so far the cancer has only ever been in her reproductive system/abdominal cavity), or that the treatment is not working anymore.  I don't want to burden my mom and I try to support her as much as I can.  I mostly take it out on my wonderful husband- crying all the time and not functioning well before appointments.  I know it's wrong, but I love my mom so much and seeing her suffer makes me suffer, and imagining life without her sends me into a very dark psychological hole.  I also have to do my very best for my daughter.
&amp;amp;#x200B;
I've read some other OVCA forums, and I know that there are women who have survived a long time after being diagnosed- some 15 years, some 20, and some beyond that.  The fact that my mom has made it past the 5-year mark is already a miracle in itself, as the chances of surviving this cancer for even 5 years after diagnosis is about 30 percent due to detection happening at very late stages the vast majority of the time.
&amp;amp;#x200B;
So what I am looking for, is a few things, which I hope someone can help me with.
\- Are there any survivors of ovarian cancer here who can share some hope and inspiration? Or any family members or friends of survivors of ovarian cancer who can do the same?
\- What kind of mantras do you say to yourself to calm down and to reassure yourself that things will be OK? Any that are cancer-specific?
\- How can I support my mom when I am an emotional wreck and likely just as terrified as she is? Neither one of us is fully mentally "stable," if there is such a thing, so sometimes I feel that doing things like crying with her over the phone, or asking her to detail her symptoms obsessively so I can evaluate if they're linked to a recurrence, is making her feel worse.
\- Positive vibes and thoughts for my mom.
I'm writing this through tears and fear while dreading tomorrow. Anything this lovely community can offer would be truly appreciate more than any of you can even imagine.</t>
        </is>
      </c>
      <c r="D4227" t="n">
        <v>11</v>
      </c>
      <c r="E4227" t="n">
        <v>7</v>
      </c>
      <c r="F4227">
        <f>HYPERLINK("https://www.reddit.com/r/cancer/comments/csg5oh/scared_for_my_mom_ovarian_cancer_possible/")</f>
        <v/>
      </c>
      <c r="G4227" t="inlineStr">
        <is>
          <t>2019-08-19 05:04:51</t>
        </is>
      </c>
      <c r="H4227" t="inlineStr"/>
    </row>
    <row r="4228">
      <c r="A4228" t="inlineStr">
        <is>
          <t>cshes1</t>
        </is>
      </c>
      <c r="B4228" t="inlineStr">
        <is>
          <t>Looking for a Tarceva container (not the actual medication, just the container)</t>
        </is>
      </c>
      <c r="C4228" t="inlineStr">
        <is>
          <t>For starters I'm really sorry if this is the wrong place to ask. Mods, if you feel this doesn't fit the sub I'll humbly accept it if it gets taken down.
My father was a cancer research scientist that developed Tarceva (erlotinib). When his mom died from brain cancer, he decided to go into cancer research to try to make an impact on the field in some way. He spent two decades working on treatments, the vast majority on Tarceva when he was at Pfizer. It was his life's work, and when it finally made it through clinical trials it was sort of a validation for everything he worked towards.
Most of the time when a drug gets FDA approval, there's all this random swag that the company has available for employees like mugs, pens, etc, but just before the trials finished (if I'm remembering correctly), Pfizer gave the Tarceva rights to OSI, so we didn't get anything like that. He passed away a few years ago, and yesterday was his birthday. I was wondering if I could find something, anything that I could have as a keepsake for the drug to remember him by. Does anyone know where I can get something like that?
Finally, just want to say this sub has so many wonderful stories, it's really nice to see such a supportive community of seemingly good people. My heart goes out to anyone facing difficulties, wishing everyone the best.</t>
        </is>
      </c>
      <c r="D4228" t="n">
        <v>7</v>
      </c>
      <c r="E4228" t="n">
        <v>4</v>
      </c>
      <c r="F4228">
        <f>HYPERLINK("https://www.reddit.com/r/cancer/comments/cshes1/looking_for_a_tarceva_container_not_the_actual/")</f>
        <v/>
      </c>
      <c r="G4228" t="inlineStr">
        <is>
          <t>2019-08-19 06:55:30</t>
        </is>
      </c>
      <c r="H4228" t="inlineStr"/>
    </row>
    <row r="4229">
      <c r="A4229" t="inlineStr">
        <is>
          <t>csjq1a</t>
        </is>
      </c>
      <c r="B4229" t="inlineStr">
        <is>
          <t>My dad has started talking like he's going to die.</t>
        </is>
      </c>
      <c r="C4229" t="inlineStr">
        <is>
          <t>My dad was diagnosed with stage three colorectal cancer back in April. He has since started chemotherapy 11 weeks (5 rounds) ago, and for a while it seemed like everything was going to be okay with minimal side effects. Over the weekend he was hospitalized with severe diarrhea &amp;amp; weakness and has been admitted with lower intestine inflammation. They still aren't sure what's wrong with him and they have started him on antibiotics and are keeping him in the hospital for now.
My dad is in his mid-sixties and has always been very healthy. He's not super athletic but he's always been fine, hardly ever even got sick. This is the first time he's ever spent the night in the hospital and my mom says he's probably terrified, and also that he has started to talk again like he's going to die. My dad is everything to me and I know my mom needs me to be strong for her but I'm terrified. Is it normal for him to be thinking he's going to die? Is that kind of mindset going to affect his ability to fight the cancer? What can I do or say that might help him? I'm lost.</t>
        </is>
      </c>
      <c r="D4229" t="n">
        <v>7</v>
      </c>
      <c r="E4229" t="n">
        <v>10</v>
      </c>
      <c r="F4229">
        <f>HYPERLINK("https://www.reddit.com/r/cancer/comments/csjq1a/my_dad_has_started_talking_like_hes_going_to_die/")</f>
        <v/>
      </c>
      <c r="G4229" t="inlineStr">
        <is>
          <t>2019-08-19 09:47:55</t>
        </is>
      </c>
      <c r="H4229" t="inlineStr"/>
    </row>
    <row r="4230">
      <c r="A4230" t="inlineStr">
        <is>
          <t>csju5r</t>
        </is>
      </c>
      <c r="B4230" t="inlineStr">
        <is>
          <t>Bone Pain Relief (need advice)</t>
        </is>
      </c>
      <c r="C4230" t="inlineStr">
        <is>
          <t>My mothers chemo is going well, but her chest and arms are in so much pain she just cries and can’t sleep. We were told Claritin (more specifically anything with Loratadine) along with ibuprofen would help but it’s doing nothing to relieve her pain. Has anyone found a weird combination or remedy to this pain? Thank you</t>
        </is>
      </c>
      <c r="D4230" t="n">
        <v>3</v>
      </c>
      <c r="E4230" t="n">
        <v>22</v>
      </c>
      <c r="F4230">
        <f>HYPERLINK("https://www.reddit.com/r/cancer/comments/csju5r/bone_pain_relief_need_advice/")</f>
        <v/>
      </c>
      <c r="G4230" t="inlineStr">
        <is>
          <t>2019-08-19 09:55:54</t>
        </is>
      </c>
      <c r="H4230" t="inlineStr"/>
    </row>
    <row r="4231">
      <c r="A4231" t="inlineStr">
        <is>
          <t>csjz2v</t>
        </is>
      </c>
      <c r="B4231" t="inlineStr">
        <is>
          <t>Feel like everyone thinks I'm a liar. no support network.</t>
        </is>
      </c>
      <c r="C4231" t="inlineStr">
        <is>
          <t>I am just struggling right now. Friends and family expect too much of me. I had my two best friends leave me after arguing with me about me still being stage 4 and in treatment (yeah, apparently I can't possibly be in treatment anymore because "it's been too long"). They said some nasty things and I just gave up the relationship since I was there for them through every single struggle in their lives for the past 9 years and they haven't stepped in to support me at all through this. If I tried to talk about what I was going through they would get mad and change the subject. Then, on top of losing the majority of my friends (thanks to the one single person who stuck by me, holy shit I wouldn't be here without her), family is acting like I am lying about how bad things are. The family I live with gets mad at me for sleeping "Too late" when they constantly wake me up all night long, they get mad at me because I still can't go up and down the stairs regularly. My grandmother accused me of lying about how bad things are just to make her life miserable. Because someone in their mid 20s totally wants to be living in the main area of the house with no privacy and no way to bathe properly. I just don't understand why everyone is acting so shitty. It's stage 4 cancer and I'm on chemo indefinitely. I can't just make the side effects go away and suddenly feel amazing. If I stay in my "room" (curtained off portion of house) for too long I get fussed at, but if I go out to a friends house to hang out I get fussed at. It's like everyone is so upset about me inconveniencing them with my health that they think I'm doing it on purpose. I didn't ask to get cancer. I just wanted to graduate college and move on in life. I don't know what to do anymore. I am so tired of feeling like everyone hates me for this. When I got diagnosed I thought maybe things would get better.. Maybe everyone would stop acting like I was exaggerating how bad the pain was. Instead I got support for the first few months (up until the first surgery) and then after that everyone just acts mad/annoyed that I'm not "cured" yet. They act like it's my freaking fault that this cancer is difficult. I am just unbelievably stressed out and tired of dealing with  it... sorry for rant I'm just exhausted and upset..</t>
        </is>
      </c>
      <c r="D4231" t="n">
        <v>74</v>
      </c>
      <c r="E4231" t="n">
        <v>38</v>
      </c>
      <c r="F4231">
        <f>HYPERLINK("https://www.reddit.com/r/cancer/comments/csjz2v/feel_like_everyone_thinks_im_a_liar_no_support/")</f>
        <v/>
      </c>
      <c r="G4231" t="inlineStr">
        <is>
          <t>2019-08-19 10:05:30</t>
        </is>
      </c>
      <c r="H4231" t="inlineStr"/>
    </row>
    <row r="4232">
      <c r="A4232" t="inlineStr">
        <is>
          <t>csklsf</t>
        </is>
      </c>
      <c r="B4232" t="inlineStr">
        <is>
          <t>Thoughts on radiation</t>
        </is>
      </c>
      <c r="C4232" t="inlineStr">
        <is>
          <t>Do you think rads (prrt) are necessary for treating carcinoids? Does a typical session last 9 hours? What are thelong term effects like?</t>
        </is>
      </c>
      <c r="D4232" t="n">
        <v>1</v>
      </c>
      <c r="E4232" t="n">
        <v>3</v>
      </c>
      <c r="F4232">
        <f>HYPERLINK("https://www.reddit.com/r/cancer/comments/csklsf/thoughts_on_radiation/")</f>
        <v/>
      </c>
      <c r="G4232" t="inlineStr">
        <is>
          <t>2019-08-19 10:49:27</t>
        </is>
      </c>
      <c r="H4232" t="inlineStr"/>
    </row>
    <row r="4233">
      <c r="A4233" t="inlineStr">
        <is>
          <t>cskzyl</t>
        </is>
      </c>
      <c r="B4233" t="inlineStr">
        <is>
          <t>My grandma has stage 4 lung cancer and is my 4 year old daughters best friend</t>
        </is>
      </c>
      <c r="C4233" t="inlineStr">
        <is>
          <t>Hello to whoever is reading this!
&amp;amp;#x200B;
I just want to say that this is the first time I've actually "spoken" how I feel about this all.
&amp;amp;#x200B;
So, I guess I should give some sort of back story. My grandma (Gma) is this wonderful person who took on being a mother to her at times ungrateful grandchildren (not in a money or gift type of ungrateful. More of a love thing. Hard to explain). She raised her only son alone and then took on his 2 children when our mother abandoned us and he needed to go to school to be able to make the money to support us. My household is a very tight knit group. It has always been just the 4 of us.
Anywho ...
&amp;amp;#x200B;
About 3 years ago Gma fell down some stairs at work and hurt her shoulder. It sucked but bones heal. During an xray they notices what they called nodules on her lung. They originally kind of down played them saying it could be a number of things. Well, after an exploratory procedure they took out part of her lung and informed us that is was definitely cancer. After chemo and radiation they stopped. Now, what I should say is that this woman is secretive, so any information she gives is very limited so I apologies if things get confusing, its very confusing for even myself. She is now doing an infusion and I want to say this past weeks infusion was the new one (insurance is not helpful since at the time of her insurance switch its was a "pre-existing condition") It might be the next infusion appointment is the new infusion. So, its been a bit of time on treatments. Google was an evil bastard to me for a year straight never faulting on the percentage of survival but then again she is a stubborn woman so I still have hope.
&amp;amp;#x200B;
Now what I'm really here for is my daughter. She is the sunshine in our family and her GG is her best friend. She is 4 and doesn't understand any of this. This past few months I have only seen Gmas health decline. She hardly eats and is wasting away to nothing. I tell myself these are the side effects of the treatments but I am beyond petrified that the end is just getting closer. I'm sorry if that's put morbidly but I cant think of a nicer way of putting it.
&amp;amp;#x200B;
How do you tell a small child that the person they love the most in this world is no longer here with us? Do you begin preparing them for it or just let them know when it happens? I feel like saying they just suddenly pass away is an abrupt thing. I'm just unsure how to go about this. I don't want her to forget her.
&amp;amp;#x200B;
Thank you for reading this.</t>
        </is>
      </c>
      <c r="D4233" t="n">
        <v>1</v>
      </c>
      <c r="E4233" t="n">
        <v>0</v>
      </c>
      <c r="F4233">
        <f>HYPERLINK("https://www.reddit.com/r/cancer/comments/cskzyl/my_grandma_has_stage_4_lung_cancer_and_is_my_4/")</f>
        <v/>
      </c>
      <c r="G4233" t="inlineStr">
        <is>
          <t>2019-08-19 11:16:52</t>
        </is>
      </c>
      <c r="H4233" t="inlineStr"/>
    </row>
    <row r="4234">
      <c r="A4234" t="inlineStr">
        <is>
          <t>csl1b2</t>
        </is>
      </c>
      <c r="B4234" t="inlineStr">
        <is>
          <t>Will I ever get back to the way I was?</t>
        </is>
      </c>
      <c r="C4234" t="inlineStr">
        <is>
          <t>I lost my mom this last April in the 14th and it was very sudden, glioblastoma and she died 45 days after diagnosis. I find myself being overly irritated at little things and even blowing up at little things, I blow up at people over stupid stuff and I can’t find any joy or purpose in anything anymore. I just feel anymore like what’s the point in anything, whatever I do I’ll just die someday and everything I ever did all my memories and everything I’ve accomplished will die with me. Life seems meaningless. 
In short I’m a depressed bitter person and not sure I’ll ever get over it.</t>
        </is>
      </c>
      <c r="D4234" t="n">
        <v>7</v>
      </c>
      <c r="E4234" t="n">
        <v>16</v>
      </c>
      <c r="F4234">
        <f>HYPERLINK("https://www.reddit.com/r/cancer/comments/csl1b2/will_i_ever_get_back_to_the_way_i_was/")</f>
        <v/>
      </c>
      <c r="G4234" t="inlineStr">
        <is>
          <t>2019-08-19 11:19:30</t>
        </is>
      </c>
      <c r="H4234" t="inlineStr"/>
    </row>
    <row r="4235">
      <c r="A4235" t="inlineStr">
        <is>
          <t>csm37z</t>
        </is>
      </c>
      <c r="B4235" t="inlineStr">
        <is>
          <t>Help me</t>
        </is>
      </c>
      <c r="C4235" t="inlineStr">
        <is>
          <t>Hi there - I am recently diagnosed with Breast cancer.  While I remain extremely optimistic I find it all so overwhelming.  What do I do - do I have a double mastectomy or do i do a lumpectomy.   Do I do flap reconstruction do I do implants.   I am so lost.  But more so than anything I dont even know how the F i am going to pay for it all.  Please advise.  I dont know what to do</t>
        </is>
      </c>
      <c r="D4235" t="n">
        <v>4</v>
      </c>
      <c r="E4235" t="n">
        <v>49</v>
      </c>
      <c r="F4235">
        <f>HYPERLINK("https://www.reddit.com/r/cancer/comments/csm37z/help_me/")</f>
        <v/>
      </c>
      <c r="G4235" t="inlineStr">
        <is>
          <t>2019-08-19 12:34:05</t>
        </is>
      </c>
      <c r="H4235" t="inlineStr"/>
    </row>
    <row r="4236">
      <c r="A4236" t="inlineStr">
        <is>
          <t>csmu6h</t>
        </is>
      </c>
      <c r="B4236" t="inlineStr">
        <is>
          <t>Hello guys. My dad was just offered hospice. Don’t know what to think</t>
        </is>
      </c>
      <c r="C4236" t="inlineStr">
        <is>
          <t>He got kidney failure in 2005 then after years of dialysis he got a kidney transplant in 2014. Fast forward to June of this year he came down with terrible back pain. We took him to the hospital and he had a huge tumor that had to be surgically removed. The tumor was the cause from sarcoma and fast forward today he’s lost more than 30 pounds. He’s very skinny. The palliative care lady said he would not handle chemo at all. He’s only 50 years old. My mom and dad immediately rejected hospice, it made me really sad to see my dad shake his head no and look at my mom after. We want to take him home and keep doing dialysis so he can get better enough to finally do chemo. What I want to get from this post is... Are we doing a mistake by not doing hospice? He doesn’t want to go.</t>
        </is>
      </c>
      <c r="D4236" t="n">
        <v>2</v>
      </c>
      <c r="E4236" t="n">
        <v>12</v>
      </c>
      <c r="F4236">
        <f>HYPERLINK("https://www.reddit.com/r/cancer/comments/csmu6h/hello_guys_my_dad_was_just_offered_hospice_dont/")</f>
        <v/>
      </c>
      <c r="G4236" t="inlineStr">
        <is>
          <t>2019-08-19 13:27:02</t>
        </is>
      </c>
      <c r="H4236" t="inlineStr"/>
    </row>
    <row r="4237">
      <c r="A4237" t="inlineStr">
        <is>
          <t>csn7ct</t>
        </is>
      </c>
      <c r="B4237" t="inlineStr">
        <is>
          <t>Breast Cancer + Textured Implants ...help please</t>
        </is>
      </c>
      <c r="C4237" t="inlineStr">
        <is>
          <t>(Originally posted at r/breastcancer)
 I  am 3.5 years out and I saw my plastic surgeon for my yearly checkup.  Everything is great but she informed me about the textured implants  information that has been circulating. (Certain brands of textured  implants have been linked to a very very small change of developing  lymphoma.) I do not have the brand in question but I DO have textured  implants, and with any textured implant, there is a very very very very  low risk for lymphoma based on a bacterial inflammation response.
So  she wants to see me every 6months and mentioned that she could do  another surgery to use round implants and put them above the muscle.  (Mine are currently inside my muscle wall which causes some texturing on  the skin when I flex. It doesn't hurt or anything but it's more of an  aesthetic thing for her, I think.) The round implants don't have a risk  of lymphoma.
But I am torn if I  want to change my implants or go flat. I could also just keep my  implants and see her every 6 months but I don't care for the idea that  there is a chance of lymphoma. But I also don't want to do surgery  again. (For reference, I am 33, fairly active, married.)
Has  anyone gone through this? What kind of implants do you have? Did you go  flat? What do you like/dislike? How did it impact how people saw/see  you?
Thank you!</t>
        </is>
      </c>
      <c r="D4237" t="n">
        <v>1</v>
      </c>
      <c r="E4237" t="n">
        <v>2</v>
      </c>
      <c r="F4237">
        <f>HYPERLINK("https://www.reddit.com/r/cancer/comments/csn7ct/breast_cancer_textured_implants_help_please/")</f>
        <v/>
      </c>
      <c r="G4237" t="inlineStr">
        <is>
          <t>2019-08-19 13:52:52</t>
        </is>
      </c>
      <c r="H4237" t="inlineStr"/>
    </row>
    <row r="4238">
      <c r="A4238" t="inlineStr">
        <is>
          <t>cso00i</t>
        </is>
      </c>
      <c r="B4238" t="inlineStr">
        <is>
          <t>How fucked is my mom if she only has a week of radiation at stage 4?</t>
        </is>
      </c>
      <c r="C4238" t="inlineStr">
        <is>
          <t>I'm sitting with her in the radiation treatment waiting room and everyone here is getting upwards of 20 treatments!
My mom has 5. She's stage 4 met breast cancer.
The radiation is focused on her spine.
Is this a way of saying she's beyond all treatment?</t>
        </is>
      </c>
      <c r="D4238" t="n">
        <v>1</v>
      </c>
      <c r="E4238" t="n">
        <v>5</v>
      </c>
      <c r="F4238">
        <f>HYPERLINK("https://www.reddit.com/r/cancer/comments/cso00i/how_fucked_is_my_mom_if_she_only_has_a_week_of/")</f>
        <v/>
      </c>
      <c r="G4238" t="inlineStr">
        <is>
          <t>2019-08-19 14:51:08</t>
        </is>
      </c>
      <c r="H4238" t="inlineStr"/>
    </row>
    <row r="4239">
      <c r="A4239" t="inlineStr">
        <is>
          <t>csovrh</t>
        </is>
      </c>
      <c r="B4239" t="inlineStr">
        <is>
          <t>My dad was just diagnosed with Pancreatic cancer, what should I expect??</t>
        </is>
      </c>
      <c r="C4239" t="inlineStr">
        <is>
          <t>My parents handle this and all but I'm too afraid to ask them what I should be expecting in the upcoming months, and what are the chances he'll survive? I'm trying to hold out hope but I'm so scared</t>
        </is>
      </c>
      <c r="D4239" t="n">
        <v>1</v>
      </c>
      <c r="E4239" t="n">
        <v>0</v>
      </c>
      <c r="F4239">
        <f>HYPERLINK("https://www.reddit.com/r/cancer/comments/csovrh/my_dad_was_just_diagnosed_with_pancreatic_cancer/")</f>
        <v/>
      </c>
      <c r="G4239" t="inlineStr">
        <is>
          <t>2019-08-19 15:55:54</t>
        </is>
      </c>
      <c r="H4239" t="inlineStr"/>
    </row>
    <row r="4240">
      <c r="A4240" t="inlineStr">
        <is>
          <t>csptpp</t>
        </is>
      </c>
      <c r="B4240" t="inlineStr">
        <is>
          <t>Hey everyone !</t>
        </is>
      </c>
      <c r="C4240" t="inlineStr">
        <is>
          <t>Just here to post and let out a bit of feelings as I can’t really to my mom. 
Just a bit of a back story my mom was diagnosed stage 4 bile duct cancer (Cholangiocarcinoma) and today we went to MD Anderson for some labs and a CT scan and on the way home my mom just broke down to me, and she’s just scared of dying and leaving her kids behind.
Me being 20 years old I’m just so confused. This is the sweet mom you always wanted. This is my reality, and something I’m living with and I really don’t know why this is going on.</t>
        </is>
      </c>
      <c r="D4240" t="n">
        <v>4</v>
      </c>
      <c r="E4240" t="n">
        <v>2</v>
      </c>
      <c r="F4240">
        <f>HYPERLINK("https://www.reddit.com/r/cancer/comments/csptpp/hey_everyone/")</f>
        <v/>
      </c>
      <c r="G4240" t="inlineStr">
        <is>
          <t>2019-08-19 17:06:06</t>
        </is>
      </c>
      <c r="H4240" t="inlineStr"/>
    </row>
    <row r="4241">
      <c r="A4241" t="inlineStr">
        <is>
          <t>csqio6</t>
        </is>
      </c>
      <c r="B4241" t="inlineStr">
        <is>
          <t>Any advice? Barium before PEG operation</t>
        </is>
      </c>
      <c r="C4241" t="inlineStr">
        <is>
          <t>I’ve made it through 5 ounces of barium with only gagging and spitting up three times? But it’s been an hour and a half.  I haven’t eaten anything since lunch and my mouth is full of sores (Thanks radiation).  Should I try eating something before doing the other 5 ounces?  Will that interfere with the barium?  Nurse told me to have it all down by 8pm, which is now.  Any tricks or advice is appreciated.</t>
        </is>
      </c>
      <c r="D4241" t="n">
        <v>2</v>
      </c>
      <c r="E4241" t="n">
        <v>2</v>
      </c>
      <c r="F4241">
        <f>HYPERLINK("https://www.reddit.com/r/cancer/comments/csqio6/any_advice_barium_before_peg_operation/")</f>
        <v/>
      </c>
      <c r="G4241" t="inlineStr">
        <is>
          <t>2019-08-19 17:56:40</t>
        </is>
      </c>
      <c r="H4241" t="inlineStr"/>
    </row>
    <row r="4242">
      <c r="A4242" t="inlineStr">
        <is>
          <t>csr6mt</t>
        </is>
      </c>
      <c r="B4242" t="inlineStr">
        <is>
          <t>Starting chemo tomorrow</t>
        </is>
      </c>
      <c r="C4242" t="inlineStr">
        <is>
          <t>Had my IV port placed today and hardly slept the night before. I don't think I'll sleep well tonight either. They left the needle in for easy access tomorrow. Nervous about disturbing it somehow in my sleep. I have to be up at 6am so we can beat the traffic and get to my appointment on time. There was so much I planned to do yesterday but just put off -- was supposed to get my hair cut short(ish), put together my treatment binder, prep some soup. Instead I walked around a shopping plaza with my boyfriend (we both hate shopping) and faked normalcy until suddenly I felt like I was gonna pass out. Feel bad for my dog, who just wants to lay on my chest like he used to and doesn't know why I won't let him in my room. Ready to get it over with but not ready at all to start. Feels very strange. Thanks for reading.</t>
        </is>
      </c>
      <c r="D4242" t="n">
        <v>2</v>
      </c>
      <c r="E4242" t="n">
        <v>26</v>
      </c>
      <c r="F4242">
        <f>HYPERLINK("https://www.reddit.com/r/cancer/comments/csr6mt/starting_chemo_tomorrow/")</f>
        <v/>
      </c>
      <c r="G4242" t="inlineStr">
        <is>
          <t>2019-08-19 18:52:09</t>
        </is>
      </c>
      <c r="H4242" t="inlineStr"/>
    </row>
    <row r="4243">
      <c r="A4243" t="inlineStr">
        <is>
          <t>css830</t>
        </is>
      </c>
      <c r="B4243" t="inlineStr">
        <is>
          <t>Neutropenic fever</t>
        </is>
      </c>
      <c r="C4243" t="inlineStr">
        <is>
          <t>My husband is currently sleeping next to me running a low grade temp and my mind is racing about when and how much I should check on him during the night. His neutrophil count was 100 on Sunday and they delayed his round of abvd that he was supposed to receive today due to the fever he had the night before. The fever came back again in the afternoon so he went to get blood cultures done. Now I guess we’re just waiting on those but my fear is he’ll go downhill in the night and we’ll miss some sort of intervention that would have been able to help him. How much do worry about neutropenic fevers?</t>
        </is>
      </c>
      <c r="D4243" t="n">
        <v>2</v>
      </c>
      <c r="E4243" t="n">
        <v>5</v>
      </c>
      <c r="F4243">
        <f>HYPERLINK("https://www.reddit.com/r/cancer/comments/css830/neutropenic_fever/")</f>
        <v/>
      </c>
      <c r="G4243" t="inlineStr">
        <is>
          <t>2019-08-19 20:28:29</t>
        </is>
      </c>
      <c r="H4243" t="inlineStr"/>
    </row>
    <row r="4244">
      <c r="A4244" t="inlineStr">
        <is>
          <t>csst7u</t>
        </is>
      </c>
      <c r="B4244" t="inlineStr">
        <is>
          <t>Who’s come back from stage 4 cancer?</t>
        </is>
      </c>
      <c r="C4244" t="inlineStr">
        <is>
          <t>My cousin has a rare form of cancer. He’s been in the hospital a month. Neuroendocrine cancer, it’s in his GI tract, lungs and brain. He’s done radiation and chemo. We’re waiting on results. Have you or anyone you know gone into remission from stage 4 cancer? Please be honest.</t>
        </is>
      </c>
      <c r="D4244" t="n">
        <v>1</v>
      </c>
      <c r="E4244" t="n">
        <v>2</v>
      </c>
      <c r="F4244">
        <f>HYPERLINK("https://www.reddit.com/r/cancer/comments/csst7u/whos_come_back_from_stage_4_cancer/")</f>
        <v/>
      </c>
      <c r="G4244" t="inlineStr">
        <is>
          <t>2019-08-19 21:46:46</t>
        </is>
      </c>
      <c r="H4244" t="inlineStr"/>
    </row>
    <row r="4245">
      <c r="A4245" t="inlineStr">
        <is>
          <t>cst2sa</t>
        </is>
      </c>
      <c r="B4245" t="inlineStr">
        <is>
          <t>I'm scared.</t>
        </is>
      </c>
      <c r="C4245" t="inlineStr">
        <is>
          <t>My mother one day began to swell in the stomach area, she didn't wanted to go to the hospital because she thought that over time she would fine, but it did not happen, instead it began to swell more and that was when a friend made her go to the hospital, they were there for a long time, it turns out that they were taking the liquid that caused it the swell. I thought that was all, but when she returned home she told my brother and  I that the inflammation was due to cysts in her ovaries and that they had also found one in one of her breasts. I had no idea what that meant and because I was afraid to ask I left it there. Then I realized that my grandmother would come to look for her every few days to take her to the hospital and to be given her 'medicine'. This is the she calls it (never calls it otherwise), this left me confused because I thought that the worst was over, i was wrong the months go by and her hair began to fall to the point where she decided to shave her whole head. We never talk about the it the days just pass and practically nothing has changed, I really do not want to ask her anything because I am afraid to make her feel bad but on the other hand I want to know her diagnosis more accurately. I don't know what to do. 
(Sorry if theres any mistake i made this post with Google Traductor and add the fact that i'm a terrible writer)</t>
        </is>
      </c>
      <c r="D4245" t="n">
        <v>3</v>
      </c>
      <c r="E4245" t="n">
        <v>2</v>
      </c>
      <c r="F4245">
        <f>HYPERLINK("https://www.reddit.com/r/cancer/comments/cst2sa/im_scared/")</f>
        <v/>
      </c>
      <c r="G4245" t="inlineStr">
        <is>
          <t>2019-08-19 22:28:32</t>
        </is>
      </c>
      <c r="H4245" t="inlineStr"/>
    </row>
    <row r="4246">
      <c r="A4246" t="inlineStr">
        <is>
          <t>csw7q3</t>
        </is>
      </c>
      <c r="B4246" t="inlineStr">
        <is>
          <t>4 days until big surgery, and am just... Oof</t>
        </is>
      </c>
      <c r="C4246" t="inlineStr">
        <is>
          <t>Any words of support welcome! 
I'm 39, a dog lover, and diagnosed with mucinous ovarian cancer in June 2019. Have had one open surgery already, to remove the "almost certainly benign cyst" that turned out to be a 12x13cm tumour. 
I've got a full hysterectomy, appendectomy, and omentectomy happening in 4 days (open surgery). I live in a country with free healthcare (thank god), and am having the op done by a specialist gynae-oncology surgeon at a top teaching hospital. I feel I'm in good hands, but it's a significant operation and the recovery period is going to be long. I live alone with my dog (she'll be with her fave dogsitter for 2 weeks).
My supposed soulmate all but ghosted me in the weeks following my diagnosis, and said some truly spectacularly awful things before disappearing (apparently for good, haven't heard a peep from him in 10 days). 
I oscillate between knowing that I'm better off without someone who could be so gobsmackingly selfish, and lurching in nauseous shock that this man, the love of my life, has abandoned me in my hour of need. I know it's dramatic but the phrase "left for dead" feels apt. 
The surgery this weekend will stage the cancer, and then I'll know more. As far as I can tell, it's basically: Stage 1, jolly good. Stage 2, uh oh. Stage 3-4: pick your funeral tunes. The subtype I have isn't very responsive to chemo, so getting everything out in surgery is the best/only option. 
I'm devastated to lose my fertility, and have no one to talk to about it. I'm a lifelong introvert, not close to family, and have spent the last few years investing all my time and (limited) energy in a partner who's disposed of me, seemingly without a second thought. 
I'm clinging to the few friends I have, and my dog, and trying really, really hard not to be a downer. 
I put a brave face on for my partner and stayed as positive as I could, and he left after only a few weeks. So I'm terrified to tell anyone irl how I'm really feeling, which is heartbroken, frightened, in pain and lonely.</t>
        </is>
      </c>
      <c r="D4246" t="n">
        <v>48</v>
      </c>
      <c r="E4246" t="n">
        <v>53</v>
      </c>
      <c r="F4246">
        <f>HYPERLINK("https://www.reddit.com/r/cancer/comments/csw7q3/4_days_until_big_surgery_and_am_just_oof/")</f>
        <v/>
      </c>
      <c r="G4246" t="inlineStr">
        <is>
          <t>2019-08-20 03:17:48</t>
        </is>
      </c>
      <c r="H4246" t="inlineStr"/>
    </row>
    <row r="4247">
      <c r="A4247" t="inlineStr">
        <is>
          <t>csyp2t</t>
        </is>
      </c>
      <c r="B4247" t="inlineStr">
        <is>
          <t>A leukemia relapse</t>
        </is>
      </c>
      <c r="C4247" t="inlineStr">
        <is>
          <t>My brother, 29 yo Egyptian, was diagnosed 12/2018  "Acute Myeloid Leukemia FLT3 postive". Infusion of stem cells was done on 13/04/2019. My sister was the donner. 4 months after bone marrow transplantation  he had a relapse.  We are willing to travel aboard so I contacted a hospital in Germany and they replied with "No treatment for his case". So does anyone know a similar case that survived? and how? His case is getting worth and there is no treatment in Egypt. Doctors lost hope in the case.</t>
        </is>
      </c>
      <c r="D4247" t="n">
        <v>9</v>
      </c>
      <c r="E4247" t="n">
        <v>5</v>
      </c>
      <c r="F4247">
        <f>HYPERLINK("https://www.reddit.com/r/cancer/comments/csyp2t/a_leukemia_relapse/")</f>
        <v/>
      </c>
      <c r="G4247" t="inlineStr">
        <is>
          <t>2019-08-20 06:19:27</t>
        </is>
      </c>
      <c r="H4247" t="inlineStr"/>
    </row>
    <row r="4248">
      <c r="A4248" t="inlineStr">
        <is>
          <t>ct08xm</t>
        </is>
      </c>
      <c r="B4248" t="inlineStr">
        <is>
          <t>Hemorrhoid question.</t>
        </is>
      </c>
      <c r="C4248" t="inlineStr">
        <is>
          <t>Been getting mild hemorrhoids from my chemotherapy, honestly even when my bowl movements seem regular. Probably just from low platelet counts. But does anyone else feel exhausted after passing a stool in the morning? Like I popped one I didn't even know I had while passing a large stool and felt completely spent afterwards. Like mild lightheadedness, but not like I was dizzy or felt like fainting or anything. More of a feeling of no motivation, took a lot of willpower just to convince myself to stand in the shower afterwards. Just trying to figure out how to combat this feeling/whether it's the chemo or the hemroids from the chemo that are making me feel like this.</t>
        </is>
      </c>
      <c r="D4248" t="n">
        <v>2</v>
      </c>
      <c r="E4248" t="n">
        <v>5</v>
      </c>
      <c r="F4248">
        <f>HYPERLINK("https://www.reddit.com/r/cancer/comments/ct08xm/hemorrhoid_question/")</f>
        <v/>
      </c>
      <c r="G4248" t="inlineStr">
        <is>
          <t>2019-08-20 07:59:51</t>
        </is>
      </c>
      <c r="H4248" t="inlineStr"/>
    </row>
    <row r="4249">
      <c r="A4249" t="inlineStr">
        <is>
          <t>ct1nrv</t>
        </is>
      </c>
      <c r="B4249" t="inlineStr">
        <is>
          <t>Tell me how I can best support a coworker</t>
        </is>
      </c>
      <c r="C4249" t="inlineStr">
        <is>
          <t>My coworker, who is one of my subordinates (I’m only saying this as I have some influence on how I can have some affect on her work environment) has stage 4 cancer. She is young and otherwise healthy. This has been rapidly progressing and she just had her second round of chemo. She is shaving her head today, and is really trying to stay positive. They are pretty grim with her prognosis. How do I best support her? I have her pretty earrings so that she can have a little shine without any hair but I know this is all devastating for her. I am giving her the ability to work from home as needed and any time that’s needed. I’ve reassured her we have her back and she doesn’t need to worry about her job. In all of your experiences what are other small or supportive ways I can help?</t>
        </is>
      </c>
      <c r="D4249" t="n">
        <v>30</v>
      </c>
      <c r="E4249" t="n">
        <v>21</v>
      </c>
      <c r="F4249">
        <f>HYPERLINK("https://www.reddit.com/r/cancer/comments/ct1nrv/tell_me_how_i_can_best_support_a_coworker/")</f>
        <v/>
      </c>
      <c r="G4249" t="inlineStr">
        <is>
          <t>2019-08-20 09:27:17</t>
        </is>
      </c>
      <c r="H4249" t="inlineStr"/>
    </row>
    <row r="4250">
      <c r="A4250" t="inlineStr">
        <is>
          <t>ct24vw</t>
        </is>
      </c>
      <c r="B4250" t="inlineStr">
        <is>
          <t>Positive stories, survival and encouragement!</t>
        </is>
      </c>
      <c r="C4250" t="inlineStr">
        <is>
          <t>Hi everyone!
Mom was diagnosed with triple negative breast cancer 2.8cm, localised, no lymph nodes.. All is looking good for now, she wants a masectomy and then standard therapy (chemo, radiation)
Surgery is scheduled 15 days from now. (Im losing my mind that its that far away). The tumor hasnt changed almost at all in the past month so I feel we should be good.
In the meantime I need all the positive stories, enouragement, bravery, helpful tips etc. so we can pass the time and build our bravery.
Share whatever you think would help us at this time! 
Thank you and hope you are doing great today 🌸</t>
        </is>
      </c>
      <c r="D4250" t="n">
        <v>2</v>
      </c>
      <c r="E4250" t="n">
        <v>8</v>
      </c>
      <c r="F4250">
        <f>HYPERLINK("https://www.reddit.com/r/cancer/comments/ct24vw/positive_stories_survival_and_encouragement/")</f>
        <v/>
      </c>
      <c r="G4250" t="inlineStr">
        <is>
          <t>2019-08-20 09:56:39</t>
        </is>
      </c>
      <c r="H4250" t="inlineStr"/>
    </row>
    <row r="4251">
      <c r="A4251" t="inlineStr">
        <is>
          <t>ct3o22</t>
        </is>
      </c>
      <c r="B4251" t="inlineStr">
        <is>
          <t>Father just diagnosed with NSCLC Adenocarcinoma, anyone have any advice, stories ?</t>
        </is>
      </c>
      <c r="C4251" t="inlineStr">
        <is>
          <t>My biggest fear in life is happening my greatest friend my dad was diagnosed with Stage 4. I’m very confused. I’ve been reading and asking questions but his doctor doesn’t like when the family panics and does the whole million question thing. We saw the oncologist for the first time Thursday last week and he was very vague. He said it’s a horrible disease and we can never cure it but we can treat it. The situation is very odd to me because my dad has a tumor on his left lung that’s 4.2cm and he tested positive for cancer in certain lymph nodes. I think 4 total lymph nodes. I don’t even know what questions to ask the doctor anymore. He wouldn’t even give a prognosis besides that 50 out of 100 patients are alive after 1 year and then the number drops throughout the next few years. My dad is in pretty good condition(thank god) but losing a lot of weight and his head won’t stop hurting. The doctor wants to do an mri on his brain to see if it’s there. Im rambling right now but I’m all over the place so please forgive me. He did have the PDL1 expression and a tumor intensity of 25% so idk if that’s good news in regards to immunotherapy or not. Alsoooo I assumed if someone is stage 4 that the doctors start treatment as soon as possible but this doctor is really testing everything and we have to wait two weeks to hear the treatment plan... is that too long ? I heard this stuff happens quickly and the sooner the better .  Any advice, stories , whatever you have please let me know whether good or bad I need to know what’s happening with my dad.</t>
        </is>
      </c>
      <c r="D4251" t="n">
        <v>3</v>
      </c>
      <c r="E4251" t="n">
        <v>6</v>
      </c>
      <c r="F4251">
        <f>HYPERLINK("https://www.reddit.com/r/cancer/comments/ct3o22/father_just_diagnosed_with_nsclc_adenocarcinoma/")</f>
        <v/>
      </c>
      <c r="G4251" t="inlineStr">
        <is>
          <t>2019-08-20 11:30:19</t>
        </is>
      </c>
      <c r="H4251" t="inlineStr"/>
    </row>
    <row r="4252">
      <c r="A4252" t="inlineStr">
        <is>
          <t>ct3wt4</t>
        </is>
      </c>
      <c r="B4252" t="inlineStr">
        <is>
          <t>My grandma just got diagnosed... now what?</t>
        </is>
      </c>
      <c r="C4252" t="inlineStr">
        <is>
          <t>Hi, 
My grandma is in her 70’s and has been diagnosed with lung cancer.  She has two nodules.  One was detected on a scan she had done 6 months ago and another was detected in the second scan and it was very large.  Biopsies revealed both are cancerous but the initial smaller nodule is not staged but the larger one is stage 3.  
She is set to receive radiation 5 days a week with one day of both radiation and chemo.  She went for her tattoos and port today.
My question is what should I expect? I am expecting my husband and I to step up and take on some - most care giving responsibilities.  She is healthy otherwise, active with a sharp mind.  She’s optimistic but I am very worried.  
Any information, practical suggestions, stage explanation, literally anything is greatly appreciated.  If you’re currently diagnosed or in recovery what helped you the most during radiation, chemo and recovery? 
I’m 26 and this is my first time dealing with a family member with cancer.  I don’t want to see her suffer but I am more than willing to be there through anything she needs.  
Thanks for your support and suggestions.</t>
        </is>
      </c>
      <c r="D4252" t="n">
        <v>3</v>
      </c>
      <c r="E4252" t="n">
        <v>3</v>
      </c>
      <c r="F4252">
        <f>HYPERLINK("https://www.reddit.com/r/cancer/comments/ct3wt4/my_grandma_just_got_diagnosed_now_what/")</f>
        <v/>
      </c>
      <c r="G4252" t="inlineStr">
        <is>
          <t>2019-08-20 11:45:14</t>
        </is>
      </c>
      <c r="H4252" t="inlineStr"/>
    </row>
    <row r="4253">
      <c r="A4253" t="inlineStr">
        <is>
          <t>ct4ck6</t>
        </is>
      </c>
      <c r="B4253" t="inlineStr">
        <is>
          <t>New best friend just diagnosed with Stage IV lung cancer &amp;amp; given 6-12mo</t>
        </is>
      </c>
      <c r="C4253" t="inlineStr">
        <is>
          <t>I have only known this person for a couple months but he's one of those people who is just straight up honest and emotional right off the bat. One of those people you meet and immediately feel comfortable sharing the deepest darkest parts of your life with. Someone who is totally open and totally accepting, very appreciative of friendship and acceptance from others as well. I've grown to consider him one of my best friends. I found out a few hours ago that he's been diagnosed with Stage IV lung cancer and the doctor estimated that he has 6 months - 1 year to live. If anyone has any advice about how best to spend time with him or what I can do for him, I'd really appreciate it.</t>
        </is>
      </c>
      <c r="D4253" t="n">
        <v>10</v>
      </c>
      <c r="E4253" t="n">
        <v>2</v>
      </c>
      <c r="F4253">
        <f>HYPERLINK("https://www.reddit.com/r/cancer/comments/ct4ck6/new_best_friend_just_diagnosed_with_stage_iv_lung/")</f>
        <v/>
      </c>
      <c r="G4253" t="inlineStr">
        <is>
          <t>2019-08-20 12:12:21</t>
        </is>
      </c>
      <c r="H4253" t="inlineStr"/>
    </row>
    <row r="4254">
      <c r="A4254" t="inlineStr">
        <is>
          <t>ct5hog</t>
        </is>
      </c>
      <c r="B4254" t="inlineStr">
        <is>
          <t>Scared</t>
        </is>
      </c>
      <c r="C4254" t="inlineStr">
        <is>
          <t>Hi iv been going through cancer for the past 3 and a half years. Its had its ups and downs. times i thought it was gone times its come back and spread. Im now at the point where there are basically no options left in treatments. i feel like this is the end but the doctors wont tell me. Its getting bad to where i need help and machines at home to keep me ok. No one will really tell me how long iv got and im to scared to ask. Im 18 and feel like life has been way to short and im scared of whats to come. I dont know what to do or what to think. Im just scared.</t>
        </is>
      </c>
      <c r="D4254" t="n">
        <v>8</v>
      </c>
      <c r="E4254" t="n">
        <v>4</v>
      </c>
      <c r="F4254">
        <f>HYPERLINK("https://www.reddit.com/r/cancer/comments/ct5hog/scared/")</f>
        <v/>
      </c>
      <c r="G4254" t="inlineStr">
        <is>
          <t>2019-08-20 13:22:01</t>
        </is>
      </c>
      <c r="H4254" t="inlineStr"/>
    </row>
    <row r="4255">
      <c r="A4255" t="inlineStr">
        <is>
          <t>ct6j05</t>
        </is>
      </c>
      <c r="B4255" t="inlineStr">
        <is>
          <t>Looking for tips on intimacy/sex, body image, and communications about these issues from women who have had cancer</t>
        </is>
      </c>
      <c r="C4255" t="inlineStr">
        <is>
          <t>Hi everyone, I’m helping to develop a program that’s aimed at improving sexual health, body image, and well-being after cancer. One thing we’re looking to add is tips from other women who have gone through cancer. These tips can be related to intimacy/sex, body image, communication about these issues, or other related topics. Does anyone have any tips they’d be willing to share?</t>
        </is>
      </c>
      <c r="D4255" t="n">
        <v>5</v>
      </c>
      <c r="E4255" t="n">
        <v>2</v>
      </c>
      <c r="F4255">
        <f>HYPERLINK("https://www.reddit.com/r/cancer/comments/ct6j05/looking_for_tips_on_intimacysex_body_image_and/")</f>
        <v/>
      </c>
      <c r="G4255" t="inlineStr">
        <is>
          <t>2019-08-20 14:25:44</t>
        </is>
      </c>
      <c r="H4255" t="inlineStr"/>
    </row>
    <row r="4256">
      <c r="A4256" t="inlineStr">
        <is>
          <t>ct6tej</t>
        </is>
      </c>
      <c r="B4256" t="inlineStr">
        <is>
          <t>3 mutations found in my blood, might need stem cell transplant...</t>
        </is>
      </c>
      <c r="C4256" t="inlineStr">
        <is>
          <t>...I'm a mess right now. 
After a perfect day with family, after so much time feeling normal for once, I get a call telling me this news. It feels like I got punched in the face by my cancer.
Why? why can't this stupid cancer leave me alone?!
I just want to scream.</t>
        </is>
      </c>
      <c r="D4256" t="n">
        <v>9</v>
      </c>
      <c r="E4256" t="n">
        <v>10</v>
      </c>
      <c r="F4256">
        <f>HYPERLINK("https://www.reddit.com/r/cancer/comments/ct6tej/3_mutations_found_in_my_blood_might_need_stem/")</f>
        <v/>
      </c>
      <c r="G4256" t="inlineStr">
        <is>
          <t>2019-08-20 14:43:46</t>
        </is>
      </c>
      <c r="H4256" t="inlineStr"/>
    </row>
    <row r="4257">
      <c r="A4257" t="inlineStr">
        <is>
          <t>ct7wpw</t>
        </is>
      </c>
      <c r="B4257" t="inlineStr">
        <is>
          <t>Hot Damn and a side of pie!</t>
        </is>
      </c>
      <c r="C4257" t="inlineStr">
        <is>
          <t>PET scan was clear! 
After fighting squamous cell cancer at the base of my tongue with radiation and chemo and enough vomiting for a small town of people my report was clear and tomorrow I get my peg tube out. 
Thanks for all the encouraging words. Thanks to everyone who ranted their ass off and made we feel ok about my fits of anger and despair.</t>
        </is>
      </c>
      <c r="D4257" t="n">
        <v>98</v>
      </c>
      <c r="E4257" t="n">
        <v>13</v>
      </c>
      <c r="F4257">
        <f>HYPERLINK("https://www.reddit.com/r/cancer/comments/ct7wpw/hot_damn_and_a_side_of_pie/")</f>
        <v/>
      </c>
      <c r="G4257" t="inlineStr">
        <is>
          <t>2019-08-20 16:03:47</t>
        </is>
      </c>
      <c r="H4257" t="inlineStr"/>
    </row>
    <row r="4258">
      <c r="A4258" t="inlineStr">
        <is>
          <t>ct8rd9</t>
        </is>
      </c>
      <c r="B4258" t="inlineStr">
        <is>
          <t>Good news/Bad news</t>
        </is>
      </c>
      <c r="C4258" t="inlineStr">
        <is>
          <t>So early this morning I went in for my scheduled radiation treatment. I was sitting in the waiting room waiting to be called back and sort of feeling kind of shitty, but that’s to be expected. The nurse finally called me back and when I stood up she turned white as a ghost and told me to sit back down. I did as I was told, the doc came out and I was told to stand up again and the doc asked me how long I had been bleeding. I told him that I was bleeding after every treatment. He ran to the phone and called transport to take me to the hospital. Once I got there I was rushed into emergency surgery and needless to say, I no longer have a cervix. I’ll still have some treatments left once I leave the hospital. But for now I get to sit here in [this lovely gown](https://flic.kr/p/2h2xL9Y). 
At least they ripped it out and I will have way less treatments to deal with and I will probably be able to get back to work in three months instead of six, thank god. I guess there is always a rainbow after the storm 😊</t>
        </is>
      </c>
      <c r="D4258" t="n">
        <v>1</v>
      </c>
      <c r="E4258" t="n">
        <v>4</v>
      </c>
      <c r="F4258">
        <f>HYPERLINK("https://www.reddit.com/r/cancer/comments/ct8rd9/good_newsbad_news/")</f>
        <v/>
      </c>
      <c r="G4258" t="inlineStr">
        <is>
          <t>2019-08-20 17:11:12</t>
        </is>
      </c>
      <c r="H4258" t="inlineStr"/>
    </row>
    <row r="4259">
      <c r="A4259" t="inlineStr">
        <is>
          <t>ct91a5</t>
        </is>
      </c>
      <c r="B4259" t="inlineStr">
        <is>
          <t>Minor rant- after treatment is done cancer still messes things up(tmi)</t>
        </is>
      </c>
      <c r="C4259" t="inlineStr">
        <is>
          <t>I was diagnosed in Nov 2013 with breast cancer , surgery in Dec, chemo for 4 months and then 33 round of radiation followed by 5 years tamoxifen.
I was considered cancer free in June of this year and off the tamoxifen April of this year.
All great news.  Dealt with the side effects problems well during treatments.  Until now...
The hot flashes that had stopped are starting again.  Restless sleeping again.  But worst is the dryness during intercourse. It is to the point of pain and I don't want to even try.  I can't do HRT due to the cancer being estrogen progesterone positive and the other remedies are messy and make me feel less attractive.
Stupid,  I know others had and have it worse and I'm alive to complain but I just wish I could close the book and be back to pre cancer.</t>
        </is>
      </c>
      <c r="D4259" t="n">
        <v>3</v>
      </c>
      <c r="E4259" t="n">
        <v>4</v>
      </c>
      <c r="F4259">
        <f>HYPERLINK("https://www.reddit.com/r/cancer/comments/ct91a5/minor_rant_after_treatment_is_done_cancer_still/")</f>
        <v/>
      </c>
      <c r="G4259" t="inlineStr">
        <is>
          <t>2019-08-20 17:32:47</t>
        </is>
      </c>
      <c r="H4259" t="inlineStr"/>
    </row>
    <row r="4260">
      <c r="A4260" t="inlineStr">
        <is>
          <t>ct9977</t>
        </is>
      </c>
      <c r="B4260" t="inlineStr">
        <is>
          <t>For the ladies who received adriamycin as part of our chemo regimens (Hodgkins Lynphoma being one such group), here is another long term effect of which to be made aware....</t>
        </is>
      </c>
      <c r="C4260" t="inlineStr">
        <is>
          <t>For those of us who recieved adriamycin as part of our chemo regimens, particularly those of us who had the "lifetime max" or 12 doses, emerging research is showing evidence that our risk of developing breast cancer may be on par with women who have the BRCA gene. 
This study deals with "childhood cancer" survivors, but my survivorship clinician told me that risk profiles are the same for young adult cancer survivors (under 39).
https://www.cancertherapyadvisor.com/home/cancer-topics/breast-cancer/female-childhood-cancer-survivors-higher-breast-risk-anthracycline/2/</t>
        </is>
      </c>
      <c r="D4260" t="n">
        <v>0</v>
      </c>
      <c r="E4260" t="n">
        <v>4</v>
      </c>
      <c r="F4260">
        <f>HYPERLINK("https://www.reddit.com/r/cancer/comments/ct9977/for_the_ladies_who_received_adriamycin_as_part_of/")</f>
        <v/>
      </c>
      <c r="G4260" t="inlineStr">
        <is>
          <t>2019-08-20 17:50:13</t>
        </is>
      </c>
      <c r="H4260" t="inlineStr"/>
    </row>
    <row r="4261">
      <c r="A4261" t="inlineStr">
        <is>
          <t>ct9f5e</t>
        </is>
      </c>
      <c r="B4261" t="inlineStr">
        <is>
          <t>Mom’s First Chemo</t>
        </is>
      </c>
      <c r="C4261" t="inlineStr">
        <is>
          <t>My mom is starting chemo next week. What should I expect as a caregiver?</t>
        </is>
      </c>
      <c r="D4261" t="n">
        <v>2</v>
      </c>
      <c r="E4261" t="n">
        <v>3</v>
      </c>
      <c r="F4261">
        <f>HYPERLINK("https://www.reddit.com/r/cancer/comments/ct9f5e/moms_first_chemo/")</f>
        <v/>
      </c>
      <c r="G4261" t="inlineStr">
        <is>
          <t>2019-08-20 18:03:25</t>
        </is>
      </c>
      <c r="H4261" t="inlineStr"/>
    </row>
    <row r="4262">
      <c r="A4262" t="inlineStr">
        <is>
          <t>ctag93</t>
        </is>
      </c>
      <c r="B4262" t="inlineStr">
        <is>
          <t>My mom has nausea and I'm freaking out</t>
        </is>
      </c>
      <c r="C4262" t="inlineStr">
        <is>
          <t>(I first want to apologize if I'm not precise with medical terms, english is not my first language but i'll try my best) 
Hi, i know that compared to others here my story is kind of light, but i really don't know what to do and who to ask
So around 5 years ago my mom (52) had a tumour at the uterus, that spread to one ovary. The surgery was a success and afterwards she only did radiotherapy for some time (I honestly don't remember for how long, I'm sorry)
Everything went fine until July of this year, they found a lymph node: the surgery again went well but the doctors this time (my mom now lives in France, she was in Italy before) suggested 5 weeks of chemo AND radiotherapy to prevent future problems (so adjuvant treatment). Chemo once a week (so 5 sessions) and during that time monday through friday radiotherapy. Also, this chemio is with only one element (i really don't know how to translate this... but from what she told me is kind of a lighter type of chemo)
So today she had her first chemio and radio on the same day. But like after 10 hours she began to feel really nauseous and began to have diarrhea. I know this symptoms are normal for chemo but I'm still freaking out. The anti nausea pills are not working for some reason and she can't sleep. I hate seeing her this way...
So my question is, how long does the nausea last? What are your experiences with it? I would love to hear some words of encouragement because i'm so worried, i love my mom more than anything in the world</t>
        </is>
      </c>
      <c r="D4262" t="n">
        <v>3</v>
      </c>
      <c r="E4262" t="n">
        <v>10</v>
      </c>
      <c r="F4262">
        <f>HYPERLINK("https://www.reddit.com/r/cancer/comments/ctag93/my_mom_has_nausea_and_im_freaking_out/")</f>
        <v/>
      </c>
      <c r="G4262" t="inlineStr">
        <is>
          <t>2019-08-20 19:27:54</t>
        </is>
      </c>
      <c r="H4262" t="inlineStr"/>
    </row>
    <row r="4263">
      <c r="A4263" t="inlineStr">
        <is>
          <t>ctaq3w</t>
        </is>
      </c>
      <c r="B4263" t="inlineStr">
        <is>
          <t>My son asked about my grandma.</t>
        </is>
      </c>
      <c r="C4263" t="inlineStr">
        <is>
          <t>On the way to the bus stop we always pass peach trees. I have mentioned that peaches were my grandma’s favorite. Today my son told me “I want to meet her.” Well she died in 2012. One day she woke up with horrible pains and had to go to the er. It started on Monday and Friday she died, It came out of nowhere and took her out of nowhere. I told him he couldn’t that she is up in heaven. He than goes onto say “I like her picture.” I always have her photo with me or on my phone. I told him I didn’t know if up in heaven if she could see us and know who he was. He says “I’ll tell her my name...” just wow. My son is 5 and the conversation was just so heart warming...and just painful. He asked how she died and I said cancer and he asked what it was. I said one of the worst sicknesses in the world and mentioned his grandma (my mom) beat it twice. He doesn’t know that his grandma/mom has cancer again and she’s very sick. I deal with UC everyday and the fear that it makes me at a higher risk of colon cancer sucks. I just don’t know I worry about my mom if she passes, My son will fall apart...he loves his grandma even though we can’t see her but once a month or so. My stepdad is an abusive ass and I will not go back down there. I lost both grandparents to cancer lung and pancreatic, My mom has beat lung and stomach but the lung cancer is already back.</t>
        </is>
      </c>
      <c r="D4263" t="n">
        <v>5</v>
      </c>
      <c r="E4263" t="n">
        <v>0</v>
      </c>
      <c r="F4263">
        <f>HYPERLINK("https://www.reddit.com/r/cancer/comments/ctaq3w/my_son_asked_about_my_grandma/")</f>
        <v/>
      </c>
      <c r="G4263" t="inlineStr">
        <is>
          <t>2019-08-20 19:51:24</t>
        </is>
      </c>
      <c r="H4263" t="inlineStr"/>
    </row>
    <row r="4264">
      <c r="A4264" t="inlineStr">
        <is>
          <t>ctb19i</t>
        </is>
      </c>
      <c r="B4264" t="inlineStr">
        <is>
          <t>Today is my Mom’s birthday.</t>
        </is>
      </c>
      <c r="C4264" t="inlineStr">
        <is>
          <t>She passed away from cancer two years ago, and I still feel like it happened last week.</t>
        </is>
      </c>
      <c r="D4264" t="n">
        <v>17</v>
      </c>
      <c r="E4264" t="n">
        <v>6</v>
      </c>
      <c r="F4264">
        <f>HYPERLINK("https://www.reddit.com/r/cancer/comments/ctb19i/today_is_my_moms_birthday/")</f>
        <v/>
      </c>
      <c r="G4264" t="inlineStr">
        <is>
          <t>2019-08-20 20:19:19</t>
        </is>
      </c>
      <c r="H4264" t="inlineStr"/>
    </row>
    <row r="4265">
      <c r="A4265" t="inlineStr">
        <is>
          <t>ctda4h</t>
        </is>
      </c>
      <c r="B4265" t="inlineStr">
        <is>
          <t>Honest answers about metastatic breast cancer please?</t>
        </is>
      </c>
      <c r="C4265" t="inlineStr">
        <is>
          <t>My mum has had breast cancer 3 times before, in 2009 (mastectomy and chemo), 2014 (surgery chemo and radio) and spring 2019 (just surgery). 2 weeks ago we were told its come back and its metastatic; in her spine, and in nodes on her chest and above her clavicle. It's tiny for all, and there are some minute shadows in her lung which may or may not be something. This is in the Uk, and she has excellent insurance as well so she's got the best possible treatment and monitoring. She's not suitable for immunotherapy and has just started chemotherapy and will have cyber knife on her spine, with the goal of reassessing in 3 months to decide whether to continue with the current path of treatment and eventually have radio at the end.
I feel like I'm getting told different things by different people but I really just have 1 question:
**If treatment goes well is there any chance it could go away for a decent amount of time? I know it'll never be completely gone, but can treatment make it 'sleep' for a few years before it comes back?** 
I  don't know if I'm being naive or not - we're such a close family (I have 3 sisters), and we've been through so much (abuse, attempted suicide, mental illness in several members etc) and its such a cliche but she's our best friend, we go to her for advice, love and just chat to her several times a week! She's the perfect mum, and I just need to honestly know and mentally prepare if metastatic ever works this way. Not the probabilities for her specifically, because I know the internet can't do that, just whether it ever happens.
Thank you.</t>
        </is>
      </c>
      <c r="D4265" t="n">
        <v>4</v>
      </c>
      <c r="E4265" t="n">
        <v>5</v>
      </c>
      <c r="F4265">
        <f>HYPERLINK("https://www.reddit.com/r/cancer/comments/ctda4h/honest_answers_about_metastatic_breast_cancer/")</f>
        <v/>
      </c>
      <c r="G4265" t="inlineStr">
        <is>
          <t>2019-08-21 00:13:42</t>
        </is>
      </c>
      <c r="H4265" t="inlineStr"/>
    </row>
    <row r="4266">
      <c r="A4266" t="inlineStr">
        <is>
          <t>cteoyp</t>
        </is>
      </c>
      <c r="B4266" t="inlineStr">
        <is>
          <t>An alternative to chemo and radiation therapy</t>
        </is>
      </c>
      <c r="C4266" t="inlineStr">
        <is>
          <t>Why not join Al Qaeda or ISIS instead?  
They'll feed and train you. Plus, you die instantly in an explosion in the middle of the desert. You can't lose! It's a great deal.</t>
        </is>
      </c>
      <c r="D4266" t="n">
        <v>0</v>
      </c>
      <c r="E4266" t="n">
        <v>0</v>
      </c>
      <c r="F4266">
        <f>HYPERLINK("https://www.reddit.com/r/cancer/comments/cteoyp/an_alternative_to_chemo_and_radiation_therapy/")</f>
        <v/>
      </c>
      <c r="G4266" t="inlineStr">
        <is>
          <t>2019-08-21 03:02:29</t>
        </is>
      </c>
      <c r="H4266" t="inlineStr"/>
    </row>
    <row r="4267">
      <c r="A4267" t="inlineStr">
        <is>
          <t>ctfb2n</t>
        </is>
      </c>
      <c r="B4267" t="inlineStr">
        <is>
          <t>Mets isolation (venting)</t>
        </is>
      </c>
      <c r="C4267" t="inlineStr">
        <is>
          <t>My cancer makes me feel so incredibly isolated that sometimes I wish it would just kill me already. (Don't worry, I'm not suicidal &amp;amp; I don't often feel this way! Just sometimes it's too much &amp;amp; frustration gets the best of me.) I've beat cancer 3 times now &amp;amp; this last battle has been so long, cause I'm a mets now. "Lifer" or "mets" are nicknames for someone whose cancer has metastasized. That often means it'll never go into remission. For the last 2 years now, I've dealt with my cancer as a chronic illness. It is weird &amp;amp; alienating. I'm never gonna ring the bell again, or be cancer free, and even bouts of NED is a long shot. People don't understand why I'm not just going to "kick cancer's ass" this time. All my friends with cancer have schedules, dates, ends in sight... I am honestly embarrassed when someone asks how treatment is going because after 2 years I still have to answer that it's just going, no progress but no regression but that's actually good cause that's just how mets works. I'm not always as sick as patients who are undergoing treatment with intent to cure, because sometimes my cancer is what my oncologist calls "controlled" as in no growth in tumors. So I can take a break from chemo/radiation/etc, while being monitored. Until it starts growing again. How do I explain that basically "my cancer's acting up"? Sometimes people even forget I have cancer! Haha &amp;amp; that's really hard too because even if I'm not in active treatment at the time, there's still so many side effects I have that affect my daily life &amp;amp; I need help. But sometimes I'm totally great too. I don't know how to ask people to treat me because how are they supposed to know if I'm doing great enough to bike ride one day but need my oxygen tank the next? How are they supposed to know a fever is an emergency for me if 2 days ago I was at a concert? And how petty &amp;amp; needy is it to want the same support from when I originally relapsed... are people expected to be invested for this long? I feel so selfish. I hate putting my family through this drawn out years long rollercoaster. It must be exhausting. And I know I'm incredibly lucky to have gotten this much time &amp;amp; to continue living bc a lot of mets patients don't get years. I just feel like I'm in this vague limbo and it's so lonely &amp;amp; I feel so isolated. I'm okay though.</t>
        </is>
      </c>
      <c r="D4267" t="n">
        <v>15</v>
      </c>
      <c r="E4267" t="n">
        <v>9</v>
      </c>
      <c r="F4267">
        <f>HYPERLINK("https://www.reddit.com/r/cancer/comments/ctfb2n/mets_isolation_venting/")</f>
        <v/>
      </c>
      <c r="G4267" t="inlineStr">
        <is>
          <t>2019-08-21 04:08:59</t>
        </is>
      </c>
      <c r="H4267" t="inlineStr"/>
    </row>
    <row r="4268">
      <c r="A4268" t="inlineStr">
        <is>
          <t>ctfxc8</t>
        </is>
      </c>
      <c r="B4268" t="inlineStr">
        <is>
          <t>Hey</t>
        </is>
      </c>
      <c r="C4268" t="inlineStr">
        <is>
          <t>Hello I want to cook some foods for my friend who got diagnosed recently. Is there anyone knows if there're youtube channel or some other communities which are introducing some recipes for cancer patients?</t>
        </is>
      </c>
      <c r="D4268" t="n">
        <v>1</v>
      </c>
      <c r="E4268" t="n">
        <v>0</v>
      </c>
      <c r="F4268">
        <f>HYPERLINK("https://www.reddit.com/r/cancer/comments/ctfxc8/hey/")</f>
        <v/>
      </c>
      <c r="G4268" t="inlineStr">
        <is>
          <t>2019-08-21 05:08:19</t>
        </is>
      </c>
      <c r="H4268" t="inlineStr"/>
    </row>
    <row r="4269">
      <c r="A4269" t="inlineStr">
        <is>
          <t>ctfz89</t>
        </is>
      </c>
      <c r="B4269" t="inlineStr">
        <is>
          <t>Are there any treatments availalbe for recurring cystitis and hematuria caused by prostate cancer surgery?</t>
        </is>
      </c>
      <c r="C4269" t="inlineStr">
        <is>
          <t>Back in late May, my father woke up one morning with blood in his urine. Unfortunately, the blood was accompanied by clots that wouldn't pass and we ended up in the ER. During CT scans, they found kidney cancer. Two days later, he had emergency surgery to remove the kidney.  At that point, everyone thought the blood in the urine was being caused by the tumor from his kidney.
Six weeks after his surgery, the blood (and clots) returned resulting in another trip to the ER. They inserted a foley cath, flushed his bladder, inserted a camera to make sure everything was okay. The diagnosis was cystitis and hematuria caused by the prostate seeding (brachytherapy) and external beam radiation therapy (EBRT) he had back in the '90s to treat his prostate cancer. He had zero complications until a few months ago. At that point, they said it was this that caused the initial bout of blood and clots, so, it was a happy accident that they found the kidney cancer.  They prescribed antibiotics and sent him on his way.
Almost six weeks to the day after the second episode, it happened again.  Back to the ER, another foley cath.  For those that aren't familiar, a foley cath has the diameter (to me) of a thick milkshake straw. It has three chambers that allow inflow, outflow, and (I'm assuming) airflow. It's not a fun procedure for him, not to mention the aggravation and pain. This last time, they had to give him morphine (and it didn't touch the pain). He was admitted for two days because the flush was still "pinkish" after three rounds of flushing.
Now the doctors are saying that, in addition to cystitis and hematuria, it's also being caused by swelling of the prostate as a direct result of that same surgery back in the '90s (his PSAs are still normal, if it matters). They put him on Flowmax and Proscar to stop the swelling, but it's evident that we're chasing our tails. Not only can they not pinpoint why it's happening, they also can't recommend a course of treatment to stop it from recurring.  He ramped up his water consumption, cut back on things that irritate the bladder (like coffee and spicy foods), but I/he needs help.
My questions to the group:
* Has anyone else experienced this?  Is it common?
* Is there a known treatment? Traditional or holistic - at this point, we'll take anything.
* If this just becomes "our new norm," is there any way to stop the clots so he doesn't have to go through this every time?
It's wearing away at his spirits and we just want an answer. Any help, guidance, or info would be greatly appreciated.</t>
        </is>
      </c>
      <c r="D4269" t="n">
        <v>2</v>
      </c>
      <c r="E4269" t="n">
        <v>0</v>
      </c>
      <c r="F4269">
        <f>HYPERLINK("https://www.reddit.com/r/cancer/comments/ctfz89/are_there_any_treatments_availalbe_for_recurring/")</f>
        <v/>
      </c>
      <c r="G4269" t="inlineStr">
        <is>
          <t>2019-08-21 05:12:40</t>
        </is>
      </c>
      <c r="H4269" t="inlineStr"/>
    </row>
    <row r="4270">
      <c r="A4270" t="inlineStr">
        <is>
          <t>ctfzpz</t>
        </is>
      </c>
      <c r="B4270" t="inlineStr">
        <is>
          <t>Quitting Chemo</t>
        </is>
      </c>
      <c r="C4270" t="inlineStr">
        <is>
          <t>Well, today is the day I meet with my oncologist to discuss my future treatment.  Last check, I had 5 tumors, 4 in the lungs and 1 in the liver.  I've suffered through 5 surgeries and 90 rounds of chemo.  My last surgery was an emergency colon surgery for a blockage,  that sucked, 10/10 pain level.  I dont think I can handle another round of chemo,  it's just too much and this disease isnt going away, it will take me.  I think it's time for quality of life, not suffering in bed from chemo.  Thoughts?  I've had a hard time finding similar stories, everything I've found is people fighting all the way into hospice or worse, i dont want that.
Please no alternative medicine suggestions.</t>
        </is>
      </c>
      <c r="D4270" t="n">
        <v>90</v>
      </c>
      <c r="E4270" t="n">
        <v>49</v>
      </c>
      <c r="F4270">
        <f>HYPERLINK("https://www.reddit.com/r/cancer/comments/ctfzpz/quitting_chemo/")</f>
        <v/>
      </c>
      <c r="G4270" t="inlineStr">
        <is>
          <t>2019-08-21 05:14:03</t>
        </is>
      </c>
      <c r="H4270" t="inlineStr"/>
    </row>
    <row r="4271">
      <c r="A4271" t="inlineStr">
        <is>
          <t>ctgh96</t>
        </is>
      </c>
      <c r="B4271" t="inlineStr">
        <is>
          <t>Feeing down</t>
        </is>
      </c>
      <c r="C4271" t="inlineStr">
        <is>
          <t>I lost my mom in September of 2015 when I was 19. I feel like it was hard in the moment, but I was as prepared as I could be in the situation. But I feel like the older I get, the harder it’s been getting. I’m not sure if it’s just me feeling more emotion lately about just my life changing so much or if it’s normal. I don’t have many friends who have lost a grandparent let alone a parent, so it’s hard to kind of lean on them and for them to understand what I’m going through. 
Does anyone else who lost a parent to cancer young feel like the older you get the harder it gets?</t>
        </is>
      </c>
      <c r="D4271" t="n">
        <v>9</v>
      </c>
      <c r="E4271" t="n">
        <v>7</v>
      </c>
      <c r="F4271">
        <f>HYPERLINK("https://www.reddit.com/r/cancer/comments/ctgh96/feeing_down/")</f>
        <v/>
      </c>
      <c r="G4271" t="inlineStr">
        <is>
          <t>2019-08-21 05:57:21</t>
        </is>
      </c>
      <c r="H4271" t="inlineStr"/>
    </row>
    <row r="4272">
      <c r="A4272" t="inlineStr">
        <is>
          <t>ctgrdq</t>
        </is>
      </c>
      <c r="B4272" t="inlineStr">
        <is>
          <t>This is a diary I had written whilst I was having treatment, I was only 17/18 and I'm no story teller but this year is my 10th year in remission.</t>
        </is>
      </c>
      <c r="C4272" t="inlineStr">
        <is>
          <t>I wrote this diary in the hopes that it would help other young people who were suffering with the same. In short I was battling a nasal carcinoma which grew to 22cm inside my head. I was scared and I didn't know what to do so I wrote my experience.
Today was the day; the day I found out I have cancer. 
After 8 months of being treated for an ear infection at my local town medical centre, I couldn’t take it anymore and went private where I got a brief examination of my head, throat and neck. 
It all started when I found a strange lump in my neck, and I went to the doctors to get it checked out and they asked me if I had any pain in any other areas of my body. I said yes I have been having pain in my left ear and it has been causing me to have headaches which prevent me from sleeping at night. They examined inside my ear with an ear camera and diagnosed me with a Fungal Ear Infection. I was put on some anti-inflammatory drugs for the lump in my neck and some Anti-Biotic drop solutions for my ear, and also a cleaning spray to help keep my ear clean and prevent the infection getting worse.
This went on for about 3 months when I started to have an allergic reaction to the medication I was taking which was giving me stronger headaches, nosebleeds and lightning pains in my ear and neck. I went back to the doctors and explained to him what was going on, so he once again examined my ear, neck and throat again. He could see that the medication was doing nothing as nothing had changed, I apparently still had an ear infection and the lump in my neck was still present. So he put me on some new stronger medication and said if there was no success with it this time then I should return and I will be referred to the hospital at once. I continued this treatment for about 4 months as I was thinking well I should give it time to get into my system. It kept my headaches down but they were still there, but I was constantly feeling ill and I had no energy so I had to spend all my days in bed because I couldn’t even stand up. Once again I returned to the doctors to explain what was happening this time with this new medication so he scheduled me in for a blood test. Baring in mind that this was my first ever blood test and I have a very bad phobia of needles and blood.
Having to wake up at 8am to go to the doctors was so difficult with me lacking energy but I had to do it. Come 9am I had already had my test, sitting in the waiting room with a hole in my arm, putting pressure on it with a piece of cotton wool. I got told that I would receive my results in about a week and I should return then to pick them up and have a consultation. I returned the following week for the consultation and the doctor said that I have a very low iron count and I might be suffering from Anaemia, which is why I am very tired and not wanting to eat or get out of bed. By this time I was taking a lot of medication and now also iron supplements.
My mother was getting very angry with the situation as she could see herself that there was no improvement in myself, the only change was my blood got very dark and I was shitting German black sausages... Where my mum works is in a British restaurant and day after day we get a lot of customers. We have made a lot of close friends through this place and luckily enough, one couple knew of a private English speaking doctor located in a little town not far from where we lived. So we booked an appointment to see this doctor, the day came when I had to go and see him, I had to take all my medication boxes I had been taking also all my medical records and papers I had received from the blood tests and examinations.
He asked me questions like how long have I been suffering for, what are my symptoms, what medicine have I been taking and what was it for.
After that he did a physical examination, checking the throat, the lump in my neck and also the glands all over my body, especially the ones in my abdomen. He said that there was not an ear infection nor did have Anaemia as my red blood cell count was normal. We started talking about the lump in my neck and narrowed it down to two possible things it could be, one being a abscess and the other being cancer. As soon as I saw him write that word down on the slip of paper it felt like my stomach was coming out of my throat. I got very scared and started to cry, this leading to my mother crying with me as she was worried for me.
On the way home I couldn’t get that word out of my head but he did say if I was 50 years old and a constant smoker then cancer would be at the top of the list, but the symptoms I was suffering with lead to a more likely abscess. We went to the private doctor with a very close friend who was also booked in to see this doctor on the same day, he wanted her to go down to Torrevieja hospital where he normally works in A&amp;amp;E where he wanted to perform some tests and asked if I would be able to make it down so he can perform some tests on me also.
We arrived around 8pm; we both went in at the same time. I had to have other blood tests and some X-Rays. I got my results there and then but they didn’t tell me anything about my illness. They scheduled me in for another appointment the following week for more tests; these included more blood tests and biopsies on my neck and nose. 
We were waiting in the waiting room for over an hour, my appointment was at 10am but it had passed that and was near on 11:45. They finally called my name and we all got up and went into the doctor’s office. They asked my mother and sister to leave the room for a while. My heart started to race where I was scared about what he was going to do to me. I had never had a biopsy before and I don’t know what they are or how they work. He sat me down in this horrible rubber blue chair and told me to relax. He soaked two long pieces of cotton wool in a local anaesthetic and shoved them into both nostrils and told me to come back in half an hour. So I went outside for a cigarette and slowly but surely I started to lose feeling in my nose, then it would spread all around my face, I could not talk where I had no control over my lips because I couldn’t feel them, and I dribbled... a lot.
Half an hour passed and I went back into the doctor’s office and again mother and sister was not allowed to come in. He pulled out the cotton wool and also was attached a few bogies. He started with an optical camera, examined in both nostrils. I knew something was there because when he put it in my right nostril, it went all the way in and down my throat but when he put it in my left nostril it stopped at something and wouldn’t go in any further. Then he got some type of tongs with a cutting mechanism on the end and started to feed them into my nostril and then he started cutting and extracting small pieces of something, then he tried to put the tongs up my other nostril to extract some of the thing from the other side but it was too painful and I asked him to stop. My nose bled a lot so he put this dissolvable tube like material up my nose to prevent me from bleeding everywhere.
On the way home we decided to get a McDonalds and trying to eat that with this thing in my nose was pretty difficult. Because when you chew, your face moves and this thing in my nose was sticking out over my mouth so it was hard and painful. This material tube had to stay in and it would dissolve on its own but one night when I was at home I sneezed and it shot out so that was the end of that. 
The hospital said that I would receive a phone call when my results are ready so I waited for 2 weeks until I got that phone call. We returned to the hospital where I went to see the oncologist for my consultation of my results. He sat me down, examined the lump in my neck, and started to explain to me what it was. In my nostril cavity I had a tumour. It was 16cm long so it pretty much was filling my whole middle of my face. My mother asked him if it was cancer, and he said yes it is... I suddenly got dizzy from the fright and started to cry again, also did my mother. He said I had to go see another doctor, which would sort out my appointment for when I had to return again for something but I cannot remember what that was for. She explained to me that the cancer was at stage one which is the lowest stage and it isn’t aggressive but because I had it for such a long time, it was getting serious and if I was to carry on without treatment then it would grow and over time it would spread to my neck and suffocate me. 
I immediately got sent down to the reception desk where I had to get registered into the computer but we was having some trouble with my paperwork as my passport had run out and I had no N.I.E number. So my mother had to ring up the British Embassy and ask for an emergency passport but they told her to tell the hospital to get in touch with the Embassy and it would all be sorted for us. It was done; I finally got my appointment to start my treatment. I was transferred to Elda hospital as this was the closest hospital to me and it would be a lot easier than having to travel an hour every day. I was admitted to stay there for a whole week, it was only suppose to be for 5 days but I ended up staying 7. I hate hospitals, especially this one. The beds were uncomfortable, the food was not very nice and there was hardly anything on the television. Good thing I took my laptop with me because all I did most of the time was watch the movies I had on here and listen to music. I was expecting them to have wireless internet as Torrevieja hospital had it but no, they didn’t. 
I arrived at the hospital on Sunday evening and my treatment started in the morning. They put the tube in my arm which would be attached to the drip machine. It hurt when they put it in but only for a split second, you could feel the tube being fed into the vein and it felt really weird. They patched it up so it wouldn’t move and it started to get sore and itchy. But I was not allowed to touch it as it was so delicate. I never had a worse night of sleep in my life, the covers were paper thin, well it was not a cover, but a sheet. They woke me up at 8am to start my treatment; they brought the machine into my room, put it next to my bed and connected me up. I also had a Glucose drip because they said with the Chemotherapy my body would be very dehydrated and this was to help that from not happening. It all started well, I had no side effects for the whole day. Evening came and I wanted to go outside for a cigarette but I wasn’t allowed to take the machine with me so I had to ring the bell for assistance, a nurse came and I explained to her that I need to go have a cig. She laughed and said I know how you feel. So she disconnected me from the tube, and I was able to go downstairs without being attached to things. At the time I was in a relationship and my partner and sister had come up to visit me, I was sitting outside and they walked straight passed me thinking that I would have given up on smoking and I wouldn’t be outside. I shouted to them and they said what are you doing out here you shouldn’t be smoking anymore but smokers, you know how difficult it is to give up and also you cannot just give up suddenly, it takes time otherwise you go mad. 
They bought me a hat for when I start losing my hair and also bought me McDonalds. We all went back upstairs; I showed my sister where my room was so when she came back up to visit me another day she would not get lost. I was on the top floor and I hate heights so every time I looked out the window I got really sick. I got back into bed and I had to ring the bell for assistance again so they could come into my room and connect me back up to the machine. I was sharing the room with another man, he was in there because he could not pee... I don’t know exactly how that works but he didn’t look well. He was a right moody bugger, never talked, he was very rude to the doctors that came in to consult him with everything and he never let us watch what we wanted on the television. There was suppose to be two television remotes but he hid the other one in his wardrobe. Night came and I could start to feel the medicine enter into my system, I was very tired all the time, I was suffering with bad constipation and nausea. I was being sick every half an hour and I couldn’t eat because from being sick, my throat was very sore and also my appetite was not that good. I was limited to what I could eat anyway, the only thing I seemed to be able to keep down was ice cream so every time my sister came to visit me, I would ask her if she could go to McDonalds and pick me up an ice cream because the hospital did not have any nor any machines that sell it. 
A few days passed with me suffering from nausea, not being able to eat I lost a lot of weight. Before I went into the hospital I got myself up to 64kg but with the nausea and sickness I went back down to 54kg, I was fading away. The hospital food wasn’t very nice but I had to eat it, what I left over my dad ate. Come Friday I was feeling a little bit better, I was able to get out of bed to use the toilet and walk around. The man who I was sharing the room with was due to leave today, so off he went and another man was put in the bed. Luckily he was nicer and let us touch the television remote and was even able to hold up a conversation with this one.
Come Saturday I was on my last bag of treatment and they said that it’ll be finished by the evening. So I waited and waited, but it was going very slow as they had to turn it down because it was too high, and that was causing my nausea. So I had a choice of having nausea to go out the same day or stay overnight and go out in the morning. I chose to stay, because I couldn’t deal with loosing anymore weight. The night nurse came round for the last time for me, giving me my medication and sleeping tablets. I fell asleep, and three hours later the machine woke me up, because when the bag is empty the machine makes a really loud beeping noise and probably woke everybody up that was on that floor. So I had to ring the bell for assistance. The doctor came in, disconnected me and left the room. Then he came back and said he will be removing the tube from my arm, I was a little scared that it would hurt so I looked away. Before I knew it he had taken it out already, I didn’t feel a thing but I bled a little so the sight of the blood made me feel a little dizzy. 
My dad woke up; he was the one who was staying with me most of the time in the hospital, my partner and dad alternated between staying the nights. But they had to stay in this very uncomfortable reclining chair next to the bed. We fell back to sleep, I just wanted to get the night over and done with because I wanted to go home. I woke up in the morning not feeling too well; I went to the toilet just in case I was going to be sick. I sat there, thinking why am I still feeling sick if I am not having anymore treatment but the doctor said I would be suffering from nausea for a few days after I stop the drip. It took me a good two hours to get dressed to leave, dad was waiting around helping me get ready, and taking my things up to the van so I didn’t have to carry anything. We finally made it out of the hospital and it was so nice to feel fresh air. Because before when I had the tumour the size it was, my left nostril was blocked, it was blocked for the whole time I was suffering from this and it was affecting the way I smelt and tasted. The Chemotherapy shrunk the tumour and unblocked my nose. I could smell so much stronger when I got out of that door, the air smelt different and I could smell all the different things in the air for miles. It was a very different feeling and it was hard to get used to breathing through my nose. We got to the van eventually and started to make our way to the place my mum works. It took us about half an hour to get there but to me it felt a lot longer. 
We got to my mum´s work and I walked through the door, I was so happy to see her after so long. I know a week is not long but I am a mother’s boy and a week felt like a year. I wasn’t feeling so well and I was asked what I would like to drink, because I couldn’t eat, I could hardly drink either, I had only been drinking water in the hospital. I was going to see if I could keep a cup of tea down, also I had to take some tablets so I got a glass of orange juice. The doctors should have told me what I was able to and not able to eat and drink because as soon as I drank some of the orange juice I had to run to the toilet because the acids were hurting my stomach. I was sick again. Trust me, regurgitated orange juice acids are NOT very nice, and they burn the throat. 
I needed to go home and rest so my dad took me home, again that only took 20 minutes but seemed like an hour. I got home, got changed into my pyjamas and got into bed but I could not sleep, I don’t know why. I finally got to sleep and woke up at around 7pm. 
A few days passed with me feeling rough with the nausea, but I gradually was able to eat little by little and different things. They did warn me that the food will not taste the way it should and everything will taste different, for me, everything tasted like dirty potatoes. It took about 4 days in total for my body to get back to normal and for my taste to come back to normal also. But I was still suffering with constipation and that took probably another 4 days for that to clear up. 
I was scheduled to go to Alicante´s private hospital the other day to meet my doctor and get my dates registered for when I start my Radiotherapy. I met the doctor, his name is Mr. Nagore. He speaks a little bit of English so with his little bit of English and my quite a bit of Spanish we will be able to understand each other very well. I have to be taking protein supplements when I start my treatment. I must return to Alicante on the 28th of December to get myself measured up and get my mask moulded. Then I start the initial treatment on the 3rd or 4th of January 2010. 
Tomorrow I must return to Elda hospital to start my second course of Chemotherapy treatment. Not looking forward to that as they will have to insert one of them tubes into my vein again but it has to be done I guess. 
It wasn’t as bad as I thought, I mean there was a slight pinch of pain but then it goes. All you can feel is just an awkward itchiness inside your arm. 
I sat there in the blue chair hooked up to this machine for an hour, they inserted Glucose liquid to stop my body from dehydrating and then they put the Chemo medicine on. I never felt any side effects this time as they gave me this new pill that had only been out for a few years but they said this will help with the nausea and I shouldn’t get any. It worked; I didn’t get any sickness at all. The only time I feel sick is when I forget to take my medication outside of the hospital. (Yes I know... oops)
Tomorrow I must go back for my third course of treatment, I am still as nervous as I was the first and second time but not AS nervous because I know what to expect. So I will see you tomorrow.
I am now up to my 6th course of treatment and I am starting to feel so much better, I had to go to Alicante on Monday to get my measurements for my mask and prepare for the radiotherapy. I also had a cat scan to find out how much the tumour has shrunk. Good news, it is around half the size it was when I started off. I am so happy to hear that all my blood results are perfect and my body is reacting perfectly to the treatment. 
I have gotten used to having a needle poked into my arm every week, after a while it just becomes a normal thing and you have to get used to it. The nurses make you feel at home when you go in for your treatment, feed you, give you drinks, speak to you and they are all trying to learn English so I have to teach them something every time I go there. I start my radiotherapy on the 4th or 5th of January. I have to start eating healthy so I have just had a salad for dinner, healthy enough? 
I have just had my next course of the chemotherapy and I am starting to get used to having the needle poked into my arm. I have been to Alicante to have my mask made, that was scary, they had this white mesh board that they soaked in water that was 78º, SO hot, then they put it on my face and it was like pasta, it moulded around my face and down to the back of my neck, I sweat a lot with it on, there was the nurse and the doctor standing there waving books around my face to make it cool down faster, I felt like a right idiot just lying there looking like Hannibal lector.
I am now just waiting for a phone call from the hospital in Alicante to tell me when I can go down to the hospital and start my first day of the Radiotherapy. I am really nervous to start it because I do not know how it works, but I have seen pictures of the machine and it looks pretty scary but apparently it does not hurt for the first three weeks, and then you start getting a sore throat where it reacts with the glands and throat. But we will see how it is; I just do not want to lie on that table with that big scary laser pointing down on me. But I guess what has to be done has to be done. 
So I have started my Radiotherapy, I haven’t been online while I have been having it because I haven’t had the energy, but I am on my last week of having the treatment, they were right, the side effects are a trouble, the sore throat, mouth ulcers, you cannot eat, cannot drink and cannot talk. I am currently admitted in hospital because I have not been eating for the last 2 weeks. I have lost over 8kilos over the last 6 weeks, my weight just kept going down and down until I had to come into hospital and be forced to eat. But I am still not eating as the ulcers in my mouth limit me to eat and drink. And the food, is horrible, I never ate the week I was in here for my first course of Chemotherapy. If I was at home I would be eating soup and stuff but no, I’m not allowed to go home yet because I am not eating. It is like running around in circles so today I am going to talk to my consultant and see if I can go home earlier. But I don’t think she will let me... bitch.
After being given the all clear to be able to go home, I am finally finished my course of my treatment. This lasted a total of 8 months. Hence the big gap/jump in this diary. 
I am currently undergoing remission, having to heal my body, treat myself without the need of medication or any medicine type supplements of any sort. Also after having to be admitted to hospital for my “mucostitis” I was not able to eat any sort of solid foods for 3 months as my brain completely forgot how to eat. So I was being supplied with liquid form foods, and milkshakes. I did not like the milkshakes the hospital supplied so I went to Iceland and got some British branded ones as everybody knows that British branded foods and drinks just taste so much better. I was living off these milkshakes for the whole time I could not eat solids which was at least 4 months. As my ulcers started to clear I was trying different types of foods. Soft, solid, salty and spicy. I had a very bad experience with the spicy part as my sister accidently made me eat a whole chilly which caused me to go into a panic attack and slightly pass out with a slight sense of consciousness. 
I am currently undergoing remission, having to heal my body, treat myself without the need of medication or any medicine type supplements of any sort. Also after having to be admitted to hospital for my “mucostitis” I was not able to eat any sort of solid foods for 3 months as my brain completely forgot how to eat. So I was being supplied with liquid form foods, and milkshakes. I did not like the milkshakes the hospital supplied so I went to Iceland and got some British branded ones as everybody knows that British branded foods and drinks just taste so much better. I was living off these milkshakes for the whole time I could not eat solids which was at least 4 months. As my ulcers started to clear I was trying different types of foods. Soft, solid, salty and spicy. I had a very bad experience with the spicy part as my sister accidently made me eat a whole chilly which caused me to go into a panic attack and slightly pass out with a slight sense of consciousness. 
Now I don´t think I will be trying anything spicy again for a while, but I never ate many spicy things before anyway so some things did not change. It has now been 4 and a little months since I have finished treatment and I can really notice the difference in the way I feel. No more headaches, earaches or nosebleeds. I have just been for my first regular scan this week, they say it looks good but you can never be too sure, so I have to wait until the 14th for the doctors to analyze the images thoroughly. Fingers crossed people and this is where this diary ends. Hope you have enjoyed reading this and I hope to some it helps in a way.</t>
        </is>
      </c>
      <c r="D4272" t="n">
        <v>19</v>
      </c>
      <c r="E4272" t="n">
        <v>7</v>
      </c>
      <c r="F4272">
        <f>HYPERLINK("https://www.reddit.com/r/cancer/comments/ctgrdq/this_is_a_diary_i_had_written_whilst_i_was_having/")</f>
        <v/>
      </c>
      <c r="G4272" t="inlineStr">
        <is>
          <t>2019-08-21 06:20:12</t>
        </is>
      </c>
      <c r="H4272" t="inlineStr"/>
    </row>
    <row r="4273">
      <c r="A4273" t="inlineStr">
        <is>
          <t>ctknea</t>
        </is>
      </c>
      <c r="B4273" t="inlineStr">
        <is>
          <t>What could cause BILIRUBIN levels to elevate other than the liver?</t>
        </is>
      </c>
      <c r="C4273" t="inlineStr">
        <is>
          <t xml:space="preserve"> **Hello Everyone!**
**What could cause BILIRUBIN levels to elevate other than the liver?**
Age: 75
Gender: Female
Height: 5'-2"
Weight 150lbs
Race: Middle Eastern
Medications: Metoprolol, Various Chemo (Taxol, Abraxene, Eliburin, Gemzar, now stopped all chemo)
Medical issues: Stage 4 cancer for 9 years. Managed by hormon therapy for 7.5 and chemo for the past 1.5 years. Never sign of being a cancer patient until about 8 months ago with only two courses of CMF doing major damage to her general heatlh and then only two Gemzar hitting her extremely hard 5 weeks ago. All chemo has stopped. Outside of CMF and Gemzar she has received Doxil, Taxol/Abraxene and Eribulin with little to no side effects. She has kept most of her hair.
Current issue: Continued uptrend of Bilirubin and puzzled doctors cannot figure out why.
Location: New York City
\-----------------------------
My mom is a cancer patient who received a chemotherapy that caused massive hepatoxicity in her liver. The doctors note its the cancer but the timeline obviously shows the recent chemo drug has wreacked havoc in her system.
ALK that was normal for 3 years shot up to 1500+ in 3 weeks. ALT and AST also elevated.
Biliruben shot up to 10.
She got hospitalized and currently in ICU (before the last chemo she was fine. her cancer tumors showed no growth in PT scans over 3 months, her cancer markers were in downtrend for 6 months, CA 15-3 was 65 right before the last chemo)
Createnine, BUN slightly elevated after being hospitalized.
Ammonia under control at ICU with lactulose.After 5 weeks at the hospital and the 5th week in ICU because of extremely weak muscles impacting her breathing, Muscles impacted by long term (4+ months) prescription steriods.
Now all her liver enzyems are coming down. ALK is near 500 and ALT and AST are slightly over the limit. PAtients general health is great except being in ICU with a tube. She can communicate and write and watch TV.
Her BILIRUBIN continues to go up!!! Now at 18.2!!
Question is: If her liver is getting stabilized and she has at least 20% of her liver working, lungs, kidneys, brain, heart and pancreas have no sign of cancer. Liver has tumors attached but obviously functional and improving with cancer tumors not growing for at least 4 months.
WHY IS BILI GOING UP?
I have asked at least 6 doctors and no one can explain. The best answer "Well you know she is very sick... dont you?" Thats not a medical response.
Time is of the essence we are desperate for help!
ANY HELP IS APPRECIATED!</t>
        </is>
      </c>
      <c r="D4273" t="n">
        <v>1</v>
      </c>
      <c r="E4273" t="n">
        <v>19</v>
      </c>
      <c r="F4273">
        <f>HYPERLINK("https://www.reddit.com/r/cancer/comments/ctknea/what_could_cause_bilirubin_levels_to_elevate/")</f>
        <v/>
      </c>
      <c r="G4273" t="inlineStr">
        <is>
          <t>2019-08-21 11:11:43</t>
        </is>
      </c>
      <c r="H4273" t="inlineStr"/>
    </row>
    <row r="4274">
      <c r="A4274" t="inlineStr">
        <is>
          <t>ctkpuj</t>
        </is>
      </c>
      <c r="B4274" t="inlineStr">
        <is>
          <t>Anybody on Xospata (gilteritinib)?</t>
        </is>
      </c>
      <c r="C4274" t="inlineStr">
        <is>
          <t>What side effects do you have?</t>
        </is>
      </c>
      <c r="D4274" t="n">
        <v>1</v>
      </c>
      <c r="E4274" t="n">
        <v>0</v>
      </c>
      <c r="F4274">
        <f>HYPERLINK("https://www.reddit.com/r/cancer/comments/ctkpuj/anybody_on_xospata_gilteritinib/")</f>
        <v/>
      </c>
      <c r="G4274" t="inlineStr">
        <is>
          <t>2019-08-21 11:16:44</t>
        </is>
      </c>
      <c r="H4274" t="inlineStr"/>
    </row>
    <row r="4275">
      <c r="A4275" t="inlineStr">
        <is>
          <t>ctl2j9</t>
        </is>
      </c>
      <c r="B4275" t="inlineStr">
        <is>
          <t>My mom and lots of questions.</t>
        </is>
      </c>
      <c r="C4275" t="inlineStr">
        <is>
          <t>I read the community info and tabbed a few threads to investigate, but in the meantime I would appreciate your advice, guidance, and perspective as cancer patients, friends and family, and caregivers. My mom is in the hospital and we just found out she has lung cancer.  So far they haven't mentioned anything about treatment so I'm scared they won't do anything at this point. It is terminal. The doctors are never there when I am and the nurses seem grim and only give minimal info when asked. I have no clear idea what's going on and need help.
I live at home with my mom, daughter, hub, and brother. My dad passed away a few years ago. I'm currently unemployed so I accept that all the caregiving falls on me. I want to help as much as possible and be emotionally supportive. She's also very proud and deserves to keep her dignity. We aren't close so I don't want to seem patronizing, fake, or disrespectful. How do you balance this?
I'm 28 and have only lived in an apartment on my own before, and have no idea about the responsibilities of managing and maintaining a house.  Where do you start?
 She can't walk very much and is very weak, but they have her on some heavy narcotics and other medicine that make her dizzy while they stabilize her. When she's discharged will she hopefully get a little energy back?
What should I expect to happen going forward?  What basic things can she do for herself, like driving? I don't have a license.  Is it time for me to start driving for her?
How and when do you tell a 7 year old...?
What do you do when....it finally happens?</t>
        </is>
      </c>
      <c r="D4275" t="n">
        <v>1</v>
      </c>
      <c r="E4275" t="n">
        <v>0</v>
      </c>
      <c r="F4275">
        <f>HYPERLINK("https://www.reddit.com/r/cancer/comments/ctl2j9/my_mom_and_lots_of_questions/")</f>
        <v/>
      </c>
      <c r="G4275" t="inlineStr">
        <is>
          <t>2019-08-21 11:41:38</t>
        </is>
      </c>
      <c r="H4275" t="inlineStr"/>
    </row>
    <row r="4276">
      <c r="A4276" t="inlineStr">
        <is>
          <t>ctlmii</t>
        </is>
      </c>
      <c r="B4276" t="inlineStr">
        <is>
          <t>CUP that presented in adrenal gland, now liver spots</t>
        </is>
      </c>
      <c r="C4276" t="inlineStr">
        <is>
          <t>Oh man, where do I even start?
A few months ago, I took a trip to New York City to go to WresteMania, the trip of a lifetime. The day I get back, I find out my Dad (56) had been diagnosed with a mass on his adrenal gland after complaining of stomach cramps. Spent a week worrying about him, but the doctors came back and told him whether the mass was benign or not, it would come out with the adrenal gland once they removed it.
One month later, he gets the adrenal gland removed, and after a week he's back to full health. We wait another month to hear results from the biopsy they did on it, and the news we get completely turns the situation on its head. The doctors claim the mass was malignant, and that it came from somewhere else in his body.
After that diagnosis, no bad news for two months. 
He's been getting radiation to his adrenal gland to kill any cancer possibly left over, but other than feeling tired and a bit distracted mentally he's been perfectly healthy. 
They did various blood tests, CT scans, and a PET scan to locate any potential tumors, and nothing came back. One doctor even said it was possible that the original tumor was gone. 
Today, however, we found out that the most recent CT scan on his lungs picked up spots on his liver, and that he will have to start chemotherapy next week. 
Tbh, I just have no idea what to expect, because they still can't find the primary. I'm afraid to know how long he has, I'm worried about the treatments he's going to have, I'm just worried.
I love my Dad, and even though we live our lives differently (he's always been more dedicated and controlled, while I'm a bit spontaneous), I'm not ready to see him go at only age 23. I'll never be ready for that. 
Has anybody been in a similar situation, and do they have any advice?</t>
        </is>
      </c>
      <c r="D4276" t="n">
        <v>3</v>
      </c>
      <c r="E4276" t="n">
        <v>1</v>
      </c>
      <c r="F4276">
        <f>HYPERLINK("https://www.reddit.com/r/cancer/comments/ctlmii/cup_that_presented_in_adrenal_gland_now_liver/")</f>
        <v/>
      </c>
      <c r="G4276" t="inlineStr">
        <is>
          <t>2019-08-21 12:21:19</t>
        </is>
      </c>
      <c r="H4276" t="inlineStr"/>
    </row>
    <row r="4277">
      <c r="A4277" t="inlineStr">
        <is>
          <t>ctm90p</t>
        </is>
      </c>
      <c r="B4277" t="inlineStr">
        <is>
          <t>My dad probably has esophageal cancer, any experiences would be appreciated!</t>
        </is>
      </c>
      <c r="C4277" t="inlineStr">
        <is>
          <t>Wow.
&amp;amp;#x200B;
My dad most likely has esophagael cancer. He's just over 50 years old and relatively healthy except some back issues. No chronic diseases.
&amp;amp;#x200B;
This all started a couple of weeks ago when he went to have an endoscopy and the doctors found a tumour. Now this tumour was described as small. My dad had the endoscopy because for a very long period of time. He has been having difficulty swallowing (for years). They took at test of the tomour, and he had a CT scan.
&amp;amp;#x200B;
The results are something that causes me a bit of confusion. The CT scan shows no spread at all. Just a small tumour in the esophagus. His designated contactperson from the hospital (not a doctor, mind you) said that the results say that its a "change in cells" (probably not the right term). 
&amp;amp;#x200B;
All the pages and posts and threads and forums that I read, say that when a person starts to feel physical symptoms of esaphaugal cancer, it is already too late, and it has already spread. Usually these symptomps are a sudden loss in weight and a trouble swallowing.
&amp;amp;#x200B;
&amp;amp;#x200B;
However, he feels healthy, he hasn't lost any weight, and he's been having trouble swallowing for a extended period of time. And blood tests say his organs function as they should. Despite having physical symptoms, and a growth in his esophagus, no spread. 
&amp;amp;#x200B;
This causes me to stay positive, though. Even if it is cancer, I feel positive that if it hasn't spread, he will beat it.
&amp;amp;#x200B;
Next week he's going in for a PET scan. I'm not sure what the difference between the already taken CT and a PET scan is. 
&amp;amp;#x200B;
Any advice or previous experiences would be greatly appreciated. I'm open to discuss!</t>
        </is>
      </c>
      <c r="D4277" t="n">
        <v>2</v>
      </c>
      <c r="E4277" t="n">
        <v>12</v>
      </c>
      <c r="F4277">
        <f>HYPERLINK("https://www.reddit.com/r/cancer/comments/ctm90p/my_dad_probably_has_esophageal_cancer_any/")</f>
        <v/>
      </c>
      <c r="G4277" t="inlineStr">
        <is>
          <t>2019-08-21 13:06:28</t>
        </is>
      </c>
      <c r="H4277" t="inlineStr"/>
    </row>
    <row r="4278">
      <c r="A4278" t="inlineStr">
        <is>
          <t>ctnuml</t>
        </is>
      </c>
      <c r="B4278" t="inlineStr">
        <is>
          <t>Possible brain cancer recurrence</t>
        </is>
      </c>
      <c r="C4278" t="inlineStr">
        <is>
          <t>Quick back story. 25 and diagnosed with brain cancer back in Dec 2017. Resection shortly after with 100% known cancer removed. Chemo and radiation following. This was an astrosytosis, 95% don't make it past 5 years even with full treatment. 
My last MRI shows possible signs of recurrence. I'm 27 now. We lost our father in 2014 with a similar brain cancer. We both have a 3% increased chance of brain cancer because of Lych Syndrome, please ask me about Lych if you want, (very common and very underdiagnosed). Still pretty shitty odds that both of us got it and so close.
Just asking for prayer if you can. Probably the most scared so far, I really can't describe  it. I'm sure there's a lot of you in this sub in a similar situation, God bless you all.</t>
        </is>
      </c>
      <c r="D4278" t="n">
        <v>3</v>
      </c>
      <c r="E4278" t="n">
        <v>4</v>
      </c>
      <c r="F4278">
        <f>HYPERLINK("https://www.reddit.com/r/cancer/comments/ctnuml/possible_brain_cancer_recurrence/")</f>
        <v/>
      </c>
      <c r="G4278" t="inlineStr">
        <is>
          <t>2019-08-21 15:02:41</t>
        </is>
      </c>
      <c r="H4278" t="inlineStr"/>
    </row>
    <row r="4279">
      <c r="A4279" t="inlineStr">
        <is>
          <t>ctnx8j</t>
        </is>
      </c>
      <c r="B4279" t="inlineStr">
        <is>
          <t>Mom got lungcancer + metastases. What can i expect?</t>
        </is>
      </c>
      <c r="C4279" t="inlineStr">
        <is>
          <t>Hello reddit.
My mom was diagnosed with LungCancer via MRI and CT today. They say the cancer has spread ( metastases? ). She is in a lot of pain too. What can i expect from this situation? How much time is usually left for people in such a situation? How can i help my mom? I am completely "new" to cancer and i am very scared. I am terminally ill, too ( heart + lung problems ), and my only medical expertise is my specific issue... i am currently devastated.
Thank you.</t>
        </is>
      </c>
      <c r="D4279" t="n">
        <v>1</v>
      </c>
      <c r="E4279" t="n">
        <v>0</v>
      </c>
      <c r="F4279">
        <f>HYPERLINK("https://www.reddit.com/r/cancer/comments/ctnx8j/mom_got_lungcancer_metastases_what_can_i_expect/")</f>
        <v/>
      </c>
      <c r="G4279" t="inlineStr">
        <is>
          <t>2019-08-21 15:07:46</t>
        </is>
      </c>
      <c r="H4279" t="inlineStr"/>
    </row>
    <row r="4280">
      <c r="A4280" t="inlineStr">
        <is>
          <t>ctnysn</t>
        </is>
      </c>
      <c r="B4280" t="inlineStr">
        <is>
          <t>Stage 4 prostate cancer metastasized to bone</t>
        </is>
      </c>
      <c r="C4280" t="inlineStr">
        <is>
          <t>Hi all! I’m not sure if this is the correct place to post, but my dad (57) was diagnosed with stage 3 prostate cancer about ~3 years ago. After getting his prostate removed, we later found out that the cancer progressed to stage 4, and metastasized to two locations of bone: his spine and skull (residing above the frontal lobe). 
With this, he’s been on hormone replacement therapy for the past 2ish years. His cancer cells (prostate cells which migrated to the bone) went dormant in November of 2018. From this, the doctor gave us a rough estimate of about ~3 years until the cancer will start back up again.  
Right now, the only viable treatment option to kill the cancer on his skull would be to do focused radiation on the frontal part of his skull. 
The fear of one of his doctors currently is that our technology isn’t as advanced to accurately say how deep the radiation will penetrate (whether there will be any brain damage), and how focused the radiation will be. As my dad is still pretty young with all his faculties, one of his doctors is reluctant to treat him with radiation due to the risk of losing his executive functions should the radiation interfere with his frontal lobe. 
Has anyone ever had this specific treatment done? Or know anyone that has had this done and know the most possible side effects? If there’s any insight to the procedure regarding the safety and the success rate prior that would be great. 
Thanks everyone :)</t>
        </is>
      </c>
      <c r="D4280" t="n">
        <v>2</v>
      </c>
      <c r="E4280" t="n">
        <v>15</v>
      </c>
      <c r="F4280">
        <f>HYPERLINK("https://www.reddit.com/r/cancer/comments/ctnysn/stage_4_prostate_cancer_metastasized_to_bone/")</f>
        <v/>
      </c>
      <c r="G4280" t="inlineStr">
        <is>
          <t>2019-08-21 15:10:51</t>
        </is>
      </c>
      <c r="H4280" t="inlineStr"/>
    </row>
    <row r="4281">
      <c r="A4281" t="inlineStr">
        <is>
          <t>ctof6t</t>
        </is>
      </c>
      <c r="B4281" t="inlineStr">
        <is>
          <t>Feeling alone as always.</t>
        </is>
      </c>
      <c r="C4281" t="inlineStr">
        <is>
          <t>I first got diagnosed with Non-Hodgkin's Lymphoma at 16 and beat it 6 months later.  Things were great for a few months but then I began to realize how lonely and unhappy I was so I fell into a deep depression.  I was going down a rough path for two years but then things started to look up.  I met a girl, I started doing well in college and at work, and I began playing soccer on a team at my school.  I was 20 now and this was the happiest I had been since before my first diagnosis.  Then, my life came crashing down and everything good in my life suddenly got ripped away.  I had relapsed and my nightmare had suddenly come reality.  For the past year I've been fighting this disease and just when it looked like I was going to be cured, the cancer began to grow back after being reduced by over 90%.  I'm doing new treatments and they're showing promise cause every scan I get shows more and more reduction.  I should be happy right?  Wrong.  I have a great group of friends and family but I still can't help but feeling alone.  I'm 21 now and its been a little over 4 years since my original diagnosis and I still haven't met anyone close to my age who has been through cancer or is currently going through it.  All I want is a friend who can understand how I'm feeling because no matter how hard my friends or family try, they just can't understand how I'm truly feeling.  I appreciate their efforts but it can get frustrating for me and them.  I don't know where to look to meet people like me.  I've asked my doctors and people at my hospital and they're no help to me.  I guess it doesn't help being 21 and still receiving treatment at a children's hospital though I know they treat a lot better than an adult hospital would.  I'm desperate to talk to people that I can have a real connection because I know it would make feel less alone knowing others out there like me.  If anyone can tell me any websites or any advice on how to meet fellow cancer patients or survivors who are teens/young adults, I would greatly appreciate it.  Sorry for the long backstory and rant it just feels good to get these things off my mind sometimes.</t>
        </is>
      </c>
      <c r="D4281" t="n">
        <v>14</v>
      </c>
      <c r="E4281" t="n">
        <v>12</v>
      </c>
      <c r="F4281">
        <f>HYPERLINK("https://www.reddit.com/r/cancer/comments/ctof6t/feeling_alone_as_always/")</f>
        <v/>
      </c>
      <c r="G4281" t="inlineStr">
        <is>
          <t>2019-08-21 15:45:21</t>
        </is>
      </c>
      <c r="H4281" t="inlineStr"/>
    </row>
    <row r="4282">
      <c r="A4282" t="inlineStr">
        <is>
          <t>ctpmje</t>
        </is>
      </c>
      <c r="B4282" t="inlineStr">
        <is>
          <t>Mom got lung cancer + mets, i am scared. What can i expect from this situation?</t>
        </is>
      </c>
      <c r="C4282" t="inlineStr">
        <is>
          <t>Hello reddit.
My mom was diagnosed with lung cancer via MRI and CT today. They say the cancer has spread ( metastases? ). She is in a lot of pain too. What can i expect from this situation? How much time is usually left for people in such a situation? How can i help my mom? I am completely "new" to cancer and i am very scared. I am terminally ill, too ( heart + lung problems ), and my only medical expertise is my specific issue... i am currently devastated and i dont know what to do.
Thank you.</t>
        </is>
      </c>
      <c r="D4282" t="n">
        <v>10</v>
      </c>
      <c r="E4282" t="n">
        <v>9</v>
      </c>
      <c r="F4282">
        <f>HYPERLINK("https://www.reddit.com/r/cancer/comments/ctpmje/mom_got_lung_cancer_mets_i_am_scared_what_can_i/")</f>
        <v/>
      </c>
      <c r="G4282" t="inlineStr">
        <is>
          <t>2019-08-21 17:23:29</t>
        </is>
      </c>
      <c r="H4282" t="inlineStr"/>
    </row>
    <row r="4283">
      <c r="A4283" t="inlineStr">
        <is>
          <t>ctqhig</t>
        </is>
      </c>
      <c r="B4283" t="inlineStr">
        <is>
          <t>Hospice is here</t>
        </is>
      </c>
      <c r="C4283" t="inlineStr">
        <is>
          <t>I knew my mom was dying, but having hospice be real today and having that confirmation hurt on another level.  Anyone who's had experience with hospice, what is the extent of their services?</t>
        </is>
      </c>
      <c r="D4283" t="n">
        <v>8</v>
      </c>
      <c r="E4283" t="n">
        <v>4</v>
      </c>
      <c r="F4283">
        <f>HYPERLINK("https://www.reddit.com/r/cancer/comments/ctqhig/hospice_is_here/")</f>
        <v/>
      </c>
      <c r="G4283" t="inlineStr">
        <is>
          <t>2019-08-21 18:34:53</t>
        </is>
      </c>
      <c r="H4283" t="inlineStr"/>
    </row>
    <row r="4284">
      <c r="A4284" t="inlineStr">
        <is>
          <t>ctqpw3</t>
        </is>
      </c>
      <c r="B4284" t="inlineStr">
        <is>
          <t>If I tell people, I lose them. If I don't tell them, I lose myself.</t>
        </is>
      </c>
      <c r="C4284" t="inlineStr">
        <is>
          <t>Do you tell people or don't you?   I have reached a point where I don't know anymore and I lose, no matter which option I go with.
**A little history**
* Diagnosed Dec 2016 (*this Christmas gift had a no return policy*)DCIS/IDC, 1cm/1.5cm, Stage IIA, Grade 2, 1/12 nodes ER+/PR+, HER2-
* Surgery Jan 2017  BMX, Left: 12 nodes underarm/axillary, Right: 4 nodes sentinelChemo port inserted*As is typical with our healthcare - pushed into some decisions very quickly and didn't take time to slow down and really think through right decisions for me*
* OncoDX test conducted found 10% chance of death/recurrence if I do chemo/radiation/hormones and 9% chance of death/recurrence if I do not do chemo/radiation/hormones*Starting to question whether I want to go through the whole process*
* All chemo/radiation appts scheduled, starting Feb 2017.*I was told I could miss an appt, but it was critical that I do not miss the next one and then add the missed one on the end of the schedule.  I noticed appts were not on the weekend, and when I asked why (since apparently it was so critical not to miss a day), I was told "duh we're not open" .... REALLY questioning the whole process now, didn't realize cancer took weekends off*
* Began researching Jan-Feb 2017 what all of my options are and without writing a wall of text, concluded I would not be doing chemo/radiation/hormones, had chemo port removed
* Feb 2017 - today, spend as much time as I can researching any therapies that will help (pain management, brain management, health management, social/family management, etc.)
My doctor says things look optimistic, but then continues to URGENTLY stress to me about doing chemo/radiation.  It's very fear based, and quite frankly confusing...I was originally told I had a very small window to make a decision about chemo, yet here we are three years later and she's still stressing it to me (*HOW SMALL/BIG IS THIS WINDOW????*).
Through all of my research, I have made some decisions that limit my next steps - for example, I will not get a PET scan as I do not want the radiation.  Doc tells me that is the only way to see if/where it has spread and my timing.  Not sure I want to know my timing ... is it 5 months, 5 years, or forever?  My timing shouldn't change how I live my life, even if my gut is telling me my timing is sooner than later and live a LOT now.  However, I have come to terms with my death and thus back to my original question.
**Do you tell people or don't you?**
* I have had friends think I am lying about all of it because I am not sad/angry/anxious ALL THE TIME (*just like the movies right?*).  I had one friend think I was lying because I couldn't spew out all the stats, like it's something to be proud of memorizing!  *PS I get why some would know this information easily, because you use/need it all the time during treatments or sessions, but I skipped those, so it's not top of mind for me.*  I had one friend think I was lying because I still had my hair.  Good to know you are only sick if you are hairless!
* I have had friends that start acting weird around me - I am a gamer and it's common for people to call something cancerous ... one friend won't use that term anymore, in fact I notice he starts to say it and then he says something so darn weird like "this map is just candy, really really bad candy".  JUST SAY IT!  cancer cancer cancer *promise it's not contagious if you say it and I am not going to have a breakdown*
* I have had friends altogether stop talking to me when they find out.  One friend, we were like sisters, and then ghosted ... oddly, this hurt more than any surgery I've gone through ... I know I know, different pains (physical vs emotional, body vs spirit), but still thought she/I were forever friends.
* I lost one friend when I told her because I didn't tell her timely enough - she felt really hurt that I did not tell her about everything earlier.  This I can understand as she thought my actions indicated I saw her as less of a friend than she saw herself with me.  While this wasn't true, it had already happened and feelings were too hurt.
* I have friends that even try too hard now that they know ... I get articles talking about how no coffee/caffeine will cure me, and then weeks later, the same people sending me articles talking about how a cup of coffee/caffeine a day will increase my cure rate.  Oh bless you for participating in the same hell we are all going through :)
* I have friends that do not know and there are some days I don't have the energy for anything ... I could care less that I care about anything.  They complain to me about the things in their life and all I can think is "you could have cancer and then wouldn't give a crap about this", but I don't say that because they don't know and it's not about comparison.  My problem is not your problem and vice versa and the levels of the problems aren't even in the same universe.
* Like my friend that knows and changes what he says around me, I find that I change what I say around those who don't know.  I struggle not to burden others with my problems, I mean we are all carrying the weight of our worlds, why carry part of mine too?  When my friends ask how my day is, and when I am having a bad day I want to cry and scream and ask why me, just vent and share how I am scared of dying and scared of what I am leaving behind, and instead I say "Fine thank you, how's your day?"
* I plan bucket-list events and trips and try to include friends in those experiences.  For those that know, they may join me, and I am supported and sometimes given even more ideas.  For those who don't know, I am told the things I want to do are silly and touristy and why would I waste my money on those things.
* I want to spend every part of my day making people feel good, making them feel important, doing good things to and for people.  If they don't know, I am told that I am an amazing person and such a good listener and so great to be around, but then questioned why I have an off day and so negative and what's wrong with me when I'm not at my best.  If they do know, I am praised for having a "good day" and not letting it "keep me down".
I want to talk about it but I don't want anyone to know.  I don't want to talk about and I want everyone to know.  I am pile of contradictions ... but in the end, it boils down to:  ***If I tell people, I lose them.  If I don't tell them, I lose myself.***  My friends list is getting smaller and smaller and for now, I have chosen to lose myself, my friends are FAR too important to me in this short time left.
I would love any advice of how you do tell them so it's not a pity party but an understanding.  I'm good with joking about it too - although have definitely had people not react so kindly to that either, HA!</t>
        </is>
      </c>
      <c r="D4284" t="n">
        <v>21</v>
      </c>
      <c r="E4284" t="n">
        <v>29</v>
      </c>
      <c r="F4284">
        <f>HYPERLINK("https://www.reddit.com/r/cancer/comments/ctqpw3/if_i_tell_people_i_lose_them_if_i_dont_tell_them/")</f>
        <v/>
      </c>
      <c r="G4284" t="inlineStr">
        <is>
          <t>2019-08-21 18:54:48</t>
        </is>
      </c>
      <c r="H4284" t="inlineStr"/>
    </row>
    <row r="4285">
      <c r="A4285" t="inlineStr">
        <is>
          <t>ctr56w</t>
        </is>
      </c>
      <c r="B4285" t="inlineStr">
        <is>
          <t>I can’t walk anymore.</t>
        </is>
      </c>
      <c r="C4285" t="inlineStr">
        <is>
          <t>The chemo has taken my hearing, my teeth, and now my ability to walk. 
It’s very hard to type so I’ll keep this short. Has anybody out there suffered so drastically.</t>
        </is>
      </c>
      <c r="D4285" t="n">
        <v>78</v>
      </c>
      <c r="E4285" t="n">
        <v>33</v>
      </c>
      <c r="F4285">
        <f>HYPERLINK("https://www.reddit.com/r/cancer/comments/ctr56w/i_cant_walk_anymore/")</f>
        <v/>
      </c>
      <c r="G4285" t="inlineStr">
        <is>
          <t>2019-08-21 19:31:57</t>
        </is>
      </c>
      <c r="H4285" t="inlineStr"/>
    </row>
    <row r="4286">
      <c r="A4286" t="inlineStr">
        <is>
          <t>ctrplg</t>
        </is>
      </c>
      <c r="B4286" t="inlineStr">
        <is>
          <t>Treatment plans</t>
        </is>
      </c>
      <c r="C4286" t="inlineStr">
        <is>
          <t>I've been diagnosed with Epithelial Sarcoma in my upper left arm.  After a surgical biopsy the treatment plan was 5 weeks of radiation, 3 weeks to recover and then surgical removal of what's remaining.  The original sarcoma size was around 3cm in the first MRI.
The radiation oncologist did one more MRI to re-assess post biopsy since it had been over 3 months since my first one.  They immediately stopped the plans for radiation and had me meet a hematology oncologist.  The sarcoma is now 5.9cm and meets the criteria for a more aggressive treatment plan.
The new plan is chemo/radiation.  I don't doubt the plan but the doctor kept saying it was just barely meeting the criteria for this new treatment plan.  There was some discussion about sarcoma not always responding to chemo.  He said the chemo will lower the chance of recurrence or mets showing up elsewhere.  But instead of 8 weeks treatment, it will be about 5 months.
Has anyone else been faced with a similar decision about treatment?  I'm leaning toward chemo because of the potential thoroughness but the time out of work will deplete my leave.  I also hate the thought that during this process, if I'm feeling well, I'll have to go to work just to save some time.</t>
        </is>
      </c>
      <c r="D4286" t="n">
        <v>5</v>
      </c>
      <c r="E4286" t="n">
        <v>1</v>
      </c>
      <c r="F4286">
        <f>HYPERLINK("https://www.reddit.com/r/cancer/comments/ctrplg/treatment_plans/")</f>
        <v/>
      </c>
      <c r="G4286" t="inlineStr">
        <is>
          <t>2019-08-21 20:23:03</t>
        </is>
      </c>
      <c r="H4286" t="inlineStr"/>
    </row>
    <row r="4287">
      <c r="A4287" t="inlineStr">
        <is>
          <t>ctryu8</t>
        </is>
      </c>
      <c r="B4287" t="inlineStr">
        <is>
          <t>My Dad Died Today</t>
        </is>
      </c>
      <c r="C4287" t="inlineStr">
        <is>
          <t>Today is my 27th birthday, and also the day my dad died.
I wrote on here about a month or so ago about him. He had just been diagnosed with pancreatic cancer, and we thought we had time. Fast forward, the cancer had spread to his liver, his lungs, and probably elsewhere. He had apparently been struggling for about 2 years, but we didn’t know. He never told us. I’ll never know why.
I at least got to say goodbye, and he at least told me happy birthday. He was in good spirits, but not even 4 hours later, that was it.
I don’t know. I just wish you all peace, and healing. Much love.
RIP Daddy.</t>
        </is>
      </c>
      <c r="D4287" t="n">
        <v>84</v>
      </c>
      <c r="E4287" t="n">
        <v>27</v>
      </c>
      <c r="F4287">
        <f>HYPERLINK("https://www.reddit.com/r/cancer/comments/ctryu8/my_dad_died_today/")</f>
        <v/>
      </c>
      <c r="G4287" t="inlineStr">
        <is>
          <t>2019-08-21 20:47:34</t>
        </is>
      </c>
      <c r="H4287" t="inlineStr"/>
    </row>
    <row r="4288">
      <c r="A4288" t="inlineStr">
        <is>
          <t>cttxvm</t>
        </is>
      </c>
      <c r="B4288" t="inlineStr">
        <is>
          <t>My fathers close friend is going into chemo today, and asked his friends to send him pictures of orange M&amp;amp;Ms</t>
        </is>
      </c>
      <c r="C4288" t="inlineStr">
        <is>
          <t>Some context- my dad doesn’t have many friends. But one of his closest is going into chemo today for an aggressive type of cancer. When they were growing up, they called him the Candy Man because he worked for Mars (the company that makes M&amp;amp;Ms). And so, my dads friend asked everyone to send a picture and a prayer whenever they got an orange M&amp;amp;M. I know this’ll probably get lost in the millions of reddit posts that are put up every day, but if anybody reading this happens to have M&amp;amp;Ms nearby, if you could please, please take a photo of the orange ones and send it here: orangecandyforhope@gmail.com 
I know it would give both my dad and his sick friend a lot of hope. 
Thank you.</t>
        </is>
      </c>
      <c r="D4288" t="n">
        <v>43</v>
      </c>
      <c r="E4288" t="n">
        <v>11</v>
      </c>
      <c r="F4288">
        <f>HYPERLINK("https://www.reddit.com/r/cancer/comments/cttxvm/my_fathers_close_friend_is_going_into_chemo_today/")</f>
        <v/>
      </c>
      <c r="G4288" t="inlineStr">
        <is>
          <t>2019-08-22 00:22:19</t>
        </is>
      </c>
      <c r="H4288" t="inlineStr"/>
    </row>
    <row r="4289">
      <c r="A4289" t="inlineStr">
        <is>
          <t>ctuu5z</t>
        </is>
      </c>
      <c r="B4289" t="inlineStr">
        <is>
          <t>During chemo 39/F</t>
        </is>
      </c>
      <c r="C4289" t="inlineStr">
        <is>
          <t>It’s like a tunnel without light and live like in hell 
I feel more worse than before diagnosed 
I am stage 4 non Hodgkin lymphoma 
Doc said I need 6 cycles
Now I finished 4th 
I can’t do anything and my social life is over. Since I can’t go out much cuz of the virus and also I don’t have any energy half of the month. 
I will know the result in Dec 
I don’t know what to think anymore 
My treatment will be finished in Nov
the chemo side effect just so strong... I try to get up and walk 30 mins everyday at home 
I try to drink more water and eat 
I don’t know what I can do anymore</t>
        </is>
      </c>
      <c r="D4289" t="n">
        <v>9</v>
      </c>
      <c r="E4289" t="n">
        <v>5</v>
      </c>
      <c r="F4289">
        <f>HYPERLINK("https://www.reddit.com/r/cancer/comments/ctuu5z/during_chemo_39f/")</f>
        <v/>
      </c>
      <c r="G4289" t="inlineStr">
        <is>
          <t>2019-08-22 02:14:04</t>
        </is>
      </c>
      <c r="H4289" t="inlineStr"/>
    </row>
    <row r="4290">
      <c r="A4290" t="inlineStr">
        <is>
          <t>ctvcxz</t>
        </is>
      </c>
      <c r="B4290" t="inlineStr">
        <is>
          <t>How do you know when you could have cancer?</t>
        </is>
      </c>
      <c r="C4290" t="inlineStr">
        <is>
          <t>Hi i have been waking up to a strong taste of blood on the back of my throat in recent days after not smoking that much recently. At first i thought it may be my throat thats irratated from something that may have eaten but its 3 days in a row so far where i go to the sink and my saliva is completely red. Now i do want to die because my life as an entity is over so please dont advise me about hoing to the doctors but my question is is it possible that i could have a cancer of some form? Or is this a comedown from not smoking tobacco? Any suggestions are appreciated thank you i hope you all recver from yours xx</t>
        </is>
      </c>
      <c r="D4290" t="n">
        <v>1</v>
      </c>
      <c r="E4290" t="n">
        <v>4</v>
      </c>
      <c r="F4290">
        <f>HYPERLINK("https://www.reddit.com/r/cancer/comments/ctvcxz/how_do_you_know_when_you_could_have_cancer/")</f>
        <v/>
      </c>
      <c r="G4290" t="inlineStr">
        <is>
          <t>2019-08-22 03:12:34</t>
        </is>
      </c>
      <c r="H4290" t="inlineStr"/>
    </row>
    <row r="4291">
      <c r="A4291" t="inlineStr">
        <is>
          <t>ctvywr</t>
        </is>
      </c>
      <c r="B4291" t="inlineStr">
        <is>
          <t>How do I be a rock for my family member?</t>
        </is>
      </c>
      <c r="C4291" t="inlineStr">
        <is>
          <t>They are freaking out and having anxiety attacks. Naturally, I don’t blame them for this. That’s a natural reaction when you have cancer.
But I have no clue what to do or say here to calm them down and make them feel at least somewhat more safe.</t>
        </is>
      </c>
      <c r="D4291" t="n">
        <v>4</v>
      </c>
      <c r="E4291" t="n">
        <v>6</v>
      </c>
      <c r="F4291">
        <f>HYPERLINK("https://www.reddit.com/r/cancer/comments/ctvywr/how_do_i_be_a_rock_for_my_family_member/")</f>
        <v/>
      </c>
      <c r="G4291" t="inlineStr">
        <is>
          <t>2019-08-22 04:17:38</t>
        </is>
      </c>
      <c r="H4291" t="inlineStr"/>
    </row>
    <row r="4292">
      <c r="A4292" t="inlineStr">
        <is>
          <t>ctxeg8</t>
        </is>
      </c>
      <c r="B4292" t="inlineStr">
        <is>
          <t>Bilateral Masectomy 1 drain still dark maybe TMI</t>
        </is>
      </c>
      <c r="C4292" t="inlineStr">
        <is>
          <t>This is kind of gross but if you or someone you know are riding the cancer train you are probably use to gross.
I had bilateral masectomy on 16th. My right breast drain already is a straw color yuck stuff . But left the one that didn't even have cancer is still an angry dark red yuck stuff. I looked at my paperwork and it didn't say what to do if yuck stuff didn't change to the straw color it is,suppose to be after few days. Just online it says that . I don't have any signs of infection I even gave the angry red a sniff and no foul smell. It is just pretty scary to look at. There is equal amount of yuck stuff in each drain just different color.
Anyone else experience this? Drains won't be removed until Tuesday .</t>
        </is>
      </c>
      <c r="D4292" t="n">
        <v>6</v>
      </c>
      <c r="E4292" t="n">
        <v>18</v>
      </c>
      <c r="F4292">
        <f>HYPERLINK("https://www.reddit.com/r/cancer/comments/ctxeg8/bilateral_masectomy_1_drain_still_dark_maybe_tmi/")</f>
        <v/>
      </c>
      <c r="G4292" t="inlineStr">
        <is>
          <t>2019-08-22 06:24:44</t>
        </is>
      </c>
      <c r="H4292" t="inlineStr"/>
    </row>
    <row r="4293">
      <c r="A4293" t="inlineStr">
        <is>
          <t>cu1fvf</t>
        </is>
      </c>
      <c r="B4293" t="inlineStr">
        <is>
          <t>Advice Please: Cancer Kits/ "Goody Bags" for Men</t>
        </is>
      </c>
      <c r="C4293" t="inlineStr">
        <is>
          <t>A few weeks ago, my husband was diagnosed with Proximal Epithelioid Sarcoma. Initially, we were given a treatment plan of five weeks of radiation therapy, but yesterday found out that his tumor has grown and the oncologist is now suggesting a combination of radiation therapy and chemo before extraction.
We're both still reeling from the thought of chemo, but I'm a planner and like looking ahead, which brings me to the main point of this post: what are some of the thoughtful, "fun," things I can do to help lift my husband's spirits when he needs a boost? I know the oncology team/hospital will likely provide us with handouts and/or "goody bags,"but I'd also like some real-life suggestions.
In particular, men, could you please answer the following questions? 
\*\* Ladies - if you'd like to respond to the questions below with items that helped your male partner, relative, neighbor... I'd also love to hear what you have to say. Just please keep in mind we're talking about an athletic guy who isn't into wine, pink frilly stuff, or "girly" things like bath bombs.
1) What are the absolute ESSENTIAL items I should keep stocked at home?
2) What special treats/"luxury" items helped lift your spirits after each round of chemo? 
Thanks for any help!</t>
        </is>
      </c>
      <c r="D4293" t="n">
        <v>19</v>
      </c>
      <c r="E4293" t="n">
        <v>23</v>
      </c>
      <c r="F4293">
        <f>HYPERLINK("https://www.reddit.com/r/cancer/comments/cu1fvf/advice_please_cancer_kits_goody_bags_for_men/")</f>
        <v/>
      </c>
      <c r="G4293" t="inlineStr">
        <is>
          <t>2019-08-22 11:25:01</t>
        </is>
      </c>
      <c r="H4293" t="inlineStr"/>
    </row>
    <row r="4294">
      <c r="A4294" t="inlineStr">
        <is>
          <t>cu1t6r</t>
        </is>
      </c>
      <c r="B4294" t="inlineStr">
        <is>
          <t>Food restriction for breast cancer patient and what should I know about the mastectomy?? Please help</t>
        </is>
      </c>
      <c r="C4294" t="inlineStr">
        <is>
          <t>Hello, 
&amp;amp;#x200B;
I have a diabetic, elderly family member diagnosed with breast cancer somewhere between stage 2 and 3. I really need help. Is there specific foods that are not supposed to be given? Any sort of daily foods to stick with? What about the mastectomy and stuff like that, what should I know? I am really worried and I really need help, any advice would be appreciated.</t>
        </is>
      </c>
      <c r="D4294" t="n">
        <v>8</v>
      </c>
      <c r="E4294" t="n">
        <v>11</v>
      </c>
      <c r="F4294">
        <f>HYPERLINK("https://www.reddit.com/r/cancer/comments/cu1t6r/food_restriction_for_breast_cancer_patient_and/")</f>
        <v/>
      </c>
      <c r="G4294" t="inlineStr">
        <is>
          <t>2019-08-22 11:52:02</t>
        </is>
      </c>
      <c r="H4294" t="inlineStr"/>
    </row>
    <row r="4295">
      <c r="A4295" t="inlineStr">
        <is>
          <t>cu227u</t>
        </is>
      </c>
      <c r="B4295" t="inlineStr">
        <is>
          <t>Birthday gift for someone with cancer?</t>
        </is>
      </c>
      <c r="C4295" t="inlineStr">
        <is>
          <t>My grandpa has stage IIII liver cancer that spread to his hip bone. He’s been going through a lot recently. He’s been through weeks of radiation therapy and is about to start immunotherapy. His birthday is coming up and I want to get him something special. I know birthday gifts are typically tailored to that person and their interests and was wondering if you all can help me with that. I know he’s going through a hard time physically and mentally. I want to get him something that is both special and helpful. Is there anything you all can recommend a cancer patient may like/need the most? I was thinking of an IPOD with his favorite music on it as I know he loves music. He can use it when he’s feeling low or if allowed, when he’s going through his treatments. He’s older, so my only concern is if whether or not he will be able to use it easily. He loves music, cars, the wheel of fortune, scratchers, food, coffee and pretty much the typical things older guys enjoy. I’m not very creative so any advice is appreciated. Thanks guys.</t>
        </is>
      </c>
      <c r="D4295" t="n">
        <v>5</v>
      </c>
      <c r="E4295" t="n">
        <v>5</v>
      </c>
      <c r="F4295">
        <f>HYPERLINK("https://www.reddit.com/r/cancer/comments/cu227u/birthday_gift_for_someone_with_cancer/")</f>
        <v/>
      </c>
      <c r="G4295" t="inlineStr">
        <is>
          <t>2019-08-22 12:09:36</t>
        </is>
      </c>
      <c r="H4295" t="inlineStr"/>
    </row>
    <row r="4296">
      <c r="A4296" t="inlineStr">
        <is>
          <t>cu2ig8</t>
        </is>
      </c>
      <c r="B4296" t="inlineStr">
        <is>
          <t>I don't have cancer gene!!</t>
        </is>
      </c>
      <c r="C4296" t="inlineStr">
        <is>
          <t>I had ( I have to practice saying had instead of have) breast cancer because I got it at 44 and had no risk factors it was suggested I get tested. They actually tested me for 48 cancer genes not just BRCA and it came back negative for every one. I still got bilateral masectomy seeing as I had no idea how I got breast cancer and didn't want reconstruction . I am so relieved because I was so afraid of having a gene I passed down to my daughter I was more upset about that than my own cancer although I know she may still be at risk and needs a mammogram starting around 35 . 
My boyfriend on other hand is positive for Lynch syndrome smokes, drank heavily until few years ago   and is overweight and just turned 50 no cancer so far thems the breaks .</t>
        </is>
      </c>
      <c r="D4296" t="n">
        <v>26</v>
      </c>
      <c r="E4296" t="n">
        <v>8</v>
      </c>
      <c r="F4296">
        <f>HYPERLINK("https://www.reddit.com/r/cancer/comments/cu2ig8/i_dont_have_cancer_gene/")</f>
        <v/>
      </c>
      <c r="G4296" t="inlineStr">
        <is>
          <t>2019-08-22 12:42:42</t>
        </is>
      </c>
      <c r="H4296" t="inlineStr"/>
    </row>
    <row r="4297">
      <c r="A4297" t="inlineStr">
        <is>
          <t>cu394b</t>
        </is>
      </c>
      <c r="B4297" t="inlineStr">
        <is>
          <t>Breast Core Biopsy Pain</t>
        </is>
      </c>
      <c r="C4297" t="inlineStr">
        <is>
          <t>Got my biopsy done a couple hours ago, and tried to go to lunch afterwards. Had to go home because I burst into tears once the anesthesia wore off. I have pretty high pain tolerance, but holy hell, this shit HURTS. The pain is almost unbearable to the point that I feel like I might pass out. As far as I can tell, it seems like people are usually just mildly sore post-biopsy. The doctor made it seem like I could get back to working out tomorrow, and I don't see how that's possible. Is this uncommon? Any one have tips? The only thing that is really helping at the moment is the bag of frozen grapes under my bra. Send help.</t>
        </is>
      </c>
      <c r="D4297" t="n">
        <v>7</v>
      </c>
      <c r="E4297" t="n">
        <v>12</v>
      </c>
      <c r="F4297">
        <f>HYPERLINK("https://www.reddit.com/r/cancer/comments/cu394b/breast_core_biopsy_pain/")</f>
        <v/>
      </c>
      <c r="G4297" t="inlineStr">
        <is>
          <t>2019-08-22 13:36:15</t>
        </is>
      </c>
      <c r="H4297" t="inlineStr"/>
    </row>
    <row r="4298">
      <c r="A4298" t="inlineStr">
        <is>
          <t>cu417d</t>
        </is>
      </c>
      <c r="B4298" t="inlineStr">
        <is>
          <t>Doctor issues</t>
        </is>
      </c>
      <c r="C4298" t="inlineStr">
        <is>
          <t>In the middle of testing for bladder cancer...my Cystoscopy is scheduled for Monday. My urologist is...not great. His office did a great job of getting me appointments for a CT and cystoscopy and I’m thankful for that. But my doc makes me uncomfortable...he didn’t wash his hands, answered his phone (which had a very loud personalize ringtone) and asked me if I was sure I hadn’t been raped or had multiple partners. I could go on but really I just don’t like the guy and if it really is cancer...he is the last person I would go to. 
So...if I get a diagnosis would I be transferred immediately anyways to an oncologist? Or is the urologist part of the team? Should I be fighting to get into a better office right now or would it be better to focus on the next doctor? Is this urologist going to be deciding any treatment plans? 
I know I don’t have a for sure diagnosis and I hope it’s okay to seek advice here. Thanks!</t>
        </is>
      </c>
      <c r="D4298" t="n">
        <v>8</v>
      </c>
      <c r="E4298" t="n">
        <v>11</v>
      </c>
      <c r="F4298">
        <f>HYPERLINK("https://www.reddit.com/r/cancer/comments/cu417d/doctor_issues/")</f>
        <v/>
      </c>
      <c r="G4298" t="inlineStr">
        <is>
          <t>2019-08-22 14:33:05</t>
        </is>
      </c>
      <c r="H4298" t="inlineStr"/>
    </row>
    <row r="4299">
      <c r="A4299" t="inlineStr">
        <is>
          <t>cu4g9j</t>
        </is>
      </c>
      <c r="B4299" t="inlineStr">
        <is>
          <t>He's gone.</t>
        </is>
      </c>
      <c r="C4299" t="inlineStr">
        <is>
          <t>I made a couple of posts in the last month about my father in law and his battle with an aggressive  SCC and the mask I painted for him. We just got the phone call to say he has passed away during the night.
He was in his bed at home, surrounded by the things he loved and his wife next to him.
I just wanted to say a heartfelt thanks to those that left kind words on my last posts, it means a lot even though I didn't have the time to reply.</t>
        </is>
      </c>
      <c r="D4299" t="n">
        <v>52</v>
      </c>
      <c r="E4299" t="n">
        <v>14</v>
      </c>
      <c r="F4299">
        <f>HYPERLINK("https://www.reddit.com/r/cancer/comments/cu4g9j/hes_gone/")</f>
        <v/>
      </c>
      <c r="G4299" t="inlineStr">
        <is>
          <t>2019-08-22 15:04:13</t>
        </is>
      </c>
      <c r="H4299" t="inlineStr"/>
    </row>
    <row r="4300">
      <c r="A4300" t="inlineStr">
        <is>
          <t>cu4run</t>
        </is>
      </c>
      <c r="B4300" t="inlineStr">
        <is>
          <t>How do you handle the waiting game?</t>
        </is>
      </c>
      <c r="C4300" t="inlineStr">
        <is>
          <t>I am waiting on results right now for my breast and there is literally nothing I can do for 2 weeks but worry....how do you help ease your mind and pass the time?</t>
        </is>
      </c>
      <c r="D4300" t="n">
        <v>3</v>
      </c>
      <c r="E4300" t="n">
        <v>9</v>
      </c>
      <c r="F4300">
        <f>HYPERLINK("https://www.reddit.com/r/cancer/comments/cu4run/how_do_you_handle_the_waiting_game/")</f>
        <v/>
      </c>
      <c r="G4300" t="inlineStr">
        <is>
          <t>2019-08-22 15:28:30</t>
        </is>
      </c>
      <c r="H4300" t="inlineStr"/>
    </row>
    <row r="4301">
      <c r="A4301" t="inlineStr">
        <is>
          <t>cu61qe</t>
        </is>
      </c>
      <c r="B4301" t="inlineStr">
        <is>
          <t>So close, and yet so far</t>
        </is>
      </c>
      <c r="C4301" t="inlineStr">
        <is>
          <t>Hi,
Rant ahead. Please delete if this
Mum has been diagnosed with stage 2 anal cancer officially. The oncologist said some lymph nodes were found in her groin as well, but said they were quite small. I should have asked if that meant it was stage 3, but we were so happy it was stage 2 I didn't even think about it.
Radiation tattoos were done the week after, and today is first day of chemoradiation. She is lucky in that she gets to primarily take the chemo pills and only come in twice for the chemo iv. 
It feels like we've already done so much just to get to this point, and yet we still have 6 weeks of treatment to go. The ostomy surgery was a huge hurdle in itself, and yet that's nothing compared to the upcoming 6 weeks.
Then another 6-12 weeks.
Then another PET scan.
I just want her to be okay. I wish I could take it away from her. 
Sorry - just needed to get it out. Fuck Cancer.</t>
        </is>
      </c>
      <c r="D4301" t="n">
        <v>13</v>
      </c>
      <c r="E4301" t="n">
        <v>7</v>
      </c>
      <c r="F4301">
        <f>HYPERLINK("https://www.reddit.com/r/cancer/comments/cu61qe/so_close_and_yet_so_far/")</f>
        <v/>
      </c>
      <c r="G4301" t="inlineStr">
        <is>
          <t>2019-08-22 17:11:05</t>
        </is>
      </c>
      <c r="H4301" t="inlineStr"/>
    </row>
    <row r="4302">
      <c r="A4302" t="inlineStr">
        <is>
          <t>cu63gn</t>
        </is>
      </c>
      <c r="B4302" t="inlineStr">
        <is>
          <t>EYEBROW WIGS</t>
        </is>
      </c>
      <c r="C4302" t="inlineStr">
        <is>
          <t>LADIES (and gentlemen) if you are going through chemo or have gone through chemo or even know someone with alopecia, I HIGHLY recommend cardani eyebrow wigs. They look insanely natural and have 4 different brow shapes for women and a generic brow shape for men (can be trimmed to your liking). I’ve been wearing mine almost every day the past week and it’s insane how natural they look. I just wanted to put this out there in case you are self conscious about your brows or are sick and tired of drawing yours on like i am. I bought mine from headcovers.com for $50, which was the cheapest i could find but reviews say that you can make them last 2-3 months if you take care of them. i hope this post will at least help someone, goodluck and happy brow designing!!</t>
        </is>
      </c>
      <c r="D4302" t="n">
        <v>38</v>
      </c>
      <c r="E4302" t="n">
        <v>7</v>
      </c>
      <c r="F4302">
        <f>HYPERLINK("https://www.reddit.com/r/cancer/comments/cu63gn/eyebrow_wigs/")</f>
        <v/>
      </c>
      <c r="G4302" t="inlineStr">
        <is>
          <t>2019-08-22 17:15:13</t>
        </is>
      </c>
      <c r="H4302" t="inlineStr"/>
    </row>
    <row r="4303">
      <c r="A4303" t="inlineStr">
        <is>
          <t>cu6b38</t>
        </is>
      </c>
      <c r="B4303" t="inlineStr">
        <is>
          <t>Where does the fatigue that ibrance produces come from, exactly? Does it have something to do with interference in ATP usage by mitochondria?</t>
        </is>
      </c>
      <c r="C4303" t="inlineStr">
        <is>
          <t>I've found this paper that might be relevant:
"Palbociclib and other CDK inhibitors bind in the cleft between the small and large lobes of the CDKs and inhibit the binding of ATP. Like ATP, palbociclib forms hydrogen bonds with residues in the hinge segment of the cleft. "
https://www.sciencedirect.com/science/article/abs/pii/S1043661816301839</t>
        </is>
      </c>
      <c r="D4303" t="n">
        <v>4</v>
      </c>
      <c r="E4303" t="n">
        <v>3</v>
      </c>
      <c r="F4303">
        <f>HYPERLINK("https://www.reddit.com/r/cancer/comments/cu6b38/where_does_the_fatigue_that_ibrance_produces_come/")</f>
        <v/>
      </c>
      <c r="G4303" t="inlineStr">
        <is>
          <t>2019-08-22 17:33:16</t>
        </is>
      </c>
      <c r="H4303" t="inlineStr"/>
    </row>
    <row r="4304">
      <c r="A4304" t="inlineStr">
        <is>
          <t>cu6bag</t>
        </is>
      </c>
      <c r="B4304" t="inlineStr">
        <is>
          <t>Bereavement support group</t>
        </is>
      </c>
      <c r="C4304" t="inlineStr">
        <is>
          <t>Attending my first bereavement support group tonight. My friend past 7 days ago I want to get on this grief now. Is anyone else in a support group? Thoughts?</t>
        </is>
      </c>
      <c r="D4304" t="n">
        <v>3</v>
      </c>
      <c r="E4304" t="n">
        <v>0</v>
      </c>
      <c r="F4304">
        <f>HYPERLINK("https://www.reddit.com/r/cancer/comments/cu6bag/bereavement_support_group/")</f>
        <v/>
      </c>
      <c r="G4304" t="inlineStr">
        <is>
          <t>2019-08-22 17:33:39</t>
        </is>
      </c>
      <c r="H4304" t="inlineStr"/>
    </row>
    <row r="4305">
      <c r="A4305" t="inlineStr">
        <is>
          <t>cu7l9v</t>
        </is>
      </c>
      <c r="B4305" t="inlineStr">
        <is>
          <t>As a patient, I honestly would like to see more uplifting posts and positivity from other patients alike in this sub. A lot of the posts recently have been grim/tragic in nature and are dampening my own will to fight.</t>
        </is>
      </c>
      <c r="C4305" t="inlineStr">
        <is>
          <t>Not trying to say that there aren’t tragic and grim outcomes but what I joined this thread for was support and inspiration seeing others fight to overcome. Just an opinion but maybe there should be like a cancer grief subreddit where people can post gloomy posts? Idk I’m just feeling god awfully low after seeing some of these posts. I cried like 3 times last night reading some of these stories and I really haven’t even been that emotional when I was diagnosed. Just my 2 cents. Anyone else?</t>
        </is>
      </c>
      <c r="D4305" t="n">
        <v>6</v>
      </c>
      <c r="E4305" t="n">
        <v>31</v>
      </c>
      <c r="F4305">
        <f>HYPERLINK("https://www.reddit.com/r/cancer/comments/cu7l9v/as_a_patient_i_honestly_would_like_to_see_more/")</f>
        <v/>
      </c>
      <c r="G4305" t="inlineStr">
        <is>
          <t>2019-08-22 19:26:30</t>
        </is>
      </c>
      <c r="H4305" t="inlineStr"/>
    </row>
    <row r="4306">
      <c r="A4306" t="inlineStr">
        <is>
          <t>cu7lum</t>
        </is>
      </c>
      <c r="B4306" t="inlineStr">
        <is>
          <t>Brothers last treatment tomorrow</t>
        </is>
      </c>
      <c r="C4306" t="inlineStr">
        <is>
          <t>It seems to strange to be typing that. Tomorrow, last treatment.. I can hardly believe it. 
I don't know if anyone else has felt this way, but it feels bittersweet. I am so happy he is having his last treatment tomorrow, and yet, I am sad and terrified.. because for the first time in a long time, at least I knew what the 6 weeks looked like (for the most part).. This became routine. And now, I don't know what to expect. Its terrifying because this means waiting on the first scan. Hoping we beat the odds that are against us. It feels so bittersweet.</t>
        </is>
      </c>
      <c r="D4306" t="n">
        <v>12</v>
      </c>
      <c r="E4306" t="n">
        <v>6</v>
      </c>
      <c r="F4306">
        <f>HYPERLINK("https://www.reddit.com/r/cancer/comments/cu7lum/brothers_last_treatment_tomorrow/")</f>
        <v/>
      </c>
      <c r="G4306" t="inlineStr">
        <is>
          <t>2019-08-22 19:28:07</t>
        </is>
      </c>
      <c r="H4306" t="inlineStr"/>
    </row>
    <row r="4307">
      <c r="A4307" t="inlineStr">
        <is>
          <t>cu9226</t>
        </is>
      </c>
      <c r="B4307" t="inlineStr">
        <is>
          <t>I’m in remission, but...</t>
        </is>
      </c>
      <c r="C4307" t="inlineStr">
        <is>
          <t>Today I got the results from my PET scan. I’m finally in remission after going through chemo for the entire year. There’s some small uptake in my tonsils but we don’t believe it’s cancerous, more of an infection because I’ve been having tonsil troubles since the end of 2017. 
This should be one of the happiest days of my life. The day I’ve been waiting for since December when I found out, but it’s not. I’m worry about it coming back. Hodgekins doesn’t usually come back and it’s not aggressive, but that thought still lingers in the back of my mind. I thought once I got my results back I would be right on track for a normal life again, but now the fear of the small chance of cancer coming back is always going to be there. 
I want to enjoy today, but instead I’ve been moping around in my room all day. I’m scared my life will never be normal again. I knew that it would never be normal again ever since my diagnosis, but I always hoped for that small chance of my life post chemo being close to normal or resembling it. The uncertainty of cancer has by far been the worst and taken a huge toll on me. I always feel lost, and even now that it’s gone I still feel lost.</t>
        </is>
      </c>
      <c r="D4307" t="n">
        <v>3</v>
      </c>
      <c r="E4307" t="n">
        <v>3</v>
      </c>
      <c r="F4307">
        <f>HYPERLINK("https://www.reddit.com/r/cancer/comments/cu9226/im_in_remission_but/")</f>
        <v/>
      </c>
      <c r="G4307" t="inlineStr">
        <is>
          <t>2019-08-22 21:45:38</t>
        </is>
      </c>
      <c r="H4307" t="inlineStr"/>
    </row>
    <row r="4308">
      <c r="A4308" t="inlineStr">
        <is>
          <t>cu979k</t>
        </is>
      </c>
      <c r="B4308" t="inlineStr">
        <is>
          <t>MOHS</t>
        </is>
      </c>
      <c r="C4308" t="inlineStr">
        <is>
          <t>Monday I go in for MOHS surgery to remove an angry BCC from my nose. The aspect of surgery doesn’t bother me much but the recovery and the physical change I may endure is worrying me. 
Anyone been through a MOHS and could shed some light? Anything I should know more than the docs generic speech?</t>
        </is>
      </c>
      <c r="D4308" t="n">
        <v>5</v>
      </c>
      <c r="E4308" t="n">
        <v>2</v>
      </c>
      <c r="F4308">
        <f>HYPERLINK("https://www.reddit.com/r/cancer/comments/cu979k/mohs/")</f>
        <v/>
      </c>
      <c r="G4308" t="inlineStr">
        <is>
          <t>2019-08-22 22:01:04</t>
        </is>
      </c>
      <c r="H4308" t="inlineStr"/>
    </row>
    <row r="4309">
      <c r="A4309" t="inlineStr">
        <is>
          <t>cu9pfb</t>
        </is>
      </c>
      <c r="B4309" t="inlineStr">
        <is>
          <t>It’s over. He’s gone.</t>
        </is>
      </c>
      <c r="C4309" t="inlineStr">
        <is>
          <t>Dads suffering is finally over. I can’t sleep.
It was a rough journey. A tumor on his hypopharynx. Radiation that destroyed the tumor but also, his esophagus. For a year he was tube fed. He loved food, his career was food. That was the worst part. It came back in his neck and was inoperable so he tried a T-Cell treatment until side effects landed him in hospital. Then one hospital stay led to hospice. The neck tumor grew to a horrific size. In the end it was the esophageal stricture that finished him. Unable to swallow he grew too weak to cough and his lungs filled with fluid until he just couldn’t go on.
He had panicked earlier in the evening but in his final hours he was calm. At one point I walked into the room  alone and he said he loved me. And he told me he would be gone in 10 minutes. I told him I loved him and we’d get him to sleep. An hour or so later he died. He was right.
In the end we were there telling him how loved he was, that it was ok, we would be ok, his partner would be ok. That he wasn’t alone.
I looked up and all of the staff were there, standing vigil. A call light went for another room and one wiped her eyes and left.
Tomorrow the dr will come and sign his death certificate. Tomorrow is today. 
Now we just, keep living. 
I love you dad. Thank you for letting us be there to say goodbye.</t>
        </is>
      </c>
      <c r="D4309" t="n">
        <v>89</v>
      </c>
      <c r="E4309" t="n">
        <v>39</v>
      </c>
      <c r="F4309">
        <f>HYPERLINK("https://www.reddit.com/r/cancer/comments/cu9pfb/its_over_hes_gone/")</f>
        <v/>
      </c>
      <c r="G4309" t="inlineStr">
        <is>
          <t>2019-08-22 22:56:10</t>
        </is>
      </c>
      <c r="H4309" t="inlineStr"/>
    </row>
    <row r="4310">
      <c r="A4310" t="inlineStr">
        <is>
          <t>cubhhq</t>
        </is>
      </c>
      <c r="B4310" t="inlineStr">
        <is>
          <t>Do you have an open conversation about death?</t>
        </is>
      </c>
      <c r="C4310" t="inlineStr">
        <is>
          <t>My dad has been diagnosed with stage 4 lung cancer. It’s metastasized to the bones, which has been causing him the most problems. He still doesn’t have symptoms of lung cancer.. 
he was diagnosed more than 2 months ago but his condition is worse and the doctors said if immunotherapy can’t stop the aggressive growth, he has about 2 months left. 
My question is, have you had an open conversation about death with your loved ones? My family has been tip toeing around the subject, and will say this like “you got this! You can beat it!” But he can’t. He won’t. 
I want to talk to my dad about his feelings about death. What he’s thinking about. What I’m thinking about. I want to tell him that I’m going to miss him so much. And that I’m so lucky to have a dad like him. I want to tell him that I think death is another adventure, to go to the great unknown - what does he think is on the other side? But nobody is acknowledging that he is dying. My dad has been quiet since we found out last week of how badly his cancer has progressed in such a short amount of time. 
I want to talk to him, but I’m scared this conversation would be too devastating. What has been your experiences with similar conversations?</t>
        </is>
      </c>
      <c r="D4310" t="n">
        <v>6</v>
      </c>
      <c r="E4310" t="n">
        <v>13</v>
      </c>
      <c r="F4310">
        <f>HYPERLINK("https://www.reddit.com/r/cancer/comments/cubhhq/do_you_have_an_open_conversation_about_death/")</f>
        <v/>
      </c>
      <c r="G4310" t="inlineStr">
        <is>
          <t>2019-08-23 02:29:07</t>
        </is>
      </c>
      <c r="H4310" t="inlineStr"/>
    </row>
    <row r="4311">
      <c r="A4311" t="inlineStr">
        <is>
          <t>cubpbi</t>
        </is>
      </c>
      <c r="B4311" t="inlineStr">
        <is>
          <t>Rare Pre Leukemia with rare complications at every turn</t>
        </is>
      </c>
      <c r="C4311" t="inlineStr">
        <is>
          <t>I was diagnosed with a rare pre leukemia known as myelodysplastic syndrome (MDS) about a week after my highschool graduation. I’ve spent my summer in and out of the clinic and the hospital and have been admitted for at least 2 months in total by now. I kind of gave up on my senior year summer and i’ve just been complacent with my illness. I’ve had every single possible complication along the way. I was allergic to my first round of chemo and ended up with fluid in the lungs. I’ve had every possible problem with no solutions. It’s scary, and i’m not sure how can i get through this when everything ends up a lot more painful and complicated for me.</t>
        </is>
      </c>
      <c r="D4311" t="n">
        <v>3</v>
      </c>
      <c r="E4311" t="n">
        <v>1</v>
      </c>
      <c r="F4311">
        <f>HYPERLINK("https://www.reddit.com/r/cancer/comments/cubpbi/rare_pre_leukemia_with_rare_complications_at/")</f>
        <v/>
      </c>
      <c r="G4311" t="inlineStr">
        <is>
          <t>2019-08-23 02:54:03</t>
        </is>
      </c>
      <c r="H4311" t="inlineStr"/>
    </row>
    <row r="4312">
      <c r="A4312" t="inlineStr">
        <is>
          <t>cuc4qu</t>
        </is>
      </c>
      <c r="B4312" t="inlineStr">
        <is>
          <t>Undifferentiated Small Cell Neuroendocrine Carcinoma</t>
        </is>
      </c>
      <c r="C4312" t="inlineStr">
        <is>
          <t>I fall into the 3% of cancers of unknown origin.  They can not find a "jumping off point".  This is usually associated with lung cancer, but my lungs are clean as a whistle.
I have tumors on the lymph nodes that surround my vena cava and aorta.  It has also settled into my bones.  Both clavicles, left humerus, the bones just below the neck, mid vertabra, lower vertabra, and hips.
I start chemo on Tuesday.  3 days of infusion(D1 Carboplatin, D2&amp;amp;3 etopiside, plus immunotherapy mixed in.  Then 2 weeks off.  Repeat 3 more times.
The only prognosis I have is that if the chemo does not work, I have 12 - 18 months at best. If it does work, I am just buying time.
Thankfully, my family is already making plans to get me to and from appointments, and setting up not only a caregiver schedule, but caregiver quarters in in my small back bedroom.  When the time comes, we have plans for me to move into my brother and SIL's place until the end.
Despite all of this, I am still lucky.  I have a job that gives me good benefits.  I already work in the healthcare industry(albeit peripherally in foodservice) and that affords a certain viewpoint of taking care of oneself.  My director and executive chef have also told me to take what time I need, the account will be here.
While I plan on working while I am in treatment, I do not know what form that might take.  Luckily, i have been paying into long term disability and my company pays for short term.</t>
        </is>
      </c>
      <c r="D4312" t="n">
        <v>5</v>
      </c>
      <c r="E4312" t="n">
        <v>10</v>
      </c>
      <c r="F4312">
        <f>HYPERLINK("https://www.reddit.com/r/cancer/comments/cuc4qu/undifferentiated_small_cell_neuroendocrine/")</f>
        <v/>
      </c>
      <c r="G4312" t="inlineStr">
        <is>
          <t>2019-08-23 03:42:05</t>
        </is>
      </c>
      <c r="H4312" t="inlineStr"/>
    </row>
    <row r="4313">
      <c r="A4313" t="inlineStr">
        <is>
          <t>cuedpr</t>
        </is>
      </c>
      <c r="B4313" t="inlineStr">
        <is>
          <t>6 months or less</t>
        </is>
      </c>
      <c r="C4313" t="inlineStr">
        <is>
          <t>My dad has been given 6 months or less to live following metastatic prostate cancer. Please can someone tell me what to expect for the next few months? It’s in his bones only so my mind can’t process how and what will happen. Sorry if this isn’t the place for this.</t>
        </is>
      </c>
      <c r="D4313" t="n">
        <v>3</v>
      </c>
      <c r="E4313" t="n">
        <v>4</v>
      </c>
      <c r="F4313">
        <f>HYPERLINK("https://www.reddit.com/r/cancer/comments/cuedpr/6_months_or_less/")</f>
        <v/>
      </c>
      <c r="G4313" t="inlineStr">
        <is>
          <t>2019-08-23 07:07:13</t>
        </is>
      </c>
      <c r="H4313" t="inlineStr"/>
    </row>
    <row r="4314">
      <c r="A4314" t="inlineStr">
        <is>
          <t>cueioc</t>
        </is>
      </c>
      <c r="B4314" t="inlineStr">
        <is>
          <t>Suggestions on ideas for a very physical/active person in hospital a week then bed rest a month.</t>
        </is>
      </c>
      <c r="C4314" t="inlineStr">
        <is>
          <t>My wifes boss has cancer and is going in for treatment soon. Her office wants to do some nice things to surprise her with and help her stay entertained through bed rest. She is in general a very fit and active person. She runs and exercises like crazy and runs obstacle courses on the weekend competing against others for best time, not just finishing the course! As someone into such physical and active things bed rest is going to be seriously stressful and dull for her, so I wanted to try and help find a few suggestions.
Other then all the physical stuff I know about her the only other piece of information I knew was that she liked puzzles...they actually asked me to come up with more ideas after I suggested puzzles in the first place. Given she is such a physical person though, I have never meet her and all I have to go on is "puzzles" I am struggling to come up with some good ideas that are not lame as hell like cats craddle. She doesn't play video games but I am still personally going to suggest they get her a $20-$50 IOS card and suggest a few jigsaw puzzle games and puzzle games in general. Sometimes people will do things in bored stressed hospital stays they would not in day to day life. Even if she does not want to buy the games she can buy herself a few books or something.
The only other thing to add is that she loves TV so I suggested a Hulu, Shudder or other non netflix service for her....but apparently she already subscribes to several! So thats about it for ideas I have for someone I never meet ;)  Anyone else have a few good suggestions for things either in general when in hospital/bed rest can be good activities, or for someone that is generally very active but does like puzzles?</t>
        </is>
      </c>
      <c r="D4314" t="n">
        <v>1</v>
      </c>
      <c r="E4314" t="n">
        <v>3</v>
      </c>
      <c r="F4314">
        <f>HYPERLINK("https://www.reddit.com/r/cancer/comments/cueioc/suggestions_on_ideas_for_a_very_physicalactive/")</f>
        <v/>
      </c>
      <c r="G4314" t="inlineStr">
        <is>
          <t>2019-08-23 07:18:29</t>
        </is>
      </c>
      <c r="H4314" t="inlineStr"/>
    </row>
    <row r="4315">
      <c r="A4315" t="inlineStr">
        <is>
          <t>cuf9wj</t>
        </is>
      </c>
      <c r="B4315" t="inlineStr">
        <is>
          <t>Proton therapy</t>
        </is>
      </c>
      <c r="C4315" t="inlineStr">
        <is>
          <t>I have been diagnosed with Adenoid cystic carcinoma of the minor salivary glands in July. I am currently researching proton therapy and had a consultation at Florida Proton in Jacksonville.  I was wondering if any of you that have received it could share your experiences with me.</t>
        </is>
      </c>
      <c r="D4315" t="n">
        <v>3</v>
      </c>
      <c r="E4315" t="n">
        <v>4</v>
      </c>
      <c r="F4315">
        <f>HYPERLINK("https://www.reddit.com/r/cancer/comments/cuf9wj/proton_therapy/")</f>
        <v/>
      </c>
      <c r="G4315" t="inlineStr">
        <is>
          <t>2019-08-23 08:17:31</t>
        </is>
      </c>
      <c r="H4315" t="inlineStr"/>
    </row>
    <row r="4316">
      <c r="A4316" t="inlineStr">
        <is>
          <t>cufa5u</t>
        </is>
      </c>
      <c r="B4316" t="inlineStr">
        <is>
          <t>Exercise during chemo</t>
        </is>
      </c>
      <c r="C4316" t="inlineStr">
        <is>
          <t>Hello! So my mom is doing chemo at the moment and I was just wondering if there were some ways to exercise during this difficult time... She's 52 years old, and she really enjoys walking, but the problem is that's WAY too hot outside to actually go for a walk without having a heat stroke. She's not athletic or anything, but at the same time she doesn't like to stay still very long (except when she gets really tired, of course).  
Any suggestions about exercising in the comfort of her own home, besides walking back and forth in the hallway, lol? Maybe like some light yoga or stretching, i really don't know..  
Thank you so much in advance and have a good one!</t>
        </is>
      </c>
      <c r="D4316" t="n">
        <v>1</v>
      </c>
      <c r="E4316" t="n">
        <v>5</v>
      </c>
      <c r="F4316">
        <f>HYPERLINK("https://www.reddit.com/r/cancer/comments/cufa5u/exercise_during_chemo/")</f>
        <v/>
      </c>
      <c r="G4316" t="inlineStr">
        <is>
          <t>2019-08-23 08:18:10</t>
        </is>
      </c>
      <c r="H4316" t="inlineStr"/>
    </row>
    <row r="4317">
      <c r="A4317" t="inlineStr">
        <is>
          <t>cuhqkg</t>
        </is>
      </c>
      <c r="B4317" t="inlineStr">
        <is>
          <t>Does a fine needle biopsy give faster lab results than a surgical biopsy?</t>
        </is>
      </c>
      <c r="C4317" t="inlineStr">
        <is>
          <t>I know a surgical biopsy takes a while because they have to chop up the tumor, put it into wax, let it set, cut it into film etc etc. But a needle biopsy seems like it would give a faster result. Like they just squirt it on a slide and go. I had a fine needle biopsy on my lymph node. It’s already been 8 days and still nothing. Is this a bad sign?</t>
        </is>
      </c>
      <c r="D4317" t="n">
        <v>1</v>
      </c>
      <c r="E4317" t="n">
        <v>4</v>
      </c>
      <c r="F4317">
        <f>HYPERLINK("https://www.reddit.com/r/cancer/comments/cuhqkg/does_a_fine_needle_biopsy_give_faster_lab_results/")</f>
        <v/>
      </c>
      <c r="G4317" t="inlineStr">
        <is>
          <t>2019-08-23 11:20:15</t>
        </is>
      </c>
      <c r="H4317" t="inlineStr"/>
    </row>
    <row r="4318">
      <c r="A4318" t="inlineStr">
        <is>
          <t>cui1p2</t>
        </is>
      </c>
      <c r="B4318" t="inlineStr">
        <is>
          <t>How do I make these last moments meaningful?</t>
        </is>
      </c>
      <c r="C4318" t="inlineStr">
        <is>
          <t>My dad is nearing the end, not sure exactly when but his health has been declining rapidly. He has stage IV colon cancer and it’s been beating him up. 
Recently he’s lost his ability to walk. He’s bed ridden unless he’s in a wheelchair (which we rarely do because of his pain). He isn’t able to communicate clearly anymore and I think he might be dealing with a lot of short term memory loss. His sentences don’t make any sense at all and he slurs about every word that comes out. When he finds a couple of words he’ll repeat them over and over.
I don’t know if he clearly knows who I am anymore. It hasn’t been getting better and I fear that I won’t be able to have any more conversations with him. All I’ve been doing is just sitting in the hospital room with him and trying to console him when he’s in pain. 
I don’t know what else I could possibly do. How can I spend meaningful time with him when he’s either sleeping all the time or in a dazed state of mind? I’m not sure if he comprehends anything that I say or ask. 
I want to let him know that I’m here and that I love him but it’s hard when he’s not even responsive. How do you deal with this? What else can I do if anything?</t>
        </is>
      </c>
      <c r="D4318" t="n">
        <v>3</v>
      </c>
      <c r="E4318" t="n">
        <v>6</v>
      </c>
      <c r="F4318">
        <f>HYPERLINK("https://www.reddit.com/r/cancer/comments/cui1p2/how_do_i_make_these_last_moments_meaningful/")</f>
        <v/>
      </c>
      <c r="G4318" t="inlineStr">
        <is>
          <t>2019-08-23 11:43:46</t>
        </is>
      </c>
      <c r="H4318" t="inlineStr"/>
    </row>
    <row r="4319">
      <c r="A4319" t="inlineStr">
        <is>
          <t>cui1qy</t>
        </is>
      </c>
      <c r="B4319" t="inlineStr">
        <is>
          <t>Thoughts?</t>
        </is>
      </c>
      <c r="C4319" t="inlineStr">
        <is>
          <t>My fiance and I are getting married next month and are having an intimate wedding with our parents. 
My mother got diagnosed with breast cancer on Monday. The doctors won't do her surgery until 9/5 and our wedding is 9/19.  They don't want to clear her for travel, which I can understand. I'm in shock overall about everything and my stomach is in my throat. 
What would you do in this situation overall?  My mom wants to keep everything normal and get the surgery but not attend the wedding. I don't feel right about that.  I feel so many things i cannot think straight. 
Just needed to talk this out and get it off my chest.</t>
        </is>
      </c>
      <c r="D4319" t="n">
        <v>7</v>
      </c>
      <c r="E4319" t="n">
        <v>10</v>
      </c>
      <c r="F4319">
        <f>HYPERLINK("https://www.reddit.com/r/cancer/comments/cui1qy/thoughts/")</f>
        <v/>
      </c>
      <c r="G4319" t="inlineStr">
        <is>
          <t>2019-08-23 11:43:53</t>
        </is>
      </c>
      <c r="H4319" t="inlineStr"/>
    </row>
    <row r="4320">
      <c r="A4320" t="inlineStr">
        <is>
          <t>cui5k2</t>
        </is>
      </c>
      <c r="B4320" t="inlineStr">
        <is>
          <t>Dr referrals are making me worried</t>
        </is>
      </c>
      <c r="C4320" t="inlineStr">
        <is>
          <t>So let's see.  Originally misdiagnosed as having divirticulitus,  during the surgery they discovered it was actually colon cancer with a 6cm tumor.  Got that removed.  Had a ct scan that showed nodules in my thyroid.  1 of which was solid and stratified.  So my oncologist ordered a fine needle biopsy.  Fun thing for my hospital here is that they have a on site lab that literally is right there as they remove the sample in order to say if they have enough, and they guarentee a 4 day or faster turnaround for results.....
24 hours after the biopsy was taken my oncologist gave me a endocrinologists referral.   Something I suspect she would not be doing if things were ok.  
Which is concerning to me as the difference between stage 3b, and 4 is if the cancer has soread.  Am I right to think that there would be no endocrinologist referral if there wasnt a issue found?  Or am I just being paranoid?</t>
        </is>
      </c>
      <c r="D4320" t="n">
        <v>1</v>
      </c>
      <c r="E4320" t="n">
        <v>3</v>
      </c>
      <c r="F4320">
        <f>HYPERLINK("https://www.reddit.com/r/cancer/comments/cui5k2/dr_referrals_are_making_me_worried/")</f>
        <v/>
      </c>
      <c r="G4320" t="inlineStr">
        <is>
          <t>2019-08-23 11:51:47</t>
        </is>
      </c>
      <c r="H4320" t="inlineStr"/>
    </row>
    <row r="4321">
      <c r="A4321" t="inlineStr">
        <is>
          <t>cujabb</t>
        </is>
      </c>
      <c r="B4321" t="inlineStr">
        <is>
          <t>Do I have colon cancer?</t>
        </is>
      </c>
      <c r="C4321" t="inlineStr">
        <is>
          <t>So I was diagnosed with IBD, possible Crohns. But for the past 2 weeks I have been having diarrhea, pains in the abdominal area (precisely on the right half side), headaches within a few hours after eating, more fatigued than usual and belching more than usual.  
I am seeing my gastroenterology doctor a month from now but this has been weighing on my mind. Thoughts?</t>
        </is>
      </c>
      <c r="D4321" t="n">
        <v>0</v>
      </c>
      <c r="E4321" t="n">
        <v>11</v>
      </c>
      <c r="F4321">
        <f>HYPERLINK("https://www.reddit.com/r/cancer/comments/cujabb/do_i_have_colon_cancer/")</f>
        <v/>
      </c>
      <c r="G4321" t="inlineStr">
        <is>
          <t>2019-08-23 13:17:13</t>
        </is>
      </c>
      <c r="H4321" t="inlineStr"/>
    </row>
    <row r="4322">
      <c r="A4322" t="inlineStr">
        <is>
          <t>cuk1n9</t>
        </is>
      </c>
      <c r="B4322" t="inlineStr">
        <is>
          <t>Chemo and radiation done!</t>
        </is>
      </c>
      <c r="C4322" t="inlineStr">
        <is>
          <t>Hello again everyone! It's been a few weeks so I thought I'd update and share some joy. Only 4 rounds of brachytherapy to go and I will be done with treatment! Then I'll finally have a few months off before the scan to see if it worked. 
While I'm definitely nervous about the future this feels like a massive victory. This treatment has been hard on my body and mind, and I'm beyond thrilled to freaking stop for a second. 
Live for the day, and find the joy where you can. 💙</t>
        </is>
      </c>
      <c r="D4322" t="n">
        <v>52</v>
      </c>
      <c r="E4322" t="n">
        <v>9</v>
      </c>
      <c r="F4322">
        <f>HYPERLINK("https://www.reddit.com/r/cancer/comments/cuk1n9/chemo_and_radiation_done/")</f>
        <v/>
      </c>
      <c r="G4322" t="inlineStr">
        <is>
          <t>2019-08-23 14:14:42</t>
        </is>
      </c>
      <c r="H4322" t="inlineStr"/>
    </row>
    <row r="4323">
      <c r="A4323" t="inlineStr">
        <is>
          <t>cuk241</t>
        </is>
      </c>
      <c r="B4323" t="inlineStr">
        <is>
          <t>Cutaneous Lymphoma/SPTCL - need itchy skin/scarring advice!</t>
        </is>
      </c>
      <c r="C4323" t="inlineStr">
        <is>
          <t>Hello Reddit! 10 years ago I had an early-onset of  SPTCL (subcutaneous t-cell panniculitis-like lymphoma) and I still struggle with my flare ups today. I am now 23 and it started when I was 13. My biggest issue seems to be the itchiness and scars that are left after the nodule goes away. The skin affected by the inflamed legion gets red, chapped, dry, and super itchy. I tend to slather on some Vaseline when my spots are feeling itchy and uncomfortable, but that doesn’t always relieve the itch. 
Does anyone have recommendations for the itchiness in regards to cutaneous lymphoma? Also any recommendations for scar creams or something to help mitigate the scarring left by severe legions? 
Also, it’s my hope that in posting this someone else with SPTCL will see that there are others out here experiencing something similar. It’s an incredibly rare disease, and can feel incredibly lonely. I have never met another individual with SPTCL, but I hope that maybe one day I will, even if it’s just via the Internet!</t>
        </is>
      </c>
      <c r="D4323" t="n">
        <v>3</v>
      </c>
      <c r="E4323" t="n">
        <v>2</v>
      </c>
      <c r="F4323">
        <f>HYPERLINK("https://www.reddit.com/r/cancer/comments/cuk241/cutaneous_lymphomasptcl_need_itchy_skinscarring/")</f>
        <v/>
      </c>
      <c r="G4323" t="inlineStr">
        <is>
          <t>2019-08-23 14:15:52</t>
        </is>
      </c>
      <c r="H4323" t="inlineStr"/>
    </row>
    <row r="4324">
      <c r="A4324" t="inlineStr">
        <is>
          <t>culoma</t>
        </is>
      </c>
      <c r="B4324" t="inlineStr">
        <is>
          <t>Tonight my dad died</t>
        </is>
      </c>
      <c r="C4324" t="inlineStr">
        <is>
          <t>Hello all! I posted once here in spring that my dad was diagnosed with stage 4 gallbladder cancer. At the time we didn’t tell him his full diagnosis, but as he gradually got worse we gently told him and tried to help as best we could. There were more operations, more medications, thank God he didn’t live too much in pain. Most of the time it was in-out of hospital, he still worked and wrote articles. A couple months ago he lost so much wait he was too tired to work. Just sat chilling with us and watched TV. On Wednesday night I came home from work, mom was at the hospital for her own thing. All was fine: we had dinner, he told me how he want for a walk in our yard, we watched some stupid tv show and laughed about it. I kissed him good night at 12, at 12:01 he suddenly felt bad. The rest is a blur and I can’t believe it all happened. I called emergency and rushed to the hospital. I spent all the time with him there. He got blood and plasma infusion, painkillers. He got worse. He was in a lot of pain. I held his hand, massaged his feet, rubbed his back, read some newspapers. He slept the night and whole day today. He was restless. Didn’t understand what was happening. It was all so sudden. My brother and mom came yesterday evening and I went home to rest. At midnight tonight mom called to tell me he finally found peace and died, holding her hand. 
It was a battle and my dad was a fighter. I love him so so much. It’s all still so surreal and I needed to put it in writing. I don’t care if anyone reads I guess it’s for me mostly. I just cant comprehend the world without him in it. What do I do now??</t>
        </is>
      </c>
      <c r="D4324" t="n">
        <v>22</v>
      </c>
      <c r="E4324" t="n">
        <v>14</v>
      </c>
      <c r="F4324">
        <f>HYPERLINK("https://www.reddit.com/r/cancer/comments/culoma/tonight_my_dad_died/")</f>
        <v/>
      </c>
      <c r="G4324" t="inlineStr">
        <is>
          <t>2019-08-23 16:23:53</t>
        </is>
      </c>
      <c r="H4324" t="inlineStr"/>
    </row>
    <row r="4325">
      <c r="A4325" t="inlineStr">
        <is>
          <t>cunfip</t>
        </is>
      </c>
      <c r="B4325" t="inlineStr">
        <is>
          <t>Just venting</t>
        </is>
      </c>
      <c r="C4325" t="inlineStr">
        <is>
          <t>So there’s not really a point I’m trying to make here, I’m just looking to vent. 
3 years ago when I was 21 my father passed away from renal cell cancer. It was really aggressive and he passed on only 7 months after diagnosis. I tried to remain positive throughout everything and didn’t tell too many friends about what was going on because I didn’t know what was happening until it was over. I struggled to cope with his death for years in silence. I’ve always been the type of person to be there for people to lean on- but I tend to have a hard time reaching out when I need help myself. I find that most of the friends I have at my age don’t know how to relate so I try not to drag them down by talking about it. In May my mom was diagnosed with stage 4 colon cancer. It’s been a lot for me to handle and I’ve tried to reach out for support. I find that most people say “I’m always here if you need anything” but they’re just empty words. Months will go by without them checking in. I understand that life is hectic and I try not to take it personally, but sometimes it really gets to me. I’m so scared to lose my mom, she’s been the only one here for me since day one. When she says “I’m here if you need anything” she actually means it.</t>
        </is>
      </c>
      <c r="D4325" t="n">
        <v>1</v>
      </c>
      <c r="E4325" t="n">
        <v>0</v>
      </c>
      <c r="F4325">
        <f>HYPERLINK("https://www.reddit.com/r/cancer/comments/cunfip/just_venting/")</f>
        <v/>
      </c>
      <c r="G4325" t="inlineStr">
        <is>
          <t>2019-08-23 19:01:05</t>
        </is>
      </c>
      <c r="H4325" t="inlineStr"/>
    </row>
    <row r="4326">
      <c r="A4326" t="inlineStr">
        <is>
          <t>cuo28h</t>
        </is>
      </c>
      <c r="B4326" t="inlineStr">
        <is>
          <t>Diagnosed in June, Dead in August</t>
        </is>
      </c>
      <c r="C4326" t="inlineStr">
        <is>
          <t>My wonderful husband was diagnosed with cancer in June. In August we did 10 days of radiation. Then Monday, August 19, we took him to see the surgeon about having a port placed for chemo. We knew the cancer had spread to many areas, but the oncologist thought that chemo would help extend his life. He couldn't stand up long enough to get from the car to the wheelchair. We had to get staff from the surgeon's office to help us get him into the wheelchair and into the doctor's office. The surgeon looked at him and sent us to the ER.
The ER staff moved us from a regular room to the trauma room. They found fluid around his heart. A few minutes after they went in to drain it, people started running into and out of the room. Literally running, not just walking fast. They got him somewhat stabilized and told us that we needed to get him to a hospital in the city (about 90 min by car). It was a rotten way to get a helicopter ride, and I am sure he didn't even get to enjoy it. The hospital had to intubate him to give him pain meds. He had been moaning and whining when they tried to drain the fluid from his heart. We heard it from outside the rood. So having him sent by air ambulance to the city was NOT good news. If it had just been his heart, his cardiologist could have handled it at the hospital at home. But his kidneys were not working, and we don't have a kidney doc at out hospital.
By the time I got to the hospital, he was in the ICU. The nurses and doctors were AMAZING. So caring, and not just about him. I finally managed to get away to find a hotel at about midnight. The next few days were a whirl of hospital, hotel, my mom and kids coming up to visit and/or stay, and my inlaws and his sister coming to visit. It was awful but also good.
On Wednesday we decided to let him go on Thursday afternoon. He and I had our 28th anniversary on the 10th, and on the 22nd I had to say goodbye. It just is so awful and painful.
After they took the tubes out, our sons read him to sleep. He spent many years reading stories to them, complete with all the voices. So our boys got a copy of one of my husband's favorite book series for kids (Hank the Cowdog) and they read until the end. It was the sweetest thing I have ever seen them do. One of the most loving things they could have done.</t>
        </is>
      </c>
      <c r="D4326" t="n">
        <v>232</v>
      </c>
      <c r="E4326" t="n">
        <v>49</v>
      </c>
      <c r="F4326">
        <f>HYPERLINK("https://www.reddit.com/r/cancer/comments/cuo28h/diagnosed_in_june_dead_in_august/")</f>
        <v/>
      </c>
      <c r="G4326" t="inlineStr">
        <is>
          <t>2019-08-23 20:00:29</t>
        </is>
      </c>
      <c r="H4326" t="inlineStr"/>
    </row>
    <row r="4327">
      <c r="A4327" t="inlineStr">
        <is>
          <t>cuou8l</t>
        </is>
      </c>
      <c r="B4327" t="inlineStr">
        <is>
          <t>How many ER visits do you make in a year?</t>
        </is>
      </c>
      <c r="C4327" t="inlineStr">
        <is>
          <t>My wife is 20 months into her battle with ovarian cancer and we seem to end up in the ER once every other month.  Usually for vomiting and dehydration but not always.  Is this normal?  We are being seen by one of the best cancer hospitals in our state and top 20 in the country according to whatever random criteria they use for those lists...my point being we’re presumably getting decent care.</t>
        </is>
      </c>
      <c r="D4327" t="n">
        <v>3</v>
      </c>
      <c r="E4327" t="n">
        <v>7</v>
      </c>
      <c r="F4327">
        <f>HYPERLINK("https://www.reddit.com/r/cancer/comments/cuou8l/how_many_er_visits_do_you_make_in_a_year/")</f>
        <v/>
      </c>
      <c r="G4327" t="inlineStr">
        <is>
          <t>2019-08-23 21:18:04</t>
        </is>
      </c>
      <c r="H4327" t="inlineStr"/>
    </row>
    <row r="4328">
      <c r="A4328" t="inlineStr">
        <is>
          <t>cupdxf</t>
        </is>
      </c>
      <c r="B4328" t="inlineStr">
        <is>
          <t>My mother doesn't remember who my step-dad is anymore. Is this normal?</t>
        </is>
      </c>
      <c r="C4328" t="inlineStr">
        <is>
          <t>My mother has been confusing my step-father's name. She cannot walk or use her phone. I don't know why how this can be happening. We just talked on the phone last week.... 
Why...</t>
        </is>
      </c>
      <c r="D4328" t="n">
        <v>4</v>
      </c>
      <c r="E4328" t="n">
        <v>5</v>
      </c>
      <c r="F4328">
        <f>HYPERLINK("https://www.reddit.com/r/cancer/comments/cupdxf/my_mother_doesnt_remember_who_my_stepdad_is/")</f>
        <v/>
      </c>
      <c r="G4328" t="inlineStr">
        <is>
          <t>2019-08-23 22:18:15</t>
        </is>
      </c>
      <c r="H4328" t="inlineStr"/>
    </row>
    <row r="4329">
      <c r="A4329" t="inlineStr">
        <is>
          <t>cuplk7</t>
        </is>
      </c>
      <c r="B4329" t="inlineStr">
        <is>
          <t>I’ve never had anyone die before</t>
        </is>
      </c>
      <c r="C4329" t="inlineStr">
        <is>
          <t>It’s late and I think I need to vent.
My close friend got diagnosed with a stage three astrocytoma a year ago and things are going downhill. They found another tumor in his brain. It’s spread to his lungs and he’s constantly coughing up blood.
He’s such a hard worker, he’s worked on his PhD throughout his first round of treatment. But this second round you can just see that he’s losing hope. They found the second tumor and spot on his lungs after his first round of treatment. He’s considering stopping treatment because it just isn’t helping. It’s killing him
I’m young, only 21. I’ve never had a friend or family member pass. I’ve been so lucky but it looks like it’s going to happen pretty soon. I’m so scared. I feel like I’m in a weird state of denial, I know it’s happening but I feel just exhausted thinking about it or talking about it. I’m definitely bottling things up.
He called me tonight asking who I was and how we know each other. He sounded so scared
I’m sorry this is a mess. I’m just sad</t>
        </is>
      </c>
      <c r="D4329" t="n">
        <v>12</v>
      </c>
      <c r="E4329" t="n">
        <v>6</v>
      </c>
      <c r="F4329">
        <f>HYPERLINK("https://www.reddit.com/r/cancer/comments/cuplk7/ive_never_had_anyone_die_before/")</f>
        <v/>
      </c>
      <c r="G4329" t="inlineStr">
        <is>
          <t>2019-08-23 22:42:48</t>
        </is>
      </c>
      <c r="H4329" t="inlineStr"/>
    </row>
    <row r="4330">
      <c r="A4330" t="inlineStr">
        <is>
          <t>cuq2ji</t>
        </is>
      </c>
      <c r="B4330" t="inlineStr">
        <is>
          <t>How does one function.</t>
        </is>
      </c>
      <c r="C4330" t="inlineStr">
        <is>
          <t>It's been almost a year at the end of this month sence diagnosis. His percentage is low on how long he will live. Few days ago we got the news that it's terminal and his body is to week for chemo. Not to mention that the tumor is pressing on his t4 spine.  He's just 34 years old. We have not had our one year anniversary from our rushed wedding. 
I'm scared, I try not to show it. I spent 8 years building my life with him just so he can be taken away. 
I hate this feeling of helplessness, I'm also his caregiver. I've done things that most newlyweds never even think about. He's my ride or die. It feels like the house is on fire and I can't get him out.
This trauma won't leave us but when he past how does one function, to look for employment after your better half passes.</t>
        </is>
      </c>
      <c r="D4330" t="n">
        <v>14</v>
      </c>
      <c r="E4330" t="n">
        <v>16</v>
      </c>
      <c r="F4330">
        <f>HYPERLINK("https://www.reddit.com/r/cancer/comments/cuq2ji/how_does_one_function/")</f>
        <v/>
      </c>
      <c r="G4330" t="inlineStr">
        <is>
          <t>2019-08-23 23:41:34</t>
        </is>
      </c>
      <c r="H4330" t="inlineStr"/>
    </row>
    <row r="4331">
      <c r="A4331" t="inlineStr">
        <is>
          <t>cusc3u</t>
        </is>
      </c>
      <c r="B4331" t="inlineStr">
        <is>
          <t>I need opinions on double mastectomy</t>
        </is>
      </c>
      <c r="C4331" t="inlineStr">
        <is>
          <t>I have stage 3 breast cancer on one side. With abnormal "dense" tissue on the other side. I am now done with chemo and the tumor shrank a great deal. Surgery is next step, and my surgeon had advised that a double mastectomy would be too hard. That I would regret it due to total numbness in my entire bra area and uncomfortablness when trying to sleep. Has anyone else experienced these or other outcomes that would suggest she's right?</t>
        </is>
      </c>
      <c r="D4331" t="n">
        <v>2</v>
      </c>
      <c r="E4331" t="n">
        <v>8</v>
      </c>
      <c r="F4331">
        <f>HYPERLINK("https://www.reddit.com/r/cancer/comments/cusc3u/i_need_opinions_on_double_mastectomy/")</f>
        <v/>
      </c>
      <c r="G4331" t="inlineStr">
        <is>
          <t>2019-08-24 04:35:52</t>
        </is>
      </c>
      <c r="H4331" t="inlineStr"/>
    </row>
    <row r="4332">
      <c r="A4332" t="inlineStr">
        <is>
          <t>cusebn</t>
        </is>
      </c>
      <c r="B4332" t="inlineStr">
        <is>
          <t>Update stage 4 melanoma with mets left in both lungs</t>
        </is>
      </c>
      <c r="C4332" t="inlineStr">
        <is>
          <t>Posted before.
Brain scan came back clear. Good news since last year I had 9 mets in the brain treated with gamma knife surgery.
Lungs no further growth and mets less than 2mm.
Blood pressure is still high tho and my doctor gave me additional blood pressure medication.
I know the seriousness of my disease and the probability of living past 40 is slim. I’m just hoping I get through the rest of this year and the next and able to go to Japan and watch the Olympics and do some exploring.
Other than the cancer I’m living a normal life. Still work full time. I look very health and young for my age. 
God bless you all</t>
        </is>
      </c>
      <c r="D4332" t="n">
        <v>52</v>
      </c>
      <c r="E4332" t="n">
        <v>13</v>
      </c>
      <c r="F4332">
        <f>HYPERLINK("https://www.reddit.com/r/cancer/comments/cusebn/update_stage_4_melanoma_with_mets_left_in_both/")</f>
        <v/>
      </c>
      <c r="G4332" t="inlineStr">
        <is>
          <t>2019-08-24 04:42:56</t>
        </is>
      </c>
      <c r="H4332" t="inlineStr"/>
    </row>
    <row r="4333">
      <c r="A4333" t="inlineStr">
        <is>
          <t>cuso41</t>
        </is>
      </c>
      <c r="B4333" t="inlineStr">
        <is>
          <t>Chemotherapy treatment coming out with pimple rashes?</t>
        </is>
      </c>
      <c r="C4333" t="inlineStr">
        <is>
          <t>Hey guys I'm a 26 year old female recently started chemotherapy and I am getting a lot of pimple like rashes over my head, face, shoulders and chest.
I am wondering how to either slow the outburst or to stop it?
My Dr said it was normal but it's making me feel real self conscious in my managerial job around food and customers with all of these pimple like rashes coming out everywhere, I am also not one to ever wear any makeup so covering them with foundation isn't for me.
Thank you in advance for any suggestions, even if there is none xx</t>
        </is>
      </c>
      <c r="D4333" t="n">
        <v>2</v>
      </c>
      <c r="E4333" t="n">
        <v>11</v>
      </c>
      <c r="F4333">
        <f>HYPERLINK("https://www.reddit.com/r/cancer/comments/cuso41/chemotherapy_treatment_coming_out_with_pimple/")</f>
        <v/>
      </c>
      <c r="G4333" t="inlineStr">
        <is>
          <t>2019-08-24 05:13:39</t>
        </is>
      </c>
      <c r="H4333" t="inlineStr"/>
    </row>
    <row r="4334">
      <c r="A4334" t="inlineStr">
        <is>
          <t>cusovz</t>
        </is>
      </c>
      <c r="B4334" t="inlineStr">
        <is>
          <t>Walking in my father’s footsteps...</t>
        </is>
      </c>
      <c r="C4334" t="inlineStr">
        <is>
          <t>My mum and my dad loved a park close to where they live, when my son was barely old enough to walk, they took him here all the time, walked around, played on the park and fed the ducks. Those days are now fond memories, and as I sit in the exact spot on the exact bench my dad would when he was out of energy and laugh and smile at my mum playing with my son, there’s a weird feeling, maybe a sense of feeling closer to him abit, to a certain degree like the circle of life? Don’t get me wrong I’m holding back the tears behind my sunglasses, but it’s not an overwhelming feeling of sadness.. but maybe of content.. 
just thought I would post this, mainly to distract me, but also because day by day since my dad passed away, I learn just a smidge more that not every feeling needs to be of sadness, regret and turmoil.</t>
        </is>
      </c>
      <c r="D4334" t="n">
        <v>4</v>
      </c>
      <c r="E4334" t="n">
        <v>7</v>
      </c>
      <c r="F4334">
        <f>HYPERLINK("https://www.reddit.com/r/cancer/comments/cusovz/walking_in_my_fathers_footsteps/")</f>
        <v/>
      </c>
      <c r="G4334" t="inlineStr">
        <is>
          <t>2019-08-24 05:16:20</t>
        </is>
      </c>
      <c r="H4334" t="inlineStr"/>
    </row>
    <row r="4335">
      <c r="A4335" t="inlineStr">
        <is>
          <t>cuxzfo</t>
        </is>
      </c>
      <c r="B4335" t="inlineStr">
        <is>
          <t>Weakness in left arm after surgery</t>
        </is>
      </c>
      <c r="C4335" t="inlineStr">
        <is>
          <t>I had a brain tumor removed from my right frontal lobe, and my left arm has become really weak,I can barely lift it up.  they gave me dexamethasone, a steroid in the hospital and gave me a prescription for it when I got discharged to make it better, but I was wondering if anyone else who has gone through this  can tell me how long until I'm more or less back to normal, I'm a righty but it's hard to put pants or shoes on with only one arm</t>
        </is>
      </c>
      <c r="D4335" t="n">
        <v>2</v>
      </c>
      <c r="E4335" t="n">
        <v>10</v>
      </c>
      <c r="F4335">
        <f>HYPERLINK("https://www.reddit.com/r/cancer/comments/cuxzfo/weakness_in_left_arm_after_surgery/")</f>
        <v/>
      </c>
      <c r="G4335" t="inlineStr">
        <is>
          <t>2019-08-24 12:35:22</t>
        </is>
      </c>
      <c r="H4335" t="inlineStr"/>
    </row>
    <row r="4336">
      <c r="A4336" t="inlineStr">
        <is>
          <t>cuyy3g</t>
        </is>
      </c>
      <c r="B4336" t="inlineStr">
        <is>
          <t>Doggo lung cancer</t>
        </is>
      </c>
      <c r="C4336" t="inlineStr">
        <is>
          <t>My dog has lung cancer.  I can't afford treatment.  Please if anyone has ANY treatment ideas.  Anything that works,  heard of working, anecdotally working.  Or anything that extends his life.  And lastly anything that eases his passing. He coughs all the time.  The vets recommend cough suppressants and one prescribed hydrocodone (also a cough suppressant). I know this thread is for humans.  But anything help i can find is appreciated.</t>
        </is>
      </c>
      <c r="D4336" t="n">
        <v>0</v>
      </c>
      <c r="E4336" t="n">
        <v>4</v>
      </c>
      <c r="F4336">
        <f>HYPERLINK("https://www.reddit.com/r/cancer/comments/cuyy3g/doggo_lung_cancer/")</f>
        <v/>
      </c>
      <c r="G4336" t="inlineStr">
        <is>
          <t>2019-08-24 13:53:32</t>
        </is>
      </c>
      <c r="H4336" t="inlineStr"/>
    </row>
    <row r="4337">
      <c r="A4337" t="inlineStr">
        <is>
          <t>cuz1wc</t>
        </is>
      </c>
      <c r="B4337" t="inlineStr">
        <is>
          <t>It's the little things that hit hardest...</t>
        </is>
      </c>
      <c r="C4337" t="inlineStr">
        <is>
          <t>I have Primary Peritoneal cancer, PPC.  I was laying in bed last night petting my dog and I realised that she is the last puppy I will ever have.  I have thought about it all day today.  I feel crushed.</t>
        </is>
      </c>
      <c r="D4337" t="n">
        <v>38</v>
      </c>
      <c r="E4337" t="n">
        <v>37</v>
      </c>
      <c r="F4337">
        <f>HYPERLINK("https://www.reddit.com/r/cancer/comments/cuz1wc/its_the_little_things_that_hit_hardest/")</f>
        <v/>
      </c>
      <c r="G4337" t="inlineStr">
        <is>
          <t>2019-08-24 14:02:35</t>
        </is>
      </c>
      <c r="H4337" t="inlineStr"/>
    </row>
    <row r="4338">
      <c r="A4338" t="inlineStr">
        <is>
          <t>cv0gcu</t>
        </is>
      </c>
      <c r="B4338" t="inlineStr">
        <is>
          <t>Boredom</t>
        </is>
      </c>
      <c r="C4338" t="inlineStr">
        <is>
          <t>Osteosarcoma patient 18, does anyone have any recommendations on how they filled all the time sitting around in the hospital for chemotherapy? Granted I’ve recently had a knee replacement so I’m on crutches and in a straight leg brace so anything physical I can’t do but any recommendations help. I’ve gotten to the point where I can’t even watch YouTube or Netflix because I’ve watched most everything by all of my favorite creators and I can’t even play video games anymore due to the sheer repetition of times I’ve played all of my games.
Any shows, hobbies, games, or past times people picked up to get by in the hospital please let me know.</t>
        </is>
      </c>
      <c r="D4338" t="n">
        <v>1</v>
      </c>
      <c r="E4338" t="n">
        <v>9</v>
      </c>
      <c r="F4338">
        <f>HYPERLINK("https://www.reddit.com/r/cancer/comments/cv0gcu/boredom/")</f>
        <v/>
      </c>
      <c r="G4338" t="inlineStr">
        <is>
          <t>2019-08-24 16:00:32</t>
        </is>
      </c>
      <c r="H4338" t="inlineStr"/>
    </row>
    <row r="4339">
      <c r="A4339" t="inlineStr">
        <is>
          <t>cv16c1</t>
        </is>
      </c>
      <c r="B4339" t="inlineStr">
        <is>
          <t>How can I support a friend who is going through chemo?</t>
        </is>
      </c>
      <c r="C4339" t="inlineStr">
        <is>
          <t>I (16 M) have a friend (16 M) who is currently going through chemo. I don't know all the details as he is out of school and we can mostly talk through text or call but before it was confirmed as cancer I know he had the tumor in/near his stomach. 
Anyways, he won't be able to go to school for a while and he can't hang out doing a lot of things. I try to respond quickly to him and try to hang out when he can, doing the things he is capable of doing which is mostly limited to things like watching a movie or something. 
I also sometimes paint things for people, usually birthday gifts or something. Any ideas of something appropriate that I could draw or paint as a gift? It might be better to just ask him, or maybe not relate it to his health at all and just keep it a cool thing like something from character he likes in some video game or movie. 
Not really sure how to respond to this and I don't know how his other friends are dealing with it.</t>
        </is>
      </c>
      <c r="D4339" t="n">
        <v>8</v>
      </c>
      <c r="E4339" t="n">
        <v>7</v>
      </c>
      <c r="F4339">
        <f>HYPERLINK("https://www.reddit.com/r/cancer/comments/cv16c1/how_can_i_support_a_friend_who_is_going_through/")</f>
        <v/>
      </c>
      <c r="G4339" t="inlineStr">
        <is>
          <t>2019-08-24 17:05:33</t>
        </is>
      </c>
      <c r="H4339" t="inlineStr"/>
    </row>
    <row r="4340">
      <c r="A4340" t="inlineStr">
        <is>
          <t>cv23kh</t>
        </is>
      </c>
      <c r="B4340" t="inlineStr">
        <is>
          <t>Cancer, again, and again, AND again(dark humor)</t>
        </is>
      </c>
      <c r="C4340" t="inlineStr">
        <is>
          <t>So it’s a huge possibility I might have cancer for the fourth time. I’ve beaten the first 3, but after this 4th one that is affecting my right femur, will I suddenly be able to snap my fingers like thanos and make reality my own?</t>
        </is>
      </c>
      <c r="D4340" t="n">
        <v>18</v>
      </c>
      <c r="E4340" t="n">
        <v>19</v>
      </c>
      <c r="F4340">
        <f>HYPERLINK("https://www.reddit.com/r/cancer/comments/cv23kh/cancer_again_and_again_and_againdark_humor/")</f>
        <v/>
      </c>
      <c r="G4340" t="inlineStr">
        <is>
          <t>2019-08-24 18:31:44</t>
        </is>
      </c>
      <c r="H4340" t="inlineStr"/>
    </row>
    <row r="4341">
      <c r="A4341" t="inlineStr">
        <is>
          <t>cv2las</t>
        </is>
      </c>
      <c r="B4341" t="inlineStr">
        <is>
          <t>I need to talk to someone</t>
        </is>
      </c>
      <c r="C4341" t="inlineStr">
        <is>
          <t>What’s up! I feel like I need to talk to someone. I’ve talked with friends and family members and it doesn’t really work. I’ve talked with lots of psychologists and therapists aswell. I feel like I’m slowly but surely losing myself and I don’t really know where to turn. I will describe my situation, I want to talk to someone that’s been in a situation that’s very similar to mine. 
I started experiencing random pains in my foot when I was around 10 years old. At the time I was very into sports, I loved football and running. I immediately went to see a doctor but the pain was explained as growing pains etc. When I was 12 the pain had grown constant. One thing that messed me up was the fact that I’d gotten good at sports. I was really good at track and I was winning multiple competitions. The idea that I’d somehow be in pain seemed like a lie to my teachers and friends/teammates. I got called out for being a liar several times every week, which started making me avoid social situations.
At 14 I was bullied by the entirety of the football team. At this point I’d seen atleast 20 different doctors; they still couldn’t figure out what was wront. I quit football because I felt like my foot was killing me, I could barely walk. I was still probably the fastest kid, so the idea that I’d be in pain still seemed stupid. My gym teacher was always on my ass, he said I was throwing away my future and shit like that. I’ve always been very competitive, now that I couldn’t do sports I had started playing video games to compete. All of my friends thought I quit sports to play video games, so the bullying was pretty crazy. 
A couple of weeks before my 15th birthday they found a vascular tumor (I’m swedish and english isn’t my first language, I had to translate ”vascular tumor”, it’s basically a lump of blood) in my foot. They removed it within a week. Upon closer inspection it turned out to be Synovial Sarcoma, a cancer that affects ~1 in a million. They estimated it had been growing for 5 years. 
Now I had an explanation for the pain I’d been experiencing for the past 5 years which I was thankful for. Unfortunately, the explanation wasn’t very comforting. 
I did a surgery where they temporarily stopped the blood flow between my leg and the rest of my body. They put device similar to a pacemaker in my leg and pumped it with extremely toxic chemo. My leg got to 45C (113F). I did 7 more surgeries after that. I did chemo for 2 years. I did 6 weeks of radiation therapy. I can’t remember how many times I almost died.!
I was 17 when the treatment was concluded. At 17, my feet differed by 3 shoes sizes. My right leg was 4 inches shorter than my left. My right foot was as stiff as a brick, I couldn’t move my toes. I was breaking toes just from walking; I was shattering bones in my foot from the same thing. I was in constant and agonizing pain. The difficulties I had during treatment makes all of these things I mentioned seem like a walk in the park. I’ve suppressed most of the memories from the treatment, I only remember it in the nightmares. 
I started drinking and doing drugs to calm the pain. I don’t think I went a single week without alcohol between 17-22. I got a few girlfriends between this time too. All of it is a blur though.
3 new tumors emerged when I was 22, all of them were in my foot. My leg was amputated a week later. Today is 1 and a half years after that. 
I’ve had extreme phantom limb pains. But it’s NOTHING compared with what I’ve seen before. I started school last week. I’ve previously thought that I simply can’t focus, that I’m stupid. I’ve realized this week how easy school is. I sat for 4 and a half hours doing physics, completely focused and I understood everything that was thrown at me. I’m only just now realizing how severely the pain affected me. This is the first time in 10+ years that I don’t feel pain every second of the day. 
———————————————
I’m trying my best, and I believe that I’m the right track. A lot of the time I feel like I’m lost. I feel like I’ve lost so many things, and I feel like nothing is worth it. Like I mentioned, I’ve talked about all of these feelings with friends, family and professionals. But I can’t shake the feelings. I’m looking for a person that has a similar story. I want my life to be better, I want it to be perfect. But the issues that I’m dealing with is something the people in my life can’t properly understand. I need someone to understand, and I need someone to talk everything through with. If you know someone, or if you are that someone, then I’m extremely interested in hearing your point of view. Thanks in advance.</t>
        </is>
      </c>
      <c r="D4341" t="n">
        <v>54</v>
      </c>
      <c r="E4341" t="n">
        <v>14</v>
      </c>
      <c r="F4341">
        <f>HYPERLINK("https://www.reddit.com/r/cancer/comments/cv2las/i_need_to_talk_to_someone/")</f>
        <v/>
      </c>
      <c r="G4341" t="inlineStr">
        <is>
          <t>2019-08-24 19:07:22</t>
        </is>
      </c>
      <c r="H4341" t="inlineStr"/>
    </row>
    <row r="4342">
      <c r="A4342" t="inlineStr">
        <is>
          <t>cv3pfz</t>
        </is>
      </c>
      <c r="B4342" t="inlineStr">
        <is>
          <t>First round done</t>
        </is>
      </c>
      <c r="C4342" t="inlineStr">
        <is>
          <t>Well for a start the nurses are wonderful and I feel much better in their care. Now the start of the port and pump for two days. I’m curious to it. A little heavy in the chest but good</t>
        </is>
      </c>
      <c r="D4342" t="n">
        <v>11</v>
      </c>
      <c r="E4342" t="n">
        <v>9</v>
      </c>
      <c r="F4342">
        <f>HYPERLINK("https://www.reddit.com/r/cancer/comments/cv3pfz/first_round_done/")</f>
        <v/>
      </c>
      <c r="G4342" t="inlineStr">
        <is>
          <t>2019-08-24 20:46:03</t>
        </is>
      </c>
      <c r="H4342" t="inlineStr"/>
    </row>
    <row r="4343">
      <c r="A4343" t="inlineStr">
        <is>
          <t>cv51b9</t>
        </is>
      </c>
      <c r="B4343" t="inlineStr">
        <is>
          <t>The Surgery Center of Oklahoma</t>
        </is>
      </c>
      <c r="C4343" t="inlineStr">
        <is>
          <t>Hey guys!
I know healthcare in itself is a scary thing to think about. I just want to know from the experience of others. This place in Oklahoma ( The Surgery Center of Oklahoma) has helped a Canadian acquaintance of mine. He was able to get his surgery in Oklahoma for cash.
If you guys would visit your site and compare the procedures to the price of your insurance company bills I would love to see if there is any difference. The site actually shows the cost of each procedure.
Thanks for your input and help. Hopefully this place can help others.</t>
        </is>
      </c>
      <c r="D4343" t="n">
        <v>4</v>
      </c>
      <c r="E4343" t="n">
        <v>0</v>
      </c>
      <c r="F4343">
        <f>HYPERLINK("https://www.reddit.com/r/cancer/comments/cv51b9/the_surgery_center_of_oklahoma/")</f>
        <v/>
      </c>
      <c r="G4343" t="inlineStr">
        <is>
          <t>2019-08-24 23:15:55</t>
        </is>
      </c>
      <c r="H4343" t="inlineStr"/>
    </row>
    <row r="4344">
      <c r="A4344" t="inlineStr">
        <is>
          <t>cv5ugr</t>
        </is>
      </c>
      <c r="B4344" t="inlineStr">
        <is>
          <t>cancer and college</t>
        </is>
      </c>
      <c r="C4344" t="inlineStr">
        <is>
          <t>i was diagnosed in april during finals and was forced to medically withdraw while i was in the ICU for 3 weeks. 
luckily, i am feeling well enough between treatments so i have decided not to take this semester off and to try to continue my courses. i was wondering if anyone is in the same boat or has taken classes while getting treatment. any advice or tips would be helpful, i’m pretty anxious and worried about the stress since my semester starts on monday. thanks</t>
        </is>
      </c>
      <c r="D4344" t="n">
        <v>2</v>
      </c>
      <c r="E4344" t="n">
        <v>1</v>
      </c>
      <c r="F4344">
        <f>HYPERLINK("https://www.reddit.com/r/cancer/comments/cv5ugr/cancer_and_college/")</f>
        <v/>
      </c>
      <c r="G4344" t="inlineStr">
        <is>
          <t>2019-08-25 01:01:15</t>
        </is>
      </c>
      <c r="H4344" t="inlineStr"/>
    </row>
    <row r="4345">
      <c r="A4345" t="inlineStr">
        <is>
          <t>cv6vei</t>
        </is>
      </c>
      <c r="B4345" t="inlineStr">
        <is>
          <t>Am I pussy for wanting to go to the ER tonight/morning due to pain I have from surgery 4.5 weeks ago?</t>
        </is>
      </c>
      <c r="C4345" t="inlineStr">
        <is>
          <t>I have this tremendous fear I'm going to be in no uncertain terms going to be called a pussy. That and two other times post surgery I went they did NOTHING. That I'm almost 5 weeks out from colon cancer surgery and I should be able to deal with this by now.
I am a sober recovering alcoholic, but tonight I drank to get rid of the pain. It's almost 0530 in the morning here in Minnesota, but I'm deathly afraid to wake the wife up, tell her I've been drinking, and that I need pain relief I cannot get right now.
I'm so fucking scared. Any thoughts folks?</t>
        </is>
      </c>
      <c r="D4345" t="n">
        <v>3</v>
      </c>
      <c r="E4345" t="n">
        <v>11</v>
      </c>
      <c r="F4345">
        <f>HYPERLINK("https://www.reddit.com/r/cancer/comments/cv6vei/am_i_pussy_for_wanting_to_go_to_the_er/")</f>
        <v/>
      </c>
      <c r="G4345" t="inlineStr">
        <is>
          <t>2019-08-25 03:20:53</t>
        </is>
      </c>
      <c r="H4345" t="inlineStr"/>
    </row>
    <row r="4346">
      <c r="A4346" t="inlineStr">
        <is>
          <t>cv8ujt</t>
        </is>
      </c>
      <c r="B4346" t="inlineStr">
        <is>
          <t>Dad passed away in Hospice Friday night 8/23</t>
        </is>
      </c>
      <c r="C4346" t="inlineStr">
        <is>
          <t>Hell, everyone, I'm writing this post mostly to vent and get some advice on how to come to terms with this. 
I am 21 years old and just started my senior year at North Carolina State University. My dad (58) was diagnosed with esophageal cancer almost 2 years ago in December of 2017. Our family had a great plan to do radiation and chemo at Duke in January of 2018 and then have an esophagectomy to remove the main tumor and basically cure him. One of the worst days of my life was that day of surgery, May 9th, 2018. The Dr's found mets that had spread to the peritoneum area and it was confirmed that it was stage 4. The worst thing was that they didn't show up on any scans so it was very shocking to have a false sense of hope about curing the cancer from the beginning. They stopped the surgery and woke him up. Telling my dad that the surgery couldn't be completed because they found it spread was one of the hardest things I'd ever done. He was still loopy from the medicine and it was terrible breaking the news to him like this. After that, we resumed more chemo and immunotherapy treatment (Keytruda I think). And we got referred to MD Anderson in Houston, TX. He got put on a clinical trial there and he had a couple of HIPEC procedures there. The rest of 2018 were good results, nothing growing on scans or anything so it was great. Then a surgeon agreed to do a full gastrectomy in January of 2019. The mets were still in his peritoneum but MD Anderson thought this would be the best route to extend his life and give him the best option. The surgery was a success but we knew it would change the way he could eat the rest of his life. A couple of months went by and we started treatment back up again. He started having these cramps and couldn't eat the portions that he used to. Then in July, we went to Houston for another scan and it seemed fine. About 2 weeks after that, he had some constipation so we got another scan. This was where reality came in. We found that he had a bowel obstruction of his small intestine and it was inoperable due to the stage of the cancer. It was very grim. We then knew it was terminal. I had to finish up an internship in Atlanta which was really hard because I knew my dad wanted me to finish it strong and not quit but I had anxiety about him dying and me wanting to spend time with him. We had palliative care come and give him fluids 3 times a week because he eventually could barely eat anything as he just threw it up and caused immense pain. The good thing is that I cut my internship a week early and went home and had great family time. Conversations that I will remember for the rest of my life. My dad was so influential and touched so many lives it's so hard to come to terms with this. His dad passed away from cancer when he was 9 so I feel like I learned so many lessons from him and how he overcame that. It's over now and we did everything we possibly could to prolong his life and fight that disease. my mom has recorded some of his motivational "lectures" the past year or so. We just listened to one and he said that he'd almost rather die on the operating table than to have us see him suffer in hospice. It breaks my heart hearing that now because he worked so hard to create only good memories for his children. #FuckCancer</t>
        </is>
      </c>
      <c r="D4346" t="n">
        <v>8</v>
      </c>
      <c r="E4346" t="n">
        <v>6</v>
      </c>
      <c r="F4346">
        <f>HYPERLINK("https://www.reddit.com/r/cancer/comments/cv8ujt/dad_passed_away_in_hospice_friday_night_823/")</f>
        <v/>
      </c>
      <c r="G4346" t="inlineStr">
        <is>
          <t>2019-08-25 07:01:39</t>
        </is>
      </c>
      <c r="H4346" t="inlineStr"/>
    </row>
    <row r="4347">
      <c r="A4347" t="inlineStr">
        <is>
          <t>cv90i8</t>
        </is>
      </c>
      <c r="B4347" t="inlineStr">
        <is>
          <t>My wife passed away. I want to thank you all (once again).</t>
        </is>
      </c>
      <c r="C4347" t="inlineStr">
        <is>
          <t>I don't know why I have been avoiding writing this post. I used to read the sub everyday and write frequently. Now I just can't seem to have any words left in me.
My wife (/u/eternalthesiswriter) passed away on August 15th. She didn't use reddit much, but when she was diagnosed I told her about this place and she came here for advice. Everyone was very kind and gave us great tips that helped us through the beginning of her journey with cancer. Later on, I became an active member of the sub. Being here and sharing the experience with all of you helped me, helped us, so much. You showed me the power of community. I asked for help; I vented and freely expressed my frustrations and fears; I shared the good, the bad, and the ugly. I was never judged, my pain was never undermined, I received the support I was looking for and so desperately needed. I am so thankful to all of you.
My wife's last months were very difficult. She was in and out of the hospital since February until she died, she developed chronic pain and then opioid dependency, she was very depressed and exhausted. I watched her slip away day by day and I don't think I'll ever completely heal from that. We suffered so much through it. However, her last few days were beautiful. She had the chance to decide to stop all treatments that were not intended to give her comfort. She was able to decide when and where to die. I don't how I did it, but I hosted a horde of people at the hospital, sat with them in the waiting room and explained what was happening, gave them gentle instructions so she would still be comfortable around people while being so vulnerable, comforted them outside her room after they said goodbye to her, kept the spirits up by reminding everyone she lived a full life, was truly and fully loved, and was dying surrounded by me, her friends, and her family. I did it for her. I did it because I knew she needed to see all the people she had loved throughout her life. But it was hard and we didn't have much time together. I don't regret it, but still it hurts. She was at peace and happy at the end. She left with a smile on her face and that was a great gift. I knew then and there I had done a good job despite the circumstances. 
Yes, she died, but we had such a great time together and she was so loved. Not only when she was healthy, but also when she was living with cancer and then dying of cancer. I gave up my whole life to be her partner, her caretaker, and her unconditional 24/7 support through the disease, and I'm so, so, so glad I did it. I quit my job, I spent my savings, I lost many of my friends. There has been nothing else and there will be nothing else more important than those nineteenth months we spent together. I appreciate and cherish every second of the journey, even the horrible, traumatizing, painful parts of it because I had the honor to be with her and love through it.
She's gone and I'm slowly trying to rebuild my life. Doing this without her hurts all the time. I miss her so much. I have a lot of support: my friends and her friends have showered me with compassion, patience, understanding, practical help, and possibly too much food. Yet, I don't know how I'll make it without her, but I'm trying. I promised her I would be ok, so I'm trying. I hope she knows I'm trying. I hope wherever she is she has forgiven me for my mistakes and shortcomings. I hope wherever she is she knows I love her, I will always love her, I have always loved her. 
Thank you everybody for being there for us. I will be forever grateful to all of you. I admire you and respect you all so much. We are stronger than anyone else can imagine. Thank you for making the decision to live and love everyday in face of this disease. In the end, whatever happens, whether you or your loved one gets cured or dies, that's what really matters: the love you give yourself and the love you give others.</t>
        </is>
      </c>
      <c r="D4347" t="n">
        <v>214</v>
      </c>
      <c r="E4347" t="n">
        <v>29</v>
      </c>
      <c r="F4347">
        <f>HYPERLINK("https://www.reddit.com/r/cancer/comments/cv90i8/my_wife_passed_away_i_want_to_thank_you_all_once/")</f>
        <v/>
      </c>
      <c r="G4347" t="inlineStr">
        <is>
          <t>2019-08-25 07:16:16</t>
        </is>
      </c>
      <c r="H4347" t="inlineStr"/>
    </row>
    <row r="4348">
      <c r="A4348" t="inlineStr">
        <is>
          <t>cv9mr6</t>
        </is>
      </c>
      <c r="B4348" t="inlineStr">
        <is>
          <t>My dad has had blood in urine. I am worried it may be cancer. Any thoughts?</t>
        </is>
      </c>
      <c r="C4348" t="inlineStr">
        <is>
          <t>Hi guys. My dad discovered a discolouration in his urine about 5 days ago. He went to the doctor who checked for an infection. He said he believed it was an infection. He gave my dad antibiotics. However, his urine went back to normal colour for a few days, but then it has returned to blood in urine again. 
He gets the feeling he wants to pee, but it doesn't come out as normal, but in smaller amounts. He had similar symptoms a couple years ago and had tests, then was told his prostate was pressing on his bladder which was the cause. They did tell him it could again return in the future, so now I'm worried for him. He is 73 and at this age he is susceptible to cancer. 
I do worry it may be cancer. My mother died from cancer when I was 13, so he's my only parent now. He has to return to the doctor next Wednesday for a blood and urine sample. It is the waiting that is horrible. Just needed a little reassurance really and somewhere to vent. Thanks.</t>
        </is>
      </c>
      <c r="D4348" t="n">
        <v>1</v>
      </c>
      <c r="E4348" t="n">
        <v>1</v>
      </c>
      <c r="F4348">
        <f>HYPERLINK("https://www.reddit.com/r/cancer/comments/cv9mr6/my_dad_has_had_blood_in_urine_i_am_worried_it_may/")</f>
        <v/>
      </c>
      <c r="G4348" t="inlineStr">
        <is>
          <t>2019-08-25 08:09:01</t>
        </is>
      </c>
      <c r="H4348" t="inlineStr"/>
    </row>
    <row r="4349">
      <c r="A4349" t="inlineStr">
        <is>
          <t>cvavah</t>
        </is>
      </c>
      <c r="B4349" t="inlineStr">
        <is>
          <t>Mother-in-law</t>
        </is>
      </c>
      <c r="C4349" t="inlineStr">
        <is>
          <t>My mother-in-law has had king cancer for four years.  She had been on a clinical trial using an oral medication but I guess earlier this year it stopped working and they made plans for more aggressive treatment.  She had radiation and one chemo treatment but then started experiencing a lot of pain.  Anyway, long story short, she was discharged from the hospital this week to go home on hospice care.  I just got back from taking my kids over to say goodbye.  She’s lucid, just very tired.  My daughter is 3 1/2 and loves her grandma and my son is 9 months so he’s just a baby still.  It was very sad although the grandkids are not of an age to comprehend (the oldest one is four) but they see lots of people crying, especially their grandpa today.  
I just feel bad for multiple reasons.  I wish it could be more ceremonious but it’s so blunt.  Kids are rarely appropriately behaved for these occasions and while my daughter was very very good, she was also mostly quiet and kind of clammed up.  Meanwhile, my son is teething and just shined the entire time.  I’m glad she got to see them and hug them, but it hurts to see that the last time my mother-in-law is going to see the kids was basically nothing special (especially since my nephew is very poorly behaved and was basically being a brat the whole time).  
And then I feel bad because it was very likely my goodbye too but there was no privacy for it because obviously my father-in-law is sitting there at all times and people are coming in and out.  I gave her a hug and said goodbye because I had to take the kids home (my wife is staying over there for the day).  It just feels like it wasn’t enough, but what can you even say?  She asked if I was coming back and I said I had to watch the kids.  It just really sucks and I feel awful for everyone involved (and just plain old sad myself).  
Any thoughts or words of wisdom on this subject?</t>
        </is>
      </c>
      <c r="D4349" t="n">
        <v>10</v>
      </c>
      <c r="E4349" t="n">
        <v>1</v>
      </c>
      <c r="F4349">
        <f>HYPERLINK("https://www.reddit.com/r/cancer/comments/cvavah/motherinlaw/")</f>
        <v/>
      </c>
      <c r="G4349" t="inlineStr">
        <is>
          <t>2019-08-25 09:48:07</t>
        </is>
      </c>
      <c r="H4349" t="inlineStr"/>
    </row>
    <row r="4350">
      <c r="A4350" t="inlineStr">
        <is>
          <t>cvaz37</t>
        </is>
      </c>
      <c r="B4350" t="inlineStr">
        <is>
          <t>Neoplasm of uncertain behavior, site unspecified - What does this mean??</t>
        </is>
      </c>
      <c r="C4350" t="inlineStr">
        <is>
          <t>I guess neoplasm means tumor and uncertain behavior means it is benign but could become malignant over time? But what does “site unspecified” mean? How can they not know where it is??</t>
        </is>
      </c>
      <c r="D4350" t="n">
        <v>2</v>
      </c>
      <c r="E4350" t="n">
        <v>2</v>
      </c>
      <c r="F4350">
        <f>HYPERLINK("https://www.reddit.com/r/cancer/comments/cvaz37/neoplasm_of_uncertain_behavior_site_unspecified/")</f>
        <v/>
      </c>
      <c r="G4350" t="inlineStr">
        <is>
          <t>2019-08-25 09:56:17</t>
        </is>
      </c>
      <c r="H4350" t="inlineStr"/>
    </row>
    <row r="4351">
      <c r="A4351" t="inlineStr">
        <is>
          <t>cvcc9h</t>
        </is>
      </c>
      <c r="B4351" t="inlineStr">
        <is>
          <t>I need advice.</t>
        </is>
      </c>
      <c r="C4351" t="inlineStr">
        <is>
          <t>Recently my mom’s boyfriend’s daughter got diagnosed with cancer.
I’m not super close to her because I never visit her often (she lives hours away in her own apartment) and when we did, she always seemed happy. Always. She just got her under grad degree in physical therapy and was expecting to go to graduate school this year but that didn’t make it.
Her cancer isn’t acting like a normal cancer, according to the doctor’s we’ve seen. Her dad has a ton of close connections with some of the top doctors in my state and it’s been hard for him and her, traveling all around for examinations... it’s taking a toll on her dad and my mom; she cares a lot about her too.
I feel so horrible. She just started chemo a week ago and I really want to cheer her up, but I don’t know how. Is there something I could do to help her out? Possibly any jewelry she could wear during chemo?</t>
        </is>
      </c>
      <c r="D4351" t="n">
        <v>6</v>
      </c>
      <c r="E4351" t="n">
        <v>4</v>
      </c>
      <c r="F4351">
        <f>HYPERLINK("https://www.reddit.com/r/cancer/comments/cvcc9h/i_need_advice/")</f>
        <v/>
      </c>
      <c r="G4351" t="inlineStr">
        <is>
          <t>2019-08-25 11:39:39</t>
        </is>
      </c>
      <c r="H4351" t="inlineStr"/>
    </row>
    <row r="4352">
      <c r="A4352" t="inlineStr">
        <is>
          <t>cvd5ci</t>
        </is>
      </c>
      <c r="B4352" t="inlineStr">
        <is>
          <t>This subreddit is a godsend.</t>
        </is>
      </c>
      <c r="C4352" t="inlineStr">
        <is>
          <t>I’ve been reading all of the posts and stories. Some are sad some are happy but all are human emotions. I had to say bye to my father last night after his short 5 month battle with a rare Sarcoma. I watched him take his last breath before he went. It tore my heart in two. He’s only 50. I cried and cried. I didn’t eat anything yesterday and today I tried to eat but threw it up. I have family flying from all different parts of the country and from other countries. What makes me sad is I’m getting to see families in increments and they cry so hard but I’ve honestly exhausted my tears. I can’t even cry if I wanted to and i feel really bad when I’m holding them and not showing them emotion. Am i ok to feel this way?</t>
        </is>
      </c>
      <c r="D4352" t="n">
        <v>8</v>
      </c>
      <c r="E4352" t="n">
        <v>4</v>
      </c>
      <c r="F4352">
        <f>HYPERLINK("https://www.reddit.com/r/cancer/comments/cvd5ci/this_subreddit_is_a_godsend/")</f>
        <v/>
      </c>
      <c r="G4352" t="inlineStr">
        <is>
          <t>2019-08-25 12:40:50</t>
        </is>
      </c>
      <c r="H4352" t="inlineStr"/>
    </row>
    <row r="4353">
      <c r="A4353" t="inlineStr">
        <is>
          <t>cvdnny</t>
        </is>
      </c>
      <c r="B4353" t="inlineStr">
        <is>
          <t>This is heartbreaking.</t>
        </is>
      </c>
      <c r="C4353" t="inlineStr">
        <is>
          <t>My Grandmother (not blood related but she is my brothers paternal Grandmother) was diagnosed with lung cancer last week, on the Thursday we found out it’s terminal and she only has 2-4months to live. She’s now in a hospice having 24hour care as she can’t do anything herself. This is the second time I’ve had to watch a grandparent pass from this horrible disease and I really struggled last time. This time I’m older, I’m a adult so I need to help more than my 12 year old self did. But I’m not sure how? Other than to be there, which I am. Thank you for reading this I just needed to write it down and get it off my chest.  I’ve read lots of posts today and I can truly say you’re all amazing, strong people.</t>
        </is>
      </c>
      <c r="D4353" t="n">
        <v>3</v>
      </c>
      <c r="E4353" t="n">
        <v>4</v>
      </c>
      <c r="F4353">
        <f>HYPERLINK("https://www.reddit.com/r/cancer/comments/cvdnny/this_is_heartbreaking/")</f>
        <v/>
      </c>
      <c r="G4353" t="inlineStr">
        <is>
          <t>2019-08-25 13:20:24</t>
        </is>
      </c>
      <c r="H4353" t="inlineStr"/>
    </row>
    <row r="4354">
      <c r="A4354" t="inlineStr">
        <is>
          <t>cvdp71</t>
        </is>
      </c>
      <c r="B4354" t="inlineStr">
        <is>
          <t>I don’t feel like I have the allowance to be happy anymore</t>
        </is>
      </c>
      <c r="C4354" t="inlineStr">
        <is>
          <t>Hi,
I’m not sure whether this is the right place to post this or not, but I just feel like my friends can’t understand my situation because they’ve never been in this situation (of course they give me comfort, but I’d like to hear an answer from someone who has been/is in a similar situation).
I’m 18 years old and my mom is fighting cancer since 9 years - she’s losing the battle now. It started with breast cancer and now it has basically spread everywhere lungs, bones, liver, brain, spleen,... the doctors told her to contact a hospice.
However, she currently still lives at home with me, my brother and my dad. Our family situation has been complicated since years because my dad and my mom are kind of divorced and don’t talk to each other anymore but still live together and sleep in the same bed and my brother is angry at my mother since she said 5 years ago that she’ll die in 3 years but she didn’t, so they are not talking anymore either and he has problems with anger issues.
I don’t know but hearing my mom retching and crying all day long just makes me feel down all the time. For instance when I’m in my room chatting with my crush or doing some stuff that normal teenagers do and then hearing her I just feel bad - for what? Idk having a life? I barely leave the house I simply spent most of my time in my bed or in front of the tv in denial. I don’t know what to do. My mom is always complaining and screaming at me for simple things, that’s not making it easier either. (Of course I know that the situation is complicated for her too, but idk maybe you know what I mean)
I don’t even know what my question is but it would be nice to hear from other people in my age group how they deal/dealt with a similar situation</t>
        </is>
      </c>
      <c r="D4354" t="n">
        <v>10</v>
      </c>
      <c r="E4354" t="n">
        <v>7</v>
      </c>
      <c r="F4354">
        <f>HYPERLINK("https://www.reddit.com/r/cancer/comments/cvdp71/i_dont_feel_like_i_have_the_allowance_to_be_happy/")</f>
        <v/>
      </c>
      <c r="G4354" t="inlineStr">
        <is>
          <t>2019-08-25 13:23:53</t>
        </is>
      </c>
      <c r="H4354" t="inlineStr"/>
    </row>
    <row r="4355">
      <c r="A4355" t="inlineStr">
        <is>
          <t>cvejpu</t>
        </is>
      </c>
      <c r="B4355" t="inlineStr">
        <is>
          <t>How do I get my mom who has stage 4 lung cancer to eat?</t>
        </is>
      </c>
      <c r="C4355" t="inlineStr">
        <is>
          <t>She has stage 4 non small cell lung cancer that spread to her brain. She has had her gamma knife radiation for her brain and we were about to start treatment for the lung but the oncologist said she is too weak from not eating and they put her into the hospital. Shes been in there for a week now and wont eat anything. They said if we cant get her strength back then we have to bring in hospice. How do I get her to eat? It's not been 2 months since the diagnosis and she did great after brain surgery but lately it's like she has given up and its breaking my heart as I'm only 20 years old</t>
        </is>
      </c>
      <c r="D4355" t="n">
        <v>6</v>
      </c>
      <c r="E4355" t="n">
        <v>8</v>
      </c>
      <c r="F4355">
        <f>HYPERLINK("https://www.reddit.com/r/cancer/comments/cvejpu/how_do_i_get_my_mom_who_has_stage_4_lung_cancer/")</f>
        <v/>
      </c>
      <c r="G4355" t="inlineStr">
        <is>
          <t>2019-08-25 14:30:32</t>
        </is>
      </c>
      <c r="H4355" t="inlineStr"/>
    </row>
    <row r="4356">
      <c r="A4356" t="inlineStr">
        <is>
          <t>cveln7</t>
        </is>
      </c>
      <c r="B4356" t="inlineStr">
        <is>
          <t>It's hard to ask for help...</t>
        </is>
      </c>
      <c r="C4356" t="inlineStr">
        <is>
          <t>But I'm doing it. It's not easy. 
  I'm very much an introvert and have set up my life as such. Luckily, my SIL can work remote with just her laptop and phone. She'll be essentially setting up residence in my back room.
My niece and her wife live locally and will be around to help as much as the kids will allow.
My brother will be up and back on weekends as much as possible (my nephew is grown, but autistic).
I haven't even started chemo yet, but I'm just so tired already.
For those who have had to ask for help, I commend you for taking that step.
What are my responsibilities to my caregiver as a patient? What lessons did you learn from asking for help?</t>
        </is>
      </c>
      <c r="D4356" t="n">
        <v>15</v>
      </c>
      <c r="E4356" t="n">
        <v>5</v>
      </c>
      <c r="F4356">
        <f>HYPERLINK("https://www.reddit.com/r/cancer/comments/cveln7/its_hard_to_ask_for_help/")</f>
        <v/>
      </c>
      <c r="G4356" t="inlineStr">
        <is>
          <t>2019-08-25 14:34:37</t>
        </is>
      </c>
      <c r="H4356" t="inlineStr"/>
    </row>
    <row r="4357">
      <c r="A4357" t="inlineStr">
        <is>
          <t>cveqgm</t>
        </is>
      </c>
      <c r="B4357" t="inlineStr">
        <is>
          <t>Is getting a preventive double mastectomy in your 20s too soon?</t>
        </is>
      </c>
      <c r="C4357" t="inlineStr">
        <is>
          <t>Hi all, I have not been diagnosed with cancer but my family tree is completely filled with reoccurring breast cancer. My grandmother, her sisters, great grandmothers, etc. My mom is turning 41 soon and thinking of getting a preventative mastectomy as well.  I’m 21 years old and all of my life I’ve seen women I love struggle through this and I do not want to go down the same path. I’m going to discuss this further with a doctor when I make an appointment, but has anyone heard of people getting this procedure done in their 20s without a diagnosis? I can’t see any negatives to doing it, I’d want to get a double mastectomy and get reconstruction as well. I know it’ll be pricey so I’m hoping I can get this done before I’m 30. 
Thank you all for your time, I’m sorry if this sounds like a silly or dumb question.</t>
        </is>
      </c>
      <c r="D4357" t="n">
        <v>9</v>
      </c>
      <c r="E4357" t="n">
        <v>9</v>
      </c>
      <c r="F4357">
        <f>HYPERLINK("https://www.reddit.com/r/cancer/comments/cveqgm/is_getting_a_preventive_double_mastectomy_in_your/")</f>
        <v/>
      </c>
      <c r="G4357" t="inlineStr">
        <is>
          <t>2019-08-25 14:45:29</t>
        </is>
      </c>
      <c r="H4357" t="inlineStr"/>
    </row>
    <row r="4358">
      <c r="A4358" t="inlineStr">
        <is>
          <t>cvg0ww</t>
        </is>
      </c>
      <c r="B4358" t="inlineStr">
        <is>
          <t>Gastric Cancer (36/M/UK)</t>
        </is>
      </c>
      <c r="C4358" t="inlineStr">
        <is>
          <t>This is more of a blog post about my cancer journey but there is a TLDR towards the end and I’d really like to hear from other gastric cancer patients about their journeys and the type of treatment they received.
So, around this time last year, I started getting some strange digestion issues. I was burping a lot more than normal and when I hadn’t eaten or drank anything that might cause them. I’d recently started making my own kombucha and thought that might have affected my gut flora so didn’t think too much of it. Until about a month later, the burps became notably more pungent, sulphurous in both taste and smell. This is the point I first went to visit a doctor.
They thought it was something digestion related, gave me a 30 day course of omeprazole and told me to come back if that didn’t fix it.
Towards the end of those 30 days, however, my appendix burst and I was rushed in for an emergency appendectomy and thus a spanner was thrown in the works: for the next two months, any new symptoms would be attributed to the surgery.
Starting with the first new symptom, pain in my left shoulder. I was told to expect this post surgery as they inflate your abdomen and this causes some referred pain to your shoulder. But it just didn’t go away. It felt like toothache but in my shoulder, if that makes any sense. At the time, I was going to wrestling training 3 days a week, plus 3 days a week in the gym. Despite any protests I might make that it didn’t hurt more when I worked out, the pain was put down to an injury.
Meanwhile, the burps have continued and now I have a new symptom - I sometimes have difficulty swallowing food. I think this is around the time my doctor started taking me a bit more seriously but still thought it might a stomach ulcer...
The only thing that helps with the pain is ibuprofen but now every time I speak to my doctor or any of the surgeons she refers me to, I’m told that the most likely cause is a shoulder injury that I started taking ibuprofen for and in turn, the ibuprofen caused a stomach ulcer. The logic seems sound, tbh.
By mid-January, the pain is now so intense I’ve had to give up training. Probably for the best because as soon as they hear you’re a wrestler in surgical assessment, they start treating you like a junkie. The pain also starts affecting my sleep so much I have to give up work too.
Which is probably a good thing because I’m now so anaemic, I’ve gone from six workouts a week to getting out of breath on the 5 minute walk to the nearest shop. I describe walking anywhere as feeling like high altitude training, not that I’ve ever trained at a high altitude.
By the end of January, I’m really having trouble swallowing but that doesn’t really matter, I have no appetite anyway. They book me in for an endoscopy to find out what’s going on.
The endoscopy is one of the most physically invasive things I’ve ever experienced but they do find a growth and it’s not a stomach ulcer. They think it’s cancer but they take a biopsy to confirm and send me for a CT scan.
A week later I get the biopsy results that confirm it’s cancer and the scan results that show it’s already spread from my stomach to my spleen, pancreas and lymph nodes. The pain was the tumour pressing against my spine and causing nerve pain.
From the first sign of symptoms to diagnosis took 5 months.
I get referred to my local cancer centre and during my initial assessment whilst discussing fertility, they drop the bombshell of my prognosis; average life expectancy of 18 months, only 4% make it to the 5 year mark.
They now tell me they’re not trying to cure me. All treatment from here on out is palliative.
This is undoubtedly hereditary. My father died of the same cancer, at the same age. My oncologist tells me I must be predisposed as I’m too young for it to be environment or lifestyle related. I go for genetic assessment. They tell me that most hereditary gastric cancer is caused by an alteration in the CDH-1 gene. This normally presents as a diffuse cancer, cell mutations over the whole organ, not a tumour mass like I have. But that doesn’t mean it’s not that. They also tell me it might be Lynch Syndrome, which does present as a tumour but tends to affect the bowel. They say there’s a number or other things it might also be so they’d test for the two most likely reasons and then fall back on the others.
I come back as negative for everything but they did find one gene alteration “of unknown significance”. They’re now going to test my biopsy tissue for the same alteration to try and confirm. It appears that this could show the start of new line in hereditary gastric cancer and I’ve found a clinical trial to join for this to be investigated further.
Tests show that I’m HER2 positive, something more common in breast cancer but a sign that the growth factor is more aggressive.
They start me on oxiplatin and herceptin infusions every three weeks with the first one landing 4 days before my 36th birthday. The infusions are followed up by capecitabine taken orally. I don’t know if this treatment plan has a fancy acronym like folfox.
After two cycles I feel completely normal. No pain, no digestion issues. 
After four cycles, they send me for another CT scan which shows a reduction in the size of all tumours. Pretty bored by now, I return to work but based from home to shield my compromised immune system.
After six cycles, I’ve finished with active chemo but the herceptin infusions will continue every three weeks. I’m feeling good and my oncologist describes my condition as partial remission; I still have cancer but I don’t have any symptoms.
I return to wrestling training; my cardio conditioning and stamina have practically vanished but I’ve retained, at least through muscle memory, most of my wrestling ability.
They send me for another CT scan to confirm the apparent result of the treatment but instead it shows that although the tumours on my lymph nodes have gone the way of my cardio and all but disappeared, the main tumour in my stomach might have started to grow.
They bring my next scan forwards by four weeks and it will now be at the start of September. 
The burps return. I try to ignore them. I focus on work and training. My cardio isn’t improving very quickly, if at all, but the endorphins from the physical endurance do wonders to keep my spirits up.
I don’t fully buy into all of the hype around cannabis oil but with some symptoms returning, I manage to source some and start taking it daily. I find the psychoactive effects overwhelming so I can only take it at night when I can sleep through the high.
However, despite trying that, this past Monday the pain in my shoulder came back. This time accompanied by a new pain around my lower ribs. It quickly progressed to being very uncomfortable and I end up in hospital on Wednesday getting a barrage of tests done; they can’t find anything new wrong with me. So it’s likely a return of the original cancer symptoms.
TLDR: A history of my symptoms and diagnosis process. Also, my symptoms have come back very quickly after ceasing treatment (around two months). 
If you’ve been treated in a different region than the UK, how has your treatment differed? Is there anything you would recommend me trying or asking for? I’m already waiting on an appointment for a second opinion at a hospital in London but I’d be interested in hearing from people with a similar diagnosis.</t>
        </is>
      </c>
      <c r="D4358" t="n">
        <v>10</v>
      </c>
      <c r="E4358" t="n">
        <v>5</v>
      </c>
      <c r="F4358">
        <f>HYPERLINK("https://www.reddit.com/r/cancer/comments/cvg0ww/gastric_cancer_36muk/")</f>
        <v/>
      </c>
      <c r="G4358" t="inlineStr">
        <is>
          <t>2019-08-25 16:32:00</t>
        </is>
      </c>
      <c r="H4358" t="inlineStr"/>
    </row>
    <row r="4359">
      <c r="A4359" t="inlineStr">
        <is>
          <t>cvgfpj</t>
        </is>
      </c>
      <c r="B4359" t="inlineStr">
        <is>
          <t>Everything comes up</t>
        </is>
      </c>
      <c r="C4359" t="inlineStr">
        <is>
          <t>Hi there,
As the titles suggest, I just started chemo a week about and I'm home for two weeks now but the first two days at home have been rough as I cannot seem to keep anything down including liquors.
Anyone have some advice?
Also, I have a constant excess amount of saliva in my mouth which I have to split up.</t>
        </is>
      </c>
      <c r="D4359" t="n">
        <v>8</v>
      </c>
      <c r="E4359" t="n">
        <v>7</v>
      </c>
      <c r="F4359">
        <f>HYPERLINK("https://www.reddit.com/r/cancer/comments/cvgfpj/everything_comes_up/")</f>
        <v/>
      </c>
      <c r="G4359" t="inlineStr">
        <is>
          <t>2019-08-25 17:08:21</t>
        </is>
      </c>
      <c r="H4359" t="inlineStr"/>
    </row>
    <row r="4360">
      <c r="A4360" t="inlineStr">
        <is>
          <t>cvgw89</t>
        </is>
      </c>
      <c r="B4360" t="inlineStr">
        <is>
          <t>CT and PET are good, yet still new pains</t>
        </is>
      </c>
      <c r="C4360" t="inlineStr">
        <is>
          <t>Hey, just wondering if anyone had similar experiences or if this is normal.
I've been diagnosed with stage 4 nsc adenocarcinoma this may with meta to the brain. 
At one point it started to spread to my spine, which made me have incredible back pains. I received a targeted radio treatment and the pain went away completely for a few months. 
Fast forward to a few weeks ago, i had my latest ct and pet and my doctor said my tumors are shrinking and that there's not been spreading of the cancer that they noticed. 
However a few days ago I startrd having similar back pains to the ones i previously had, which makes no sense in the light of these things. 
I'm obviously worried that it could be the same situation again, but it just wouldn't make sense, if my ct and pet are not showing cancer growth. 
Could it be from anything else, like chemo or bone weakness?
Thanks for anyone reading this.</t>
        </is>
      </c>
      <c r="D4360" t="n">
        <v>8</v>
      </c>
      <c r="E4360" t="n">
        <v>4</v>
      </c>
      <c r="F4360">
        <f>HYPERLINK("https://www.reddit.com/r/cancer/comments/cvgw89/ct_and_pet_are_good_yet_still_new_pains/")</f>
        <v/>
      </c>
      <c r="G4360" t="inlineStr">
        <is>
          <t>2019-08-25 17:47:27</t>
        </is>
      </c>
      <c r="H4360" t="inlineStr"/>
    </row>
    <row r="4361">
      <c r="A4361" t="inlineStr">
        <is>
          <t>cvhhzk</t>
        </is>
      </c>
      <c r="B4361" t="inlineStr">
        <is>
          <t>Next steps</t>
        </is>
      </c>
      <c r="C4361" t="inlineStr">
        <is>
          <t>Hello all, not really sure how to write this. My father passed away earlier today of a cancer that'd worked its way into his liver. I know many of you are suffering of this horrid disease here right now and firstly I want to say that my love goes out to each of you. I know how terrible it is, along with chemo. My father suffered for 7 years and no one should have to endure that kind of pain and discomfort.
But I wanted to ask, to those of you who have lost a loved one, how you cope, how you processed all of it. I'm at a loss right now.
I know this isn't a death coping forum, I just don't know where else to turn right now. If this should be removed please let me know and I'd be happy to do so.
Godspeed.</t>
        </is>
      </c>
      <c r="D4361" t="n">
        <v>18</v>
      </c>
      <c r="E4361" t="n">
        <v>5</v>
      </c>
      <c r="F4361">
        <f>HYPERLINK("https://www.reddit.com/r/cancer/comments/cvhhzk/next_steps/")</f>
        <v/>
      </c>
      <c r="G4361" t="inlineStr">
        <is>
          <t>2019-08-25 18:41:05</t>
        </is>
      </c>
      <c r="H4361" t="inlineStr"/>
    </row>
    <row r="4362">
      <c r="A4362" t="inlineStr">
        <is>
          <t>cvi4e3</t>
        </is>
      </c>
      <c r="B4362" t="inlineStr">
        <is>
          <t>Dad has Stage 4 Stomach Cancer - Questions</t>
        </is>
      </c>
      <c r="C4362" t="inlineStr">
        <is>
          <t>Hi! I just discovered this community and it's been really inspiring and heartbreaking reading through posts. 
I'm a college student, but my dad got diagnosed with stage 4 stomach cancer a few months ago. I just found out last week (my parents didn't want to worry me) and I'm devastated. He's done an endoscopy (found a pre-pyloric stomach ulcer and confirmed it was malignant), colonoscopy (no cancer yet), CT scan, and MRI. His MRI before chemo said there were multiple T2 hepatic lesions in the liver (probably metastatic), a lymph node in his stomach (probably metastatic), and a \~5 cm hypoenhancing mass abutting the pancreatic head/body junction and a \~4.5 cm mass abutting the pancreatic head anteriorly abutting the superior mesenteric vein (probably metastatic).
I've done a lot of Googling, but I'm still particularly confused by what the masses "abutting" his pancreas mean - does this mean these are floating near his pancreas or on them? They seem so big. Should he also be getting radiation for these?
Right now he's going through chemo - he just finished 3 rounds and will do 3 more before getting a CT scan. After that, they're going to either switch drugs if it's ineffective or keep doing 6 more rounds of chemo before taking further action. Since the cancer has spread to several places and his lymph nodes, they think surgery is impossible. If the upcoming CT scan shows that his tumors have decreased in size a lot, would it be possible or beneficial to do surgery? Do people ever do surgery even when it's spread to lymph nodes or is chemo enough to hope to get his cancer to remission?
The first 2 times he got chemo (he had a pump thing that he took home and had to keep on for \~ 2 days), he said it was super painful after taking off the pump and he could barely sleep or eat for 2 days after both times. He finished his 3rd round last week, but this time, the side effects were a lot less intense and he was able to eat and sleep. He's optimistic that this means the chemo is working, but I wanted to double-check and ask - does this usually mean that the chemo is working well or that the chemo drugs are getting less effective? 
I was also wondering if you guys have any recommendations or tips in general. He's staying positive, but I'm so scared and I'm just looking for ways to help him. I know I had a lot of questions - anything helps and thanks so much in advance! Good luck to everyone and stay strong.</t>
        </is>
      </c>
      <c r="D4362" t="n">
        <v>9</v>
      </c>
      <c r="E4362" t="n">
        <v>7</v>
      </c>
      <c r="F4362">
        <f>HYPERLINK("https://www.reddit.com/r/cancer/comments/cvi4e3/dad_has_stage_4_stomach_cancer_questions/")</f>
        <v/>
      </c>
      <c r="G4362" t="inlineStr">
        <is>
          <t>2019-08-25 19:36:55</t>
        </is>
      </c>
      <c r="H4362" t="inlineStr"/>
    </row>
    <row r="4363">
      <c r="A4363" t="inlineStr">
        <is>
          <t>cvk6nd</t>
        </is>
      </c>
      <c r="B4363" t="inlineStr">
        <is>
          <t>Which doctor should i listen to?</t>
        </is>
      </c>
      <c r="C4363" t="inlineStr">
        <is>
          <t>I was diagnosed with leukemia AML October 25th last year and had my transplant April 12th. The chemotherapy made my heart slightly weaker so I started taking Losartan 50 mg daily (its been lowered to 25 mg) and Coreg 3.125 mg twice a day, thankfully my most recent echocardiogram revealed that my heart functions normally again. My BMT physician thinks I can stop taking both medications since my hearts back to normal while my cardiologist suggests that I stay on both medications for a long time (most likely the rest of my life). Both of them have decades of experience so im really not sure whose advice I should follow.</t>
        </is>
      </c>
      <c r="D4363" t="n">
        <v>2</v>
      </c>
      <c r="E4363" t="n">
        <v>12</v>
      </c>
      <c r="F4363">
        <f>HYPERLINK("https://www.reddit.com/r/cancer/comments/cvk6nd/which_doctor_should_i_listen_to/")</f>
        <v/>
      </c>
      <c r="G4363" t="inlineStr">
        <is>
          <t>2019-08-25 23:16:05</t>
        </is>
      </c>
      <c r="H4363" t="inlineStr"/>
    </row>
    <row r="4364">
      <c r="A4364" t="inlineStr">
        <is>
          <t>cvkiw8</t>
        </is>
      </c>
      <c r="B4364" t="inlineStr">
        <is>
          <t>I’m pretty sure I have mouth cancer. Do I?</t>
        </is>
      </c>
      <c r="C4364" t="inlineStr">
        <is>
          <t>[photo](https://imgur.com/gallery/sw99cFP)
First of all I’m going to get this checked by a doctor regardless of what is said in this thread, so don’t delete my post. 
 I’m really worried and pretty sure this is a sign of mouth cancer, I’m shaking as I write this. I’ve had this in my mouth for about 6-5 days. It has gotten a little bigger since, and it gives mild pain, enough to be annoying while eating. I only started suspecting oral cancer just now after stumbling upon its symptoms by chance. 
 I don’t smoke or drink alcohol almost ever, so my guess is this caused by an infection. 
Should I go to a doctor or a dentist?
 Do I have cancer?
 Please help I’m really worried</t>
        </is>
      </c>
      <c r="D4364" t="n">
        <v>0</v>
      </c>
      <c r="E4364" t="n">
        <v>1</v>
      </c>
      <c r="F4364">
        <f>HYPERLINK("https://www.reddit.com/r/cancer/comments/cvkiw8/im_pretty_sure_i_have_mouth_cancer_do_i/")</f>
        <v/>
      </c>
      <c r="G4364" t="inlineStr">
        <is>
          <t>2019-08-25 23:57:58</t>
        </is>
      </c>
      <c r="H4364" t="inlineStr"/>
    </row>
    <row r="4365">
      <c r="A4365" t="inlineStr">
        <is>
          <t>cvkqzf</t>
        </is>
      </c>
      <c r="B4365" t="inlineStr">
        <is>
          <t>I think I have oral cancer</t>
        </is>
      </c>
      <c r="C4365" t="inlineStr">
        <is>
          <t>[photo](https://imgur.com/gallery/sw99cFP)
First of all I’m going to get this checked by a doctor regardless of what is said in this thread, so don’t delete my post. 
 I’m really worried and pretty sure this is a sign of mouth cancer, I’m shaking as I write this. I’ve had this in my mouth for about 6-5 days. It has gotten a little bigger since, and it gives mild pain, enough to be annoying while eating. I only started suspecting oral cancer just now after stumbling upon its symptoms by chance. 
 I don’t smoke or drink alcohol almost ever, so my guess is this caused by an infection. 
Should I go to a doctor or a dentist?
 Do I have cancer?
 Please help I’m really worried</t>
        </is>
      </c>
      <c r="D4365" t="n">
        <v>0</v>
      </c>
      <c r="E4365" t="n">
        <v>0</v>
      </c>
      <c r="F4365">
        <f>HYPERLINK("https://www.reddit.com/r/cancer/comments/cvkqzf/i_think_i_have_oral_cancer/")</f>
        <v/>
      </c>
      <c r="G4365" t="inlineStr">
        <is>
          <t>2019-08-26 00:25:40</t>
        </is>
      </c>
      <c r="H4365" t="inlineStr"/>
    </row>
    <row r="4366">
      <c r="A4366" t="inlineStr">
        <is>
          <t>cvmoyr</t>
        </is>
      </c>
      <c r="B4366" t="inlineStr">
        <is>
          <t>In remission. Seeking recipe for nutritionally dense vegetable shake/smoothie</t>
        </is>
      </c>
      <c r="C4366" t="inlineStr">
        <is>
          <t>I have avoided vegetables all my life, but after a couple years of dealing with cancer, I am reevaluating some of my lifestyle choices. I would like to do right by my body and be as healthy as possible while recovering from all the chemo. I enjoy fruit, but I loathe greens. Carrots are okay. Anyway, it doesn't matter. What I would like to be able to do is to fulfill all of my daily nutritional requirements by grimacing and gulping down one or two blended concoctions throughout the day. Could anyone recommend a recipe? Any advice would be greatly appreciated. By the way, I am in remission. Just trying to stay that way.  
Thank you</t>
        </is>
      </c>
      <c r="D4366" t="n">
        <v>28</v>
      </c>
      <c r="E4366" t="n">
        <v>33</v>
      </c>
      <c r="F4366">
        <f>HYPERLINK("https://www.reddit.com/r/cancer/comments/cvmoyr/in_remission_seeking_recipe_for_nutritionally/")</f>
        <v/>
      </c>
      <c r="G4366" t="inlineStr">
        <is>
          <t>2019-08-26 04:20:14</t>
        </is>
      </c>
      <c r="H4366" t="inlineStr"/>
    </row>
    <row r="4367">
      <c r="A4367" t="inlineStr">
        <is>
          <t>cvqver</t>
        </is>
      </c>
      <c r="B4367" t="inlineStr">
        <is>
          <t>Intermittent fasting during treatment...</t>
        </is>
      </c>
      <c r="C4367" t="inlineStr">
        <is>
          <t>I have heard a tiny bit of IF during chemo and radiation; namely the reduction of side-effects.  I’m almost done with chemo (last round this Friday 🎉) but will start radiation end of September and I was thinking about trying it.  I was curious if anyone has heard the same or tried it themselves.</t>
        </is>
      </c>
      <c r="D4367" t="n">
        <v>2</v>
      </c>
      <c r="E4367" t="n">
        <v>15</v>
      </c>
      <c r="F4367">
        <f>HYPERLINK("https://www.reddit.com/r/cancer/comments/cvqver/intermittent_fasting_during_treatment/")</f>
        <v/>
      </c>
      <c r="G4367" t="inlineStr">
        <is>
          <t>2019-08-26 10:05:21</t>
        </is>
      </c>
      <c r="H4367" t="inlineStr"/>
    </row>
    <row r="4368">
      <c r="A4368" t="inlineStr">
        <is>
          <t>cvqy3v</t>
        </is>
      </c>
      <c r="B4368" t="inlineStr">
        <is>
          <t>Mom has SIADH and is currently being tested for lung cancer</t>
        </is>
      </c>
      <c r="C4368" t="inlineStr">
        <is>
          <t>Hi everyone, my mom is in her 60s, is a long-term heavy smoker and has been in and out of the hospital for the past few months due to extremely low blood sodium levels (Hyponatraemia). After conducting further tests the doctors concluded she has syndrome of inappropriate antidiuretic hormone secretion (SIADH). This is apparently a common Paraneoplastic syndrome, especially for small cell lung cancer. We are still waiting for results of a biopsy and further tests, but in the meanwhile I wanted to reach out and see whether anyone else has any experience with SIADH?</t>
        </is>
      </c>
      <c r="D4368" t="n">
        <v>1</v>
      </c>
      <c r="E4368" t="n">
        <v>0</v>
      </c>
      <c r="F4368">
        <f>HYPERLINK("https://www.reddit.com/r/cancer/comments/cvqy3v/mom_has_siadh_and_is_currently_being_tested_for/")</f>
        <v/>
      </c>
      <c r="G4368" t="inlineStr">
        <is>
          <t>2019-08-26 10:10:45</t>
        </is>
      </c>
      <c r="H4368" t="inlineStr"/>
    </row>
    <row r="4369">
      <c r="A4369" t="inlineStr">
        <is>
          <t>cvqzku</t>
        </is>
      </c>
      <c r="B4369" t="inlineStr">
        <is>
          <t>Mindfulness for Sexual Health and Well-being after Breast and Gynecological Cancer in Oregon</t>
        </is>
      </c>
      <c r="C4369" t="inlineStr">
        <is>
          <t>Sexual health and intimacy after cancer can be challenging and for many is an important part of their lives.  We are studying how mindfulness training may be able to help improve sexual and mental well-being for cancer survivors and those living with cancer.  [**health.oregonstate.edu/mindful**](http://health.oregonstate.edu/mindful)
Not a cancer survivor yourself, but know one?  Please feel free to share this information with any friends, family, or groups that might be interested!
&amp;amp;#x200B;
https://i.redd.it/eubxm2utrti31.png</t>
        </is>
      </c>
      <c r="D4369" t="n">
        <v>1</v>
      </c>
      <c r="E4369" t="n">
        <v>0</v>
      </c>
      <c r="F4369">
        <f>HYPERLINK("https://www.reddit.com/r/cancer/comments/cvqzku/mindfulness_for_sexual_health_and_wellbeing_after/")</f>
        <v/>
      </c>
      <c r="G4369" t="inlineStr">
        <is>
          <t>2019-08-26 10:13:37</t>
        </is>
      </c>
      <c r="H4369" t="inlineStr"/>
    </row>
    <row r="4370">
      <c r="A4370" t="inlineStr">
        <is>
          <t>cvse39</t>
        </is>
      </c>
      <c r="B4370" t="inlineStr">
        <is>
          <t>Father diagnosed with stage 4 pancreatic cancer</t>
        </is>
      </c>
      <c r="C4370" t="inlineStr">
        <is>
          <t>Hi guys,
My father was feeling quite ill for the past week (coughing and acute pain in the lower abdomen). He was admitted on Thursday evening with liver metastasis and suspicion of cancer. On Sunday the doctors told me he has stage IV pancreatic cancer with liver and bones metastasis. His skin was already presenting more yellow and he had fluid building in his abdomen. 
I was devastated to find out.. he is young (51) about to be 52 on the 4th of September. I am only 24 years old and under no circumstances I would have thought my father would die so young. It is killing me inside that he will not live to see his grandchildren. The doctors did not tell him his full diagnosis (he only knows something is wrong with his pancreas and we need to do a biopsy to find out why). I visit him everyday and I can not bring myself to telling him the whole truth. Doctors told me the life expectancy is 3 to 6 months. I am hopeful they would start him on chemo as soon as the biopsy results are in, however he may not be strong enough to endure the chemo due to his diabetes and high blood pressure.
They have him on fluids and antibiotics atm, however his cough is only getting worse and he seems weaker and more tired as the days go by. I am starting to think he may not live up to 3 months.. 
This is incredibly hard for me and my mother. Apart from the diabetes he has been generally well and healthy, and now we have to face the fact that he is going to die and there is no cure. He was excited about future plans together and he is still hopeful this is just a minor setback and he will get healthy again..
I feel my soul is crushing with pain and sorrow. I wish I would have spent more time with him. There were so many days when I could have called him and I did not have. I love him so much and I see so much of him in me.
We do not know how much he has left and the only thing I wish is that he will not experience pain at all.. I wish he will have a painless peaceful death as he deserves. He is a good, kind and supportive father and I am so proud of being his daughter.
I needed to write this off to get things off my mind. I am a wreck rn..
For all of you that have gone through this kind of situation I am terrible sorry for this immense pain that you had to get through... you deserve all the love and hugs there is to give..</t>
        </is>
      </c>
      <c r="D4370" t="n">
        <v>58</v>
      </c>
      <c r="E4370" t="n">
        <v>20</v>
      </c>
      <c r="F4370">
        <f>HYPERLINK("https://www.reddit.com/r/cancer/comments/cvse39/father_diagnosed_with_stage_4_pancreatic_cancer/")</f>
        <v/>
      </c>
      <c r="G4370" t="inlineStr">
        <is>
          <t>2019-08-26 11:57:55</t>
        </is>
      </c>
      <c r="H4370" t="inlineStr"/>
    </row>
    <row r="4371">
      <c r="A4371" t="inlineStr">
        <is>
          <t>cvsxpb</t>
        </is>
      </c>
      <c r="B4371" t="inlineStr">
        <is>
          <t>Little Pink Houses of Hope</t>
        </is>
      </c>
      <c r="C4371" t="inlineStr">
        <is>
          <t>So last week we had the most amazing experience and I just have to share it. A couple months ago my wife told me we were picked by this organization for a free beach vacation. Being the ever cynic that I am, I was pretty apprehensive. But let me tell you all how wonderful it really was.
They are an organization that focuses on breast cancer patients (doesn’t have to be in active treatment) and just gives them a free vacation, you just have to get there. They have destinations all over the country, about 20 I think they said, and you can sign up for whichever best suits you and your family. And when I say free, I mean FREE. They called my wife a week or two before the trip and even got a grocery list from us. Even our wacky cancer foods like organic berries, oat milk, kids food, snacks, drinks, EVERYTHING. 
Then for an entire week they “loved on us” and I cannot stress that enough. We had voluntary activities planned from the moment we woke up til the moment we went to bed. Ours was in Emerald Isle, NC so we had a boat trip to a small island, a historical double decker bus tour of a Civil War town, a private day at the aquarium including a behind the scenes tour of the largest salt water tank in NC, and even had a professional photographer take family photos of us.  Breakfast, lunch, and dinner provided every day. I think we spent $50 total on souvenirs. They even gave us gift cards to Publix and Food Lion in case things came up. 
There were 8 families in total and each family was assigned a Volunstar that helped us do literally everything. They wouldn’t even let us get up and fill our own drinks at dinner. They were all the most kind hearted and loving people I have ever met in my whole life. My kids are absolutely in love with the woman that we had and are going to be FaceTiming with her this week. I almost guilty for how much they did for us haha.
In no way did they ask me to post this or anything to social media but wife and I will tell anyone who will listen. So please please please go to their website and sign up. In the shitty terrible world of cancer, this organization has really given me hope for the goodness in the world and in people. It was truly a life changing experience and we can’t wait to be Volunstars ourselves in the future. We’ve all been through the GD ringer, so you absolutely have earned everything anyone will give you. I’m getting misty writing this and I can’t wait to see those wonderful people again some day. 
[Little Pink Houses of Hope](https://www.littlepink.org)</t>
        </is>
      </c>
      <c r="D4371" t="n">
        <v>6</v>
      </c>
      <c r="E4371" t="n">
        <v>2</v>
      </c>
      <c r="F4371">
        <f>HYPERLINK("https://www.reddit.com/r/cancer/comments/cvsxpb/little_pink_houses_of_hope/")</f>
        <v/>
      </c>
      <c r="G4371" t="inlineStr">
        <is>
          <t>2019-08-26 12:37:55</t>
        </is>
      </c>
      <c r="H4371" t="inlineStr"/>
    </row>
    <row r="4372">
      <c r="A4372" t="inlineStr">
        <is>
          <t>cvty28</t>
        </is>
      </c>
      <c r="B4372" t="inlineStr">
        <is>
          <t>How to deal with recurrence anxiety and general anxiety surrounding cancer</t>
        </is>
      </c>
      <c r="C4372" t="inlineStr">
        <is>
          <t>Hey all,   
I am normally just a lurker and generally kind of stay away from the cancer related subredds mostly because they make me really sad (although I have found a bunch of useful information on here as well). Here is the jist:   
In May my  (M28) girlfriend (F26) was diagnosed with breast cancer. She received surgery for what appeared to be a normal cyst and fibroadenoma but ultimately turned out cancerous. At present she is diagnosed as Stage II, Grade 3, Triple Negative, sentinel axillary nodes all came back negative (however there is a lymphatic invasion present) and all of her doctors have confirmed that technically speaking her body is free of cancer and the further treatments are adjuvant and preventative. She has done 4 rounds of EC and is currently on round 3 of 10 Taxol + Carboplatin. She is a fucking trooper and the bravest woman I have ever met. Other than a bit of nausea, headaches and general aches and pains, she has pumped through this chemo like the fucking warrior she is and aside from the lack of hair (shes got a bomb head shape as a baldy). She hasnt had any infections or other complications (she takes injections for the white blood cells). Hopefully chemo will be done in October and then it is just radiation to finish whatever the fuck could be left.   
My question is: how do you cancer survivors and other cancer buddies deal with the anxiety of a recurrence or metastasis. As much as I have been doing okay and being strong for her sake and to be able to pick her up, I am feeling the fear creeping in on me like a really heavy shadow. I think about it all the time and have trouble sleeping. I am just at a loss here and will probably seek professional help after the active treatment because I dont want to live in this fear. This girl is the best thing that has ever happened to me and I consider her my soul mate. From the moment we met I have never once doubted my feelings for her and there was no doubt about it that I would take this journey with her together. I hope life is just testing me and that we get to live happily ever after till we are old fucks but the idea of something happening to her is killing me.   
I will take any tips I can get and appreciate your help.</t>
        </is>
      </c>
      <c r="D4372" t="n">
        <v>6</v>
      </c>
      <c r="E4372" t="n">
        <v>14</v>
      </c>
      <c r="F4372">
        <f>HYPERLINK("https://www.reddit.com/r/cancer/comments/cvty28/how_to_deal_with_recurrence_anxiety_and_general/")</f>
        <v/>
      </c>
      <c r="G4372" t="inlineStr">
        <is>
          <t>2019-08-26 13:52:33</t>
        </is>
      </c>
      <c r="H4372" t="inlineStr"/>
    </row>
    <row r="4373">
      <c r="A4373" t="inlineStr">
        <is>
          <t>cvu0co</t>
        </is>
      </c>
      <c r="B4373" t="inlineStr">
        <is>
          <t>I don't wish to fund cancer research with my tax dollars. It's not my problem.</t>
        </is>
      </c>
      <c r="C4373" t="inlineStr">
        <is>
          <t>Nobody in my family has been stricken with this ailment, and I believe that is because this was God's will to bless me and my family for our commitment to Him.
And yet, I'm penalized by paying taxes to various hospital districts and subsidizing universities who in turn spend MY MONEY on cancer research.
I don't have cancer. Cancer doesnt concern me, and those afflicted with it probably had done something in their lives to get it, much like AIDS. Why should I subsidize irresponsible behaviors when that extra money is better spent on my interests?</t>
        </is>
      </c>
      <c r="D4373" t="n">
        <v>1</v>
      </c>
      <c r="E4373" t="n">
        <v>1</v>
      </c>
      <c r="F4373">
        <f>HYPERLINK("https://www.reddit.com/r/cancer/comments/cvu0co/i_dont_wish_to_fund_cancer_research_with_my_tax/")</f>
        <v/>
      </c>
      <c r="G4373" t="inlineStr">
        <is>
          <t>2019-08-26 13:57:14</t>
        </is>
      </c>
      <c r="H4373" t="inlineStr"/>
    </row>
    <row r="4374">
      <c r="A4374" t="inlineStr">
        <is>
          <t>cvvr5a</t>
        </is>
      </c>
      <c r="B4374" t="inlineStr">
        <is>
          <t>Getting drainage tubes removed tomorrow and I'm scared.</t>
        </is>
      </c>
      <c r="C4374" t="inlineStr">
        <is>
          <t>I had double masectomy on 16th and tomorrow is magical day this science experiment I had to get way too close and personal with gets removed. The right side looks as expected but my left which was healthy breast still looks like I am draining motor oil. And it hurts when I move....alot . Which means when they tug it out it just might be excruciating! I am taking a Norco and maybe rub chest with lidocaine I used with my port. But I doubt it is going to be a fun time 😥</t>
        </is>
      </c>
      <c r="D4374" t="n">
        <v>3</v>
      </c>
      <c r="E4374" t="n">
        <v>14</v>
      </c>
      <c r="F4374">
        <f>HYPERLINK("https://www.reddit.com/r/cancer/comments/cvvr5a/getting_drainage_tubes_removed_tomorrow_and_im/")</f>
        <v/>
      </c>
      <c r="G4374" t="inlineStr">
        <is>
          <t>2019-08-26 16:10:49</t>
        </is>
      </c>
      <c r="H4374" t="inlineStr"/>
    </row>
    <row r="4375">
      <c r="A4375" t="inlineStr">
        <is>
          <t>cvwzzs</t>
        </is>
      </c>
      <c r="B4375" t="inlineStr">
        <is>
          <t>Mods please don’t delete. I’m 15 and I have a fear that I might have lung cancer</t>
        </is>
      </c>
      <c r="C4375" t="inlineStr">
        <is>
          <t>So it’s been a month since I had a panic attack and it was really bad. The panic attack lasted about a whole week and my breathing felt so restricted that it hurt. The symptoms happened over night. I quit smoking the day I had the panic attack but I smoke for 3 months before I quit. I didn’t smoke a lot. Especially near the end of my smoking days. I’d probably smoke 4 cigarettes on a bad day. I smoked about 8 packs. I never had shortness of breath or coughed in all those months of smoking. And I never felt fatigued. But after I had my panic attack it all came crashing like a ton of bricks. I thought I had lung cancer and I still do. I haven’t coughed yet, I forced a cough today and I thought it was blood in the mucus I spat out but I ate spaghetti and meat balls so I’m pretty sure the little red thing was spaghetti sauce because it was probably an hour before I forced the cough. And when I forced another cough a little speck of meat came out. But other than that I haven’t been coughing and everything has been normal except my breathing. I have restricted breathing and it’s not shortness of breath because it feels the same no matter what I do. It’s like my shitty breathing is the new normal. But it has been getting better. I’ve been to the hospital about 6 times last month. I’ve gotten blood tests, a urine test, and a ecg. Everything came back normal. I also had a X-ray and my lungs were completely normal. They were clear and everything. I’ve spoken to lung cancer patients and they even told me that I don’t have it and I don’t know anymore. I can’t live like this. In fear of death every day for the past month. Today I broke down because I couldn’t take it anymore. The fear of dying 24/7. Please I just want answers what do you guys think. I asked for a cat scan and the doctors told me no. I just don’t know at this point.</t>
        </is>
      </c>
      <c r="D4375" t="n">
        <v>0</v>
      </c>
      <c r="E4375" t="n">
        <v>0</v>
      </c>
      <c r="F4375">
        <f>HYPERLINK("https://www.reddit.com/r/cancer/comments/cvwzzs/mods_please_dont_delete_im_15_and_i_have_a_fear/")</f>
        <v/>
      </c>
      <c r="G4375" t="inlineStr">
        <is>
          <t>2019-08-26 17:52:54</t>
        </is>
      </c>
      <c r="H4375" t="inlineStr"/>
    </row>
    <row r="4376">
      <c r="A4376" t="inlineStr">
        <is>
          <t>cvy12p</t>
        </is>
      </c>
      <c r="B4376" t="inlineStr">
        <is>
          <t>Reiki Massage</t>
        </is>
      </c>
      <c r="C4376" t="inlineStr">
        <is>
          <t>Has anyone here done reiki massage and it has helped with their mental or physical well-being?  There is a place local to me that is advertising it for assisting with cancer treatments and I am curious ... I noticed they were careful not to say it was a treatment, but to **assist** with treatments.</t>
        </is>
      </c>
      <c r="D4376" t="n">
        <v>2</v>
      </c>
      <c r="E4376" t="n">
        <v>8</v>
      </c>
      <c r="F4376">
        <f>HYPERLINK("https://www.reddit.com/r/cancer/comments/cvy12p/reiki_massage/")</f>
        <v/>
      </c>
      <c r="G4376" t="inlineStr">
        <is>
          <t>2019-08-26 19:20:52</t>
        </is>
      </c>
      <c r="H4376" t="inlineStr"/>
    </row>
    <row r="4377">
      <c r="A4377" t="inlineStr">
        <is>
          <t>cvyv2b</t>
        </is>
      </c>
      <c r="B4377" t="inlineStr">
        <is>
          <t>Breast Cancer Spread to Brain</t>
        </is>
      </c>
      <c r="C4377" t="inlineStr">
        <is>
          <t>We wound up in the ER last night with a 10/10 headache and vomiting. 8 hours and a CT scan later we find out the the successful breast cancer treatment I finished last May has actually spread to my brain. Fuck. Me.</t>
        </is>
      </c>
      <c r="D4377" t="n">
        <v>27</v>
      </c>
      <c r="E4377" t="n">
        <v>17</v>
      </c>
      <c r="F4377">
        <f>HYPERLINK("https://www.reddit.com/r/cancer/comments/cvyv2b/breast_cancer_spread_to_brain/")</f>
        <v/>
      </c>
      <c r="G4377" t="inlineStr">
        <is>
          <t>2019-08-26 20:35:31</t>
        </is>
      </c>
      <c r="H4377" t="inlineStr"/>
    </row>
    <row r="4378">
      <c r="A4378" t="inlineStr">
        <is>
          <t>cvyxes</t>
        </is>
      </c>
      <c r="B4378" t="inlineStr">
        <is>
          <t>When does the chemo start to kick in?</t>
        </is>
      </c>
      <c r="C4378" t="inlineStr">
        <is>
          <t>So I've got stage IV gastric cancer and been receiving first line treatment for a few months. It's been every two weeks with a clinic visit and a take home pump. I've handled the chemo itself fine, dealing with the neuropathy symptoms and fatigue. What I wonder and worry about is if it's actually working. I've got a CT scan and ultrasound scheduled soon so I guess I'll know when the doctor examines those.  But it feels like the chemo isn't really doing much other than keeping me alive for a little bit longer. The symptoms I have had in the past aren't worse but they don't seem to be getting much better. This week was especially rough due to having a feeling of needing to vomit bile every time I ate or drank just a little too much (when I can barely tolerate more than a few sips/bites already). And my ability to eat has dropped a lot in the past few months as it is.
So I wanted to ask, for people with gastric cancer or otherwise, is there a turning point with chemo? I know there's no 100% recovery, especially with late stage and that it depends a lot on the person and cancer. But id like to think I'm fighting on and struggling so it eventually improves somewhat, rather than feeling like a slow tortuous decline.</t>
        </is>
      </c>
      <c r="D4378" t="n">
        <v>1</v>
      </c>
      <c r="E4378" t="n">
        <v>0</v>
      </c>
      <c r="F4378">
        <f>HYPERLINK("https://www.reddit.com/r/cancer/comments/cvyxes/when_does_the_chemo_start_to_kick_in/")</f>
        <v/>
      </c>
      <c r="G4378" t="inlineStr">
        <is>
          <t>2019-08-26 20:41:35</t>
        </is>
      </c>
      <c r="H4378" t="inlineStr"/>
    </row>
    <row r="4379">
      <c r="A4379" t="inlineStr">
        <is>
          <t>cvyxih</t>
        </is>
      </c>
      <c r="B4379" t="inlineStr">
        <is>
          <t>When does the chemo start to kick in?</t>
        </is>
      </c>
      <c r="C4379" t="inlineStr">
        <is>
          <t>So I've got stage IV gastric cancer and been receiving first line treatment for a few months. It's been every two weeks with a clinic visit and a take home pump. I've handled the chemo itself fine, dealing with the neuropathy symptoms and fatigue. What I wonder and worry about is if it's actually working. I've got a CT scan and ultrasound scheduled soon so I guess I'll know when the doctor examines those.  But it feels like the chemo isn't really doing much other than keeping me alive for a little bit longer. The symptoms I have had in the past aren't worse but they don't seem to be getting much better. This week was especially rough due to having a feeling of needing to vomit bile every time I ate or drank just a little too much (when I can barely tolerate more than a few sips/bites already). And my ability to eat has dropped a lot in the past few months as it is.
So I wanted to ask, for people with gastric cancer or otherwise, is there a turning point with chemo? I know there's no 100% recovery, especially with late stage and that it depends a lot on the person and cancer. But id like to think I'm fighting on and struggling so it eventually improves somewhat, rather than feeling like a slow tortuous decline.</t>
        </is>
      </c>
      <c r="D4379" t="n">
        <v>2</v>
      </c>
      <c r="E4379" t="n">
        <v>3</v>
      </c>
      <c r="F4379">
        <f>HYPERLINK("https://www.reddit.com/r/cancer/comments/cvyxih/when_does_the_chemo_start_to_kick_in/")</f>
        <v/>
      </c>
      <c r="G4379" t="inlineStr">
        <is>
          <t>2019-08-26 20:41:51</t>
        </is>
      </c>
      <c r="H4379" t="inlineStr"/>
    </row>
    <row r="4380">
      <c r="A4380" t="inlineStr">
        <is>
          <t>cvzv8v</t>
        </is>
      </c>
      <c r="B4380" t="inlineStr">
        <is>
          <t>Give me your success stories - I need some hope</t>
        </is>
      </c>
      <c r="C4380" t="inlineStr">
        <is>
          <t>I was diagnosed with  stage 3 triple negative breast cancer November 2018 at the age of 25. I’m BRCA 1 positive. My mom died from metastatic breast cancer when I was seven, and my aunt is also a breast cancer survivor. 
I’ve had 5 months of chemotherapy. I had a double mastectomy with DIEP flap reconstruction. I had a post surgical wound abscess and was attached to a wound vac for a month. I have a very painful radiation burn right now. I will be completed treatment by the end of this week.
My pathology reports came back clear after surgery. After I’m done radiation I will have no more cancer treatments. 
I am lucky. It was caught and dealt with. My reports are clear. I feel especially thankful after reading all the heartbreaking posts about terminal disease in this sub. 
Despite that, I’m just so upset. This past weekend we had a cabin getaway with some friends. At one point I left the group to dress my radiation burns and I just had to have a good cry. 
I truly am thankful. I was able to leave the city, be far away from a tertiary hospital, hell I even got to be in a kayak. This would’ve been impossible even a month ago for me. 
But yet I couldn’t help but be reminded of all my losses. Watching my friends kids, knowing that I likely am infertile. Even if I am fertile my kids could inherit the cancer gene. My friends kept making sexual jokes (as we do when we get together, it’s in good fun), but every time I was reminded of my dead sex drive. I’ve gained weight. My fears about going back to work. My fears about cancer coming back. 
When we got home after the weekend I just couldn’t do it. I’ve been sad ever since I got home. I know I should be happy. I know that I skipped the grave. 
What are your after cancer stories? I know I can be better - I’m just in need of some hope right now.</t>
        </is>
      </c>
      <c r="D4380" t="n">
        <v>5</v>
      </c>
      <c r="E4380" t="n">
        <v>8</v>
      </c>
      <c r="F4380">
        <f>HYPERLINK("https://www.reddit.com/r/cancer/comments/cvzv8v/give_me_your_success_stories_i_need_some_hope/")</f>
        <v/>
      </c>
      <c r="G4380" t="inlineStr">
        <is>
          <t>2019-08-26 22:15:35</t>
        </is>
      </c>
      <c r="H4380" t="inlineStr"/>
    </row>
    <row r="4381">
      <c r="A4381" t="inlineStr">
        <is>
          <t>cvzxkm</t>
        </is>
      </c>
      <c r="B4381" t="inlineStr">
        <is>
          <t>Dealing with Cancer</t>
        </is>
      </c>
      <c r="C4381" t="inlineStr">
        <is>
          <t>Hi All - 
I posted last week and got some really great responses to some of what I am going through.  41 F diagnosed with Invasive ductal carcinoma.  But her is where I am at,  I feel like a walking Pin Cushion.  I have in 3 weeks had a needle biopsy, 2 stereo biopsy's, genetic testing, and MRI, now from the MRI they dont like how my lymph nodes looked.  I am scheduled to have 3 more core needle biopsys in the next 2 weeks.  But here is what I am wondering.  How can I be assured that the cancer isn't anywhere else in my body?   What questions do I ask?  I have been so positive, but now I feel like I am going to lose my mind.   Any help is appreciated.  TIA</t>
        </is>
      </c>
      <c r="D4381" t="n">
        <v>6</v>
      </c>
      <c r="E4381" t="n">
        <v>10</v>
      </c>
      <c r="F4381">
        <f>HYPERLINK("https://www.reddit.com/r/cancer/comments/cvzxkm/dealing_with_cancer/")</f>
        <v/>
      </c>
      <c r="G4381" t="inlineStr">
        <is>
          <t>2019-08-26 22:22:28</t>
        </is>
      </c>
      <c r="H4381" t="inlineStr"/>
    </row>
    <row r="4382">
      <c r="A4382" t="inlineStr">
        <is>
          <t>cw06bi</t>
        </is>
      </c>
      <c r="B4382" t="inlineStr">
        <is>
          <t>MOHS part 2</t>
        </is>
      </c>
      <c r="C4382" t="inlineStr">
        <is>
          <t>Hello all, today I had my surgery. The initial removal wasn’t bad, the freezing sucked but once it set in it was smooth sailing. I had to have 2 removals as the first one didn’t get it all. All in all I felt the surgery wasn’t that bad considering. There was a lot of sitting around with a compress on my face, in a room with other people compressing all different parts of their faces. It was a somber atmosphere but almost comforting that I wasn’t alone... minimal to no pain during the procedures, just uncomfortable pressures and the smell of burning skin. The doctors were nice enough and it was quick (2 removals cleanup stitches graft and out) in 5 hours. I felt good about it up in till the end...
Then I was shown the final result. From a small BCC on my nose I ended up with a cut from my eyebrows to the underside of my right nostril. A quarter size hole that required a skin graft from my right cheek to fill. My nose is pulled off to the right side and my cheek is pulled in so tight I’m scared to smile. The pain that they said most people don’t have is now intense. I’m unable to breathe through either nostril. My face is swollen and reality is setting in. I am petrified how greatly this is going to affect my life. I am miserable. I guess I was hoping for a little, or medium, or even larger hole that could be grafted from somewhere else and leave a neat ring scar...but this, this is not that. I wasn’t ready for this.
I’m sorry, I know there are a lot of people on here dealing with way scarier things, and I wish you all great success in treatments and the fastest recoveries. I guess it just helps to get it out, get it off my chest and clear my head. I know it’s day 1, well day0 but it’s a lot to process and the pain makes it really real. 
Thanks for reading.</t>
        </is>
      </c>
      <c r="D4382" t="n">
        <v>4</v>
      </c>
      <c r="E4382" t="n">
        <v>1</v>
      </c>
      <c r="F4382">
        <f>HYPERLINK("https://www.reddit.com/r/cancer/comments/cw06bi/mohs_part_2/")</f>
        <v/>
      </c>
      <c r="G4382" t="inlineStr">
        <is>
          <t>2019-08-26 22:49:46</t>
        </is>
      </c>
      <c r="H4382" t="inlineStr"/>
    </row>
    <row r="4383">
      <c r="A4383" t="inlineStr">
        <is>
          <t>cw08my</t>
        </is>
      </c>
      <c r="B4383" t="inlineStr">
        <is>
          <t>Testicular Cancer Patient Seeks Advice/Help</t>
        </is>
      </c>
      <c r="C4383" t="inlineStr">
        <is>
          <t>24 Year Old With Advanced Testicular Cancer Poor Prognosis seeking Advice/ Ideas.
Hey there, I have a pretty long winded post/story. Just wanted to see if anyone has been a similar boat, and or had any suggestions/ideas. Thanks for your time!
 I'm a 24 year old from New Mexico. I was physically active and ate pretty well, or I'd like to think. In September of last year I randomly developed a back ache that progressively got worse and worse. I saw my primary doc, and was suggested physical therapy and the chiropractor. I  tried these for a couple months without any success. An MRI was done on my back with no findings, and eventually I went to an orthopedic doc. I got an XRay of my lumbar spine which showed nothing and was given some pain meds. The following day I developed a swollen lymph node on my neck and went back to my primary care doc who ran blood work and found I was anemic. Soon after my abdomen became swollen and I had pain there. A few days later I met with an oncologist, and my tumor markers were off the charts, with my HCG around 500,000. Scans showed swollen lymph nodes in my abdomen as well as spots in my lungs and liver. I was diagnosed with Stage 3C Germ Cell Tumor. 
I completed 4 cycles of BEP Chemo well and my tumor markers dropped almost back to normal, and all my symptoms were quickly resolved. I was on surveillance for a couple months when my HCG marker started to go back up. I was referred to UNM Cancer Center in Albuquerque, New Mexico to see a Testicular Cancer Specialist. New scans showed that there were 2 new lesions in my brain and that some of the other tumors had started to grow again.
Their plan was to do a week of salvage VEIP chemo followed by 2 cycles of high dose chemotherapy and stem cell transplants. I completed the VEIP fairly well, had the stem cells harvested, and the night after had a seizure. The following day I was admitted to the hospital and completed 1 day of high dose chemo before having another seizure. The lesions in my brain were hemorrhaging and I had them removed a couple days later, which caused some vision damage. I had a gamma knife radiation treatment last week to treat any remaining cancer in the brain which seems to have went well all things considered. 
My oncologist consults with Lawrence Einhorn, one of the docs who created cisplatin and is a leading specialist in treating testicular cancer. They seem to think at this point the cure success rate for me is in the single digits and worry that the complications from the high dose and stem cell could be fatal to me. I'm not platinum resistant. The tumors shrink and the bloodwork improves, but it just keeps coming back. They want me to do more VEIP and then reassess and think about trying the high dose again, or if it's too risky and just doing more cycles of regular chemo doses would be a safer move. I want to be cured, but so much has changed and things seem to be in a pretty tough spot. 
I think that about sums it all up. I'm just not sure what to do at this point. I want to be cured, but it sounds like it's a pretty big risk in trying the high dose and transplants. 
It's hard to understand going from having one of the more treatable types of cancer to being in such a tough situation. Just was curious if anyone had any ideas, suggestions, doctors or centers I should consult with, new or alternative treatments, or anything. Just a very tough deal and I'm very scared. Thanks for your time!</t>
        </is>
      </c>
      <c r="D4383" t="n">
        <v>7</v>
      </c>
      <c r="E4383" t="n">
        <v>6</v>
      </c>
      <c r="F4383">
        <f>HYPERLINK("https://www.reddit.com/r/cancer/comments/cw08my/testicular_cancer_patient_seeks_advicehelp/")</f>
        <v/>
      </c>
      <c r="G4383" t="inlineStr">
        <is>
          <t>2019-08-26 22:57:14</t>
        </is>
      </c>
      <c r="H4383" t="inlineStr"/>
    </row>
    <row r="4384">
      <c r="A4384" t="inlineStr">
        <is>
          <t>cw0ee6</t>
        </is>
      </c>
      <c r="B4384" t="inlineStr">
        <is>
          <t>Just a little venting</t>
        </is>
      </c>
      <c r="C4384" t="inlineStr">
        <is>
          <t>Today's my birthday. I just re-entered college. I was diagnosed with ALL a little over 2 year ago. I'm a year plus a week from my bone marrow transplant. Usually when I'm trying to get some sleep I get hit by a lot of anxiety. It's been happening more recently. This huge sense of dread that one day I will end up back in the hospital. There's this sense that I'm wasting my time that the cancer will return or my blood will start attacking me. I know I should be grateful I recovered really quickly. I have friends and family that loved me. I read other people's stories on the subreddit and I realized that I have it so much better than most of the people here. It's been a little over two years and I'm basically fully recovered. I don't know why now I'm getting these feelings of anxiety. The first year after my diagnosis was the hardest of my life. I never felt depressed or anxiety yet now when I should be looking forward to the future. It feels like I'm going to lose it all. 
Does anyone else feel like this, if so how do you get past it? I'm not suicidal or depressed I don't need medication. I'm not against antidepressants I just know my feelings.</t>
        </is>
      </c>
      <c r="D4384" t="n">
        <v>10</v>
      </c>
      <c r="E4384" t="n">
        <v>3</v>
      </c>
      <c r="F4384">
        <f>HYPERLINK("https://www.reddit.com/r/cancer/comments/cw0ee6/just_a_little_venting/")</f>
        <v/>
      </c>
      <c r="G4384" t="inlineStr">
        <is>
          <t>2019-08-26 23:15:27</t>
        </is>
      </c>
      <c r="H4384" t="inlineStr"/>
    </row>
    <row r="4385">
      <c r="A4385" t="inlineStr">
        <is>
          <t>cw0hme</t>
        </is>
      </c>
      <c r="B4385" t="inlineStr">
        <is>
          <t>My brother just called me about his funeral</t>
        </is>
      </c>
      <c r="C4385" t="inlineStr">
        <is>
          <t>He has small cell lung cancer and he called me a few hour's ago talking about where he wants to be buried, i will miss you Matteo and i will always love you</t>
        </is>
      </c>
      <c r="D4385" t="n">
        <v>77</v>
      </c>
      <c r="E4385" t="n">
        <v>12</v>
      </c>
      <c r="F4385">
        <f>HYPERLINK("https://www.reddit.com/r/cancer/comments/cw0hme/my_brother_just_called_me_about_his_funeral/")</f>
        <v/>
      </c>
      <c r="G4385" t="inlineStr">
        <is>
          <t>2019-08-26 23:25:49</t>
        </is>
      </c>
      <c r="H4385" t="inlineStr"/>
    </row>
    <row r="4386">
      <c r="A4386" t="inlineStr">
        <is>
          <t>cw1emm</t>
        </is>
      </c>
      <c r="B4386" t="inlineStr">
        <is>
          <t>It's 3 am and the hospital halls are quiet</t>
        </is>
      </c>
      <c r="C4386" t="inlineStr">
        <is>
          <t>It's 3 am. The hospital halls are quiet, at least up here on the hospice floor. My father in law has spent the last 20 hours in a hospital - at first one nearer to his home and then finally here at the university hospital where he had been receiving his treatments. 
It's been 10 months since his diagnosis - metastatic small cell lung cancer. We are eternally grateful he's made it this far. Today the doctors told us that his kidneys and liver are starting to fail. My father in law finally made the decision this is not how he wants to live. He hasn't eaten in 3 days, he's weak and in so much pain. He chose hospice. The doctors thought it would be quick but he's a tough guy and has so far made it 4 hours since being brought up from the ER. 
My 4 year old daughter was able to say her goodbyes before my relatives came to take her home. My husband and I and his 2 sisters wanted to stay to be by his side. We want to surround him with love and peace. I'm sad for my 4 nieces and 2 nephews who won't get to say their goodbyes. I asked my daughter to tell her Papa how much she loves him and explained that he was going to Heaven to live with Jesus. "Do you know what that means, sweetie?" "He's going to die mama" "yes, sweetie but he loves you very much and you'll see him again someday" "I know, mama." 
Today is his 36th wedding anniversary, and he will most likely pass today. Life is cruel. Fuck cancer.</t>
        </is>
      </c>
      <c r="D4386" t="n">
        <v>17</v>
      </c>
      <c r="E4386" t="n">
        <v>1</v>
      </c>
      <c r="F4386">
        <f>HYPERLINK("https://www.reddit.com/r/cancer/comments/cw1emm/its_3_am_and_the_hospital_halls_are_quiet/")</f>
        <v/>
      </c>
      <c r="G4386" t="inlineStr">
        <is>
          <t>2019-08-27 01:16:19</t>
        </is>
      </c>
      <c r="H4386" t="inlineStr"/>
    </row>
    <row r="4387">
      <c r="A4387" t="inlineStr">
        <is>
          <t>cw2rk2</t>
        </is>
      </c>
      <c r="B4387" t="inlineStr">
        <is>
          <t>A Brief Overview Of Breast Cancer and It’s Treatment</t>
        </is>
      </c>
      <c r="C4387" t="inlineStr">
        <is>
          <t>Breast cancer has become a major cause of death among women. It is the second deadliest cancer in the world after lung cancer. Due to a lack of awareness for breast cancer, the month of October is marked as Breast Cancer Awareness month. The pink ribbon depicts breast cancer and is worn to honour those diagnosed with it. This article will shed light on the symptoms, the risk factors and breast [**cancer treatment in Pune**](https://www.sahyadrihospital.com/specialities/oncology-cancer) and other cities. 
**Common symptoms:**
● Pain around your armpits or breast on days other than your periods. 
● Redness on the skin of your breast.
● Any type of rash in the area. 
● Bloody nipple discharge.
● Sudden changes in your cup size. 
● Finding a lump in your breasts - this is the biggest and most important symptom.
If you notice any of these symptoms, consult a doctor immediately. 
**Those at risk of developing breast cancer:** 
● Women age 20 and above are prone to developing breast cancer. The risk increases as they age; making older women highly susceptible.
● Genetics play an important role. If your close relatives have been diagnosed then you are at a higher risk as well.
● If you have been diagnosed with breast cancer once, it may relapse in the future.  
● If you have dense breast tissue, it is a point of concern. 
● During any time your body has high levels of estrogen, like menopause or breastfeeding. 
● Daily consumption of alcohol increases the risk. 
● Radiation exposure of any kind. 
● Hormone replacement therapy or estrogen-progesterone therapy can increase the risk. 
**Different types of treatment:** 
The treatment best suitable for you will be decided by many factors like the stage and type of cancer, sensitivity to hormones, age, health and preference. 
**●** **Surgery** \- The type of surgery depends upon the necessity and preference. The different types are Lumpectomy, Mastectomy, Sentinel Node Biopsy, Dissection, and Reconstruction. 
**●** **Radiation Therapy** \- This step starts a month after the surgery to kill any remaining cancer cells by radiations.
**●** **Chemotherapy** \- This is done mostly after the surgery to make sure no more cancer cells are remaining and sometimes it is done before the surgery to reduce the size of the tumour for easy removal. 
**●** **Biological treatment** \- Some drugs can destroy specific biological cancer cells.
Though there are many hospitals in Pune with breast cancer treatment, to find the one with the best specialists, facilities and comfort all at one place is hard. 
Sahayadri Hospitals has a separate oncology department that is equipped with the best labs, entire team of women’s specialists, counselling centre and all types of therapies available with the best [**breast cancer specialist in Pune**](https://www.sahyadrihospital.com/specialities/oncology-cancer)**.**  
Let us all rise beyond the stigma and raise awareness about breast cancer to lead a healthy life.</t>
        </is>
      </c>
      <c r="D4387" t="n">
        <v>0</v>
      </c>
      <c r="E4387" t="n">
        <v>0</v>
      </c>
      <c r="F4387">
        <f>HYPERLINK("https://www.reddit.com/r/cancer/comments/cw2rk2/a_brief_overview_of_breast_cancer_and_its/")</f>
        <v/>
      </c>
      <c r="G4387" t="inlineStr">
        <is>
          <t>2019-08-27 03:54:04</t>
        </is>
      </c>
      <c r="H4387" t="inlineStr"/>
    </row>
    <row r="4388">
      <c r="A4388" t="inlineStr">
        <is>
          <t>cw2waf</t>
        </is>
      </c>
      <c r="B4388" t="inlineStr">
        <is>
          <t>The right gown: A report from the world's shittiest country club</t>
        </is>
      </c>
      <c r="C4388" t="inlineStr">
        <is>
          <t>Well, we continue our membership in the world's shittiest country club. The one where no one wants to be a member, but we are because our cancer diagnosis is the criteria for membership.  Call it Achy Acres, Club Cancer, Cancer-a-Lago if you want.   
Yesterday,  I'm waiting for my radiation treatment, and this old man goes into the dressing room and leaves the door open. He's in there without a shirt, and he's yells, "I need a nurse!"  We all look, and it turns out he doesn't know how to put the gown on. And being that this is the world's shittiest country club, there's no uniformed, smoothly coiffed attendant to guide him through the process of figuring out the ties. No one to offer him a choice of beverage, or a choice of magazines that aren't about cancer.
 Some ladies, who were part of an entourage for another patient, rush into the room. In a display of flapping and closing and opening gowns, they figure out that the super human extra super duper large ones made for The Hulk, the ones with the snaps along the neckline and sleeves won't do (they're actually surgical gowns, used in the OR). One of those goes flying out the door, and within a matter of minutes they find the right ones. He staggers out. The ladies dressed him in a gown that was a little too small, with the opening in the front, the ties stretched around his girth, looking a bit like someone wearing a Frederick's of Hollywood hospital creation. 
Hence, another day in the world shittiest country club. Next up, the story of impossible puzzles.</t>
        </is>
      </c>
      <c r="D4388" t="n">
        <v>1</v>
      </c>
      <c r="E4388" t="n">
        <v>0</v>
      </c>
      <c r="F4388">
        <f>HYPERLINK("https://www.reddit.com/r/cancer/comments/cw2waf/the_right_gown_a_report_from_the_worlds_shittiest/")</f>
        <v/>
      </c>
      <c r="G4388" t="inlineStr">
        <is>
          <t>2019-08-27 04:07:32</t>
        </is>
      </c>
      <c r="H4388" t="inlineStr"/>
    </row>
    <row r="4389">
      <c r="A4389" t="inlineStr">
        <is>
          <t>cw4e91</t>
        </is>
      </c>
      <c r="B4389" t="inlineStr">
        <is>
          <t>Love in the time of cancer -wonderful article</t>
        </is>
      </c>
      <c r="C4389" t="inlineStr">
        <is>
          <t>By [Laurence Einhorn, MD](https://www.ascopost.com/issues/september-10-2018/love-in-the-time-of-cancer/)
*"It is difficult to navigate that night journey as a single passenger. Love, in its many manifestations, helps provide solace and a sense of peace, not just for patients, but also family members. We bear daily witness, as oncologists, to the power of love in the time of cancer."   Click the link above for the full article.*</t>
        </is>
      </c>
      <c r="D4389" t="n">
        <v>5</v>
      </c>
      <c r="E4389" t="n">
        <v>2</v>
      </c>
      <c r="F4389">
        <f>HYPERLINK("https://www.reddit.com/r/cancer/comments/cw4e91/love_in_the_time_of_cancer_wonderful_article/")</f>
        <v/>
      </c>
      <c r="G4389" t="inlineStr">
        <is>
          <t>2019-08-27 06:22:50</t>
        </is>
      </c>
      <c r="H4389" t="inlineStr"/>
    </row>
    <row r="4390">
      <c r="A4390" t="inlineStr">
        <is>
          <t>cw5cqd</t>
        </is>
      </c>
      <c r="B4390" t="inlineStr">
        <is>
          <t>Father with possible colon cancer</t>
        </is>
      </c>
      <c r="C4390" t="inlineStr">
        <is>
          <t>For two years, my dad has been having colon issues. The day before his colonoscopy, he finally told me and my sisters how serious his condition is, and how certain his doctor is that a mass in his colon is cancer. I am 19 years old and have no idea what to do, what to feel, or how to do anything. The colonoscopy is today, August 27th at 3pm. I don’t know when the results will come in. I don’t know anything. If anyone has any advice or anything to say at all, I would appreciate it so much.</t>
        </is>
      </c>
      <c r="D4390" t="n">
        <v>3</v>
      </c>
      <c r="E4390" t="n">
        <v>5</v>
      </c>
      <c r="F4390">
        <f>HYPERLINK("https://www.reddit.com/r/cancer/comments/cw5cqd/father_with_possible_colon_cancer/")</f>
        <v/>
      </c>
      <c r="G4390" t="inlineStr">
        <is>
          <t>2019-08-27 07:38:53</t>
        </is>
      </c>
      <c r="H4390" t="inlineStr"/>
    </row>
    <row r="4391">
      <c r="A4391" t="inlineStr">
        <is>
          <t>cw62jy</t>
        </is>
      </c>
      <c r="B4391" t="inlineStr">
        <is>
          <t>Family history of Myeloma, MGUS</t>
        </is>
      </c>
      <c r="C4391" t="inlineStr">
        <is>
          <t>New member here.
I have close relatives on both sides of my family that contracted Multiple Myeloma (maternal grandmother and now my dad). He had been diagnosed with MGUS for several years prior.
How likely is it that myself and other family members will get it?
Would MGUS have been picked up in other blood tests if any of us had it? (I have them for thyroid at least once a year).
I wouldn't normally worry but I have had trouble gaining weight in recent years and have a lot of fatigue too so with MM looming large in my immediate family my mind keeps going there. Thanks.</t>
        </is>
      </c>
      <c r="D4391" t="n">
        <v>1</v>
      </c>
      <c r="E4391" t="n">
        <v>0</v>
      </c>
      <c r="F4391">
        <f>HYPERLINK("https://www.reddit.com/r/cancer/comments/cw62jy/family_history_of_myeloma_mgus/")</f>
        <v/>
      </c>
      <c r="G4391" t="inlineStr">
        <is>
          <t>2019-08-27 08:32:36</t>
        </is>
      </c>
      <c r="H4391" t="inlineStr"/>
    </row>
    <row r="4392">
      <c r="A4392" t="inlineStr">
        <is>
          <t>cw711z</t>
        </is>
      </c>
      <c r="B4392" t="inlineStr">
        <is>
          <t>Uncle in ICU</t>
        </is>
      </c>
      <c r="C4392" t="inlineStr">
        <is>
          <t>My uncle had lung cancer and went thru treatment and got cleared 2 months ago, end of July they found a spot on his kidneys that could be cancer, last night I received a call from my mom saying he is in ICU with brain tumors that are inoperable according to the neurologist. Primary care Dr has recommended hospice. The cancer Dr has been in yet or if he or she has my mom hasn't told me what he said yet. I'm 3 hours away and scared for my uncle. I don't think he has a chance but I want to know how bad it is. Anyone have any advice?</t>
        </is>
      </c>
      <c r="D4392" t="n">
        <v>0</v>
      </c>
      <c r="E4392" t="n">
        <v>1</v>
      </c>
      <c r="F4392">
        <f>HYPERLINK("https://www.reddit.com/r/cancer/comments/cw711z/uncle_in_icu/")</f>
        <v/>
      </c>
      <c r="G4392" t="inlineStr">
        <is>
          <t>2019-08-27 09:43:25</t>
        </is>
      </c>
      <c r="H4392" t="inlineStr"/>
    </row>
    <row r="4393">
      <c r="A4393" t="inlineStr">
        <is>
          <t>cw7893</t>
        </is>
      </c>
      <c r="B4393" t="inlineStr">
        <is>
          <t>Witness cremation update</t>
        </is>
      </c>
      <c r="C4393" t="inlineStr">
        <is>
          <t>Just wanted to post the update to my original post about witness cremation. Friday my best friend was cremated after a long battle with cancer. He was not embalmed or anything post death so he didn’t look much like himself anymore. I knew it was him regardless. He is a Buddhist so we had a monk come and do the ceremony. It was like we were there for his final send off and it was a beautiful thing. They allowed us to be with him 45 minutes and we could put anything other then metal or jewelry in with him. We placed driftwood from a recent trip we took, tree bark from his favorite trail, lavender from his garden and trimmings off one of his plants, also dahlias petals on top of him. They then cover the box and took us into the crematory. One of our friends then pushed the button to start the process. It was hard thing to witness but also beautiful to know he got what he wanted and that was us to be with him til the very end. I know some people think this is morbid but it really was final and just watching him go how he wanted gave us peace.</t>
        </is>
      </c>
      <c r="D4393" t="n">
        <v>17</v>
      </c>
      <c r="E4393" t="n">
        <v>7</v>
      </c>
      <c r="F4393">
        <f>HYPERLINK("https://www.reddit.com/r/cancer/comments/cw7893/witness_cremation_update/")</f>
        <v/>
      </c>
      <c r="G4393" t="inlineStr">
        <is>
          <t>2019-08-27 09:58:25</t>
        </is>
      </c>
      <c r="H4393" t="inlineStr"/>
    </row>
    <row r="4394">
      <c r="A4394" t="inlineStr">
        <is>
          <t>cw81n4</t>
        </is>
      </c>
      <c r="B4394" t="inlineStr">
        <is>
          <t>Scans clear after beating Stage IV colon cancer!</t>
        </is>
      </c>
      <c r="C4394" t="inlineStr">
        <is>
          <t>One year ago, I discovered I had a four pound tumor on my liver. I had a liver resection and 12 rounds of chemo, and now I appear to be, at least for now, clear of any signs of cancer. I get my port out next!</t>
        </is>
      </c>
      <c r="D4394" t="n">
        <v>214</v>
      </c>
      <c r="E4394" t="n">
        <v>62</v>
      </c>
      <c r="F4394">
        <f>HYPERLINK("https://www.reddit.com/r/cancer/comments/cw81n4/scans_clear_after_beating_stage_iv_colon_cancer/")</f>
        <v/>
      </c>
      <c r="G4394" t="inlineStr">
        <is>
          <t>2019-08-27 10:58:56</t>
        </is>
      </c>
      <c r="H4394" t="inlineStr"/>
    </row>
    <row r="4395">
      <c r="A4395" t="inlineStr">
        <is>
          <t>cwat75</t>
        </is>
      </c>
      <c r="B4395" t="inlineStr">
        <is>
          <t>Stage IV lung adenocarcinoma that may have spread to liver</t>
        </is>
      </c>
      <c r="C4395" t="inlineStr">
        <is>
          <t>My husband has stage IV lung adenocarcinoma that we think has spread to his liver. Blood test results weren’t good so he’s getting an X-ray today and scans on Friday. His hair started falling out despite not being on chemo for quite some time and he had hair while doing chemo. He also had to be put on thyroid meds which we expected to stop the hair loss. Anyone have this be a symptom of liver cancer? I can’t find anything about hair loss from it. I know it’s one of the least thing to worry about but I see him sadder every time he looks at it in the mirror.</t>
        </is>
      </c>
      <c r="D4395" t="n">
        <v>1</v>
      </c>
      <c r="E4395" t="n">
        <v>1</v>
      </c>
      <c r="F4395">
        <f>HYPERLINK("https://www.reddit.com/r/cancer/comments/cwat75/stage_iv_lung_adenocarcinoma_that_may_have_spread/")</f>
        <v/>
      </c>
      <c r="G4395" t="inlineStr">
        <is>
          <t>2019-08-27 14:23:59</t>
        </is>
      </c>
      <c r="H4395" t="inlineStr"/>
    </row>
    <row r="4396">
      <c r="A4396" t="inlineStr">
        <is>
          <t>cwbsz1</t>
        </is>
      </c>
      <c r="B4396" t="inlineStr">
        <is>
          <t>Has anyone else here had a bilateral mastectomy with reconstructive surgery? Looking for tips and your experiences.</t>
        </is>
      </c>
      <c r="C4396" t="inlineStr">
        <is>
          <t>My mom (65 years old). Was recently diagnosed with breast cancer - DCIS Stage 0, grade 3 (doctor said lymphnodes don't look inflamed which is why she states stage 0 instead of stage 1).  My mom was given several options for surgery: lumpectomy on the right breast with removal of approximately 10 cm (4 in) of tissue and the nipple, a mastectomy of the right breast, or a bilateral mastectomy as the chance of the cancer developing in the left breast is about 20%.  My mom lost both parents to cancer when they were around her age and doesn't want to have to deal with radiation or chemo after the fact so she decided to go forward with the bilateral mastectomy followed by reconstructive surgery.
At this time, my mom still plans to do the bilateral mastectomy but is now on the fence about the reconstructive surgery.  She is worried about the amount of time she will need spacers in following surgery and how many return visits she will have to make back to the doctor before they do the final surgery.  She is also worried about pain and recovery time.  
Someone who had a similar surgery told her they had 2 month of recovery after the mastectomy followed by 7 months with the spacers (with trips to the doctor once per week) before she could have her reconstructive surgery.  My mom doesn't know if she wants to give up that much of her time just to retain breasts.  I did tell her everyone may be different and we plan to contact her surgeons this week with a list of questions, but she would like to hear from other women who went through a bilateral mastectomy and did or didn't have reconstructive surgery.  
If you chose not to get reconstructive surgery, how did you feel after your mastectomy?  Did you regret not getting reconstructive surgery?  If you did get reconstructive surgery, what did you go through in the healing process and up to reconstructive surgery?  Were you glad you went through with it?  To anyone who has had one or both surgeries, any tips or products you recommend (bras, shirts, pillows, ect)?  Any personal experiences are welcome, good or bad.  I'll be looking at then before I send them to her so don't worry about being too honest.
We also have to figure out a good idea of recovery time because my mom is a contractor and doesn't have disability benefits so she will be living off a small savings and myself and other family members will be helping her as much as we can.
Thanks in advance for any info you can give us.</t>
        </is>
      </c>
      <c r="D4396" t="n">
        <v>1</v>
      </c>
      <c r="E4396" t="n">
        <v>4</v>
      </c>
      <c r="F4396">
        <f>HYPERLINK("https://www.reddit.com/r/cancer/comments/cwbsz1/has_anyone_else_here_had_a_bilateral_mastectomy/")</f>
        <v/>
      </c>
      <c r="G4396" t="inlineStr">
        <is>
          <t>2019-08-27 15:36:44</t>
        </is>
      </c>
      <c r="H4396" t="inlineStr"/>
    </row>
    <row r="4397">
      <c r="A4397" t="inlineStr">
        <is>
          <t>cwdvgk</t>
        </is>
      </c>
      <c r="B4397" t="inlineStr">
        <is>
          <t>BRCA testing - should I (29F) get tested?</t>
        </is>
      </c>
      <c r="C4397" t="inlineStr">
        <is>
          <t>Unfortunately, my mom (59) is currently awaiting results on a breast biopsy which the doctor said he is 95% sure will be cancer. My aunt also had breast cancer and a double mastectomy at 59 years old (about 10 years ago). Not sure if she had a BRCA mutation. 
My paternal grandmother died around the age of 70 from ovarian cancer. Again..I’m not sure if she was positive. 
I am a 29 year old and had a fibroadenoma at the age of 21 that was removed. I’m wondering now in light of my mom will insurance cover genetic testing? Do I even need to worry about this until I know whether my mom is positive? 
I have 3 sisters and am worried for all of us at this point.</t>
        </is>
      </c>
      <c r="D4397" t="n">
        <v>1</v>
      </c>
      <c r="E4397" t="n">
        <v>5</v>
      </c>
      <c r="F4397">
        <f>HYPERLINK("https://www.reddit.com/r/cancer/comments/cwdvgk/brca_testing_should_i_29f_get_tested/")</f>
        <v/>
      </c>
      <c r="G4397" t="inlineStr">
        <is>
          <t>2019-08-27 18:27:17</t>
        </is>
      </c>
      <c r="H4397" t="inlineStr"/>
    </row>
    <row r="4398">
      <c r="A4398" t="inlineStr">
        <is>
          <t>cwdzdf</t>
        </is>
      </c>
      <c r="B4398" t="inlineStr">
        <is>
          <t>My journey with cancer so far...</t>
        </is>
      </c>
      <c r="C4398" t="inlineStr">
        <is>
          <t>Back in June, I was hospitalized for 4 days with an infection.  I had a UTI that spread to my kidney and then went septic almost killing me.  To be honest it also saved me.  While in the hospital they did a CT scan on my abdomen and found something unrelated.  It was a \~3.6cm mass and all they said was get this checked out with a urologist asap when you get out of the hospital.  My urologist sent me for an MRI...  When the results came back I was terrified. The MRI showed likely papillary renal cell carcinoma.  He suggested a partial nephrectomy (remove just part of my kidney) using the DaVinci Robot.  The first few weeks after my diagnosis helped answer some questions I've had for a few years.  I had pain my right flank area for some time, but really thought it was just gas pain.  I also was having a decent amount of fatigue.  Those weeks were also a dark time.  I read all about various renal cancers and tried to learn as much as I could.  I learned, but it also scared the FUCK out of me.  
Fast forward to last week and my surgery.  I went in Wednesday at 11:30am and was put under by 1pm.  It was supposed to be about 2 hours.  7 hours later instead of a partial nephrectomy, they took my whole kidney.  So far the simple version of what happened was they took out the mass and sent it a pathology. The findings were not good so they decided to take the whole kidney via an open incision.  Coming out of surgery for me has always been very rough.  This time it was horrific.  I've never hurt like that before.  They gave me the button for pain meds that I pressed every 10 minutes and then some.   I remember in my head screaming CANCER SUCKS over and over.  It took my Mom, my Dad, and it trying to take me.  So coming out of this I have some uncertainty with what's going on.  One doctor mentioned potential radiation treatments, but we will see.  
I will update more as time goes...
The best part of this situation was to see my family, my friends, people in the community all rally around me and send their support. It really makes it easier knowing your loved.  Sometimes when the pain is intense it can try to convince you to quit, the support and love I received is keeping me going.  My wife ended up getting a horrible double ear infection and she has been juggling the kids and a few part-time jobs and being generally amazing!  more to come too tired to type anymore...</t>
        </is>
      </c>
      <c r="D4398" t="n">
        <v>3</v>
      </c>
      <c r="E4398" t="n">
        <v>4</v>
      </c>
      <c r="F4398">
        <f>HYPERLINK("https://www.reddit.com/r/cancer/comments/cwdzdf/my_journey_with_cancer_so_far/")</f>
        <v/>
      </c>
      <c r="G4398" t="inlineStr">
        <is>
          <t>2019-08-27 18:35:51</t>
        </is>
      </c>
      <c r="H4398" t="inlineStr"/>
    </row>
    <row r="4399">
      <c r="A4399" t="inlineStr">
        <is>
          <t>cwe4wx</t>
        </is>
      </c>
      <c r="B4399" t="inlineStr">
        <is>
          <t>Subungual Melanoma? maybe?</t>
        </is>
      </c>
      <c r="C4399" t="inlineStr">
        <is>
          <t xml:space="preserve"> 
Age: 24
Ethnicity: White
Sex: F
Medication: Anti-Anxiety, Lupus
Conditions: Lupus (minor)
[https://imgur.com/a/TT8DUZL](https://imgur.com/a/TT8DUZL)
Hi all, my fiancé has had this large blackish spot on her left big toe for about 3 months, and her doctor at the time told her it was either a bruise, or melanoma. She’s since been waiting (1 more month) for an appointment with a dermatologist. 
Recently, another similar mark has shown up on her right big toe, looking very similar to how the left started. The left one seems to have moved up slightly, but not as fast as nail growth.
Do we think this may be melanoma? It doesn’t have the streak-like symptom most online posts show, but it has gotten much darker, and doesn’t cause pain, making me think it isn’t a subungual hematoma.
Additionally, is 4 months WAY too long for this to go untreated? Thanks all.
[https://imgur.com/a/TT8DUZL](https://imgur.com/a/TT8DUZL)</t>
        </is>
      </c>
      <c r="D4399" t="n">
        <v>0</v>
      </c>
      <c r="E4399" t="n">
        <v>4</v>
      </c>
      <c r="F4399">
        <f>HYPERLINK("https://www.reddit.com/r/cancer/comments/cwe4wx/subungual_melanoma_maybe/")</f>
        <v/>
      </c>
      <c r="G4399" t="inlineStr">
        <is>
          <t>2019-08-27 18:48:23</t>
        </is>
      </c>
      <c r="H4399" t="inlineStr"/>
    </row>
    <row r="4400">
      <c r="A4400" t="inlineStr">
        <is>
          <t>cwehjl</t>
        </is>
      </c>
      <c r="B4400" t="inlineStr">
        <is>
          <t>Mother passed.</t>
        </is>
      </c>
      <c r="C4400" t="inlineStr">
        <is>
          <t>Posted maybe two weeks ago about needing to put some weight on my mother to get her home from rehab.  She wanted to be home so finally I got ahold of the right people or yelled enough. We set up at home care. Had two wonderful days home. Buried her today.
Early detection is key. This could have been avoided had my mother been checked. This might have been easier had she not been so stubborn. This could have been prevented had my mom not smoked for 50 years.  
If you smoke, please try to stop. I write this while smoking. Feels like shit. Everyone else stopped smoking in my family. I've since doubled. Haven't had my "moment yet." I only missed one night with my mom while she was hospitalized and in rehab. I tried to get her to eat. I tried to make her life more enjoyable. I tried to find the right help. I designed her headstone. I made her funeral arrangements. I wrote the eulogy. I read it today and it wasn't good enough for her. 
Am I at peace ? Am I okay ?
I'm not sure what's wrong with me. My brothers and sisters all cried. They all are sad. Have I supressed my feelings in am attempt to be strong for everyome around me ? Yes. Have I supressed them so long they're gone ? Maybe. Maybe they've turned into anger. I have only been angry. God help me. 
I didn't mean for this post to include this. Please get cancer screenings. Please take care of yourself. It could already be too late. God bless.</t>
        </is>
      </c>
      <c r="D4400" t="n">
        <v>4</v>
      </c>
      <c r="E4400" t="n">
        <v>6</v>
      </c>
      <c r="F4400">
        <f>HYPERLINK("https://www.reddit.com/r/cancer/comments/cwehjl/mother_passed/")</f>
        <v/>
      </c>
      <c r="G4400" t="inlineStr">
        <is>
          <t>2019-08-27 19:18:07</t>
        </is>
      </c>
      <c r="H4400" t="inlineStr"/>
    </row>
    <row r="4401">
      <c r="A4401" t="inlineStr">
        <is>
          <t>cweq30</t>
        </is>
      </c>
      <c r="B4401" t="inlineStr">
        <is>
          <t>Caregiver and Son Venting</t>
        </is>
      </c>
      <c r="C4401" t="inlineStr">
        <is>
          <t>It's 11 pm, my dad is in his bed, he has stage IV PC. He was just moaning and I rain in, I had to unplug his CPAP "I don't want to be alone" he sais faintly. My mom rushes in to be next to him, she's gotta be up in a few hours to go to school, she's a 1st-grade teacher - without her health insurance he bankrupts himself and his wife while dying...what a health care system we have eh? I lay down next to him for a little bit and tell him he's a warrior, he's strong...wishing I was a kid again when his arms were bigger.   
I've got a lot to be thankful for, that he's still here, that our insurance affords us treatment, that he's loved with his family, that I can work remote...But fuck the fucking fuck out of cancer eh?   
Sincerely  
A heart-broken son.</t>
        </is>
      </c>
      <c r="D4401" t="n">
        <v>14</v>
      </c>
      <c r="E4401" t="n">
        <v>7</v>
      </c>
      <c r="F4401">
        <f>HYPERLINK("https://www.reddit.com/r/cancer/comments/cweq30/caregiver_and_son_venting/")</f>
        <v/>
      </c>
      <c r="G4401" t="inlineStr">
        <is>
          <t>2019-08-27 19:38:40</t>
        </is>
      </c>
      <c r="H4401" t="inlineStr"/>
    </row>
    <row r="4402">
      <c r="A4402" t="inlineStr">
        <is>
          <t>cwfzsl</t>
        </is>
      </c>
      <c r="B4402" t="inlineStr">
        <is>
          <t>Is it bad to smoke pot during chemo? 21M.. it’s just for taking the edge off. I think it’s better than alcohol</t>
        </is>
      </c>
      <c r="C4402" t="inlineStr">
        <is>
          <t>The title says it all! I don’t want to ask my doctor because it sound stupid but I feel so depress since I got the news and my chemo is killing me. I’m super high right now and never felt so good.. is it ok? Anyone experiences?</t>
        </is>
      </c>
      <c r="D4402" t="n">
        <v>6</v>
      </c>
      <c r="E4402" t="n">
        <v>13</v>
      </c>
      <c r="F4402">
        <f>HYPERLINK("https://www.reddit.com/r/cancer/comments/cwfzsl/is_it_bad_to_smoke_pot_during_chemo_21m_its_just/")</f>
        <v/>
      </c>
      <c r="G4402" t="inlineStr">
        <is>
          <t>2019-08-27 21:42:07</t>
        </is>
      </c>
      <c r="H4402" t="inlineStr"/>
    </row>
    <row r="4403">
      <c r="A4403" t="inlineStr">
        <is>
          <t>cwgu8n</t>
        </is>
      </c>
      <c r="B4403" t="inlineStr">
        <is>
          <t>Smoking during chemo</t>
        </is>
      </c>
      <c r="C4403" t="inlineStr">
        <is>
          <t>My mom had her first round of radiation &amp;amp; chemo today. She’s a long time smoker -benson &amp;amp; hedges ultra light menthol 100s to be specific.  
She’s still smoking. 
Her doctors apparently told her it won’t affect treatments but may i say WHAT THE FUCK?!
That’s all. Just a rant.</t>
        </is>
      </c>
      <c r="D4403" t="n">
        <v>2</v>
      </c>
      <c r="E4403" t="n">
        <v>6</v>
      </c>
      <c r="F4403">
        <f>HYPERLINK("https://www.reddit.com/r/cancer/comments/cwgu8n/smoking_during_chemo/")</f>
        <v/>
      </c>
      <c r="G4403" t="inlineStr">
        <is>
          <t>2019-08-27 23:17:17</t>
        </is>
      </c>
      <c r="H4403" t="inlineStr"/>
    </row>
    <row r="4404">
      <c r="A4404" t="inlineStr">
        <is>
          <t>cwh1dr</t>
        </is>
      </c>
      <c r="B4404" t="inlineStr">
        <is>
          <t>Im Scared</t>
        </is>
      </c>
      <c r="C4404" t="inlineStr">
        <is>
          <t>Im a healthy 18 year old male and have symptoms of Hodgkin's Lymphoma and im waiting for results to come back in. I just want to live a normal life. I really really really hope the tests come back negative and I hope im not being a hypochondriac but every single symptom I read is spot on for me. I dont know what im trying to say but im scared and I want it to go away.</t>
        </is>
      </c>
      <c r="D4404" t="n">
        <v>1</v>
      </c>
      <c r="E4404" t="n">
        <v>2</v>
      </c>
      <c r="F4404">
        <f>HYPERLINK("https://www.reddit.com/r/cancer/comments/cwh1dr/im_scared/")</f>
        <v/>
      </c>
      <c r="G4404" t="inlineStr">
        <is>
          <t>2019-08-27 23:41:17</t>
        </is>
      </c>
      <c r="H4404" t="inlineStr"/>
    </row>
    <row r="4405">
      <c r="A4405" t="inlineStr">
        <is>
          <t>cwi2ov</t>
        </is>
      </c>
      <c r="B4405" t="inlineStr">
        <is>
          <t>Mental Health Post-Cancer (25y M)</t>
        </is>
      </c>
      <c r="C4405" t="inlineStr">
        <is>
          <t>In May of 2017 I was diagnosed with stage 4 brain cancer. Since then I've had two surgeries to remove tumors, radiation, and chemotherapy. My MRI scans since treatment ended a year ago have been clear. Medically I've been doing well, but even with mostly all positive signs, I've really been struggling mentally. Obviously as time goes on it gets a little bit easier, but it's still been really tough. 
I already struggled with bad anxiety and mild depression, but since going through a traumatic experience like having cancer, I feel like I am set off and stressed out very easily by things. I find myself becoming suddenly depressed and just crying alone at times caused by something small and completely insignificant or unrelated.
I dealt with the experience of cancer fairly well given the circumstances, but I just have a fear hanging over me that it will someday return. Oftentimes I want to scream or punch a wall. I have so much bottled up stress and anxiety. I think the worst part is that now that I'm not overtly dealing with cancer I have lost the support of those around me who just assume I'm "healthy now" bc scans don't currently show cancer or because I no longer "look sick."
Does anybody deal with similar issues, and does anybody have any suggestions that have helped them, outside of the obvious talking to a therapist or to close friends and family? All of which Ive done.</t>
        </is>
      </c>
      <c r="D4405" t="n">
        <v>9</v>
      </c>
      <c r="E4405" t="n">
        <v>5</v>
      </c>
      <c r="F4405">
        <f>HYPERLINK("https://www.reddit.com/r/cancer/comments/cwi2ov/mental_health_postcancer_25y_m/")</f>
        <v/>
      </c>
      <c r="G4405" t="inlineStr">
        <is>
          <t>2019-08-28 01:51:40</t>
        </is>
      </c>
      <c r="H4405" t="inlineStr"/>
    </row>
    <row r="4406">
      <c r="A4406" t="inlineStr">
        <is>
          <t>cwizm9</t>
        </is>
      </c>
      <c r="B4406" t="inlineStr">
        <is>
          <t>My family won’t accept I’m going to die.</t>
        </is>
      </c>
      <c r="C4406" t="inlineStr">
        <is>
          <t>I have advanced cervical cancer. It has spread to my pelvic lymph nodes and even throughout radiation therapy to my pelvis the cancer in my lymph nodes got bigger. I have been told I will never be cancer free, I have learnt to accept that. I have also accepted my fate that at some point (hopefully not for a long time &amp;amp; I am more than ready to kick ass for as long as I possibly can) this cancer is going to kill me. I have been offered and have accepted palliative chemotherapy to try and give me as much time as possible with my family. 
The problem lies in the fact they cannot and will not accept what is happening. They’re full of the whole ‘well chemo will kick it’s butt &amp;amp; you will be fine’ or ‘the doctors should have gave radiation to the lymph nodes in the first place it’s their fault’ .. no matter how many times I correct them and explain what has happened and is happening they refuse to accept it. It hurts, I just want to be happy for whatever time I have left, I also have important discussions I NEED to have before I die but every time I try sitting down and talking about this I get shut off with ‘you won’t die, chemo will kick it’s butt’ .. seriously, I don’t even know any more.</t>
        </is>
      </c>
      <c r="D4406" t="n">
        <v>104</v>
      </c>
      <c r="E4406" t="n">
        <v>25</v>
      </c>
      <c r="F4406">
        <f>HYPERLINK("https://www.reddit.com/r/cancer/comments/cwizm9/my_family_wont_accept_im_going_to_die/")</f>
        <v/>
      </c>
      <c r="G4406" t="inlineStr">
        <is>
          <t>2019-08-28 03:37:02</t>
        </is>
      </c>
      <c r="H4406" t="inlineStr"/>
    </row>
    <row r="4407">
      <c r="A4407" t="inlineStr">
        <is>
          <t>cwj21w</t>
        </is>
      </c>
      <c r="B4407" t="inlineStr">
        <is>
          <t>Autologous stem cell transplant in India</t>
        </is>
      </c>
      <c r="C4407" t="inlineStr">
        <is>
          <t>My cousin brother was diagnosed with stage 4 Neuroblastoma an year ago and he has had (and ongoing) 9 chemo sessions. He reacted well to chemotherapy and is starting radiotherapy next week to treat a small cancerous spot in his brain. Scan results from earlier this month revealed that he doesn’t have cancer anywhere else. 
After a month of radiotherapy he needs to undergo an autologous stem cell transplant. We’re from Sri Lanka and it has not been done here for kids so we will have to take him to India. Does anyone know some good and possibly affordable cancer institutes in India where this can be done?
Thanks in advance</t>
        </is>
      </c>
      <c r="D4407" t="n">
        <v>4</v>
      </c>
      <c r="E4407" t="n">
        <v>0</v>
      </c>
      <c r="F4407">
        <f>HYPERLINK("https://www.reddit.com/r/cancer/comments/cwj21w/autologous_stem_cell_transplant_in_india/")</f>
        <v/>
      </c>
      <c r="G4407" t="inlineStr">
        <is>
          <t>2019-08-28 03:44:35</t>
        </is>
      </c>
      <c r="H4407" t="inlineStr"/>
    </row>
    <row r="4408">
      <c r="A4408" t="inlineStr">
        <is>
          <t>cwkg3s</t>
        </is>
      </c>
      <c r="B4408" t="inlineStr">
        <is>
          <t>Possible soft-tissue sarcoma</t>
        </is>
      </c>
      <c r="C4408" t="inlineStr">
        <is>
          <t>I feel sort of silly posting here since I am not sure what is in my leg yet, I’m seeing an orthopedic oncologist next week. I noticed a hard lump in my calf back in March of this year after a yoga class. I went to a dermatologist the following week, who sent me for an ultrasound to rule out a blood clot, and then diagnosed it as a lipoma and wanted to refer me to a general surgeon to get it removed. At the time it was painless and I’m a runner so I said I would just keep an eye on it rather than cutting into my leg and having to miss time running while healing. I asked if she thought I should be concerned and she said no.
The lump never went away. It still didn’t hurt for awhile and when I showed it to my GP she wasn’t concerned and my OBGYN said she thought it was a clump of varicose veins. Flash forward to a month or so ago and I started noticing short, shooting pains in that area when I ran. I had started wearing a compression sleeve on it when running because I suspected a muscle hernia. Then last week the pain went from occasional to fairly constant. It also went from slightly painful to stabbing pain that travels the length of my leg and feeling like there was so much pressure in my calf that it was going to explode. I ended up going to the ER to rule out a blood clot again - I’d had one a long time ago - and then I saw an orthopedic surgeon as I still suspected a muscle hernia.
The first thing he said when he saw the lump in my leg is “do you have a family history of cancer?” I didn’t think anything of it. He sent me for an MRI, which I assumed would confirm what I thought was a muscle hernia. Instead, there is a 12x6x5 mm lobulated lesion in the subcutaneous fat of my calf. The MRI said it might be nodular fasciitis but a more aggressive tumor cannot be ruled out. The orthopedic surgeon referred me to an orthopedic sarcoma specialist for a biopsy, and said there was a better chance of my being hit by lightning than this lump being cancer. But the oncologist got me in surprisingly quickly - I go next Tuesday - and the orthopedic surgeon’s assistant kept saying how this guy is the best in his field, which makes me concerned that they actually do suspect a sarcoma and just don’t want to tell me.
I guess my question is did anyone go through something similar? Did anyone get diagnosed with nodular fasciitis? From what I’ve read, that diagnosis is also rare so I feel like I should prepare for the worst but hope for the best...</t>
        </is>
      </c>
      <c r="D4408" t="n">
        <v>1</v>
      </c>
      <c r="E4408" t="n">
        <v>0</v>
      </c>
      <c r="F4408">
        <f>HYPERLINK("https://www.reddit.com/r/cancer/comments/cwkg3s/possible_softtissue_sarcoma/")</f>
        <v/>
      </c>
      <c r="G4408" t="inlineStr">
        <is>
          <t>2019-08-28 05:57:08</t>
        </is>
      </c>
      <c r="H4408" t="inlineStr"/>
    </row>
    <row r="4409">
      <c r="A4409" t="inlineStr">
        <is>
          <t>cwkw6f</t>
        </is>
      </c>
      <c r="B4409" t="inlineStr">
        <is>
          <t>Online friend with ALK stage 4 - what shall I send her as a gift?</t>
        </is>
      </c>
      <c r="C4409" t="inlineStr">
        <is>
          <t>I hope this is the right place to post, apologies if not. I have recently started talking to someone online with stage 4 ALK lung cancer (diagnosed around a month ago). I really get on with her, shes lovely and we've become kind of friends. I wanted to send her something, a card and a gift or a few gifts to cheer her up as she's had a tough week of infections and pain. (She has given me her address) I wondered if anyone had any ideas of what would be a nice thing to receive? She told me today she's getting married in April and she also has a beautiful daughter who's a few months old. (I'm also female if that's relevant) Thanks in advance for your help guys! I think we're meeting for coffee when she's feeling a bit better :)</t>
        </is>
      </c>
      <c r="D4409" t="n">
        <v>2</v>
      </c>
      <c r="E4409" t="n">
        <v>0</v>
      </c>
      <c r="F4409">
        <f>HYPERLINK("https://www.reddit.com/r/cancer/comments/cwkw6f/online_friend_with_alk_stage_4_what_shall_i_send/")</f>
        <v/>
      </c>
      <c r="G4409" t="inlineStr">
        <is>
          <t>2019-08-28 06:34:22</t>
        </is>
      </c>
      <c r="H4409" t="inlineStr"/>
    </row>
    <row r="4410">
      <c r="A4410" t="inlineStr">
        <is>
          <t>cwloe9</t>
        </is>
      </c>
      <c r="B4410" t="inlineStr">
        <is>
          <t>Grandma (84) has Stage I breast cancer. She goes in for surgery and subsequently radiation next month. Advice on how I can best take care of her and minimize any discomfort or stress?</t>
        </is>
      </c>
      <c r="C4410" t="inlineStr">
        <is>
          <t>The doctors call it stage 0 and stage 1. It’s localized to the breast and the removal and a bit of radiation after should take care of it (fingers crossed). I’m staying with her and grandpa with my toddler while my husband is on TDY and I would love some advice and experiences with this type of thing. I just want to have some idea of what to expect and be able to help her out as much as I can. 
I plan to clean, cook and help with any medical things, as well as keep the baby occupied so they can just have some downtime together since her grandkids/great-grandkids are her life. I know she will be tired and sore.</t>
        </is>
      </c>
      <c r="D4410" t="n">
        <v>6</v>
      </c>
      <c r="E4410" t="n">
        <v>1</v>
      </c>
      <c r="F4410">
        <f>HYPERLINK("https://www.reddit.com/r/cancer/comments/cwloe9/grandma_84_has_stage_i_breast_cancer_she_goes_in/")</f>
        <v/>
      </c>
      <c r="G4410" t="inlineStr">
        <is>
          <t>2019-08-28 07:37:04</t>
        </is>
      </c>
      <c r="H4410" t="inlineStr"/>
    </row>
    <row r="4411">
      <c r="A4411" t="inlineStr">
        <is>
          <t>cwlqyx</t>
        </is>
      </c>
      <c r="B4411" t="inlineStr">
        <is>
          <t>Wife's Breast Cancer is Back After 5 Years. Pretty Scared....and Have Questions...</t>
        </is>
      </c>
      <c r="C4411" t="inlineStr">
        <is>
          <t>My wife was a Stage 1 Breast Cancer survivor.  Diagnosed in 2011.  Had a single mastectomy.   Took her Tamoxifen for 3.5 years and kept getting check-ups.  Was 5 years clean.  Fast forward to 2019.  She noticed bumps under her armpit and in her next.  Biopsy showed that her cancer is back.  Thank God the PET scan showed that her cancer didn't spread, but it may be Inflammatory, which I have now learned if very aggressive and tough to combat.  Her cancer is also triple negative so that doesn't help us.    We are both 49 and our daughter is 16.  We are lucky enough to live in a city that has one of the best hospitals on the planet (despite the President calling it "rat infested".  
Chemo starts Friday for 12 weeks (one a week).  My questions revolve around that.  The first time around, she had 6 sessions every 4 weeks so it was somewhat manageable.  I'm thinking this time it's going to be much harder.  So, putting aside the answer "everyone is different":  
* Will she realistically be able to continue to work?
* Is this a situation where there is a good chance she is bedridden for an extended period?
* Is this a situation where someone may need to be with her at all times?  
* How quickly can Inflammatory Breast Cancer Spread and what does that spreading "look like" (not physically, I mean what will likely happen)?
Thanks Reddit.</t>
        </is>
      </c>
      <c r="D4411" t="n">
        <v>15</v>
      </c>
      <c r="E4411" t="n">
        <v>12</v>
      </c>
      <c r="F4411">
        <f>HYPERLINK("https://www.reddit.com/r/cancer/comments/cwlqyx/wifes_breast_cancer_is_back_after_5_years_pretty/")</f>
        <v/>
      </c>
      <c r="G4411" t="inlineStr">
        <is>
          <t>2019-08-28 07:42:47</t>
        </is>
      </c>
      <c r="H4411" t="inlineStr"/>
    </row>
    <row r="4412">
      <c r="A4412" t="inlineStr">
        <is>
          <t>cwm0g2</t>
        </is>
      </c>
      <c r="B4412" t="inlineStr">
        <is>
          <t>Difficult Decision Time Venting</t>
        </is>
      </c>
      <c r="C4412" t="inlineStr">
        <is>
          <t>My mother has been fighting as hard as she can. The tumors in her back have spread and it’s causing her whole body to be in constant pain. Radiation is the only thing keeping her from being paralyzed and she no longer wants to go. We are facing an aggressive cancer that hasn’t been slowed by the chemo, and it looks like we are coming to a point where we might have to make her comfortable over hoping she will get better. It’s so painful to talk about, and I’m not sure how to prepare for having to tell someone that it’s time to stop. We know even with more aggressive chemo, all it will do is slow down the spread. I am struggling between wanting more time and wanting her quality of life to increase, but we can’t have both.</t>
        </is>
      </c>
      <c r="D4412" t="n">
        <v>11</v>
      </c>
      <c r="E4412" t="n">
        <v>6</v>
      </c>
      <c r="F4412">
        <f>HYPERLINK("https://www.reddit.com/r/cancer/comments/cwm0g2/difficult_decision_time_venting/")</f>
        <v/>
      </c>
      <c r="G4412" t="inlineStr">
        <is>
          <t>2019-08-28 08:03:06</t>
        </is>
      </c>
      <c r="H4412" t="inlineStr"/>
    </row>
    <row r="4413">
      <c r="A4413" t="inlineStr">
        <is>
          <t>cwm122</t>
        </is>
      </c>
      <c r="B4413" t="inlineStr">
        <is>
          <t>Products that have the warning "may cause cancer" like does it really?</t>
        </is>
      </c>
      <c r="C4413" t="inlineStr">
        <is>
          <t>I just got a kayak and was buying some gear for myself. However, half of field and streams products have an effin cancer warning. Like, wtf? Why are they selling them if they cause it? Does it really cause cancer?</t>
        </is>
      </c>
      <c r="D4413" t="n">
        <v>2</v>
      </c>
      <c r="E4413" t="n">
        <v>4</v>
      </c>
      <c r="F4413">
        <f>HYPERLINK("https://www.reddit.com/r/cancer/comments/cwm122/products_that_have_the_warning_may_cause_cancer/")</f>
        <v/>
      </c>
      <c r="G4413" t="inlineStr">
        <is>
          <t>2019-08-28 08:04:21</t>
        </is>
      </c>
      <c r="H4413" t="inlineStr"/>
    </row>
    <row r="4414">
      <c r="A4414" t="inlineStr">
        <is>
          <t>cwmbx1</t>
        </is>
      </c>
      <c r="B4414" t="inlineStr">
        <is>
          <t>How much time does it take from diagnosis of S4 Lungcancer to Chemo?</t>
        </is>
      </c>
      <c r="C4414" t="inlineStr">
        <is>
          <t>Hello Reddit.
My mom has been diagnosed with stage 4 lungcancer about 2 1/2 weeks ago, the doctors said they should start chemo ASAP back then. They took a metastases-sample from her liver, sent it in and now the only thing we've been doing is waiting. My mom is in constant, terrible pain from the bone metastases, and it doesnt get any better, too. Is this considered a "normal" waiting time for something to finally happen? We're hoping the chemo will help ease her pain and find a few steps back into life before its all too late. She's basically sleeping 20 hours a day at this point.</t>
        </is>
      </c>
      <c r="D4414" t="n">
        <v>4</v>
      </c>
      <c r="E4414" t="n">
        <v>10</v>
      </c>
      <c r="F4414">
        <f>HYPERLINK("https://www.reddit.com/r/cancer/comments/cwmbx1/how_much_time_does_it_take_from_diagnosis_of_s4/")</f>
        <v/>
      </c>
      <c r="G4414" t="inlineStr">
        <is>
          <t>2019-08-28 08:27:15</t>
        </is>
      </c>
      <c r="H4414" t="inlineStr"/>
    </row>
    <row r="4415">
      <c r="A4415" t="inlineStr">
        <is>
          <t>cwntyk</t>
        </is>
      </c>
      <c r="B4415" t="inlineStr">
        <is>
          <t>My 61 year old mother has 7 cm hepatic mass</t>
        </is>
      </c>
      <c r="C4415" t="inlineStr">
        <is>
          <t>My mother - 61, Asian Female, 120 lbs, 5'6 lbs, Non-smoker, Non-drinker
Existing Medical Issue - Hypertension, Gastritis, had Hepatitis B but untraceable?
Current Medications: Amlopidine
My mom has taken good care of her health from the beginning -- eats healthy (plant-based), goes to the doctor more often than most of us do, and keeps herself active. However, she's having issues with her digestion (discomfort, nausea, bloated, sensitivity to some food) in the last 10 years. She's been trying to figure out the issue, but after multiple ultrasounds, results always point to gastritis. Her last ultrasound was in June 2016 and they did not see anything abnormal other than her gastritis issue.
This year, she has been losing a lot of weight, but we cannot figure out why. A neighbor of ours, who had same symptoms as my mom, just found out he has a 7 cm mass on his liver, which requires chemotheraphy. My mom decided to get another ultrasound, which also showed a 7 cm mass on her liver. Her overseas gastroenterologist urged her to get a biopsy or MRI / CT scan ASAP. She has not done it yet since we found out, since every time she had some scan done overseas, US doctors almost always require the scan to be done again.  
Few questions:
* I've done some initial research and found that most liver mass are non-cancerous. However, our neighbor made it sound like the weight loss symptom is a symptom that points to the mass being cancerous. Is this true?
* Some people are not recommending biopsy. Do you recommend going the MRI or CT scan route?
* If this is indeed cancerous, how does the prognosis look like?
* I live in Georgia (USA), but my mom lives in California. She has Medi-cal in California, but she has no family in CA. I'm concerned that if this ends up being serious, no one lives in California to provide her emotional and physical support. She cannot afford private insurance in GA, so can she use her Medi-cal coverage in GA? I know for emergency, she can. But I'm not sure for long term treatment.
* What is the cause of this type of mass? In 2016, there was no visible mass seen in the ultrasound. 3 years after, 7 cm hepatic mass is there. I've read some research that states stress can be a factor. My mom is currently going through some very stressful issues related to my brother, so I suspect this is contributing a lot. She lives a healthy lifestyle, and I'm not sure if this type is genetic.
Any thoughts, advice, words of wisdom are greatly appreciated. My mom has already been talking about being prepared to leave this world, so I'm trying to get some information here so I can support her as much as I can. Although it is very helpful to be prepared, she has major anxiety and do not want her worrying unnecessary.</t>
        </is>
      </c>
      <c r="D4415" t="n">
        <v>5</v>
      </c>
      <c r="E4415" t="n">
        <v>7</v>
      </c>
      <c r="F4415">
        <f>HYPERLINK("https://www.reddit.com/r/cancer/comments/cwntyk/my_61_year_old_mother_has_7_cm_hepatic_mass/")</f>
        <v/>
      </c>
      <c r="G4415" t="inlineStr">
        <is>
          <t>2019-08-28 10:19:55</t>
        </is>
      </c>
      <c r="H4415" t="inlineStr"/>
    </row>
    <row r="4416">
      <c r="A4416" t="inlineStr">
        <is>
          <t>cwoess</t>
        </is>
      </c>
      <c r="B4416" t="inlineStr">
        <is>
          <t>Husband in his 40s has Stage IV metastatic colon cancer</t>
        </is>
      </c>
      <c r="C4416" t="inlineStr">
        <is>
          <t>We have 4 children. 
They’re telling me he has 50% odds of being here for our babies 3ed birthday.
It was like static was playing in my head.
They keep telling me to stay positive. But what’s actually expected to happen now. Not chemo and crap. I mean, is he going to start declining? Will he start wasting away? What can I expect as his caretaker?
If anyone out there has this, please help me.</t>
        </is>
      </c>
      <c r="D4416" t="n">
        <v>45</v>
      </c>
      <c r="E4416" t="n">
        <v>28</v>
      </c>
      <c r="F4416">
        <f>HYPERLINK("https://www.reddit.com/r/cancer/comments/cwoess/husband_in_his_40s_has_stage_iv_metastatic_colon/")</f>
        <v/>
      </c>
      <c r="G4416" t="inlineStr">
        <is>
          <t>2019-08-28 11:02:50</t>
        </is>
      </c>
      <c r="H4416" t="inlineStr"/>
    </row>
    <row r="4417">
      <c r="A4417" t="inlineStr">
        <is>
          <t>cwp1js</t>
        </is>
      </c>
      <c r="B4417" t="inlineStr">
        <is>
          <t>How do I help support my boyfriend through a year of family tragedies?</t>
        </is>
      </c>
      <c r="C4417" t="inlineStr">
        <is>
          <t xml:space="preserve">
My (F28) boyfriend (M28) and I have been dating just over a year now. Background which might be helpful: we met, moved in together within 2 months of meeting (I know, some may think fast but this isn’t our first rodeo and we both knew what we were looking for. He is 100% the one.) Within a few weeks of knowing him, he let me know his mom had terminal cancer and his dad was also fighting cancer. His mom passed away 1 month after he and I moved in together, 3 months since we started dating. His grandma passed away a couple weeks after his mom, and then a couple months later, his uncle was diagnosed with cancer. Now, as if it couldn’t get any worse for his family, his dad has now been diagnosed with terminal cancer.
First advice question: 
As someone who hasn’t had any major family tragedies, extremely lucky and grateful for that, what advice do you have to help support him during those most insanely heartbreaking time in his life? I’m doing everything I can do to keep our lives as stable as possible, and he knows I support him, and will be there for him through everything, but is there something I can say or do? If you have been in this situation before, what would you have wished your partner said, or did to help support you? 
Second advice question: 
We’re still navigating the first year of dating, and moving in together, so we’ve had our ups and downs with that as every couple knows well. We are extremely close, I feel like I’ve known him my entire life, and our connection is strong but with all of this that’s going on, I feel like we’ve had to skip over a lot of the new couple, honeymoon stage bliss, and reality of real life set in pretty fast for us. I am in no way bitter about this. What I am concerned about is supporting him, but also keeping our relationship strong. Understandably, since his mom’s passing at the beginning of the year, he goes through bouts where he becomes very distant for days on end where we don’t really interact much, he doesn’t want any sort of intimate interactions with me (no kissing, cuddling, or sex) unless I push for it, which I try not to too much, and we just go about our days as if, what feels like to me, we are strangers living in the same space.  It’s hard for me to see him like that and I’m not really sure what to do. I don’t want to push him too hard as he has a lot going on with his family, but I also don’t want him to feel as if I’m neglecting him by leaving him alone and leaving him to fend for himself. Again, if anyone has any advice on this angle of our relationship, I would really appreciate it!</t>
        </is>
      </c>
      <c r="D4417" t="n">
        <v>14</v>
      </c>
      <c r="E4417" t="n">
        <v>12</v>
      </c>
      <c r="F4417">
        <f>HYPERLINK("https://www.reddit.com/r/cancer/comments/cwp1js/how_do_i_help_support_my_boyfriend_through_a_year/")</f>
        <v/>
      </c>
      <c r="G4417" t="inlineStr">
        <is>
          <t>2019-08-28 11:50:23</t>
        </is>
      </c>
      <c r="H4417" t="inlineStr"/>
    </row>
    <row r="4418">
      <c r="A4418" t="inlineStr">
        <is>
          <t>cwq5r0</t>
        </is>
      </c>
      <c r="B4418" t="inlineStr">
        <is>
          <t>How do I help my boyfriend through his mum dying of cancer?</t>
        </is>
      </c>
      <c r="C4418" t="inlineStr">
        <is>
          <t>Hello, 
The title explains most of this but I am really struggling. My boyfriend and I met at university and have been together around a year and a half but have been great friends for around five.
His mum battled liver cancer successfully last year against all the odds. Her liver was removed but unfortunately it has grown back with the cancer. It's in her bones, it's on her spine. They're planning on doing a hip replacement tomorrow but I don't know if it'll still be going ahead. They mentioned at the appointment it's stage 4. I've known since he first told me it had returned that she wasn't going to get better this time, I asked a friend to discuss the small details with her dad who is an oncologist around two weeks ago. 
My boyfriend has only come to this realisation today, and he is honestly falling apart. He's always been very closed off emotionally- and I feel like he's finding it quite hard to lean on others. He refuses to leave his house and I'm terrified that he is going to be destroyed by this as well as her. He wants to be there constantly but I worry that he's not looking after his mental health. 
I don't want this post to sound like I'm criticising him at all. I can't even begin to fathom what he's going through. I just want to know what I can do to support him through this. I don't want to lose him because he keeps pushing me away, but if he needs to go through this alone I'm also prepared to let him if that's what he truly wants. 
I guess I'm just looking for advice on how I can help him from a distance. I know I won't be able to make him feel better all the time, I know I may not be able to make him feel better at all but I'd love to try. I'd also like to know if there is anything I 100% shouldn't be doing/saying. I have been very careful to ensure he realises the situation on his own and not to be the one breaking news to him, I've advised him we should almost definitely cancel our holiday plans as I don't think he will enjoy himself at all.
Thanks to anyone who took the time to read this, I'm incredibly grateful.</t>
        </is>
      </c>
      <c r="D4418" t="n">
        <v>3</v>
      </c>
      <c r="E4418" t="n">
        <v>2</v>
      </c>
      <c r="F4418">
        <f>HYPERLINK("https://www.reddit.com/r/cancer/comments/cwq5r0/how_do_i_help_my_boyfriend_through_his_mum_dying/")</f>
        <v/>
      </c>
      <c r="G4418" t="inlineStr">
        <is>
          <t>2019-08-28 13:13:12</t>
        </is>
      </c>
      <c r="H4418" t="inlineStr"/>
    </row>
    <row r="4419">
      <c r="A4419" t="inlineStr">
        <is>
          <t>cwr3g1</t>
        </is>
      </c>
      <c r="B4419" t="inlineStr">
        <is>
          <t>Is it too late to feel depressed?</t>
        </is>
      </c>
      <c r="C4419" t="inlineStr">
        <is>
          <t>My mum died in April of small cell lung cancer. She has suffered for three years and when it came back for the last time, she chose not to fight it. We all respected her decision and spent her last few months at her side. She died surrounded by her family. She was looking at me when she passed. 
I’ve obviously cried and I thought I had dealt with it. I think about her every day and I see the look that was in her eyes when she died pretty much every time I close my eyes to go to sleep. 
The question is, has it hit me now? I went back to work a week after it happened. I’m a school teacher and it kept me busy. So much so that I think I managed to bottle it up. We are just coming to the end of the summer holidays and I’m not sleeping well, I feel low and almost lazy? I don’t want to go out and I find excuses not to see people. I have wasted my summer but is it because I’m depressed? 
Has anyone experienced the same thing? Late grieving? I’m worried that no one will understand. People think I’ve moved on.</t>
        </is>
      </c>
      <c r="D4419" t="n">
        <v>10</v>
      </c>
      <c r="E4419" t="n">
        <v>7</v>
      </c>
      <c r="F4419">
        <f>HYPERLINK("https://www.reddit.com/r/cancer/comments/cwr3g1/is_it_too_late_to_feel_depressed/")</f>
        <v/>
      </c>
      <c r="G4419" t="inlineStr">
        <is>
          <t>2019-08-28 14:22:59</t>
        </is>
      </c>
      <c r="H4419" t="inlineStr"/>
    </row>
    <row r="4420">
      <c r="A4420" t="inlineStr">
        <is>
          <t>cwrkpw</t>
        </is>
      </c>
      <c r="B4420" t="inlineStr">
        <is>
          <t>Issues with jaw after treatment??</t>
        </is>
      </c>
      <c r="C4420" t="inlineStr">
        <is>
          <t>I just finished up 5-day R-Echop and I’m having jaw spasms?? Gritting my teeth, jaw going askew etc.</t>
        </is>
      </c>
      <c r="D4420" t="n">
        <v>5</v>
      </c>
      <c r="E4420" t="n">
        <v>0</v>
      </c>
      <c r="F4420">
        <f>HYPERLINK("https://www.reddit.com/r/cancer/comments/cwrkpw/issues_with_jaw_after_treatment/")</f>
        <v/>
      </c>
      <c r="G4420" t="inlineStr">
        <is>
          <t>2019-08-28 14:59:56</t>
        </is>
      </c>
      <c r="H4420" t="inlineStr"/>
    </row>
    <row r="4421">
      <c r="A4421" t="inlineStr">
        <is>
          <t>cwsden</t>
        </is>
      </c>
      <c r="B4421" t="inlineStr">
        <is>
          <t>Father in law diagnosed with rectal cancer - care package ideas?</t>
        </is>
      </c>
      <c r="C4421" t="inlineStr">
        <is>
          <t>He will at minimum be traveling out of town with his wife for several rounds of radiation, chemo, surgery to remove his rectum and hopefully reattach it. He is in his early 50s, the primary moneymaker for the family, and it is going to be extremely hard on everyone. We don't know yet what stage the cancer is as we are still waiting on some results.  They are especially looking at his lungs in an upcoming scan. 
I'm trying to put together ideas for care packages to get him through the travel, treatments, and recovery. Any suggestions from those who have been through something similar? I'm not sure if there is anything specific that would be useful that we should recommend to our friends and family. His gofundme is sort of a bust so far, but maybe they can get support in other ways at least.  We are thinking snacks for his wife as she has a gluten allergy and will have a harder time finding stuff while she is on the go with him, but I really don't know what kind of things could help him.</t>
        </is>
      </c>
      <c r="D4421" t="n">
        <v>3</v>
      </c>
      <c r="E4421" t="n">
        <v>6</v>
      </c>
      <c r="F4421">
        <f>HYPERLINK("https://www.reddit.com/r/cancer/comments/cwsden/father_in_law_diagnosed_with_rectal_cancer_care/")</f>
        <v/>
      </c>
      <c r="G4421" t="inlineStr">
        <is>
          <t>2019-08-28 16:02:21</t>
        </is>
      </c>
      <c r="H4421" t="inlineStr"/>
    </row>
    <row r="4422">
      <c r="A4422" t="inlineStr">
        <is>
          <t>cwtblj</t>
        </is>
      </c>
      <c r="B4422" t="inlineStr">
        <is>
          <t>Ideas Appreciated: Mum Stage 4 BC, newly diagnosed Ascites, 1,400 miles away</t>
        </is>
      </c>
      <c r="C4422" t="inlineStr">
        <is>
          <t>Last June, my mum (60) was initially diagnosed with stage 4 breast cancer with extensive bone mets. Many co-morbidities. She is in another country, and I visit as often as I can. Being this far away, and not part of her treatment absolutely kills me. 
Stable for one year on hormone inhibitor, we were hopeful.  This week, they found malignant ascites in her abdomen and lung. She was removed from the hormone drug, and starts oral chemo in two weeks.
I have seen the internet about Malignant ascites, and it’s not good. I can get a temporary telecommuting contract from work to visit and care for her if things get bad. However, I’m so far away, I don’t know if it’s premature - and I don’t want to use it up and not have the option when I really need to be there.  I also don’t want her to think I think it’s the end. 
Any experience with malignant ascites? Will it get better with oral chemo? We are visiting for her bday in a month, and I can assess then, I’m just terrified and don’t want to lose her before I can be with her.  She also cares for my adult brother with disabilities.
Her mother died of breast cancer when she was living here, a country away, and it broke her. I swore that would never happen to me, I’d quit my job if I had to leave and care for her in the end.
Any ideas are appreciated. I know it’s not medical advice.</t>
        </is>
      </c>
      <c r="D4422" t="n">
        <v>3</v>
      </c>
      <c r="E4422" t="n">
        <v>0</v>
      </c>
      <c r="F4422">
        <f>HYPERLINK("https://www.reddit.com/r/cancer/comments/cwtblj/ideas_appreciated_mum_stage_4_bc_newly_diagnosed/")</f>
        <v/>
      </c>
      <c r="G4422" t="inlineStr">
        <is>
          <t>2019-08-28 17:23:10</t>
        </is>
      </c>
      <c r="H4422" t="inlineStr"/>
    </row>
    <row r="4423">
      <c r="A4423" t="inlineStr">
        <is>
          <t>cwttqn</t>
        </is>
      </c>
      <c r="B4423" t="inlineStr">
        <is>
          <t>Mom is starting Chemo</t>
        </is>
      </c>
      <c r="C4423" t="inlineStr">
        <is>
          <t>My mom had been diagnosed with Stage IV Lung Cancer a few months back and have recently came back from the doctors, stating Chemo will start very soon. 
I do not know what to expect as they do not tell me anything. I’m still young in their eyes (18). They do not want to cause me stress and anxiety. I have passed the stage where I have accepted that my mom will die in the following years. 
I just want to know what will the following days and weeks will be like. What is the entire process going to be like, emotionally? How long will the treatment last? 
Thank you for anyone that is willing to share their experience.</t>
        </is>
      </c>
      <c r="D4423" t="n">
        <v>1</v>
      </c>
      <c r="E4423" t="n">
        <v>0</v>
      </c>
      <c r="F4423">
        <f>HYPERLINK("https://www.reddit.com/r/cancer/comments/cwttqn/mom_is_starting_chemo/")</f>
        <v/>
      </c>
      <c r="G4423" t="inlineStr">
        <is>
          <t>2019-08-28 18:06:07</t>
        </is>
      </c>
      <c r="H4423" t="inlineStr"/>
    </row>
    <row r="4424">
      <c r="A4424" t="inlineStr">
        <is>
          <t>cwtxto</t>
        </is>
      </c>
      <c r="B4424" t="inlineStr">
        <is>
          <t>Practical Care</t>
        </is>
      </c>
      <c r="C4424" t="inlineStr">
        <is>
          <t>Hey everyone!
Im trying to prepare for my dad to go through treatment for his lung cancer but I can really use some advice in terms of more practical things that will help him move and get around easier, and also general care for him.
From what I've searched a good amount of toothbrushes for potential mouth sores. Lots of sheets. Generally keeping everything clean and wiped with Lysol wipes. I imagine sleeping and pain will become an issue too and although my father does not use cannabis I'm sure he'd be willing to try cbd.
Lend me your ideas please!</t>
        </is>
      </c>
      <c r="D4424" t="n">
        <v>5</v>
      </c>
      <c r="E4424" t="n">
        <v>5</v>
      </c>
      <c r="F4424">
        <f>HYPERLINK("https://www.reddit.com/r/cancer/comments/cwtxto/practical_care/")</f>
        <v/>
      </c>
      <c r="G4424" t="inlineStr">
        <is>
          <t>2019-08-28 18:16:04</t>
        </is>
      </c>
      <c r="H4424" t="inlineStr"/>
    </row>
    <row r="4425">
      <c r="A4425" t="inlineStr">
        <is>
          <t>cwudqs</t>
        </is>
      </c>
      <c r="B4425" t="inlineStr">
        <is>
          <t>Getting tested for lynch syndrome</t>
        </is>
      </c>
      <c r="C4425" t="inlineStr">
        <is>
          <t>I’m currently 17 years old and when I turn 18 I am getting tested. That’s what my family thinks is best because my mom has lynch syndrome (MSH2)
I am soooo SCARED that I have it :(
I’m honestly just posting for reassurance but it all comes down to that 50-50 coin toss</t>
        </is>
      </c>
      <c r="D4425" t="n">
        <v>4</v>
      </c>
      <c r="E4425" t="n">
        <v>5</v>
      </c>
      <c r="F4425">
        <f>HYPERLINK("https://www.reddit.com/r/cancer/comments/cwudqs/getting_tested_for_lynch_syndrome/")</f>
        <v/>
      </c>
      <c r="G4425" t="inlineStr">
        <is>
          <t>2019-08-28 18:54:40</t>
        </is>
      </c>
      <c r="H4425" t="inlineStr"/>
    </row>
    <row r="4426">
      <c r="A4426" t="inlineStr">
        <is>
          <t>cwuh4j</t>
        </is>
      </c>
      <c r="B4426" t="inlineStr">
        <is>
          <t>Stage IV metastatic colon cancer - doctors stopped grandma's chemo</t>
        </is>
      </c>
      <c r="C4426" t="inlineStr">
        <is>
          <t>My grandma (late 60s) was diagnosed with Stage IV metastatic colon cancer that had spread all across her liver. She went through a couple of different types of chemo treatments. The first treatment didn't yield any good results so they switched her to another chemo. During this treatment her tumor markers started going down and I had so much hope. She went to the doctor last week and they found that her tumor markers were back to when she was first diagnosed and the tumors in her liver were growing and her liver becoming much weaker. 
The doctors told her today that they were going to stop chemo treatments and that she should go home for the time being. They suggested that we go to a bigger hospital that would have better resources in another city that's almost 4 hours away.  However, my grandma is not doing well and is incredibly weak. The doctors said it may be a couple of weeks or months until it's time if she can't get any other treatment that works. I think I'm just lost at what my family should do, my grandma is so weak at this point I'm not sure how she would fair on a trip that long. Has anyone ever experienced this? What is the best thing to do? 
I just feel so much right now. This is the first time I've really had someone close to me suffer so much. I'm trying to be strong for my family and my younger siblings and it's so incredibly hard. It wasn't too long that my grandma was diagnosed and everything is happening so rapidly it's insane. Sorry if this post is kinda everywhere and vent-y, I really appreciate anyone who's reading this right now.</t>
        </is>
      </c>
      <c r="D4426" t="n">
        <v>7</v>
      </c>
      <c r="E4426" t="n">
        <v>2</v>
      </c>
      <c r="F4426">
        <f>HYPERLINK("https://www.reddit.com/r/cancer/comments/cwuh4j/stage_iv_metastatic_colon_cancer_doctors_stopped/")</f>
        <v/>
      </c>
      <c r="G4426" t="inlineStr">
        <is>
          <t>2019-08-28 19:02:47</t>
        </is>
      </c>
      <c r="H4426" t="inlineStr"/>
    </row>
    <row r="4427">
      <c r="A4427" t="inlineStr">
        <is>
          <t>cwur5v</t>
        </is>
      </c>
      <c r="B4427" t="inlineStr">
        <is>
          <t>I need a minute to get this off my chest</t>
        </is>
      </c>
      <c r="C4427" t="inlineStr">
        <is>
          <t>I’m spiraling. I’m exhausted. Truly. I wake up exhausted and I got to bed exhausted. If I’m lucky, I can nap during the day. 
My husband is in pain almost all day every day. He’s not even 30 yet. I can literally see the tumors growing from his body. It’s so upsetting.
I’m working as a freelancer and my work has slowed down a bit, meaning money is super tight and I’m spending all my time taking care of him. 
The doctor told us at his last follow up that science cannot explain why he’s alive right now, which is both horrifying, and oddly comforting at the same time. 
He’s almost constantly in a wheelchair now and is so anxious and stressed about how he can’t walk. 
I’m not a stressed or anxious person but I haven’t been handling this well. I’m angry and upset a lot of the time and it shows, and I hate that. I can’t afford a therapist right now, and I’m putting on weight. I’m exhausted, stressed, trying to find work, and be there for my husband. 
We’ve even been arguing more, and we’re really not the type to have arguments. I hate it. I’m so lost and just breaking down and I need to say this to say it. 
I’m upset every day that I’ll lose him, and i don’t know what to do. I’m 26 years old and I feel like I’ve been blessed with great strength, but I’m not feeling very strong these days. 
There’s so much uncertainty and I don’t know what is going to happen or how. I’m just not sure how to handle things. What do I do? Seriously. I need some direction. How do I get better? Does my husband get better? 
What happens next? How do I do this? I don’t know. I just know I’m being ripped apart from the inside out and I need help.</t>
        </is>
      </c>
      <c r="D4427" t="n">
        <v>49</v>
      </c>
      <c r="E4427" t="n">
        <v>17</v>
      </c>
      <c r="F4427">
        <f>HYPERLINK("https://www.reddit.com/r/cancer/comments/cwur5v/i_need_a_minute_to_get_this_off_my_chest/")</f>
        <v/>
      </c>
      <c r="G4427" t="inlineStr">
        <is>
          <t>2019-08-28 19:27:44</t>
        </is>
      </c>
      <c r="H4427" t="inlineStr"/>
    </row>
    <row r="4428">
      <c r="A4428" t="inlineStr">
        <is>
          <t>cwutw2</t>
        </is>
      </c>
      <c r="B4428" t="inlineStr">
        <is>
          <t>Losing my mom 20 days before my wedding.</t>
        </is>
      </c>
      <c r="C4428" t="inlineStr">
        <is>
          <t>I’m not sure if this is where I should post this, or if I should even post this. Anyway. My mom (59) was diagnosed with cancer for the third time back in July of 2018. It has been a roller coaster and very obvious this was going to be it. 
When she was first diagnosed, she didn’t tell me right away. I(22 f) just got engaged at the end of May and she didn’t want to “take away the happiness”. At first I was upset but after some time I understood what she could of possibly meant. I then began to realize that this time was aggressive and wasn’t going to be easy. We planned our wedding for September 21st 2019. She had been a part of the planning and was so so so excited for the big day. 
Last Friday, she went to the hospital because she was having pain and a lot of bloating. They found out her cancer has spread completely taking over the Liver. They then talked about the options with her. Skip forward to Monday, she was still in the hospital. I came up to see her but she was sleeping. I gently woke her up and told her I just came by after work to check on her and I would let her sleep. She told me that she loved me and definitely needed the sleep. I could just tell a difference in her, I began to tear up and said “I love you too, I’ll see you tomorrow”. That’s when she promised me not to cry because she will be at the wedding and everything was going to be okay. I promised-definitely didn’t keep it. 
The next day my dad called me as I was on my way home from work telling me that the doctor just called and that they took a liter of fluid off her lungs but she has made zero improvements and they think it’s best to stop radiation and just make her comfortable and think about hospice. I went straight to the hospital and it was like a completely different person. She was completely out of it, I would talk to her and she wouldn’t even notice me there. I told her I was going to go home and that I loved her and she softly said “I love you too” 
Today, she is gasping and struggling to breathe, so I know it’s not going to be much longer. But I can not calm myself down. It just does not make sense on why it would happen now when I need her the most. We (My fiancé and I) just bought a house and she was just so excited to get out and come see it. 
I really don’t know how to feel at this point. I feel robbed.</t>
        </is>
      </c>
      <c r="D4428" t="n">
        <v>1</v>
      </c>
      <c r="E4428" t="n">
        <v>0</v>
      </c>
      <c r="F4428">
        <f>HYPERLINK("https://www.reddit.com/r/cancer/comments/cwutw2/losing_my_mom_20_days_before_my_wedding/")</f>
        <v/>
      </c>
      <c r="G4428" t="inlineStr">
        <is>
          <t>2019-08-28 19:34:48</t>
        </is>
      </c>
      <c r="H4428" t="inlineStr"/>
    </row>
    <row r="4429">
      <c r="A4429" t="inlineStr">
        <is>
          <t>cwv8gr</t>
        </is>
      </c>
      <c r="B4429" t="inlineStr">
        <is>
          <t>Well Differentiated Myxoid Liposarcoma (Status at the end)</t>
        </is>
      </c>
      <c r="C4429" t="inlineStr">
        <is>
          <t>I was diagnosed with a Well Differentiated Myxoid Liposarcoma on October 1st, 2018. The tumor was in my right thigh. This type of cancer doesn’t have stages but more so grades of severity. It was a 2nd grade but borderline grade 3 (3 being the worst). I had a surgery to have the tumor removed on October 19th, 2018. It left a 20in scar along my inner thigh. Some nerves were numb and are still numb to this day. The pathology report on the tumor resulted in negative margins all around. The tumor was slightly larger than a tennis ball. I was off work for 1 month until I was finally able to walk on my own.
The doctor recommended Intense 4 day In-patient Chemotherapy (4) times, 3 weeks apart. It started in January 2019 and ended in April 2019, 1 week before my 24th birthday. I would have a PIC line inserted on the first day to handle (3) 24hr drips of chemo drugs and have the PIC line removed upon leaving. The first stay was miserable. I threw up every other hour on the last (2) days and was forced to stay an extra (2) days. It got so bad, it felt like my teeth were being pulled out each time I threw up. The second stay was a little more manageable. I only threw up every other hour on the last day. The last two stays weren’t as bad. I didn’t throw up on those stays. The worst part about the chemo sessions, is having foods I loved now make me nauseous when I smell them. I still feel the side effects to this day.
Lastly on my treatment list was Radiation Therapy. I started on July 1st, 2019 and finished on August 16th, 2019. I was working in between Chemo sessions and during the first 3 weeks of radiation. At the start of the 4th week, my skin was borderline 3rd degree burns. I had to take off work for 3 weeks due to the amount of rubbing of my raw right thigh. I would only leave my house for treatments. The pain was comparable to the nausea from chemo. 
The worst part of my long hard battle was the need for constant emotional support. I would crave attention, both physical and social. Some days I would cry myself to sleep and other nights I would have a panic attack. I would sometimes hope my coworkers would offer to hug me because I was too embarrassed or felt selfish to ask. I just wanted to cry into someone’s shoulder and tell me it would be okay. 
In conclusion, I’ve had a few MRIs and CT scans of my leg, pelvis, chest and abdomen. I can say as of August 28th, 2019 that I am cancer free. It’s a wonderful feeling to know I endured so much to get to this point. 
Thank you for listening to my story. :)</t>
        </is>
      </c>
      <c r="D4429" t="n">
        <v>13</v>
      </c>
      <c r="E4429" t="n">
        <v>8</v>
      </c>
      <c r="F4429">
        <f>HYPERLINK("https://www.reddit.com/r/cancer/comments/cwv8gr/well_differentiated_myxoid_liposarcoma_status_at/")</f>
        <v/>
      </c>
      <c r="G4429" t="inlineStr">
        <is>
          <t>2019-08-28 20:12:06</t>
        </is>
      </c>
      <c r="H4429" t="inlineStr"/>
    </row>
    <row r="4430">
      <c r="A4430" t="inlineStr">
        <is>
          <t>cwwb7v</t>
        </is>
      </c>
      <c r="B4430" t="inlineStr">
        <is>
          <t>Strange, scary, and unexpected week</t>
        </is>
      </c>
      <c r="C4430" t="inlineStr">
        <is>
          <t>I'm scared. And I feel a little guilty for being scared because many are going through so much worse. I wear a lot of dresses. They're fit &amp;amp; flare, meaning tight up top and then flare out [(cut like this)](https://www.dresslily.com/m-gallery-id-8094632.htm?index=0). Anyway, Monday I wore one of my favorites. As I put it on I noticed it felt uncomfortable on my right breast. Not pain exactly, but unexpected pressure. Abnormal for one of my favorite dresses. About 3 months ago I found a lump on my right bright but really didn't think much of it. At a doctor's appointment on Monday, I passively told my doctor about it while in for a completely unrelated issue and mentioned that my dress felt uncomfortable etc. He asked if I would be comfortable with him giving me a breast exam, and before I knew it my dress was off and I was wrapped in a paper gown. He found dimpling (that I had ignored) and 4 lumps, not just the 1. My blood tests came back with an elevated while blood cell count. BUT, I've been getting repeated fevers for the last few weeks.   
I've registered everything with central-scheduling, but here I am, 1AM, utterly terrified and unable to sleep. Waiting for scheduling to call me back to give me a date/date for a mammogram &amp;amp; ultrasound is torture.   
I hope everyone knows, I understand how trite this all sounds as I look through the subreddit. I'm posting this respectfully and simply because I'm so very scary and exhausted from worry. That's it really. I'm sure I'm okay - just scared. Love you.</t>
        </is>
      </c>
      <c r="D4430" t="n">
        <v>12</v>
      </c>
      <c r="E4430" t="n">
        <v>7</v>
      </c>
      <c r="F4430">
        <f>HYPERLINK("https://www.reddit.com/r/cancer/comments/cwwb7v/strange_scary_and_unexpected_week/")</f>
        <v/>
      </c>
      <c r="G4430" t="inlineStr">
        <is>
          <t>2019-08-28 22:03:16</t>
        </is>
      </c>
      <c r="H4430" t="inlineStr"/>
    </row>
    <row r="4431">
      <c r="A4431" t="inlineStr">
        <is>
          <t>cwwps7</t>
        </is>
      </c>
      <c r="B4431" t="inlineStr">
        <is>
          <t>I'm barely 18 pls help</t>
        </is>
      </c>
      <c r="C4431" t="inlineStr">
        <is>
          <t>This post is not for my mental health. This is for my mom's. A year ago my mom was diagnosed with oral cancer(well-diffrentited squamous cell carcinoma). She fought hard through it but lost a lot. This broke her both physically and mentally. She can barely eat half the things that she used to be able to (she had to undergo a mandibulectomy). She lost a shit ton of weight and it was months before she could walk. She's lost a lot of willpower too.
Yesterday, we somehow found out that she has a lump in her lungs. Now it could be one of two things, either the cancer metastatized or tuberculosis (the best case scenario). However she's very tired with life now and refuses to take other tests. She feels she has become a burden to everyone around her and she wishes to just quit life. She's even threatened to commit suicide in the past if the cancer ever returned. But I need her. My dad needs her. We all need her. I know this might sound extremely selfish. But how do I convince her to keep fighting and not lose hope.
Do note she's in a very fragile physical condition and is mentally prepared to die already. But I can't let this happen. Pls help. I need to convince her. For my sake at least. What can I do?</t>
        </is>
      </c>
      <c r="D4431" t="n">
        <v>17</v>
      </c>
      <c r="E4431" t="n">
        <v>5</v>
      </c>
      <c r="F4431">
        <f>HYPERLINK("https://www.reddit.com/r/cancer/comments/cwwps7/im_barely_18_pls_help/")</f>
        <v/>
      </c>
      <c r="G4431" t="inlineStr">
        <is>
          <t>2019-08-28 22:48:29</t>
        </is>
      </c>
      <c r="H4431" t="inlineStr"/>
    </row>
    <row r="4432">
      <c r="A4432" t="inlineStr">
        <is>
          <t>cwylkt</t>
        </is>
      </c>
      <c r="B4432" t="inlineStr">
        <is>
          <t>Hodgkin's Lymphoma &amp;amp; Stem Cell Transplant &amp;amp; My Story</t>
        </is>
      </c>
      <c r="C4432" t="inlineStr">
        <is>
          <t>Hi everyone,
Was wondering if there's anyone out there or know anyone who's gone through high-dosage chemo and stem cell transplant? The rest of this post is some background into my story as well so I apologize for the long post but at the same time am hopeful it will be therapeutic for me to write; it's 2am here and I can't sleep. 
I just turned 34 years old and live in Southern California (originally from Connecticut, moved out here alone in 2012). This past November I noticed a lump right below my left shoulder. I had just started a new job and my health insurance didn't kick in until 12/1 so I didn't do anything about it but shortly after 12/1 made an appointment with my doctor. He knew right away from looking at it it was a swollen lymph node and told me my body was either fighting off some disease (I felt fine) or it was cancer. He prescribed me antibiotics for 10 days in hopes it would go down. It did not. Basically the next month was filled with blood tests, x-rays, a CT scan, and a full biopsy of that lymph node, confirming I was dealing with Hodgkin's lymphoma. Then came the PET scan confirming I was stage 2, the caner was all over my chest. By this time I was symptomatic - bad chest pain, a terrible cough, headaches (although those I think may have been due to stress), etc.
I started chemotherapy (ABVD) at the end of January. My mother came out here just before I started chemo and stayed through the first 2 treatments. The plan was for 12 rounds of chemo (one round every 2 weeks) with a PET scan after the 4th, 8th, and of course the 12th. I actually did pretty good on this chemo, very little side effects much to my surprise. The worst was actually side effects from the uric acid pill I had to take for the first 10 days. INSANE FATIGUE! And the anti-nausea meds gave me pretty bad constipation, especially the first few rounds. But otherwise, my hair simply thinned out a bit, but never actually fell out. I had some fatigue and slight neuropathy in my fingers but that was about it. After 1 treatment, my cough was already so improved! After 2 treatments, it had gone away altogether. That made me feel even better, that I was \*feeling\* the chemo ridding my body of this cancer. 
The PET scan after the 4th treatment showed much improvement, but not as much as the doctor's would've hoped to have seen by that time. Initially my oncologist stated he was going to change my ABVD to BEA-COPP which freaked me out. I was doing so well on ABVD, hated the thought of chemo that may bring in some really nasty side effects. But when I went for my next treatment (the next day after he called with my PET scan results), he came down to see me and said he conferred with another oncologist and felt BEA-COPP would not be beneficial enough and kept me on ABVD.
So I had four more rounds of chemo and went for my next PET scan. This was in early May. I got the results back and doc said there were 2 spots left over, one in my chest and one in my left arm pit and they actually looked a bit worse (brighter) than they did in the PET scan I had in March (after 4 treatments). So they stopped chemo and sent me for a biopsy of the lymph node in my chest (endoscopy) and confirmed it was still Hodgkin's we were dealing with, which means what was left over was resistant to the chemo.
I was then referred to City of Hope for a clinical trial of immunotherapy - Nivolumab. Unfortunately I was off any sort of treatment for about 10 weeks while I had that biopsy and my insurance got approved to be seen by City of Hope, etc. I ended up going into the ER about a week and a half before my first treatment was to begin at City of Hope with severe abdominal pain. ER did a CT scan and confirmed I had swollen lymph nodes in my stomach area that was causing the pain. Cough was back too. So now I felt completely defeated, knowing the cancer had spread to a part of my body it wasn't even in initially! City of Hope took their own PET scan before beginning my immunotherapy (this was mid July).
The plan now was to have 6 treatments of Nivolumab (once every 2 weeks) with a PET scan after 3 treatments to gauge progress. I just had my PET scan this past Tuesday and my doctor called me Wednesday night. He said there was much improvement from the last PET scan (the one from July mind you, after the cancer had re-spread) but that there was still 2 spots left over: chest and arm pit. I told him that sounded like what I had before being referred to City of Hope and asked if he compared it to the PET scan Kaiser took of me after my 8th round of chemo in May. He admitted he did not and confirmed that was a good idea (ya think?! lol). He said he was out of town but would look over them with me for what will be my 5th appointment on 9/13.
At this point, again, I feel like I'm kind of back where I started from. This news wasn't bad per se, at least I know the Nivolumab is helping my body fight off the cancer, but if those 2 spots are the same 2 spots from before....ugh. I just want some really GREAT news for once. I'm trying to stay positive but after 5 PET scans now I want them to be CLEAN of any cancer! Fuck cancer!!
So yeah, that brings me to the point I was trying to make. I have 3 treatments of Nivolumab left, and then another PET scan (fingers crossed) but once that is done I will have to undergo the whole high dose chemo/stem cell transplant. I am a nervous wreck. I know I was lucky/blessed to not have any really bad side effects with ABVD; I know I won't be so lucky with this.
So I'm just curious about some real world experience. I know everyone is different of course, but just want to hear what others felt and had to deal with undergoing that type of treatment? The information I received said I may need a caretaker for 4-6 months after I'm released from the hospital. Will that really be necessary? I'm not sure I have anyone who can stay with me for that long. I know this is going to be no walk in the park (hence my fear and curiosity into others' experiences) but how long am I really going to feel like shit or not be able to take care of myself?
If you've read this far - I thank you. As I hoped, it did help a bit. It's now about 2:40am and I'm still wide awake (also doing laundry...hey, might as well be productive, right? lol) but it feels good to get this out. I often feel very alone out here being so far from my family and most of my friends, with very few friends nearby. Most days I stay very positive and upbeat. It's not always easy. But I know so many people have fought longer and harder than I have. I've read through a bunch of posts and I've been crying a lot tonight, not just for myself, but for those of you out there I don't know, who are fighting this terrible disease or have family members fighting or know those who have lost that fight. I hate this. I hate everything about this for myself and for anyone else who's lives have been touched by this horrible horrible disease.</t>
        </is>
      </c>
      <c r="D4432" t="n">
        <v>6</v>
      </c>
      <c r="E4432" t="n">
        <v>15</v>
      </c>
      <c r="F4432">
        <f>HYPERLINK("https://www.reddit.com/r/cancer/comments/cwylkt/hodgkins_lymphoma_stem_cell_transplant_my_story/")</f>
        <v/>
      </c>
      <c r="G4432" t="inlineStr">
        <is>
          <t>2019-08-29 02:40:10</t>
        </is>
      </c>
      <c r="H4432" t="inlineStr"/>
    </row>
    <row r="4433">
      <c r="A4433" t="inlineStr">
        <is>
          <t>cwz5th</t>
        </is>
      </c>
      <c r="B4433" t="inlineStr">
        <is>
          <t>Could non-malignant tumor transform into malignant one?</t>
        </is>
      </c>
      <c r="C4433" t="inlineStr">
        <is>
          <t>Luckily, my mother had non-malignant breast tumor.</t>
        </is>
      </c>
      <c r="D4433" t="n">
        <v>3</v>
      </c>
      <c r="E4433" t="n">
        <v>1</v>
      </c>
      <c r="F4433">
        <f>HYPERLINK("https://www.reddit.com/r/cancer/comments/cwz5th/could_nonmalignant_tumor_transform_into_malignant/")</f>
        <v/>
      </c>
      <c r="G4433" t="inlineStr">
        <is>
          <t>2019-08-29 03:44:04</t>
        </is>
      </c>
      <c r="H4433" t="inlineStr"/>
    </row>
    <row r="4434">
      <c r="A4434" t="inlineStr">
        <is>
          <t>cwz7mv</t>
        </is>
      </c>
      <c r="B4434" t="inlineStr">
        <is>
          <t>Just tired and a rant.</t>
        </is>
      </c>
      <c r="C4434" t="inlineStr">
        <is>
          <t>A few months ago, a mass was found in my thyroid that the doctor was worried about that is causing speaking and aspiration problems. She immediately sent me for a surgery consult and ultrasound. After the surgeon sent me for a biopsy, on is benign, the other they are not sure, but they want to take my thyroid just in case. Well, because I have a chronic illness, it took a few week to be medical clearance. I was finally cleared two weeks ago and scheduled for surgery in two weeks. Unfortunately I fell ill with rheumatic fever and now everything is up in the air. Thank goodness for my doctor who understands that I am in pain and will actually give me something to take some of the pain away.  My husband has also been a saint through all of this too. Thank you for letting me vent.</t>
        </is>
      </c>
      <c r="D4434" t="n">
        <v>31</v>
      </c>
      <c r="E4434" t="n">
        <v>5</v>
      </c>
      <c r="F4434">
        <f>HYPERLINK("https://www.reddit.com/r/cancer/comments/cwz7mv/just_tired_and_a_rant/")</f>
        <v/>
      </c>
      <c r="G4434" t="inlineStr">
        <is>
          <t>2019-08-29 03:49:38</t>
        </is>
      </c>
      <c r="H4434" t="inlineStr"/>
    </row>
    <row r="4435">
      <c r="A4435" t="inlineStr">
        <is>
          <t>cwzaqm</t>
        </is>
      </c>
      <c r="B4435" t="inlineStr">
        <is>
          <t>PET Scan</t>
        </is>
      </c>
      <c r="C4435" t="inlineStr">
        <is>
          <t>My Dad has to have a PET scan to see if his cancer has spread. A friend gently told me, that if they are doing a PET scan, then the doctors probably think the cancer has spread. I told her it’s just routine to see if it’s spread. She wasn’t trying to be hurtful. The same thing happened to her dad. Any thoughts?</t>
        </is>
      </c>
      <c r="D4435" t="n">
        <v>3</v>
      </c>
      <c r="E4435" t="n">
        <v>9</v>
      </c>
      <c r="F4435">
        <f>HYPERLINK("https://www.reddit.com/r/cancer/comments/cwzaqm/pet_scan/")</f>
        <v/>
      </c>
      <c r="G4435" t="inlineStr">
        <is>
          <t>2019-08-29 03:59:15</t>
        </is>
      </c>
      <c r="H4435" t="inlineStr"/>
    </row>
    <row r="4436">
      <c r="A4436" t="inlineStr">
        <is>
          <t>cwzgo2</t>
        </is>
      </c>
      <c r="B4436" t="inlineStr">
        <is>
          <t>Guardians of the Galaxy vol 1 and 2 allowed me to start grieving.</t>
        </is>
      </c>
      <c r="C4436" t="inlineStr">
        <is>
          <t>My dad got bile duct cancer three and a half years ago.
 It was a struggle to get him to go to the doctors to get checked and we were pretty late. The cancer had crumbled off his bile duct allowing it to spread all over his body pretty easily. Treatment was the only option through chemotherapy. My dad pushed on through it all made it through many of cycles and I'm so proud of him. It made him very ill but he did it to have more time with me and the family.
To this day the best thing to happen to our family is my dad getting cancer. Horrible thing to say but in the past three years we have never been closer.
I've never, never opened up about my feelings. I didn't want to say it to my friends as I have tried and they've never really known what to do, always made me feel worse. I've never told anything to my family, as I don't want to bring back the pain for them. I'm a rock to them, a steadfast pillar. I haven't cried, been tearful, but not cried.
I feel like I can't talk about it, as I'm afraid no one will understand or even worse, no one can help.
He died 3rd of January.
I gave my eulogy. 200+ people. I did not break a tear. People ask me how I am and I say I'm fine and good because I'm afraid to say I don't know.
For a few months all I did was help my family, be their shoulder, their crutches, helped sell the house got my mam a new one, decorated refurbished it, etc I had to do all that because my mum had been diagnosed with cancer too, and the surgery done on her neck had made her bed ridden for a month, she lost her voice, and couldn't breathe with out a machine for a long time. 
All this happening in my final year of University during my final project.
It's a miracle I graduated.
I haven't talked about how I feel to anyone, the last time someone asked was the funeral. 
Today. I watched a film. Guardians of the Galaxy. Opening scene. Peter Quil, just a kid, retreating into his music. I do this exact thing. My music specifically linkin park allowed me to cop through life. But my love for dramatic orchestral movie music is where I retreat. I like to day dream often 6-8 times a day at the least, and it's always to be the hero of many of stories. I've realised why. It's cause I feel powerless in reality, for three years there has been nothing I could have done to heal my dad, I've never seen him cry, never seen him in pain, and when I saw it for the first time as he is rolling around in bed in agony, I've never felt so powerless. I dream to be powerful.
He is given a gift, a gift he doesn't have the strength to open. Afraid to open. Afraid of the pain it would bring. 
End of the film, Peter gains the most powerful form of power in the universe. In every universe. And he sees his mother, dying of cancer, asking for his hand, he takes that leap even though its killing him. What saves him? His friends, his family. They share in his pain.
And knowing that he has people who live him, care for him, share in his pain, he then loses his fear. And opens the gift that gives him closure. 
I feel like this is my destiny. Once I share in my pain, with my friends, with my family, I can find that parcel that I stuffed all my emotions into and open up. And begin my closure.
And then there was Guardians of the Galaxy Vol. 2.
Ego = God (of there is one)
Quil = me
Mother = father
I have a few religious friends, who have tired to get me to become apart of their religion. The thing is their religion says that their God allows suffering but is all loving. If he loves us then why does he make us suffer the most traumatic things imaginable? If God exists, then I refuse to worship something that allows this. That thing doesn't deserve worship.
When ego said "that's why I put the tumor in her" all the emotions of how I feel towards God was perfectly portrayed by quill at this moment. The rage the anger the hatred, I have it all and its all there. Quill spent those moments fighting ego knowing that he is most likely dead, but if he has to die to take a swing at God for what they had done he is sure going to take it. I feel like that a lot. But...
He had friends, his family, there to share in his pain to share their pain, they come to save him, to keep him alive, to keep him going. He never asked, but they always came. And that's what some of my friends and family have done for me.
And then. Yondu dies. Saves quill doing it. Quill at the funeral says "Sometimes that thing you've been looking for your whole life, it's right there by your side all along, you don't even know it"
I've been trying to be happy my whole life, I've tried to have hope in this bleak world, I've been trying to find that special person who cares about me, loves me unconditionally, that laughs at my bad jokes, that teases me, that loves me. And I've been blinded by my sadness, blinded by my rage, blinded by greed, that the thing I've been searching for my whole life, was by my side all along.
And now I have my closure. I can start to move on.
Thank you James Gunn and Chris Pratt and all the people behind the Guardians of the Galaxy films.
You've saved me.</t>
        </is>
      </c>
      <c r="D4436" t="n">
        <v>26</v>
      </c>
      <c r="E4436" t="n">
        <v>10</v>
      </c>
      <c r="F4436">
        <f>HYPERLINK("https://www.reddit.com/r/cancer/comments/cwzgo2/guardians_of_the_galaxy_vol_1_and_2_allowed_me_to/")</f>
        <v/>
      </c>
      <c r="G4436" t="inlineStr">
        <is>
          <t>2019-08-29 04:16:36</t>
        </is>
      </c>
      <c r="H4436" t="inlineStr"/>
    </row>
    <row r="4437">
      <c r="A4437" t="inlineStr">
        <is>
          <t>cx0fl6</t>
        </is>
      </c>
      <c r="B4437" t="inlineStr">
        <is>
          <t>I'm afraid</t>
        </is>
      </c>
      <c r="C4437" t="inlineStr">
        <is>
          <t>Hey guys it's me again. 
Today was day 3 of my 6th (and hopefully) last chemo cycle. Depending on the results of a blood test on Monday I get another shot of that lovely cocktail on Tuesday (uuuurgh). 
But that's not the reason i'm writing to you. I'm afraid, because my breathing is still not good. I'm coughing and I'm exhausted really fast. On top of that I'm scaring my lovely and very supportive hubby with my illness. And I feel bad for doing so. I'm causing him so much stress. 
I'm afraid of my future. I can't/don't want to go back to my current job because they're nosey assholes. I'm trying to get another job but it's not easy. 
Furthermore I'm afraid that I won't be able to work normal days anymore. I'm so young. The last ~5 months totally fucked up my life. 
I tried to talk to my mum about the situation with my hubby and that I feel bad about him having to do all chores and stuff. She basically just said I should get my lazy ass up and help him. Thanks mum. That's definitely what I needed to hear when I'm not even able to eat/drink because I'm so weak from chemo. 
Thanks for reading this.</t>
        </is>
      </c>
      <c r="D4437" t="n">
        <v>8</v>
      </c>
      <c r="E4437" t="n">
        <v>12</v>
      </c>
      <c r="F4437">
        <f>HYPERLINK("https://www.reddit.com/r/cancer/comments/cx0fl6/im_afraid/")</f>
        <v/>
      </c>
      <c r="G4437" t="inlineStr">
        <is>
          <t>2019-08-29 05:46:22</t>
        </is>
      </c>
      <c r="H4437" t="inlineStr"/>
    </row>
    <row r="4438">
      <c r="A4438" t="inlineStr">
        <is>
          <t>cx0tw8</t>
        </is>
      </c>
      <c r="B4438" t="inlineStr">
        <is>
          <t>Father - Subglottic laryngeal cancer</t>
        </is>
      </c>
      <c r="C4438" t="inlineStr">
        <is>
          <t>Hello everyone,
&amp;amp;#x200B;
I wanted to ask about the advice, I do not know if this is the right place, I've looked through subreddits and that's the only place where I think It fits.
&amp;amp;#x200B;
My father was diagnosed with subglottic laryngeal cancer about 2 months ago. He had a sore throat since one year but never done (what a mistake) nothing with that, not even a checkup. Recently he went to a doctor, had a biopsy and that's what the result was: subglottic laryngeal cancer. In the beginning we thought that this will be treatable somehow (we did not dig into the topic) but what the reality is, we've already visited 4 doctors and everyone says the same thing: larynx resection. It sounds like a judgement for my father. Is there really no other way? All of the doctors seemed like uninterested in father's topic, although they have been paid top dollar for consultations, that's why I  want to ask also here. We are still trying to find any other workaround for that, to not let that medical intervention happen. 
&amp;amp;#x200B;
Anyone had an experience with that? Anyone can help us with an advice?
&amp;amp;#x200B;
Many thanks in advance,</t>
        </is>
      </c>
      <c r="D4438" t="n">
        <v>2</v>
      </c>
      <c r="E4438" t="n">
        <v>6</v>
      </c>
      <c r="F4438">
        <f>HYPERLINK("https://www.reddit.com/r/cancer/comments/cx0tw8/father_subglottic_laryngeal_cancer/")</f>
        <v/>
      </c>
      <c r="G4438" t="inlineStr">
        <is>
          <t>2019-08-29 06:19:34</t>
        </is>
      </c>
      <c r="H4438" t="inlineStr"/>
    </row>
    <row r="4439">
      <c r="A4439" t="inlineStr">
        <is>
          <t>cx0yku</t>
        </is>
      </c>
      <c r="B4439" t="inlineStr">
        <is>
          <t>How does remission feels?</t>
        </is>
      </c>
      <c r="C4439" t="inlineStr">
        <is>
          <t>Is it wonderful?</t>
        </is>
      </c>
      <c r="D4439" t="n">
        <v>2</v>
      </c>
      <c r="E4439" t="n">
        <v>8</v>
      </c>
      <c r="F4439">
        <f>HYPERLINK("https://www.reddit.com/r/cancer/comments/cx0yku/how_does_remission_feels/")</f>
        <v/>
      </c>
      <c r="G4439" t="inlineStr">
        <is>
          <t>2019-08-29 06:30:35</t>
        </is>
      </c>
      <c r="H4439" t="inlineStr"/>
    </row>
    <row r="4440">
      <c r="A4440" t="inlineStr">
        <is>
          <t>cx16s4</t>
        </is>
      </c>
      <c r="B4440" t="inlineStr">
        <is>
          <t>Does formaldehyde actually give you cancer?</t>
        </is>
      </c>
      <c r="C4440" t="inlineStr">
        <is>
          <t>Because I really want to perm my hair.</t>
        </is>
      </c>
      <c r="D4440" t="n">
        <v>1</v>
      </c>
      <c r="E4440" t="n">
        <v>0</v>
      </c>
      <c r="F4440">
        <f>HYPERLINK("https://www.reddit.com/r/cancer/comments/cx16s4/does_formaldehyde_actually_give_you_cancer/")</f>
        <v/>
      </c>
      <c r="G4440" t="inlineStr">
        <is>
          <t>2019-08-29 06:49:44</t>
        </is>
      </c>
      <c r="H4440" t="inlineStr"/>
    </row>
    <row r="4441">
      <c r="A4441" t="inlineStr">
        <is>
          <t>cx253o</t>
        </is>
      </c>
      <c r="B4441" t="inlineStr">
        <is>
          <t>FCSClassAction.com lawsuit</t>
        </is>
      </c>
      <c r="C4441" t="inlineStr">
        <is>
          <t>Anyone have any experience with class action lawsuits handled by [FCSClassAction.com](https://FCSClassAction.com)?  This particular lawsuit is related to cancer treatments from Florida Cancer Specialists &amp;amp; Research Institute LLC or 21st Century Oncology LLC between January 1, 2010 and June 5, 2019.
Just not sure if these things are a scam (they require death certificate, will, etc) or even worthwhile to submit for.</t>
        </is>
      </c>
      <c r="D4441" t="n">
        <v>2</v>
      </c>
      <c r="E4441" t="n">
        <v>2</v>
      </c>
      <c r="F4441">
        <f>HYPERLINK("https://www.reddit.com/r/cancer/comments/cx253o/fcsclassactioncom_lawsuit/")</f>
        <v/>
      </c>
      <c r="G4441" t="inlineStr">
        <is>
          <t>2019-08-29 08:05:48</t>
        </is>
      </c>
      <c r="H4441" t="inlineStr"/>
    </row>
    <row r="4442">
      <c r="A4442" t="inlineStr">
        <is>
          <t>cx5b70</t>
        </is>
      </c>
      <c r="B4442" t="inlineStr">
        <is>
          <t>What comes after (jumbled thoughts and a rant)</t>
        </is>
      </c>
      <c r="C4442" t="inlineStr">
        <is>
          <t>Hi everyone! I have grey zone lymphoma (or gray zone lymphoma) a very rare, very aggressive, and very difficult to treat form of lymphoma. This cancer also has a very high reoccurrence rate, as I am sure some of you know. 
It took a while for me to be diagnosed. Every doctor I saw kept on saying I had ‘PhD student anxiety’ when I reported my symptoms. My cancer grew in me for about a year until I had a full body scan done. 
I’m waiting for some scans in October to see what the next steps will be. 
That’s not the point of this post.
I want to talk about what comes after.
If the scans in October determine that I’m in remission, and that the cancer has responded to treatment, I was told by my oncology team that I still can’t celebrate because of the high reoccurrence rate. But I think any cancer free day should be celebrated. 
I think a lot of people expect you to be grateful for being alive. I am grateful and know my privileges- I’m getting treated in a Western country, my family and friends have been wonderful, my boyfriend has been a rock and done all the heavy lifting, etc... but what about my quality of life? My cancer was too aggressive to do IVF. My fertility may be shot, so my boyfriend and may not be able to start a family. Even if we did, any pregnancy I had would be high risk. My heart is most likely permanently damaged from chemo (waiting on a cardiac MRI scan/result in October). I will never be able to run a half marathon or marathon again because of that damage. 
People also don’t realize how long it takes to recover from this treatment. The doctors said it would take at least a year from October (if the results are good) for me to even start feeling better! 
And then there’s the guilt. I am an atheist now but was raised Catholic, and that guilt creeps in and whispers ‘you’re assuming you’ll get well, so you know all of your results will be horrible’. 
I am grateful for my life, but what about the quality of my life? What comes after?</t>
        </is>
      </c>
      <c r="D4442" t="n">
        <v>8</v>
      </c>
      <c r="E4442" t="n">
        <v>13</v>
      </c>
      <c r="F4442">
        <f>HYPERLINK("https://www.reddit.com/r/cancer/comments/cx5b70/what_comes_after_jumbled_thoughts_and_a_rant/")</f>
        <v/>
      </c>
      <c r="G4442" t="inlineStr">
        <is>
          <t>2019-08-29 12:06:13</t>
        </is>
      </c>
      <c r="H4442" t="inlineStr"/>
    </row>
    <row r="4443">
      <c r="A4443" t="inlineStr">
        <is>
          <t>cx5kz1</t>
        </is>
      </c>
      <c r="B4443" t="inlineStr">
        <is>
          <t>I just started thinking about how it could have all have been prevented</t>
        </is>
      </c>
      <c r="C4443" t="inlineStr">
        <is>
          <t>My dad passed away 2 months ago, and it had been around 2 years since his diagnosis. Up to this point I had just accepted that my father had cancer and that his time would be cut shorter than we'd like. But now, something my mother said made me feel a little ill. Just the idea that if he wasn't so stubborn to have gone earlier to the doctor, he would have been ok. She didn't say this in a mean way, but I was just now reflecting on how simple it could have been.
I don't want to get started on that thinking route. I want to accept what happened, keep him in memory, and move on, because that's what he would want me and us to do. I can't think of alternate realities or "what ifs", not at this stage.</t>
        </is>
      </c>
      <c r="D4443" t="n">
        <v>4</v>
      </c>
      <c r="E4443" t="n">
        <v>6</v>
      </c>
      <c r="F4443">
        <f>HYPERLINK("https://www.reddit.com/r/cancer/comments/cx5kz1/i_just_started_thinking_about_how_it_could_have/")</f>
        <v/>
      </c>
      <c r="G4443" t="inlineStr">
        <is>
          <t>2019-08-29 12:26:57</t>
        </is>
      </c>
      <c r="H4443" t="inlineStr"/>
    </row>
    <row r="4444">
      <c r="A4444" t="inlineStr">
        <is>
          <t>cx6y2q</t>
        </is>
      </c>
      <c r="B4444" t="inlineStr">
        <is>
          <t>Any tips on intimacy/sex, body image, communication about these issues, or other related topics?</t>
        </is>
      </c>
      <c r="C4444" t="inlineStr">
        <is>
          <t>I'm a graduate student working with my advisor to adapt a mindfulness program to improve sexual health, body image, and well-being after breast/gynecological cancer. One way we're hoping to adapt the program is by adding tips from real women who have experienced cancer. These tips can be related to intimacy/sex, body image, communicating about these issues, or any other topics that are related. Does anyone have any tips they would like to share? Feel free to message me directly if you'd like to share but don't feel comfortable doing so publicly!
Here is the link to our study if you're interested in learning more about it: [health.oregonstate.edu/mindful](https://health.oregonstate.edu/mindful)</t>
        </is>
      </c>
      <c r="D4444" t="n">
        <v>20</v>
      </c>
      <c r="E4444" t="n">
        <v>5</v>
      </c>
      <c r="F4444">
        <f>HYPERLINK("https://www.reddit.com/r/cancer/comments/cx6y2q/any_tips_on_intimacysex_body_image_communication/")</f>
        <v/>
      </c>
      <c r="G4444" t="inlineStr">
        <is>
          <t>2019-08-29 14:08:00</t>
        </is>
      </c>
      <c r="H4444" t="inlineStr"/>
    </row>
    <row r="4445">
      <c r="A4445" t="inlineStr">
        <is>
          <t>cx70jv</t>
        </is>
      </c>
      <c r="B4445" t="inlineStr">
        <is>
          <t>Stem cell transplant</t>
        </is>
      </c>
      <c r="C4445" t="inlineStr">
        <is>
          <t>Hi guys and girls! So I had made a post awhile back about my dad who had just got diagnosed with multiple myeloma in May of this year. Well unfortunately his cancer has stopped responding to chemo treatment but last week he had a consultation for stem cell transplant and found out he is a good candidate for it. It looks like if he does it he will be in the hospital for about 3 weeks and they said the biggest side effect is heart attack hence the reason he will be in the hospital so long. Anyway I was wondering if anyone has ever had any experience with the stem cell transplant and if so was it successful?</t>
        </is>
      </c>
      <c r="D4445" t="n">
        <v>4</v>
      </c>
      <c r="E4445" t="n">
        <v>1</v>
      </c>
      <c r="F4445">
        <f>HYPERLINK("https://www.reddit.com/r/cancer/comments/cx70jv/stem_cell_transplant/")</f>
        <v/>
      </c>
      <c r="G4445" t="inlineStr">
        <is>
          <t>2019-08-29 14:13:08</t>
        </is>
      </c>
      <c r="H4445" t="inlineStr"/>
    </row>
    <row r="4446">
      <c r="A4446" t="inlineStr">
        <is>
          <t>cx7hiy</t>
        </is>
      </c>
      <c r="B4446" t="inlineStr">
        <is>
          <t>Advice needed for low white blood count during treatment</t>
        </is>
      </c>
      <c r="C4446" t="inlineStr">
        <is>
          <t>My mom was recently diagnosed with stage 3 small cell cancer of the esophageal. Since Chemo + Radiation started less than a month ago, her white blood count is hovering dangerously around 600-700. The oncologist originally stated that there would be medication to boost her white blood count. However, we are now told that due to her drug treatment, there would be no option to up her count through medication.
Looking for recommendations to keep her healthy through all of this. She's 64, but has a weak immune system and it is increasing difficult for her to swallow solid foods as they pass through the site of the cancer and her throat is swollen from treatment. 
Everybody is on edge, and concerns are all over the place. We've even gone as keeping her separated from our dog, whom she loves deeply. Any advice is greatly appreciated.</t>
        </is>
      </c>
      <c r="D4446" t="n">
        <v>6</v>
      </c>
      <c r="E4446" t="n">
        <v>9</v>
      </c>
      <c r="F4446">
        <f>HYPERLINK("https://www.reddit.com/r/cancer/comments/cx7hiy/advice_needed_for_low_white_blood_count_during/")</f>
        <v/>
      </c>
      <c r="G4446" t="inlineStr">
        <is>
          <t>2019-08-29 14:48:34</t>
        </is>
      </c>
      <c r="H4446" t="inlineStr"/>
    </row>
    <row r="4447">
      <c r="A4447" t="inlineStr">
        <is>
          <t>cx7sla</t>
        </is>
      </c>
      <c r="B4447" t="inlineStr">
        <is>
          <t>So tumors shrink in size instantly during chemo?</t>
        </is>
      </c>
      <c r="C4447" t="inlineStr">
        <is>
          <t>This may be a dumb question but how long after each treatment do the effects of chemo work to shrink tumors?</t>
        </is>
      </c>
      <c r="D4447" t="n">
        <v>8</v>
      </c>
      <c r="E4447" t="n">
        <v>17</v>
      </c>
      <c r="F4447">
        <f>HYPERLINK("https://www.reddit.com/r/cancer/comments/cx7sla/so_tumors_shrink_in_size_instantly_during_chemo/")</f>
        <v/>
      </c>
      <c r="G4447" t="inlineStr">
        <is>
          <t>2019-08-29 15:11:14</t>
        </is>
      </c>
      <c r="H4447" t="inlineStr"/>
    </row>
    <row r="4448">
      <c r="A4448" t="inlineStr">
        <is>
          <t>cx7u2w</t>
        </is>
      </c>
      <c r="B4448" t="inlineStr">
        <is>
          <t>Trying to make the remaining time as loving and memorable as possible</t>
        </is>
      </c>
      <c r="C4448" t="inlineStr">
        <is>
          <t>My dad (75) is diagnosed with brain cancer (glioblastoma) and I’m wondering what things people have done with their loved ones in their remaining time (if terminal). 
It’s especially hard because he’s so active, and I know that will be taken away from him soon, as well.
We’re not ones to spend all our time together, so I don’t want my efforts to remind him of his mortality, but I’m home now — so what can I do to show him how much I love and appreciate him in the meantime? 
TL;DR: What are some ways we can spend our unpredictable amount of time left together?</t>
        </is>
      </c>
      <c r="D4448" t="n">
        <v>7</v>
      </c>
      <c r="E4448" t="n">
        <v>5</v>
      </c>
      <c r="F4448">
        <f>HYPERLINK("https://www.reddit.com/r/cancer/comments/cx7u2w/trying_to_make_the_remaining_time_as_loving_and/")</f>
        <v/>
      </c>
      <c r="G4448" t="inlineStr">
        <is>
          <t>2019-08-29 15:14:14</t>
        </is>
      </c>
      <c r="H4448" t="inlineStr"/>
    </row>
    <row r="4449">
      <c r="A4449" t="inlineStr">
        <is>
          <t>cx89kt</t>
        </is>
      </c>
      <c r="B4449" t="inlineStr">
        <is>
          <t>How were some unexpected challenges with your autologous stem cell transplant?</t>
        </is>
      </c>
      <c r="C4449" t="inlineStr">
        <is>
          <t>Fellow Redditors, I'm having an autologous stem cell transplant (as an outpatient procedure) the first week of October for recurrent Hodgkin Lymphoma. The drugs I'm getting before the stem cell infusion are melphalan, etoposide, and cyclophosphamide.
I'm really hoping to start work this coming January, but will there be enough time to recover if I have my transplant at the start of October?
Also what were some unexpected side effects you got from your transplant and how did you deal with them? Thanks!</t>
        </is>
      </c>
      <c r="D4449" t="n">
        <v>7</v>
      </c>
      <c r="E4449" t="n">
        <v>3</v>
      </c>
      <c r="F4449">
        <f>HYPERLINK("https://www.reddit.com/r/cancer/comments/cx89kt/how_were_some_unexpected_challenges_with_your/")</f>
        <v/>
      </c>
      <c r="G4449" t="inlineStr">
        <is>
          <t>2019-08-29 15:48:11</t>
        </is>
      </c>
      <c r="H4449" t="inlineStr"/>
    </row>
    <row r="4450">
      <c r="A4450" t="inlineStr">
        <is>
          <t>cx8xdy</t>
        </is>
      </c>
      <c r="B4450" t="inlineStr">
        <is>
          <t>How to find light in the darkness?</t>
        </is>
      </c>
      <c r="C4450" t="inlineStr">
        <is>
          <t>I had a really bad day yesterday; I went into my appointment with my surgeon prepared for the news that I would need a lumpectomy. Instead he wants me to have a mastectomy. It looks like the cancer may have spread to my lymph nodes &amp;amp; to the other breast.  I’ve been really strong up until this point. 
I’m young &amp;amp; I’m really attached to my breasts. As vain as it sounds two of my best features are my breasts &amp;amp; my long dark black hair... &amp;amp; I’m going to lose both. 
I hate all this positive-pink-you-can-beat-this-your-scars-are-beautiful-crap. I’m cynical &amp;amp; I’m angry. I don’t feel like I fit in with how I’m supposed to feel about cancer. Cancer to me is ugly &amp;amp; lonely. 
How do all of you find hope &amp;amp; light in all of this?</t>
        </is>
      </c>
      <c r="D4450" t="n">
        <v>30</v>
      </c>
      <c r="E4450" t="n">
        <v>21</v>
      </c>
      <c r="F4450">
        <f>HYPERLINK("https://www.reddit.com/r/cancer/comments/cx8xdy/how_to_find_light_in_the_darkness/")</f>
        <v/>
      </c>
      <c r="G4450" t="inlineStr">
        <is>
          <t>2019-08-29 16:41:38</t>
        </is>
      </c>
      <c r="H4450" t="inlineStr"/>
    </row>
    <row r="4451">
      <c r="A4451" t="inlineStr">
        <is>
          <t>cx97v5</t>
        </is>
      </c>
      <c r="B4451" t="inlineStr">
        <is>
          <t>Scholarships related to the death of a parent to lung cancer</t>
        </is>
      </c>
      <c r="C4451" t="inlineStr">
        <is>
          <t>Hi, my dad passed to lung cancer in December of 2018. I am staring college this fall and heard generally about scholarships for children whose parents were victims of cancer, though I’m having trouble finding ones specifically for lung cancer. Any help would be appreciated, thank you</t>
        </is>
      </c>
      <c r="D4451" t="n">
        <v>2</v>
      </c>
      <c r="E4451" t="n">
        <v>1</v>
      </c>
      <c r="F4451">
        <f>HYPERLINK("https://www.reddit.com/r/cancer/comments/cx97v5/scholarships_related_to_the_death_of_a_parent_to/")</f>
        <v/>
      </c>
      <c r="G4451" t="inlineStr">
        <is>
          <t>2019-08-29 17:07:39</t>
        </is>
      </c>
      <c r="H4451" t="inlineStr"/>
    </row>
    <row r="4452">
      <c r="A4452" t="inlineStr">
        <is>
          <t>cx9do2</t>
        </is>
      </c>
      <c r="B4452" t="inlineStr">
        <is>
          <t>Grandpa’s lung cancer might’ve spread</t>
        </is>
      </c>
      <c r="C4452" t="inlineStr">
        <is>
          <t>My grandpa was diagnosed with stage II NSCLC about a year ago. He made it to remission, and then a few months ago they found bone mets on his ribs. He’s been getting weaker every day, and he’s in so much pain. Within the last week or so, he’s been having severe personality changes and confusion. His doctor admitted him to the hospital, and we think it might’ve spread to his brain. I know the prognosis is already not great, but this would make it even more bleak. I’m devastated. I’m hurting for the rest of my family. I’m coming to terms with the fact that there isn’t much to be done for him anymore, and that sucks.</t>
        </is>
      </c>
      <c r="D4452" t="n">
        <v>2</v>
      </c>
      <c r="E4452" t="n">
        <v>2</v>
      </c>
      <c r="F4452">
        <f>HYPERLINK("https://www.reddit.com/r/cancer/comments/cx9do2/grandpas_lung_cancer_mightve_spread/")</f>
        <v/>
      </c>
      <c r="G4452" t="inlineStr">
        <is>
          <t>2019-08-29 17:21:02</t>
        </is>
      </c>
      <c r="H4452" t="inlineStr"/>
    </row>
    <row r="4453">
      <c r="A4453" t="inlineStr">
        <is>
          <t>cxa6lm</t>
        </is>
      </c>
      <c r="B4453" t="inlineStr">
        <is>
          <t>My son (4 years) is being tested for neuroblastoma.</t>
        </is>
      </c>
      <c r="C4453" t="inlineStr">
        <is>
          <t>He is also being tested for pheochromocytoma (usually non cancerous tumor). I am really worried, trying not to read too far into it. I was curious what treatments other families went through and how best to prepare.  Any words of advice at all will be helpful.</t>
        </is>
      </c>
      <c r="D4453" t="n">
        <v>39</v>
      </c>
      <c r="E4453" t="n">
        <v>18</v>
      </c>
      <c r="F4453">
        <f>HYPERLINK("https://www.reddit.com/r/cancer/comments/cxa6lm/my_son_4_years_is_being_tested_for_neuroblastoma/")</f>
        <v/>
      </c>
      <c r="G4453" t="inlineStr">
        <is>
          <t>2019-08-29 18:32:22</t>
        </is>
      </c>
      <c r="H4453" t="inlineStr"/>
    </row>
    <row r="4454">
      <c r="A4454" t="inlineStr">
        <is>
          <t>cxa828</t>
        </is>
      </c>
      <c r="B4454" t="inlineStr">
        <is>
          <t>I am 31 and I was just diagnosed with squamous cell carcinoma.</t>
        </is>
      </c>
      <c r="C4454" t="inlineStr">
        <is>
          <t>It is 'situ' meaning it is isolated to the dime-sized red patch on my leg. Has anyone had any experience with this? I'm upset but I also wonder if it is not that big of a deal. I apologize in advance if this does not belong here.</t>
        </is>
      </c>
      <c r="D4454" t="n">
        <v>9</v>
      </c>
      <c r="E4454" t="n">
        <v>5</v>
      </c>
      <c r="F4454">
        <f>HYPERLINK("https://www.reddit.com/r/cancer/comments/cxa828/i_am_31_and_i_was_just_diagnosed_with_squamous/")</f>
        <v/>
      </c>
      <c r="G4454" t="inlineStr">
        <is>
          <t>2019-08-29 18:35:42</t>
        </is>
      </c>
      <c r="H4454" t="inlineStr"/>
    </row>
    <row r="4455">
      <c r="A4455" t="inlineStr">
        <is>
          <t>cxaade</t>
        </is>
      </c>
      <c r="B4455" t="inlineStr">
        <is>
          <t>Finding love after surviving cancer?</t>
        </is>
      </c>
      <c r="C4455" t="inlineStr">
        <is>
          <t>Long story short, my ex didn’t want to be apart of my treatment and to-be survival journey. I’m 21 and have recently graduated from school and am starting my career and live alone. 
What can you share about surviving cancer and finding your husband/wife/fiancé/LTR either from a survivor’s standpoint or from someone in a relationship with a survivor. When did you share you were a survivor? Did it affect anything? How challenging was it to date as a survivor? Most of all, if you have a good love story please share it!
This sub gets a lot of saddening posts and sometimes everyone can benefit from a little love story :’)</t>
        </is>
      </c>
      <c r="D4455" t="n">
        <v>28</v>
      </c>
      <c r="E4455" t="n">
        <v>12</v>
      </c>
      <c r="F4455">
        <f>HYPERLINK("https://www.reddit.com/r/cancer/comments/cxaade/finding_love_after_surviving_cancer/")</f>
        <v/>
      </c>
      <c r="G4455" t="inlineStr">
        <is>
          <t>2019-08-29 18:41:41</t>
        </is>
      </c>
      <c r="H4455" t="inlineStr"/>
    </row>
    <row r="4456">
      <c r="A4456" t="inlineStr">
        <is>
          <t>cxb5d0</t>
        </is>
      </c>
      <c r="B4456" t="inlineStr">
        <is>
          <t>Has anyone ever heard of spindle cells?</t>
        </is>
      </c>
      <c r="C4456" t="inlineStr">
        <is>
          <t>So my dad basically had a lump on his face we thought was a cyst, then the doctor figured it was a lymph node. He had a biopsy and was called to go in and speak to the doctor who said it had spindle cells, and he needs to go to get a ct scan and have surgery further to remove it properly. Has anyone heard of this? My parents were a mess going to the doctor because they assumed it would be worst case lymphoma, but don’t know if it’s cancer at the moment since they were in shock during the appointment. My dad said something about sarcoma but wasn’t sure 100%.</t>
        </is>
      </c>
      <c r="D4456" t="n">
        <v>6</v>
      </c>
      <c r="E4456" t="n">
        <v>6</v>
      </c>
      <c r="F4456">
        <f>HYPERLINK("https://www.reddit.com/r/cancer/comments/cxb5d0/has_anyone_ever_heard_of_spindle_cells/")</f>
        <v/>
      </c>
      <c r="G4456" t="inlineStr">
        <is>
          <t>2019-08-29 20:01:01</t>
        </is>
      </c>
      <c r="H4456" t="inlineStr"/>
    </row>
    <row r="4457">
      <c r="A4457" t="inlineStr">
        <is>
          <t>cxcmaj</t>
        </is>
      </c>
      <c r="B4457" t="inlineStr">
        <is>
          <t>Surgery to remove cancer done, now what?</t>
        </is>
      </c>
      <c r="C4457" t="inlineStr">
        <is>
          <t>Started out as a partial nephrectomy and after rapid pathology came back during surgery they decided to do a radical nephrectomy.  Sounds like it was spread throughout my kidney instead of just the mass on the kidney.  They mentioned something about spindle cell, but before surgery they though papillary renal cell carcinoma.  I guess they can be similar something.  They also mentioned potential radiation treatment, but that would have a lot to do with what they took out going out for a more thorough pathology examination.  
Let's say they come back and say, yup we think we got it all.  Do I just live on wondering, did they?  I read here so often  stories of people saying their cancer has came back.  Was it ever really gone?  I'm terrified.  I have all sorts of things I'm worried about.  Things I think they potentially missed.  
How can they be so sure it hasn't spread?
I think I may ask for a 2nd opinion.  See what another doctor thinks.</t>
        </is>
      </c>
      <c r="D4457" t="n">
        <v>3</v>
      </c>
      <c r="E4457" t="n">
        <v>10</v>
      </c>
      <c r="F4457">
        <f>HYPERLINK("https://www.reddit.com/r/cancer/comments/cxcmaj/surgery_to_remove_cancer_done_now_what/")</f>
        <v/>
      </c>
      <c r="G4457" t="inlineStr">
        <is>
          <t>2019-08-29 22:31:07</t>
        </is>
      </c>
      <c r="H4457" t="inlineStr"/>
    </row>
    <row r="4458">
      <c r="A4458" t="inlineStr">
        <is>
          <t>cxdvkr</t>
        </is>
      </c>
      <c r="B4458" t="inlineStr">
        <is>
          <t>I had a meeting with my Onocologist yesterday</t>
        </is>
      </c>
      <c r="C4458" t="inlineStr">
        <is>
          <t>Last year I had FLOT chemo which greatly reduced the size of my primary but barely affected my metastized tumors. I found out towards the end of last year that my tumors were HER2+ and have recently completed my second line HCF chemotherapy. 
Amazingly I got extremely good and positive news.
The primary tumor has shrunk again and my metastaic tumors have 'all but disappeared'.
Over a year ago I was told I had 6-12 months to live.
This is the closest I'll ever get to being in remission. I don't need a scan again until December and I don't need to meet my oncologist again until January. 
Life is a wild as fuck ride.</t>
        </is>
      </c>
      <c r="D4458" t="n">
        <v>72</v>
      </c>
      <c r="E4458" t="n">
        <v>18</v>
      </c>
      <c r="F4458">
        <f>HYPERLINK("https://www.reddit.com/r/cancer/comments/cxdvkr/i_had_a_meeting_with_my_onocologist_yesterday/")</f>
        <v/>
      </c>
      <c r="G4458" t="inlineStr">
        <is>
          <t>2019-08-30 01:03:42</t>
        </is>
      </c>
      <c r="H4458" t="inlineStr"/>
    </row>
    <row r="4459">
      <c r="A4459" t="inlineStr">
        <is>
          <t>cxemj9</t>
        </is>
      </c>
      <c r="B4459" t="inlineStr">
        <is>
          <t>Diagnosed with T cell lymphoblastic NHL.</t>
        </is>
      </c>
      <c r="C4459" t="inlineStr">
        <is>
          <t>20 year old male, diagnosed with T cell lymphoblastic NHL. My doctor says that this is a rare type, which requires aggressive chemo, which can have varying side effects. Can anyone with the same share their experiences as to what to expect?</t>
        </is>
      </c>
      <c r="D4459" t="n">
        <v>6</v>
      </c>
      <c r="E4459" t="n">
        <v>4</v>
      </c>
      <c r="F4459">
        <f>HYPERLINK("https://www.reddit.com/r/cancer/comments/cxemj9/diagnosed_with_t_cell_lymphoblastic_nhl/")</f>
        <v/>
      </c>
      <c r="G4459" t="inlineStr">
        <is>
          <t>2019-08-30 02:39:03</t>
        </is>
      </c>
      <c r="H4459" t="inlineStr"/>
    </row>
    <row r="4460">
      <c r="A4460" t="inlineStr">
        <is>
          <t>cxhdq0</t>
        </is>
      </c>
      <c r="B4460" t="inlineStr">
        <is>
          <t>Awkward conversations with coworkers.</t>
        </is>
      </c>
      <c r="C4460" t="inlineStr">
        <is>
          <t>I’m a father to an 11 year old ALL patient. We started delayed intensification last week and I’m beginning my FMLA leave to help him push through this phase into maintenance. 
I work at a major university and perform IT support for a number of different departments. Most of my frequent users know everything about what we’re going though. I took some lengthy time off in the beginning and then worked an abbreviated schedule for a month or so and between that time off and office talk I just assumed everyone knew.
Anyway, I was working my zone on my last day before FMLA and I was making a point to remind my users that I was going to be out. I saw one professor who I don’t see often and made a point to mention to them that I was going to be out for a couple months to care for my son. They looked surprised and asked what was wrong and I replied that my son had cancer. Their face fell and they paused for a moment. They then asked if they could tell me something that don’t tell many people and I said yes. They then told me that many years ago they lost their 11 year old child to ALL. They asked how old my son was and I slowly responded with 11 years old. They then hesitated and asked what kind of cancer and winced as I replied with ALL...
Without meaning to I’m sure I reminded this person of the most difficult time of their life. And without meaning to this person most definitely reminded me that this isn’t something that we are guaranteed to get through. My wife and I have sort of convinced ourselves that things will be ok and after some difficult chemo we will move into maintenance and into a new normal. It sucks to realize that that might not be true. My son is an 11 year old with ALL and some eleven year olds die of ALL. 
This sucks. I’m typing this in the hospital with my son beside me. He’s watching ESPN on his phone and patiently waiting for an LP and Vincristine &amp;amp; Doxorubicin infusions. I don’t post here often but just wanted to share. Thanks for reading everyone...</t>
        </is>
      </c>
      <c r="D4460" t="n">
        <v>10</v>
      </c>
      <c r="E4460" t="n">
        <v>3</v>
      </c>
      <c r="F4460">
        <f>HYPERLINK("https://www.reddit.com/r/cancer/comments/cxhdq0/awkward_conversations_with_coworkers/")</f>
        <v/>
      </c>
      <c r="G4460" t="inlineStr">
        <is>
          <t>2019-08-30 07:03:57</t>
        </is>
      </c>
      <c r="H4460" t="inlineStr"/>
    </row>
    <row r="4461">
      <c r="A4461" t="inlineStr">
        <is>
          <t>cxj8vw</t>
        </is>
      </c>
      <c r="B4461" t="inlineStr">
        <is>
          <t>Helpful advice/ resources for family members of terminal cancer patients?</t>
        </is>
      </c>
      <c r="C4461" t="inlineStr">
        <is>
          <t>My childhood best friend's father was recently diagnosed with terminal cancer. I'm not sure what kind, but it's passed the point of being treatable because it was caught too late. The news completely blindsided the family. They're on a month to month timeline as far as how much time the dad has left. I know she (and the rest of the family) is struggling a lot right now to deal with the whiplash of it all/ adjusting to the new reality. So, I'm here to hopefully gather some helpful information/ resources for her/them that might help them through this difficult time. I'd greatly appreciate any helpful advice you can offer (e.g. tips for daily/long term coping, how to talk to a parent with terminal cancer, what to talk to a parent with terminal cancer about before they pass on, etc).
Are there any self-care/ mental health resources for family members/ children of terminal cancer patients any of you have found particularly helpful? 
If you're a child of someone with terminal cancer, and could go back in time to when you were just finding out, what advice would you give your past self? 
Also, do y'all have any advice for me as a friend to her? Specifically, as a friend located several hundred miles away? How can I best support her, other than being there to talk/ listen?</t>
        </is>
      </c>
      <c r="D4461" t="n">
        <v>2</v>
      </c>
      <c r="E4461" t="n">
        <v>2</v>
      </c>
      <c r="F4461">
        <f>HYPERLINK("https://www.reddit.com/r/cancer/comments/cxj8vw/helpful_advice_resources_for_family_members_of/")</f>
        <v/>
      </c>
      <c r="G4461" t="inlineStr">
        <is>
          <t>2019-08-30 09:25:54</t>
        </is>
      </c>
      <c r="H4461" t="inlineStr"/>
    </row>
    <row r="4462">
      <c r="A4462" t="inlineStr">
        <is>
          <t>cxjirz</t>
        </is>
      </c>
      <c r="B4462" t="inlineStr">
        <is>
          <t>Update: Good news to report from baby (2yo) and dog (3yo) who both have cancer.</t>
        </is>
      </c>
      <c r="C4462" t="inlineStr">
        <is>
          <t>Hi all, 
I posted a venting session here a few weeks ago. My two year old son was diagnosed with Leukemia in November of last year, my three year old dog had just been diagnosed with cancer the day before (and we didn't know how severe), my parents had just sold there house and were living with us, my mom had her planned hysterectomy go wrong and result in a lot of complications while they were living with us, and my brother had just had a baby who was failing his hearing tests and possibly deaf.... we had a lot going on.  So here's a nice little update.  
&amp;amp;#x200B;
I am happy to report today that my dog's cancer did not spread! They think they got all of the malignant tumor with the surgery and now we just have to keep an eye out for future bumps.  
&amp;amp;#x200B;
My mom is on the mend after having a PICC line installed and being on heavy antibiotics this month. My parents have bought their new house and have moved in!  
As for my brother's baby - they are still doing testing, but we are confident we can handle whatever the outcome is.  
&amp;amp;#x200B;
And last, but not least, my baby boy with Leukemia. This kid is such a trooper. His strength truly inspires me every day. He is doing so well with treatment. We are close to the end of front-line (\~1 year) and we are slated move into Long Term Maintenance in November (\~2 additional years).  
&amp;amp;#x200B;
I wanted to give a special thanks to this community for letting me vent without judgement and keeping me grounded in a difficult situation. I'm sending love to you all and hoping we all get a little bit of good news to report.</t>
        </is>
      </c>
      <c r="D4462" t="n">
        <v>77</v>
      </c>
      <c r="E4462" t="n">
        <v>11</v>
      </c>
      <c r="F4462">
        <f>HYPERLINK("https://www.reddit.com/r/cancer/comments/cxjirz/update_good_news_to_report_from_baby_2yo_and_dog/")</f>
        <v/>
      </c>
      <c r="G4462" t="inlineStr">
        <is>
          <t>2019-08-30 09:46:48</t>
        </is>
      </c>
      <c r="H4462" t="inlineStr"/>
    </row>
    <row r="4463">
      <c r="A4463" t="inlineStr">
        <is>
          <t>cxjom1</t>
        </is>
      </c>
      <c r="B4463" t="inlineStr">
        <is>
          <t>Will I really need radiation??!!</t>
        </is>
      </c>
      <c r="C4463" t="inlineStr">
        <is>
          <t>I am so done. I just finished getting chemo and double masectomy for Her2 negative hormone positive stage 2 breast cancer. There was nothing in lymph nodes . My lymph nodes and margins are clear. Now oncologist wants me to see radiation oncologist next week because my tumor was almost 5 cm at diagnosis . My tumor was shrunk to 3cm by chemo then cut out not sure why diagnosis size matters especially since it was that size because I was feeding it birth control pills the tumor was grade 1 not aggressive at all.
  But I don't really think my oncologist had her head in the game. She said she is prescribing me a drug called Tamoxifin like we had not talked about it at length and my family history of uterine cancer my aunt got at 47. Then she felt for my port so she could flush it. She ordered my port to be removed during my mastectomy durrrr!</t>
        </is>
      </c>
      <c r="D4463" t="n">
        <v>6</v>
      </c>
      <c r="E4463" t="n">
        <v>14</v>
      </c>
      <c r="F4463">
        <f>HYPERLINK("https://www.reddit.com/r/cancer/comments/cxjom1/will_i_really_need_radiation/")</f>
        <v/>
      </c>
      <c r="G4463" t="inlineStr">
        <is>
          <t>2019-08-30 09:58:48</t>
        </is>
      </c>
      <c r="H4463" t="inlineStr"/>
    </row>
    <row r="4464">
      <c r="A4464" t="inlineStr">
        <is>
          <t>cxjqac</t>
        </is>
      </c>
      <c r="B4464" t="inlineStr">
        <is>
          <t>Hello all. Need some advice.</t>
        </is>
      </c>
      <c r="C4464" t="inlineStr">
        <is>
          <t>I've been through this before, but my mom has cancer again. 
The first time was breast cancer, I was really young and don't remember a whole lot about it. She then got a staph infection later on, so she has been through a lot. 
The implants she got ended up starting to leak, so they scheduled her to have her implants replaced. 
She went in a couple days ago and as they were doing the surgery, they found that she has cancer. They replaced one and took a biopsy. 
So as it seems with everything that's important, we have to wait another week. Which is killing me and I can't imagine how my mom feels. She puts up a brave front, no matter what happens. 
I guess I just really don't know what to do for her. I have this really bad gut feeling that we won't be able to do anything for her cancer. I know obviously not to tell her that, or pretty much anything negative about it. 
What was helpful for you?
What should I do for her?
I'm just lost and need some pointers.</t>
        </is>
      </c>
      <c r="D4464" t="n">
        <v>8</v>
      </c>
      <c r="E4464" t="n">
        <v>8</v>
      </c>
      <c r="F4464">
        <f>HYPERLINK("https://www.reddit.com/r/cancer/comments/cxjqac/hello_all_need_some_advice/")</f>
        <v/>
      </c>
      <c r="G4464" t="inlineStr">
        <is>
          <t>2019-08-30 10:02:16</t>
        </is>
      </c>
      <c r="H4464" t="inlineStr"/>
    </row>
    <row r="4465">
      <c r="A4465" t="inlineStr">
        <is>
          <t>cxnorx</t>
        </is>
      </c>
      <c r="B4465" t="inlineStr">
        <is>
          <t>What's it like taking someone to chemo?</t>
        </is>
      </c>
      <c r="C4465" t="inlineStr">
        <is>
          <t>Hi reddit,
 Two summers ago, my mother passed away from stage 4 metastatic colon cancer. She fought her fight for two years and two days, and I was there when she passed. 
I am a screenwriter, and as a way of coping with this loss, I'm writing a semi-autobiographical screenplay about a writer who lives in LA whose mother back home gets diagnosed with colon cancer. 
Here's where you come in. In my story, the "me" character takes her mother to chemo. I never took my mother to chemo, she wouldn't let me. (My mom spent her entire time sick, until the moment she was no longer lucid, in denial, but that's a whole different post.) If you don't mind sharing, I'd love some personal anecdotes about that experience. The only thing I have right now, from my own experience, is sending my mom Preggo Pops to suck on during chemo to help with nausea/taste, but I need a little bit more. It's VERY important to me to get this right. 
I don't need a ton, it's just two scenes -- one scene at the hospital and one scene in the car immediately post-chemo. And I can't talk to my Dad about it (1. I don't want him to know I'm writing this and 2. He just got remarried to someone who hates me, so...), so here I am, asking you wonderful people of the internet. 
xx</t>
        </is>
      </c>
      <c r="D4465" t="n">
        <v>1</v>
      </c>
      <c r="E4465" t="n">
        <v>6</v>
      </c>
      <c r="F4465">
        <f>HYPERLINK("https://www.reddit.com/r/cancer/comments/cxnorx/whats_it_like_taking_someone_to_chemo/")</f>
        <v/>
      </c>
      <c r="G4465" t="inlineStr">
        <is>
          <t>2019-08-30 15:08:24</t>
        </is>
      </c>
      <c r="H4465" t="inlineStr"/>
    </row>
    <row r="4466">
      <c r="A4466" t="inlineStr">
        <is>
          <t>cxnzcz</t>
        </is>
      </c>
      <c r="B4466" t="inlineStr">
        <is>
          <t>Mood swings due to treatment and medication</t>
        </is>
      </c>
      <c r="C4466" t="inlineStr">
        <is>
          <t>My treatment is going well but no end in sight “well it’s stage 4 melanoma” so likely to be an end...
Been having stomach ache and shits again and swelling so took Prednisolone prescribed by the doctor.
Thing is been having anger issues and high and low moods.
I shouted at a female colleague this week and slagged her off behind her back. Which is unlike me. I’m not the bitchy type.
I think I’m getting an obsession over this girl as I’m attracted to her. But she’s not friendly towards me like most of my colleagues. She used to be.
And I don’t feel like seeing my mum tomorrow as planned. I just want alone time. 
Booked to see a doctor think I’m depressed.
Going through cancer is mentally exhausting. Every time you wait for a scan result. It’s just daunting.
Just wanted to type my thoughts to share.
I’ve never been good at expressing my thoughts.</t>
        </is>
      </c>
      <c r="D4466" t="n">
        <v>4</v>
      </c>
      <c r="E4466" t="n">
        <v>1</v>
      </c>
      <c r="F4466">
        <f>HYPERLINK("https://www.reddit.com/r/cancer/comments/cxnzcz/mood_swings_due_to_treatment_and_medication/")</f>
        <v/>
      </c>
      <c r="G4466" t="inlineStr">
        <is>
          <t>2019-08-30 15:32:26</t>
        </is>
      </c>
      <c r="H4466" t="inlineStr"/>
    </row>
    <row r="4467">
      <c r="A4467" t="inlineStr">
        <is>
          <t>cxotp2</t>
        </is>
      </c>
      <c r="B4467" t="inlineStr">
        <is>
          <t>Am I okay?</t>
        </is>
      </c>
      <c r="C4467" t="inlineStr">
        <is>
          <t>I know no one here can give me actual answers or confirmations. I am an 18 year old female
Ive had a swollen lymph node on the left side of my neck since February, went to the doctor in May, and I have a biopsy consultation finally Tuesday.  
But that’s isn’t all of it...
My last pap came back abnormal, which means I also have a colposcopy coming up as well..
No one in my family has a history of any cancer. I had my HPV vaccine, and I’ve always been SUPER healthy. My blood work came back normal.
Im not fatigued, in pain, have not lost or gained weight. I don’t show any signs of cervical cancer either. 
Yet with both a biopsy consultation and a colposcopy coming up in the same week. I feel pretty damned. Could this just be the worst coincidence ever?</t>
        </is>
      </c>
      <c r="D4467" t="n">
        <v>1</v>
      </c>
      <c r="E4467" t="n">
        <v>5</v>
      </c>
      <c r="F4467">
        <f>HYPERLINK("https://www.reddit.com/r/cancer/comments/cxotp2/am_i_okay/")</f>
        <v/>
      </c>
      <c r="G4467" t="inlineStr">
        <is>
          <t>2019-08-30 16:44:04</t>
        </is>
      </c>
      <c r="H4467" t="inlineStr"/>
    </row>
    <row r="4468">
      <c r="A4468" t="inlineStr">
        <is>
          <t>cxoy1r</t>
        </is>
      </c>
      <c r="B4468" t="inlineStr">
        <is>
          <t>Always some hope.</t>
        </is>
      </c>
      <c r="C4468" t="inlineStr">
        <is>
          <t>I haven't posted much on this forum but I check almost everyday to read the stories of struggle and hope.
Briefly, last November. Stage 3c rectal cancer diagnosis. 5.5 weeks zeloda and radiation. Surgery to remove reduced tumor. Pathology indicated a high grade tumor. Illeostomy, temporary. 8 weeks of folfox chemo.
Today I went to have a scan and boodwork. Almost 9 months after initial diagnosis and very poor prognosis, I'm officially NED. No evidence of any desease. CEA 1.9 after a high of over 60.
I was so sure I would get the news today that my cancer had progressed to stage 4. It didn't happen and I'm so thankful. Next month illestomy reversal. I know this is a brutal beast that can raise it's ugly head again in the future. But tonight, I'm happy. I have hope again.</t>
        </is>
      </c>
      <c r="D4468" t="n">
        <v>33</v>
      </c>
      <c r="E4468" t="n">
        <v>9</v>
      </c>
      <c r="F4468">
        <f>HYPERLINK("https://www.reddit.com/r/cancer/comments/cxoy1r/always_some_hope/")</f>
        <v/>
      </c>
      <c r="G4468" t="inlineStr">
        <is>
          <t>2019-08-30 16:55:13</t>
        </is>
      </c>
      <c r="H4468" t="inlineStr"/>
    </row>
    <row r="4469">
      <c r="A4469" t="inlineStr">
        <is>
          <t>cxpegz</t>
        </is>
      </c>
      <c r="B4469" t="inlineStr">
        <is>
          <t>Description of your tumor for those who have experience with ovarian cancer?</t>
        </is>
      </c>
      <c r="C4469" t="inlineStr">
        <is>
          <t>I hope this post is allowed, my apologies if not! 
After imaging tests and diagnosis, what was the tumor like (size, characteristics)?</t>
        </is>
      </c>
      <c r="D4469" t="n">
        <v>1</v>
      </c>
      <c r="E4469" t="n">
        <v>3</v>
      </c>
      <c r="F4469">
        <f>HYPERLINK("https://www.reddit.com/r/cancer/comments/cxpegz/description_of_your_tumor_for_those_who_have/")</f>
        <v/>
      </c>
      <c r="G4469" t="inlineStr">
        <is>
          <t>2019-08-30 17:37:58</t>
        </is>
      </c>
      <c r="H4469" t="inlineStr"/>
    </row>
    <row r="4470">
      <c r="A4470" t="inlineStr">
        <is>
          <t>cxpsdk</t>
        </is>
      </c>
      <c r="B4470" t="inlineStr">
        <is>
          <t>Sibling of a cancer patient looking for advice.</t>
        </is>
      </c>
      <c r="C4470" t="inlineStr">
        <is>
          <t>My 13yo sister was diagnosed with osteosarcoma in June. I'm her oldest brother, and a lot of days I feel like I don't know how to show her that I support her. 
We're a very guarded "un-feely" family that would never ever talk about feelings, which can make expressing emotions to one another difficult.
So, any ideas how I show my love and support in a concrete manner. 
Thanks.</t>
        </is>
      </c>
      <c r="D4470" t="n">
        <v>2</v>
      </c>
      <c r="E4470" t="n">
        <v>12</v>
      </c>
      <c r="F4470">
        <f>HYPERLINK("https://www.reddit.com/r/cancer/comments/cxpsdk/sibling_of_a_cancer_patient_looking_for_advice/")</f>
        <v/>
      </c>
      <c r="G4470" t="inlineStr">
        <is>
          <t>2019-08-30 18:14:25</t>
        </is>
      </c>
      <c r="H4470" t="inlineStr"/>
    </row>
    <row r="4471">
      <c r="A4471" t="inlineStr">
        <is>
          <t>cxq63n</t>
        </is>
      </c>
      <c r="B4471" t="inlineStr">
        <is>
          <t>Friend might have colon cancer 😢</t>
        </is>
      </c>
      <c r="C4471" t="inlineStr">
        <is>
          <t>My best friend who is 29 has a ton of health problems. He has a chronic cough and has had it for 4 years. He’s also started smoking when he was 12/13. But near the end of high school he became a pack a day smoker for 2 years. He doesn’t think he has lung cancer because the only thing he has had was a chronic cough other than that there nothing with his lungs I don’t think. He has had chronic insomnia for a few years as well. Doctors have no idea what it is. They thought there was something wrong his pancreas and he almost died due to pancreatic inflammation. But the doctors said nothing was wrong with him there. But the doctor said that there’s a low chance he might have colon cancer, I hope he’s alright. His medical situation has put a pause on his life for a while now and I hope he’s okay. God be with him.</t>
        </is>
      </c>
      <c r="D4471" t="n">
        <v>0</v>
      </c>
      <c r="E4471" t="n">
        <v>0</v>
      </c>
      <c r="F4471">
        <f>HYPERLINK("https://www.reddit.com/r/cancer/comments/cxq63n/friend_might_have_colon_cancer/")</f>
        <v/>
      </c>
      <c r="G4471" t="inlineStr">
        <is>
          <t>2019-08-30 18:51:17</t>
        </is>
      </c>
      <c r="H4471" t="inlineStr"/>
    </row>
    <row r="4472">
      <c r="A4472" t="inlineStr">
        <is>
          <t>cxqu59</t>
        </is>
      </c>
      <c r="B4472" t="inlineStr">
        <is>
          <t>Should i stay or go be with wife at home?</t>
        </is>
      </c>
      <c r="C4472" t="inlineStr">
        <is>
          <t>My father is close to going. I don't know what to do. Should I stay here at the house with him? Or should i go home and hold my wife and hope he will be here tomorrow?</t>
        </is>
      </c>
      <c r="D4472" t="n">
        <v>3</v>
      </c>
      <c r="E4472" t="n">
        <v>6</v>
      </c>
      <c r="F4472">
        <f>HYPERLINK("https://www.reddit.com/r/cancer/comments/cxqu59/should_i_stay_or_go_be_with_wife_at_home/")</f>
        <v/>
      </c>
      <c r="G4472" t="inlineStr">
        <is>
          <t>2019-08-30 19:57:42</t>
        </is>
      </c>
      <c r="H4472" t="inlineStr"/>
    </row>
    <row r="4473">
      <c r="A4473" t="inlineStr">
        <is>
          <t>cxr2tj</t>
        </is>
      </c>
      <c r="B4473" t="inlineStr">
        <is>
          <t>No doctor has been able to give me any diagnosis of what’s wrong with me, but I am weak and hurt all the time. Who do I go to?</t>
        </is>
      </c>
      <c r="C4473" t="inlineStr">
        <is>
          <t>I’ve seen my PCP many times over the last year. No formal diagnosis, just speculation. Numerous urine and blood tests reveal nothing. I saw a neurologist, he said nothing about my brain was wrong. I did an MRI of everything but my lowest section (stomach/pelvis and below). Nothing to report. Chest Xray came back normal. Adrenal tests were only slightly low, but prescription meds don’t help.
Every day hurts, all the time. All over, but mostly in my chest/stomach/midsection. Every day, my body feels weak. Some days I am forced to lie down, and can’t move, often for hours. I had to go to the ER recently for extreme pain, and full body muscle spams. They told me I was fine, but every day seems worse than the last.
They say “just go to the doctor”, but I am tired of going to doctors and told I am healthy, when I am not. I am constantly in pain and extreme fatigue, but nobody can tell me what’s wrong. I have no agency, and I am scared.
Who do I have to go to for a diagnosis? I can’t work or afford anything in this physical state. Do I have to keep paying out of pocket to different doctors until someone stumbles on something? How did you get your diagnosis?</t>
        </is>
      </c>
      <c r="D4473" t="n">
        <v>3</v>
      </c>
      <c r="E4473" t="n">
        <v>2</v>
      </c>
      <c r="F4473">
        <f>HYPERLINK("https://www.reddit.com/r/cancer/comments/cxr2tj/no_doctor_has_been_able_to_give_me_any_diagnosis/")</f>
        <v/>
      </c>
      <c r="G4473" t="inlineStr">
        <is>
          <t>2019-08-30 20:22:15</t>
        </is>
      </c>
      <c r="H4473" t="inlineStr"/>
    </row>
    <row r="4474">
      <c r="A4474" t="inlineStr">
        <is>
          <t>cxrbdm</t>
        </is>
      </c>
      <c r="B4474" t="inlineStr">
        <is>
          <t>Anyone else wanna kill god???</t>
        </is>
      </c>
      <c r="C4474" t="inlineStr">
        <is>
          <t>There was a post on here about how difficult it is to not give into despair when you have cancer and your situation sucks and yeah I just wanna get in on that! 
I have been paranoid about cancer all my life after I watched it kill my mother when I was little, I ended up a real hypochondriac because of that awful experience. And guess what! I still got cancer! I didn’t even manage to find it early, I found it stage four! Which quickly turned to terminal! My cancer normally hits women when they’re 50ish but I got mine 23!!! I didn’t even get the fucking time my mother did! So now I have to come to terms with my imminent death and also the fact that I’m going to destroy my wonderful fucking family when I die! We have already done this, we know the fucking score, they will miss me forever and they have to watch me slowly die now because I couldn’t even die in a freak accident! No, I had to have a long drawn out death which ends in pain and indignity! LOVE IT. 
Before cancer I wasn’t religious but I didn’t think on god much. Now I have so much rage for him. I know it’s becsuse I have no one else to direct the rage at but honestly, fuck him for doing this. For making my family suffer and delighting in that suffering being slow. Fuck him for giving everyone else cancer and letting some people do months of horrible treatment only to die anyway. You motherfucker. You sadistic piece of shit. When I die I’ll cut your head off and piss on your grave. I just want to cover your holy house with shit and drag you down to earth and show you the fucking five year old being held down so they can get their toxic medicine and the parent whose a good person and has kids but you’re still killing them anyway. If god is real, I think I’ll kill him. 
And you are the only guys who will see this rant. Because anger doesn’t help anyone, and people can only relate to cancer patients if we’re doing an upbeat Be Positive dance. I hate the hold that death has on me. Even now I’m scared God might send me to hell for this anger at his Greatness, this *disrespect*... I feel like I gotta be worshipping at his feet even as he kills me cruelly and makes it so my family is in pain for years. THANKS DUDE!</t>
        </is>
      </c>
      <c r="D4474" t="n">
        <v>94</v>
      </c>
      <c r="E4474" t="n">
        <v>51</v>
      </c>
      <c r="F4474">
        <f>HYPERLINK("https://www.reddit.com/r/cancer/comments/cxrbdm/anyone_else_wanna_kill_god/")</f>
        <v/>
      </c>
      <c r="G4474" t="inlineStr">
        <is>
          <t>2019-08-30 20:47:33</t>
        </is>
      </c>
      <c r="H4474" t="inlineStr"/>
    </row>
    <row r="4475">
      <c r="A4475" t="inlineStr">
        <is>
          <t>cxrg59</t>
        </is>
      </c>
      <c r="B4475" t="inlineStr">
        <is>
          <t>Butt bone pain - radiation or weight loss?</t>
        </is>
      </c>
      <c r="C4475" t="inlineStr">
        <is>
          <t>Hi Everyone,
Mom is one week into chemoradiation - five weeks to go! The first few days were rough with the chemo, but after some stronger medications she is much better. She has Stage 2 Anal Cancer.
She is finally able to sit properly (her tumours are starting to shrink); however, she is having pain in her butt bones. We aren't sure if this would be due to radiation, or the fact that she has lost weight and is very very skinny. She was already quite tiny before chemo, so the weight loss has been a bit more drastic looking. She is even having difficulty with her sitz baths because her butt bones hurt to sit. 
Does anyone have experience with this? If so, would anything help?
Thank you in advance. This community has brought me so much comfort and support during the past couple months, I have no words to describe how much I appreciate every single one of you.</t>
        </is>
      </c>
      <c r="D4475" t="n">
        <v>1</v>
      </c>
      <c r="E4475" t="n">
        <v>4</v>
      </c>
      <c r="F4475">
        <f>HYPERLINK("https://www.reddit.com/r/cancer/comments/cxrg59/butt_bone_pain_radiation_or_weight_loss/")</f>
        <v/>
      </c>
      <c r="G4475" t="inlineStr">
        <is>
          <t>2019-08-30 21:02:06</t>
        </is>
      </c>
      <c r="H4475" t="inlineStr"/>
    </row>
    <row r="4476">
      <c r="A4476" t="inlineStr">
        <is>
          <t>cxrk17</t>
        </is>
      </c>
      <c r="B4476" t="inlineStr">
        <is>
          <t>My dad died</t>
        </is>
      </c>
      <c r="C4476" t="inlineStr">
        <is>
          <t>My dad was diagnosed in May with cancer, the chemo was shrinking the tumours and they started to have hope but he took a huge turn downhill and abruptly died in the hospital because it had spread to his brain stem unnoticed.. Even the doctor was surprised, this all happened this morning and i really don’t know what to do. I’m only 18 and I already lost my dad...</t>
        </is>
      </c>
      <c r="D4476" t="n">
        <v>29</v>
      </c>
      <c r="E4476" t="n">
        <v>6</v>
      </c>
      <c r="F4476">
        <f>HYPERLINK("https://www.reddit.com/r/cancer/comments/cxrk17/my_dad_died/")</f>
        <v/>
      </c>
      <c r="G4476" t="inlineStr">
        <is>
          <t>2019-08-30 21:13:45</t>
        </is>
      </c>
      <c r="H4476" t="inlineStr"/>
    </row>
    <row r="4477">
      <c r="A4477" t="inlineStr">
        <is>
          <t>cxs4w8</t>
        </is>
      </c>
      <c r="B4477" t="inlineStr">
        <is>
          <t>Significant Other has Cancer: Advice?</t>
        </is>
      </c>
      <c r="C4477" t="inlineStr">
        <is>
          <t>This is mostly a post to vent, as I don’t talk about this much with anyone outside of family.
Last year, my SO gave birth to our second daughter. The day we were going to get discharged to come home, they found out my SO’s childhood cancer had come back. 
The following months were rough. She had surgeries on her lung, heart, and arm to remove as much of the tumors as possible. The hospital was kind enough to allow my newborn to remain in the hospital for free for 2 weeks while my SO was in surgery. I went back and forth between the hospitals to spread time between my newborn and SO. Luckily we have family on both sides of the family to where there was always someone with either one of them.
She underwent an aggressive chemo treatment for 6 months similar to what she received as a child to the point where she maxed out the amount of certain chemos she can have in her life (due to how damaging they are). It destroyed her body.
She went into remission 2 months ago.
Early this week she had some interesting symptoms that we later found out was a hemorrhaging stroke. 
She was medflighted to her hospital where they discovered the bleeding was because of 3 more tumors they found in her brain.
I’ve been by her side every second I can through all of this. I was her sole caregiver as well as having to take care of our daughters, dogs, and everything else at home.
I quit work because I had to be home. I quit school because I couldn’t be present for classes. 
I’m in a strong place mentally but don’t talk about it as much as I should. 
Has anyone been through something similar that can share some advice or insight?</t>
        </is>
      </c>
      <c r="D4477" t="n">
        <v>3</v>
      </c>
      <c r="E4477" t="n">
        <v>2</v>
      </c>
      <c r="F4477">
        <f>HYPERLINK("https://www.reddit.com/r/cancer/comments/cxs4w8/significant_other_has_cancer_advice/")</f>
        <v/>
      </c>
      <c r="G4477" t="inlineStr">
        <is>
          <t>2019-08-30 22:20:16</t>
        </is>
      </c>
      <c r="H4477" t="inlineStr"/>
    </row>
    <row r="4478">
      <c r="A4478" t="inlineStr">
        <is>
          <t>cxu33s</t>
        </is>
      </c>
      <c r="B4478" t="inlineStr">
        <is>
          <t>See people real faces when I have cancer</t>
        </is>
      </c>
      <c r="C4478" t="inlineStr">
        <is>
          <t>I have a friend who blocked me everywhere after he knew I have cancer and need to do chemo. I thought he’s a close friend. Since his mum died from chemo. He asked me not to do it and I said no. 
I also have clients asking me back money asap even I told them I will finished the remaining classes later in Oct. ( I am a home tutor) 
I also have another client don’t want me to teach her daughter anymore even if I will be recovered. She probably scared I will be bald and thin. But all my hair still here and I haven’t lost weight. 
I got diagnosed non Hodgkin lymphoma and doctor said I can healed. All my parents not brother questions is about my insurance isn’t covered up and later he said he thought I have AIDS. He keep blaming me for my life style that’s why have this cancer. 
I haven’t talk to him ever since I was diagnosed in April. 
Of cuz I have few true friends and parents still here but I realised these ppl are toxic!</t>
        </is>
      </c>
      <c r="D4478" t="n">
        <v>11</v>
      </c>
      <c r="E4478" t="n">
        <v>7</v>
      </c>
      <c r="F4478">
        <f>HYPERLINK("https://www.reddit.com/r/cancer/comments/cxu33s/see_people_real_faces_when_i_have_cancer/")</f>
        <v/>
      </c>
      <c r="G4478" t="inlineStr">
        <is>
          <t>2019-08-31 02:37:20</t>
        </is>
      </c>
      <c r="H4478" t="inlineStr"/>
    </row>
    <row r="4479">
      <c r="A4479" t="inlineStr">
        <is>
          <t>cxvfde</t>
        </is>
      </c>
      <c r="B4479" t="inlineStr">
        <is>
          <t>Stage IV breast cancer metastasized to liver. Potential liver failure means chemo may no longer be an option. How much time is left?</t>
        </is>
      </c>
      <c r="C4479" t="inlineStr">
        <is>
          <t>Hi everyone, my mother was diagnosed with stage IV (triple-negative) breast cancer a little more than a month ago with metastases to the liver and bone. Before treatment, her liver was described to be not quite "failing" according to her enzyme/bilirubin levels, but just beneath that point, which means there was only a small window of opportunity to administer chemo drugs. Thus, she was able to receive two doses of chemo, and even reported feeling a bit better. However, she went in for another appointment a few days ago and her bloodwork indicated that her bilirubin levels were too high to receive her scheduled chemo this week and she was admitted at the hospital so they could monitor her while running all of the tests. Not all of the tests are complete yet, but the doctor said that she suspects the condition of my mom's liver is declining despite the chemo, and it may have been ineffective in improving the liver's function. She will most likely be unable to receive any further chemo as her liver will not be able to handle it, and she is not eligible for any other types of treatment.
Obviously this is a big shock to us considering that her doctor estimated that she had 1-1.5 years to live given that the chemotherapy was effective, but it looks like her liver is a ticking time bomb at this point. Does anyone have an estimate for this type of situation? I am not only shocked, but frankly, angry that her (first) oncologist was careless in having my mom start chemo in a timely manner, given knowledge of the state of her liver at the time.</t>
        </is>
      </c>
      <c r="D4479" t="n">
        <v>5</v>
      </c>
      <c r="E4479" t="n">
        <v>3</v>
      </c>
      <c r="F4479">
        <f>HYPERLINK("https://www.reddit.com/r/cancer/comments/cxvfde/stage_iv_breast_cancer_metastasized_to_liver/")</f>
        <v/>
      </c>
      <c r="G4479" t="inlineStr">
        <is>
          <t>2019-08-31 05:25:10</t>
        </is>
      </c>
      <c r="H4479" t="inlineStr"/>
    </row>
    <row r="4480">
      <c r="A4480" t="inlineStr">
        <is>
          <t>cxwtqm</t>
        </is>
      </c>
      <c r="B4480" t="inlineStr">
        <is>
          <t>At age 22, I’ve been given 6 months to live</t>
        </is>
      </c>
      <c r="C4480" t="inlineStr">
        <is>
          <t>The title tells basically the whole story. I was diagnosed at 15 with Ewing’s sarcoma and over the past 7+ years, my cancer has come and gone a number of times. As far as treatments go, I’ve basically had it all (standard chemo, surgery, radiation,high dose chemo with an autologous stem cell transplant, clinical trials, kinase inhibitors, etc.) My relapsed Ewing’s sarcoma has been progressing. It was fairly slow at first but now it seems to be picking up speed. A few previously radiated areas (which had been thought to be dead or at least mostly dead) are coming back and new areas are appearing as well. I’ve been in this situation before, the only difference now is I’m running out of viable treatment options AND my bone marrow is so depleted from years of chemo and radiation that my counts don’t recover super quickly. Long story short, my oncologist told me yesterday I probably had 6 more months of “decent” quality of life. This news is extremely devastating, especially considering I’m just 2 semesters away from graduating college.
I’m currently on a regimen not frequently used in Ewing’s sarcoma (cyclophosphamide, vinorelbine, and Temsirolimus) since it’s arguably the most effective and least taxing/side effect-causing option I have left. Despite the spread of my tumors, there currently aren’t any “problem tumors” which pose a super immediate threat to my airway, heart, etc. Furthermore, aside from chemo side effects, I feel fairly normal and I’m not in a ton of pain, which makes the 6 month prognosis harder to fully wrap my head around.
I want to know other people’s experience being in the same situation. Did you or your loved one outlive your timeline? Or did death come quicker than expected? Was there anything that helped during this time? I’m just not sure how to live my life at this point since all the bigger bucket list things I want to do (most of which are travel related) are probably not doable with my current chemo regimen. Furthermore, I don’t know how to break this news to my friends and classmates. Telling people I have cancer is tough enough, I don’t even know how to approach telling them I have 6 months.
Any advice on the situation would be greatly appreciated. Thank you guys for your support and advice over the past years</t>
        </is>
      </c>
      <c r="D4480" t="n">
        <v>92</v>
      </c>
      <c r="E4480" t="n">
        <v>41</v>
      </c>
      <c r="F4480">
        <f>HYPERLINK("https://www.reddit.com/r/cancer/comments/cxwtqm/at_age_22_ive_been_given_6_months_to_live/")</f>
        <v/>
      </c>
      <c r="G4480" t="inlineStr">
        <is>
          <t>2019-08-31 08:30:25</t>
        </is>
      </c>
      <c r="H4480" t="inlineStr"/>
    </row>
    <row r="4481">
      <c r="A4481" t="inlineStr">
        <is>
          <t>cxxphu</t>
        </is>
      </c>
      <c r="B4481" t="inlineStr">
        <is>
          <t>Dad recently diagnosed with AML; advice on working alongside mom w/ an obsessive need to control everything</t>
        </is>
      </c>
      <c r="C4481" t="inlineStr">
        <is>
          <t>**TLDR**: Only child (30yo) whose dad has been diagnosed with cancer and am having a difficult time being supportive and setting my dad up so that he can have his best chance at surviving due to my mom, who has an obsessive need to control everything. 
Any advice on how to deal with this is appreciated! It's been difficult to address this to my mom without adding more stress onto my dad. I feel like I'm also struggling with going through this and how to be an adult with my own life, career, commitments, etc. but be loyal, available, and supportive of my parent. 
———
My dad was recently diagnosed with cancer 2 weeks ago and started chemotherapy a couple of days later. We had to be admitted into the hospital for his first cycle to monitor how is body reacted to the chemo. He will be doing chemotherapy infusion 5 days every month + take a chemo pill every day.
I'm an only child, so it's just my mom and I here to support and be the ones on the front lines in working with the medical staff to really understand what's going on, what to expect, how procedures work, how to take best care of my dad, understanding future appointments, blood transfusions, how outpatient works, what red flags to look for daily, etc. 
Needless to say, it's been an overwhelmingly stressful 2 weeks. On top of all that, now that my dad is home and now that we've basically been trusted to go on our instincts in identifying if anything is wrong — my mom and I seem to continually be at each other's throats and disagree on how to go about the best way to take care of my dad. 
My dad needs: 
* A clean environment due to his weak immune system
* Balanced diet + exercise
* To take his meds at the same time every day
* No stress
My mom has an obsessive need to control everything. She wants to do everything herself and refuses help from anyone to make things easier because only she can do it "right". 
Their house is a big mess (think: hoarding) and dust and dirt easily accumulates. My mom refuses to let anyone help clean it up because it needs to be done "her way". 
My dad needs food in his stomach before taking his pills, but she refuses to let anyone else but her prepare his food because only she knows which pans and pots to use. Which plates are the "right" ones to use. Which sponge is the "right" one to clean the pots with. The list goes on. 
My dad needs to take his meds on time. If my mom is also focused on getting his ice packs, bringing down his fan, adjusting the fan, preparing his meals, how could he possibly take his meds on time? He took his meds 2 hours past his scheduled time lat time. She also refused to let me take his blood sugar because she didn't trust I'd know how to do it. 
My mom also seems to get off-track constantly: she focused her energy on clearing stuff up in the backyard, something that could've waited until later, but for some reason she let it take priority over ensuring my dad gets his meds in on time. She also smokes, so it really upsets me when she takes a smoke break during time sensitive tasks (especially if she is trying to be the ONLY one responsible for taking care of my dad). 
My mom has always been this way, and in any other situation, I'd walk away because it's not my life that she's affecting at the end of the day. But because I'm so invested in my dad's health, I refuse to let anything we have control of be the reason he gets more sick or runs into complications. 
My mom has a very short fuse, so every time I confront her she yells and her whole body basically shakes from being so angry. She is someone who always thinks she's right, so will fight to the end to prove her case, even if I've already tapped out of the argument early on and stopped caring. 
I need her to understand that she needs to let go of control and that the family and I are here to help in the best interest of my dad and that we do not have the luxury of time to delay ourselves or put anything off. 
Any advice on how to deal with this is appreciated! It's been difficult to address this to my mom without adding more stress on my dad. I feel like I'm also struggling with going through this and how to be an adult with my own life, career, commitments, etc. but be loyal, available, and supportive of my parent.</t>
        </is>
      </c>
      <c r="D4481" t="n">
        <v>2</v>
      </c>
      <c r="E4481" t="n">
        <v>9</v>
      </c>
      <c r="F4481">
        <f>HYPERLINK("https://www.reddit.com/r/cancer/comments/cxxphu/dad_recently_diagnosed_with_aml_advice_on_working/")</f>
        <v/>
      </c>
      <c r="G4481" t="inlineStr">
        <is>
          <t>2019-08-31 09:56:28</t>
        </is>
      </c>
      <c r="H4481" t="inlineStr"/>
    </row>
    <row r="4482">
      <c r="A4482" t="inlineStr">
        <is>
          <t>cxyqq7</t>
        </is>
      </c>
      <c r="B4482" t="inlineStr">
        <is>
          <t>I need courage to go register at a GP (UK)</t>
        </is>
      </c>
      <c r="C4482" t="inlineStr">
        <is>
          <t>Hi, Im ripe out of University so a young adult. Had a job for a year now.
3 years ago I noticed a small lump (just bigger than pea sized) on the left side of my stomach. It hasnt changed size since.
In the last year ive noticed a small lump under my chin and a very small lump in my testicals (not on either one just in the sac).
I've been a coward, Ive ignored it, thought it was nothing. But what if it is? It's made me an anxious mess for a year, checking every day, noticing no change and sometimes thinking it got smaller but it was normal again the next time.
I've never been to a GP, one is close but im too scared. If I do this I admit I have a problem, running away was easier
Im but myself, family is a couple of hours away, I would ask them but i dont want to worry them, and my mum is starting a new job. My grandparents might be able to help but i cant admit it to them.
I need to go by myself, but i need someone to tell me its gonna be okay :(</t>
        </is>
      </c>
      <c r="D4482" t="n">
        <v>2</v>
      </c>
      <c r="E4482" t="n">
        <v>11</v>
      </c>
      <c r="F4482">
        <f>HYPERLINK("https://www.reddit.com/r/cancer/comments/cxyqq7/i_need_courage_to_go_register_at_a_gp_uk/")</f>
        <v/>
      </c>
      <c r="G4482" t="inlineStr">
        <is>
          <t>2019-08-31 11:18:21</t>
        </is>
      </c>
      <c r="H4482" t="inlineStr"/>
    </row>
    <row r="4483">
      <c r="A4483" t="inlineStr">
        <is>
          <t>cxyrf1</t>
        </is>
      </c>
      <c r="B4483" t="inlineStr">
        <is>
          <t>Does acetone cause cancer? Acetone – All you kneed to know</t>
        </is>
      </c>
      <c r="C4483" t="inlineStr">
        <is>
          <t>Acetone is a colorless, volatile, flammable liquid and is the simplest and smallest ketone.
At the end of this article, we will answer this question – Does acetone cause cancer?
Acetone is produced and disposed of in the human body through normal metabolic processes. It is normally present in blood and urine. People with diabetes produce it in larger amounts. Reproductive toxicity tests show that it has low potential to cause reproductive problems. Ketogenic diets that increase ketone bodies (acetone, β-hydroxybutyric acid and acetoacetic acid) in the blood are used to counter epileptic attacks in infants and children who suffer from recalcitrant refractory epilepsy.
&amp;lt;a href"https://hsewatch.com/does-acetone-cause-cancer"&amp;gt;Read more here.&amp;lt;/a&amp;gt;</t>
        </is>
      </c>
      <c r="D4483" t="n">
        <v>0</v>
      </c>
      <c r="E4483" t="n">
        <v>4</v>
      </c>
      <c r="F4483">
        <f>HYPERLINK("https://www.reddit.com/r/cancer/comments/cxyrf1/does_acetone_cause_cancer_acetone_all_you_kneed/")</f>
        <v/>
      </c>
      <c r="G4483" t="inlineStr">
        <is>
          <t>2019-08-31 11:19:40</t>
        </is>
      </c>
      <c r="H4483" t="inlineStr"/>
    </row>
    <row r="4484">
      <c r="A4484" t="inlineStr">
        <is>
          <t>cxyzxc</t>
        </is>
      </c>
      <c r="B4484" t="inlineStr">
        <is>
          <t>Miracle berry?</t>
        </is>
      </c>
      <c r="C4484" t="inlineStr">
        <is>
          <t>Has anyone tried miracle berries to help with chemo/radiation taste loss. My husband is a few weeks into treatment and everything tastes like cardboard.  There’s so little I can do to help him so I’m grasping at straws.</t>
        </is>
      </c>
      <c r="D4484" t="n">
        <v>1</v>
      </c>
      <c r="E4484" t="n">
        <v>32</v>
      </c>
      <c r="F4484">
        <f>HYPERLINK("https://www.reddit.com/r/cancer/comments/cxyzxc/miracle_berry/")</f>
        <v/>
      </c>
      <c r="G4484" t="inlineStr">
        <is>
          <t>2019-08-31 11:37:38</t>
        </is>
      </c>
      <c r="H4484" t="inlineStr"/>
    </row>
    <row r="4485">
      <c r="A4485" t="inlineStr">
        <is>
          <t>cy0ehs</t>
        </is>
      </c>
      <c r="B4485" t="inlineStr">
        <is>
          <t>Mast cell tumor - 8 y.o. golden retriever</t>
        </is>
      </c>
      <c r="C4485" t="inlineStr">
        <is>
          <t>My dog was diagnosed with stage III mast cell tumor located in mouth and after screening we find out that it has metastatized to local bone jaws and gums so surgery is impossible now like the vet said. What treatment we can start now to at least extend the life of dog? I don't really have any further information from vet, he told me to wait for his call.</t>
        </is>
      </c>
      <c r="D4485" t="n">
        <v>4</v>
      </c>
      <c r="E4485" t="n">
        <v>3</v>
      </c>
      <c r="F4485">
        <f>HYPERLINK("https://www.reddit.com/r/cancer/comments/cy0ehs/mast_cell_tumor_8_yo_golden_retriever/")</f>
        <v/>
      </c>
      <c r="G4485" t="inlineStr">
        <is>
          <t>2019-08-31 13:25:39</t>
        </is>
      </c>
      <c r="H4485" t="inlineStr"/>
    </row>
    <row r="4486">
      <c r="A4486" t="inlineStr">
        <is>
          <t>cy31a5</t>
        </is>
      </c>
      <c r="B4486" t="inlineStr">
        <is>
          <t>4 months old. Two hospitalizations. My baby girl</t>
        </is>
      </c>
      <c r="C4486" t="inlineStr">
        <is>
          <t>So my daughter was born healthy &amp;amp; perfect. At 3 months old she ended up with a high fever. I took her to the hospital and she was diagnosed with a UTI. She went into hypovolemic shock(looked like septic shock.) her fever was incredibly high &amp;amp; she turned blue, breathing rapidly, and shaking. The doctor gave her a ton of antibiotic and steroid shots right away (thinking it was meningitis) and she looked 100% better by the time she arrived at the children’s hospital. (She was airlifted.) we stayed for about 3 days and they did a kidney ultrasound and x ray which showed she had a kidney infection in both of her kidneys. 
I took her back home once her infection seemed better and continued antibiotics for 10 days even though she had antibiotics IV for 3-4 days. She was healthy &amp;amp; happy again! I took her to get a VCUG to see if she has kidney reflux to be the cause of the kidney infection and it was NEGATIVE.
About 4 days ago she was perfectly fine. Until once again- I noticed a fever.
I took her back to the ER, got prescribed antibiotics and Tylenol. I went home and gave her first dose of antibiotics and within 3 hours- she was at 105.6 fever! We went back to the ER. She turned blue again, mottled, and started breathing fast again and looking SO scared. The same doctor who airlifted her was there and said they NEED to figure this out. another UTI and kidney infection. She sent us back to the children’s hospital. We have been here for 3 days. They did another kidney ultrasound and didn’t see anything wrong. At this point the doctors have no clue what could be causing it so they are blaming it on “being a girl and getting frequent UTIs are common” 
I do not see how getting two UTIs in one month and TWO kidney infections in one month is normal. So here we are. She has gotten ultrasounds done, VCUG, blood work. Her blood work is SO abnormal but they say it’s because of the infection. Her CRP level yesterday (after one day of antibiotics) was 21.1 which is high. A normal CRP for her age is 1.0. Well today they tested again and her CRP is 22.1. so now they are going to check again tomorrow.
Someone tell me- am I wrong for wanting this figured out?!! Please if you have any idea please just comment, I am so worried that this is going to keep happening and she may not make it next time. She is clearly sick and something is causing this. I just know it. 
She’s in so much pain whenever I pick her up. I can tell her body hurts. So that’s another thing. 
I’m going to put her blood work below on what’s high and low. I don’t know anything about it but would like a second opinion. 
Do we need a CT scan, MRI, what do I do?! The doctors just keep saying it’s human anatomy. This is not normal.
High White blood count
Low red blood count
Low hgb 
Low hct 
RDW-cv low 
Platelets high
High immature gran 
Mono auto high
EOS auto low
Neutr auto High 
MPV low 
Lymph auto low
Segs man high
Bands man high
Lymph’s man low</t>
        </is>
      </c>
      <c r="D4486" t="n">
        <v>1</v>
      </c>
      <c r="E4486" t="n">
        <v>0</v>
      </c>
      <c r="F4486">
        <f>HYPERLINK("https://www.reddit.com/r/cancer/comments/cy31a5/4_months_old_two_hospitalizations_my_baby_girl/")</f>
        <v/>
      </c>
      <c r="G4486" t="inlineStr">
        <is>
          <t>2019-08-31 17:04:55</t>
        </is>
      </c>
      <c r="H4486" t="inlineStr"/>
    </row>
    <row r="4487">
      <c r="A4487" t="inlineStr">
        <is>
          <t>cy3ch9</t>
        </is>
      </c>
      <c r="B4487" t="inlineStr">
        <is>
          <t>My dad was getting treating from tuberculosis but it was lung cancer which is now on terminal stage.</t>
        </is>
      </c>
      <c r="C4487" t="inlineStr">
        <is>
          <t>I can't cry anymore because I don't have any tears left. My dad who survived a heart attack, stroke in the past was diagnosed tuberculosis in October, 2018. He was getting 6 months treatment from it and according to doctors they managed to defeat it. About 6 months ago my dad started to get cough which progressed every month until 2 months ago he got breath issues. He didn't pay much attention to it because he was long time smoker but he decided to get screening anyway. CT found something in his lungs but oncologist say it doesn't look like a cancer and since then the hell started. Dad was getting worse and worse every day to the point where he was coughing with blood every 5 minutes. 3 weeks ago he could walk and was fine. Now he spend most of his time in bed because he feel permanently tired and losing all his energy even by going to bathroom. They diagnosed lymphoma and future scans showed multiple meta in bones, spine, pelvis along with "destructive-generative" (i hope it got it right) changes in his spine.
We are waiting to get last tests finished and by the Tu they should give him treatment and tell us more details. But my dad is  in really bad condition. He barely could walk, asleep most of the time. He got MASSIVE breathing issues and Dyspnea and back pain.
Please tell me there are still any hope? What are prognosis in similar cases?</t>
        </is>
      </c>
      <c r="D4487" t="n">
        <v>3</v>
      </c>
      <c r="E4487" t="n">
        <v>2</v>
      </c>
      <c r="F4487">
        <f>HYPERLINK("https://www.reddit.com/r/cancer/comments/cy3ch9/my_dad_was_getting_treating_from_tuberculosis_but/")</f>
        <v/>
      </c>
      <c r="G4487" t="inlineStr">
        <is>
          <t>2019-08-31 17:33:31</t>
        </is>
      </c>
      <c r="H4487" t="inlineStr"/>
    </row>
    <row r="4488">
      <c r="A4488" t="inlineStr">
        <is>
          <t>cy3u1o</t>
        </is>
      </c>
      <c r="B4488" t="inlineStr">
        <is>
          <t>My husband died a month ago today</t>
        </is>
      </c>
      <c r="C4488" t="inlineStr">
        <is>
          <t>My heart is so broken and I’m trying to think he’s in a “better place”. He didn’t want to die and he held on this last year with unbelievable pain and agony. I know he wants to be here with me and I’m afraid his soul is restless and he can’t let go to the next place.  I want to hear from him with some kind of sign that he’s ok
I believe in God and the hereafter and I’m so hurt all I do is cry. I know other people have gone through much worse than this but I know my life will never be the same.  Steve was in and off chemo for 8 long yrs. He had pneumonia and sepsis several times and non-alcoholic cirrhosis. His cancer was colorectal and it metastasized to his bone, lungs and kidneys. He hemorrhaged 3 times and the Drs. said he was a miracle. And now my miracle is gone and I have this huge void in my life. I have so many regrets and guilt. 
I did the best I could for him. I’ve asked God to help me cope but he’s not answering right now.</t>
        </is>
      </c>
      <c r="D4488" t="n">
        <v>74</v>
      </c>
      <c r="E4488" t="n">
        <v>26</v>
      </c>
      <c r="F4488">
        <f>HYPERLINK("https://www.reddit.com/r/cancer/comments/cy3u1o/my_husband_died_a_month_ago_today/")</f>
        <v/>
      </c>
      <c r="G4488" t="inlineStr">
        <is>
          <t>2019-08-31 18:21:23</t>
        </is>
      </c>
      <c r="H4488" t="inlineStr"/>
    </row>
    <row r="4489">
      <c r="A4489" t="inlineStr">
        <is>
          <t>cy4712</t>
        </is>
      </c>
      <c r="B4489" t="inlineStr">
        <is>
          <t>Cancer patents of reddit how have y’all delt with the aftermath</t>
        </is>
      </c>
      <c r="C4489" t="inlineStr">
        <is>
          <t>I recently had  surgery to remove a testicular tumor along with the testi and up out of nowhere self image issues have arisen what have y’all done to coop with the lose of body parts and self image?
Thanks to those who answer.
And  best luck to those going through it praying for y’all</t>
        </is>
      </c>
      <c r="D4489" t="n">
        <v>2</v>
      </c>
      <c r="E4489" t="n">
        <v>32</v>
      </c>
      <c r="F4489">
        <f>HYPERLINK("https://www.reddit.com/r/cancer/comments/cy4712/cancer_patents_of_reddit_how_have_yall_delt_with/")</f>
        <v/>
      </c>
      <c r="G4489" t="inlineStr">
        <is>
          <t>2019-08-31 18:56:04</t>
        </is>
      </c>
      <c r="H4489" t="inlineStr"/>
    </row>
    <row r="4490">
      <c r="A4490" t="inlineStr">
        <is>
          <t>cy5q03</t>
        </is>
      </c>
      <c r="B4490" t="inlineStr">
        <is>
          <t>Smoked 300 cigarettes few years ago, worried about getting lung cancer. Should I do screen?</t>
        </is>
      </c>
      <c r="C4490" t="inlineStr">
        <is>
          <t>Few years ago(2013\~2015) I used to be a light smoker, and I consumed 200\~300 cigarettes during the period.
I learned that the Incubation Period of Lung cancer is 10 years. I'm anxious about the odds that I may developing cancer due to the number of cigarettes I smoked.
Please give any advise regarding how I can do the screen to detect the problem in early stage.
Thanks\~!!</t>
        </is>
      </c>
      <c r="D4490" t="n">
        <v>1</v>
      </c>
      <c r="E4490" t="n">
        <v>0</v>
      </c>
      <c r="F4490">
        <f>HYPERLINK("https://www.reddit.com/r/cancer/comments/cy5q03/smoked_300_cigarettes_few_years_ago_worried_about/")</f>
        <v/>
      </c>
      <c r="G4490" t="inlineStr">
        <is>
          <t>2019-08-31 21:36:02</t>
        </is>
      </c>
      <c r="H4490" t="inlineStr"/>
    </row>
    <row r="4491">
      <c r="A4491" t="inlineStr">
        <is>
          <t>cy5vef</t>
        </is>
      </c>
      <c r="B4491" t="inlineStr">
        <is>
          <t>Misdiagnosed &amp;amp; Mistreated, need some support from reddit fam, badly.</t>
        </is>
      </c>
      <c r="C4491" t="inlineStr">
        <is>
          <t>Hi Reddit family, going through a very hard time and need calming down, any advice is welcome, PM me if anything:
So in March I had a very rare carcinoma of the salivary gland. It was very hard for pathology to make a diagnosis but they did and we started treatment.
Pathology: Marker A+Marker B+ Marker C is this rare carcinoma.
I did very aggressive treatment surgery radiation cisplatin treatment. It went to the lungs. Which made zero sense because it met to my lungs three months during I had local treatment. 
I had surgery to remove the tumors in the lungs and then they did a biopsy of my lungs and found a rare sarcoma.
The tissue sample was prevalent with a Marker D, which Marker A+Marker B+Marker C+ Marker D make a sarcoma, not a carcinoma, in addition to my genetics testing that was delayed 4 months, showed the Ewing Sarcoma gene in it.
The cancer subtype of Ewing Sarcoma that starts in the salivary gland. In fact its so rare, only 26 cases have been reported, 10 patients have been studied, and only 7 pathology departments across the US accept it as a cancer entity for this tumor type, however **my hospital** is one of the 7.
The same pathology department that accepted it as a cancer entity, missed diagnosing it for me in April and I didn't receive proper chemo. Local control is pretty good with this cancer 70-80% if treated aggressively with rads, surgery and the proper chemo but now that I have mets to my lungs (no shit), chances are 30-40% survival.
I have not been sleeping, or eating and I have fallen in psychosis, thinking about how the mistakes of others may have cost me my life. I can accept when I have had shitty luck and we have to face the facts and go forward but if the top cancer hospital in the world, wrote the literature on a tumor and then failed to diagnose it, and the cancer distantly spread I don't have any sense the universe wants me here anymore, it just isn't it for me.
I need help making sense of it all, rationalizing, and calming down. 
Thank you,
A</t>
        </is>
      </c>
      <c r="D4491" t="n">
        <v>28</v>
      </c>
      <c r="E4491" t="n">
        <v>6</v>
      </c>
      <c r="F4491">
        <f>HYPERLINK("https://www.reddit.com/r/cancer/comments/cy5vef/misdiagnosed_mistreated_need_some_support_from/")</f>
        <v/>
      </c>
      <c r="G4491" t="inlineStr">
        <is>
          <t>2019-08-31 21:53:41</t>
        </is>
      </c>
      <c r="H4491" t="inlineStr"/>
    </row>
    <row r="4492">
      <c r="A4492" t="inlineStr">
        <is>
          <t>cy6850</t>
        </is>
      </c>
      <c r="B4492" t="inlineStr">
        <is>
          <t>How much does radiation wipe a person out??</t>
        </is>
      </c>
      <c r="C4492" t="inlineStr">
        <is>
          <t>My father has metastatic cancer, a week ago was given the prognosis of year, and is in his third week of radiation for a couple spots on his brain. 
We were told that he would be hit with extreme fatigue during the third week and I am wondering HOW extreme the fatigue is. Because his is alarming. 
Thanks for your feedback.</t>
        </is>
      </c>
      <c r="D4492" t="n">
        <v>6</v>
      </c>
      <c r="E4492" t="n">
        <v>14</v>
      </c>
      <c r="F4492">
        <f>HYPERLINK("https://www.reddit.com/r/cancer/comments/cy6850/how_much_does_radiation_wipe_a_person_out/")</f>
        <v/>
      </c>
      <c r="G4492" t="inlineStr">
        <is>
          <t>2019-08-31 22:34:44</t>
        </is>
      </c>
      <c r="H4492" t="inlineStr"/>
    </row>
    <row r="4493">
      <c r="A4493" t="inlineStr">
        <is>
          <t>cy6fhw</t>
        </is>
      </c>
      <c r="B4493" t="inlineStr">
        <is>
          <t>Dealing with side effects of chemo.</t>
        </is>
      </c>
      <c r="C4493" t="inlineStr">
        <is>
          <t>So I am 29 and had symptoms for about 2 years but didn't know till after I got diagnosed that they were the caused by it, night sweats, bad bowel movements, like a year of just tar that I ignored, itchyness, tiredness, nonstop dehydration, urination and then one month before diagnoses my neck swelled up, I got diagnosed in May with lymphoma and started treatment in June, but the side effects have been building up each treatment. I'm on treatment 4 of 6 and if it gets worse then this I don't know what I'm going to do.
For physical stuff I'm just wondering how others dealt or are dealing with them. I thought I could just power through but last night I had a breakdown from the pain and cried for 2 hours well my bf tried to help alleviate it the best he can.
I am in a 3 week schedule, I have a good handle on week one, I've only thrown up once so far, which was after forget my first day of chemo night time nausea meds and I smoke weed to get ride of the gut rot nausea on top of the week of meds I'm on (I was on R-Chop but now I'm on just Chop(they were waiting on a biopsy so started with what info they had)).On the second week it feels like I have rocks in a tumble dryer in my lower gut, and it feels like I have to use the bathroom constantly for both 1 and 2, and my hands and feet are like I'm wearing frostbite mittens without the pain, just numb to tactile feelings and slightly tingly. Week three is a breeze for the most part since I feel better then before the treatment start and the proceeding two weeks.
For the mental side of it, how do I deal with this constant tiredness, lack of energy and general just fuck everything attitude. 
I just can't handle another solid week of that gut grind if it gets worse. Anyone's tips will help.</t>
        </is>
      </c>
      <c r="D4493" t="n">
        <v>3</v>
      </c>
      <c r="E4493" t="n">
        <v>1</v>
      </c>
      <c r="F4493">
        <f>HYPERLINK("https://www.reddit.com/r/cancer/comments/cy6fhw/dealing_with_side_effects_of_chemo/")</f>
        <v/>
      </c>
      <c r="G4493" t="inlineStr">
        <is>
          <t>2019-08-31 22:59:50</t>
        </is>
      </c>
      <c r="H4493" t="inlineStr"/>
    </row>
    <row r="4494">
      <c r="A4494" t="inlineStr">
        <is>
          <t>cy8jct</t>
        </is>
      </c>
      <c r="B4494" t="inlineStr">
        <is>
          <t>Not the best few days</t>
        </is>
      </c>
      <c r="C4494" t="inlineStr">
        <is>
          <t>I am going for treatment Tuesday again.
Not that bad, but the Pecaset pills are again killing my feet. So moving around has become a huge labour.
Yesterday morning we had a photoshoot. My wife caused us to be late, and while shooting footage with my drone, the wind picked up and we came home. I started feeling very tired. Got on the couch at 11h00 yesterday and slept most of the day till about 18h00 last night.
My wife has class today so she left at 07h00 this morning. I walked her out and got on the couch fell asleep and was woken by a body function (I had to pee)
So went and had a bowel movement of blood.  This is not unusual as I have a colostomy, but the blood was the most blood I have moved in 7 months.
Either the Avastin is poking the tumor or something is wrong again. 
I have a 10cm tumor on my Ascending Colon 24 cm from my rectum, so seeing blood is nothing new.
But just the lack of energy again raises the red flags.
I am just so drained and the pain from walking just adds to the frustration as I don’t want to skip another week of treatment.</t>
        </is>
      </c>
      <c r="D4494" t="n">
        <v>15</v>
      </c>
      <c r="E4494" t="n">
        <v>6</v>
      </c>
      <c r="F4494">
        <f>HYPERLINK("https://www.reddit.com/r/cancer/comments/cy8jct/not_the_best_few_days/")</f>
        <v/>
      </c>
      <c r="G4494" t="inlineStr">
        <is>
          <t>2019-09-01 03:50:33</t>
        </is>
      </c>
      <c r="H4494" t="inlineStr"/>
    </row>
    <row r="4495">
      <c r="A4495" t="inlineStr">
        <is>
          <t>cya6m6</t>
        </is>
      </c>
      <c r="B4495" t="inlineStr">
        <is>
          <t>treatment sucks</t>
        </is>
      </c>
      <c r="C4495" t="inlineStr">
        <is>
          <t>I started Chemo and it really really sucks.  I am feeling so scared and alone.  I have no idea what to do to make me feel physically better because these side effects really suck.</t>
        </is>
      </c>
      <c r="D4495" t="n">
        <v>15</v>
      </c>
      <c r="E4495" t="n">
        <v>14</v>
      </c>
      <c r="F4495">
        <f>HYPERLINK("https://www.reddit.com/r/cancer/comments/cya6m6/treatment_sucks/")</f>
        <v/>
      </c>
      <c r="G4495" t="inlineStr">
        <is>
          <t>2019-09-01 06:52:14</t>
        </is>
      </c>
      <c r="H4495" t="inlineStr"/>
    </row>
    <row r="4496">
      <c r="A4496" t="inlineStr">
        <is>
          <t>cyaexr</t>
        </is>
      </c>
      <c r="B4496" t="inlineStr">
        <is>
          <t>September is Childhood Cancer Awareness Month</t>
        </is>
      </c>
      <c r="C4496" t="inlineStr">
        <is>
          <t>I wanna wish all those with childhood cancer good luck. I'm rooting for ye. And of course anyone at any age too x
I was diagnosed with leukemia at age 14 and finished treatment months later. I'm 4 years finished treatment in November and I'm eagerly awaiting the 5 year milestone.</t>
        </is>
      </c>
      <c r="D4496" t="n">
        <v>31</v>
      </c>
      <c r="E4496" t="n">
        <v>2</v>
      </c>
      <c r="F4496">
        <f>HYPERLINK("https://www.reddit.com/r/cancer/comments/cyaexr/september_is_childhood_cancer_awareness_month/")</f>
        <v/>
      </c>
      <c r="G4496" t="inlineStr">
        <is>
          <t>2019-09-01 07:13:04</t>
        </is>
      </c>
      <c r="H4496" t="inlineStr"/>
    </row>
    <row r="4497">
      <c r="A4497" t="inlineStr">
        <is>
          <t>cyb5q5</t>
        </is>
      </c>
      <c r="B4497" t="inlineStr">
        <is>
          <t>How bad did your pre-treatment fatigue get?</t>
        </is>
      </c>
      <c r="C4497" t="inlineStr">
        <is>
          <t>Did you ever fall down and were unable to get up from the ground?
Did your knees ever start buckling when walking?
Were you at times barely able to walk falling into walls with a lack of balance?
Did you ever feel really dizzy and sort of like you were just going to fall over? 
How severe was your fatigue by the time you got diagnosed? How long it did it take to get a diagnosis?
It is hard to find any description of what fatigue in cancer patients is like other than metaphorical descriptors.
I hope today is a decent day for all of you!</t>
        </is>
      </c>
      <c r="D4497" t="n">
        <v>7</v>
      </c>
      <c r="E4497" t="n">
        <v>8</v>
      </c>
      <c r="F4497">
        <f>HYPERLINK("https://www.reddit.com/r/cancer/comments/cyb5q5/how_bad_did_your_pretreatment_fatigue_get/")</f>
        <v/>
      </c>
      <c r="G4497" t="inlineStr">
        <is>
          <t>2019-09-01 08:16:31</t>
        </is>
      </c>
      <c r="H4497" t="inlineStr"/>
    </row>
    <row r="4498">
      <c r="A4498" t="inlineStr">
        <is>
          <t>cybors</t>
        </is>
      </c>
      <c r="B4498" t="inlineStr">
        <is>
          <t>two steps forward one step back</t>
        </is>
      </c>
      <c r="C4498" t="inlineStr">
        <is>
          <t>Cancer is such a fucking roller coaster. I’ve been through surgery, radiotherapy , and just last week i finally got some good news. For a bit it felt like things were looking up, like i could finally move forwards, but now i’m just feeling held back in life again. The pain is so bad, my cancer is spinal cord, so all treatments have been pretty harsh on my nerves. It feels like my back and chest are burning constantly. It was ok for a little bit but i think i’m building up a tolerance to my pain meds, lyrica, again. Which is especially unfortunate because i’m already at the maximum daily dose so i dunno what the doctors will try next. 
I was doing alright for a bit, i didn’t even need narcotic painkillers anymore. and i want to be happy about the fact that i got good news, but it’s hard, so so hard to be happy when you’re in constant pain. Even when it’s not too bad it’s still extremely distracting. Exhausting to think about. 
I’m smoking weed and occasionally taking more lyrica than i’m supposed to, on top of alternating paracetamol/ibuprofen. It’s not ideal, i know, i’m talking to my doctor tomorrow. Ive had enough of just dealing with it, maybe i’ll finally ask about proper cannabis medicine, maybe it’s worth giving whatever is legal at the moment (in australia lol) a go. 
This pain makes me worried that chronic pain is just gonna be the rest of my life now. It’s scary :(  is this disease going to leave a permanent reminder of itself on me like this?</t>
        </is>
      </c>
      <c r="D4498" t="n">
        <v>13</v>
      </c>
      <c r="E4498" t="n">
        <v>1</v>
      </c>
      <c r="F4498">
        <f>HYPERLINK("https://www.reddit.com/r/cancer/comments/cybors/two_steps_forward_one_step_back/")</f>
        <v/>
      </c>
      <c r="G4498" t="inlineStr">
        <is>
          <t>2019-09-01 08:59:27</t>
        </is>
      </c>
      <c r="H4498" t="inlineStr"/>
    </row>
    <row r="4499">
      <c r="A4499" t="inlineStr">
        <is>
          <t>cyeqyw</t>
        </is>
      </c>
      <c r="B4499" t="inlineStr">
        <is>
          <t>Waiting on biopsy results</t>
        </is>
      </c>
      <c r="C4499" t="inlineStr">
        <is>
          <t xml:space="preserve">
Hi folks, 
I'm going to be joining you soon enough, hope to get some insight on what to expect.
I have two extremely swollen lymph nodes, likely lymphomas, both are around 5 inches in size.  One is around my descending aeorta by my spine, and the other is in my groin. I'm 49, divorced, and share 50-50 with my ex who is a vengeful malicious person (they will not help in this situation, so I know not to expect it).  
I haven't told anyone and I'm not sure what to do next.  From what I've read, it looks like NHL is the most common. I've had symptoms (nausea, fatigue and weight loss) for over two years, but attributed it to the divorce process.  Divorce was finalized. Ex will likely force me to 'prove' my medical condition to the court before agreeing to change the child support order and directing them to carry medical insurance for the children, because I can't work during chemo.
I know I can't do anything until the biopsy results come back but I wanted to see if any of you have recommendations for me. 
I've already thought of the following tasks:
-- take photos with my kids before telling them / starting chemo
-- health directive, finding a support person to drive to appts,
-- figure out how to tell kids when my ex is going to try and take me to court to continue paying them child support while I'm undergoing chemo. 
Any advice? Thanks folks for all suggestions.</t>
        </is>
      </c>
      <c r="D4499" t="n">
        <v>13</v>
      </c>
      <c r="E4499" t="n">
        <v>10</v>
      </c>
      <c r="F4499">
        <f>HYPERLINK("https://www.reddit.com/r/cancer/comments/cyeqyw/waiting_on_biopsy_results/")</f>
        <v/>
      </c>
      <c r="G4499" t="inlineStr">
        <is>
          <t>2019-09-01 12:59:29</t>
        </is>
      </c>
      <c r="H4499" t="inlineStr"/>
    </row>
    <row r="4500">
      <c r="A4500" t="inlineStr">
        <is>
          <t>cygk37</t>
        </is>
      </c>
      <c r="B4500" t="inlineStr">
        <is>
          <t>Stomach cancer and loss of appetite</t>
        </is>
      </c>
      <c r="C4500" t="inlineStr">
        <is>
          <t>Six weeks ago, my MIL (F89) finished a week of radiation treatment for stomach cancer. 
Her appetite was low, and it continues to decline. Today she barely took in calories. Daily calorie intake is maybe 300. 
Three days ago she started low dose morphine every 6 hours to deal with a post rad treatment headache. She also started having pain in her right abdomen.
She's obviously losing weight and literally starving to death. 
Any advice out there? I don't want her to starve to death.</t>
        </is>
      </c>
      <c r="D4500" t="n">
        <v>9</v>
      </c>
      <c r="E4500" t="n">
        <v>31</v>
      </c>
      <c r="F4500">
        <f>HYPERLINK("https://www.reddit.com/r/cancer/comments/cygk37/stomach_cancer_and_loss_of_appetite/")</f>
        <v/>
      </c>
      <c r="G4500" t="inlineStr">
        <is>
          <t>2019-09-01 15:29:56</t>
        </is>
      </c>
      <c r="H4500" t="inlineStr"/>
    </row>
    <row r="4501">
      <c r="A4501" t="inlineStr">
        <is>
          <t>cyiw6s</t>
        </is>
      </c>
      <c r="B4501" t="inlineStr">
        <is>
          <t>It’s been a year since losing my grandma</t>
        </is>
      </c>
      <c r="C4501" t="inlineStr">
        <is>
          <t>As the title says, it’s been a year. It hit me pretty hard tonight and I spent a while crying. (Thanks to my wonderful boyfriend for bringing me tissues, my blanket and a cookie.) I’ve learned one thing from losing my grandma and that is to spend time with your loved ones now while you still can.</t>
        </is>
      </c>
      <c r="D4501" t="n">
        <v>12</v>
      </c>
      <c r="E4501" t="n">
        <v>2</v>
      </c>
      <c r="F4501">
        <f>HYPERLINK("https://www.reddit.com/r/cancer/comments/cyiw6s/its_been_a_year_since_losing_my_grandma/")</f>
        <v/>
      </c>
      <c r="G4501" t="inlineStr">
        <is>
          <t>2019-09-01 19:08:31</t>
        </is>
      </c>
      <c r="H4501" t="inlineStr"/>
    </row>
    <row r="4502">
      <c r="A4502" t="inlineStr">
        <is>
          <t>cykvjf</t>
        </is>
      </c>
      <c r="B4502" t="inlineStr">
        <is>
          <t>This may be TMI but dear God I need help</t>
        </is>
      </c>
      <c r="C4502" t="inlineStr">
        <is>
          <t>Alright ladies, gents, and cancer patients, buckle up. Has anyone else had issues with anal fissures as a side effect of chemo? (From constipation, of course). This is the second round I’ve experienced and I’m having to grit my teeth while I crap in an effort to keep from yelling because of the pain. I’m taking Colace, not as consistently as I should have been however. Does anyone else have any experience with this and has some helpful tips?</t>
        </is>
      </c>
      <c r="D4502" t="n">
        <v>44</v>
      </c>
      <c r="E4502" t="n">
        <v>40</v>
      </c>
      <c r="F4502">
        <f>HYPERLINK("https://www.reddit.com/r/cancer/comments/cykvjf/this_may_be_tmi_but_dear_god_i_need_help/")</f>
        <v/>
      </c>
      <c r="G4502" t="inlineStr">
        <is>
          <t>2019-09-01 22:33:19</t>
        </is>
      </c>
      <c r="H4502" t="inlineStr"/>
    </row>
    <row r="4503">
      <c r="A4503" t="inlineStr">
        <is>
          <t>cylpa9</t>
        </is>
      </c>
      <c r="B4503" t="inlineStr">
        <is>
          <t>How can I help my family (and myself) get through this?</t>
        </is>
      </c>
      <c r="C4503" t="inlineStr">
        <is>
          <t>Lost my father in-law last year to cancer, and will likely lose my mother in-law this year. She had surgery today, and the doctor told us "she hasn't got much time." We are very close to them, (literally, bought the property beside them). Our kids (now age 12 and 16) spent so much time with nanna and poppa.  She is my wife's best friend. Nanna has been fighting the good fight for a year, but today's news is not good, and now it seems all hope is lost.
TBH, it's been a struggle keeping emotions in check in the house for while. My wife has been taking it particularly hard. I've been trying to do whatever I can to make things easier for her and the kids: being a source of comfort, trying to provide some semblance of normal routines for the kids to keep them from dwelling on the situation, trying to keep spirits up as much as possible while at the same time being empathetic for what we are all feeling and going through. However, much of the time, I feel like the situation is too much for me to handle, and my efforts are futile. Sometimes, my efforts are even met with hostility and anger from my wife (is this normal?). 
I appreciate any advice or tips on how I can better handle this situation. Thank you Reddit.</t>
        </is>
      </c>
      <c r="D4503" t="n">
        <v>2</v>
      </c>
      <c r="E4503" t="n">
        <v>0</v>
      </c>
      <c r="F4503">
        <f>HYPERLINK("https://www.reddit.com/r/cancer/comments/cylpa9/how_can_i_help_my_family_and_myself_get_through/")</f>
        <v/>
      </c>
      <c r="G4503" t="inlineStr">
        <is>
          <t>2019-09-02 00:08:29</t>
        </is>
      </c>
      <c r="H4503" t="inlineStr"/>
    </row>
    <row r="4504">
      <c r="A4504" t="inlineStr">
        <is>
          <t>cynuko</t>
        </is>
      </c>
      <c r="B4504" t="inlineStr">
        <is>
          <t>Has anyone tried the Rife machine and did it work ?</t>
        </is>
      </c>
      <c r="C4504" t="inlineStr">
        <is>
          <t>Hi 
&amp;amp;#x200B;
A friend of mine has a brain tumor and another friend of ours is talking about the Rife method or Rife machine that can help with curing cancer ?
&amp;amp;#x200B;
Does anyone have any experience with this method and did it help ?
Or is this just another snake oil</t>
        </is>
      </c>
      <c r="D4504" t="n">
        <v>7</v>
      </c>
      <c r="E4504" t="n">
        <v>7</v>
      </c>
      <c r="F4504">
        <f>HYPERLINK("https://www.reddit.com/r/cancer/comments/cynuko/has_anyone_tried_the_rife_machine_and_did_it_work/")</f>
        <v/>
      </c>
      <c r="G4504" t="inlineStr">
        <is>
          <t>2019-09-02 04:35:50</t>
        </is>
      </c>
      <c r="H4504" t="inlineStr"/>
    </row>
    <row r="4505">
      <c r="A4505" t="inlineStr">
        <is>
          <t>cypbfv</t>
        </is>
      </c>
      <c r="B4505" t="inlineStr">
        <is>
          <t>Reminder to get mammogram, met with success!</t>
        </is>
      </c>
      <c r="C4505" t="inlineStr">
        <is>
          <t>A few weeks ago, I wrote a post and also sent out emails to my friends. I reminded them that while they are busy, not to skip their yearly mammogram.   
I skipped them for 4 years because I was fixated on a different medical crisis I had (Graves', TED, and Hypo) and I thought that because it didn't run in my family, that somehow, I'd get a break.  
 Then, this year I got a mammogram and they discovered I was in the early stage of breast cancer. If I'd skipped this year, it would be bad the following years. 
So I'm glad to tell you that one of my friends, who is a caregiver of her husband who has cancer, read my email and made an appointment to get a mammogram. She's clear and fine, and was glad for the reminder.   
So I'm passing this on again: Don't skip your yearly annual physical, mammogram, and those colonoscopies that come up every few years once you sail past 50.</t>
        </is>
      </c>
      <c r="D4505" t="n">
        <v>26</v>
      </c>
      <c r="E4505" t="n">
        <v>11</v>
      </c>
      <c r="F4505">
        <f>HYPERLINK("https://www.reddit.com/r/cancer/comments/cypbfv/reminder_to_get_mammogram_met_with_success/")</f>
        <v/>
      </c>
      <c r="G4505" t="inlineStr">
        <is>
          <t>2019-09-02 06:59:50</t>
        </is>
      </c>
      <c r="H4505" t="inlineStr"/>
    </row>
    <row r="4506">
      <c r="A4506" t="inlineStr">
        <is>
          <t>cys2p9</t>
        </is>
      </c>
      <c r="B4506" t="inlineStr">
        <is>
          <t>anticancer foods?</t>
        </is>
      </c>
      <c r="C4506" t="inlineStr">
        <is>
          <t>I am very interested in the human microbiome if you haven't heard of it Look it up. So basically everyone should be eating at minimum 30 different vegetables fruits nuts and seeds a week. The more fresh foods the more diverse your microbiome. The less chance you have of getting cancer and a lot of the disorders. Do not eat any processed preserved foods and eat everything fresh. Try sprouts and fresh fruits and vegetables you have never heard of. So it got me thinking about how these single individuals foods have claims to be anticancer. Maybe you should eat a wide variety of every kind of food that says it has anticancer properties. So you have a diverse anticancer biome. Please stay away from fast foods processed foods and preservatives. And for hydrating plane water doesn't absorb as much with some nutrients in the water. I usually put about an ounce of fruit juice to a full glass of water with no ice.</t>
        </is>
      </c>
      <c r="D4506" t="n">
        <v>0</v>
      </c>
      <c r="E4506" t="n">
        <v>2</v>
      </c>
      <c r="F4506">
        <f>HYPERLINK("https://www.reddit.com/r/cancer/comments/cys2p9/anticancer_foods/")</f>
        <v/>
      </c>
      <c r="G4506" t="inlineStr">
        <is>
          <t>2019-09-02 10:28:49</t>
        </is>
      </c>
      <c r="H4506" t="inlineStr"/>
    </row>
    <row r="4507">
      <c r="A4507" t="inlineStr">
        <is>
          <t>cysnu1</t>
        </is>
      </c>
      <c r="B4507" t="inlineStr">
        <is>
          <t>Nobody really talks about walking away from a parent's deathbed</t>
        </is>
      </c>
      <c r="C4507" t="inlineStr">
        <is>
          <t>I'm sitting at the airport waiting for my flight back home as my dad lies in his deathbed in hospice. I was able to come home for the long weekend and visit two days in a row. On the first day, it seemed as if I had made it just in time (he was calling out for help from names I didn't recognize, darkening fingertips, etc), but on the second day, he was a lot more energetic - - looking around, asking for water, asking what the pills were the nurses were telling him to take, and eating a couple bites of breakfast. I was trying to look for advice about how to leave a parent's  deathbed knowing you probably won't ever see them again, but apparently either people don't really talk about it, or everyone else has better jobs than me that they can afford to take the time off work not knowing if it will be hours or days or weeks.
I didn't want to say anything that implied that I would see him again, because I didn't want to make him feel like I didn't understand the situation and that he'd be letting me down if he let go, but I also can't really say "goodbye forever" can I? Just in case anyone ever finds this post looking for advice, I said I love you, I'm proud of you for being so strong through this, I know it sucks and I'm sorry you're going through this. And I told him I wrote down my phone number for the nurses and he should tell them to call me of he wants to talk or just listen to me talk. If it turns out to be the last words I ever say to him, I think I feel ok about it.
American working class expectations are so cruel.</t>
        </is>
      </c>
      <c r="D4507" t="n">
        <v>77</v>
      </c>
      <c r="E4507" t="n">
        <v>22</v>
      </c>
      <c r="F4507">
        <f>HYPERLINK("https://www.reddit.com/r/cancer/comments/cysnu1/nobody_really_talks_about_walking_away_from_a/")</f>
        <v/>
      </c>
      <c r="G4507" t="inlineStr">
        <is>
          <t>2019-09-02 11:10:48</t>
        </is>
      </c>
      <c r="H4507" t="inlineStr"/>
    </row>
    <row r="4508">
      <c r="A4508" t="inlineStr">
        <is>
          <t>cystnr</t>
        </is>
      </c>
      <c r="B4508" t="inlineStr">
        <is>
          <t>Anger</t>
        </is>
      </c>
      <c r="C4508" t="inlineStr">
        <is>
          <t>Idk if this is a valid reason to be mad/annoyed or if it annoys anyone else but I hate when people say “I know what you’re going through, my grandpa had cancer.” Like?? No you don’t unless you’ve had cancer you don’t know or understand what it’s like to go through it. That’s how I look at it anyways. 
Sorry if this is petty and a stupid reason to get annoyed. Please let me know when others say this does it also annoy you?</t>
        </is>
      </c>
      <c r="D4508" t="n">
        <v>18</v>
      </c>
      <c r="E4508" t="n">
        <v>19</v>
      </c>
      <c r="F4508">
        <f>HYPERLINK("https://www.reddit.com/r/cancer/comments/cystnr/anger/")</f>
        <v/>
      </c>
      <c r="G4508" t="inlineStr">
        <is>
          <t>2019-09-02 11:22:27</t>
        </is>
      </c>
      <c r="H4508" t="inlineStr"/>
    </row>
    <row r="4509">
      <c r="A4509" t="inlineStr">
        <is>
          <t>cyt5ox</t>
        </is>
      </c>
      <c r="B4509" t="inlineStr">
        <is>
          <t>How can I convince my mom that she is not going to die</t>
        </is>
      </c>
      <c r="C4509" t="inlineStr">
        <is>
          <t>Hello guys
My mom diagnosed with brain tumour two weeks ago. The doctor said that the tumour is small and it’s going to be a rather easy operation. 
The tumour is located on somewhere that is messing with her balance and making a pressure-feeling in her head (this is how she describes it). We still don’t know what is going to happen after the surgery, if she going to receive a chemothreapy or something else, and this also stresses her. And she always feels nauseous, can’t sleep much and she had enough of it. 
She is also very much sensitive and by the way she feels, she thinks she is going to die soon. 
I tried to talk to her and make her understand what the doctor said but she doesn’t believe what I or my dad say. How can I help her with her mood? 
Thank you in advance, have a lovely day.</t>
        </is>
      </c>
      <c r="D4509" t="n">
        <v>3</v>
      </c>
      <c r="E4509" t="n">
        <v>10</v>
      </c>
      <c r="F4509">
        <f>HYPERLINK("https://www.reddit.com/r/cancer/comments/cyt5ox/how_can_i_convince_my_mom_that_she_is_not_going/")</f>
        <v/>
      </c>
      <c r="G4509" t="inlineStr">
        <is>
          <t>2019-09-02 11:47:01</t>
        </is>
      </c>
      <c r="H4509" t="inlineStr"/>
    </row>
    <row r="4510">
      <c r="A4510" t="inlineStr">
        <is>
          <t>cyuawo</t>
        </is>
      </c>
      <c r="B4510" t="inlineStr">
        <is>
          <t>My beloved grandma died of breast cancer, so does 5 relatives.. Now I’m anxious of having one, I can’t make myself brave enough to check myself.</t>
        </is>
      </c>
      <c r="C4510" t="inlineStr">
        <is>
          <t>I was 7 when I saw my grandma screaming out of pain in her bed, I saw her sweating after shots of albumin, seeing her having delusions because of the drugs she needed to take, I was caressing her cold hand in that exact moment she dies. I was there seeing the nurse took off all life support. It was devastating. 
My first visit to ICCU to see my grandma was when I was 6. I got in because the caregivers were a bit too nice. The image of ICCU never left my head. 5 rooms, no doors, I saw all of patients face and heard their voices that reflects the critical conditions they have. Now it’s clear why the minimum age is 12. What’s going on in ICCU is too much to handle for the senses of a 6 years old visitor. 
I suppose many of you have gone through similar traumas. Many of you may have more intense experience (husband or parents or siblings with cancer, etc).. 
Now I wonder .. Does anyone here has health anxiety after seeing plenty of their family members died of cancer? I eat so strictly healthy, I’m well known for how strict I’m eating.. 10 veggies a day, I’m going full 100% on my efforts.., workout everyday, I’m crazy about this. My trauma is enough to fuel the crazy healthy lifestyle I’m doing. 
I would like to get myself checked up just because it’s important to not have late diagnosis, but I’m damn scared of the results. It scares me more thinking that my test says I have cancer rather than living not knowing what’s going on inside my body.</t>
        </is>
      </c>
      <c r="D4510" t="n">
        <v>6</v>
      </c>
      <c r="E4510" t="n">
        <v>9</v>
      </c>
      <c r="F4510">
        <f>HYPERLINK("https://www.reddit.com/r/cancer/comments/cyuawo/my_beloved_grandma_died_of_breast_cancer_so_does/")</f>
        <v/>
      </c>
      <c r="G4510" t="inlineStr">
        <is>
          <t>2019-09-02 13:11:00</t>
        </is>
      </c>
      <c r="H4510" t="inlineStr"/>
    </row>
    <row r="4511">
      <c r="A4511" t="inlineStr">
        <is>
          <t>cyvrbd</t>
        </is>
      </c>
      <c r="B4511" t="inlineStr">
        <is>
          <t>My mom has cancer</t>
        </is>
      </c>
      <c r="C4511" t="inlineStr">
        <is>
          <t>found out today that my mom’s been diagnosed with cancer. she wouldn’t tell me any other details, just said it’s treatable. i’m in college 3 hours away which is frustrating. i’m in shock. she’s had some health issues for a few years but nothing like this. i have no idea what to say what to think how to act how to feel. i don’t know. it just sucks.</t>
        </is>
      </c>
      <c r="D4511" t="n">
        <v>1</v>
      </c>
      <c r="E4511" t="n">
        <v>1</v>
      </c>
      <c r="F4511">
        <f>HYPERLINK("https://www.reddit.com/r/cancer/comments/cyvrbd/my_mom_has_cancer/")</f>
        <v/>
      </c>
      <c r="G4511" t="inlineStr">
        <is>
          <t>2019-09-02 15:01:18</t>
        </is>
      </c>
      <c r="H4511" t="inlineStr"/>
    </row>
    <row r="4512">
      <c r="A4512" t="inlineStr">
        <is>
          <t>cyx8z1</t>
        </is>
      </c>
      <c r="B4512" t="inlineStr">
        <is>
          <t>16 Warning Signs of Cancer You Shouldn’t Ignore</t>
        </is>
      </c>
      <c r="C4512" t="inlineStr">
        <is>
          <t xml:space="preserve"> [https://elbuzzfeed.com/health/16-warning-signs-of-cancer-you-shouldnt-ignore/](https://elbuzzfeed.com/health/16-warning-signs-of-cancer-you-shouldnt-ignore/) 
&amp;amp;#x200B;
https://i.redd.it/3iuugdf8r9k31.png</t>
        </is>
      </c>
      <c r="D4512" t="n">
        <v>0</v>
      </c>
      <c r="E4512" t="n">
        <v>3</v>
      </c>
      <c r="F4512">
        <f>HYPERLINK("https://www.reddit.com/r/cancer/comments/cyx8z1/16_warning_signs_of_cancer_you_shouldnt_ignore/")</f>
        <v/>
      </c>
      <c r="G4512" t="inlineStr">
        <is>
          <t>2019-09-02 17:05:35</t>
        </is>
      </c>
      <c r="H4512" t="inlineStr"/>
    </row>
    <row r="4513">
      <c r="A4513" t="inlineStr">
        <is>
          <t>cyx9jg</t>
        </is>
      </c>
      <c r="B4513" t="inlineStr">
        <is>
          <t>أعراض سرطان الثدي التي تجب معرفتها</t>
        </is>
      </c>
      <c r="C4513" t="inlineStr">
        <is>
          <t>ولعل أكثر[أعراض سرطان الثدي](https://www.sihhatok.com/%d8%a3%d8%b9%d8%b1%d8%a7%d8%b6-%d8%b3%d8%b1%d8%b7%d8%a7%d9%86-%d8%a7%d9%84%d8%ab%d8%af%d9%8a/) المعروفة هو وجود كتلة في نسيج الثدي. بينما تذهب العديد من النساء إلى الطبيب بعد العثور على الورم ، يجب أن تكون كل امرأة على دراية بالتغيرات الأخرى التي تطرأ على الثدي أو الحلمة.
مع أنواع مختلفة من سرطان الثدي تأتي مجموعة متنوعة من الأعراض ذات الصلة. على سبيل المثال ، سرطان القناة الغازية (IDC) ، الذي يتشكل في قنوات الحليب ، قد يسبب ورمًا متميزًا في الثدي يمكن أن تشعر به. سرطان مفصص الغازية (ILC) ، الذي يتشكل في الغدد المنتجة للحليب ، قد يسبب سماكة في الثدي.
### علامات التحذير المبكر من سرطان الثدي
تختلف أعراض أورام الثدي من شخص لآخر. بعض علامات الإنذار المبكر الشائعة لسرطان الثدي تشمل:
* تغيرات الجلد ، مثل التورم أو الاحمرار أو الاختلافات الأخرى المرئية في الثديين أو كليهما
* زيادة في الحجم أو التغيير في شكل الثدي (الثديين)
* التغييرات في مظهر واحد أو كلا الحلمتين
* تفريغ الحلمة بخلاف حليب الأم
* ألم عام في / على أي جزء من الثدي
* الكتل أو العقد التي تشعرين بها خارج أو داخل الثدي
* الأعراض الأكثر تحديداً لسرطان الثدي الغازية هي:
1. حكة في الثديين
2. تغيير في لون الثدي
3. زيادة حجم الثدي أو شكله (خلال فترة زمنية قصيرة)
4. التغييرات في اللمس (قد تشعر بالصلابة أو الحرارة)
5. تقشر الجلد
6. تغير في كتلة الثدي أو سماكته
7. احمرار أو تأليب جلد الثدي (مثل جلد برتقالي)
8. من المهم أن تتذكر أن الظروف الأخرى الحميدة التي تسببت في هذه التغييرات. على سبيل المثال ، قد تحدث التغيرات في نسيج الجلد على الثدي بسبب حالة جلدية مثل الأكزيما ، وقد تحدث الغدد الليمفاوية المتورمة بسبب إصابة في الثدي أو بمرض آخر غير ذي صلة. ستساعدك مراجعة الطبيب لإجراء التقييم على تحديد ما إذا كان أي شيء تلاحظه يثير القلق.
المصدر: موقع [صحتك](https://www.sihhatok.com)</t>
        </is>
      </c>
      <c r="D4513" t="n">
        <v>0</v>
      </c>
      <c r="E4513" t="n">
        <v>0</v>
      </c>
      <c r="F4513">
        <f>HYPERLINK("https://www.reddit.com/r/cancer/comments/cyx9jg/أعراض_سرطان_الثدي_التي_تجب_معرفتها/")</f>
        <v/>
      </c>
      <c r="G4513" t="inlineStr">
        <is>
          <t>2019-09-02 17:07:08</t>
        </is>
      </c>
      <c r="H4513" t="inlineStr"/>
    </row>
    <row r="4514">
      <c r="A4514" t="inlineStr">
        <is>
          <t>cyy8hm</t>
        </is>
      </c>
      <c r="B4514" t="inlineStr">
        <is>
          <t>Kid making fun of dead brother on IG</t>
        </is>
      </c>
      <c r="C4514" t="inlineStr">
        <is>
          <t>What do you do when someone who you understand is just trying to be inflammatory, starts making fun of lost love ones to cancer. Do you just let it go? I just don’t understand why people are so heartless on the internet. Like whats the point.</t>
        </is>
      </c>
      <c r="D4514" t="n">
        <v>1</v>
      </c>
      <c r="E4514" t="n">
        <v>0</v>
      </c>
      <c r="F4514">
        <f>HYPERLINK("https://www.reddit.com/r/cancer/comments/cyy8hm/kid_making_fun_of_dead_brother_on_ig/")</f>
        <v/>
      </c>
      <c r="G4514" t="inlineStr">
        <is>
          <t>2019-09-02 18:35:11</t>
        </is>
      </c>
      <c r="H4514" t="inlineStr"/>
    </row>
    <row r="4515">
      <c r="A4515" t="inlineStr">
        <is>
          <t>cyzdr4</t>
        </is>
      </c>
      <c r="B4515" t="inlineStr">
        <is>
          <t>I ate grapes yesterday, and this morning I peed an awful foul bloody smell</t>
        </is>
      </c>
      <c r="C4515" t="inlineStr">
        <is>
          <t>dont know what the fuck it was
what the fuck did i pee out?
anyone?
answers/</t>
        </is>
      </c>
      <c r="D4515" t="n">
        <v>0</v>
      </c>
      <c r="E4515" t="n">
        <v>5</v>
      </c>
      <c r="F4515">
        <f>HYPERLINK("https://www.reddit.com/r/cancer/comments/cyzdr4/i_ate_grapes_yesterday_and_this_morning_i_peed_an/")</f>
        <v/>
      </c>
      <c r="G4515" t="inlineStr">
        <is>
          <t>2019-09-02 20:22:28</t>
        </is>
      </c>
      <c r="H4515" t="inlineStr"/>
    </row>
    <row r="4516">
      <c r="A4516" t="inlineStr">
        <is>
          <t>cyzs8l</t>
        </is>
      </c>
      <c r="B4516" t="inlineStr">
        <is>
          <t>Lymphoma article</t>
        </is>
      </c>
      <c r="C4516" t="inlineStr">
        <is>
          <t>https://medium.com/@AnastasiyaVi/hogkins-lymphoma-e2b47feaf2cd
Since September is lymphoma awareness month, I wanted to write something specific to Hodgkin's lymphoma since there that I was dealing with this past year</t>
        </is>
      </c>
      <c r="D4516" t="n">
        <v>3</v>
      </c>
      <c r="E4516" t="n">
        <v>2</v>
      </c>
      <c r="F4516">
        <f>HYPERLINK("https://www.reddit.com/r/cancer/comments/cyzs8l/lymphoma_article/")</f>
        <v/>
      </c>
      <c r="G4516" t="inlineStr">
        <is>
          <t>2019-09-02 21:02:28</t>
        </is>
      </c>
      <c r="H4516" t="inlineStr"/>
    </row>
    <row r="4517">
      <c r="A4517" t="inlineStr">
        <is>
          <t>cz2462</t>
        </is>
      </c>
      <c r="B4517" t="inlineStr">
        <is>
          <t>Can somebody explain the genetics to cancer?</t>
        </is>
      </c>
      <c r="C4517" t="inlineStr">
        <is>
          <t>Hello all. I’ve been becoming increasingly paranoid that for some reason I have some sort of cancer. Could someone tell me the genetic side of cancer. My grandfather on my dads side had colon cancer but was treated.</t>
        </is>
      </c>
      <c r="D4517" t="n">
        <v>0</v>
      </c>
      <c r="E4517" t="n">
        <v>4</v>
      </c>
      <c r="F4517">
        <f>HYPERLINK("https://www.reddit.com/r/cancer/comments/cz2462/can_somebody_explain_the_genetics_to_cancer/")</f>
        <v/>
      </c>
      <c r="G4517" t="inlineStr">
        <is>
          <t>2019-09-03 01:38:59</t>
        </is>
      </c>
      <c r="H4517" t="inlineStr"/>
    </row>
    <row r="4518">
      <c r="A4518" t="inlineStr">
        <is>
          <t>cz2vn0</t>
        </is>
      </c>
      <c r="B4518" t="inlineStr">
        <is>
          <t>Its 4:52 a.m. In 38 minutes I will have been awake for 24 hours. Why? Because I've pooped at least 50 times in the last 9 hours and now it feels like I'm pooping shards of glass mixed with lemon juice.</t>
        </is>
      </c>
      <c r="C4518" t="inlineStr">
        <is>
          <t>Just fuck everything about cancer. The treatments, fatigue, nausea, doctors appointments, scans, medications, pain, depression, the financial nightmare, the hair loss, insurance companies, the weight loss, bad news, followed by more bad news, the side effects, etc. And now we can add the glass shard poos. 
**How could a bunghole possibly hurt so badly?**
This post really has no point other than to bitch. But I'm allowed to do that right now considering the situation, right? Anyways, I hope that the rest of you in this BULLSHIT club have a good day, get some good news, and have pain free turds.
Remember, It won't always be like this.</t>
        </is>
      </c>
      <c r="D4518" t="n">
        <v>120</v>
      </c>
      <c r="E4518" t="n">
        <v>68</v>
      </c>
      <c r="F4518">
        <f>HYPERLINK("https://www.reddit.com/r/cancer/comments/cz2vn0/its_452_am_in_38_minutes_i_will_have_been_awake/")</f>
        <v/>
      </c>
      <c r="G4518" t="inlineStr">
        <is>
          <t>2019-09-03 03:11:36</t>
        </is>
      </c>
      <c r="H4518" t="inlineStr"/>
    </row>
    <row r="4519">
      <c r="A4519" t="inlineStr">
        <is>
          <t>cz31j5</t>
        </is>
      </c>
      <c r="B4519" t="inlineStr">
        <is>
          <t>Chemo halted</t>
        </is>
      </c>
      <c r="C4519" t="inlineStr">
        <is>
          <t>I have been having headaches for the past two weeks. I thought it was due to the raise in blood-pressure due to the Avastin.
The oncologist gave me one look and said he wants an brain MRI. So I am now sitting and waiting for an MRI.
Treatment will all depend on the results on the MRI, but my hands and feet are taking a beating. They might reduce the Pecaset from 4000 mg to a lesser amount.
Not sure if I will get chemo today so hope for the best.  And got another nasty supprise. A almost $200 copayment for the MRI... and only of the brain. The complete body scan was cheaper than this</t>
        </is>
      </c>
      <c r="D4519" t="n">
        <v>17</v>
      </c>
      <c r="E4519" t="n">
        <v>9</v>
      </c>
      <c r="F4519">
        <f>HYPERLINK("https://www.reddit.com/r/cancer/comments/cz31j5/chemo_halted/")</f>
        <v/>
      </c>
      <c r="G4519" t="inlineStr">
        <is>
          <t>2019-09-03 03:31:05</t>
        </is>
      </c>
      <c r="H4519" t="inlineStr"/>
    </row>
    <row r="4520">
      <c r="A4520" t="inlineStr">
        <is>
          <t>cz47t9</t>
        </is>
      </c>
      <c r="B4520" t="inlineStr">
        <is>
          <t>My risk of cancer due to radiation.</t>
        </is>
      </c>
      <c r="C4520" t="inlineStr">
        <is>
          <t>Hey guys.  For reference if it matter I’m a male.  Over our life time many of us will come into contact with some form of cancer.  In my family, the only cancers that have happened are lung, breast, and skin (light cancer).  Knock on wood.   All members have survived except the one with lung cancer but he smoked for 50 yrs.  I’ve had knee and back injuries and so far have had 3-4 x rays on them in my life time and a couple orthodontist x rays from time to time (around months to a year I think) I had braces.  I’ve probably had one close to blistering sunburns and I’ve done pretty well at protecting myself from the sun, well at least better than most people in Florida.  I go 6 years with little to 0 sunburns.  Only time will tell but from experience,  how many of you guys that ended up being diagnosed with cancer would say it was from radiation?  Specifically x rays?  I’m a hypochondriac and this is kinda freaking me out.  I’m trying to gauge my risk level and how careful I need to be fro the future.  Thanks to anyone that can help.</t>
        </is>
      </c>
      <c r="D4520" t="n">
        <v>0</v>
      </c>
      <c r="E4520" t="n">
        <v>11</v>
      </c>
      <c r="F4520">
        <f>HYPERLINK("https://www.reddit.com/r/cancer/comments/cz47t9/my_risk_of_cancer_due_to_radiation/")</f>
        <v/>
      </c>
      <c r="G4520" t="inlineStr">
        <is>
          <t>2019-09-03 05:29:35</t>
        </is>
      </c>
      <c r="H4520" t="inlineStr"/>
    </row>
    <row r="4521">
      <c r="A4521" t="inlineStr">
        <is>
          <t>cz4og9</t>
        </is>
      </c>
      <c r="B4521" t="inlineStr">
        <is>
          <t>CF/cancer fundraiser</t>
        </is>
      </c>
      <c r="C4521" t="inlineStr">
        <is>
          <t>Hi!
My friend and I are fundraising for Cancer Research UK, and Cystic Fibrosis Trust UK, in memory of our friend Victoria who sadly passed yesterday. Victoria had CF, and developed a very aggressive germ cell cancer. She lost her hair to cancer, so we will lose our hair for her. We want to make a real difference to people’s lives. No one should ever have to suffer like Victoria again, but sadly they will. That’s why we have to take action. Any penny/cent will make a difference. Please share around any groups you feel would like to sponsor us. Thanks!
https://uk.virginmoneygiving.com/BHFVP</t>
        </is>
      </c>
      <c r="D4521" t="n">
        <v>1</v>
      </c>
      <c r="E4521" t="n">
        <v>2</v>
      </c>
      <c r="F4521">
        <f>HYPERLINK("https://www.reddit.com/r/cancer/comments/cz4og9/cfcancer_fundraiser/")</f>
        <v/>
      </c>
      <c r="G4521" t="inlineStr">
        <is>
          <t>2019-09-03 06:10:37</t>
        </is>
      </c>
      <c r="H4521" t="inlineStr"/>
    </row>
    <row r="4522">
      <c r="A4522" t="inlineStr">
        <is>
          <t>cz5xoc</t>
        </is>
      </c>
      <c r="B4522" t="inlineStr">
        <is>
          <t>Is this cancer?</t>
        </is>
      </c>
      <c r="C4522" t="inlineStr">
        <is>
          <t>Hey, I'm new here. So I just want to ask that these symptoms really show that I have testocular cancer or not. So back in April I found a lump on my left testicle. Not really big it's on the upper side. I haven't checked myself before so I don't know if that was there before, because i had 2 surgeries on that testicle before. And that testicle is a little bit smaller than the other due to the surgeries. Can it be testicular cancer? Or is it because of the surgeries I had before? I'm a bit scared, cause I'm only 15 and just started High School this September. I don't want to get fired from the school due to cancer (if thats even possible [in Hungary])</t>
        </is>
      </c>
      <c r="D4522" t="n">
        <v>0</v>
      </c>
      <c r="E4522" t="n">
        <v>13</v>
      </c>
      <c r="F4522">
        <f>HYPERLINK("https://www.reddit.com/r/cancer/comments/cz5xoc/is_this_cancer/")</f>
        <v/>
      </c>
      <c r="G4522" t="inlineStr">
        <is>
          <t>2019-09-03 07:54:17</t>
        </is>
      </c>
      <c r="H4522" t="inlineStr"/>
    </row>
    <row r="4523">
      <c r="A4523" t="inlineStr">
        <is>
          <t>cz895v</t>
        </is>
      </c>
      <c r="B4523" t="inlineStr">
        <is>
          <t>Not exercising is driving me crazy</t>
        </is>
      </c>
      <c r="C4523" t="inlineStr">
        <is>
          <t>Hello again ladies, gents, and cancer friends. Was anyone else crazy active before being diagnosed? For a better idea, I’m 19 and played organized sports starting at the age of 3. In high school I had basketball practice 6 days a week in addition to additional workouts. I took some time off and got back into going to the gym in my first year of college and was lifting weights. But ever since my symptoms started to present themselves I haven’t been to the gym or done much activity wise. I know I can do yoga and go for walks but it is nowhere near enough to satisfy me. I (also) get fatigued very easily which frustrates me to all hell. I just want to go for a run, bench press, do incline sit-ups etc. Is anyone else going absolutely batshit about not doing normal activities?</t>
        </is>
      </c>
      <c r="D4523" t="n">
        <v>6</v>
      </c>
      <c r="E4523" t="n">
        <v>15</v>
      </c>
      <c r="F4523">
        <f>HYPERLINK("https://www.reddit.com/r/cancer/comments/cz895v/not_exercising_is_driving_me_crazy/")</f>
        <v/>
      </c>
      <c r="G4523" t="inlineStr">
        <is>
          <t>2019-09-03 10:50:29</t>
        </is>
      </c>
      <c r="H4523" t="inlineStr"/>
    </row>
    <row r="4524">
      <c r="A4524" t="inlineStr">
        <is>
          <t>cz9pct</t>
        </is>
      </c>
      <c r="B4524" t="inlineStr">
        <is>
          <t>To those who may get discouraged by some of the good news that gets posted here...</t>
        </is>
      </c>
      <c r="C4524" t="inlineStr">
        <is>
          <t>I just went from no evidence of cancer in the brain to now having over 15 brain mets!    
With all of the success stories and advancements in treatments, a lot of us still can't catch a break. Hang in there and keep fighting. We're not unlucky - cancer is just a fucking bitch.</t>
        </is>
      </c>
      <c r="D4524" t="n">
        <v>52</v>
      </c>
      <c r="E4524" t="n">
        <v>21</v>
      </c>
      <c r="F4524">
        <f>HYPERLINK("https://www.reddit.com/r/cancer/comments/cz9pct/to_those_who_may_get_discouraged_by_some_of_the/")</f>
        <v/>
      </c>
      <c r="G4524" t="inlineStr">
        <is>
          <t>2019-09-03 12:38:47</t>
        </is>
      </c>
      <c r="H4524" t="inlineStr"/>
    </row>
    <row r="4525">
      <c r="A4525" t="inlineStr">
        <is>
          <t>czanct</t>
        </is>
      </c>
      <c r="B4525" t="inlineStr">
        <is>
          <t>Cannabis for Cancer Side Effects</t>
        </is>
      </c>
      <c r="C4525" t="inlineStr">
        <is>
          <t>Hello everyone,
My GF was diagnosed with Ewing’s Sarcoma in her spine at the age of 6. Beat it. 20 years later it comes back in her lung and heart. Beat it. 2 months later comes back in her brain. This is current time. 
She’s only 5’1” and she lost 40lbs during chemo (VDC/IE).  Other side effects aside from lack of appetite was extreme anxiety, pain, nausea, insomnia, mood swings etc. 
I have been her sole caregiver for the past year, so although I don’t have cancer, I have seen it up close. 
I grew her cannabis flower, I made her oils, edibles, drinks, etc. The difference it made cannot be put into words. She gained all the weight back while still in treatment, she had no issues sleeping, it helped her nausea,  she wasn’t constantly worrying about what the cancer could potentially do to her life. 
I’m writing this because I’ve seen posts lately and nobody mentions cannabis as a legitimate tool to use to vastly increase your quality of life. If you have symptoms like these I highly recommend trying it and working yourself up to heavy doses. But don’t just dive into it, it’s important to find proper products and dosing.
If you want to know more you can comment here or DM me in private. I’m a cultivator at a licensed dispensary as well as home grower for 5+ years. It is my life and it is my passion. I love to help because I hate to see people in pain.</t>
        </is>
      </c>
      <c r="D4525" t="n">
        <v>79</v>
      </c>
      <c r="E4525" t="n">
        <v>55</v>
      </c>
      <c r="F4525">
        <f>HYPERLINK("https://www.reddit.com/r/cancer/comments/czanct/cannabis_for_cancer_side_effects/")</f>
        <v/>
      </c>
      <c r="G4525" t="inlineStr">
        <is>
          <t>2019-09-03 13:49:31</t>
        </is>
      </c>
      <c r="H4525" t="inlineStr"/>
    </row>
    <row r="4526">
      <c r="A4526" t="inlineStr">
        <is>
          <t>czb8cn</t>
        </is>
      </c>
      <c r="B4526" t="inlineStr">
        <is>
          <t>Wife Diagnosed with Cervical Cancer</t>
        </is>
      </c>
      <c r="C4526" t="inlineStr">
        <is>
          <t>As the title says. The Doctor told us it’s cancer, but we haven’t had the follow up appointment yet.
I just wanna know what to expect. I’m stationed in South Korea right now so I’m not there for her and I wanna know as much as I can to comfort her in any way possible. She’s only 22, so what I’ve read that’s a good sign, but I’m not a doctor.
Was mostly just hoping to hear about any information about it that others may have seen or experienced. We just had our first baby in July and she’s been heart broken about the possibility of having a hysterectomy and not being able to have more children.
Thank you!</t>
        </is>
      </c>
      <c r="D4526" t="n">
        <v>5</v>
      </c>
      <c r="E4526" t="n">
        <v>8</v>
      </c>
      <c r="F4526">
        <f>HYPERLINK("https://www.reddit.com/r/cancer/comments/czb8cn/wife_diagnosed_with_cervical_cancer/")</f>
        <v/>
      </c>
      <c r="G4526" t="inlineStr">
        <is>
          <t>2019-09-03 14:33:36</t>
        </is>
      </c>
      <c r="H4526" t="inlineStr"/>
    </row>
    <row r="4527">
      <c r="A4527" t="inlineStr">
        <is>
          <t>czbzms</t>
        </is>
      </c>
      <c r="B4527" t="inlineStr">
        <is>
          <t>Angiosarcoma. What do you know?</t>
        </is>
      </c>
      <c r="C4527" t="inlineStr">
        <is>
          <t>Hello all. My mom was diagnosed with Angiosarcoma in a breast. She has been breast cancer free 10 years+.  (Removal of cancer area and lymph and radiation and chemo)
Doc told my sister today that angiosarcoma is radiation caused and rare and  it keeps coming back and people generally don’t live more than two years. 
My sister, my 23 year old and myself along with my mom meet with doc end of week to discuss surgical care because she’s going to have surgery next week. 
What are your experiences and knowledge?</t>
        </is>
      </c>
      <c r="D4527" t="n">
        <v>3</v>
      </c>
      <c r="E4527" t="n">
        <v>6</v>
      </c>
      <c r="F4527">
        <f>HYPERLINK("https://www.reddit.com/r/cancer/comments/czbzms/angiosarcoma_what_do_you_know/")</f>
        <v/>
      </c>
      <c r="G4527" t="inlineStr">
        <is>
          <t>2019-09-03 15:32:34</t>
        </is>
      </c>
      <c r="H4527" t="inlineStr"/>
    </row>
    <row r="4528">
      <c r="A4528" t="inlineStr">
        <is>
          <t>czd40j</t>
        </is>
      </c>
      <c r="B4528" t="inlineStr">
        <is>
          <t>Cold caps - what was your experience? Was it worth it?</t>
        </is>
      </c>
      <c r="C4528" t="inlineStr">
        <is>
          <t>I’m considering trying cold cap therapy to keep my hair during chemo. If you tried it or know someone that did, how well did it work? How annoying was it to use and the maintenance in between treatments? I’m especially curious about experiences from people whose therapy included taxol and carboplatin. Thanks!</t>
        </is>
      </c>
      <c r="D4528" t="n">
        <v>1</v>
      </c>
      <c r="E4528" t="n">
        <v>0</v>
      </c>
      <c r="F4528">
        <f>HYPERLINK("https://www.reddit.com/r/cancer/comments/czd40j/cold_caps_what_was_your_experience_was_it_worth_it/")</f>
        <v/>
      </c>
      <c r="G4528" t="inlineStr">
        <is>
          <t>2019-09-03 17:05:41</t>
        </is>
      </c>
      <c r="H4528" t="inlineStr"/>
    </row>
    <row r="4529">
      <c r="A4529" t="inlineStr">
        <is>
          <t>czd44z</t>
        </is>
      </c>
      <c r="B4529" t="inlineStr">
        <is>
          <t>In honor of my brother I want to start spreading cancer awareness, prevention, and family support. Any ideas on where to start?</t>
        </is>
      </c>
      <c r="C4529" t="inlineStr">
        <is>
          <t>Title covers most of it. My brother passed away a little over 2 months ago from a long battle with cancer leaving behind his wife and two girls. I want to honor his memory and know his fight will still continue on in a different form. I made bracelets (similar to live strong) for my family and close friends, thinking of creating social media accounts, etc. Does anyone have any help, advice, or suggestions? An organization or two to contact?</t>
        </is>
      </c>
      <c r="D4529" t="n">
        <v>1</v>
      </c>
      <c r="E4529" t="n">
        <v>1</v>
      </c>
      <c r="F4529">
        <f>HYPERLINK("https://www.reddit.com/r/cancer/comments/czd44z/in_honor_of_my_brother_i_want_to_start_spreading/")</f>
        <v/>
      </c>
      <c r="G4529" t="inlineStr">
        <is>
          <t>2019-09-03 17:06:01</t>
        </is>
      </c>
      <c r="H4529" t="inlineStr"/>
    </row>
    <row r="4530">
      <c r="A4530" t="inlineStr">
        <is>
          <t>czdhbt</t>
        </is>
      </c>
      <c r="B4530" t="inlineStr">
        <is>
          <t>My mom just got diagnosed with stage IV breast cancer</t>
        </is>
      </c>
      <c r="C4530" t="inlineStr">
        <is>
          <t>It has spread to a lymph node and her bones. I just don’t know how this could happen. She’s always been on top of her health and gets her yearly physical done. A mammogram she had done a few weeks ago came back completely normal. All blood work and tests show that she’s otherwise healthy. The only reason they found it was because they did a CT scan for something completely different and found she had lytic bone lesions. I’m being strong in front of her but I’m so scared. I don’t know what to say or do to comfort her.</t>
        </is>
      </c>
      <c r="D4530" t="n">
        <v>14</v>
      </c>
      <c r="E4530" t="n">
        <v>6</v>
      </c>
      <c r="F4530">
        <f>HYPERLINK("https://www.reddit.com/r/cancer/comments/czdhbt/my_mom_just_got_diagnosed_with_stage_iv_breast/")</f>
        <v/>
      </c>
      <c r="G4530" t="inlineStr">
        <is>
          <t>2019-09-03 17:37:22</t>
        </is>
      </c>
      <c r="H4530" t="inlineStr"/>
    </row>
    <row r="4531">
      <c r="A4531" t="inlineStr">
        <is>
          <t>cze27l</t>
        </is>
      </c>
      <c r="B4531" t="inlineStr">
        <is>
          <t>[META] A new subreddit for people with stage 4 cancer! /r/stage4cancer</t>
        </is>
      </c>
      <c r="C4531" t="inlineStr">
        <is>
          <t>Hello all! I am a caretaker of a wonderful lady with stage 4 breast cancer. As I search for information online, I was shocked that there wasn't a subreddit just for people with stage 4 (or metastatic) cancer. I also noticed a user commenting on a post here with a similar wish. 
Welcome /r/stage4cancer. 
The sub will be for people with stage 4 cancer, or their caretakers. The dream is to have a sub where people can share their victories, struggles, rants, stories.... and receive encouragement or advice. I'd love to hear your thoughts, opinions, suggestions...</t>
        </is>
      </c>
      <c r="D4531" t="n">
        <v>27</v>
      </c>
      <c r="E4531" t="n">
        <v>22</v>
      </c>
      <c r="F4531">
        <f>HYPERLINK("https://www.reddit.com/r/cancer/comments/cze27l/meta_a_new_subreddit_for_people_with_stage_4/")</f>
        <v/>
      </c>
      <c r="G4531" t="inlineStr">
        <is>
          <t>2019-09-03 18:26:47</t>
        </is>
      </c>
      <c r="H4531" t="inlineStr"/>
    </row>
    <row r="4532">
      <c r="A4532" t="inlineStr">
        <is>
          <t>cze70k</t>
        </is>
      </c>
      <c r="B4532" t="inlineStr">
        <is>
          <t>Family member is beginning his fight with cancer. I need a list of dirty moves and attacks to KNOCK IT TF OUT! How can we best this beast?</t>
        </is>
      </c>
      <c r="C4532" t="inlineStr">
        <is>
          <t>Hello Reddit users, I have never created a post and it pains me to have my first be of this nature, but I want and need any advice I can get. 
My brother-in-law, sister's husband, has just been diagnosed with Small Cell Lung Cancer (SCLC). Fortunately, there is only evidence of it being in his right lung; however, there are signs that SUGGEST it may have metastasized. For those that don't know, Small Cell Lung Cancer (SCLC) is the most aggressive form of lung cancer that there is, but we are all determined to fight. 
I truly feel as if I am reaching for straws here, and I do not expect much, but I am looking for any path to action. We live in California, but we're willing to search for the means to fight anywhere on this blue spinning ball and in any form it may come, whether is be medical treatment (western or eastern medicine) or a change of diets and lifestyle.
Any recommendation or advice given will be greatly considered so please do not hesitate.
Thank you fellow Redditors. It's time to FIGHT!</t>
        </is>
      </c>
      <c r="D4532" t="n">
        <v>7</v>
      </c>
      <c r="E4532" t="n">
        <v>13</v>
      </c>
      <c r="F4532">
        <f>HYPERLINK("https://www.reddit.com/r/cancer/comments/cze70k/family_member_is_beginning_his_fight_with_cancer/")</f>
        <v/>
      </c>
      <c r="G4532" t="inlineStr">
        <is>
          <t>2019-09-03 18:38:16</t>
        </is>
      </c>
      <c r="H4532" t="inlineStr"/>
    </row>
    <row r="4533">
      <c r="A4533" t="inlineStr">
        <is>
          <t>czepfj</t>
        </is>
      </c>
      <c r="B4533" t="inlineStr">
        <is>
          <t>NSFW* How long does chemo affect your erections?</t>
        </is>
      </c>
      <c r="C4533" t="inlineStr">
        <is>
          <t>Hi, I’m a 17 yo male undergoing chemotherapy for high risk acute lymphoblastic leukemia. I’m in the delayed intensification stage of treatment. It’s going well, but I can’t get an erection and all my sex drive is gone. Any men experience the same? How long until it went back to normal? Thanks</t>
        </is>
      </c>
      <c r="D4533" t="n">
        <v>1</v>
      </c>
      <c r="E4533" t="n">
        <v>0</v>
      </c>
      <c r="F4533">
        <f>HYPERLINK("https://www.reddit.com/r/cancer/comments/czepfj/nsfw_how_long_does_chemo_affect_your_erections/")</f>
        <v/>
      </c>
      <c r="G4533" t="inlineStr">
        <is>
          <t>2019-09-03 19:22:06</t>
        </is>
      </c>
      <c r="H4533" t="inlineStr"/>
    </row>
    <row r="4534">
      <c r="A4534" t="inlineStr">
        <is>
          <t>czg68g</t>
        </is>
      </c>
      <c r="B4534" t="inlineStr">
        <is>
          <t>I feel like I have a expiration date</t>
        </is>
      </c>
      <c r="C4534" t="inlineStr">
        <is>
          <t>I'm a cancer survivor(26M) and I've been in remission for a little more than 3 years. My lymphoma might be back and I can't shrug off the idea that I won't grow old... I've been fine dealing with uncertainty for a while but now I can't stop thinking about the end. When will it happen, if only we could know. 
How do you deal with that uncertainty of yours?</t>
        </is>
      </c>
      <c r="D4534" t="n">
        <v>2</v>
      </c>
      <c r="E4534" t="n">
        <v>2</v>
      </c>
      <c r="F4534">
        <f>HYPERLINK("https://www.reddit.com/r/cancer/comments/czg68g/i_feel_like_i_have_a_expiration_date/")</f>
        <v/>
      </c>
      <c r="G4534" t="inlineStr">
        <is>
          <t>2019-09-03 21:42:27</t>
        </is>
      </c>
      <c r="H4534" t="inlineStr"/>
    </row>
    <row r="4535">
      <c r="A4535" t="inlineStr">
        <is>
          <t>czgpsc</t>
        </is>
      </c>
      <c r="B4535" t="inlineStr">
        <is>
          <t>I need some positivity</t>
        </is>
      </c>
      <c r="C4535" t="inlineStr">
        <is>
          <t>Hi everyone, My father is currently in the process of waiting for results from a bladder biopsy. Doctor said the tumor was small but they couldn’t get it all. I’ve been losing my mind googling &amp;amp; I’m very scared. I was wondering if those of you who had or know someone who have been successful in beating bladder cancer could share your stories. I could use some positive thinking right now as it is almost 2am where I am at and I cannot sleep. I just want to know my dad is going to be okay.</t>
        </is>
      </c>
      <c r="D4535" t="n">
        <v>2</v>
      </c>
      <c r="E4535" t="n">
        <v>7</v>
      </c>
      <c r="F4535">
        <f>HYPERLINK("https://www.reddit.com/r/cancer/comments/czgpsc/i_need_some_positivity/")</f>
        <v/>
      </c>
      <c r="G4535" t="inlineStr">
        <is>
          <t>2019-09-03 22:43:34</t>
        </is>
      </c>
      <c r="H4535" t="inlineStr"/>
    </row>
    <row r="4536">
      <c r="A4536" t="inlineStr">
        <is>
          <t>czhsu0</t>
        </is>
      </c>
      <c r="B4536" t="inlineStr">
        <is>
          <t>Diagnosed with Burkitt Lymphoma</t>
        </is>
      </c>
      <c r="C4536" t="inlineStr">
        <is>
          <t>I have a question to those who know or is familiar with the disease. I was diagnosed in July / August when I did an MRI for my back pain. They found the tumors wrapped around my L2 and L4 and had to do surgery. Since then I have absolutely no feeling in my leg and using a wheelchair. I'm on chemotherapy for my lymph nodes and a brain tumor that formed. My question is, is there any possible way that I can regain the use of my leg or is this a lost cause? I'm receiving really good care but half my doctors say I'm going to be in the wheelchair for a long time, others say I'm going to be able to move again soon. Feeling hopeless. Thank you.</t>
        </is>
      </c>
      <c r="D4536" t="n">
        <v>4</v>
      </c>
      <c r="E4536" t="n">
        <v>1</v>
      </c>
      <c r="F4536">
        <f>HYPERLINK("https://www.reddit.com/r/cancer/comments/czhsu0/diagnosed_with_burkitt_lymphoma/")</f>
        <v/>
      </c>
      <c r="G4536" t="inlineStr">
        <is>
          <t>2019-09-04 00:55:10</t>
        </is>
      </c>
      <c r="H4536" t="inlineStr"/>
    </row>
    <row r="4537">
      <c r="A4537" t="inlineStr">
        <is>
          <t>czikst</t>
        </is>
      </c>
      <c r="B4537" t="inlineStr">
        <is>
          <t>Successive diagnoses of leukemia in my family</t>
        </is>
      </c>
      <c r="C4537" t="inlineStr">
        <is>
          <t>Just wanted to vent because we found out that my second cousin, a 3 year old baby girl, was confirmed to have leukemia today by bone marrow aspirate test... and not 6 months ago, my first cousin was also diagnosed with leukemia. 
This is my third relative to be diagnosed with cancer in the past 3 years. 
We do have a strong family history of cancer, and getting cancer at a young-ish age (40s to 50s)... My maternal grandfather died of lung cancer in his late 50s and my mom’s cousin died of breast cancer 2 years ago, about a year and a half after being diagnosed. My baby cousin’s first cousin was diagnosed with brain cancer 6 years ago; he’s alive, but barely. He is alive, but he is in a coma and unable to move or respond. 
Genetics can be a real bitch. 
My family has only started to become more positive because of my first cousin’s condition.. she was just discharged from the hospital after her bone marrow transplant a couple of weeks ago and is doing well. Now I’m reeling from the fresh news that another of my family members has this terrible disease. She’s three. I hope the chemo doesn’t make her suffer too much. I saw firsthand how my cousin was affected by it and I’m so scared that my baby cousin won’t be able to handle it. :( I’m so afraid for her parents. I only hope that I will be able to give them as much care and support as they need.</t>
        </is>
      </c>
      <c r="D4537" t="n">
        <v>3</v>
      </c>
      <c r="E4537" t="n">
        <v>1</v>
      </c>
      <c r="F4537">
        <f>HYPERLINK("https://www.reddit.com/r/cancer/comments/czikst/successive_diagnoses_of_leukemia_in_my_family/")</f>
        <v/>
      </c>
      <c r="G4537" t="inlineStr">
        <is>
          <t>2019-09-04 02:37:24</t>
        </is>
      </c>
      <c r="H4537" t="inlineStr"/>
    </row>
    <row r="4538">
      <c r="A4538" t="inlineStr">
        <is>
          <t>czitf1</t>
        </is>
      </c>
      <c r="B4538" t="inlineStr">
        <is>
          <t>Is anyone in here on a PARP inhibitor? What are you doing for nausea?</t>
        </is>
      </c>
      <c r="C4538" t="inlineStr">
        <is>
          <t>Hey all,
My wife has recently switched to a PARP inhibitor for treatment of ovarian cancer (somatic BRCA2).  However, we're really struggling with the nausea situation.  Zofran and Reglan don't really touch it.  We switched to Olanzapine which seemed to work but it knocked her out completely and she started getting tremors.  We just switched to Haldol which seems to have a similar mechanism of action (both are antipsychotics that have anti-emesis effects).  So far as good, but I'm still worried about side-effects -psychotics that seem to work but I'm concerned with side effects (e.g. permanent tardive dyskinesia).
Particularly interested if anyone has had success with cannabis for this kind of nausea as it seems we're running out of prescription options.</t>
        </is>
      </c>
      <c r="D4538" t="n">
        <v>2</v>
      </c>
      <c r="E4538" t="n">
        <v>6</v>
      </c>
      <c r="F4538">
        <f>HYPERLINK("https://www.reddit.com/r/cancer/comments/czitf1/is_anyone_in_here_on_a_parp_inhibitor_what_are/")</f>
        <v/>
      </c>
      <c r="G4538" t="inlineStr">
        <is>
          <t>2019-09-04 03:05:41</t>
        </is>
      </c>
      <c r="H4538" t="inlineStr"/>
    </row>
    <row r="4539">
      <c r="A4539" t="inlineStr">
        <is>
          <t>czm2nq</t>
        </is>
      </c>
      <c r="B4539" t="inlineStr">
        <is>
          <t>My mom had 6 months to live</t>
        </is>
      </c>
      <c r="C4539" t="inlineStr">
        <is>
          <t>If anyone could dm me I’d be grateful. Thanks.</t>
        </is>
      </c>
      <c r="D4539" t="n">
        <v>31</v>
      </c>
      <c r="E4539" t="n">
        <v>11</v>
      </c>
      <c r="F4539">
        <f>HYPERLINK("https://www.reddit.com/r/cancer/comments/czm2nq/my_mom_had_6_months_to_live/")</f>
        <v/>
      </c>
      <c r="G4539" t="inlineStr">
        <is>
          <t>2019-09-04 08:04:30</t>
        </is>
      </c>
      <c r="H4539" t="inlineStr"/>
    </row>
    <row r="4540">
      <c r="A4540" t="inlineStr">
        <is>
          <t>czm471</t>
        </is>
      </c>
      <c r="B4540" t="inlineStr">
        <is>
          <t>FIL prostate cancer with bone metastasis</t>
        </is>
      </c>
      <c r="C4540" t="inlineStr">
        <is>
          <t>FIL has prostate cancer and bone metastasis
Been getting chemo and has had 3 treatments of 6.
PSA is off the chart still, apparently that is bad?</t>
        </is>
      </c>
      <c r="D4540" t="n">
        <v>4</v>
      </c>
      <c r="E4540" t="n">
        <v>9</v>
      </c>
      <c r="F4540">
        <f>HYPERLINK("https://www.reddit.com/r/cancer/comments/czm471/fil_prostate_cancer_with_bone_metastasis/")</f>
        <v/>
      </c>
      <c r="G4540" t="inlineStr">
        <is>
          <t>2019-09-04 08:07:45</t>
        </is>
      </c>
      <c r="H4540" t="inlineStr"/>
    </row>
    <row r="4541">
      <c r="A4541" t="inlineStr">
        <is>
          <t>czmb35</t>
        </is>
      </c>
      <c r="B4541" t="inlineStr">
        <is>
          <t>Does anyone know anything about Cowden's Syndrome?</t>
        </is>
      </c>
      <c r="C4541" t="inlineStr">
        <is>
          <t>I'm going to a genetic counselor this week. They told me I might have it because I have a large head circumference and had endometrial cancer.</t>
        </is>
      </c>
      <c r="D4541" t="n">
        <v>3</v>
      </c>
      <c r="E4541" t="n">
        <v>8</v>
      </c>
      <c r="F4541">
        <f>HYPERLINK("https://www.reddit.com/r/cancer/comments/czmb35/does_anyone_know_anything_about_cowdens_syndrome/")</f>
        <v/>
      </c>
      <c r="G4541" t="inlineStr">
        <is>
          <t>2019-09-04 08:22:21</t>
        </is>
      </c>
      <c r="H4541" t="inlineStr"/>
    </row>
    <row r="4542">
      <c r="A4542" t="inlineStr">
        <is>
          <t>czmq9w</t>
        </is>
      </c>
      <c r="B4542" t="inlineStr">
        <is>
          <t>I thought i had cancer .... IT WAS SOMETHING ELSE.</t>
        </is>
      </c>
      <c r="C4542" t="inlineStr">
        <is>
          <t>Hi, my name is MICHAEL       -THIS IS-   "MY CURE"
Here's how I REMOVED &amp;amp; CONTAINED THE NANOTECHNOLOGY that THEY\* CHOSE to infect me and MANY others with...
I QUIT using THE METHAMPHETAMINE THAT THEY\* use/make/sell... 6 YEARS AGO.  I HAVE NEVER MADE OR SOLD ANY METH AT ALL... NOR HAVE I EVER WANTED OR TRIED TO, .... 6 years ago, I stopped using it, and had a PERSISTENT EAR RINGING/BUZZING that WOULD NOT go away(unless i grounded myself good)... 5 years ago, POPPING in the ear started, like going up and down mountains (maybe a tumor on my brain?) ...4 years ago CONSTANT clearing throat, (maybe cancer spreading to my lungs?) ..3 years ago glands(under arms and groin) always hurting.... 2 years ago, Thrush on tongue ...Beginning 1 year ago, LAST YEAR, ..ALL YEAR, I had BLOOD IN STOOL, CONSTANT RINGING IN EAR, CONSTANTLY clearing throat, Thrush on tongue, All while glands hurting...(AND STILL BEING 6YEARS CLEAN) .... Each year progressively worse than the previous year. IS IT CANCER? IT IS MALIGNANT AND METASTATIC (malicious and spreading). I knew it WAS NOT cancer. I knew IT WAS NANOTECHNOLOGY that THEY\* attack users (that THEY\* repeatedly sell or allow to be sold to) with. IT travels through most anything, disrupts electronics, and seems to like moisture and warmth. I KNOW THEY\* direct the attacks toward you, It will enter slowly through the skin and on the edges of fingernails ...causing the side of nails/skin to curl-up and feel sore. While THEY\* are SLOWLY KILLING YOU, would have you COMMIT SUICIDE, or SOMETHING WORSE. 
\------------This is NOT medical advice, I have no allergies, So i did this.----------
\-----------------Antioxidants/Alkaline kill NANO/FUNGUS, or at least makes IT run.------------------
I took 2 cinnamon, 2 olive leaf extract, and 2 turmeric capsules. Waited several hours, then put cocoa powder ALL over and under my  tongue. I shook up partially filled dark cocoa powder container, barely opened lid and inhaled floating dust threw nose and mouth 2 or 3 times. I then squirted or poured at least 1/2 cup of chocolate syrup (great anti-oxidant) onto top of scalp. I quickly then (stepped into a bathtub of 3 to 6inches of HOT water) or to have a closer look and contrast, I put HOT water into white ceramic bowl. I Put my fingertips, or, foot/feet into the hot water (tub or bowl) and WATCHED the NANOTECHNOLOGY physically flee from me. IT (The NANO/EVIDENCE) IS NOW TRAPPED IN THE WATER, If i put just fingertips into the hot water, I will have splits/cracks 1/2inch from the thumb side of my index-finger nails(where it leaves). I DO NOT TOUCH ANYTHING NOW IN THE WATER. If sober(not spun), small red spheres, of (NANO) appear and begin to grow, formed from the substance/NANO streaming out of my finger tips and skin. If not sober (spun &amp;amp; under attack) SOMETHING ELSE COMPLETELY forms from the substance/NANO, that streams out of my fingertips or feet and into the HOT water. I DO NOT TOUCH ANYTHING NOW IN THE WATER, Or it WILL rapidly re-enter my body. \*INSTANTLY\*---  I had NO MORE ringing, popping ears. NO-MORE CONSTANTLY clearing throat. NO-MORE thrush on tongue. NO-MORE blood in stool. NO-MORE glands that are swollen from the constant fighting.  IT (Whatever IT IS) left my body the same way THEY\* made IT enter....Cutaneously (through skin and edge of nails).                                                       
GOD BLESS
SAVE A LIFE, SPREAD THE WORD!     
\* THEY- meth dealers/task force/police/military/U.S. Gov't.....you know--- AMERICAN HEROES/SCUM
\- There ARE GOOD men and women (with no knowledge of this program) in the police/military/U.S. Gov't- THIS DOES NOT PERTAIN TO THEM.
Thank you, Michael  [mm333@comcast.net](mailto:mm333@comcast.net)</t>
        </is>
      </c>
      <c r="D4542" t="n">
        <v>0</v>
      </c>
      <c r="E4542" t="n">
        <v>7</v>
      </c>
      <c r="F4542">
        <f>HYPERLINK("https://www.reddit.com/r/cancer/comments/czmq9w/i_thought_i_had_cancer_it_was_something_else/")</f>
        <v/>
      </c>
      <c r="G4542" t="inlineStr">
        <is>
          <t>2019-09-04 08:55:03</t>
        </is>
      </c>
      <c r="H4542" t="inlineStr"/>
    </row>
    <row r="4543">
      <c r="A4543" t="inlineStr">
        <is>
          <t>cznmq3</t>
        </is>
      </c>
      <c r="B4543" t="inlineStr">
        <is>
          <t>Question about mastectomy prosthesis</t>
        </is>
      </c>
      <c r="C4543" t="inlineStr">
        <is>
          <t>I had a double mastectomy and instead of reconstruction I am occasionally going to wear prosthesis. I heard if you get a Rx insurance will cover it and the bras is that only if you have a shop close by or can this be done online? As far as I know there are no shops close by with these .
 I am surprised nobody talked to me about this at cancer center. I have no idea how they work or best kind to get . I know I want a C cup cause I always wanted that size I am a former member of itty bitty titty committee lol. But I don't know much else.</t>
        </is>
      </c>
      <c r="D4543" t="n">
        <v>11</v>
      </c>
      <c r="E4543" t="n">
        <v>5</v>
      </c>
      <c r="F4543">
        <f>HYPERLINK("https://www.reddit.com/r/cancer/comments/cznmq3/question_about_mastectomy_prosthesis/")</f>
        <v/>
      </c>
      <c r="G4543" t="inlineStr">
        <is>
          <t>2019-09-04 10:02:57</t>
        </is>
      </c>
      <c r="H4543" t="inlineStr"/>
    </row>
    <row r="4544">
      <c r="A4544" t="inlineStr">
        <is>
          <t>cznwnb</t>
        </is>
      </c>
      <c r="B4544" t="inlineStr">
        <is>
          <t>Afraid of stomach cancer</t>
        </is>
      </c>
      <c r="C4544" t="inlineStr">
        <is>
          <t>Hey all, I am a 19 year old dude from Finland and I have been struggling with my stomach for some time now on and off but for 4 months I have been suffering (had some good days and good weeks) almost non-stop. It all started in last week of April, I went to bed and couldn't sleep because I had nausea and heartburn and my stomach has never been normal since. I have emetophobia (fear of vomiting) because I used to be sick always as a kid and those illnesses were brutal. I havent vomited in 6 years and dont even remember how it feels and that is freaking me out when I feel slightly nauseous. I went to see docs in May and they gave me pantoprazole 40 mg and it seemed to help with the constant heartburn / burning sensation in my throat and windpipe. I lost some weight in these 4 months because I didn't eat properly, only very little everyday. I actually had kind of similar stomach issues after antibiotics in 2015, tried pantoprazole and tried probiotics but nothing seemed to help. I even got gastroscopied in October of 2016 and everything was perfectly normal, no celiac disease, no h. pylori, no gastritis, no hiatal hernia. All of my stomach symptoms VANISHED after this (did my anxiety really cause all of this?)
This June I went to see another doc and he poked around my stomach and listened to it with a stethoscope and said everything feels and sounds normal. Got blood samples done, was already thinking that I am probably anemic and everything is wrong but they turned out to be perfect. My hemoglobin is almost perfect possible and nothing wrong with em. Only slightly elevated leukocytes but I called the doc and they said it is normal, nothing to worry about. I started feeling a little bit more relaxed but still had this burping 100s of times a day, bloating in my stomach and some heartburn/burning feeling in my upper stomach almost daily. 
Last week I felt perfectly normal, I was eating a lot and was generally feeling happy and well. Saturday I felt really stressed because I had some family issues and after that I felt that sweet old burning in my upper stomach. Sunday was a little bit better but after Monday my stomach has been feeling off. My stomach is bloated, I feel cold and hot, my neck hurts, my shoulders hurt, my head has been hurting for three days straight now. I know this all might be just anxiety because I can go from feeling nauseous to feeling normal. I just need to distract myself and try to chill and I feel better but sometimes it is so hard because I am constantly thinking that I will start vomiting blood and I get hospitalized or something. This damn fear of cancer has made me cry a lot at night when I am alone, I don't wanna die this young, I have been depressed and suffered from anxiety all my teenage years and haven't even achieved anything yet. Lost all my friends too because of health anxiety.
I hope I get some answers and thoughts to this, I see that this sub has a rule about "is this cancer" questions but I hope this wont get removed because I have a doctors appointment on 13th of September and I will ask him about all of this. I wish you all the best and sorry if I am just another hypochondria patient on this sub where you people have real issues but I am scared.</t>
        </is>
      </c>
      <c r="D4544" t="n">
        <v>1</v>
      </c>
      <c r="E4544" t="n">
        <v>2</v>
      </c>
      <c r="F4544">
        <f>HYPERLINK("https://www.reddit.com/r/cancer/comments/cznwnb/afraid_of_stomach_cancer/")</f>
        <v/>
      </c>
      <c r="G4544" t="inlineStr">
        <is>
          <t>2019-09-04 10:23:41</t>
        </is>
      </c>
      <c r="H4544" t="inlineStr"/>
    </row>
    <row r="4545">
      <c r="A4545" t="inlineStr">
        <is>
          <t>czo5xe</t>
        </is>
      </c>
      <c r="B4545" t="inlineStr">
        <is>
          <t>Diagnosed with stage 2 Ewing sarcoma</t>
        </is>
      </c>
      <c r="C4545" t="inlineStr">
        <is>
          <t>So, I was diagnosed with stage 2 Ewing sarcoma of my shoulder blade today. I am 14 and I don’t really know much about this cancer thing but all I know is that I’m scared of losing my hair. Can you guys fill me in on what has to come because all I know is chemo.</t>
        </is>
      </c>
      <c r="D4545" t="n">
        <v>3</v>
      </c>
      <c r="E4545" t="n">
        <v>5</v>
      </c>
      <c r="F4545">
        <f>HYPERLINK("https://www.reddit.com/r/cancer/comments/czo5xe/diagnosed_with_stage_2_ewing_sarcoma/")</f>
        <v/>
      </c>
      <c r="G4545" t="inlineStr">
        <is>
          <t>2019-09-04 10:42:59</t>
        </is>
      </c>
      <c r="H4545" t="inlineStr"/>
    </row>
    <row r="4546">
      <c r="A4546" t="inlineStr">
        <is>
          <t>czp06v</t>
        </is>
      </c>
      <c r="B4546" t="inlineStr">
        <is>
          <t>NSFW* How long does chemo affect your erections?</t>
        </is>
      </c>
      <c r="C4546" t="inlineStr">
        <is>
          <t>Hi, I’m a 17 yo male undergoing chemotherapy for high risk leukemia. I’m in the delayed intensification stage of treatment, close to maintenance. The treatment is going well, but I can’t get an erection and all my sex drive is gone. Any other men experience the same? How long did it last for you? Thanks</t>
        </is>
      </c>
      <c r="D4546" t="n">
        <v>1</v>
      </c>
      <c r="E4546" t="n">
        <v>0</v>
      </c>
      <c r="F4546">
        <f>HYPERLINK("https://www.reddit.com/r/cancer/comments/czp06v/nsfw_how_long_does_chemo_affect_your_erections/")</f>
        <v/>
      </c>
      <c r="G4546" t="inlineStr">
        <is>
          <t>2019-09-04 11:46:23</t>
        </is>
      </c>
      <c r="H4546" t="inlineStr"/>
    </row>
    <row r="4547">
      <c r="A4547" t="inlineStr">
        <is>
          <t>czp4ms</t>
        </is>
      </c>
      <c r="B4547" t="inlineStr">
        <is>
          <t>Please explain the Picture, Are these intestines or something more?</t>
        </is>
      </c>
      <c r="C4547" t="inlineStr">
        <is>
          <t>My uncle who has recently passed away was not feeling well 3 years prior to his operation that took place yesterday.
He complained of stomach pains and had low Iron in his blood.
As such he was given doses of iron and was constantly on a health kick with liquid diet and health juices. He did not even eat much and just a little bit of solid food would make him sick.
After the operation the doctors sent my cousin the above picture.
Please help explain what exactly this is as it looks like intestines but is it advanced cancer?
Your help and response is much appreciated.</t>
        </is>
      </c>
      <c r="D4547" t="n">
        <v>1</v>
      </c>
      <c r="E4547" t="n">
        <v>1</v>
      </c>
      <c r="F4547">
        <f>HYPERLINK("https://www.reddit.com/r/cancer/comments/czp4ms/please_explain_the_picture_are_these_intestines/")</f>
        <v/>
      </c>
      <c r="G4547" t="inlineStr">
        <is>
          <t>2019-09-04 11:55:15</t>
        </is>
      </c>
      <c r="H4547" t="inlineStr"/>
    </row>
    <row r="4548">
      <c r="A4548" t="inlineStr">
        <is>
          <t>czpnt6</t>
        </is>
      </c>
      <c r="B4548" t="inlineStr">
        <is>
          <t>Resources?</t>
        </is>
      </c>
      <c r="C4548" t="inlineStr">
        <is>
          <t>Apologies if this gets posted alot, I'm a bit flustered. I'm a caretaker and my mother's stage 3 colon cancer was in remission. Well it's back and it's now stage 4 metastatic colon cancer. The cancer center and hospital are saying we need to pay massive amounts of money for things like scans and treatments, and I'm not sure what my options are here in the southern US (Oklahoma). She was dropped by Aetna and Medicaid the last time we went through the cancer ordeal, and they still haven't picked her back up. Any ideas would help please.</t>
        </is>
      </c>
      <c r="D4548" t="n">
        <v>7</v>
      </c>
      <c r="E4548" t="n">
        <v>4</v>
      </c>
      <c r="F4548">
        <f>HYPERLINK("https://www.reddit.com/r/cancer/comments/czpnt6/resources/")</f>
        <v/>
      </c>
      <c r="G4548" t="inlineStr">
        <is>
          <t>2019-09-04 12:36:00</t>
        </is>
      </c>
      <c r="H4548" t="inlineStr"/>
    </row>
    <row r="4549">
      <c r="A4549" t="inlineStr">
        <is>
          <t>czpny2</t>
        </is>
      </c>
      <c r="B4549" t="inlineStr">
        <is>
          <t>Do I have leukemia?</t>
        </is>
      </c>
      <c r="C4549" t="inlineStr">
        <is>
          <t>I am 13 yrs old,5.5 inches and weigh 125 pounds, nothing bad so far. But I have 2 bruises I got for no reason.And every morning I wake up with a runny nose and sometimes itchy eyes and stuff and I think it might be a fever but it’s SO often! I’m very scared please help me and be honest I took a blood test and the results have not showed up yet..</t>
        </is>
      </c>
      <c r="D4549" t="n">
        <v>0</v>
      </c>
      <c r="E4549" t="n">
        <v>8</v>
      </c>
      <c r="F4549">
        <f>HYPERLINK("https://www.reddit.com/r/cancer/comments/czpny2/do_i_have_leukemia/")</f>
        <v/>
      </c>
      <c r="G4549" t="inlineStr">
        <is>
          <t>2019-09-04 12:36:18</t>
        </is>
      </c>
      <c r="H4549" t="inlineStr"/>
    </row>
    <row r="4550">
      <c r="A4550" t="inlineStr">
        <is>
          <t>czqcrv</t>
        </is>
      </c>
      <c r="B4550" t="inlineStr">
        <is>
          <t>Kids go through this :...(</t>
        </is>
      </c>
      <c r="C4550" t="inlineStr">
        <is>
          <t>August 21st I had a planned partial nephrectomy turned complicated and ended up as a 7 hour radical nephrectomy.  The pain I've suffered has gotten a tiny bit better each day, but that first week was very difficult.  The trapped air was unbearable.  I felt like absolute shit on toast on fire.  
To motivate my soft ass I kept saying to myself that little kids go through this.  If they can do it I can.  I'm doing much better now.  Still not 100%, but getting there.  
Now I'm stuck with this thought. Kids go through this.  It breaks my heart.  I want to help make a little kids day in the hospital just a little bit better.  I've worked with children since 1995.  How can I help?</t>
        </is>
      </c>
      <c r="D4550" t="n">
        <v>16</v>
      </c>
      <c r="E4550" t="n">
        <v>7</v>
      </c>
      <c r="F4550">
        <f>HYPERLINK("https://www.reddit.com/r/cancer/comments/czqcrv/kids_go_through_this/")</f>
        <v/>
      </c>
      <c r="G4550" t="inlineStr">
        <is>
          <t>2019-09-04 13:33:42</t>
        </is>
      </c>
      <c r="H4550" t="inlineStr"/>
    </row>
    <row r="4551">
      <c r="A4551" t="inlineStr">
        <is>
          <t>czqpzt</t>
        </is>
      </c>
      <c r="B4551" t="inlineStr">
        <is>
          <t>Parents don't accept my decision to stay in a relationship with someone who may have cancer again</t>
        </is>
      </c>
      <c r="C4551" t="inlineStr">
        <is>
          <t>Title says it all really. 
I've been seeing him for a couple of months now. The cancer may be back, will know in a couple of weeks. I told my parents about our relationship recently. They did not take it well and wanted me to end the relationship. I'm not planning to end it. It's just disappointing not having my parents' support and have them not trust my judgement. 
I understand it will be hard. Idk what the future will hold but right now, I want to be with him. 
Any advice or suggestions or support would be great. Thanks.</t>
        </is>
      </c>
      <c r="D4551" t="n">
        <v>47</v>
      </c>
      <c r="E4551" t="n">
        <v>26</v>
      </c>
      <c r="F4551">
        <f>HYPERLINK("https://www.reddit.com/r/cancer/comments/czqpzt/parents_dont_accept_my_decision_to_stay_in_a/")</f>
        <v/>
      </c>
      <c r="G4551" t="inlineStr">
        <is>
          <t>2019-09-04 14:00:31</t>
        </is>
      </c>
      <c r="H4551" t="inlineStr"/>
    </row>
    <row r="4552">
      <c r="A4552" t="inlineStr">
        <is>
          <t>czrgog</t>
        </is>
      </c>
      <c r="B4552" t="inlineStr">
        <is>
          <t>Ewing’s Sarcoma? If you has it tell me about it.</t>
        </is>
      </c>
      <c r="C4552" t="inlineStr">
        <is>
          <t>I would love to hear your story if you have Ewing’s or any other type of Sarcoma. 
Please tell me if it was localized or if it was metastatic and your course of treatment and how you been feeling?
I am starting treatment soon and would love to hear from some fellow Ewingers. 
Thanks,
A</t>
        </is>
      </c>
      <c r="D4552" t="n">
        <v>4</v>
      </c>
      <c r="E4552" t="n">
        <v>13</v>
      </c>
      <c r="F4552">
        <f>HYPERLINK("https://www.reddit.com/r/cancer/comments/czrgog/ewings_sarcoma_if_you_has_it_tell_me_about_it/")</f>
        <v/>
      </c>
      <c r="G4552" t="inlineStr">
        <is>
          <t>2019-09-04 14:56:40</t>
        </is>
      </c>
      <c r="H4552" t="inlineStr"/>
    </row>
    <row r="4553">
      <c r="A4553" t="inlineStr">
        <is>
          <t>czro6w</t>
        </is>
      </c>
      <c r="B4553" t="inlineStr">
        <is>
          <t>Incision is opening up a little...</t>
        </is>
      </c>
      <c r="C4553" t="inlineStr">
        <is>
          <t>I have a number of incision.  One of them has opened up a tiny bit.  I cleaned it and put a bandaid over it.  It's very small section.  Call surgeon or wait until this Friday when I have an appointment?</t>
        </is>
      </c>
      <c r="D4553" t="n">
        <v>5</v>
      </c>
      <c r="E4553" t="n">
        <v>7</v>
      </c>
      <c r="F4553">
        <f>HYPERLINK("https://www.reddit.com/r/cancer/comments/czro6w/incision_is_opening_up_a_little/")</f>
        <v/>
      </c>
      <c r="G4553" t="inlineStr">
        <is>
          <t>2019-09-04 15:12:36</t>
        </is>
      </c>
      <c r="H4553" t="inlineStr"/>
    </row>
    <row r="4554">
      <c r="A4554" t="inlineStr">
        <is>
          <t>czszop</t>
        </is>
      </c>
      <c r="B4554" t="inlineStr">
        <is>
          <t>Pee is always dark yellow on chemo???</t>
        </is>
      </c>
      <c r="C4554" t="inlineStr">
        <is>
          <t>So this is random but I drink a ton of fluid everyday. Like tons. I always have and my doc recommended that I continue to keep drinking a lot through chemo. 
However my pee is usually clear or slightly yellow (pre cancer) but now my pee is literally ALWAYS yellow and sometimes dark yellow. I don’t understand this. Is this normal?</t>
        </is>
      </c>
      <c r="D4554" t="n">
        <v>2</v>
      </c>
      <c r="E4554" t="n">
        <v>5</v>
      </c>
      <c r="F4554">
        <f>HYPERLINK("https://www.reddit.com/r/cancer/comments/czszop/pee_is_always_dark_yellow_on_chemo/")</f>
        <v/>
      </c>
      <c r="G4554" t="inlineStr">
        <is>
          <t>2019-09-04 16:57:05</t>
        </is>
      </c>
      <c r="H4554" t="inlineStr"/>
    </row>
    <row r="4555">
      <c r="A4555" t="inlineStr">
        <is>
          <t>czt4ho</t>
        </is>
      </c>
      <c r="B4555" t="inlineStr">
        <is>
          <t>What Info Do You Get Prior To Chemo?</t>
        </is>
      </c>
      <c r="C4555" t="inlineStr">
        <is>
          <t>My husband just died suddenly of cancer. By the time they found out he had pancreatic cancer, it was too late to do much. A week before he died he was talking and making jokes and trying to eat more to build up his strength. We just finished radiation and suddenly he was in the ER and being flown to a nearby big city for their ICU. 
My stepMIL has had cancer treatment twice. My FIL described the giant folder of information that we got from our cancer center. Apparently she got NONE of that info. She had to find out all the problems by experiencing them, and figure out how to deal with them on her own. We have a new cancer center with really great doctors and nurses and techs. Everyone is super nice and they bend over backward to help you. 
The binder of information that we got was 2" thick. It talks about every side effect, what you can do to prevent it and/or stop it, and it has a ton of helpful hints and tips for caregivers too. I barely got to look through it. I want to know which situation is more normal - having a big book of helpful ideas and tips or not having one. How can we make it easier for patients and families to have this info going into chemo? 
I am not asking for anything but info. No donations, or gifts. I don't want to sell you anything. I just figure that if a small city (about 50,000 people) cancer center can do this, more cancer places should be doing it. I had the book at the big city hospital and the nurses there were shocked by it. Several of them had family members who had been through chemo and none of them had anything like this either. So I just want to know how common or uncommon it is to get a whole book of info before you go into chemo?</t>
        </is>
      </c>
      <c r="D4555" t="n">
        <v>5</v>
      </c>
      <c r="E4555" t="n">
        <v>13</v>
      </c>
      <c r="F4555">
        <f>HYPERLINK("https://www.reddit.com/r/cancer/comments/czt4ho/what_info_do_you_get_prior_to_chemo/")</f>
        <v/>
      </c>
      <c r="G4555" t="inlineStr">
        <is>
          <t>2019-09-04 17:08:48</t>
        </is>
      </c>
      <c r="H4555" t="inlineStr"/>
    </row>
    <row r="4556">
      <c r="A4556" t="inlineStr">
        <is>
          <t>czty12</t>
        </is>
      </c>
      <c r="B4556" t="inlineStr">
        <is>
          <t>I'm scared. What are the odds it's back? (sad rant-ish)</t>
        </is>
      </c>
      <c r="C4556" t="inlineStr">
        <is>
          <t>I had a brain tumor when I was 9, they got it out and I was told I had basically the same chance of getting cancer again as anyone else. About 6 months ago I started getting middle back pain at night that kept me up till 6am, but it would last 2-3 nights then go away for a month, month and a half. I ignored it cause I was raised with the fucking stupid notion that the emergency room is reserved for when you are actively dying. It happened for the fourth time and on the second night I was like this is too much and went to the hospital. I never connected the pain to the fatigue, the shortness of breath, the weight loss, anything. I have yet to get anything straightforward but I know in my heart what it is. I'm turning 19 this month. January will be the 10 year anniversary of me being cancer free. Life is a bitch like that. 
I'm not gonna act strong right now. I'm freaking out. I'm thinking about everything. I vaped a few times. Is that it? Of course not, but maybe. Energy drinks? Living by commercial landscaping? Who knows what they spray on that shit. I'm basically neighbors with a power plant, is that it? Or is god just smiting me for my heresy? Maybe rewarding me and took my suicidal pleas too seriously? I don't know. I refuse to think about what this could mean, and what difference going to the doctor earlier could've made. 
I just want a hug.</t>
        </is>
      </c>
      <c r="D4556" t="n">
        <v>1</v>
      </c>
      <c r="E4556" t="n">
        <v>0</v>
      </c>
      <c r="F4556">
        <f>HYPERLINK("https://www.reddit.com/r/cancer/comments/czty12/im_scared_what_are_the_odds_its_back_sad_rantish/")</f>
        <v/>
      </c>
      <c r="G4556" t="inlineStr">
        <is>
          <t>2019-09-04 18:18:04</t>
        </is>
      </c>
      <c r="H4556" t="inlineStr"/>
    </row>
    <row r="4557">
      <c r="A4557" t="inlineStr">
        <is>
          <t>cztzry</t>
        </is>
      </c>
      <c r="B4557" t="inlineStr">
        <is>
          <t>(Lack Of) Casual Clothing For Cancer Patients</t>
        </is>
      </c>
      <c r="C4557" t="inlineStr">
        <is>
          <t>Hey all,
My girlfriend has been battling cancer for some time now. VDC/IE Chemo + Radiation. 
There are many things that irritate her, but one is that there is a lack of casual clothing specifically for cancer patients undergoing chemotherapy.
I'm not talking about the easy access clothes with flaps and zippers, you can't wear those out in town.
I'm talking about clothes that actually are made to fit someone who's lost 20%+ of their body weight.
E.g. She has ordered literally 20+ hats online in the smallest size possible from various companies which claim to be for patients, and she may as well use them as a sleeping bag.
It's gotten to the point where I am highly considering starting a clothing line for cancer patients. I hate to see her have anxiety attacks when we're trying to go out because all of her clothes don't fit :(
Anyone else have this issue too?</t>
        </is>
      </c>
      <c r="D4557" t="n">
        <v>2</v>
      </c>
      <c r="E4557" t="n">
        <v>5</v>
      </c>
      <c r="F4557">
        <f>HYPERLINK("https://www.reddit.com/r/cancer/comments/cztzry/lack_of_casual_clothing_for_cancer_patients/")</f>
        <v/>
      </c>
      <c r="G4557" t="inlineStr">
        <is>
          <t>2019-09-04 18:22:10</t>
        </is>
      </c>
      <c r="H4557" t="inlineStr"/>
    </row>
    <row r="4558">
      <c r="A4558" t="inlineStr">
        <is>
          <t>czupog</t>
        </is>
      </c>
      <c r="B4558" t="inlineStr">
        <is>
          <t>+100 SCT Biopsy Results are in...</t>
        </is>
      </c>
      <c r="C4558" t="inlineStr">
        <is>
          <t>and I'm cleared.
When I first received the news I have to be honest I was a bit disappointed. I *knew* I didn't want to have cancer or even undergo further treatment. But being "cleared" meant I had to transition to reality. And while thats all I ever wanted since being diagnosed (to be normal again) I felt like I had to start all over (e.g. job hunting, finding my confidence). While hearing the news was great, I still didn't feel like *that* chapter of my life wasn't over, I couldn't hear the page turn completely. I cried a little and had bad thoughts creep into my head every now and then but I just kept telling myself to hold it out for however long it takes.
Well today I received a call from a company that hired me and let me go because of my diagnosis...offering me a higher and better position than previously. My household and I are celebrating tonight.
So tonight, for the first time since being diagnosed, I can fall asleep to the sound of the page turning. This chapter of my life, this nightmare of mine...is fucking over. 
To my cancer family who are still battling out there, I will continue fighting alongside you and in spirit. Keep your head up and spirits high. I love you guys and FUCK CANCER!</t>
        </is>
      </c>
      <c r="D4558" t="n">
        <v>2</v>
      </c>
      <c r="E4558" t="n">
        <v>3</v>
      </c>
      <c r="F4558">
        <f>HYPERLINK("https://www.reddit.com/r/cancer/comments/czupog/100_sct_biopsy_results_are_in/")</f>
        <v/>
      </c>
      <c r="G4558" t="inlineStr">
        <is>
          <t>2019-09-04 19:25:11</t>
        </is>
      </c>
      <c r="H4558" t="inlineStr"/>
    </row>
    <row r="4559">
      <c r="A4559" t="inlineStr">
        <is>
          <t>czux8p</t>
        </is>
      </c>
      <c r="B4559" t="inlineStr">
        <is>
          <t>Sarcoma?</t>
        </is>
      </c>
      <c r="C4559" t="inlineStr">
        <is>
          <t>Are there other osteosarcoma (sarcoma) patients on here? I'd love to talk to you! 🌻💛</t>
        </is>
      </c>
      <c r="D4559" t="n">
        <v>5</v>
      </c>
      <c r="E4559" t="n">
        <v>4</v>
      </c>
      <c r="F4559">
        <f>HYPERLINK("https://www.reddit.com/r/cancer/comments/czux8p/sarcoma/")</f>
        <v/>
      </c>
      <c r="G4559" t="inlineStr">
        <is>
          <t>2019-09-04 19:44:04</t>
        </is>
      </c>
      <c r="H4559" t="inlineStr"/>
    </row>
    <row r="4560">
      <c r="A4560" t="inlineStr">
        <is>
          <t>czv55h</t>
        </is>
      </c>
      <c r="B4560" t="inlineStr">
        <is>
          <t>Any experience on taking estrogen therapy post-cancer?</t>
        </is>
      </c>
      <c r="C4560" t="inlineStr">
        <is>
          <t>Hi,
I am post-menopausal due to having gone through cervical cancer last year, and the menopause has affected my sex life. For hormone therapy, my doctor prescribed me Premarin vaginal cream. 
However when I read the risks involved in the leaflet and website, it warns against using the cream for those who have had cancer. 
I did some research online about potential risks from other studies and the outlook seems positive, as very little estrogen will be circulated in my bloodstream. 
But I am still worried since these studies don’t look at women who have had cancer before. However my doctor insists the risk is low and I can use it short term with breaks in between. 
Does anyone have any experience with taking vaginal Premarin?</t>
        </is>
      </c>
      <c r="D4560" t="n">
        <v>3</v>
      </c>
      <c r="E4560" t="n">
        <v>6</v>
      </c>
      <c r="F4560">
        <f>HYPERLINK("https://www.reddit.com/r/cancer/comments/czv55h/any_experience_on_taking_estrogen_therapy/")</f>
        <v/>
      </c>
      <c r="G4560" t="inlineStr">
        <is>
          <t>2019-09-04 20:03:57</t>
        </is>
      </c>
      <c r="H4560" t="inlineStr"/>
    </row>
    <row r="4561">
      <c r="A4561" t="inlineStr">
        <is>
          <t>czvhn4</t>
        </is>
      </c>
      <c r="B4561" t="inlineStr">
        <is>
          <t>Update on my dad (great news)</t>
        </is>
      </c>
      <c r="C4561" t="inlineStr">
        <is>
          <t>Things have been crazy to say the least, huge emotional rollercoaster but my dad is home. Been mentally straining seeing him go from the stubborn strong man to the frail person he is now but he'll get back there eventually. His initially surgery was a success and his bladder and lymph nodes were removed and a neo bladder was put in place of his old one. Unfortunately a complication caused leakage in his colon, destroying his neo bladder and causing a nasty infection. Basically went from "your dad is fine go home and rest" to being told a few days later that he is going into emergency surgery that he most likely wouldn't live through it. I missed him going into the surgery so basically I was under the impression I would likely not see my dad alive again. Was a long 7 hours but he made it and although he ended up with a urostomy bag he is alive and doing better and just recently started walking without his walker. Thanks to everyone for the support and comments.
Also we recently got news that everything removed from my dad was completely cancer free and that the chemo did in fact kill the cancer.</t>
        </is>
      </c>
      <c r="D4561" t="n">
        <v>14</v>
      </c>
      <c r="E4561" t="n">
        <v>1</v>
      </c>
      <c r="F4561">
        <f>HYPERLINK("https://www.reddit.com/r/cancer/comments/czvhn4/update_on_my_dad_great_news/")</f>
        <v/>
      </c>
      <c r="G4561" t="inlineStr">
        <is>
          <t>2019-09-04 20:37:26</t>
        </is>
      </c>
      <c r="H4561" t="inlineStr"/>
    </row>
    <row r="4562">
      <c r="A4562" t="inlineStr">
        <is>
          <t>czvrcb</t>
        </is>
      </c>
      <c r="B4562" t="inlineStr">
        <is>
          <t>My RN stepdad cant afford treatment</t>
        </is>
      </c>
      <c r="C4562" t="inlineStr">
        <is>
          <t>I don't know what to do right now. My step dad, who has raised me since I was 3, has been diagnosed with chronic lymphatic leukemia. He's an army veteran who was a medic in Bosnia and now is a registered nurse. He got his degree in 2016 after working his whole life (multiple jobs ever since the recession) and just now he got it all together and things were finally getting better. But now this and his insurance doesn't cover the treatment. He's resigned himself to just not getting the treatment he needs and living as long as he can but me (24f) and my sister (18f and his bio daughter) are researching everything for possible solutions. I know Canada needs nurses and he could immigrate there and get healthcare but would they let him if they know he has cancer? He's ready written to the army multiple times and it's looking like we will get no help from them. I just want to know if anyone knows what we can do. What options do we have?</t>
        </is>
      </c>
      <c r="D4562" t="n">
        <v>9</v>
      </c>
      <c r="E4562" t="n">
        <v>12</v>
      </c>
      <c r="F4562">
        <f>HYPERLINK("https://www.reddit.com/r/cancer/comments/czvrcb/my_rn_stepdad_cant_afford_treatment/")</f>
        <v/>
      </c>
      <c r="G4562" t="inlineStr">
        <is>
          <t>2019-09-04 21:04:16</t>
        </is>
      </c>
      <c r="H4562" t="inlineStr"/>
    </row>
    <row r="4563">
      <c r="A4563" t="inlineStr">
        <is>
          <t>czvx8j</t>
        </is>
      </c>
      <c r="B4563" t="inlineStr">
        <is>
          <t>A molecular approach to lung cancer</t>
        </is>
      </c>
      <c r="C4563" t="inlineStr">
        <is>
          <t xml:space="preserve"> Hello guys, I am a student from Mexico and I was wondering if you guys might wanna help me out on this research paper that I recently made on lung cancer. Your comments, critics and opinions are welcome! 
 https://leonardodelaparra.blogspot.com/2019/09/the-basics-of-molecular-biology-and-its.html</t>
        </is>
      </c>
      <c r="D4563" t="n">
        <v>1</v>
      </c>
      <c r="E4563" t="n">
        <v>0</v>
      </c>
      <c r="F4563">
        <f>HYPERLINK("https://www.reddit.com/r/cancer/comments/czvx8j/a_molecular_approach_to_lung_cancer/")</f>
        <v/>
      </c>
      <c r="G4563" t="inlineStr">
        <is>
          <t>2019-09-04 21:21:02</t>
        </is>
      </c>
      <c r="H4563" t="inlineStr"/>
    </row>
    <row r="4564">
      <c r="A4564" t="inlineStr">
        <is>
          <t>czwbwe</t>
        </is>
      </c>
      <c r="B4564" t="inlineStr">
        <is>
          <t>Want to help a Stanford researcher improve the wellbeing of patients with cancer? Help us with our online focus group!</t>
        </is>
      </c>
      <c r="C4564" t="inlineStr">
        <is>
          <t>Hi r/Cancer! I'm a PhD student at Stanford and I study how to help patients manage the challenges associated with major illnesses like cancer. I've been working on a toolkit to help patients with cancer who are being treated with curative intent. The toolkit contains short films &amp;amp; activities designed to help patients get themselves into a mindset that helps them thrive during a difficult and uncertain time.  
But we need your help! We would love to get feedback on our toolkit before we share it with patients.
We are conducting an 'online focus group' to get feedback on the toolkit. Basically, we are inviting people who are undergoing cancer treatment to go through it on their own time and tell us their thoughts - what they liked and what they would change. 
**We're giving people $50 Amazon Gift cards** for helping, but the biggest reward to being able to share your insight, help us improve our toolkit, and powerfully impact the wellbeing of patients like yourself. And that is pretty cool.
Interested? Fill out this short survey (it takes 1 minute, I promise). If everything looks good, I'll send you an email with more details in a day or two with more background on this project and links to access the toolkit. 
[Stanford Cancer Mindset Toolkit - Online Forum](https://stanforduniversity.qualtrics.com/jfe/form/SV_8nNk9F5q4QrX1Hf)</t>
        </is>
      </c>
      <c r="D4564" t="n">
        <v>2</v>
      </c>
      <c r="E4564" t="n">
        <v>0</v>
      </c>
      <c r="F4564">
        <f>HYPERLINK("https://www.reddit.com/r/cancer/comments/czwbwe/want_to_help_a_stanford_researcher_improve_the/")</f>
        <v/>
      </c>
      <c r="G4564" t="inlineStr">
        <is>
          <t>2019-09-04 22:04:10</t>
        </is>
      </c>
      <c r="H4564" t="inlineStr"/>
    </row>
    <row r="4565">
      <c r="A4565" t="inlineStr">
        <is>
          <t>czwkrb</t>
        </is>
      </c>
      <c r="B4565" t="inlineStr">
        <is>
          <t>Dr. Has given me the choice to continue to fight or get comfortable and begin to make arrangements for the end. I’m 35 and dying was never an option until yesterday.</t>
        </is>
      </c>
      <c r="C4565" t="inlineStr">
        <is>
          <t>The team of doctors I have did what I feared the most since this all started. They walked in the room and basically said nothing we’ve done up to this point has worked and there is a strong possibility it will never work. Chemo along with the other options of treatment may very well make the end for me come quicker then anticipated or actually kill me itself. The choice now I have in front of me is to stop and get ready for the end or fight on with the chance it’ll all be for nothing. The cancer could withstand all the treatment we throw at it and then I die anyway just now have wasted precarious time I could’ve been with my family and friends trying to make the best of these last few weeks and months. It’s been under a year since I was diagnosed. I thought this would be something that came and went. I’d fight it and I’d win because that’s the way it’s supposed to go. I never ever thought it’d become fatal. I asked my doc why, and bad luck is the only answer I’ve got. I’m thirty five years old married without any kids. I’m scared I’ll never get to be a dad, I’m scared to die, I’m terrified of it. The thought behind this post escapes me while I write it but thank you for reading it.</t>
        </is>
      </c>
      <c r="D4565" t="n">
        <v>170</v>
      </c>
      <c r="E4565" t="n">
        <v>86</v>
      </c>
      <c r="F4565">
        <f>HYPERLINK("https://www.reddit.com/r/cancer/comments/czwkrb/dr_has_given_me_the_choice_to_continue_to_fight/")</f>
        <v/>
      </c>
      <c r="G4565" t="inlineStr">
        <is>
          <t>2019-09-04 22:31:02</t>
        </is>
      </c>
      <c r="H4565" t="inlineStr"/>
    </row>
    <row r="4566">
      <c r="A4566" t="inlineStr">
        <is>
          <t>czxz6x</t>
        </is>
      </c>
      <c r="B4566" t="inlineStr">
        <is>
          <t>Grandmother might have cancer</t>
        </is>
      </c>
      <c r="C4566" t="inlineStr">
        <is>
          <t>Got the news yesterday. She has a lump on her breast and getting her biopsy today, but the oncologists say they are almost certain it's breast cancer. My mum is gone mentally today, she seems to not have any hopes and I don't know what to do. I'm living in another country and have no family here, just my girlfriend who has been extremely supportive.
I guess what i'm trying to ask is for any advice on how to handle this, I suffer from depression (on treatment rn) but I want to be there for my family and especially my mum even if I live in another continent. Any advice on how to support them and my grandmother through this would be greatly appreciated. Thank you, and all the best to everyone.</t>
        </is>
      </c>
      <c r="D4566" t="n">
        <v>2</v>
      </c>
      <c r="E4566" t="n">
        <v>3</v>
      </c>
      <c r="F4566">
        <f>HYPERLINK("https://www.reddit.com/r/cancer/comments/czxz6x/grandmother_might_have_cancer/")</f>
        <v/>
      </c>
      <c r="G4566" t="inlineStr">
        <is>
          <t>2019-09-05 01:24:11</t>
        </is>
      </c>
      <c r="H4566" t="inlineStr"/>
    </row>
    <row r="4567">
      <c r="A4567" t="inlineStr">
        <is>
          <t>d005r3</t>
        </is>
      </c>
      <c r="B4567" t="inlineStr">
        <is>
          <t>Selecting a Clinical Trial</t>
        </is>
      </c>
      <c r="C4567" t="inlineStr">
        <is>
          <t>Hey, all. Longtime lurker, rare commenter, first time poster.
The TLDR is that after a lucky two-year absence, I was rediagnosed with metastatic pancreatic cancer at Stage IV. While the prognosis is statistically grim, I'm determined to fight my way through it. I've got a selection of quite a few clinical trials available to me, but I'm having trouble deciding which overall therapy type I feel is going to give me best results.
I've got options in "Targeted Therapy" based on the genetic profile of the tumor, or I've got a few Immunotherapy-based trials I could go with. Those of you who have knowledge or experience, can you provide any guidance as to which kind of broader approach to clinical trials (or other considerations thereof) gives me the best odds for continued bullet-dodging?</t>
        </is>
      </c>
      <c r="D4567" t="n">
        <v>4</v>
      </c>
      <c r="E4567" t="n">
        <v>4</v>
      </c>
      <c r="F4567">
        <f>HYPERLINK("https://www.reddit.com/r/cancer/comments/d005r3/selecting_a_clinical_trial/")</f>
        <v/>
      </c>
      <c r="G4567" t="inlineStr">
        <is>
          <t>2019-09-05 05:29:19</t>
        </is>
      </c>
      <c r="H4567" t="inlineStr"/>
    </row>
    <row r="4568">
      <c r="A4568" t="inlineStr">
        <is>
          <t>d00c6r</t>
        </is>
      </c>
      <c r="B4568" t="inlineStr">
        <is>
          <t>My Leukaemia is back</t>
        </is>
      </c>
      <c r="C4568" t="inlineStr">
        <is>
          <t>This is my first post on Reddit.
My Leukaemia is back 1 year and 4 months after a bone marrow transplant... I'm scared, I'm trying to think positively but it's too hard.
Is it possible for me to get a cure?</t>
        </is>
      </c>
      <c r="D4568" t="n">
        <v>9</v>
      </c>
      <c r="E4568" t="n">
        <v>7</v>
      </c>
      <c r="F4568">
        <f>HYPERLINK("https://www.reddit.com/r/cancer/comments/d00c6r/my_leukaemia_is_back/")</f>
        <v/>
      </c>
      <c r="G4568" t="inlineStr">
        <is>
          <t>2019-09-05 05:45:46</t>
        </is>
      </c>
      <c r="H4568" t="inlineStr"/>
    </row>
    <row r="4569">
      <c r="A4569" t="inlineStr">
        <is>
          <t>d01iuc</t>
        </is>
      </c>
      <c r="B4569" t="inlineStr">
        <is>
          <t>Why do people say "you beat cancer"?</t>
        </is>
      </c>
      <c r="C4569" t="inlineStr">
        <is>
          <t>I found out I had non Hodgkins lymphoma last year, and fortunately the doctors were able to treat it completely. I'm incredibly grateful to them and to the nurses and other medical staff who helped me get well again. 
When the fact that I had cancer comes up in conversations, people will sometimes say something like "congratulations on beating cancer", which confuses me. Like, *I* didn't beat cancer, a team of medical professionals did. Why should I get the credit, you know?</t>
        </is>
      </c>
      <c r="D4569" t="n">
        <v>12</v>
      </c>
      <c r="E4569" t="n">
        <v>33</v>
      </c>
      <c r="F4569">
        <f>HYPERLINK("https://www.reddit.com/r/cancer/comments/d01iuc/why_do_people_say_you_beat_cancer/")</f>
        <v/>
      </c>
      <c r="G4569" t="inlineStr">
        <is>
          <t>2019-09-05 07:26:50</t>
        </is>
      </c>
      <c r="H4569" t="inlineStr"/>
    </row>
    <row r="4570">
      <c r="A4570" t="inlineStr">
        <is>
          <t>d01q4d</t>
        </is>
      </c>
      <c r="B4570" t="inlineStr">
        <is>
          <t>Just found out my mom has cancer and we are still waiting for docs to give us final results. Have some questions</t>
        </is>
      </c>
      <c r="C4570" t="inlineStr">
        <is>
          <t>Here is what we know so far. My mom ( 63) has had horrible hip pain for the last 4 months and her local doc just kept throwing pain meds at here telling her it was probably muscle pain.
Last week they finally ordered a ct scan and when the results came back they called and said she may have cancer and told us to go to the emergency room. 
After staying in the hospital for 3 days and getting more tests. They told her she has a tumor the size of a softball in her lung. One in her hip and three different ones on her spine and it’s in her lymph nodes and in her sacrum and a duct between pancreas and liver. And
She has lost all control over her bladder functions.
They sent her home to wait for 4 days for the biopsy results but did not say anything about odds or treatments. They just threw more pain pills at her.
I’m guessing the prognosis is not going to be good. 
Does anyone have any advice for us while we wait?</t>
        </is>
      </c>
      <c r="D4570" t="n">
        <v>1</v>
      </c>
      <c r="E4570" t="n">
        <v>6</v>
      </c>
      <c r="F4570">
        <f>HYPERLINK("https://www.reddit.com/r/cancer/comments/d01q4d/just_found_out_my_mom_has_cancer_and_we_are_still/")</f>
        <v/>
      </c>
      <c r="G4570" t="inlineStr">
        <is>
          <t>2019-09-05 07:43:30</t>
        </is>
      </c>
      <c r="H4570" t="inlineStr"/>
    </row>
    <row r="4571">
      <c r="A4571" t="inlineStr">
        <is>
          <t>d02h2k</t>
        </is>
      </c>
      <c r="B4571" t="inlineStr">
        <is>
          <t>Will all my hair come back?</t>
        </is>
      </c>
      <c r="C4571" t="inlineStr">
        <is>
          <t>I am 45 yr old female who finished chemo for breast cancer end of July. I have a lot of hair coming in on back of my head but just stubble on top. I look like I have male pattern baldness. Being bald was more attractive than this. I am tempted to just shave my head again. Does hair growth eventually even out or am I doomed to a life of hats?</t>
        </is>
      </c>
      <c r="D4571" t="n">
        <v>2</v>
      </c>
      <c r="E4571" t="n">
        <v>16</v>
      </c>
      <c r="F4571">
        <f>HYPERLINK("https://www.reddit.com/r/cancer/comments/d02h2k/will_all_my_hair_come_back/")</f>
        <v/>
      </c>
      <c r="G4571" t="inlineStr">
        <is>
          <t>2019-09-05 08:42:08</t>
        </is>
      </c>
      <c r="H4571" t="inlineStr"/>
    </row>
    <row r="4572">
      <c r="A4572" t="inlineStr">
        <is>
          <t>d03blb</t>
        </is>
      </c>
      <c r="B4572" t="inlineStr">
        <is>
          <t>From Stage IV to remission to recurrence and now palliative care. Can anyone share their stories? Currently struggling.</t>
        </is>
      </c>
      <c r="C4572" t="inlineStr">
        <is>
          <t>I posted in this sub when my mom was first diagnosed. To when she was in remission and now she’s had a recurrence and we’ve got 3 opinions basically saying she’s in palliative care at this point.
My mental state is incredibly negative and I have a lot of anger and frustration. The open ended prognosis is worse I feel like.  Basically the collective thought process is 6 months to a year if things respond badly. Or “years” if things respond well to treatment.
I went from over the moon to down in the dumps.
Anyone care to share stories? Even if the outcomes aren’t great I feel like I just need some help. My wife has been amazing but I feel awful for her as she’s 9 months pregnant due at any moment and has been doing her best to be there for me.
Thank you to everyone in this sub for your comments through the ups and downs.</t>
        </is>
      </c>
      <c r="D4572" t="n">
        <v>10</v>
      </c>
      <c r="E4572" t="n">
        <v>15</v>
      </c>
      <c r="F4572">
        <f>HYPERLINK("https://www.reddit.com/r/cancer/comments/d03blb/from_stage_iv_to_remission_to_recurrence_and_now/")</f>
        <v/>
      </c>
      <c r="G4572" t="inlineStr">
        <is>
          <t>2019-09-05 09:45:30</t>
        </is>
      </c>
      <c r="H4572" t="inlineStr"/>
    </row>
    <row r="4573">
      <c r="A4573" t="inlineStr">
        <is>
          <t>d05sdk</t>
        </is>
      </c>
      <c r="B4573" t="inlineStr">
        <is>
          <t>Fuck cancer</t>
        </is>
      </c>
      <c r="C4573" t="inlineStr">
        <is>
          <t>My mother has been diagnosed with cancer in multiple organs today. I’m heartbroken. I just want to say fuck this disease.</t>
        </is>
      </c>
      <c r="D4573" t="n">
        <v>62</v>
      </c>
      <c r="E4573" t="n">
        <v>29</v>
      </c>
      <c r="F4573">
        <f>HYPERLINK("https://www.reddit.com/r/cancer/comments/d05sdk/fuck_cancer/")</f>
        <v/>
      </c>
      <c r="G4573" t="inlineStr">
        <is>
          <t>2019-09-05 12:48:18</t>
        </is>
      </c>
      <c r="H4573" t="inlineStr"/>
    </row>
    <row r="4574">
      <c r="A4574" t="inlineStr">
        <is>
          <t>d05t2h</t>
        </is>
      </c>
      <c r="B4574" t="inlineStr">
        <is>
          <t>Words of comfort vs. supportive actions</t>
        </is>
      </c>
      <c r="C4574" t="inlineStr">
        <is>
          <t>What an individual finds helpful when dealing with the emotional strain of a dying loved one tends to be specific to the person. But are there any general rules for providing comfort? 
What do you say to someone who has to watch their parent die? Are there specific actions that help ease the heartache?
To people who have lost a family member/loved one to cancer, what do you wish someone said to you or did for you?</t>
        </is>
      </c>
      <c r="D4574" t="n">
        <v>1</v>
      </c>
      <c r="E4574" t="n">
        <v>4</v>
      </c>
      <c r="F4574">
        <f>HYPERLINK("https://www.reddit.com/r/cancer/comments/d05t2h/words_of_comfort_vs_supportive_actions/")</f>
        <v/>
      </c>
      <c r="G4574" t="inlineStr">
        <is>
          <t>2019-09-05 12:49:41</t>
        </is>
      </c>
      <c r="H4574" t="inlineStr"/>
    </row>
    <row r="4575">
      <c r="A4575" t="inlineStr">
        <is>
          <t>d06kod</t>
        </is>
      </c>
      <c r="B4575" t="inlineStr">
        <is>
          <t>What cancers are the most untreatable, even if caught early?</t>
        </is>
      </c>
      <c r="C4575" t="inlineStr">
        <is>
          <t>I’m not worried about having cancer or getting cancer or whatever, I’m just curious about what the most untreatable cancers are. They’d be different than the most deadly, because some cancers are deadly due to lack of symptoms, thus not being caught until it’s often too late.
Are there any cancers which, even if caught in the early stages, can be hard to treat?</t>
        </is>
      </c>
      <c r="D4575" t="n">
        <v>2</v>
      </c>
      <c r="E4575" t="n">
        <v>3</v>
      </c>
      <c r="F4575">
        <f>HYPERLINK("https://www.reddit.com/r/cancer/comments/d06kod/what_cancers_are_the_most_untreatable_even_if/")</f>
        <v/>
      </c>
      <c r="G4575" t="inlineStr">
        <is>
          <t>2019-09-05 13:46:46</t>
        </is>
      </c>
      <c r="H4575" t="inlineStr"/>
    </row>
    <row r="4576">
      <c r="A4576" t="inlineStr">
        <is>
          <t>d07q6t</t>
        </is>
      </c>
      <c r="B4576" t="inlineStr">
        <is>
          <t>My father is dying of cancer and he hates me.</t>
        </is>
      </c>
      <c r="C4576" t="inlineStr">
        <is>
          <t>He was diagnosed 2.5 years ago.
He refused going to the Mayo Clinic or any other cancer center for treatment/surgery when he still looked and felt great because he doesn't believe in doctors.
He could of gotten his bladder removed and could of lived a long full life.
Now after 2.5 years diagnosed with bladder cancer he looks like bones and minimal muscle.
He has severe cancer pain in his leg and abdomin.
He is all about natural cures.
And he hates me because I didnt let him go to some $4,000 "religious miracle healing" place.
He was never religious in his life.
He said he just hates me and doesn't want to look at me because of that.
I just feel horrible.</t>
        </is>
      </c>
      <c r="D4576" t="n">
        <v>24</v>
      </c>
      <c r="E4576" t="n">
        <v>15</v>
      </c>
      <c r="F4576">
        <f>HYPERLINK("https://www.reddit.com/r/cancer/comments/d07q6t/my_father_is_dying_of_cancer_and_he_hates_me/")</f>
        <v/>
      </c>
      <c r="G4576" t="inlineStr">
        <is>
          <t>2019-09-05 15:14:39</t>
        </is>
      </c>
      <c r="H4576" t="inlineStr"/>
    </row>
    <row r="4577">
      <c r="A4577" t="inlineStr">
        <is>
          <t>d0886f</t>
        </is>
      </c>
      <c r="B4577" t="inlineStr">
        <is>
          <t>Worries in remission</t>
        </is>
      </c>
      <c r="C4577" t="inlineStr">
        <is>
          <t>I'm in remission nearly four years from leukemia. I know I shouldn't but everytime I get sick, or feel tired I automatically look up all the symptoms of leukemia and compare to whatever I'm feeling. Is this a 'normal' worry?</t>
        </is>
      </c>
      <c r="D4577" t="n">
        <v>1</v>
      </c>
      <c r="E4577" t="n">
        <v>0</v>
      </c>
      <c r="F4577">
        <f>HYPERLINK("https://www.reddit.com/r/cancer/comments/d0886f/worries_in_remission/")</f>
        <v/>
      </c>
      <c r="G4577" t="inlineStr">
        <is>
          <t>2019-09-05 15:59:28</t>
        </is>
      </c>
      <c r="H4577" t="inlineStr"/>
    </row>
    <row r="4578">
      <c r="A4578" t="inlineStr">
        <is>
          <t>d08pi8</t>
        </is>
      </c>
      <c r="B4578" t="inlineStr">
        <is>
          <t>How can I help my mother</t>
        </is>
      </c>
      <c r="C4578" t="inlineStr">
        <is>
          <t>My mom was diagnosed with non Hodgkin's lymphoma a few weeks ago and got her first round of chemo today. She's still doing fine, not sick from chemo yet but I know what's coming. I don't know anyone who's gone through a loved one having cancer and I just need to know what I can do to help her through this. My mom is my world and I just want to get her through this as easy as possible and I have no idea how to do it. Any advice or hindsight would be appreciated. Thanks.</t>
        </is>
      </c>
      <c r="D4578" t="n">
        <v>5</v>
      </c>
      <c r="E4578" t="n">
        <v>5</v>
      </c>
      <c r="F4578">
        <f>HYPERLINK("https://www.reddit.com/r/cancer/comments/d08pi8/how_can_i_help_my_mother/")</f>
        <v/>
      </c>
      <c r="G4578" t="inlineStr">
        <is>
          <t>2019-09-05 16:43:19</t>
        </is>
      </c>
      <c r="H4578" t="inlineStr"/>
    </row>
    <row r="4579">
      <c r="A4579" t="inlineStr">
        <is>
          <t>d09669</t>
        </is>
      </c>
      <c r="B4579" t="inlineStr">
        <is>
          <t>What would have *really* helped me during cancer treatment.</t>
        </is>
      </c>
      <c r="C4579" t="inlineStr">
        <is>
          <t>Ironically, my breast cancer diagnosis came around the same pink license plate frames started appearing on cars here and Walgreens started their "Feel More Like You" campaign; a program that teaches those undergoing cancer treatment how to draw on eyebrows (selling makeup to cancer patients).
I'm sure some found it helpful but personally I had no use for such programs.
What I really could have used were...
1. Discounts on band-aids. Nothing wanted to heal during chemotherapy and I went through band-aids like you wouldn't believe.
2. Discounts on beverages. I could no longer drink plain water and bottled carbonated water adds up when you are typically a tap water drinker.
3. An extension on my car registration/putting it in non op. I mean I was in the midst of conventional chemotherapy trying to figure out how to pay for my cancer treatment and associated costs while not working and now I have to worry about fines for not paying to *not* use my car? What BS is that and why do I have to pay to not use my car to begin with?
4. An extra extension on filing my taxes. I already paid. Couldn't we have saved the filing for a time when I didn't risk crapping my pants when I left the house?</t>
        </is>
      </c>
      <c r="D4579" t="n">
        <v>77</v>
      </c>
      <c r="E4579" t="n">
        <v>19</v>
      </c>
      <c r="F4579">
        <f>HYPERLINK("https://www.reddit.com/r/cancer/comments/d09669/what_would_have_really_helped_me_during_cancer/")</f>
        <v/>
      </c>
      <c r="G4579" t="inlineStr">
        <is>
          <t>2019-09-05 17:22:42</t>
        </is>
      </c>
      <c r="H4579" t="inlineStr"/>
    </row>
    <row r="4580">
      <c r="A4580" t="inlineStr">
        <is>
          <t>d0a4mt</t>
        </is>
      </c>
      <c r="B4580" t="inlineStr">
        <is>
          <t>My former classmate has days left to live</t>
        </is>
      </c>
      <c r="C4580" t="inlineStr">
        <is>
          <t>Everything feels so surreal. I’m currently a senior in high school, and last year I met this guy in my English class. He is easily the kindest person I’ve ever met, and an amazing friend. We would text after school and talk about random things. One day in November, he signed out of school telling me he had a headache and about a week later, our teacher told us he has B cell leukemia. I haven’t seen him since that November. We stayed in contact over text but drifted apart. 
Fast forward to today, a girl in my math class asks if I’ve checked the blog about his health lately. I find out that he’s dying— chemo destroyed his immune system, the cancer cells are back, and the only thing that can save him at this point is a miracle. I felt time stop, just like when I had first found out he had cancer. I really thought this year he would come back to school and we’d have a class this year, now I realize he won’t be coming back at all. He doesn’t get to graduate or go to college and he might not even make his 18th birthday later this month. I’m heartbroken. I’m not even his best friend or his girlfriend or a part of his family yet I’m shattered. If life was fair, we would have made many more memories together. He was supposed to get better.
I don’t know anymore. It feels nice to write about it— I had trouble focusing today. I know I’ll be thinking all about it at work tomorrow. I’m still holding out for a miracle since he deserves nothing less.</t>
        </is>
      </c>
      <c r="D4580" t="n">
        <v>22</v>
      </c>
      <c r="E4580" t="n">
        <v>7</v>
      </c>
      <c r="F4580">
        <f>HYPERLINK("https://www.reddit.com/r/cancer/comments/d0a4mt/my_former_classmate_has_days_left_to_live/")</f>
        <v/>
      </c>
      <c r="G4580" t="inlineStr">
        <is>
          <t>2019-09-05 18:47:54</t>
        </is>
      </c>
      <c r="H4580" t="inlineStr"/>
    </row>
    <row r="4581">
      <c r="A4581" t="inlineStr">
        <is>
          <t>d0a7s9</t>
        </is>
      </c>
      <c r="B4581" t="inlineStr">
        <is>
          <t>MPNST Strikes Back</t>
        </is>
      </c>
      <c r="C4581" t="inlineStr">
        <is>
          <t>I was diagnosed with a MPNST (Malignant Peripheral Nerve Sheath Tumour) just over a year ago. I’m luckily from the UK so my surgery to remove it was paid for by my taxes. 
The NHS then funded my trip to Florida over the winter to receive Proton Beam Therapy, 
I met my now wife-to-be while going through treatment and we are still together! Life was looking good when they gave me the all clear, I had met the love of my life and gained one victory over this shitty disease.
Then today comes rolling on by...
I got told over the phone that the tumour is back in the same spot. I wasn’t surprised by this news as the symptoms of having a tumour growing on the nerves around my spine are hard to miss...
I’m looking at more surgery and possibly chemotherapy. I’m a little scared to be honest but I don’t let it affect my day-to-day living because fuck that!
I exercise and work a hard manual labour job, I live a normal life despite the abnormal shit going on inside of me.
I just thought I’d share my battle here, even if nobody really reads it I can treat it like a journal entry.
Thanks to those that do end up reading and I hope whatever is going on in your life, cancer or not, sorts itself out.</t>
        </is>
      </c>
      <c r="D4581" t="n">
        <v>9</v>
      </c>
      <c r="E4581" t="n">
        <v>3</v>
      </c>
      <c r="F4581">
        <f>HYPERLINK("https://www.reddit.com/r/cancer/comments/d0a7s9/mpnst_strikes_back/")</f>
        <v/>
      </c>
      <c r="G4581" t="inlineStr">
        <is>
          <t>2019-09-05 18:55:46</t>
        </is>
      </c>
      <c r="H4581" t="inlineStr"/>
    </row>
    <row r="4582">
      <c r="A4582" t="inlineStr">
        <is>
          <t>d0a9hn</t>
        </is>
      </c>
      <c r="B4582" t="inlineStr">
        <is>
          <t>Head spinning in the middle of the night</t>
        </is>
      </c>
      <c r="C4582" t="inlineStr">
        <is>
          <t>Hi, I'm a 37 year old with PPC and colon tumor, it's 4am here, I need some advice
What do you guys do when u wake up in the middle of the night and your head starts to spin about everything, mostly bad stuff and future related, i normally wake up quite early but 3am is in the middle of the night and I can't fall asleep again
I guess this is common, I think
Any advice?</t>
        </is>
      </c>
      <c r="D4582" t="n">
        <v>8</v>
      </c>
      <c r="E4582" t="n">
        <v>9</v>
      </c>
      <c r="F4582">
        <f>HYPERLINK("https://www.reddit.com/r/cancer/comments/d0a9hn/head_spinning_in_the_middle_of_the_night/")</f>
        <v/>
      </c>
      <c r="G4582" t="inlineStr">
        <is>
          <t>2019-09-05 18:59:55</t>
        </is>
      </c>
      <c r="H4582" t="inlineStr"/>
    </row>
    <row r="4583">
      <c r="A4583" t="inlineStr">
        <is>
          <t>d0acul</t>
        </is>
      </c>
      <c r="B4583" t="inlineStr">
        <is>
          <t>Finished Chemo Today!!!!</t>
        </is>
      </c>
      <c r="C4583" t="inlineStr">
        <is>
          <t>I just got home after by last round of dose dense AC-T (for stage 1 triple negative breast cancer)!!!! It was the hardest thing I have done physically (lots of infections and I was on antibiotics most of the time, generally miserable especially during AC, stomach complications, chemo-induced menopause, bone pain, etc.). Now I just have to have one last surgery (a hysterectomy/oophorectomy- already had my bilateral mastectomy) and my treatment should be over! Will only have follow ups every six months!!! Right now I am feeling so relieved that I made it and completed treatment since I was having serious doubts sometimes. If anyone has any tips on the post-chemo phase and how to get back to feeling like yourself again, please let me know!!</t>
        </is>
      </c>
      <c r="D4583" t="n">
        <v>77</v>
      </c>
      <c r="E4583" t="n">
        <v>28</v>
      </c>
      <c r="F4583">
        <f>HYPERLINK("https://www.reddit.com/r/cancer/comments/d0acul/finished_chemo_today/")</f>
        <v/>
      </c>
      <c r="G4583" t="inlineStr">
        <is>
          <t>2019-09-05 19:07:45</t>
        </is>
      </c>
      <c r="H4583" t="inlineStr"/>
    </row>
    <row r="4584">
      <c r="A4584" t="inlineStr">
        <is>
          <t>d0aduc</t>
        </is>
      </c>
      <c r="B4584" t="inlineStr">
        <is>
          <t>Thinking of you all...</t>
        </is>
      </c>
      <c r="C4584" t="inlineStr">
        <is>
          <t>Those suffering from cancer has been on my mind all day. I can’t imagine the pain and suffering who have gone through. You don’t deserve it. I know there is nothing I can say to relieve anything you feel. There is nothing I can do to make it better but I feel your pain. I fortunately have no one in my life suffering at the moment but it’s important to remember there are other people out there who have been dealt different cards. There are people out there thinking of you. There are people out there rooting for you. You matter and you are important. I would do anything to take the pain and suffering away but adversity seems to strike the best of us. You don’t deserve this but you can beat it. Thinking of you always.</t>
        </is>
      </c>
      <c r="D4584" t="n">
        <v>14</v>
      </c>
      <c r="E4584" t="n">
        <v>6</v>
      </c>
      <c r="F4584">
        <f>HYPERLINK("https://www.reddit.com/r/cancer/comments/d0aduc/thinking_of_you_all/")</f>
        <v/>
      </c>
      <c r="G4584" t="inlineStr">
        <is>
          <t>2019-09-05 19:10:08</t>
        </is>
      </c>
      <c r="H4584" t="inlineStr"/>
    </row>
    <row r="4585">
      <c r="A4585" t="inlineStr">
        <is>
          <t>d0aigx</t>
        </is>
      </c>
      <c r="B4585" t="inlineStr">
        <is>
          <t>Extensive, invasive neck and face surgery - reoccurrence?</t>
        </is>
      </c>
      <c r="C4585" t="inlineStr">
        <is>
          <t>My husband looks like he was in a car wreck. He has huge bandages on his forehead, cheek and neck. We have been coming pretty regularly to the skin cancer doctor to get checked and I am wondering how these got this bad within three months? Did the doctor just fail to find them some way or were they underneath the skin? I feel so bad for my husband is he doesn't even want to go outside as he feels like he looks like Frankenstein. I am sure he is very depressed as he has had many of the surgeries and hardly has any surface left to do anymore skin grafts on. And they just keep coming back at seemingly a rapid pace. What the heck?</t>
        </is>
      </c>
      <c r="D4585" t="n">
        <v>3</v>
      </c>
      <c r="E4585" t="n">
        <v>1</v>
      </c>
      <c r="F4585">
        <f>HYPERLINK("https://www.reddit.com/r/cancer/comments/d0aigx/extensive_invasive_neck_and_face_surgery/")</f>
        <v/>
      </c>
      <c r="G4585" t="inlineStr">
        <is>
          <t>2019-09-05 19:21:19</t>
        </is>
      </c>
      <c r="H4585" t="inlineStr"/>
    </row>
    <row r="4586">
      <c r="A4586" t="inlineStr">
        <is>
          <t>d0akk5</t>
        </is>
      </c>
      <c r="B4586" t="inlineStr">
        <is>
          <t>Tips on transferring out of a wheelchair for someone who is very weak?</t>
        </is>
      </c>
      <c r="C4586" t="inlineStr">
        <is>
          <t>Hey there,
My mom is in her last few weeks as a hospice patient. She has no strength in her legs, and is unable to get out of chairs/bed without great difficulty. Hospice today provided her with a transport chair (indifferentiable from a wheelchair, in my opinion). However, just like all chairs, she is unable to get out of it and doesn't like someone pulling her up manually. Has anyone run into a similar issue, and how did you solve it?
I'm hoping we can solve this. If we can't, she will be bedridden soon, as there are no other options...</t>
        </is>
      </c>
      <c r="D4586" t="n">
        <v>2</v>
      </c>
      <c r="E4586" t="n">
        <v>6</v>
      </c>
      <c r="F4586">
        <f>HYPERLINK("https://www.reddit.com/r/cancer/comments/d0akk5/tips_on_transferring_out_of_a_wheelchair_for/")</f>
        <v/>
      </c>
      <c r="G4586" t="inlineStr">
        <is>
          <t>2019-09-05 19:26:18</t>
        </is>
      </c>
      <c r="H4586" t="inlineStr"/>
    </row>
    <row r="4587">
      <c r="A4587" t="inlineStr">
        <is>
          <t>d0bd3x</t>
        </is>
      </c>
      <c r="B4587" t="inlineStr">
        <is>
          <t>how to deal with potential loss of a loved one due to this fucking disease.</t>
        </is>
      </c>
      <c r="C4587" t="inlineStr">
        <is>
          <t>less than two hours ago i found out my uncle was diagnosed with cancer in his nasal cavity, hes undergoing chemotherapy, and theres a chance it might spread to his brain. im afraid of losing him, my uncle darren has been one of my main influences in life, due to him supporting me and my love of playing music.</t>
        </is>
      </c>
      <c r="D4587" t="n">
        <v>7</v>
      </c>
      <c r="E4587" t="n">
        <v>2</v>
      </c>
      <c r="F4587">
        <f>HYPERLINK("https://www.reddit.com/r/cancer/comments/d0bd3x/how_to_deal_with_potential_loss_of_a_loved_one/")</f>
        <v/>
      </c>
      <c r="G4587" t="inlineStr">
        <is>
          <t>2019-09-05 20:40:11</t>
        </is>
      </c>
      <c r="H4587" t="inlineStr"/>
    </row>
    <row r="4588">
      <c r="A4588" t="inlineStr">
        <is>
          <t>d0d7ds</t>
        </is>
      </c>
      <c r="B4588" t="inlineStr">
        <is>
          <t>My mother (59) has just been told by the ER that there is a mass in her lung that has spread to her liver. She goes to see her regular doctor tomorrow.</t>
        </is>
      </c>
      <c r="C4588" t="inlineStr">
        <is>
          <t>My mom called me tonight roughly two hours ago. Basically, she went to the ER tonight because she had pain in one of her ribs. Turns out, the rib is broken but she doesn’t know how she broke it. They also found a mass (or spots? We’re not quite sure. She’s hysterical.) on her lung and liver. She told me that she hasn’t had an appetite lately and that she’s been nauseous and having pain in her stomach region. She goes to see her PCD in the morning to see what her next steps should be. 
I know what the prognosis is likely to be and I’m very scared. Mostly because I’m living roughly 800 miles away from her now and I won’t be able to be there for her when she needs me to be. I’m basically all the family she has, besides my younger brother that isn’t really involved. 
I’m in a lot of shock and so is she. I just don’t want to lose my mom, us both being young. I don’t know how to cope and stay strong through this while simultaneously being a support for her for the inevitable. Any advice for our situation is appreciated.</t>
        </is>
      </c>
      <c r="D4588" t="n">
        <v>2</v>
      </c>
      <c r="E4588" t="n">
        <v>3</v>
      </c>
      <c r="F4588">
        <f>HYPERLINK("https://www.reddit.com/r/cancer/comments/d0d7ds/my_mother_59_has_just_been_told_by_the_er_that/")</f>
        <v/>
      </c>
      <c r="G4588" t="inlineStr">
        <is>
          <t>2019-09-06 00:03:00</t>
        </is>
      </c>
      <c r="H4588" t="inlineStr"/>
    </row>
    <row r="4589">
      <c r="A4589" t="inlineStr">
        <is>
          <t>d0eko8</t>
        </is>
      </c>
      <c r="B4589" t="inlineStr">
        <is>
          <t>Soon I'll have to say goodbye</t>
        </is>
      </c>
      <c r="C4589" t="inlineStr">
        <is>
          <t>My Nana was diagnosed with lung cancer (I'm uncertain of the type) before Christmas last year. We we've been lucky to have her through her Christmas. She was in bad shape, and we weren't given a lot of hope by the doctors, but she made it through, and actually improved. 
Now, the oral chemo tablets have stopped working, as we knew they eventually would. 
She was admitted to hospital for pneumonia and a collapsed lung. The fluid was only pocketed and the masses too dense for them to get a good scan, so they weren't able to drain it. She was too weak to go on chemo or have radiation. Despite that though, she improved on the antibiotics and the steroids. She came home Thursday last week, and she was deceptively good; she was able to walk around the house, and talk and laugh with us. She was herself. My Grandad kept telling her off (fondly) because she wouldn't stop talking, and kept making herself breathless. 
I'm in the second to last month of university, and it's my last year, and trying to work on my major project while also trying to spend meaningful time with her has been so mentally and emotionally draining (and also beautiful and  heartbreaking). On the Saturday I left thinking I'd have more time to come back and spend with her the following weekend. Since then, she's gotten steadily weaker and more breathless, and we know there's no bouncing back this time. Had I known, I would've stayed. I really would. 
I'm going up tomorrow, and I know it's the last time I'll probably see her. And after, I have to go back to my studies and continue with life, and then I think the reality of it will truly set in. 
While she was in hospital she said to me that it's that it's not the dying that saddens her, but it's that she'll never see me or my brothers get married or have children, and watch our families grow. She said in such a clear-eyed, quiet way, and it really, really got to me. 
I don't know what I'm going to say to her when I see her. If it will be meaningful, or if needs to be meaningful. I'm sure just being there is enough. 
To anyone going through cancer, I'm thinking of you. It's a fucked up thing, and no one deserves it. I've read some beautiful and tragic stories on here, and it's made me think of my life in a way I never have before.</t>
        </is>
      </c>
      <c r="D4589" t="n">
        <v>4</v>
      </c>
      <c r="E4589" t="n">
        <v>4</v>
      </c>
      <c r="F4589">
        <f>HYPERLINK("https://www.reddit.com/r/cancer/comments/d0eko8/soon_ill_have_to_say_goodbye/")</f>
        <v/>
      </c>
      <c r="G4589" t="inlineStr">
        <is>
          <t>2019-09-06 02:59:22</t>
        </is>
      </c>
      <c r="H4589" t="inlineStr"/>
    </row>
    <row r="4590">
      <c r="A4590" t="inlineStr">
        <is>
          <t>d0el6r</t>
        </is>
      </c>
      <c r="B4590" t="inlineStr">
        <is>
          <t>A question to everyone who made it and now only checks in with the Doc ~once a year</t>
        </is>
      </c>
      <c r="C4590" t="inlineStr">
        <is>
          <t>Hey people,
I have a quick question for you all, to see if you can relate to my feelings. 
(I got a Bone-Marrow-Transplantation 6 years ago [very severe aplastic anemia] and all is well and good now. )
Yesterday I had one of my yearly check-ups with my Doctor again. I actually realized it last year already, but it happened again. I get so incredible tired when I'm there. The air feels heavy and I don't know, it feels incredible exhausting. Had to take a nap when I got back.
I'm with a different doctor now, in a different hospital. So there is no real connection to the "place" I got my chemo/radiation/BMT and the doctor is also a different one, who I only got to know, when the yearly check-ups began. It just feels kinda funny to me, because now a days I literally work with cancer patients all day (social worker btw) and I obviously don't get so drained. 
I spoke to some friends and colleagues about it, they don't really get what I mean, and haven't heard anything of it before.
So my question to everyone who kinda "made" it: Are you experiencing the same feelings, or is it just kinda the same, as going to a general practitioner for you? 
Thanks for your time. 
I didn't know this subreddit before, I really like the extra infos you can get here.</t>
        </is>
      </c>
      <c r="D4590" t="n">
        <v>3</v>
      </c>
      <c r="E4590" t="n">
        <v>1</v>
      </c>
      <c r="F4590">
        <f>HYPERLINK("https://www.reddit.com/r/cancer/comments/d0el6r/a_question_to_everyone_who_made_it_and_now_only/")</f>
        <v/>
      </c>
      <c r="G4590" t="inlineStr">
        <is>
          <t>2019-09-06 03:01:17</t>
        </is>
      </c>
      <c r="H4590" t="inlineStr"/>
    </row>
    <row r="4591">
      <c r="A4591" t="inlineStr">
        <is>
          <t>d0fat6</t>
        </is>
      </c>
      <c r="B4591" t="inlineStr">
        <is>
          <t>My dad just had 2nd round of chemo and his cancer didn't get any better</t>
        </is>
      </c>
      <c r="C4591" t="inlineStr">
        <is>
          <t>Hi! I am a 21 year old female and my father 58 years old got diagnosed with stage 3 gastric cancer in June. His first 3 chemos helped him a little bit and everything started shrinking, however his next 3 chemos didn't help him at all, infact it made cancer a little bit bigger. I am not sure does this mean it's not working at all, or is this normal for chemo to just sometimes not work but then it will work later? I want to hear other people's experience with something similar, I don't want to lose hope.</t>
        </is>
      </c>
      <c r="D4591" t="n">
        <v>2</v>
      </c>
      <c r="E4591" t="n">
        <v>3</v>
      </c>
      <c r="F4591">
        <f>HYPERLINK("https://www.reddit.com/r/cancer/comments/d0fat6/my_dad_just_had_2nd_round_of_chemo_and_his_cancer/")</f>
        <v/>
      </c>
      <c r="G4591" t="inlineStr">
        <is>
          <t>2019-09-06 04:19:55</t>
        </is>
      </c>
      <c r="H4591" t="inlineStr"/>
    </row>
    <row r="4592">
      <c r="A4592" t="inlineStr">
        <is>
          <t>d0gv98</t>
        </is>
      </c>
      <c r="B4592" t="inlineStr">
        <is>
          <t>How did you do it?</t>
        </is>
      </c>
      <c r="C4592" t="inlineStr">
        <is>
          <t>Last year i was diagnosed with Multiple Myeloma at 23 years old. From my understanding, a cancer that is a little easier compared to most. During treatment i was a rock. Chemo was a walk in the park and even the diagnosis was a breeze. But now a year on and few months free from my first chemo im stuck. I have hit a brick wall of anger and solitude. I have no intentions of having fun and making memories. My plan in my head is to avoid everyone and everything, out of fear i will enjoy things and grow fonder of the people around me. I've always been a friend of death. Its a necessity of life. With 7.5 billion people in the world, i have never minded the thought of giving up my space for others to take place. That stays true to this day. Now my life is swallowed, not by the fear of death but the fear of loving and missing those around me. My nightmares are not about crumbling away and becoming weak but are visions of me in my bed surrounded by my family and friends while they cry and mourn my passing. This line of thinking has left me crippled in my home emotionally. Around people im a shell, showing little interest in them, little interest in doing things. But as a result of my personality its brushed under the rug as "just the way i am" (i've always been a recluse albeit a very social one when circumstances call for it). I live with my partner who is an absolutely amazing woman! Even with her own issues with anxiety and such she has been a rock throughout the whole thing. Providing for both of us financially. But i see the pain and helplessness in her face. Shes dragged me from the deepest pits 2 years ago as friends when i lost my way. She selflessly worked so hard for me. Got me cleaned up last year and we were set to start our lives properly and give the world a shot, Only to be shot down and dragged down 2 months after getting clean with a cancer diagnosis. It leaves me with such guilt. This woman who set aside her life to make my life worth being in, is left defeated no matter what she does to help.   
I'm starting to ramble and just be a victim in this post now so imma cut it short and get to the point. 
How did you do it? How did you get past this? 
As dark as it sounds im hoping someone has felt the same and been through the same  and came out and ended up being an asset to their friends and family. I understand everyones coping mechanisms and solutions are unique to them but just seeing that someone got out is enough for me.
Apologies for any spelling errors or grammatical errors. I tend to not speak about this and the thought of reading through my words to correct things is just not very attractive. Also to the small collection of people that might recognise my username. If you see this please do not approach me about it. I beg do not!</t>
        </is>
      </c>
      <c r="D4592" t="n">
        <v>3</v>
      </c>
      <c r="E4592" t="n">
        <v>3</v>
      </c>
      <c r="F4592">
        <f>HYPERLINK("https://www.reddit.com/r/cancer/comments/d0gv98/how_did_you_do_it/")</f>
        <v/>
      </c>
      <c r="G4592" t="inlineStr">
        <is>
          <t>2019-09-06 06:45:13</t>
        </is>
      </c>
      <c r="H4592" t="inlineStr"/>
    </row>
    <row r="4593">
      <c r="A4593" t="inlineStr">
        <is>
          <t>d0h0i0</t>
        </is>
      </c>
      <c r="B4593" t="inlineStr">
        <is>
          <t>Final radiation treatment!</t>
        </is>
      </c>
      <c r="C4593" t="inlineStr">
        <is>
          <t>This morning was my last day of radiation! I had a mastectomy in June, and 28 treatments of radiation. Lucky I did not need chemotherapy. I now start hormone treatments, which I'll have to be on for the rest of my life. I am 35 yrs old.  I can start reconstruction in about a month. This is a great day for me and really wanted to share! Thanks for listening Reddit folk!</t>
        </is>
      </c>
      <c r="D4593" t="n">
        <v>98</v>
      </c>
      <c r="E4593" t="n">
        <v>28</v>
      </c>
      <c r="F4593">
        <f>HYPERLINK("https://www.reddit.com/r/cancer/comments/d0h0i0/final_radiation_treatment/")</f>
        <v/>
      </c>
      <c r="G4593" t="inlineStr">
        <is>
          <t>2019-09-06 06:57:18</t>
        </is>
      </c>
      <c r="H4593" t="inlineStr"/>
    </row>
    <row r="4594">
      <c r="A4594" t="inlineStr">
        <is>
          <t>d0h6vd</t>
        </is>
      </c>
      <c r="B4594" t="inlineStr">
        <is>
          <t>My grandma died yesterday because of cancer</t>
        </is>
      </c>
      <c r="C4594" t="inlineStr">
        <is>
          <t>Sadly my lovely grandma died yesterday because of cancer. She was such a nice woman, she baked cookies for me and my siblings. She loved us and I hope she is looking down from heaven.</t>
        </is>
      </c>
      <c r="D4594" t="n">
        <v>16</v>
      </c>
      <c r="E4594" t="n">
        <v>7</v>
      </c>
      <c r="F4594">
        <f>HYPERLINK("https://www.reddit.com/r/cancer/comments/d0h6vd/my_grandma_died_yesterday_because_of_cancer/")</f>
        <v/>
      </c>
      <c r="G4594" t="inlineStr">
        <is>
          <t>2019-09-06 07:11:35</t>
        </is>
      </c>
      <c r="H4594" t="inlineStr"/>
    </row>
    <row r="4595">
      <c r="A4595" t="inlineStr">
        <is>
          <t>d0h8lm</t>
        </is>
      </c>
      <c r="B4595" t="inlineStr">
        <is>
          <t>First Oxaliplatin infusion yesterday.</t>
        </is>
      </c>
      <c r="C4595" t="inlineStr">
        <is>
          <t>I'm a little spaced out today, so please forgive the fragment-speak.  There's a question at the end.
I'm currently undergoing treatment for stage 3B colon cancer.  I've already completed the radiation/chemo treatments, the colon resection surgery with temporary ileostomy, and now have entered the chemo phase.  No problems, until now.
So yesterday, I had my first infusion of Oxaliplatin.  Proper hydration is a challenge since my colon has been temporarily bypassed.  So of course, it was tough to find a suitable vein for the IV.  Fortunately, they got it on the second try.   
 They ended up using my inner forearm.  Everything burned for the duration of the treatment.
Okay, fine.  I was mostly worried about the needle part.  Well, more like freaked out.  Better yet, let's call it full-blown panic.  Anyway, I got past that and eventually settled into the treatment until it was time to go home.
So here I am one day later.  Ever since my treatment, my inner forearm where the infusion was given still feels like I have a third-degree burn from wrist to elbow.  I have to keep reminding myself that it's not injured.  It's okay to use.
So here's my question.  Has anybody else been through this particular treatment?  Does it get better?  I have another infusion scheduled three weeks from now.  Frankly, I'm pretty terrified.</t>
        </is>
      </c>
      <c r="D4595" t="n">
        <v>5</v>
      </c>
      <c r="E4595" t="n">
        <v>10</v>
      </c>
      <c r="F4595">
        <f>HYPERLINK("https://www.reddit.com/r/cancer/comments/d0h8lm/first_oxaliplatin_infusion_yesterday/")</f>
        <v/>
      </c>
      <c r="G4595" t="inlineStr">
        <is>
          <t>2019-09-06 07:15:55</t>
        </is>
      </c>
      <c r="H4595" t="inlineStr"/>
    </row>
    <row r="4596">
      <c r="A4596" t="inlineStr">
        <is>
          <t>d0i1fx</t>
        </is>
      </c>
      <c r="B4596" t="inlineStr">
        <is>
          <t>How do oncologists know when your cancer is terminal vs advanced?</t>
        </is>
      </c>
      <c r="C4596" t="inlineStr">
        <is>
          <t>Do you have to go through some kind of treatment, and if it doesn’t work, they know it’s terminal? Or are they able to tell by looking at it?</t>
        </is>
      </c>
      <c r="D4596" t="n">
        <v>1</v>
      </c>
      <c r="E4596" t="n">
        <v>7</v>
      </c>
      <c r="F4596">
        <f>HYPERLINK("https://www.reddit.com/r/cancer/comments/d0i1fx/how_do_oncologists_know_when_your_cancer_is/")</f>
        <v/>
      </c>
      <c r="G4596" t="inlineStr">
        <is>
          <t>2019-09-06 08:18:45</t>
        </is>
      </c>
      <c r="H4596" t="inlineStr"/>
    </row>
    <row r="4597">
      <c r="A4597" t="inlineStr">
        <is>
          <t>d0iqzx</t>
        </is>
      </c>
      <c r="B4597" t="inlineStr">
        <is>
          <t>Just wanna talk about my dad's intestinal cancer</t>
        </is>
      </c>
      <c r="C4597" t="inlineStr">
        <is>
          <t>Hello guys, I very recently joined this sub, right after my dad started chemo for intestinal cancer. He had a surgery in June  and I thought that was gonna be the end of it, but sadly he was told he had to start chemo to eliminate whatever cells might have remained after the surgery, if I understand correctly.
I have hope that things will get better but I try to stay grounded as well and think about it one step at a time. It was a huge shock for me when they told me he's getting chemo, because that makes it very real and scary and threatening, you know? He is 70 years old but thankfully he didn't smoke or drink and eats a pretty healthy diet, so I'm afraid about the toll the therapy will have on him, but at the same time I realize it could be worse.
One thing that has helped me is talking with my dad about chemo. My mom is very secretive about serious issues and she always keeps me as much in the dark as possible, but my dad is very open and he told me all about the treatment, his other meds, the side effects he's experiencing. It really helped seeing him facing it in such a calm and matter-of-fact manner. It made me really believe he can pull through it.
Anyway, I just wanted to talk about it for a while because I don't feel like talking about it with any of my friends or my mom. I also don't want to talk to my dad about it unless he wants to and starts talking first, because I'm afraid it might be very stressful for him.
Also, I would like to do things to help him with the psychological toll the therapy will take on him, but not in an overwhelming way. I would like to cheer him up without him thinking "my daughter thinks I'm about to die and she tries to spend time with me". I'd like to hear if you guys felt the same way and how you were there for your loved ones.
That's all, thanks for reading this. I wish good luck to each one of you who's struggling with cancer.</t>
        </is>
      </c>
      <c r="D4597" t="n">
        <v>3</v>
      </c>
      <c r="E4597" t="n">
        <v>0</v>
      </c>
      <c r="F4597">
        <f>HYPERLINK("https://www.reddit.com/r/cancer/comments/d0iqzx/just_wanna_talk_about_my_dads_intestinal_cancer/")</f>
        <v/>
      </c>
      <c r="G4597" t="inlineStr">
        <is>
          <t>2019-09-06 09:12:55</t>
        </is>
      </c>
      <c r="H4597" t="inlineStr"/>
    </row>
    <row r="4598">
      <c r="A4598" t="inlineStr">
        <is>
          <t>d0jqiq</t>
        </is>
      </c>
      <c r="B4598" t="inlineStr">
        <is>
          <t>High libido man meets Stage IV Prostate cancer: result is castration and the loss of self. I feel so helpless and frustrated. My dear high libido wife listens but can’t help either.</t>
        </is>
      </c>
      <c r="C4598" t="inlineStr">
        <is>
          <t>So most prostate cancer can be ignored, but 10% of prostate cancers are aggressive.  There is no cure, but Doctors can stop its growth, so that even a Stage IV victim might survive 7-10 years instead of 2-5 years.  Yeah!  But how? By depriving the cancer of testosterone, which is what the cancer feeds on.   Simple, right?   Choose to live, always choose life.   Of course I had to be chemically castrated so I can live a few extra years.   As a husband, father and grandfather I need to take care of my family as long as I can.   But I feel the need to post about this, to get this off my chest. 
My wife and I agree that in our 42 years of marriage, we had sex on average about 4x a week.   That’s on average.   The younger years, the happy years, it was more.  In rough times a bit less.  But ALWAYS sex was an intricate and intrinsic part of my self identity and our marriage.  We are best friends, and our marriage is about much more than sex.   We have a close emotional connection.   But sex was my key motivator, the way I enjoyed life.  It was my incentive to keep working, trying, and living.  I enjoyed life, but in my “internal self” everything seemed to revolve around my desire for sex.   Of course I was responsible, trying to be a good man.   But sex was my reward.
I am completely neutered now.   My genitals are shriveled remnants after the hormone and chemo drugs, and the radiation.   In my mind, I still feel like a man, but my body won’t respond.  I’m incontinent and impotent.   Completely fucking impotent.   I’m not who I was.  That man is dead.  Life has gone.  The joy is gone.  I deeply love my family, but there seems to be nothing left for ME.   All of my joy was wrapped in sex with my wife.   I am very depressed, but also private.   And now NOBODY can help me now.  I can’t reverse the decision to be neutered.  My prostate is gone and my genitals are dead.  I feel so lost, so empty, wandering through each day in kind of a mental fog.   I love and adore my wife.   I just have a hole in my ‘self’ the size of the Grand Canyon that nothing can fill.   There is no substitute for sex.   There is nothing like it that can be used as a substitute.   My sex is gone and I’m no longer a man.  I’m a eunuch.  
I know others have experienced this.  I know I have accept this and move on.   I need to care for my wife, who is quite ill herself.   But I kind of hate my life now.   I can’t get an erection, I can’t even masturbate.  No response.   Wow.   I feel a lot of regret for getting treatment.  In many ways I would have rather had 3 years of sex, then death.  But now, I can’t change my mind.   I just had to tell somebody.  
I privately cry, mourn, and hold my wife.   She won’t let me please her because she has given up sex too, because I’ve had to give up sex.   I love her so much.   I try to be strong for her, and I know that I’m blessed and lucky to be with her.</t>
        </is>
      </c>
      <c r="D4598" t="n">
        <v>29</v>
      </c>
      <c r="E4598" t="n">
        <v>21</v>
      </c>
      <c r="F4598">
        <f>HYPERLINK("https://www.reddit.com/r/cancer/comments/d0jqiq/high_libido_man_meets_stage_iv_prostate_cancer/")</f>
        <v/>
      </c>
      <c r="G4598" t="inlineStr">
        <is>
          <t>2019-09-06 10:28:31</t>
        </is>
      </c>
      <c r="H4598" t="inlineStr"/>
    </row>
    <row r="4599">
      <c r="A4599" t="inlineStr">
        <is>
          <t>d0kdqr</t>
        </is>
      </c>
      <c r="B4599" t="inlineStr">
        <is>
          <t>My Dad Has Cancer -- Want to Make Him a Gift Basket. Help!</t>
        </is>
      </c>
      <c r="C4599" t="inlineStr">
        <is>
          <t>My dad has leukemia and is getting a Bone Marrow Transplant in late September. I want to make up a little basket for him to let him know I'm thinking of him and love him. What are some things that came in handy for those who have been through it?</t>
        </is>
      </c>
      <c r="D4599" t="n">
        <v>3</v>
      </c>
      <c r="E4599" t="n">
        <v>3</v>
      </c>
      <c r="F4599">
        <f>HYPERLINK("https://www.reddit.com/r/cancer/comments/d0kdqr/my_dad_has_cancer_want_to_make_him_a_gift_basket/")</f>
        <v/>
      </c>
      <c r="G4599" t="inlineStr">
        <is>
          <t>2019-09-06 11:16:59</t>
        </is>
      </c>
      <c r="H4599" t="inlineStr"/>
    </row>
    <row r="4600">
      <c r="A4600" t="inlineStr">
        <is>
          <t>d0l4aw</t>
        </is>
      </c>
      <c r="B4600" t="inlineStr">
        <is>
          <t>Experience please</t>
        </is>
      </c>
      <c r="C4600" t="inlineStr">
        <is>
          <t>Dad diagnosed 4 months ago with late stage prostate and bone caner. In 6 weeks he has done hormone treatment, radiation and started chemo last Tuesday. He is my hero and so tough. What does this journey look like and how can i support him.  Truth please and thank you xxx</t>
        </is>
      </c>
      <c r="D4600" t="n">
        <v>1</v>
      </c>
      <c r="E4600" t="n">
        <v>2</v>
      </c>
      <c r="F4600">
        <f>HYPERLINK("https://www.reddit.com/r/cancer/comments/d0l4aw/experience_please/")</f>
        <v/>
      </c>
      <c r="G4600" t="inlineStr">
        <is>
          <t>2019-09-06 12:12:20</t>
        </is>
      </c>
      <c r="H4600" t="inlineStr"/>
    </row>
    <row r="4601">
      <c r="A4601" t="inlineStr">
        <is>
          <t>d0li3u</t>
        </is>
      </c>
      <c r="B4601" t="inlineStr">
        <is>
          <t>Need some guidance as my mom is at end of life due to multiple myeloma.</t>
        </is>
      </c>
      <c r="C4601" t="inlineStr">
        <is>
          <t>Hi guys. 
I’m here seeking some guidance from those of you who have unfortunately lost their loved one due to cancer. 
I have lived with and been the caretaker of my mom since she was diagnosed almost exactly 2 years ago with Multiple Myeloma (at 52). 
She underwent a bone marrow transplant (auto) last year which did next to null for the progression of her cancer. 
Two full years of nonstop chemo and radiation. She had 2 very painful, challenging, and exhausting years. There were many, many good moments mixed in there too. As a family we really pulled together to be here for her. 
A month ago everything took a tragic turn for the worst. She has now moved in with her sister and the doctors told us that stopping treatment is the best option. We are now focused on palliative care to keep her remaining days comfortable as possible and at home with her family. 
I am having a hard time coping. Living with my mom for the last two years brought us so much closer and now she’s being ripped away from me at a time when we have our strongest bond yet. I’m 25 and not emotionally prepared for the next few weeks. This is my mom. I don’t know life without her. How will I overcome this pain? How can I tell her how much she means to me while I still can? How do I get through my life without my mom? There’s so much I want her to be here for, my life is just starting. I want my mom to be a part of it. 
I know this may sound selfish but I am just scared and not sure how to communicate my thoughts very well right now. No amount of time could have prepared me for this.</t>
        </is>
      </c>
      <c r="D4601" t="n">
        <v>8</v>
      </c>
      <c r="E4601" t="n">
        <v>5</v>
      </c>
      <c r="F4601">
        <f>HYPERLINK("https://www.reddit.com/r/cancer/comments/d0li3u/need_some_guidance_as_my_mom_is_at_end_of_life/")</f>
        <v/>
      </c>
      <c r="G4601" t="inlineStr">
        <is>
          <t>2019-09-06 12:41:35</t>
        </is>
      </c>
      <c r="H4601" t="inlineStr"/>
    </row>
    <row r="4602">
      <c r="A4602" t="inlineStr">
        <is>
          <t>d0lnef</t>
        </is>
      </c>
      <c r="B4602" t="inlineStr">
        <is>
          <t>Possible Ovarian Cancer.</t>
        </is>
      </c>
      <c r="C4602" t="inlineStr">
        <is>
          <t>Hello. Im looking for some insight I am a little nervous due to family history.A little back history: I am 28 with two children. I have had PCOS and low grade endometriosis since I was a teen.I quite frequently get extremely large cysts on my RT ovary which are usually chocolate cysts. Well a new kind of cyst was recently found on my RT ovary. I was diagnosed with a complex ovarian cyst with dense material and paillary projections its 3.5×3.7×3.4 cms (so not very large if that matters) with ovarian neoplastic qualities (unsure what that means). I will be getting a CA-125 blood work test on monday and waiting for a call back to schedule a biopsy. Ive been having a lot of bloating g.i. issues, a lot of nausea and not very hungry, and horrible horrible spotting in between periods. I also have lost about 15 pounds in the last 4 months-probably related from not being hungr, and just very exhausted. Its been there for awhile at least since january its grown a little. Now those with ovarain cancer what were some of your signs and symptoms, what kind of cyst did you have, does the size of the cyst matter (is smaller better than a large one)? Trying not to panic until everything gets done, just thought I would ask someone who has had experience with this sort of thing. Thank you.</t>
        </is>
      </c>
      <c r="D4602" t="n">
        <v>2</v>
      </c>
      <c r="E4602" t="n">
        <v>10</v>
      </c>
      <c r="F4602">
        <f>HYPERLINK("https://www.reddit.com/r/cancer/comments/d0lnef/possible_ovarian_cancer/")</f>
        <v/>
      </c>
      <c r="G4602" t="inlineStr">
        <is>
          <t>2019-09-06 12:53:09</t>
        </is>
      </c>
      <c r="H4602" t="inlineStr"/>
    </row>
    <row r="4603">
      <c r="A4603" t="inlineStr">
        <is>
          <t>d0m8xg</t>
        </is>
      </c>
      <c r="B4603" t="inlineStr">
        <is>
          <t>Chemo Brain</t>
        </is>
      </c>
      <c r="C4603" t="inlineStr">
        <is>
          <t>I'm almost 4 years finished treatment in November. I'm 18. I'm just wondering about chemo brain, I hear about people having it during chemo but can you still suffer from it almost 4 years later? I find my short term memory can be bad. Sometimes if someone tells me to do something I forget then. When I'm doing something and someone is speaking to me, everything they say completely goes over my head. Sometimes when I'm speaking, its like I don't know where my sentence is going or right word etc. I'm also quite disorganised. Could this be chemo brain or just anxiety or something ?</t>
        </is>
      </c>
      <c r="D4603" t="n">
        <v>2</v>
      </c>
      <c r="E4603" t="n">
        <v>8</v>
      </c>
      <c r="F4603">
        <f>HYPERLINK("https://www.reddit.com/r/cancer/comments/d0m8xg/chemo_brain/")</f>
        <v/>
      </c>
      <c r="G4603" t="inlineStr">
        <is>
          <t>2019-09-06 13:39:03</t>
        </is>
      </c>
      <c r="H4603" t="inlineStr"/>
    </row>
    <row r="4604">
      <c r="A4604" t="inlineStr">
        <is>
          <t>d0n55b</t>
        </is>
      </c>
      <c r="B4604" t="inlineStr">
        <is>
          <t>Need Advice for My Dad to Deal Emotionally With BOTH Chemo + Radiation</t>
        </is>
      </c>
      <c r="C4604" t="inlineStr">
        <is>
          <t>My dad was just diagnosed with stage 2 squamous cell carcinoma- three tumors, two on his lymph nodes and another at the back of his throat/base of his tongue. He's starting a combo of chemo + radiation next week.
His mental state is bad. He's already telling our family about how we'd be taken care of, he has life insurance, how he's lived a great life, and doesn't want to burden us with going through this process. He had brain surgery last year, and didn't deal with it well at all in the hospital (basically saying the same things), even though recovery was easy in comparison to what this will be. 
I was in the room with him when the doctor told him the treatment plan and warned him of the side effects of the chemo and radiation. He looked terrified, and he never likes to show emotion or weakness, so this shocked me. I've never seen him so defeated. He's clearly scared, understandably, and has developed this attitude of finality like it's already over.
What are the best ways to help my dad emotionally get through this and want to keep living and going through this?</t>
        </is>
      </c>
      <c r="D4604" t="n">
        <v>3</v>
      </c>
      <c r="E4604" t="n">
        <v>4</v>
      </c>
      <c r="F4604">
        <f>HYPERLINK("https://www.reddit.com/r/cancer/comments/d0n55b/need_advice_for_my_dad_to_deal_emotionally_with/")</f>
        <v/>
      </c>
      <c r="G4604" t="inlineStr">
        <is>
          <t>2019-09-06 14:47:10</t>
        </is>
      </c>
      <c r="H4604" t="inlineStr"/>
    </row>
    <row r="4605">
      <c r="A4605" t="inlineStr">
        <is>
          <t>d0nxqo</t>
        </is>
      </c>
      <c r="B4605" t="inlineStr">
        <is>
          <t>Keep on keeping on?</t>
        </is>
      </c>
      <c r="C4605" t="inlineStr">
        <is>
          <t>I was diagnosed with cancer 5 years ago at age 17 and I’ve gone through four different chemos and several surgeries. I’m young but my body is that of an old man, I have osteoporosis, bowel problems, almost constant pain etc. My treatments will likely last until I die. I’m mostly just tired that I can’t keep up with my peers.
I was wondering how people keep their spirits up through the years?. Or if you were able to get stronger again after / between treatments?.</t>
        </is>
      </c>
      <c r="D4605" t="n">
        <v>11</v>
      </c>
      <c r="E4605" t="n">
        <v>5</v>
      </c>
      <c r="F4605">
        <f>HYPERLINK("https://www.reddit.com/r/cancer/comments/d0nxqo/keep_on_keeping_on/")</f>
        <v/>
      </c>
      <c r="G4605" t="inlineStr">
        <is>
          <t>2019-09-06 15:49:26</t>
        </is>
      </c>
      <c r="H4605" t="inlineStr"/>
    </row>
    <row r="4606">
      <c r="A4606" t="inlineStr">
        <is>
          <t>d0p002</t>
        </is>
      </c>
      <c r="B4606" t="inlineStr">
        <is>
          <t>What are the little things people have to live with after cancer that nobody talks about?</t>
        </is>
      </c>
      <c r="C4606" t="inlineStr">
        <is>
          <t>The title says it all, there must be some things that nobody talks about but is a reality for cancer survivor!</t>
        </is>
      </c>
      <c r="D4606" t="n">
        <v>8</v>
      </c>
      <c r="E4606" t="n">
        <v>27</v>
      </c>
      <c r="F4606">
        <f>HYPERLINK("https://www.reddit.com/r/cancer/comments/d0p002/what_are_the_little_things_people_have_to_live/")</f>
        <v/>
      </c>
      <c r="G4606" t="inlineStr">
        <is>
          <t>2019-09-06 17:17:42</t>
        </is>
      </c>
      <c r="H4606" t="inlineStr"/>
    </row>
    <row r="4607">
      <c r="A4607" t="inlineStr">
        <is>
          <t>d0pjcp</t>
        </is>
      </c>
      <c r="B4607" t="inlineStr">
        <is>
          <t>Scanxiety</t>
        </is>
      </c>
      <c r="C4607" t="inlineStr">
        <is>
          <t>**Scanxiety: The feeling of fear and anxiousness associated with the regular scans and check-ups for cancer patients and survivors.** 
[https://www.cancertalkfoundation.org/post/scanxiety](https://www.cancertalkfoundation.org/post/scanxiety)</t>
        </is>
      </c>
      <c r="D4607" t="n">
        <v>7</v>
      </c>
      <c r="E4607" t="n">
        <v>0</v>
      </c>
      <c r="F4607">
        <f>HYPERLINK("https://www.reddit.com/r/cancer/comments/d0pjcp/scanxiety/")</f>
        <v/>
      </c>
      <c r="G4607" t="inlineStr">
        <is>
          <t>2019-09-06 18:07:07</t>
        </is>
      </c>
      <c r="H4607" t="inlineStr"/>
    </row>
    <row r="4608">
      <c r="A4608" t="inlineStr">
        <is>
          <t>d0pxfp</t>
        </is>
      </c>
      <c r="B4608" t="inlineStr">
        <is>
          <t>Rare pediatric Pre - Leukemia</t>
        </is>
      </c>
      <c r="C4608" t="inlineStr">
        <is>
          <t>I’m 18 and i was diagnosed with myelodysplastic syndrome a few days after high school graduation.  MDS for short is a blood cancer that makes abnormal white blood cells and red blood cells that don’t function like they’re supposed to. I’ve had so many complications where i’ve been allergic to my light chemotherapy and it caused me to need chest tubes where 3 liters of fluid was drained. I’ve reacted badly to common antibiotics and came in with septic shock. There is little information on my disease and even little information for pediatric cases. I’m nearing my bone marrow transplant and i’m afraid the chemo will be too much for me.  I have lost a lot of motivation and i’ve gotten tired of being told how strong or brave i am to be handling this so well. Really i’m just complacent that my life isn’t where i ever wanted it to be right now. I know chemo effects everyone differently, and I’m not sure what chemo i will be given. But whatever it is will wipe out my immune system. I’m scared and I struggle talking to my parents about them because they just want me to be positive.</t>
        </is>
      </c>
      <c r="D4608" t="n">
        <v>6</v>
      </c>
      <c r="E4608" t="n">
        <v>5</v>
      </c>
      <c r="F4608">
        <f>HYPERLINK("https://www.reddit.com/r/cancer/comments/d0pxfp/rare_pediatric_pre_leukemia/")</f>
        <v/>
      </c>
      <c r="G4608" t="inlineStr">
        <is>
          <t>2019-09-06 18:42:30</t>
        </is>
      </c>
      <c r="H4608" t="inlineStr"/>
    </row>
    <row r="4609">
      <c r="A4609" t="inlineStr">
        <is>
          <t>d0pxkj</t>
        </is>
      </c>
      <c r="B4609" t="inlineStr">
        <is>
          <t>Drifted off peacefully..</t>
        </is>
      </c>
      <c r="C4609" t="inlineStr">
        <is>
          <t>Just watched my pops drift off into the afterlife peacefully. Single hardest moment of my life but Im so grateful hes not in pain anymore. 66 months of battle. Toughest fucker ive ever met. 
We'll meet again pops. 
I love you.</t>
        </is>
      </c>
      <c r="D4609" t="n">
        <v>122</v>
      </c>
      <c r="E4609" t="n">
        <v>19</v>
      </c>
      <c r="F4609">
        <f>HYPERLINK("https://www.reddit.com/r/cancer/comments/d0pxkj/drifted_off_peacefully/")</f>
        <v/>
      </c>
      <c r="G4609" t="inlineStr">
        <is>
          <t>2019-09-06 18:42:53</t>
        </is>
      </c>
      <c r="H4609" t="inlineStr"/>
    </row>
    <row r="4610">
      <c r="A4610" t="inlineStr">
        <is>
          <t>d0q164</t>
        </is>
      </c>
      <c r="B4610" t="inlineStr">
        <is>
          <t>My wife's losing battle at 27. This could be her last day alive.</t>
        </is>
      </c>
      <c r="C4610" t="inlineStr">
        <is>
          <t>Hello everyone. I just want people to listen to my story. Me and my wife were dating since 2014, but we were friends before that. We officially got married in 2018 in beautiful Pennsylvania. We had a great marriage. There were no issues between us; whatever discourse we had we always settled on an agreement. She was always happy. What hurt us the most that at the beginning of 2019 in March, she was diagnosed with stage 4 breast cancer, which was a few days her birthday. That was the worst thing anyone wanted to hear a few days after their birthday. She was very gung-ho about taking chemotherapy and beating this cancer. She was very hopeful that she would beat this cancer and she had the dream of ringing the bell that was at the breast Care center signaling that it was their last chemotherapy to take on that day. she progressively started getting worse around July right after our 1st wedding anniversary. One week ago as of September sure she was admitted into the hospital for a low temperature and low blood pressure and it scared us both. As she was staying here she slowly started to drift out of consciousness. Her oncologist wanted to speak with me and her parents about her condition and we had asked her about her mortality. she was very hesitant at first to tell us because she was explaining what the cancer was doing to her and then she eventually told us at that time a week ago that she had about a few days to a few weeks left to live. this past week has been gut and heart-wrenching for everyone in her life not only just family but friends as well. She was the most purest person I had ever met she never had any malice towards anyone nor did she hate anyone. Anyone she met she always met with a big and kind smile, and now it looks like she only has 1 to 2 days left to live. I've been very strong for her this entire journey and I told myself that the only time I'd be able to cry would be when it is all over. Please I want to hear your kind words of support to keep me going. Thank you.</t>
        </is>
      </c>
      <c r="D4610" t="n">
        <v>112</v>
      </c>
      <c r="E4610" t="n">
        <v>38</v>
      </c>
      <c r="F4610">
        <f>HYPERLINK("https://www.reddit.com/r/cancer/comments/d0q164/my_wifes_losing_battle_at_27_this_could_be_her/")</f>
        <v/>
      </c>
      <c r="G4610" t="inlineStr">
        <is>
          <t>2019-09-06 18:51:59</t>
        </is>
      </c>
      <c r="H4610" t="inlineStr"/>
    </row>
    <row r="4611">
      <c r="A4611" t="inlineStr">
        <is>
          <t>d0rjq9</t>
        </is>
      </c>
      <c r="B4611" t="inlineStr">
        <is>
          <t>I'm in the Air Force and my Dad has cancer...</t>
        </is>
      </c>
      <c r="C4611" t="inlineStr">
        <is>
          <t>About 2 weeks ago, I got a frantic call from my dad's girlfriend. She said, "We're in the neuro ICU. Your dad has brain cancer. You need to get here." I contacted my leadership and got put on emergency leave, then took the first flight out the next morning.
I met my sister at the airport and she told me she'd learned that dad had 8 brain tumors, a mass in his lung, and growths in his adrenal glands. His brain had swollen so much so quickly that he was experiencing confusion and unsteadiness on his feet.
We walked in the door and I saw my dad for the first time in 2 years, hooked up to all kinds of machines and tubes, looking weaker than I'd ever seen. He mustered up as much enthusiasm as he could and spoke slowly but happily, "Hey kiddo!"  I choked out, "Hey dad! How are you?" He said, "Hanging in there. What else is there to do?" 
He spent the first several days in the ICU as they gave him heavy doses of steroids to bring down the swelling. Once his symptoms improved, they moved him to the oncology floor. I can only imagine his thoughts as he saw "Cancer Care" in shining letters on the wall in front of us as we passed through the doors. 
As his swelling went down his confusion cleared and balance improved. They began whole brain radiation to shrink the tumors. The biopsy results came back from the growths in his adrenal glands... Small cell lung cancer. I held his hand and cried in front of the doctors and everyone. The same thing killed his father less than 3 weeks after diagnosis.
He was sent home a week ago and I have stayed with him. He has opted to go for chemotherapy which begins in 3 weeks. All this time, only his brain tumors have been treated while the fast and agressive cancer in his lungs has been spreading.
I return to base across the country tomorrow and am terrified. I had to choose... stay here longer now, or be able to return later, but not both. I asked Dad what he wanted, he said for me to come back later. I am planning to be back for round 2 of chemo in October, but I'm scared he won't make it that far.
He seems to be doing alright now. Not 100%, but alright. I'm terrified I am making the wrong decision. I'm terrified this is good-bye. I'm terrified to see him suffer through chemo... I'm terrified to leave... I should be here for him but I can't.</t>
        </is>
      </c>
      <c r="D4611" t="n">
        <v>10</v>
      </c>
      <c r="E4611" t="n">
        <v>2</v>
      </c>
      <c r="F4611">
        <f>HYPERLINK("https://www.reddit.com/r/cancer/comments/d0rjq9/im_in_the_air_force_and_my_dad_has_cancer/")</f>
        <v/>
      </c>
      <c r="G4611" t="inlineStr">
        <is>
          <t>2019-09-06 21:23:53</t>
        </is>
      </c>
      <c r="H4611" t="inlineStr"/>
    </row>
    <row r="4612">
      <c r="A4612" t="inlineStr">
        <is>
          <t>d0sbh6</t>
        </is>
      </c>
      <c r="B4612" t="inlineStr">
        <is>
          <t>Dad has lung cancer. Any advice for relieving the severe pain? Doctors seem indifferent</t>
        </is>
      </c>
      <c r="C4612" t="inlineStr">
        <is>
          <t>My dad was diagnosed with stage 3b lung cancer a little more than a month ago. The doctors are still determining the specific type of cancer and took a sample of his lungs a couple of days ago. His coughing has become even more severe and more painful recently. It worries me because he sounds like he’s choking for air whenever he coughs. The doctors have given him nasal sprays and cough medication but they don’t do much because the main issue is that his bronchial tubes are shrinking. It’s frustrating that they still haven’t started the treatments for him yet and they’ve already delayed one of his appointments by 2 weeks. Is it normal for it to take so long before you receive the treatment? And is there anyone who has any ideas on how to relieve my dad’s pain?</t>
        </is>
      </c>
      <c r="D4612" t="n">
        <v>1</v>
      </c>
      <c r="E4612" t="n">
        <v>0</v>
      </c>
      <c r="F4612">
        <f>HYPERLINK("https://www.reddit.com/r/cancer/comments/d0sbh6/dad_has_lung_cancer_any_advice_for_relieving_the/")</f>
        <v/>
      </c>
      <c r="G4612" t="inlineStr">
        <is>
          <t>2019-09-06 22:53:18</t>
        </is>
      </c>
      <c r="H4612" t="inlineStr"/>
    </row>
    <row r="4613">
      <c r="A4613" t="inlineStr">
        <is>
          <t>d0tzuq</t>
        </is>
      </c>
      <c r="B4613" t="inlineStr">
        <is>
          <t>The machine is broken ...again</t>
        </is>
      </c>
      <c r="C4613" t="inlineStr">
        <is>
          <t>Radiation got cancelled again. The machine is still broken. Day 3, of no machine, no radiation, no clinic.   
Now it's the weekend, so that's 4 days off though I worry about every day it doesn't work is another one tacked to what was supposed to be the end. 
I'm tired of all of it. The hospital needs a new machine, a new waiting area, a new building, new paint, and wall paper so that it quits looking like my Grandma's dressing area. I have so much respect for all the doctors and techs who come out everyday to help us get better. How much does one of these behmoth machines cost, anyway?</t>
        </is>
      </c>
      <c r="D4613" t="n">
        <v>13</v>
      </c>
      <c r="E4613" t="n">
        <v>16</v>
      </c>
      <c r="F4613">
        <f>HYPERLINK("https://www.reddit.com/r/cancer/comments/d0tzuq/the_machine_is_broken_again/")</f>
        <v/>
      </c>
      <c r="G4613" t="inlineStr">
        <is>
          <t>2019-09-07 02:35:36</t>
        </is>
      </c>
      <c r="H4613" t="inlineStr"/>
    </row>
    <row r="4614">
      <c r="A4614" t="inlineStr">
        <is>
          <t>d0u66e</t>
        </is>
      </c>
      <c r="B4614" t="inlineStr">
        <is>
          <t>The Aftermathq</t>
        </is>
      </c>
      <c r="C4614" t="inlineStr">
        <is>
          <t>I don't liked being touched.
I don't like people coming from behind me and touching my hair, my head, or my back without announcing themselves first.
I don't do things the same as everyone else and I seem like I am too careful about everything. But lif only you would have been there every second of every day you'd see that me being too careful is actually just good precaution.
If you would have felt what it was like being forced to fall asleep with a strangers gloved hand against your head or shoulder not showing their face you wouldn't think I was just being obnoxious.
If only you could see, and feel exactly what I see and feel for at least one day you'd understand that just because my cancer is gone or in "remission" that doesn't mean I don't deal with the aftermath everyday.
Next time your family or friends don't want you doing something think about what they have gone through. Think about how the same situations would have made you feel and if you can't even imagine, then respect their wishes. We aren't being rude, we aren't trying to be disconnected we are just trying to cope.</t>
        </is>
      </c>
      <c r="D4614" t="n">
        <v>10</v>
      </c>
      <c r="E4614" t="n">
        <v>0</v>
      </c>
      <c r="F4614">
        <f>HYPERLINK("https://www.reddit.com/r/cancer/comments/d0u66e/the_aftermathq/")</f>
        <v/>
      </c>
      <c r="G4614" t="inlineStr">
        <is>
          <t>2019-09-07 02:58:20</t>
        </is>
      </c>
      <c r="H4614" t="inlineStr"/>
    </row>
    <row r="4615">
      <c r="A4615" t="inlineStr">
        <is>
          <t>d0uuxg</t>
        </is>
      </c>
      <c r="B4615" t="inlineStr">
        <is>
          <t>Stage 3 Cancer</t>
        </is>
      </c>
      <c r="C4615" t="inlineStr">
        <is>
          <t>My wife of 20 years received her diagnosis late last night. Stage 3 lung cancer. What do I do?</t>
        </is>
      </c>
      <c r="D4615" t="n">
        <v>5</v>
      </c>
      <c r="E4615" t="n">
        <v>3</v>
      </c>
      <c r="F4615">
        <f>HYPERLINK("https://www.reddit.com/r/cancer/comments/d0uuxg/stage_3_cancer/")</f>
        <v/>
      </c>
      <c r="G4615" t="inlineStr">
        <is>
          <t>2019-09-07 04:27:46</t>
        </is>
      </c>
      <c r="H4615" t="inlineStr"/>
    </row>
    <row r="4616">
      <c r="A4616" t="inlineStr">
        <is>
          <t>d0vtnz</t>
        </is>
      </c>
      <c r="B4616" t="inlineStr">
        <is>
          <t>Hi folks, new person here. I have some questions regarding biopsies and any success stories of secondary liver cancer</t>
        </is>
      </c>
      <c r="C4616" t="inlineStr">
        <is>
          <t>My mom was diagnosed with a rare type of eye cancer, choroidal melanoma, 6 years ago. She ass whooped that freckle to hell and in a couple weeks is her first yearly check up with her doc. As you all know, that comes with typical scans and tests beforehand which have came back splendid in the past. Her loser freckle has shrank so much that when she’s being checked at the doc, they look at it and measure it, but stopped telling us the size because it’s just so small, a fraction of a millimeter.
So this time with the pre appointment scans, they found a 25 millimeter mass in her liver, and a lymph node in her lung is (I can’t remember exact wording and I don’t want to ask again) noticeable, is enlarged, is pissed off, idk. Not good. She got a CT scan yesterday and her primary nurse practitioner called this morning to say she needs a biopsy of her liver mass, but with the weekend here, the radiologist office hasn’t called to make an appointment and brushed her off when she called herself so now we’ve got all weekend to stress and bury our heads in the sand collectively as a family lol.
So, I’ve tried researching to figure out the point of a biopsy regarding this issue and can’t seem to make sense of the Why. The liver is the most common place for metastasizing (90%), and it’s usually because of the cells getting into the lymph nodes (if I’m paraphrasing that correctly..). My mom is certain it’s metastasized, but would a biopsy find out if she just got hit with another, separate cancer? Would the cells look different if that were the case? Would the biopsy determine what the treatment options are? Or the severity of the cancer, like if it’s aggressive or not too far along, if it was caught soon, or too far along? What are the options if she refused the biopsy, would that mean she is refusing all treatment or is the biopsy the gateway to treatment? Can you even get treatment without a biopsy?
Obviously I’m having a hard time finding the information I want, even at cancer centered sites. Her nurse practitioner isn’t an oncologist nor is she a doctor so she didn’t have a ton of information. And I know these are all excellent questions for a doctor or oncologist or her eye doc in a couple weeks, which we’ll ask, but I figured it wouldn’t hurt to ask here too.
Also, has anyone here survived something like this? Or known someone who did? All the articles and studies I’ve read have been incredibly bleak and downright terrifying.</t>
        </is>
      </c>
      <c r="D4616" t="n">
        <v>3</v>
      </c>
      <c r="E4616" t="n">
        <v>2</v>
      </c>
      <c r="F4616">
        <f>HYPERLINK("https://www.reddit.com/r/cancer/comments/d0vtnz/hi_folks_new_person_here_i_have_some_questions/")</f>
        <v/>
      </c>
      <c r="G4616" t="inlineStr">
        <is>
          <t>2019-09-07 06:14:10</t>
        </is>
      </c>
      <c r="H4616" t="inlineStr"/>
    </row>
    <row r="4617">
      <c r="A4617" t="inlineStr">
        <is>
          <t>d0wznm</t>
        </is>
      </c>
      <c r="B4617" t="inlineStr">
        <is>
          <t>What can I do for my uncle for his last few days? And more importantly what can I do for my aunt?</t>
        </is>
      </c>
      <c r="C4617" t="inlineStr">
        <is>
          <t>Hello all. My uncle was diagnosed with Cancer June 4th 2019, and by the time it was discovered it was already terminal. Everything has progressed quickly and today he was released from the hospital for the last time and he and the doctors have decided its best to discontinue treatment and let the infection take over. He just got home today with hospice care. I would like to do SOMETHING ANYTHING to make their lives just a little easier over these next few days. This entire ordeal has rocked my family to the core.  I’m sure many of you know the feeling.  Should I make homemade meals they can heat up? Or gift cards? What would have made your lives just a smidge easier during a time like this? All ideas are welcome. I’m so sad. And I hate that there is nothing I can do.</t>
        </is>
      </c>
      <c r="D4617" t="n">
        <v>5</v>
      </c>
      <c r="E4617" t="n">
        <v>10</v>
      </c>
      <c r="F4617">
        <f>HYPERLINK("https://www.reddit.com/r/cancer/comments/d0wznm/what_can_i_do_for_my_uncle_for_his_last_few_days/")</f>
        <v/>
      </c>
      <c r="G4617" t="inlineStr">
        <is>
          <t>2019-09-07 07:58:26</t>
        </is>
      </c>
      <c r="H4617" t="inlineStr"/>
    </row>
    <row r="4618">
      <c r="A4618" t="inlineStr">
        <is>
          <t>d0x11a</t>
        </is>
      </c>
      <c r="B4618" t="inlineStr">
        <is>
          <t>My mother found a strange mole on her back.</t>
        </is>
      </c>
      <c r="C4618" t="inlineStr">
        <is>
          <t>She found it a couple weeks ago and is going to see a doctor. 
She works in a hospital so as a favour she got someone she knows to look at it and on a scale of benign to, malignant? She’s in the middle. 
It’s dark in the middle and crusty apparently. 
I’m not worried yet, I feel like I should be but I’m so calm about it 
If it turns out the mole is cancerous and she dies I’ll never be the same. 
I don’t know what I was hoping for by posting this, I guess I just wanted to tell someone. I haven’t told anyone in person, not even my best friend.</t>
        </is>
      </c>
      <c r="D4618" t="n">
        <v>1</v>
      </c>
      <c r="E4618" t="n">
        <v>4</v>
      </c>
      <c r="F4618">
        <f>HYPERLINK("https://www.reddit.com/r/cancer/comments/d0x11a/my_mother_found_a_strange_mole_on_her_back/")</f>
        <v/>
      </c>
      <c r="G4618" t="inlineStr">
        <is>
          <t>2019-09-07 08:01:39</t>
        </is>
      </c>
      <c r="H4618" t="inlineStr"/>
    </row>
    <row r="4619">
      <c r="A4619" t="inlineStr">
        <is>
          <t>d0y1bm</t>
        </is>
      </c>
      <c r="B4619" t="inlineStr">
        <is>
          <t>Any advice for how I can help my mom who is dreading chemo?</t>
        </is>
      </c>
      <c r="C4619" t="inlineStr">
        <is>
          <t>I turned 27 yesterday, and My 63yo mom was diagnosed with stage 4 colon cancer less than a month ago (can’t believe it has only been that long!). She had surgery a week after diagnosis but now is going to start chemo (FULFOX) to try and shrink the metastatic tumors near the hepatic arteries on her liver so they can be safely removed, and just to extend life in general. She is very fearful of chemo, having watched her mother through the same process. I was approved by my workplace to work remotely so I can be there with her during the tough times (and to make some good memories while I have her with me). Does anyone have any advice of how to best support her through this? I honestly have no idea what I am doing and appreciate any ideas or wisdom you might have to offer. Thanks all.</t>
        </is>
      </c>
      <c r="D4619" t="n">
        <v>3</v>
      </c>
      <c r="E4619" t="n">
        <v>4</v>
      </c>
      <c r="F4619">
        <f>HYPERLINK("https://www.reddit.com/r/cancer/comments/d0y1bm/any_advice_for_how_i_can_help_my_mom_who_is/")</f>
        <v/>
      </c>
      <c r="G4619" t="inlineStr">
        <is>
          <t>2019-09-07 09:21:40</t>
        </is>
      </c>
      <c r="H4619" t="inlineStr"/>
    </row>
    <row r="4620">
      <c r="A4620" t="inlineStr">
        <is>
          <t>d0zs6x</t>
        </is>
      </c>
      <c r="B4620" t="inlineStr">
        <is>
          <t>Mum got diagnosed with cancer.</t>
        </is>
      </c>
      <c r="C4620" t="inlineStr">
        <is>
          <t>Hey guys!
My mum got diagnosed with Breast Cancer on Thursday, but we're still unsure of the stage. They said it's in her breast and has also tried spreading to her lymph gland, but we'll find out more about it on Monday.
She needs to have surgery and 6 months of chemotherapy, followed by radiotherapy.
I don't know why I'm writing here really, but I think I'm just scared and trying to hold it together. I'm so worried and haven't been eating or sleeping because I'm so terrified of losing her. I can't imagine life without my mum.
My partner has been really good at comforting me, but I'm honestly devastated. 
Fuck cancer.</t>
        </is>
      </c>
      <c r="D4620" t="n">
        <v>18</v>
      </c>
      <c r="E4620" t="n">
        <v>5</v>
      </c>
      <c r="F4620">
        <f>HYPERLINK("https://www.reddit.com/r/cancer/comments/d0zs6x/mum_got_diagnosed_with_cancer/")</f>
        <v/>
      </c>
      <c r="G4620" t="inlineStr">
        <is>
          <t>2019-09-07 11:38:17</t>
        </is>
      </c>
      <c r="H4620" t="inlineStr"/>
    </row>
    <row r="4621">
      <c r="A4621" t="inlineStr">
        <is>
          <t>d0zx7v</t>
        </is>
      </c>
      <c r="B4621" t="inlineStr">
        <is>
          <t>Big public hospital threatening to not to treat my mom due to her financial situation</t>
        </is>
      </c>
      <c r="C4621" t="inlineStr">
        <is>
          <t xml:space="preserve">
Mom was Dx with breast cancer stage 3 about a month ago at a really big hospital here in my state. She was extremely sick so they kept her a few day’s while running tests and scans. The communication among the staff , especially the nurses and social workers  ,was extremely bad, but as individuals, they were ok. Very stressful experience to say the least.
Anyways, during the time she was checked in , The hospital wanted her to fill out a financial aid application to cover her treatment since she’s uninsured and unemployed. She did and the social worker who helped her fill it out told her it would be submitted and processed . Fast forward to a week later to when a port and her first treatment was to be given, they said that she had never submitted the app because they couldn’t find it in the system. So they were initially refusing to give the port and treatment. After a bit of discussion, they agreed to do the first treatment anyways. Fast forward to 2 weeks later , which was a few days ago, I was accompanying my mom to the her follow up where the front desk lady informed my mom that they had still not found her paperwork and that the next treatment might not happen because of this. I was immediately upset and explained the entire situation to the lady and she began to look “more” into things and finally found the app in the system pending still! She said that the social workers suck and they always screw thongs up and we should have brought the paperwork straight to the cancer floor of the hospital and it would’ve only taking a week. Arghh like how would we know that? She said to keep calling to check on the status throughout the week. 
Anyways we went in to see my mom’s  oncologist and she did a routine follow up and then at the end  said that she wouldn’t be able to do her next treatment in a week and a half unless the financial aid was approved by the hospital!!! Is this normal and ok for a big public hospital to do? We feel trapped because she doesn’t have the option of switching hospitals right now and she completed her part of the financial assistance process. She also signed up for Medicaid a few weeks back and it could take months to be approved so no switching hospitals I guess?</t>
        </is>
      </c>
      <c r="D4621" t="n">
        <v>7</v>
      </c>
      <c r="E4621" t="n">
        <v>13</v>
      </c>
      <c r="F4621">
        <f>HYPERLINK("https://www.reddit.com/r/cancer/comments/d0zx7v/big_public_hospital_threatening_to_not_to_treat/")</f>
        <v/>
      </c>
      <c r="G4621" t="inlineStr">
        <is>
          <t>2019-09-07 11:49:04</t>
        </is>
      </c>
      <c r="H4621" t="inlineStr"/>
    </row>
    <row r="4622">
      <c r="A4622" t="inlineStr">
        <is>
          <t>d10z7q</t>
        </is>
      </c>
      <c r="B4622" t="inlineStr">
        <is>
          <t>I‘m soon dead my doctor says, so I‘m saying my last goodbyes on here</t>
        </is>
      </c>
      <c r="C4622" t="inlineStr">
        <is>
          <t>I‘m dying of cancer. It was an awesome time, thank you for all your support. Soon I‘ll delete my profile (in 2-14 days when I have time) and I‘m never coming back on reddit. I‘m sorry for putting you trough this. I loved you all, I really did, you helped me see things positive. But positive is nothing when you have cancer. I‘m not much longer on this beautiful earth. I‘m sorry for leaving you like this but I have to go. Please keep me in mind and fight for your dreams. I just want to say goodbye this is really what I want. Feeling so melancholic. Goodbye reddit. Soon to be deleted. I hope you find peace. Goodbye. Your friend Lolly. Please never forget me.</t>
        </is>
      </c>
      <c r="D4622" t="n">
        <v>92</v>
      </c>
      <c r="E4622" t="n">
        <v>31</v>
      </c>
      <c r="F4622">
        <f>HYPERLINK("https://www.reddit.com/r/cancer/comments/d10z7q/im_soon_dead_my_doctor_says_so_im_saying_my_last/")</f>
        <v/>
      </c>
      <c r="G4622" t="inlineStr">
        <is>
          <t>2019-09-07 13:11:32</t>
        </is>
      </c>
      <c r="H4622" t="inlineStr"/>
    </row>
    <row r="4623">
      <c r="A4623" t="inlineStr">
        <is>
          <t>d12818</t>
        </is>
      </c>
      <c r="B4623" t="inlineStr">
        <is>
          <t>Any other caregivers feel like they put their life on “hold,” and then feel guilty for feeling that?</t>
        </is>
      </c>
      <c r="C4623" t="inlineStr">
        <is>
          <t>I just graduated from college, and was supposed to start law school this year. I had been accepted, had a lease, the whole 9 yards. Then we got a new diagnosis for Mom and realized she’d need treatment out of state. So I decided to take a year off. 
My friends have all moved on. Law school classes have started. I’m stuck in a state where I have no connections taking care of my mom at the age of 22. And I know that’s not young, that people younger than me have done stuff a lot harder. But man. I just feel so weird for having a year off and then feel guilty that I feel like it’s being “wasted” because I’m not working or at an internship or in classes. 
I’m glad I’m spending time with my mom and can help here while my dad has to stay home and work. I’m so grateful we as a family can afford to do this and I know it can be worse. But also, I know it can be worse. Mom has metaplastic breast cancer and it’s not responding to chemo, so what if it does get worse and I’m the one who has to be here alone? Do I not go to law school again next year? How long do I take off?
I just feel so young and unprepared and overwhelmed. Caregivers, how do you deal with guilt while still trying to be the best for your family member?</t>
        </is>
      </c>
      <c r="D4623" t="n">
        <v>4</v>
      </c>
      <c r="E4623" t="n">
        <v>8</v>
      </c>
      <c r="F4623">
        <f>HYPERLINK("https://www.reddit.com/r/cancer/comments/d12818/any_other_caregivers_feel_like_they_put_their/")</f>
        <v/>
      </c>
      <c r="G4623" t="inlineStr">
        <is>
          <t>2019-09-07 14:51:20</t>
        </is>
      </c>
      <c r="H4623" t="inlineStr"/>
    </row>
    <row r="4624">
      <c r="A4624" t="inlineStr">
        <is>
          <t>d12gto</t>
        </is>
      </c>
      <c r="B4624" t="inlineStr">
        <is>
          <t>Finding out about relapse results online</t>
        </is>
      </c>
      <c r="C4624" t="inlineStr">
        <is>
          <t>Hi r/cancer. I just found out today that my Dad’s leukemia relapsed. We found out based on results posted online. I’m sure it was a mistake, but I’m pretty upset. Has this ever happened to anyone else where results were posted before a doctor called or you were told in an appointment? Was it a mistake? 
Honestly I think I’m focusing on this because I’m in shock that my dad relapsed but I’m dealing as well as I can. 
Thanks in advance.</t>
        </is>
      </c>
      <c r="D4624" t="n">
        <v>5</v>
      </c>
      <c r="E4624" t="n">
        <v>10</v>
      </c>
      <c r="F4624">
        <f>HYPERLINK("https://www.reddit.com/r/cancer/comments/d12gto/finding_out_about_relapse_results_online/")</f>
        <v/>
      </c>
      <c r="G4624" t="inlineStr">
        <is>
          <t>2019-09-07 15:11:37</t>
        </is>
      </c>
      <c r="H4624" t="inlineStr"/>
    </row>
    <row r="4625">
      <c r="A4625" t="inlineStr">
        <is>
          <t>d12ilk</t>
        </is>
      </c>
      <c r="B4625" t="inlineStr">
        <is>
          <t>Note: My hair on my profile pic is not me...</t>
        </is>
      </c>
      <c r="C4625" t="inlineStr">
        <is>
          <t>...it‘s just really, really similar &amp;amp; my head is similar. Please be gentle. Goodnight. For clarification.</t>
        </is>
      </c>
      <c r="D4625" t="n">
        <v>0</v>
      </c>
      <c r="E4625" t="n">
        <v>0</v>
      </c>
      <c r="F4625">
        <f>HYPERLINK("https://www.reddit.com/r/cancer/comments/d12ilk/note_my_hair_on_my_profile_pic_is_not_me/")</f>
        <v/>
      </c>
      <c r="G4625" t="inlineStr">
        <is>
          <t>2019-09-07 15:15:41</t>
        </is>
      </c>
      <c r="H4625" t="inlineStr"/>
    </row>
    <row r="4626">
      <c r="A4626" t="inlineStr">
        <is>
          <t>d133ny</t>
        </is>
      </c>
      <c r="B4626" t="inlineStr">
        <is>
          <t>What an incredible bunch of people you are</t>
        </is>
      </c>
      <c r="C4626" t="inlineStr">
        <is>
          <t>I thank god am not a cancer patient but reading this sub is an absolute rollercoaster of heartbreaking and heartwarming stories that just makes ne want to give each one of you the biggest hug.  I really wish all of you stay strong in the face of this monster and  hopefully send it back to hell where it belongs. Bye bye hope you have a lovely day.</t>
        </is>
      </c>
      <c r="D4626" t="n">
        <v>14</v>
      </c>
      <c r="E4626" t="n">
        <v>2</v>
      </c>
      <c r="F4626">
        <f>HYPERLINK("https://www.reddit.com/r/cancer/comments/d133ny/what_an_incredible_bunch_of_people_you_are/")</f>
        <v/>
      </c>
      <c r="G4626" t="inlineStr">
        <is>
          <t>2019-09-07 16:04:42</t>
        </is>
      </c>
      <c r="H4626" t="inlineStr"/>
    </row>
    <row r="4627">
      <c r="A4627" t="inlineStr">
        <is>
          <t>d13dfs</t>
        </is>
      </c>
      <c r="B4627" t="inlineStr">
        <is>
          <t>Hair thinning</t>
        </is>
      </c>
      <c r="C4627" t="inlineStr">
        <is>
          <t>I (22f) started targeted therapy after some rounds of immunotheraphy. The side effects of the treatment have been pretty light weight compared to those I had during immunotherapy but it has been causing some hair thinning/loss. My hair has always been a big part of my identity and the hair thinning has taken a toll on my self esteem. 
I was wondering if anyone had any tips regarding this, maybe some hair products or hair styles they recommend</t>
        </is>
      </c>
      <c r="D4627" t="n">
        <v>3</v>
      </c>
      <c r="E4627" t="n">
        <v>6</v>
      </c>
      <c r="F4627">
        <f>HYPERLINK("https://www.reddit.com/r/cancer/comments/d13dfs/hair_thinning/")</f>
        <v/>
      </c>
      <c r="G4627" t="inlineStr">
        <is>
          <t>2019-09-07 16:28:10</t>
        </is>
      </c>
      <c r="H4627" t="inlineStr"/>
    </row>
    <row r="4628">
      <c r="A4628" t="inlineStr">
        <is>
          <t>d13x1z</t>
        </is>
      </c>
      <c r="B4628" t="inlineStr">
        <is>
          <t>Armpit problems??</t>
        </is>
      </c>
      <c r="C4628" t="inlineStr">
        <is>
          <t>Hey guys, now I in no way am trying to be rude. And I’m not asking the ‘is this cancer question’ But lately, my breast had felt different too me it’s hard to explain. They just feel heavier and tense and firm. And I asked my dr if I could have a scan and she said no because I’m 21 I should no be worried, and she taught me how to ‘properly’ feel for breast lumps. Because I was pushing too hard and thought the muscle in my boob was lumps. Well lately my armpits have been hurting and itchy and sore. I’ve changed deodorants. I’ve went from, regular, to gel, to even spray on. And I’ve even stopped shaving. Used new razors. New soaps. Everything nothing has changed. 
I have been really nervous about breast cancer lately because my fiancé’s 20 year old sister just got diagnosed, and we both have the same breast related symptoms that we would joke about. But we are different drs, and my next appt I’m going to ask for an actual scan. 
Do you think this is something I should be concerned about and actually demand my dr to treat me for? I have an appointment with her in a few months and was wondering if anyone thinks I’m over reacting or it’s actuallly a concern and should push up my next visit?</t>
        </is>
      </c>
      <c r="D4628" t="n">
        <v>3</v>
      </c>
      <c r="E4628" t="n">
        <v>5</v>
      </c>
      <c r="F4628">
        <f>HYPERLINK("https://www.reddit.com/r/cancer/comments/d13x1z/armpit_problems/")</f>
        <v/>
      </c>
      <c r="G4628" t="inlineStr">
        <is>
          <t>2019-09-07 17:17:32</t>
        </is>
      </c>
      <c r="H4628" t="inlineStr"/>
    </row>
    <row r="4629">
      <c r="A4629" t="inlineStr">
        <is>
          <t>d145bd</t>
        </is>
      </c>
      <c r="B4629" t="inlineStr">
        <is>
          <t>My grandma got diagnosed this week, they gave her 6-9 months with treatment.</t>
        </is>
      </c>
      <c r="C4629" t="inlineStr">
        <is>
          <t>Hi all. I’m new to this sub so please be easy on me. I’m just having such a hard time.. sorry for the format btw I’m on mobile.. My grandma has stage 4 lung cancer. The cancer is super aggressive to where it has left us all in complete and utter disbelief. I understand that we all go at some point; but my brain cannot wrap around how just a few weeks ago, we were out and about living our best lives with her to now she has an expiration date? She’s the type of woman who doesn’t even like to take a Tylenol when she’s got a headache so we don’t know if she’ll agree to chemo. I know that we should all try to stay positive but I am feeling like I already lost her and it’s horrible because I want to be in the best spirits for her but I can’t seem to keep myself together. How do you come to terms with this kind of thing? Is there any ideas on how to make her feel more comfortable in the meantime? I’ve lived with her my entire life, she’s turning 71 in November. I haven’t even come to think of what my life would be without her. I’ve always pictured her there for my wedding day or having children. I feel so broken and so detached.. help me..</t>
        </is>
      </c>
      <c r="D4629" t="n">
        <v>3</v>
      </c>
      <c r="E4629" t="n">
        <v>4</v>
      </c>
      <c r="F4629">
        <f>HYPERLINK("https://www.reddit.com/r/cancer/comments/d145bd/my_grandma_got_diagnosed_this_week_they_gave_her/")</f>
        <v/>
      </c>
      <c r="G4629" t="inlineStr">
        <is>
          <t>2019-09-07 17:38:09</t>
        </is>
      </c>
      <c r="H4629" t="inlineStr"/>
    </row>
    <row r="4630">
      <c r="A4630" t="inlineStr">
        <is>
          <t>d148on</t>
        </is>
      </c>
      <c r="B4630" t="inlineStr">
        <is>
          <t>I was not expecting people to be so avoidant towards my family and I</t>
        </is>
      </c>
      <c r="C4630" t="inlineStr">
        <is>
          <t>I share a workplace with my father and he was recently diagnosed with lymphoma. He didn't want to tell people because he feared how they'd react and now I understand why. People are just plain weird around us now. I understand that they don't know what to say, but they don't need to avoid us. 
They signed a card to give to us when he was in surgery, but that was the extent of their generosity. Most of these people are older(baby boomers) so I'd think they'd have experience with being around illness before. 
My coworkers who would talk to me regularly during breaks are now avoiding me. During a work meeting, no one would even so much as make eye contact with me and I'm not even the one that's sick! 
There are two coworkers who have (fortunately) been really supportive though. They've even offered to come to the house and my dad's lawn, cook him meals, etc. I'm really thankful for them, at least.</t>
        </is>
      </c>
      <c r="D4630" t="n">
        <v>12</v>
      </c>
      <c r="E4630" t="n">
        <v>6</v>
      </c>
      <c r="F4630">
        <f>HYPERLINK("https://www.reddit.com/r/cancer/comments/d148on/i_was_not_expecting_people_to_be_so_avoidant/")</f>
        <v/>
      </c>
      <c r="G4630" t="inlineStr">
        <is>
          <t>2019-09-07 17:47:00</t>
        </is>
      </c>
      <c r="H4630" t="inlineStr"/>
    </row>
    <row r="4631">
      <c r="A4631" t="inlineStr">
        <is>
          <t>d14ou3</t>
        </is>
      </c>
      <c r="B4631" t="inlineStr">
        <is>
          <t>I kinda like having cancer sometimes</t>
        </is>
      </c>
      <c r="C4631" t="inlineStr">
        <is>
          <t>It sucks in all of the obvious ways of course. If I could choose, I’d clearly choose to not have it.
BUT you can have so much fun with it (depending on circumstance of course). 
I lost my hair, teeth are damaged, kidneys close to failing, lost a leg and my body is riddled with scars. 
I absolutely LOVE being a dickhead to assholes. Narcissistic people that have told me shit about my hair/teeth; put things in a way that got them close to tears when I told them the why. Stuff like this is the most common I feel, it’s funny but it’s not the best. 
The best shit is my leg. This isn’t strictly cancer related, but my amputation happened due to cancer so. 
Couple examples: Old lady telling me I shouldn’t steal handicap parking spots from people that really need it; showed her my leg and her face literally brings me close to tears (laughing) whenever I think about it.
20-something that’s thinking he’s THE BEST and MOST RIGHTEOUS person in the world telling me again, I shouldn’t steal the handicap parking spot from people that really need it. I asked him why I don’t deserve it. He said because I don’t need it. I asked but what about invisible diseases. He said well you clearly don’t have one. I asked him what invisible means. He told me I should grow up. I showed him my leg..........it was beautiful. 
Cancer is a disease that kills insane amounts of people. It’s a terrifying and horrible disease that’s ruined hundreds of thousands of families. I’m a 24 year old that’s had cancer for 15 years, and while I can’t say it’s been easy, I have found many ways to have fun with it. 
What’s some funny cancer related stories and what’s some fun cancer related pranks you’ve done or wish you could pull off? I’d love a laugh, and if I think it’s possible I’ll definitely end up stealing your prank haha. Thanks!</t>
        </is>
      </c>
      <c r="D4631" t="n">
        <v>57</v>
      </c>
      <c r="E4631" t="n">
        <v>45</v>
      </c>
      <c r="F4631">
        <f>HYPERLINK("https://www.reddit.com/r/cancer/comments/d14ou3/i_kinda_like_having_cancer_sometimes/")</f>
        <v/>
      </c>
      <c r="G4631" t="inlineStr">
        <is>
          <t>2019-09-07 18:29:26</t>
        </is>
      </c>
      <c r="H4631" t="inlineStr"/>
    </row>
    <row r="4632">
      <c r="A4632" t="inlineStr">
        <is>
          <t>d14tut</t>
        </is>
      </c>
      <c r="B4632" t="inlineStr">
        <is>
          <t>Opdivo causing UC?</t>
        </is>
      </c>
      <c r="C4632" t="inlineStr">
        <is>
          <t>Let me start this off by saying I’ve had UC for 20 years now. As of last year I was diagnosed with stage 4 melanoma. My doctors decided the best course of action to treat the melanoma is to be put on opdivo. I’ve had 3 treatments of that which has caused my UC to spiral out of control. I’m currently off the opdivo in order to get my UC under control but unfortunately it’s not working and I’m thinking a surgery is in my near future for the UC. My question to everyone out there is when taking a medication like opdivo with the possibly side affects of UC, what does that entail? Is it restricted to just diarrhea? Cramps? I’m trying to get as much information as possible from people who have gone through something similar to help with my decision.</t>
        </is>
      </c>
      <c r="D4632" t="n">
        <v>4</v>
      </c>
      <c r="E4632" t="n">
        <v>4</v>
      </c>
      <c r="F4632">
        <f>HYPERLINK("https://www.reddit.com/r/cancer/comments/d14tut/opdivo_causing_uc/")</f>
        <v/>
      </c>
      <c r="G4632" t="inlineStr">
        <is>
          <t>2019-09-07 18:42:26</t>
        </is>
      </c>
      <c r="H4632" t="inlineStr"/>
    </row>
    <row r="4633">
      <c r="A4633" t="inlineStr">
        <is>
          <t>d156a0</t>
        </is>
      </c>
      <c r="B4633" t="inlineStr">
        <is>
          <t>Why avoid hot or cold to areas affected by radiation?</t>
        </is>
      </c>
      <c r="C4633" t="inlineStr">
        <is>
          <t>Hey I'm just wondering why it's needed to avoid hot or cold to areas affected by radiation and will I be ok in a air condition room? It's pretty hot where I live and I've been in a air condition room for the past couple of months since radiation</t>
        </is>
      </c>
      <c r="D4633" t="n">
        <v>2</v>
      </c>
      <c r="E4633" t="n">
        <v>4</v>
      </c>
      <c r="F4633">
        <f>HYPERLINK("https://www.reddit.com/r/cancer/comments/d156a0/why_avoid_hot_or_cold_to_areas_affected_by/")</f>
        <v/>
      </c>
      <c r="G4633" t="inlineStr">
        <is>
          <t>2019-09-07 19:15:24</t>
        </is>
      </c>
      <c r="H4633" t="inlineStr"/>
    </row>
    <row r="4634">
      <c r="A4634" t="inlineStr">
        <is>
          <t>d15u5c</t>
        </is>
      </c>
      <c r="B4634" t="inlineStr">
        <is>
          <t>My mom has 4 months</t>
        </is>
      </c>
      <c r="C4634" t="inlineStr">
        <is>
          <t>Fuck man, I thought we had years left, I thought she would see me graduate high school, now there’s a good chance she won’t see my brother, her oldest, graduate. 
I never felt survivors guilt before but I don’t see why my mom who is an amazing person gets this and I came out of it fine. 
My mom got diagnosed a month after I finished treatment.</t>
        </is>
      </c>
      <c r="D4634" t="n">
        <v>1</v>
      </c>
      <c r="E4634" t="n">
        <v>0</v>
      </c>
      <c r="F4634">
        <f>HYPERLINK("https://www.reddit.com/r/cancer/comments/d15u5c/my_mom_has_4_months/")</f>
        <v/>
      </c>
      <c r="G4634" t="inlineStr">
        <is>
          <t>2019-09-07 20:19:56</t>
        </is>
      </c>
      <c r="H4634" t="inlineStr"/>
    </row>
    <row r="4635">
      <c r="A4635" t="inlineStr">
        <is>
          <t>d1bryl</t>
        </is>
      </c>
      <c r="B4635" t="inlineStr">
        <is>
          <t>Caregivers, have any of you developed anxiety over your own health after a loved one was diagnosed with cancer?</t>
        </is>
      </c>
      <c r="C4635" t="inlineStr">
        <is>
          <t>Ever since my mom was told she has cancer, I can't help but feel extremely anxious and worried about my own health and that I may also have cancer. I have always been a borderline hypochondriac for as long as I can remember. Even as a kid, I've always worried about my health and getting deadly diseases. However, it was never sever enough where it would affect my daily life -- until now. Although I'm being supportive of my mom, I feel guilty for worrying so much about my own health right now because I feel like I should be using that energy to be even more supportive of her, but I just can't help it though. 
My mom always stayed on top of her yearly exams, yet the cancer was not found until a CT scan for something unrelated picked up lytic lesions in her bones. Blood work, cancer screenings, physicals, etc. yielded nothing abnormal, but here we are starting chemo for stage IV breast cancer. 
I'm now struggling with anxiety and worry about my own health and how, if this can happen to my mom who always got checked, it can definitely (or will) happen to me. The bad thing is that my mom is usually the person I turn to whenever I have any worries or concerns about anything in life, but I haven't talked to her about what I'm going through in terms of my anxiety because she already has a lot on her plate right now. This is why I'm sharing this here. Perhaps other caregivers are going through or went through similar concerns regarding their own health?</t>
        </is>
      </c>
      <c r="D4635" t="n">
        <v>4</v>
      </c>
      <c r="E4635" t="n">
        <v>2</v>
      </c>
      <c r="F4635">
        <f>HYPERLINK("https://www.reddit.com/r/cancer/comments/d1bryl/caregivers_have_any_of_you_developed_anxiety_over/")</f>
        <v/>
      </c>
      <c r="G4635" t="inlineStr">
        <is>
          <t>2019-09-08 07:44:48</t>
        </is>
      </c>
      <c r="H4635" t="inlineStr"/>
    </row>
    <row r="4636">
      <c r="A4636" t="inlineStr">
        <is>
          <t>d1bszg</t>
        </is>
      </c>
      <c r="B4636" t="inlineStr">
        <is>
          <t>My mother seems to have pancreatic cancer, what can/should i do now?I'm so lost.</t>
        </is>
      </c>
      <c r="C4636" t="inlineStr">
        <is>
          <t>A few months ago my mother literally gave up her job in Germany and came back so she can be besides me when i get the chemo for testicular cancer.She helped me finish my chemo, and now i'm on post chemo checkups,but because i didn't finished the chemo in an orderly fashion it might return,the CT in next month will be decisive.
 Two weeks ago she got back pain and tiredness, a week ago she also got jaundice,darkened urine,white stool, so we went to the hospital where an ultrasound was done which said some enlargements in her pancreatic area,her CA-19-9 markers were 324,600 which is way above 39,000 which is said to be the normal maximum, we are still waiting for the CT analysis but so far this seems to be pancreatic adenocarcinoma,which is nearly 100% deadly.She is also a heavy smoker which makes pancreatic adenocarcinoma even more likely.
So she gives up her job and come home to help me deal with my cancer and now she gets a much worse cancer herself, this is so messed up.
How long can she live?I'm guessing between a few weeks to a 2-6 months.
What can Chemo do?
Can the new targeted therapies help her?I read that the answer is a no but it is such a new and rapidly advancing treatment method that what i read might be outdated. 
Can CBD help in any way?  
What can i do?What should i do?</t>
        </is>
      </c>
      <c r="D4636" t="n">
        <v>3</v>
      </c>
      <c r="E4636" t="n">
        <v>1</v>
      </c>
      <c r="F4636">
        <f>HYPERLINK("https://www.reddit.com/r/cancer/comments/d1bszg/my_mother_seems_to_have_pancreatic_cancer_what/")</f>
        <v/>
      </c>
      <c r="G4636" t="inlineStr">
        <is>
          <t>2019-09-08 07:47:12</t>
        </is>
      </c>
      <c r="H4636" t="inlineStr"/>
    </row>
    <row r="4637">
      <c r="A4637" t="inlineStr">
        <is>
          <t>d1bx69</t>
        </is>
      </c>
      <c r="B4637" t="inlineStr">
        <is>
          <t>Doctors say may dad may have beat stage IV lung cancer.</t>
        </is>
      </c>
      <c r="C4637" t="inlineStr">
        <is>
          <t>August 2017, my dad was diagnosed with stage IV NSCLC. I still remember walking into the hospital room to find him meeting with the priest. It was scary how fast he deteriorated after that, there were times I didn't think he would survive to see the new year.
Two years later, and we just celebrated him 75th birthday. He's happy, healthy, and full of life. The doctors are telling him he may have beaten stage IV lung cancer. There's been no evidence of growth on any of his scans in over a year now. He has two more infusions and then they are going to take him off treatment and monitor for growth. Fingers crossed, there won't be any, and he can live out the rest of his days in peace.
A BIG THANK YOU to the doctors and physicians of Emory University Hopsital in Atlanta. I am so glad we went with them and not the first oncologist we talked to. (ALWAYS get a second opinion.) And a BIG THANK YOU to everyone on this subreddit who gave us comfort and advice in the early days. One thing this has taught me, no matter how bad the diagnosis, THERE IS HOPE, and it isn't a false hope. Prayers go out to everyone here who is fighting their own battle against this evil disease. Thank you, and all the best.</t>
        </is>
      </c>
      <c r="D4637" t="n">
        <v>115</v>
      </c>
      <c r="E4637" t="n">
        <v>18</v>
      </c>
      <c r="F4637">
        <f>HYPERLINK("https://www.reddit.com/r/cancer/comments/d1bx69/doctors_say_may_dad_may_have_beat_stage_iv_lung/")</f>
        <v/>
      </c>
      <c r="G4637" t="inlineStr">
        <is>
          <t>2019-09-08 07:56:18</t>
        </is>
      </c>
      <c r="H4637" t="inlineStr"/>
    </row>
    <row r="4638">
      <c r="A4638" t="inlineStr">
        <is>
          <t>d1csd1</t>
        </is>
      </c>
      <c r="B4638" t="inlineStr">
        <is>
          <t>Nausea 5 years later</t>
        </is>
      </c>
      <c r="C4638" t="inlineStr">
        <is>
          <t>Hello all,
Anybody still suffering bouts of nausea after 5+ years after throat surgery and throat neck radiation? How do you help it? Only thing that works is to visit hospital after I lose 20 lbs and need iv fluids and meds about 4-5 days later when I finally cave and go to hospital. Zofran at home does not work well obviously.</t>
        </is>
      </c>
      <c r="D4638" t="n">
        <v>4</v>
      </c>
      <c r="E4638" t="n">
        <v>8</v>
      </c>
      <c r="F4638">
        <f>HYPERLINK("https://www.reddit.com/r/cancer/comments/d1csd1/nausea_5_years_later/")</f>
        <v/>
      </c>
      <c r="G4638" t="inlineStr">
        <is>
          <t>2019-09-08 09:02:59</t>
        </is>
      </c>
      <c r="H4638" t="inlineStr"/>
    </row>
    <row r="4639">
      <c r="A4639" t="inlineStr">
        <is>
          <t>d1dljw</t>
        </is>
      </c>
      <c r="B4639" t="inlineStr">
        <is>
          <t>Just got diagnosed with colon cancer and I'm below 40 years old.</t>
        </is>
      </c>
      <c r="C4639" t="inlineStr">
        <is>
          <t>Such a strange thing showing a strong and funny front when I have so many feelings inside.  Everyone thinks I'm doing a good job having a good outlook on everything, but that's only because I don't want to worry my wife and kids.  Inside I'm freaking out.  I cannot do things I normally want to do because I'm constantly in pain and it sucks.  Did any of you go through this in the beginning?</t>
        </is>
      </c>
      <c r="D4639" t="n">
        <v>11</v>
      </c>
      <c r="E4639" t="n">
        <v>19</v>
      </c>
      <c r="F4639">
        <f>HYPERLINK("https://www.reddit.com/r/cancer/comments/d1dljw/just_got_diagnosed_with_colon_cancer_and_im_below/")</f>
        <v/>
      </c>
      <c r="G4639" t="inlineStr">
        <is>
          <t>2019-09-08 10:02:20</t>
        </is>
      </c>
      <c r="H4639" t="inlineStr"/>
    </row>
    <row r="4640">
      <c r="A4640" t="inlineStr">
        <is>
          <t>d1dmem</t>
        </is>
      </c>
      <c r="B4640" t="inlineStr">
        <is>
          <t>Knowing when is the right time to stay with a loved one?</t>
        </is>
      </c>
      <c r="C4640" t="inlineStr">
        <is>
          <t>Long-time Reddit lurker, first time poster but I'm having a tough day and could do with thoughts from people who might have been there.
My mum has stage IV triple negative breast cancer.  Initial diagnosis (stage 3) was about 2 years ago and stage four diagnosis about a year ago as spread to skin. Responded really well to chemo, and got 'all clear' in April.  Came back this June - Skin, liver and neck. 
She's been on a different chemo since June and has been really struggling with side effects. Recently she's been in and out of hospital (day trips only) due to side effects - mainly dehydration but she's also extremely fatigued and has fainted. She's back in now and I don't know how serious things are, shes been in for two nights now. She's barely eating or drinking so its likely dehydration again but they've put her in a private room and they are keeping her in but haven't really said why.
How do you know when things are really near the end? I only saw her last week and she seemed OK (obviously ill but mobile etc) but my Dad says she's completely in and out of it which sounds very worrying and she's still not eating. I can take a leave of absence from work and go and stay a few weeks but I can only do it once. Alternatively I can take some emergency time off out of holiday time and pop down for a few days. How did everyone know when it was time to stay with a loved one until the end?
&amp;amp;#x200B;
TL;DR. Mum has stage IV cancer. When do you know its the end?</t>
        </is>
      </c>
      <c r="D4640" t="n">
        <v>2</v>
      </c>
      <c r="E4640" t="n">
        <v>5</v>
      </c>
      <c r="F4640">
        <f>HYPERLINK("https://www.reddit.com/r/cancer/comments/d1dmem/knowing_when_is_the_right_time_to_stay_with_a/")</f>
        <v/>
      </c>
      <c r="G4640" t="inlineStr">
        <is>
          <t>2019-09-08 10:04:07</t>
        </is>
      </c>
      <c r="H4640" t="inlineStr"/>
    </row>
    <row r="4641">
      <c r="A4641" t="inlineStr">
        <is>
          <t>d1emh3</t>
        </is>
      </c>
      <c r="B4641" t="inlineStr">
        <is>
          <t>Advice on clinic/treatment for breast cancer</t>
        </is>
      </c>
      <c r="C4641" t="inlineStr">
        <is>
          <t>Hello reddit! I would like to ask for an advice/information, if someone should happen to see this and be in a similar situation.
My grandmother just got diagnosed with stage I breas cancer. Yet, the CT showed an 6/5 cm tumour in the left breast, with infiltration in one of the axilary lymph nodes, which I belive doesn't classify as an stage I anymore. 
The doctors in my country said it is inoperable, due to the lymphnode, and send her home with hormonal therapy for 3 months , aiming to shrink the tumour. If this doesn't work, they said they will try chemo for another 3 moths and only after will they operate.I must add that she has two types of cells in the tumor, one that is responsive to hormonal therapy and one that is not/less responsive.
I am serching for a second opinion/ treatment somewhere in Europe. I am from Romania, Hungary or Austria is very close to me, but we are ready to go to Italy, Germany etc as well...
On one hand, I understand the doctor's decision not to puncture the lymph node, in order not to spread it in the system. On the other hand, I am afraid that waiting 3/6 months might be too late.
Do any of you know a clinic that is very eficient in treating breast cancer? 
Thank you very much if you took the time to read this !!! Any information is welcome, communities, sites etc, anything ! ❤</t>
        </is>
      </c>
      <c r="D4641" t="n">
        <v>0</v>
      </c>
      <c r="E4641" t="n">
        <v>3</v>
      </c>
      <c r="F4641">
        <f>HYPERLINK("https://www.reddit.com/r/cancer/comments/d1emh3/advice_on_clinictreatment_for_breast_cancer/")</f>
        <v/>
      </c>
      <c r="G4641" t="inlineStr">
        <is>
          <t>2019-09-08 11:18:21</t>
        </is>
      </c>
      <c r="H4641" t="inlineStr"/>
    </row>
    <row r="4642">
      <c r="A4642" t="inlineStr">
        <is>
          <t>d1emr0</t>
        </is>
      </c>
      <c r="B4642" t="inlineStr">
        <is>
          <t>CA meets Cancer</t>
        </is>
      </c>
      <c r="C4642" t="inlineStr">
        <is>
          <t>Starting up chemo tomorrow. Wife is committed to ZERO alcohol during my (scheduled) 9 weeks of treatment. I’m the one with the cancer and the alcoholism. I’m scared of the cancer, and i think I’m more afraid of going without the drink. Thoughts?</t>
        </is>
      </c>
      <c r="D4642" t="n">
        <v>1</v>
      </c>
      <c r="E4642" t="n">
        <v>5</v>
      </c>
      <c r="F4642">
        <f>HYPERLINK("https://www.reddit.com/r/cancer/comments/d1emr0/ca_meets_cancer/")</f>
        <v/>
      </c>
      <c r="G4642" t="inlineStr">
        <is>
          <t>2019-09-08 11:18:55</t>
        </is>
      </c>
      <c r="H4642" t="inlineStr"/>
    </row>
    <row r="4643">
      <c r="A4643" t="inlineStr">
        <is>
          <t>d1ghs4</t>
        </is>
      </c>
      <c r="B4643" t="inlineStr">
        <is>
          <t>*downer warning* Videos to make for family members/friends/gf</t>
        </is>
      </c>
      <c r="C4643" t="inlineStr">
        <is>
          <t xml:space="preserve">
I don’t have a good prognosis and after talking to other patients, I was advised to leave my family/gf/friends with maybe some videos for memory while I am still lucid and the same person (GBM).  I kinda saw it done on Ricky Gervais show After Life but was wondering if anyone had any experience or suggestions what questions to answer or what to talk about - I feel awkward just talking to the camera so far.</t>
        </is>
      </c>
      <c r="D4643" t="n">
        <v>6</v>
      </c>
      <c r="E4643" t="n">
        <v>7</v>
      </c>
      <c r="F4643">
        <f>HYPERLINK("https://www.reddit.com/r/cancer/comments/d1ghs4/downer_warning_videos_to_make_for_family/")</f>
        <v/>
      </c>
      <c r="G4643" t="inlineStr">
        <is>
          <t>2019-09-08 13:32:01</t>
        </is>
      </c>
      <c r="H4643" t="inlineStr"/>
    </row>
    <row r="4644">
      <c r="A4644" t="inlineStr">
        <is>
          <t>d1i7mo</t>
        </is>
      </c>
      <c r="B4644" t="inlineStr">
        <is>
          <t>I will draw your histology images!</t>
        </is>
      </c>
      <c r="C4644" t="inlineStr">
        <is>
          <t>Hello!
I am a medical student and artist and I am working on a project that focuses on turning cancer histology images into art. Post a photo here and I will draw as many of them as I can and post the artwork here for you. I know that these images likely have a lot of meaning to you beyond a jumble of cells, and I want to try to capture that for you.
Thank you for sharing!</t>
        </is>
      </c>
      <c r="D4644" t="n">
        <v>2</v>
      </c>
      <c r="E4644" t="n">
        <v>3</v>
      </c>
      <c r="F4644">
        <f>HYPERLINK("https://www.reddit.com/r/cancer/comments/d1i7mo/i_will_draw_your_histology_images/")</f>
        <v/>
      </c>
      <c r="G4644" t="inlineStr">
        <is>
          <t>2019-09-08 15:46:28</t>
        </is>
      </c>
      <c r="H4644" t="inlineStr"/>
    </row>
    <row r="4645">
      <c r="A4645" t="inlineStr">
        <is>
          <t>d1iwm9</t>
        </is>
      </c>
      <c r="B4645" t="inlineStr">
        <is>
          <t>Hate this...</t>
        </is>
      </c>
      <c r="C4645" t="inlineStr">
        <is>
          <t>So just found out a few hours ago my cousin is dying. She went in she has 3 tumors in her brain, 2 tumors in her lungs and 3 to 5 tumors in her brain. No one wants to help her, I think it’s because she is engaged to her cousin has been for years she’s in her 50s. Well we just lost a cousin in December with cancer, Like legit took her in a month and two. This came out of nowhere I haven’t seen her in a year or two. We all drifted apart after my grandma died in 2012, Growing up my stepdad wouldn’t let us talk to family. On nights he was drunk and dangerous we would sleep behind my cousins house in my moms car. I’m super upset and worried about tonight and how I’ll feel. On top of this my UC is flaring no remission like I hoped and I started steroids again. I feel bad for not going to see her but my mom said don’t come if I will cry because we want to keep her safe. I have no way to the funeral or a place to stay near where she is. I don’t visit my mom anymore because of my stepdads abusive habits, He’s mean even when he’s sober. My mom beat cancer twice has it again lost both parents to cancer lost her friend months ago and now will be losing someone she knew since she was a baby.</t>
        </is>
      </c>
      <c r="D4645" t="n">
        <v>1</v>
      </c>
      <c r="E4645" t="n">
        <v>3</v>
      </c>
      <c r="F4645">
        <f>HYPERLINK("https://www.reddit.com/r/cancer/comments/d1iwm9/hate_this/")</f>
        <v/>
      </c>
      <c r="G4645" t="inlineStr">
        <is>
          <t>2019-09-08 16:46:14</t>
        </is>
      </c>
      <c r="H4645" t="inlineStr"/>
    </row>
    <row r="4646">
      <c r="A4646" t="inlineStr">
        <is>
          <t>d1iwwq</t>
        </is>
      </c>
      <c r="B4646" t="inlineStr">
        <is>
          <t>My mom’s first surgery is this week</t>
        </is>
      </c>
      <c r="C4646" t="inlineStr">
        <is>
          <t>My mom has uterine cancer. She’s 64, but very healthy and active for her age. She’s getting her hysterectomy this week, and it’s all finally starting to hit me. I’ve been pushing it out of my mind so much but now her friends know and the surgery is Wednesday and it’s really real now. I’m just so nervous and needed to write it down somewhere. Thank you all for reading.</t>
        </is>
      </c>
      <c r="D4646" t="n">
        <v>2</v>
      </c>
      <c r="E4646" t="n">
        <v>9</v>
      </c>
      <c r="F4646">
        <f>HYPERLINK("https://www.reddit.com/r/cancer/comments/d1iwwq/my_moms_first_surgery_is_this_week/")</f>
        <v/>
      </c>
      <c r="G4646" t="inlineStr">
        <is>
          <t>2019-09-08 16:46:58</t>
        </is>
      </c>
      <c r="H4646" t="inlineStr"/>
    </row>
    <row r="4647">
      <c r="A4647" t="inlineStr">
        <is>
          <t>d1jp2p</t>
        </is>
      </c>
      <c r="B4647" t="inlineStr">
        <is>
          <t>Mom just passed away</t>
        </is>
      </c>
      <c r="C4647" t="inlineStr">
        <is>
          <t>My mom was diagnosed late July with stage 4 gastric cancer with mets to the liver, kidney and C-6 vertebra and passed away today. It doesn't feel real. She had other problems as well related to the cancer and lupus which has made things traumatizing and certainly didn't help my PTSD. I feel empty. 
Just wanted to vent a little bit.</t>
        </is>
      </c>
      <c r="D4647" t="n">
        <v>49</v>
      </c>
      <c r="E4647" t="n">
        <v>25</v>
      </c>
      <c r="F4647">
        <f>HYPERLINK("https://www.reddit.com/r/cancer/comments/d1jp2p/mom_just_passed_away/")</f>
        <v/>
      </c>
      <c r="G4647" t="inlineStr">
        <is>
          <t>2019-09-08 17:54:29</t>
        </is>
      </c>
      <c r="H4647" t="inlineStr"/>
    </row>
    <row r="4648">
      <c r="A4648" t="inlineStr">
        <is>
          <t>d1kj9c</t>
        </is>
      </c>
      <c r="B4648" t="inlineStr">
        <is>
          <t>I wish my dad could’ve met my girlfriend</t>
        </is>
      </c>
      <c r="C4648" t="inlineStr">
        <is>
          <t>I was with my ex when my father passed. He always thought I could do better. He knew I deserved better. Now, I’m with better and doing better. I truly feel like he would have loved my current girlfriend. I hope he’s proud of me and of who I’m with.</t>
        </is>
      </c>
      <c r="D4648" t="n">
        <v>24</v>
      </c>
      <c r="E4648" t="n">
        <v>12</v>
      </c>
      <c r="F4648">
        <f>HYPERLINK("https://www.reddit.com/r/cancer/comments/d1kj9c/i_wish_my_dad_couldve_met_my_girlfriend/")</f>
        <v/>
      </c>
      <c r="G4648" t="inlineStr">
        <is>
          <t>2019-09-08 19:07:06</t>
        </is>
      </c>
      <c r="H4648" t="inlineStr"/>
    </row>
    <row r="4649">
      <c r="A4649" t="inlineStr">
        <is>
          <t>d1nebj</t>
        </is>
      </c>
      <c r="B4649" t="inlineStr">
        <is>
          <t>I was bascially given the all clear for my bowel cancer last week and this week my mum was diagnosed with multiple myeloma.</t>
        </is>
      </c>
      <c r="C4649" t="inlineStr">
        <is>
          <t>10 years ago my brother(23) had Hodgkins Lymphoma. I was diagnosed with bowel cancer in October 2018(27). This week my mum(63) was brought into hospital with acute kidney failure. It didn't even cross my mind that she could have cancer. Seems like a joke, she starts chemo tomorrrow. We're told none of these cancers are related in any way.</t>
        </is>
      </c>
      <c r="D4649" t="n">
        <v>30</v>
      </c>
      <c r="E4649" t="n">
        <v>2</v>
      </c>
      <c r="F4649">
        <f>HYPERLINK("https://www.reddit.com/r/cancer/comments/d1nebj/i_was_bascially_given_the_all_clear_for_my_bowel/")</f>
        <v/>
      </c>
      <c r="G4649" t="inlineStr">
        <is>
          <t>2019-09-08 23:58:59</t>
        </is>
      </c>
      <c r="H4649" t="inlineStr"/>
    </row>
    <row r="4650">
      <c r="A4650" t="inlineStr">
        <is>
          <t>d1nlr7</t>
        </is>
      </c>
      <c r="B4650" t="inlineStr">
        <is>
          <t>A lil group for ppl for recently lost someone important in their live. Lets come together and form a group chat.</t>
        </is>
      </c>
      <c r="C4650" t="inlineStr">
        <is>
          <t>I want to have a party with all you peeps who lost someone. We gotta move on for those in heaven. It did be amazing when you realize you are in a group of lol all had lost someone, chilling and carrying on.</t>
        </is>
      </c>
      <c r="D4650" t="n">
        <v>2</v>
      </c>
      <c r="E4650" t="n">
        <v>0</v>
      </c>
      <c r="F4650">
        <f>HYPERLINK("https://www.reddit.com/r/cancer/comments/d1nlr7/a_lil_group_for_ppl_for_recently_lost_someone/")</f>
        <v/>
      </c>
      <c r="G4650" t="inlineStr">
        <is>
          <t>2019-09-09 00:22:52</t>
        </is>
      </c>
      <c r="H4650" t="inlineStr"/>
    </row>
    <row r="4651">
      <c r="A4651" t="inlineStr">
        <is>
          <t>d1pdmu</t>
        </is>
      </c>
      <c r="B4651" t="inlineStr">
        <is>
          <t>I wish I never got cancer</t>
        </is>
      </c>
      <c r="C4651" t="inlineStr">
        <is>
          <t>Jesus, man...Cancer is the worst thing on the planet. Just for some context, I’m 15M, and got cancer in elementary school. Chemo for only four months, which isn’t that bad compared to what other people go through, but it was still enough to mess me up. I’m currently in remission with about three years left until they can say I’m cancer free.
Anyways, cancer has given me nothing but grief. I’m now constantly worrying about my health, and any slight pain or sickness causes me to overreact and think it’s cancer. I’ve been having  random headaches behind my ear and I keep thinking it’s something bad, when in reality it isn’t. It’s also caused me anxiety, insecurity because people made fun of me, and now I physically cannot day the word cancer. It’s...It’s hard. 
I mean, I’m glad it happened to some degree, because I can share my story to inspire people and all that stuff. Life is gonna have its hardships, so why not look on the bright side...I just needed to vent because I feel silly talking to people in person about my health insecurities. Thanks for reading.</t>
        </is>
      </c>
      <c r="D4651" t="n">
        <v>93</v>
      </c>
      <c r="E4651" t="n">
        <v>38</v>
      </c>
      <c r="F4651">
        <f>HYPERLINK("https://www.reddit.com/r/cancer/comments/d1pdmu/i_wish_i_never_got_cancer/")</f>
        <v/>
      </c>
      <c r="G4651" t="inlineStr">
        <is>
          <t>2019-09-09 04:03:34</t>
        </is>
      </c>
      <c r="H4651" t="inlineStr"/>
    </row>
    <row r="4652">
      <c r="A4652" t="inlineStr">
        <is>
          <t>d1qc1v</t>
        </is>
      </c>
      <c r="B4652" t="inlineStr">
        <is>
          <t>Cancer DIY</t>
        </is>
      </c>
      <c r="C4652" t="inlineStr">
        <is>
          <t>I had a Lower Anterior Resection 6 weeks ago. Yeah, me. Fuck off Artie the Ass Tumor.
I have experienced some Pudendal Neuralgia. This is a pain in your Pudendal nerves that run from your anus up through your genitals. Cyclists injure them and it can be a by-product of surgery. You will know if you have it as there is no pain like it.
I had got one of those cheap round ring $20 cushions from the pharmacy to sit on. Pretty useless. 
So I researched the elegant pillow solutions for Pudendal Neuralgia. There are some nice ones but I am too cheap to pay $80.00 - $110.00 for a permanent solution to a temporary problem.
So I took my cheap ring out of its cover. I got an exacto knife and took the O and cut it ( ) so I had two pieces. I then reversed them on my chair like so ) ( and sat on them. 
It totally worked. I am now sitting extremely comfortably. My crotch and butt are floating free and my butt bones and thighs are supported. May not be elegant but for $20 I am cool with that. 
If you are having problems sitting and your cheap ring didn't work then it is worth a try to chop it up.</t>
        </is>
      </c>
      <c r="D4652" t="n">
        <v>13</v>
      </c>
      <c r="E4652" t="n">
        <v>6</v>
      </c>
      <c r="F4652">
        <f>HYPERLINK("https://www.reddit.com/r/cancer/comments/d1qc1v/cancer_diy/")</f>
        <v/>
      </c>
      <c r="G4652" t="inlineStr">
        <is>
          <t>2019-09-09 05:37:28</t>
        </is>
      </c>
      <c r="H4652" t="inlineStr"/>
    </row>
    <row r="4653">
      <c r="A4653" t="inlineStr">
        <is>
          <t>d1qsn1</t>
        </is>
      </c>
      <c r="B4653" t="inlineStr">
        <is>
          <t>Anxiety and fear post treatment</t>
        </is>
      </c>
      <c r="C4653" t="inlineStr">
        <is>
          <t>At diagnosis I learned that I had just months to live without treatment.  So, now here I am following treatment and a year of being isolated due to a compromised immune system.  Now I’m well.  Cancer free.  However this cancer has a high risk of relapse.  But right now, I’m well. 
My disability income will be ending soon and I am expected to return to work.  I have no job to return to since I was replaced long ago.   I should be job hunting, but my anxiety has me frozen.  I used to be able to face my fears and just get shit done.  I feel like cancer broke me.   
Is this familiar to anyone?   What helped get you unstuck and return to society?</t>
        </is>
      </c>
      <c r="D4653" t="n">
        <v>1</v>
      </c>
      <c r="E4653" t="n">
        <v>0</v>
      </c>
      <c r="F4653">
        <f>HYPERLINK("https://www.reddit.com/r/cancer/comments/d1qsn1/anxiety_and_fear_post_treatment/")</f>
        <v/>
      </c>
      <c r="G4653" t="inlineStr">
        <is>
          <t>2019-09-09 06:18:45</t>
        </is>
      </c>
      <c r="H4653" t="inlineStr"/>
    </row>
    <row r="4654">
      <c r="A4654" t="inlineStr">
        <is>
          <t>d1rqbi</t>
        </is>
      </c>
      <c r="B4654" t="inlineStr">
        <is>
          <t>A Fighting Chance</t>
        </is>
      </c>
      <c r="C4654" t="inlineStr">
        <is>
          <t>In an imperfect world, there are still people like you who make the world a better place, as I hold on to this, I am thankful for people like you who shares their compassion to strangers like us.  
It has just been over a year since the tragic accident (motorcycle) of our beloved parents (February 10,2018). Mama died on the spot, while Papa suffered the enduring pain of the loss of our loved one. Mama was not able to retire as a Public School Teacher at the age of 64, while she was on her way to school for a seminar. The Government didn't think, that the family doesn't deserved to received her retirement benefits despite her more than 20 years of teaching in a public school.  
Over the months, Papa was more depressed, the fact that we just lost Mama, of top of other concerns. In December of 2018, He was admitted for a chronic pain in the stomach, and was found out to be a Urinary Tract Infection. After that, he has been complaining of stomach pain, and had been checked by his doctor. Last May, 2019, he visited my Grandmother in Iligan City. By August 19, 2019, he was supposed to have a CT Scan for he has been complaining about his stomach pain, and was found out that there is a large mass on his intestine. He was admitted immediately as an emergency case as it has been found out that there is a Colonic Obstruction. The Biopsy resulted as Adenocarcinoma Stage IV (Colon Cancer as I interpret this). He was supposed to undergo surgery, but he was too weak, so he had a colostomy. The infection affected his kidneys, heart, and lungs. As I write this, Papa is still struggling to survive.
As a background, my Father was a good provider, a good father. He was able to survive all the struggles as he provides for us and finish our studies. Back then, he earns his income by painting signboards and other signage starting with Php1.00 back in the 80s. Later that decade, he invested in a tailoring shop and also went bankrupt. He then started business again by opening a paint store which also went bankrupt. He continues to provide for us during those years by working on Tshirt Printing at home.  
Papa is currently admitted today at Adventist Medical Center in Iligan City. Struggling to survive. We, his children, are doing our very best to at least return the kindness and the utmost care that we can provide for him. However, with our mere income, we are barely covering the medication of Papa, not to mention the hospital bill &amp;amp; medines. We are not prepared for this, neither thus Papa has insurance for his own. We wish to give him a fighting chance, and an ultimate care to the best that we can provide.
I am sharing this, and I dont know where to look for funds as we are not prepared for this :(  I just wish someone could at least share their blessings with us</t>
        </is>
      </c>
      <c r="D4654" t="n">
        <v>3</v>
      </c>
      <c r="E4654" t="n">
        <v>2</v>
      </c>
      <c r="F4654">
        <f>HYPERLINK("https://www.reddit.com/r/cancer/comments/d1rqbi/a_fighting_chance/")</f>
        <v/>
      </c>
      <c r="G4654" t="inlineStr">
        <is>
          <t>2019-09-09 07:36:19</t>
        </is>
      </c>
      <c r="H4654" t="inlineStr"/>
    </row>
    <row r="4655">
      <c r="A4655" t="inlineStr">
        <is>
          <t>d1rss5</t>
        </is>
      </c>
      <c r="B4655" t="inlineStr">
        <is>
          <t>Im just haunted by this til this day - a sandwich..</t>
        </is>
      </c>
      <c r="C4655" t="inlineStr">
        <is>
          <t>Not a day goes by where I don't think about my father. I miss him so much. I still cry quite often about losing him. I am just haunted by this one thought that just keeps tugging at my shoulder. I can't seem to forgive myself for something so small...
When my father was on his death bed, he could not eat. He had no energy to eat, and he couldn't eat because he had no energy. It was a terrible cycle. His muscles had deteriorated, his eyes were sunken into his skull, his teeth and nails showed signs of malnourishment. I'm sure I am not the only one to witness this sight. He was so skinny. He needed food. 
Doctors, nurses, family, we all tried to get him to eat. He just couldn't. He had no appetite, even though his body was starving. 
Then I had an idea -
A roast beef sandwich from his favorite restaurant. He and I used to go there. He loved it. 
I suggested it to him and he put his finger to his head and gave me the "actually, that sounds good" look. 
This was the first sign of something good. 
&amp;amp;#x200B;
I don't know why, ***I just never got that sandwich.*** 
I went to school, work, and then to see him. I would sometimes push two chairs together and sleep next to him. 
Although I was busy, I had no excuse not to get that sandwich.
So, I guess the thought that just tugs at me is "what if that sandwich saved his life"?
What if I could have extended his life? What if that sandwich gave him the energy to eat more? Why didn't I just get the sandwich? 
I can't tell you how many times I have cried over this. This haunts me. I can't help but blame myself for his death. 
What if he ate the sandwich, got the energy to do therapy, then ate more, got more energy to fight the cancer, and was able to live?
This pains me to write. This is the first time I am sharing this. I just can't deal with the guilt anymore. Has someone had a similar experience? What did you do?</t>
        </is>
      </c>
      <c r="D4655" t="n">
        <v>18</v>
      </c>
      <c r="E4655" t="n">
        <v>8</v>
      </c>
      <c r="F4655">
        <f>HYPERLINK("https://www.reddit.com/r/cancer/comments/d1rss5/im_just_haunted_by_this_til_this_day_a_sandwich/")</f>
        <v/>
      </c>
      <c r="G4655" t="inlineStr">
        <is>
          <t>2019-09-09 07:41:44</t>
        </is>
      </c>
      <c r="H4655" t="inlineStr"/>
    </row>
    <row r="4656">
      <c r="A4656" t="inlineStr">
        <is>
          <t>d1smvw</t>
        </is>
      </c>
      <c r="B4656" t="inlineStr">
        <is>
          <t>How has cancer changed you?</t>
        </is>
      </c>
      <c r="C4656" t="inlineStr">
        <is>
          <t>My brother told me it changed me for the better. Got stage 1 melanoma 5 yrs ago and it gave me a wake up call. I use to drink heavily and chain smoked. Smoked weed too.
I quit all that and drink only in moderation. Even tho it metastasize and looked like shit for 6 months at start of treatment I bounced back and put on weight. I’m 6ft and 183 pounds.
I go to the gym 3 times a week. I use to have a really bad temper and that’s pretty much gone too.
Managed to hold a job down. Before I struggled because of my drinking and temper to hold down a job.
I do get sad often tho cos I feel like I’ve wasted my life. Never had a proper relationship just flings with  and one night stands with random women.
My weakness is still women. But cancer has knocked my confidence and ego. I have very visible scars in the groin area. Ironically people say I look healthier than before. Amazing what stopping smoking can do to your skin.
I feel guilty if I haven’t done anything in a day. Been lazy past two days but hopefully I’ll pick myself up tomorrow and go to the gym.
I’ve learned more in 18 months than I have in 18 yrs.</t>
        </is>
      </c>
      <c r="D4656" t="n">
        <v>12</v>
      </c>
      <c r="E4656" t="n">
        <v>5</v>
      </c>
      <c r="F4656">
        <f>HYPERLINK("https://www.reddit.com/r/cancer/comments/d1smvw/how_has_cancer_changed_you/")</f>
        <v/>
      </c>
      <c r="G4656" t="inlineStr">
        <is>
          <t>2019-09-09 08:45:22</t>
        </is>
      </c>
      <c r="H4656" t="inlineStr"/>
    </row>
    <row r="4657">
      <c r="A4657" t="inlineStr">
        <is>
          <t>d1syry</t>
        </is>
      </c>
      <c r="B4657" t="inlineStr">
        <is>
          <t>I have my one year colonoscopy/endoscopy check-up today to see if I'm still cancer free today. I don't want to let my wife see how scared I am inside, but thankfully I have this wonderful community. Wish me luck!</t>
        </is>
      </c>
      <c r="C4657" t="inlineStr">
        <is>
          <t>I'm on the car ride to the hospital right now. I'm hangry from the bowel prep not gonna lie, but my nerves are overwhelming my headache and hunger.
I was diagnosed with carcinoid if appendix last year after I got appendicitis at the ripe old age of 23, only a few months after I got married and a few weeks after I graduated college.
Several weeks after that I had a hemicolectomy to sever any possibly "infected" lymph nodes.
Today I'm having tubes shoved through me to see if any tumors grew in my remaining intestines.
I'm scared not going to lie, but I don't want my wife to see that. I've treated this whole thing nonchalantly because of what I saw my wife went through last year.
I'm just hoping I'm okay. My wife and I just moved out so we're hoping for some more good news.
Wish me luck</t>
        </is>
      </c>
      <c r="D4657" t="n">
        <v>15</v>
      </c>
      <c r="E4657" t="n">
        <v>14</v>
      </c>
      <c r="F4657">
        <f>HYPERLINK("https://www.reddit.com/r/cancer/comments/d1syry/i_have_my_one_year_colonoscopyendoscopy_checkup/")</f>
        <v/>
      </c>
      <c r="G4657" t="inlineStr">
        <is>
          <t>2019-09-09 09:10:17</t>
        </is>
      </c>
      <c r="H4657" t="inlineStr"/>
    </row>
    <row r="4658">
      <c r="A4658" t="inlineStr">
        <is>
          <t>d1t4ws</t>
        </is>
      </c>
      <c r="B4658" t="inlineStr">
        <is>
          <t>I'd like some advice from you all regarding school.</t>
        </is>
      </c>
      <c r="C4658" t="inlineStr">
        <is>
          <t>I am a college student, I would have graduated last June if it weren't for cancer. I finally felt good enough to go back to school Aug 22. I took 18 credit hours, I need 30 to graduate. At my school they charge you for the first 12, then give you 6 free. So I have always taken the full 18 to get my moneys worth. It has never been a problem, even while working jobs outside of school. 
This semester the first week was great, I was feeling good and I was staying on top of all the classes very easily. The second week I had some complications, ended up missing some classes and was hospitalized. I ended up missing a few assignments, and while I could probably play the cancer card and get permission to turn them in late, I haven't tried.
Sept 11th is the last day to drop classes. I am seriously considering dropping 2 classes and going down to 12 credit hours. This would make it so I only have to go to campus 3 days a week instead of 5, and make staying up on homework tremendously easier. 
But, I think I will start feeling better and be able to easily handle the 18 credit hours again. 
In your opinion, should I take it easy this semester and then take 18 next, or should I try and tough it out and only have 12 left to take next semester.</t>
        </is>
      </c>
      <c r="D4658" t="n">
        <v>1</v>
      </c>
      <c r="E4658" t="n">
        <v>7</v>
      </c>
      <c r="F4658">
        <f>HYPERLINK("https://www.reddit.com/r/cancer/comments/d1t4ws/id_like_some_advice_from_you_all_regarding_school/")</f>
        <v/>
      </c>
      <c r="G4658" t="inlineStr">
        <is>
          <t>2019-09-09 09:22:58</t>
        </is>
      </c>
      <c r="H4658" t="inlineStr"/>
    </row>
    <row r="4659">
      <c r="A4659" t="inlineStr">
        <is>
          <t>d1thot</t>
        </is>
      </c>
      <c r="B4659" t="inlineStr">
        <is>
          <t>Guess what's back...</t>
        </is>
      </c>
      <c r="C4659" t="inlineStr">
        <is>
          <t>Just changed my flair and remove "2 years clean". Today's cystoscopy showed multiple tumors spread around my bladder.   
The urologist stopped after counting 4 tumors. This means that after my operation I have to start all over again with chemo's, the monthly check ups etc. I knew it could happen anytime, the chance of recurrence being 70% but I hoped I was the odd one out here. It was not meant to be.</t>
        </is>
      </c>
      <c r="D4659" t="n">
        <v>25</v>
      </c>
      <c r="E4659" t="n">
        <v>23</v>
      </c>
      <c r="F4659">
        <f>HYPERLINK("https://www.reddit.com/r/cancer/comments/d1thot/guess_whats_back/")</f>
        <v/>
      </c>
      <c r="G4659" t="inlineStr">
        <is>
          <t>2019-09-09 09:49:38</t>
        </is>
      </c>
      <c r="H4659" t="inlineStr"/>
    </row>
    <row r="4660">
      <c r="A4660" t="inlineStr">
        <is>
          <t>d1tkox</t>
        </is>
      </c>
      <c r="B4660" t="inlineStr">
        <is>
          <t>Living As A Cancer Survivor: Forgiveness</t>
        </is>
      </c>
      <c r="C4660" t="inlineStr">
        <is>
          <t xml:space="preserve"> 
Here is my latest blog entry for "Living As A Cancer Survivor" dealing with Forgiveness.
Forgiveness is something we all struggle with and that can destroy our lives by creating bitterness and anger. I have struggled with this just like everyone else.
What are your thoughts? Please reach out and share them.
God BlessHere is my latest blog entry for "Living As A Cancer Survivor" dealing with Forgiveness.
Forgiveness is something we all struggle with and that can destroy our lives by creating bitterness and anger. I have struggled with this just like everyone else.
What are your thoughts? Please reach out and share them.
God Bless</t>
        </is>
      </c>
      <c r="D4660" t="n">
        <v>1</v>
      </c>
      <c r="E4660" t="n">
        <v>0</v>
      </c>
      <c r="F4660">
        <f>HYPERLINK("https://www.reddit.com/r/cancer/comments/d1tkox/living_as_a_cancer_survivor_forgiveness/")</f>
        <v/>
      </c>
      <c r="G4660" t="inlineStr">
        <is>
          <t>2019-09-09 09:55:56</t>
        </is>
      </c>
      <c r="H4660" t="inlineStr"/>
    </row>
    <row r="4661">
      <c r="A4661" t="inlineStr">
        <is>
          <t>d1tp8e</t>
        </is>
      </c>
      <c r="B4661" t="inlineStr">
        <is>
          <t>Waiting, waiting, waiting. Lather, rinse, repeat</t>
        </is>
      </c>
      <c r="C4661" t="inlineStr">
        <is>
          <t>I (31f) had a bilateral mastectomy on August 8th as part of my breast cancer treatment. They sent my stuff to a lab to do the oncotype dx test to see if chemo will be needed (or if it will even work). I was scheduled to see my oncologist to start medical treatment (either tamoxifen alone or tamoxifen with chemo) on August 26th but the oncotype results were not back yet. They rescheduled for today, September 9th, over a month after my mastectomy. 
Guess who just got a call that the test results are still not back? 
The waiting is the worst. Waiting for test results, waiting to see if treatment is working, waiting in doctor offices and patient rooms, waiting to recover from surgery. Waiting to see what insurance won't cover. So much waiting. 
I know I can handle chemo if I need to do it, but I wish I had a better idea what my life is going to be like for the next year. They didn't even give a new appointment day. They're going to call me when it's finally in and try to fit me in "wherever they can find time." I feel like an afterthought, but I know it's not my oncologist's fault. She also wants to start my treatment. It's just that I grew a whole extra tumor between my original diagnosis MRI and my mastectomy. I went from grade 2 at the biopsy to grade 3 at the mastectomy. Sitting around for more than a month not doing anything doesn't feel like the right thing to do right now. 
I'm just tired and wish I had answers.</t>
        </is>
      </c>
      <c r="D4661" t="n">
        <v>7</v>
      </c>
      <c r="E4661" t="n">
        <v>12</v>
      </c>
      <c r="F4661">
        <f>HYPERLINK("https://www.reddit.com/r/cancer/comments/d1tp8e/waiting_waiting_waiting_lather_rinse_repeat/")</f>
        <v/>
      </c>
      <c r="G4661" t="inlineStr">
        <is>
          <t>2019-09-09 10:04:59</t>
        </is>
      </c>
      <c r="H4661" t="inlineStr"/>
    </row>
    <row r="4662">
      <c r="A4662" t="inlineStr">
        <is>
          <t>d1tvdc</t>
        </is>
      </c>
      <c r="B4662" t="inlineStr">
        <is>
          <t>Getting back into exercise</t>
        </is>
      </c>
      <c r="C4662" t="inlineStr">
        <is>
          <t>I’m 2 months post-treatment for colon cancer. I’m fat as hell and want to get back into exercise. Pre-cancer, I was an endurance athlete. I did power yoga and weights 6x a week. 
I’m trying cardio and a little yoga now. My muscles are NOT recovering well. The muscle and joint pain is ridiculous. I think it may have something to do with my chemo/radiation induced menopause. 
Any suggestions? The cancer may be gone but the bullshit continues.</t>
        </is>
      </c>
      <c r="D4662" t="n">
        <v>3</v>
      </c>
      <c r="E4662" t="n">
        <v>9</v>
      </c>
      <c r="F4662">
        <f>HYPERLINK("https://www.reddit.com/r/cancer/comments/d1tvdc/getting_back_into_exercise/")</f>
        <v/>
      </c>
      <c r="G4662" t="inlineStr">
        <is>
          <t>2019-09-09 10:17:37</t>
        </is>
      </c>
      <c r="H4662" t="inlineStr"/>
    </row>
    <row r="4663">
      <c r="A4663" t="inlineStr">
        <is>
          <t>d1u8a3</t>
        </is>
      </c>
      <c r="B4663" t="inlineStr">
        <is>
          <t>My Boob's on Fire and the usual cancer indignities</t>
        </is>
      </c>
      <c r="C4663" t="inlineStr">
        <is>
          <t>I think my new reddit name should be Boob on Fire. Despite daily slatherings of the creams touted by the radiology crew, this weekend I got the Boob on Fire scenario.   
Fortunately, someone here told me to buy RadX cream before starting radiation and I'm glad I listened. It was good to have it on hand this weekend when I had a "My boob's on fire" situation. Thanks to whomever recommended it. The lidocaine in it is just what I need. I just wish the little 2oz jar didn't cost $25.  
I think people need to quit comparing the Boob on Fire as a 'sunburn.'  This is a no-shit radiation burn, and holy moley it hurts.   
Fatigue has set in, and I'm finding I like the words "fuck" and "asshole" a lot. I'm blaming cancer for this burst of new expressiveness. My family will never forgive me. I was invited to parties, alas, I'm finding I really like to hang out with the dog and cat --at least I know what they want. 
But thanks to those who recommended RadX. I love this group. It's the best advice forum out there.</t>
        </is>
      </c>
      <c r="D4663" t="n">
        <v>4</v>
      </c>
      <c r="E4663" t="n">
        <v>9</v>
      </c>
      <c r="F4663">
        <f>HYPERLINK("https://www.reddit.com/r/cancer/comments/d1u8a3/my_boobs_on_fire_and_the_usual_cancer_indignities/")</f>
        <v/>
      </c>
      <c r="G4663" t="inlineStr">
        <is>
          <t>2019-09-09 10:43:08</t>
        </is>
      </c>
      <c r="H4663" t="inlineStr"/>
    </row>
    <row r="4664">
      <c r="A4664" t="inlineStr">
        <is>
          <t>d1v9bm</t>
        </is>
      </c>
      <c r="B4664" t="inlineStr">
        <is>
          <t>Cancer changes you in ways I could never imagine [Long read]</t>
        </is>
      </c>
      <c r="C4664" t="inlineStr">
        <is>
          <t xml:space="preserve">
I [25M] worked for a small municipal fire department for just under a year after having worked as an oilfield firefighter for a year. I was also a volunteer firefighter for a few years prior to that.
For a long time all I wanted to be is a firefighter I devoted my life to this pursuit and did eventually get the "dream job". During this time I met my one and only other career firefighter who was undergoing chemo while I undergoing training for the department that had hired me. He was, and still is the most honest, kind and incredibly humble person I have ever met to this day. Over the course of the year I was there we understandably got very close even though there was a significant age difference. I saw him go through chemo, go through remission and come back to us at the department as a full time guy. Shortly after starting up again his cancer had begun to spread. He went off duty yet again near the end of my time at that department.
By his advise I enrolled in paramedic academy and we kept in touch throughout. I got a message that he was going In for his final round of chemo and that things were again looking good and he was in remission for the second time. 
A little time goes by and my gf noticed a weird shaped birthmark behind my ear on my neck that had slowly been changing shape and appeared darker than before and she insisted I go get checked out. So I went in and got a biopsy while thinking nothing of it. I was told to wait 2-4 weeks for results and the dermatologist said she wasn't too worried about the presentation. And my life went on.
A few weeks go by and I get a message from my old senior firefighter mentions that he's got a clean bill of health and going back into the department on fulltime hours and thing we're generally looking good, I told him about the biopsy and we kinda shrugged it off, said that even if it was something bad that I'd be fine and how the worst part of his chemo was "everything tastes like lead and your hand/feet go numb for a while".
A few more weeks go by and I'm at week 5 or 6 of waiting for my results thinking that surely they came back as negative else they woukd have contacted me much earlier. Mid shift on the ambulance they tell me over the phone that "your biopsy shows that you have stage 1b malignant melanoma, we'll schedule a consult and surgery for next week to get it excised". Being a medic I knew what they had said but nothing really alarmed me, in my mind it was just a growth I was going to get chopped off and that was that.
Shoot a message to my senior guy saying I got the C word but unlike him Il get mine chopped off rather than chemo, joked around and said he was doing good with his return and that all will be fine.
Operation day comes and goes, get a chunk about the size of a Powerade bottle cap taken out of my neck and now ive got some Frankensteins monster vibe going on the side of my head and that was my "fight"... Disagreement.... With cancer.
I then heard through the grapevine that my senior guy had once again gone in and was sent home with chemo treatments but that he was doing good ( he wouldn't tell anyone otherise) 
A few months later I get a second call while on shift from the dermatologist and the excision revealed that the cancer was much deeper than previously thought. And that it was in fact deeper than they had previously thought and that I had to go back in as soon as possible for further excision of the area surrounding my first surgery. There was also concern that there could be infiltration to the lymph nodes because of the location.
This was the first time it really hit me in any way shape or form, I knew what the survival rates are and the pathology of it after the first time and I knew that it was likely now stage 2 and that means this little blip went from a mild annoyance to a "ok we have to deal with this" kinda thing. This call happened as I was in the truck bay at work and my operations manager just happend to be next to me and saw that I had a rough look on my face. I gave him a quick run down of what was happening ( no one outside of my immediate family knew I had anything) and we immediately get assigned to an incident, we had to go. I kinda let my partner take the lead for the call while I dealt with the news.
A few days prior to getting the news about the cancer being deeper than they previously thought my senior Man reached out to see how I was doing with the whole ordeal and we had a good chat, he mentioned that he was coming to my city for his next round of Chemo and lit up with joy when I asked if he would be interested in grabbing some coffee and having a chat while he was down.
Two days after, during a nigh shift (the day after I got the news and I had started to deal with it) I send him a message about the cancer being deeper, we have a chat at 5am again (he unlike myself was a morning person and would regularly be up at 5am by his own choice). He gives me some good general life advice and tells me not to worry, things will work out and we'll have a good chat, catch up and grab some food when he's down in the next few days for his next round of Chemo.
I get a call later that morning while sleeping off my night shift that less than an hour after we had spoken he had started having difficulties breathing and called 911, our old fire department responded to his house and shortly after the paramedics showed up to transport him to the hospital. He unfortunately died due to complications of his cancer while in route to the hospital that morning.
Internally I was spiraling out of control and did not know what to do, I just received new that my cancer was worst. The person who was the most helpful during the entire ordeal had just passed from his cancer after ensuring me and everyone else he was fine. For a few weeks I was just "going through the motions and was essentially emotionally dead"
I started thinking hard about my life and what I wanted to do. Firefighting likely exposed me to this cancer (don't fit any normal criteria, no family history of skin cancer, not fair skinned, don't get sun burnt, don't stay out excessively long in the sun without sunscreen, we'll under the median age of 55. The only thing that kept coming back was the exposure risk from being a firefighter and knowing that the chances of getting certain cancers (including melanoma) are higher when you do this line of work. Couple that with the higher chance of getting it a second time after having it once my lifelong dream of being a career firefighter for a big department was chipping away In the back of my head. What if X, what if Y, what if Z. Do I want to do this? What about my girlfriend, we bought a house together and have a good life going, do I want to risk that? How bad would it be to get melanoma again? Could it be worst next time? The main reason I went on to become a paramedic was to better my chances of being a hired on as a firefighter. Did I still want to be a paramedic If I gave up the firefighter dream?
Essentially over those few weeks my entire life was flipped. I didn't talk to my GF about what was bothering me other than insignificant surface issues. I now had no one that understood the timeline of everything that had happened or had first hand experience in the subject.
I've since Been able to process thingsmuch better, I'm about 5 months cancer free after my second operation, no signs of lymph node infiltration yet, Il be on a 6 month check up list for a few years. I've since opened up a gym and teach Olympic Weightlifting part time as well as being the provincial head coach for any national or higher level athlete and continue to do my paramedic shifts part time, I've gotten into photography as a side hobby and have gotten decent enough at it that people are happy to receive my pictures when I send them their way. My girlfriend and I's interest in hiking and mountain climbing has reached a new level and we plan on embarking on a quest to hike a 8000m mountain in the next few years. My love for nature and the simple beauty of life has increased so much I can't even explain it. I know I have not had a fight with cancer that is remotely comparable to most people. I was lucky, very lucky. But it has had a major impact on the way I see things and my outlook on life in general.
I don't know where Il be in a year, 5 years or 10 years from now. Wether my cancer will come back or if this will just be a part of my life that I got to experience but it has definitely changed me in ways I never thought would be possible. I see others in a much diffrent light and have since seperate myself from a few people that I felt were toxic in my life. I am generally a happier person though I did have to give up on my dream (my choice) of becoming a firefighter. Il still always have the sense of wanting to help other whenever possible so I think I'm going to stay on part time as a paramedic and that should keep me satisfied.
To everyone currently fighting, please talk to someone. This all came from having a coffee with a very intelligent friend who's a paramedic and also in the fire service. When I was questioning quitting we got to talking and after telling him (in more detail) what I just posted here he helped me realize that talking to people was one of the best ways to get through tough times. He gave me some amazing views on life that I will forever be grateful for.
FUCK YOU CANCER.</t>
        </is>
      </c>
      <c r="D4664" t="n">
        <v>83</v>
      </c>
      <c r="E4664" t="n">
        <v>6</v>
      </c>
      <c r="F4664">
        <f>HYPERLINK("https://www.reddit.com/r/cancer/comments/d1v9bm/cancer_changes_you_in_ways_i_could_never_imagine/")</f>
        <v/>
      </c>
      <c r="G4664" t="inlineStr">
        <is>
          <t>2019-09-09 11:56:05</t>
        </is>
      </c>
      <c r="H4664" t="inlineStr"/>
    </row>
    <row r="4665">
      <c r="A4665" t="inlineStr">
        <is>
          <t>d1vneu</t>
        </is>
      </c>
      <c r="B4665" t="inlineStr">
        <is>
          <t>Prostate Cancer with Healthnet</t>
        </is>
      </c>
      <c r="C4665" t="inlineStr">
        <is>
          <t>My dad is 71 years old and has been diagnosed with stage 4 prostate cancer about a month ago. He just received his first Lupron shot today. Healthnet said that it’s an original medicine so we have to pay 70% which is about $350 per shot. My parents’ SSI benefits are $150 above poverty and they have about $100,000 left in their 401k. This disqualified them from getting financial help. It would be sad to see his cancer treatment eating up all of their savings. Any financial resources that I can look into?
What has been your experience in dealing with Healthnet? Which Medicare plan did you picked and why? Should I add any supplemental plans during open enrollment?</t>
        </is>
      </c>
      <c r="D4665" t="n">
        <v>2</v>
      </c>
      <c r="E4665" t="n">
        <v>1</v>
      </c>
      <c r="F4665">
        <f>HYPERLINK("https://www.reddit.com/r/cancer/comments/d1vneu/prostate_cancer_with_healthnet/")</f>
        <v/>
      </c>
      <c r="G4665" t="inlineStr">
        <is>
          <t>2019-09-09 12:23:30</t>
        </is>
      </c>
      <c r="H4665" t="inlineStr"/>
    </row>
    <row r="4666">
      <c r="A4666" t="inlineStr">
        <is>
          <t>d1wd2w</t>
        </is>
      </c>
      <c r="B4666" t="inlineStr">
        <is>
          <t>Anyone try Marinol/Dronabinol? Or other types of THC-based options for someone with a feeding tube?</t>
        </is>
      </c>
      <c r="C4666" t="inlineStr">
        <is>
          <t>My dad is getting a feeding tube for his chemo + radiation, and we're looking further into the THC &amp;amp; CBD route for some relief options. Anyone have any experience with these during their treatment?</t>
        </is>
      </c>
      <c r="D4666" t="n">
        <v>0</v>
      </c>
      <c r="E4666" t="n">
        <v>3</v>
      </c>
      <c r="F4666">
        <f>HYPERLINK("https://www.reddit.com/r/cancer/comments/d1wd2w/anyone_try_marinoldronabinol_or_other_types_of/")</f>
        <v/>
      </c>
      <c r="G4666" t="inlineStr">
        <is>
          <t>2019-09-09 13:14:01</t>
        </is>
      </c>
      <c r="H4666" t="inlineStr"/>
    </row>
    <row r="4667">
      <c r="A4667" t="inlineStr">
        <is>
          <t>d1yn8z</t>
        </is>
      </c>
      <c r="B4667" t="inlineStr">
        <is>
          <t>Help</t>
        </is>
      </c>
      <c r="C4667" t="inlineStr">
        <is>
          <t>I am a 16 year old male. I have been smoking for 2 years ( half a pack - a pack a day ) and recentley i've started to have weird kinds of pain in my lungs and my throat. I sometimes have sharp pain in my lungs and I have a burning sensation that starts from my throath and goes down like a liquid into my right lung. I have been coughing for 2 months straight for no apparent reason and I have a lot of phlegm in my throath. I am scared to go to the doctor. Should I be worried?</t>
        </is>
      </c>
      <c r="D4667" t="n">
        <v>1</v>
      </c>
      <c r="E4667" t="n">
        <v>2</v>
      </c>
      <c r="F4667">
        <f>HYPERLINK("https://www.reddit.com/r/cancer/comments/d1yn8z/help/")</f>
        <v/>
      </c>
      <c r="G4667" t="inlineStr">
        <is>
          <t>2019-09-09 15:56:33</t>
        </is>
      </c>
      <c r="H4667" t="inlineStr"/>
    </row>
    <row r="4668">
      <c r="A4668" t="inlineStr">
        <is>
          <t>d21zr3</t>
        </is>
      </c>
      <c r="B4668" t="inlineStr">
        <is>
          <t>Just a reminder..... Help mods help all of us in r/cancer.</t>
        </is>
      </c>
      <c r="C4668" t="inlineStr">
        <is>
          <t>Hello all!
I love our sub! I hate why were here, but if I have to be here, at least I get to be here with an awesome group of people. So I just want to give a quick reminder to keep our sub the place of love and support that it is.
I've been seeing a lot of rule breaking posts again lately. Mostly "is this cancer" type posts, and those seeking donations/financial assistance. I remove these immediately when I see them. And I do try to check every single post every day. But, some are cleverly disguised as a long story and I miss the part where they're asking for money, etc. **Please dont comment on these posts, and just report them immediately when you see them.** If a post gets enough reports the Auto mod should just remove it for us, but, its not fail proof.
Also, I know its hard not to try to offer some comfort to those that come here scared asking if their symptoms sound like cancer. Again, I would like to ask that you just report them. It may sound mean, but the truth is, I would hate to think that there are actual cancer patients that didnt get a response to their post, because people spent their time comforting someone who isnt ill. Most of the "is this cancer" people, once they realize they dont have it, never come back to the sub. We never hear from them again. So they dont add anything to our group, rather they just take away. There's other subs that are usually more suited to those questions anyways. 
That's all I got! Thank you guys! 
And as always, fuck cancer.</t>
        </is>
      </c>
      <c r="D4668" t="n">
        <v>14</v>
      </c>
      <c r="E4668" t="n">
        <v>0</v>
      </c>
      <c r="F4668">
        <f>HYPERLINK("https://www.reddit.com/r/cancer/comments/d21zr3/just_a_reminder_help_mods_help_all_of_us_in/")</f>
        <v/>
      </c>
      <c r="G4668" t="inlineStr">
        <is>
          <t>2019-09-09 20:24:46</t>
        </is>
      </c>
      <c r="H4668" t="inlineStr"/>
    </row>
    <row r="4669">
      <c r="A4669" t="inlineStr">
        <is>
          <t>d223jo</t>
        </is>
      </c>
      <c r="B4669" t="inlineStr">
        <is>
          <t>As a former cancer patient, I have hypothesised that I remind people of death. This has destroyed my social life.</t>
        </is>
      </c>
      <c r="C4669" t="inlineStr">
        <is>
          <t>So a bit of my backstory:
Diagnosed with Burkitts Linfoma at 2. Year and half of chemotherapy alongside steroids and removal of various non-essential body parts. I was cleared at 4.
Diagnosed with Ewing’s Sarcoma in my left arm at 7. Year and half of chemotherapy. Cleared at 8, developed alopecia and semi limited functioning of the left wrist.
Went to university, developed a bunch of long term health problems: an anxiety disorder (cured),type two diabetes (cured) and chronic fatigue (probably have this until I die). This affected my grades early on but I finished my degree nonetheless, had to do most work on my own even for group assignments which totally made my life more difficult. 
So I graduated and got a job that I hate because I couldn’t find anything in my field for 14 months. I would go to interviews and literally not get jobs because of very subjective things that had nothing to do with my abilities, eg. “Not a good fit” etc.
I took this personally for a while, thinking that I had done something wrong. I asked myself these questions such as: Am I stupid? Why don’t I fit? (this has been quite apparent for the vast majority of my life) Why do other people get things and I don’t? Why do I always get the scraps?
I have a few friends that are okay but nothing overly social. I have no profession network and am pretty lost in regards to life.
Anyway, today during my morning working hours I was listening to a video on YouTube by Jordan Peterson where he spoke about how your brain actively avoids death, not just in your personal actions but by any reminder of death. As someone who has been balding since I was 8, It has never clicked in my head why exactly I’m not picked for groups or have limited social and professional options. I always thought that it was because people we just superficial and cruel but I think that just the fact that my physical appearance reminds them of death and disease is a much more non-subjective theory.
I’m quite gifted and I’m told that I have all this potential but have such trouble getting past the proverbial “door” because people don’t like my appearance is quite petty, but doesn’t surprise in the slightest.
Don’t get me wrong, being the walking personification of something that death cannot stop is a persona I have no problem adopting but I had no idea that it would create such a rift in my potential vs my opportunities.
Any advice about what I should do?
I’m in my mid 20s so I’m guess I’m still young (I feel like a 50 year old man sometimes), my friend has suggested a wig which I am working on at the moment.</t>
        </is>
      </c>
      <c r="D4669" t="n">
        <v>10</v>
      </c>
      <c r="E4669" t="n">
        <v>17</v>
      </c>
      <c r="F4669">
        <f>HYPERLINK("https://www.reddit.com/r/cancer/comments/d223jo/as_a_former_cancer_patient_i_have_hypothesised/")</f>
        <v/>
      </c>
      <c r="G4669" t="inlineStr">
        <is>
          <t>2019-09-09 20:34:42</t>
        </is>
      </c>
      <c r="H4669" t="inlineStr"/>
    </row>
    <row r="4670">
      <c r="A4670" t="inlineStr">
        <is>
          <t>d228sq</t>
        </is>
      </c>
      <c r="B4670" t="inlineStr">
        <is>
          <t>Should it be taking so long for treatment to begin?</t>
        </is>
      </c>
      <c r="C4670" t="inlineStr">
        <is>
          <t>Hi guys. 
My mom (46F) has been diagnosed with breast cancer, specifically invasive lobular carcinoma. Her mammogram was in July which started all of this. At first, (like after first ultrasound) they said it was small and relatively minor (no one has even mentioned a stage). 
Then she had an MRI and they were concerned that it was in her other breast as well as spread worse in the original breast than expected and potentially her lymph node. So they did another round of ultrasounds/biopsies and now they said they think it’s just fibrous tissue on the other side. She went to the medical oncologist on Friday and he said they were still waiting for her genetic results to come back before doing anything. But they are also having her do another round of ultrasounds, this time guided by MRI, but that isn’t even scheduled until the end of the month.
Anyway my question is: does it normally take this long for treatment to happen? It’s been two months now that we’ve been talking about surgery and radiation (I guess her cancer isn’t receptive to chemo). I’m just concerned because I’ve always felt that they move very quickly when cancer is involved so it doesn’t get worse. I understand that her situation is not as dire, but I am just wondering if this is normal. 
Thanks guys. It’s been really hard few months.</t>
        </is>
      </c>
      <c r="D4670" t="n">
        <v>6</v>
      </c>
      <c r="E4670" t="n">
        <v>13</v>
      </c>
      <c r="F4670">
        <f>HYPERLINK("https://www.reddit.com/r/cancer/comments/d228sq/should_it_be_taking_so_long_for_treatment_to_begin/")</f>
        <v/>
      </c>
      <c r="G4670" t="inlineStr">
        <is>
          <t>2019-09-09 20:48:25</t>
        </is>
      </c>
      <c r="H4670" t="inlineStr"/>
    </row>
    <row r="4671">
      <c r="A4671" t="inlineStr">
        <is>
          <t>d22d6p</t>
        </is>
      </c>
      <c r="B4671" t="inlineStr">
        <is>
          <t>The love of my life entered hospice today....</t>
        </is>
      </c>
      <c r="C4671" t="inlineStr">
        <is>
          <t>My 36 yr old wife entered hospice care today. First diagnosed with breast cancer 5 years ago, she has fought a long and valiant battle against this horrible disease. She is the love of my life, we didn't always have a perfect marriage (who does?) But I cannot imagine life going forward without her. Every damn thing in our house or song I hear reminds me of her. Thinking of every life event and milestone she will never get to see is so hard  We also have three young children 7, 5, and 1 that I will be solely responsible for and it honestly scares the shit out of me. I haven't even wanted to get out of bed the last three days due to overwhelming sadness. She is still very mentally there but her body has given out, she can no longer walk at all but is still eating well so I feel that this could take weeks for her to pass. I know that I should cherish any time I have left with her but at the same time it absolutely kills me to see her in her current condition and that anytime I see her it could be the last I have good support from friends and family so I know everything will be ok in the long run but for now I feel like I'm dying inside.</t>
        </is>
      </c>
      <c r="D4671" t="n">
        <v>93</v>
      </c>
      <c r="E4671" t="n">
        <v>12</v>
      </c>
      <c r="F4671">
        <f>HYPERLINK("https://www.reddit.com/r/cancer/comments/d22d6p/the_love_of_my_life_entered_hospice_today/")</f>
        <v/>
      </c>
      <c r="G4671" t="inlineStr">
        <is>
          <t>2019-09-09 21:00:33</t>
        </is>
      </c>
      <c r="H4671" t="inlineStr"/>
    </row>
    <row r="4672">
      <c r="A4672" t="inlineStr">
        <is>
          <t>d22g0e</t>
        </is>
      </c>
      <c r="B4672" t="inlineStr">
        <is>
          <t>My almost 2 year old is battling leukemia</t>
        </is>
      </c>
      <c r="C4672" t="inlineStr">
        <is>
          <t>She was diagnosed with high risk b cell Acute Lymphoblastic leukemia in July. I haven't been able to work because she is always at the hospital. Any help is appreciated. Her birthday is September 11. 
https://www.gofundme.com/rtrs3y-2-year-old-battling-leukemia</t>
        </is>
      </c>
      <c r="D4672" t="n">
        <v>1</v>
      </c>
      <c r="E4672" t="n">
        <v>0</v>
      </c>
      <c r="F4672">
        <f>HYPERLINK("https://www.reddit.com/r/cancer/comments/d22g0e/my_almost_2_year_old_is_battling_leukemia/")</f>
        <v/>
      </c>
      <c r="G4672" t="inlineStr">
        <is>
          <t>2019-09-09 21:07:52</t>
        </is>
      </c>
      <c r="H4672" t="inlineStr"/>
    </row>
    <row r="4673">
      <c r="A4673" t="inlineStr">
        <is>
          <t>d22pgq</t>
        </is>
      </c>
      <c r="B4673" t="inlineStr">
        <is>
          <t>16 Warning Signs of Cancer You Shouldn’t Ignore</t>
        </is>
      </c>
      <c r="C4673" t="inlineStr">
        <is>
          <t xml:space="preserve"> [https://elbuzzfeed.com/health/16-warning-signs-of-cancer-you-shouldnt-ignore/](https://elbuzzfeed.com/health/16-warning-signs-of-cancer-you-shouldnt-ignore/) 
![img](b7dgwdgw0pl31)</t>
        </is>
      </c>
      <c r="D4673" t="n">
        <v>1</v>
      </c>
      <c r="E4673" t="n">
        <v>0</v>
      </c>
      <c r="F4673">
        <f>HYPERLINK("https://www.reddit.com/r/cancer/comments/d22pgq/16_warning_signs_of_cancer_you_shouldnt_ignore/")</f>
        <v/>
      </c>
      <c r="G4673" t="inlineStr">
        <is>
          <t>2019-09-09 21:34:39</t>
        </is>
      </c>
      <c r="H4673" t="inlineStr"/>
    </row>
    <row r="4674">
      <c r="A4674" t="inlineStr">
        <is>
          <t>d234dn</t>
        </is>
      </c>
      <c r="B4674" t="inlineStr">
        <is>
          <t>My[23F] dad[55M] has stage IV Non small cell Lung Cancer</t>
        </is>
      </c>
      <c r="C4674" t="inlineStr">
        <is>
          <t>Hello, just received news from my mother that my dad has stage IV non small cell lung cancer (adenocarcinoma). In shock and getting washed over with extreme feelings of sadness and helplessness. Needed somewhere to write out my thoughts cus I can't sleep or eat and would love to hear similar stories (or even success stories for that matter of battling lung cancer). 
My dad is 55 and a non-smoker, but has always been around smoking friends. He has a chronic cough but my family has always dismissed it as when we asked him about it it didn't bother him and we just brush it off as he did, it basically sounded like he clears his throat a lot (Sounds fucking stupid I know my mother constantly asks him to get it checked out but he's one stubborn man.)
Apparently it has metastasized to the brain and he will be getting radiation treatment for it this week before starting chemotherapy for about 6 weeks targeting the cancer in his lungs. There can't be targeted therapy because there were no mutations detected. The doctor said the survival rate is 2%. (Also I'm just transcribing what my mum told me and english is not her first language so there might be details left out) My dad has always been really active, he was a pole vaulter and swimmer when he was younger and eats really organically so I really really can't wrap my head around this sudden news at all. 
I just started grad school last week in the US and I'm feeling so helpless and afraid that something will happen before I make it back home. I facetimed my parents and my dad put on a brave face as his usual energetic happy self while breaking the news to me and it breaks my heart knowing that our lives and his are gonna change forever because of this. My parents told me to not worry, just study hard, and that they are ready to take on this together. I'm literally crying so hard I'm not ready to lose my dad. I feel so useless that I'm so far away and can't be there for my dad during the worst moment of his life and feel like absolute trash that they had to put on smiling faces in front of me to assure me that everything will be okay. And I can't be there for them to be the one telling them that.</t>
        </is>
      </c>
      <c r="D4674" t="n">
        <v>3</v>
      </c>
      <c r="E4674" t="n">
        <v>0</v>
      </c>
      <c r="F4674">
        <f>HYPERLINK("https://www.reddit.com/r/cancer/comments/d234dn/my23f_dad55m_has_stage_iv_non_small_cell_lung/")</f>
        <v/>
      </c>
      <c r="G4674" t="inlineStr">
        <is>
          <t>2019-09-09 22:18:25</t>
        </is>
      </c>
      <c r="H4674" t="inlineStr"/>
    </row>
    <row r="4675">
      <c r="A4675" t="inlineStr">
        <is>
          <t>d238cq</t>
        </is>
      </c>
      <c r="B4675" t="inlineStr">
        <is>
          <t>I get so tired of people telling me that their 95 year old mother has Cancer (it’s not the same)</t>
        </is>
      </c>
      <c r="C4675" t="inlineStr">
        <is>
          <t>Not sure if there are any other Childhood Cancer moms or dads in here. I’m so freaking tired of people asking me how my 9year old daughter battling brain cancer is doing, before I can answer they tell me how their damn old ass parents are battling too. Okay first of all a child has not gotten to enjoy life yet, finish school, get a job, get married, have kids, enjoy retirement. Wtf, most adults somehow get old and get Cancer. I’ve had several family members battle. Breast is mostly hereditary, I get that. But if you’re damn 90 year old mother smoked 2 packs a day for 50+ years, it’s not the same. My daughter was diagnosed at 7, she loved soccer, gymnastics, swimming hell she was in 1st grade reading on a fourth grade level. Then came Cancer, now after tumor resection, Chemo and radiation my child is blind,hasn’t walked in 2 years nor been to any type of school. We spend 100s of days in the hospital because they are giving my 9year old the same damn Chemo that your old ass family member is getting. The difference is that the Chemo was not made for a child, it was made for adults so it really, really tears our kids up. I see adults all the time take their Chemo and radiation and go straight to work, this same Chemo had my child in the hospital for 62 days,then 136 days last year. My God people need to stop thinking it’s the same. Of course #GoGold</t>
        </is>
      </c>
      <c r="D4675" t="n">
        <v>29</v>
      </c>
      <c r="E4675" t="n">
        <v>53</v>
      </c>
      <c r="F4675">
        <f>HYPERLINK("https://www.reddit.com/r/cancer/comments/d238cq/i_get_so_tired_of_people_telling_me_that_their_95/")</f>
        <v/>
      </c>
      <c r="G4675" t="inlineStr">
        <is>
          <t>2019-09-09 22:30:55</t>
        </is>
      </c>
      <c r="H4675" t="inlineStr"/>
    </row>
    <row r="4676">
      <c r="A4676" t="inlineStr">
        <is>
          <t>d2704p</t>
        </is>
      </c>
      <c r="B4676" t="inlineStr">
        <is>
          <t>rituxan expectations?</t>
        </is>
      </c>
      <c r="C4676" t="inlineStr">
        <is>
          <t>Hi!
My 70 year old mom is starting four rounds of rituxan next week, for lymphoma. Can anyone tell me what to expect from side effects? Are bad ones common? Is there anything I can do to support her better?
Thank you!</t>
        </is>
      </c>
      <c r="D4676" t="n">
        <v>2</v>
      </c>
      <c r="E4676" t="n">
        <v>0</v>
      </c>
      <c r="F4676">
        <f>HYPERLINK("https://www.reddit.com/r/cancer/comments/d2704p/rituxan_expectations/")</f>
        <v/>
      </c>
      <c r="G4676" t="inlineStr">
        <is>
          <t>2019-09-10 05:42:52</t>
        </is>
      </c>
      <c r="H4676" t="inlineStr"/>
    </row>
    <row r="4677">
      <c r="A4677" t="inlineStr">
        <is>
          <t>d279w4</t>
        </is>
      </c>
      <c r="B4677" t="inlineStr">
        <is>
          <t>What can I do to help my brother cope?</t>
        </is>
      </c>
      <c r="C4677" t="inlineStr">
        <is>
          <t>Few hours ago my brother called me to tell me he got his diagnosis for testicular cancer. We live in diferent towns by ourselves and it takes 2 hours by train for me to get there. Our parents are 7 hours away from his town. We're both med students, so we both know that his cancer can be cured with a high success rate. But when he phoned me he didn't take it so well and all I could ear was his broken voice. I'm planning on going there to be with him as soon as I can today and I'm suggesting him what to do and who to talk to. Is there anything I can do when I get there? He's starting to shut me down and he says he doesn't want to think about anything at all now.   
He still has to talk to our parents and he has asked me to take it from there and explain them what it will probably entail.  
For me, I've gone into hyperprotective big sister mode and am in a frenzy.  
Is there something I could do? What would you have liked your loved ones to do for you the moment you got your diagnosis?  
Thanks to whoever wants to answer, and good luck to you all on your battles!</t>
        </is>
      </c>
      <c r="D4677" t="n">
        <v>1</v>
      </c>
      <c r="E4677" t="n">
        <v>0</v>
      </c>
      <c r="F4677">
        <f>HYPERLINK("https://www.reddit.com/r/cancer/comments/d279w4/what_can_i_do_to_help_my_brother_cope/")</f>
        <v/>
      </c>
      <c r="G4677" t="inlineStr">
        <is>
          <t>2019-09-10 06:06:13</t>
        </is>
      </c>
      <c r="H4677" t="inlineStr"/>
    </row>
    <row r="4678">
      <c r="A4678" t="inlineStr">
        <is>
          <t>d2824k</t>
        </is>
      </c>
      <c r="B4678" t="inlineStr">
        <is>
          <t>Found lump on my throat</t>
        </is>
      </c>
      <c r="C4678" t="inlineStr">
        <is>
          <t>I am super nervous. I've been in a treatment break due to colitis and have been taking Prednisone. Starting Friday my neck started to hurt, but it was close to where my lymph node dissection was so I wrote it off to that. Last night I noticed it hurt to swallow, and can feel a squishy spot that is tender to the touch. Today it hurts to swallow, hurts to yawn, and is tender. My original spot was in my chest on my trachea, but I had a few nodes around my throat light up that were small. I'm scared one of those has been growing. I'm at the doc now. Hoping it's a weird Prednisone reaction. Ugh.</t>
        </is>
      </c>
      <c r="D4678" t="n">
        <v>5</v>
      </c>
      <c r="E4678" t="n">
        <v>8</v>
      </c>
      <c r="F4678">
        <f>HYPERLINK("https://www.reddit.com/r/cancer/comments/d2824k/found_lump_on_my_throat/")</f>
        <v/>
      </c>
      <c r="G4678" t="inlineStr">
        <is>
          <t>2019-09-10 07:10:59</t>
        </is>
      </c>
      <c r="H4678" t="inlineStr"/>
    </row>
    <row r="4679">
      <c r="A4679" t="inlineStr">
        <is>
          <t>d284kh</t>
        </is>
      </c>
      <c r="B4679" t="inlineStr">
        <is>
          <t>how do you guys cope with cancer affecting your mental health?</t>
        </is>
      </c>
      <c r="C4679" t="inlineStr">
        <is>
          <t>I’m so sad and angry. I’m so tired of feeling like this too. Im also tired of being in pain, tired of the bouts of fatigue that come with it. I can’t even tell anymore when i’m feeling depressed because i’m in pain, or if my shitty mental state is manifesting in to pain. 
My mind is not doing too good. I feel so messed up in the head sometimes. I worry about all the things that could go wrong, how the cancer might suddenly spread, how any new pain is a sign of it worsening. My mind races around the central idea that, if i’m feeling better, it only means the cancer is hiding temporarily, plotting its next return. Feels like it could strike again anytime. 
It’s not necessarily dying that i’m afraid of, but more being robbed of time. I’m not scared of leaving the house because there’s a chance i may be hit by a car and die. But I am scared of seeing my remaining lifetime creeping closer slowly as the doctor utters something about “6 months” and soon after “a few weeks”.  Afraid of knowing you will only face more pain and deterioration of your body, mind, and soul as your time ticks away. I’m only 18.
Reading back on what i’ve just wrote, i can see my mind is in a dark, dark place right now. I can’t stop spiralling in to these negative thoughts. I used to be more accepting of life with this disease and how it may change my path, but i used to feel at peace with this.
So i’m not sure if my pains flaring up once again is triggering some painful memories, or if my fatigued physical state is wearing down my mental state also. I know for sure i need to do something about the way i feel, but i’m exhausted, and it’s easier to stay at home and sleep. Or to just sink in to the false sense of wellbeing that comes with giving in to bad habits. 
Hopefully, ranting to you guys , whoever ya may be, will make me feel a little better. Any advice or thoughts, are very welcome ❤️  especially if you also feel like cancer has impacted your mind, please feel welcome to share your story here ❤️</t>
        </is>
      </c>
      <c r="D4679" t="n">
        <v>4</v>
      </c>
      <c r="E4679" t="n">
        <v>4</v>
      </c>
      <c r="F4679">
        <f>HYPERLINK("https://www.reddit.com/r/cancer/comments/d284kh/how_do_you_guys_cope_with_cancer_affecting_your/")</f>
        <v/>
      </c>
      <c r="G4679" t="inlineStr">
        <is>
          <t>2019-09-10 07:16:30</t>
        </is>
      </c>
      <c r="H4679" t="inlineStr"/>
    </row>
    <row r="4680">
      <c r="A4680" t="inlineStr">
        <is>
          <t>d28u49</t>
        </is>
      </c>
      <c r="B4680" t="inlineStr">
        <is>
          <t>I want to share with you all my wife's life celebration</t>
        </is>
      </c>
      <c r="C4680" t="inlineStr">
        <is>
          <t>Hello wonderful community,
As many of you know, my wife died of cancer a few weeks ago. 
I've shared with you our journey (the good, the bad, and the ugly) almost from the beginning and specially during the last few months of her life, which were very difficult and painful to us both, and we needed a lot of support.
These past few weeks have been an intense emotional, physical, and mental commotion for me. I had to withhold most of my feelings during the two years I was her caretaker, and now the sadness, fear, anger, and pain are coming to me like a force of nature. Luckily, my friends and her friends are carrying me through me, like the true community of love she built for me and for them. Most days I think I won't survive this, but now and then I feel a bit of hope.
Last Saturday we got together and celebrated her life. This is something she asked us to do before dying and I've tried to honor all her wishes as much as I can, even if I'm tired or struggling with her absence. It was a beautiful moment. We built a mandala together using flowers, seeds and beans, and spices. We sang, we danced, we cried, we hugged, we laughed. It was a healing experience. 
&amp;amp;#x200B;
&amp;gt;On the day I die, when I'm being   
&amp;gt;  
&amp;gt;carried toward the grave, do not weep.  
&amp;gt;  
&amp;gt;Do not say, "He's gone! He's gone!"  
&amp;gt;  
&amp;gt;Death has nothing to do with going away.  
&amp;gt;  
&amp;gt;The sun sets and the moon sets  
&amp;gt;  
&amp;gt;but they are not gone.  
&amp;gt;  
&amp;gt;Death is a coming together.
\- Rumi.</t>
        </is>
      </c>
      <c r="D4680" t="n">
        <v>94</v>
      </c>
      <c r="E4680" t="n">
        <v>13</v>
      </c>
      <c r="F4680">
        <f>HYPERLINK("https://www.reddit.com/r/cancer/comments/d28u49/i_want_to_share_with_you_all_my_wifes_life/")</f>
        <v/>
      </c>
      <c r="G4680" t="inlineStr">
        <is>
          <t>2019-09-10 08:07:35</t>
        </is>
      </c>
      <c r="H4680" t="inlineStr"/>
    </row>
    <row r="4681">
      <c r="A4681" t="inlineStr">
        <is>
          <t>d29xf4</t>
        </is>
      </c>
      <c r="B4681" t="inlineStr">
        <is>
          <t>Update on my story</t>
        </is>
      </c>
      <c r="C4681" t="inlineStr">
        <is>
          <t xml:space="preserve">He said tentatively things look good. The mass in my chest has shrunk to 2 inches (5.08 cm). He said he wants a pet scan to be 100% certain it's just scar tissue. He strongly believes it is, but wants the pet scan mainly for assurance purposes. 
If insurance wants to groan about it, then I get a CT scan in about 3 months if I understood him correctly and I'll be officially officially deemed in remission.
He said if we can't get the pet scan, make an appointment with your surgeon and get the port taken out. If that's the case then I can go ahead and get new piercings and tattoos as well once the port is out. If not, gotta wait for that CT scan. </t>
        </is>
      </c>
      <c r="D4681" t="n">
        <v>8</v>
      </c>
      <c r="E4681" t="n">
        <v>1</v>
      </c>
      <c r="F4681">
        <f>HYPERLINK("https://www.reddit.com/r/cancer/comments/d29xf4/update_on_my_story/")</f>
        <v/>
      </c>
      <c r="G4681" t="inlineStr">
        <is>
          <t>2019-09-10 09:19:21</t>
        </is>
      </c>
      <c r="H4681" t="inlineStr"/>
    </row>
    <row r="4682">
      <c r="A4682" t="inlineStr">
        <is>
          <t>d2a0lq</t>
        </is>
      </c>
      <c r="B4682" t="inlineStr">
        <is>
          <t>Received GF’s Prognosis</t>
        </is>
      </c>
      <c r="C4682" t="inlineStr">
        <is>
          <t>Found out last night my girlfriend and mother of my 11 month old has a year tops, if she continues with treatment. Much less if she doesn’t.
I’m heartbroken and cannot stop thinking about it.
Ewing’s Sarcoma is a bitch. 
I’m her caregiver and have been for the last year. 
Any advice on how to process this and remain strong emotionally, would be greatly appreciated. 
I am seeking help from a psychiatrist but I wanted to reach out to y’all as well. 
Love you all &amp;lt;3</t>
        </is>
      </c>
      <c r="D4682" t="n">
        <v>15</v>
      </c>
      <c r="E4682" t="n">
        <v>11</v>
      </c>
      <c r="F4682">
        <f>HYPERLINK("https://www.reddit.com/r/cancer/comments/d2a0lq/received_gfs_prognosis/")</f>
        <v/>
      </c>
      <c r="G4682" t="inlineStr">
        <is>
          <t>2019-09-10 09:24:47</t>
        </is>
      </c>
      <c r="H4682" t="inlineStr"/>
    </row>
    <row r="4683">
      <c r="A4683" t="inlineStr">
        <is>
          <t>d2a6dj</t>
        </is>
      </c>
      <c r="B4683" t="inlineStr">
        <is>
          <t>Cancer PTSD Is this a thing?</t>
        </is>
      </c>
      <c r="C4683" t="inlineStr">
        <is>
          <t>While waiting hours for my daughters labs to come back at the hospital today, we saw so many kids there for treatments of all sorts. These babies, some ride tricycles with a pole attached to them, others walk around pushing their pole and some get pulled in cute little wagons by their parents of course with a pole attached. Waiting and waiting for our good news another kid coded. Code blue was called. This kid was having a reaction to his treatment, you have to clear the halls because they are coming. They being doctors, nurses , techs. Teams from other floors come, you just move out of the way. I couldn’t see which baby it was, which baby I had just saw dragging their pole. I just start instantly praying and crying, (I do this every single time and I can’t control it) because we have been there with my daughter. It’s absolutely terrifying, once all the alarms stop you just have to breathe. I don’t know what the outcome was and that bothers me. Will I see that kid dragging their pole again? I don’t know. These kids, they have no idea what’s being pumped through their veins. They only know that it’s the “Get Better” stuff. We as parents couldn’t possibly fathom what this “Get Better” stuff will eventually do to our kids. I will continue to pray for all of our children, and for better treatments.</t>
        </is>
      </c>
      <c r="D4683" t="n">
        <v>9</v>
      </c>
      <c r="E4683" t="n">
        <v>4</v>
      </c>
      <c r="F4683">
        <f>HYPERLINK("https://www.reddit.com/r/cancer/comments/d2a6dj/cancer_ptsd_is_this_a_thing/")</f>
        <v/>
      </c>
      <c r="G4683" t="inlineStr">
        <is>
          <t>2019-09-10 09:35:03</t>
        </is>
      </c>
      <c r="H4683" t="inlineStr"/>
    </row>
    <row r="4684">
      <c r="A4684" t="inlineStr">
        <is>
          <t>d2ab44</t>
        </is>
      </c>
      <c r="B4684" t="inlineStr">
        <is>
          <t>Advice on itching skin due to cancer,</t>
        </is>
      </c>
      <c r="C4684" t="inlineStr">
        <is>
          <t>I was diagnosed with bile duct cancer (in the liver) three month ago. Cannot be cured, I decided not to fight it (I lost already), will not take chemo. My mood is good, up to now the pain is bearable, some paracetamol helps me through the night.
Problem is now the itching skin. Itch from head to toe, I wake up from it and I dont sleep sufficient hours.
I tried Buprenorfine (adhesive plaster) (is this still English)? this worked a month ago quite well, but now does not seem to have any effect...
Looking for advice...</t>
        </is>
      </c>
      <c r="D4684" t="n">
        <v>1</v>
      </c>
      <c r="E4684" t="n">
        <v>6</v>
      </c>
      <c r="F4684">
        <f>HYPERLINK("https://www.reddit.com/r/cancer/comments/d2ab44/advice_on_itching_skin_due_to_cancer/")</f>
        <v/>
      </c>
      <c r="G4684" t="inlineStr">
        <is>
          <t>2019-09-10 09:43:18</t>
        </is>
      </c>
      <c r="H4684" t="inlineStr"/>
    </row>
    <row r="4685">
      <c r="A4685" t="inlineStr">
        <is>
          <t>d2abnp</t>
        </is>
      </c>
      <c r="B4685" t="inlineStr">
        <is>
          <t>My dad is getting a bone marrow transplant this afternoon</t>
        </is>
      </c>
      <c r="C4685" t="inlineStr">
        <is>
          <t>I have so many feelings today and haven’t been able to focus at the office as I prepare to head over to the hospital after lunch (in hindsight I should have taken off the full day instead of half a day!). A mix of fear and hope. Fear because we have no idea what comes next. Will his body reject and fight his brother’s cells? Will he relapse? Will he get an infection while his immunity is basically zero? But I also feel hopeful because this is our best shot at curing him of the awful disease. At the moment he is in remission but it will come back without this transplant. We have no choice here and not doing it is to allow the disease to progress and kill him.
He was given a 30-40% chance of survival with the transplant. God I hope he is one of the lucky ones who gets through it okay. I can’t lose my dad.</t>
        </is>
      </c>
      <c r="D4685" t="n">
        <v>6</v>
      </c>
      <c r="E4685" t="n">
        <v>8</v>
      </c>
      <c r="F4685">
        <f>HYPERLINK("https://www.reddit.com/r/cancer/comments/d2abnp/my_dad_is_getting_a_bone_marrow_transplant_this/")</f>
        <v/>
      </c>
      <c r="G4685" t="inlineStr">
        <is>
          <t>2019-09-10 09:44:15</t>
        </is>
      </c>
      <c r="H4685" t="inlineStr"/>
    </row>
    <row r="4686">
      <c r="A4686" t="inlineStr">
        <is>
          <t>d2acrs</t>
        </is>
      </c>
      <c r="B4686" t="inlineStr">
        <is>
          <t>Dating a cancer patient?</t>
        </is>
      </c>
      <c r="C4686" t="inlineStr">
        <is>
          <t>So I have cancer and went through chemo. I say I still have cancer because it is too early to tell if I am in the clear yet. My question I'm asking comes from a bit of insecurity. I'm 24M and I guess would it be selfish of me to try to ask for a romantic partner knowing it might come back? Knowing I might not make it to an elderly age?
I really hope I'm not coming off an insensitive. I know there are many people who love someone going through this and I love that. But I guess I have only seen people that fall in love THEN get cancer. What about the other way around? Have any of you been on either side of this?</t>
        </is>
      </c>
      <c r="D4686" t="n">
        <v>10</v>
      </c>
      <c r="E4686" t="n">
        <v>8</v>
      </c>
      <c r="F4686">
        <f>HYPERLINK("https://www.reddit.com/r/cancer/comments/d2acrs/dating_a_cancer_patient/")</f>
        <v/>
      </c>
      <c r="G4686" t="inlineStr">
        <is>
          <t>2019-09-10 09:46:10</t>
        </is>
      </c>
      <c r="H4686" t="inlineStr"/>
    </row>
    <row r="4687">
      <c r="A4687" t="inlineStr">
        <is>
          <t>d2dop6</t>
        </is>
      </c>
      <c r="B4687" t="inlineStr">
        <is>
          <t>How do you deal with all the puke?</t>
        </is>
      </c>
      <c r="C4687" t="inlineStr">
        <is>
          <t>I'm up every night for hours by the toilet trying my best to keep it in. I have no clue how I'll get through college lessons without puking. Does anyone have any tips on how to puke less?</t>
        </is>
      </c>
      <c r="D4687" t="n">
        <v>3</v>
      </c>
      <c r="E4687" t="n">
        <v>21</v>
      </c>
      <c r="F4687">
        <f>HYPERLINK("https://www.reddit.com/r/cancer/comments/d2dop6/how_do_you_deal_with_all_the_puke/")</f>
        <v/>
      </c>
      <c r="G4687" t="inlineStr">
        <is>
          <t>2019-09-10 13:15:49</t>
        </is>
      </c>
      <c r="H4687" t="inlineStr"/>
    </row>
    <row r="4688">
      <c r="A4688" t="inlineStr">
        <is>
          <t>d2enm1</t>
        </is>
      </c>
      <c r="B4688" t="inlineStr">
        <is>
          <t>Tomorrow we find out if the tumors are operable.</t>
        </is>
      </c>
      <c r="C4688" t="inlineStr">
        <is>
          <t>My dad was diagnosed with stage IIIc colorectal cancer in February 2018. He beat it and was cancer free a couple months later. May 2019, three lesions were found on his liver, bumping us up to stage IV.
Since the beginning, our oncologist and liver surgeon have been extremely helpful and optimistic throughout all of this. We haven't been given any life expectancies or anything. They are confident we can remove it and be NED.
Today, he had his appointment with the oncologist after his CT scan. The tumors have shrunk a small amount, but not a lot. My heart broke. His CEA levels have gone from 12 down to 2.9, which are almost to normal level. I was confident the tumors would have shrunk a lot. But they haven't. My dad, along with my mom, don't seem nervous about the surgeon appointment tomorrow. They said the tumors never needed to shrink and that they just did chemo first to stop progression, which has definitely worked.
But I'm worried they are just lying to me and shrinkage was necessary. They've been extremely open with me about everything this far, so I don't see why this would be any different. I'm just insanely worried. I'm only 21 years old and I'm 3 hours away from home. It's so hard to not be there with them for all of this. I am going home Thursday night to surprise my dad, hopefully we will hear good news Wednesday and we can celebrate when I come home.
I know you all have been in my shoes or a similar position. Cancer fucking sucks. I'm trying to be optimistic about all of this, but it's just so hard. I'll post an update tomorrow after the appointment. Thanks everyone</t>
        </is>
      </c>
      <c r="D4688" t="n">
        <v>2</v>
      </c>
      <c r="E4688" t="n">
        <v>3</v>
      </c>
      <c r="F4688">
        <f>HYPERLINK("https://www.reddit.com/r/cancer/comments/d2enm1/tomorrow_we_find_out_if_the_tumors_are_operable/")</f>
        <v/>
      </c>
      <c r="G4688" t="inlineStr">
        <is>
          <t>2019-09-10 14:16:16</t>
        </is>
      </c>
      <c r="H4688" t="inlineStr"/>
    </row>
    <row r="4689">
      <c r="A4689" t="inlineStr">
        <is>
          <t>d2etvx</t>
        </is>
      </c>
      <c r="B4689" t="inlineStr">
        <is>
          <t>Temperpedic hospital bed needed</t>
        </is>
      </c>
      <c r="C4689" t="inlineStr">
        <is>
          <t>My friend is in hospice and on a crappy old, spring coming through the mattress, uncomfortable bed. Does anyone here know any ways to get a better bed for her??</t>
        </is>
      </c>
      <c r="D4689" t="n">
        <v>1</v>
      </c>
      <c r="E4689" t="n">
        <v>2</v>
      </c>
      <c r="F4689">
        <f>HYPERLINK("https://www.reddit.com/r/cancer/comments/d2etvx/temperpedic_hospital_bed_needed/")</f>
        <v/>
      </c>
      <c r="G4689" t="inlineStr">
        <is>
          <t>2019-09-10 14:27:12</t>
        </is>
      </c>
      <c r="H4689" t="inlineStr"/>
    </row>
    <row r="4690">
      <c r="A4690" t="inlineStr">
        <is>
          <t>d2gf8r</t>
        </is>
      </c>
      <c r="B4690" t="inlineStr">
        <is>
          <t>Mass on liver</t>
        </is>
      </c>
      <c r="C4690" t="inlineStr">
        <is>
          <t>Almost 3 in a half years ago a somewhat large mass with legions was found on my liver during an ultra sound for something else.  The Dr advised me to get a cat scan.  I never did.  3 and a half years later I have no symptoms.  I was reading that many liver tumors are benign.   Could it have always been there and it’s nothing concerning or could it be cancer that’s been growing for years?</t>
        </is>
      </c>
      <c r="D4690" t="n">
        <v>2</v>
      </c>
      <c r="E4690" t="n">
        <v>6</v>
      </c>
      <c r="F4690">
        <f>HYPERLINK("https://www.reddit.com/r/cancer/comments/d2gf8r/mass_on_liver/")</f>
        <v/>
      </c>
      <c r="G4690" t="inlineStr">
        <is>
          <t>2019-09-10 16:12:39</t>
        </is>
      </c>
      <c r="H4690" t="inlineStr"/>
    </row>
    <row r="4691">
      <c r="A4691" t="inlineStr">
        <is>
          <t>d2gt4s</t>
        </is>
      </c>
      <c r="B4691" t="inlineStr">
        <is>
          <t>Triple threat: Rare, aggressive, inoperable</t>
        </is>
      </c>
      <c r="C4691" t="inlineStr">
        <is>
          <t>My grandmother (69) is the matriarch of our entire big ass family. She holds us all together and she's dying. Late last November she discovered her Vulvar cancer early and had the tiny thing removed immediately, along with the nearby lymph nodes just to be safe. All aboard the rainbow train of positivity and relief. Until her follow up appointment where we discovered it had grown back, bigger this time. She went for 8 weeks of radiation to shrink it before they would remove it surgically. She followed every goddamn doctor's order thrown at her to the letter. Radiation ends and we find out it kept growing through radiation. So the docs switch her over to full blown chemo- lost her hair, constantly sick and tired, the works. Chemo ends and the tumor has been growing this whole damn time. Now it's too big and too close to the femoral artery to do surgery. This is where our rainbow train crashed and burned. Docs estimate 6-12 months. There are no other options left aside from a hail mary clinical trial (which we haven't found) or a miracle.  
I don't have any real questions, I don't even really know why I posted... I'm just lost I guess. I don't know how to convey how important this woman is to all of us. When she dies, it won't just be her that's gone, our whole family will implode and it's like we all know its coming but we can't do anything about it. I'm especially worried about my own mother, who's been the caretaker during all this. She doesn't handle feelings very well and I can only imagine what losing her mom will do to her. 
I don't know what I'm hoping from this... I guess I just wanted to get it off my chest like a diary entry or something. Idk. All of your stories are their own special kind of heartbreaking so I guess maybe someone would understand or relate. Anyway, thanks for reading.</t>
        </is>
      </c>
      <c r="D4691" t="n">
        <v>3</v>
      </c>
      <c r="E4691" t="n">
        <v>1</v>
      </c>
      <c r="F4691">
        <f>HYPERLINK("https://www.reddit.com/r/cancer/comments/d2gt4s/triple_threat_rare_aggressive_inoperable/")</f>
        <v/>
      </c>
      <c r="G4691" t="inlineStr">
        <is>
          <t>2019-09-10 16:40:02</t>
        </is>
      </c>
      <c r="H4691" t="inlineStr"/>
    </row>
    <row r="4692">
      <c r="A4692" t="inlineStr">
        <is>
          <t>d2h0oy</t>
        </is>
      </c>
      <c r="B4692" t="inlineStr">
        <is>
          <t>Avoid Booking.Com</t>
        </is>
      </c>
      <c r="C4692" t="inlineStr">
        <is>
          <t>If you're planning a trip, avoid [Booking.com](https://Booking.com). I was in remission and my wife scheduled a trip for my birthday. A few weeks before our trip I get the news my AML has relapsed. When we tried to cancel our reservation, mind you, they already had our money, they flat out told us there would not be a refund, except on the service fee and taxes, because " they couldn't charge that on services not rendered." However, they were ok charging us the $900 some dollars for those not-rendered services... So if you're a cancer patient, avoid [Booking.com](https://Booking.com). They have no compassion, no understanding, and certainly no heart for the situation.</t>
        </is>
      </c>
      <c r="D4692" t="n">
        <v>9</v>
      </c>
      <c r="E4692" t="n">
        <v>5</v>
      </c>
      <c r="F4692">
        <f>HYPERLINK("https://www.reddit.com/r/cancer/comments/d2h0oy/avoid_bookingcom/")</f>
        <v/>
      </c>
      <c r="G4692" t="inlineStr">
        <is>
          <t>2019-09-10 16:54:58</t>
        </is>
      </c>
      <c r="H4692" t="inlineStr"/>
    </row>
    <row r="4693">
      <c r="A4693" t="inlineStr">
        <is>
          <t>d2htxw</t>
        </is>
      </c>
      <c r="B4693" t="inlineStr">
        <is>
          <t>Just lost my mother to cancer. FUCK YOU CANCER.</t>
        </is>
      </c>
      <c r="C4693" t="inlineStr">
        <is>
          <t>What more can I say?  Hope to all you and the families fighting this BULLSHIT disease.</t>
        </is>
      </c>
      <c r="D4693" t="n">
        <v>78</v>
      </c>
      <c r="E4693" t="n">
        <v>33</v>
      </c>
      <c r="F4693">
        <f>HYPERLINK("https://www.reddit.com/r/cancer/comments/d2htxw/just_lost_my_mother_to_cancer_fuck_you_cancer/")</f>
        <v/>
      </c>
      <c r="G4693" t="inlineStr">
        <is>
          <t>2019-09-10 17:54:11</t>
        </is>
      </c>
      <c r="H4693" t="inlineStr"/>
    </row>
    <row r="4694">
      <c r="A4694" t="inlineStr">
        <is>
          <t>d2ic8a</t>
        </is>
      </c>
      <c r="B4694" t="inlineStr">
        <is>
          <t>Just found out Dad has cancer.</t>
        </is>
      </c>
      <c r="C4694" t="inlineStr">
        <is>
          <t>Found out earlier today that my dad has a cancerous mass in his nasal passages. Scans haven't come back yet, so we have no idea how bad it is, but the doctors say it hasn't spread anywhere. They removed about 80% of the mass. I'm terrified. 
Not really sure what I'm looking for here. I just needed to rant somewhere, and I don't want to spill the beans to everyone around me yet. I'm 3 weeks into my college experience, and I'm just starting to find my social dynamic with everyone on my floor. The last thing I need is for them to see me differently because of this. 
I guess if I had a question, it would be as to how I can make myself get work done? The news is really fresh, but I have so much to do that I can't afford to give myself any time to just think. I felt like I was drowning before, and now someone is pushing me even farther under the water.
 I just don't know what to do.</t>
        </is>
      </c>
      <c r="D4694" t="n">
        <v>1</v>
      </c>
      <c r="E4694" t="n">
        <v>1</v>
      </c>
      <c r="F4694">
        <f>HYPERLINK("https://www.reddit.com/r/cancer/comments/d2ic8a/just_found_out_dad_has_cancer/")</f>
        <v/>
      </c>
      <c r="G4694" t="inlineStr">
        <is>
          <t>2019-09-10 18:31:07</t>
        </is>
      </c>
      <c r="H4694" t="inlineStr"/>
    </row>
    <row r="4695">
      <c r="A4695" t="inlineStr">
        <is>
          <t>d2iz8c</t>
        </is>
      </c>
      <c r="B4695" t="inlineStr">
        <is>
          <t>What's Next?</t>
        </is>
      </c>
      <c r="C4695" t="inlineStr">
        <is>
          <t>Hello everyone, in the beginning of summer, my mom was diagnosed with stage 3 breast cancer. Shortly after, she underwent a mastectomy then radiation treatment, which finished about 3 weeks ago. 
&amp;amp;#x200B;
Even during radiation, my mom continued working, and now she has basically gone back to her complete normal life. When I asked her she needs more treatment, or if the cancer is completely gone, she told me that doctors don't really know for sure if the cancer is completely gone. What's next? Is she considered a survivor at this point? Can the breast cancer still come back later, in maybe a worse stage? How do doctors even know if the treatment worked/ do they? Everything just seemed to happen so fast, one week she broke the news, the next week she got her mastectomy, then she did radiation, then radiation finished.</t>
        </is>
      </c>
      <c r="D4695" t="n">
        <v>1</v>
      </c>
      <c r="E4695" t="n">
        <v>1</v>
      </c>
      <c r="F4695">
        <f>HYPERLINK("https://www.reddit.com/r/cancer/comments/d2iz8c/whats_next/")</f>
        <v/>
      </c>
      <c r="G4695" t="inlineStr">
        <is>
          <t>2019-09-10 19:17:23</t>
        </is>
      </c>
      <c r="H4695" t="inlineStr"/>
    </row>
    <row r="4696">
      <c r="A4696" t="inlineStr">
        <is>
          <t>d2j1mr</t>
        </is>
      </c>
      <c r="B4696" t="inlineStr">
        <is>
          <t>My dad asked “why me” and it just about broke me inside</t>
        </is>
      </c>
      <c r="C4696" t="inlineStr">
        <is>
          <t>My dad was diagnosed with GBM (brain cancer) in May of this year. Since then it has been weeks of him being poked and prodded for tests, treatments, etc. 
And yesterday, as he was getting a test before starting his drug trial today, he turned to my mom and asked “why me?”
When my mom told me this today it just about crushed my fucking heart.  He’s been really good about all of this, especially since anything medical tends to make him queasy/pass out. And I just feel so bad he has to go through all this. I wish I could do anything to take away his troubles. 
I am just so sad. My dad is only 57 and I don’t even know how much time I have left with him. I try to be strong for my mom and dad, but sometimes it’s so hard.</t>
        </is>
      </c>
      <c r="D4696" t="n">
        <v>15</v>
      </c>
      <c r="E4696" t="n">
        <v>9</v>
      </c>
      <c r="F4696">
        <f>HYPERLINK("https://www.reddit.com/r/cancer/comments/d2j1mr/my_dad_asked_why_me_and_it_just_about_broke_me/")</f>
        <v/>
      </c>
      <c r="G4696" t="inlineStr">
        <is>
          <t>2019-09-10 19:22:22</t>
        </is>
      </c>
      <c r="H4696" t="inlineStr"/>
    </row>
    <row r="4697">
      <c r="A4697" t="inlineStr">
        <is>
          <t>d2j6vw</t>
        </is>
      </c>
      <c r="B4697" t="inlineStr">
        <is>
          <t>Stuck with my psychotic mother because I'm the primary breadwinner for my cancer-stricken father.</t>
        </is>
      </c>
      <c r="C4697" t="inlineStr">
        <is>
          <t>My mom has serious mental issues. She refuses to get mental health treatment and the only one that has any validity to it is that we can't afford it. I gave up my house and moved home when my father lost his job, and then not long after he found another he got diagnosed with colon cancer. He had to quit and is now living on $2K/month social security disability. It's not enough for them to live on as she cannot work due to her own medical issues and because shes his primary caregiver. 90% of the time shes normal, but she runs through her xanax too fast and when she gets low she goes absolutely crazy. In the past 48 hours she threatened to kill herself in front of my father so that would be his last memory of her, then later on she threatened to kill me. She refuses to acknowledge the massive sacrifices I have made to keep them in their home, every one of my paychecks 90% goes to paying the bills to keep the lights on, mortgage paid, and electricity on. I cannot stand dealing with her. She won't admit she has a problem and accused to me of "holding a grudge" because I refuse to talk to her after her latest psychotic break. I feel stuck here because I cannot afford to move out and support them and myself at the same time. I don't make a lot of money but enough that I could find a room to rent and survive on my own. I'm interviewing for a new job that would allow me to make $1K+ a week which might be enough for me to support them and live on my own but I don't like being highly dependent on a new job that may or may not work out in the long-term.
Seems like my only option is to wait out however much time my dad has left, which will hopefully be 2+ years or hopefully longer. But the sad truth is the longer he lives the more prolonged misery I have dealing with this lunatic I'm stuck living with.</t>
        </is>
      </c>
      <c r="D4697" t="n">
        <v>8</v>
      </c>
      <c r="E4697" t="n">
        <v>4</v>
      </c>
      <c r="F4697">
        <f>HYPERLINK("https://www.reddit.com/r/cancer/comments/d2j6vw/stuck_with_my_psychotic_mother_because_im_the/")</f>
        <v/>
      </c>
      <c r="G4697" t="inlineStr">
        <is>
          <t>2019-09-10 19:33:07</t>
        </is>
      </c>
      <c r="H4697" t="inlineStr"/>
    </row>
    <row r="4698">
      <c r="A4698" t="inlineStr">
        <is>
          <t>d2jd7i</t>
        </is>
      </c>
      <c r="B4698" t="inlineStr">
        <is>
          <t>Portacath advice?</t>
        </is>
      </c>
      <c r="C4698" t="inlineStr">
        <is>
          <t>So I've recently been diagnosed with Stage IV Rectal cancer, and just had a power port installed late last week. I'm mostly excited about it -- I hate needles, and had a *really* bad experience with an IV about six months ago ( it infiltrated, and the nurses ignored me for 30+ minutes while I kept explaining that it really hurt. It was the candy striper who finally noticed it was blowing up like a balloon and insisted they take it out ).   
Although I'm also a little nervous about it -- things like whether I can ever sleep on my right side again, how concerned I should be about it 'twisting', whether I can get massages once it's healed up, and just how the nurses will access it when I go in for chemo ( it's a little lower than I expected -- the actual port is about at armpit level ).   
Does anyone have any suggestions, things they wish they'd known, tips or tricks? I've already heard the suggestion of getting a small pillow for the seatbelt in cars ( though I'm not sure where to find one ), but is there anything else I should know?</t>
        </is>
      </c>
      <c r="D4698" t="n">
        <v>4</v>
      </c>
      <c r="E4698" t="n">
        <v>23</v>
      </c>
      <c r="F4698">
        <f>HYPERLINK("https://www.reddit.com/r/cancer/comments/d2jd7i/portacath_advice/")</f>
        <v/>
      </c>
      <c r="G4698" t="inlineStr">
        <is>
          <t>2019-09-10 19:46:29</t>
        </is>
      </c>
      <c r="H4698" t="inlineStr"/>
    </row>
    <row r="4699">
      <c r="A4699" t="inlineStr">
        <is>
          <t>d2kgl3</t>
        </is>
      </c>
      <c r="B4699" t="inlineStr">
        <is>
          <t>Terrified at the thought of death</t>
        </is>
      </c>
      <c r="C4699" t="inlineStr">
        <is>
          <t>Hi all,
Recently, I’ve been thinking a lot about death. Now my cancer isn’t considered life threatening but that possibility always stands and it’s caused me to overthink. How do you deal with the thought of dying? I’m young and have always had that “I’m invincible” mindset but I’ve had to face my own mortality and it’s absolutely terrifying to me.</t>
        </is>
      </c>
      <c r="D4699" t="n">
        <v>0</v>
      </c>
      <c r="E4699" t="n">
        <v>0</v>
      </c>
      <c r="F4699">
        <f>HYPERLINK("https://www.reddit.com/r/cancer/comments/d2kgl3/terrified_at_the_thought_of_death/")</f>
        <v/>
      </c>
      <c r="G4699" t="inlineStr">
        <is>
          <t>2019-09-10 21:16:32</t>
        </is>
      </c>
      <c r="H4699" t="inlineStr"/>
    </row>
    <row r="4700">
      <c r="A4700" t="inlineStr">
        <is>
          <t>d2l4xi</t>
        </is>
      </c>
      <c r="B4700" t="inlineStr">
        <is>
          <t>Just found out my mom has cancer. What can I expect and how can I be supportive?</t>
        </is>
      </c>
      <c r="C4700" t="inlineStr">
        <is>
          <t>Hi everyone! So My mom was having really bad headaches and even had a spell of vertigo while she was at The Spanish Market. She got a referral to a neurologist and had an MRI done Friday. She was called to go back not long after and was told they found a small mass in her head.  She had a biopsy done today and the surgeon was able to remove most of it. We are told it was a solid mass and it was not attached to her brain which leads the surgeon to believe it came from elsewhere in her body.  More tests are needed, but the doctor said it is in between Stage 3 &amp;amp; 4. I have absolutely no knowledge of cancer and don’t know what to expect. She will need radiation and chemotherapy. 
A couple of things to note, I am a 28f and I moved back in with my parents last year with my son. At the time I had a new job and needed my parents help due to working late shifts. I got a new job and am able to take my son to and from school. My dad is taking off from work to take care of my mom, but the great thing is I am home to help my parents with the house so that they have less to worry about. I am working in banking now and my mom asked me to be prepared to help get their financial affairs in order just in case. We do have my aunts who are prepared to help if we need it. I am not sure I will know what to ask for.
What can I expect when my mom goes through therapy and what can I do to help? How can I help my father and the rest of my family? I want to make this less stressful for my parents so my mom can focus on getting better. I know my mom is worried about my father, my child and I because that is what she does, but I want to do my best to help because I don’t know what else to do.</t>
        </is>
      </c>
      <c r="D4700" t="n">
        <v>3</v>
      </c>
      <c r="E4700" t="n">
        <v>2</v>
      </c>
      <c r="F4700">
        <f>HYPERLINK("https://www.reddit.com/r/cancer/comments/d2l4xi/just_found_out_my_mom_has_cancer_what_can_i/")</f>
        <v/>
      </c>
      <c r="G4700" t="inlineStr">
        <is>
          <t>2019-09-10 22:18:28</t>
        </is>
      </c>
      <c r="H4700" t="inlineStr"/>
    </row>
    <row r="4701">
      <c r="A4701" t="inlineStr">
        <is>
          <t>d2m02e</t>
        </is>
      </c>
      <c r="B4701" t="inlineStr">
        <is>
          <t>Hair growth after chemo</t>
        </is>
      </c>
      <c r="C4701" t="inlineStr">
        <is>
          <t>Hi guys, I recently finished 3 cycles of bleomycin, etoposide, and carboplatin chemotherapy. I had decided to shave my head and I am just wondering if my hair will grow back to how it was before. I had very thick hair and I love it and miss it so much. How quickly will my hair grow back and will it ever be the same as it was before?</t>
        </is>
      </c>
      <c r="D4701" t="n">
        <v>4</v>
      </c>
      <c r="E4701" t="n">
        <v>6</v>
      </c>
      <c r="F4701">
        <f>HYPERLINK("https://www.reddit.com/r/cancer/comments/d2m02e/hair_growth_after_chemo/")</f>
        <v/>
      </c>
      <c r="G4701" t="inlineStr">
        <is>
          <t>2019-09-10 23:46:27</t>
        </is>
      </c>
      <c r="H4701" t="inlineStr"/>
    </row>
    <row r="4702">
      <c r="A4702" t="inlineStr">
        <is>
          <t>d2mq9i</t>
        </is>
      </c>
      <c r="B4702" t="inlineStr">
        <is>
          <t>I'm sad and scared</t>
        </is>
      </c>
      <c r="C4702" t="inlineStr">
        <is>
          <t>I'm a 20 yo transgender man. I had a blood test to see if I can take hormones and they found out my hormonal levels were really bad.
My doctor decided to wait 1 month before testing my blood again, and during this month we were looking for a reason for those levels. But everytime we try to find a reasonable reason, the words "brain tumor" always end up on the list. And it's now the only realistic reason. I have really bad migraines, hearing and visual problems, balance disorders.
This is so stupid. I'll have my new results today, and I'm scared.</t>
        </is>
      </c>
      <c r="D4702" t="n">
        <v>0</v>
      </c>
      <c r="E4702" t="n">
        <v>0</v>
      </c>
      <c r="F4702">
        <f>HYPERLINK("https://www.reddit.com/r/cancer/comments/d2mq9i/im_sad_and_scared/")</f>
        <v/>
      </c>
      <c r="G4702" t="inlineStr">
        <is>
          <t>2019-09-11 01:07:48</t>
        </is>
      </c>
      <c r="H4702" t="inlineStr"/>
    </row>
    <row r="4703">
      <c r="A4703" t="inlineStr">
        <is>
          <t>d2nh5t</t>
        </is>
      </c>
      <c r="B4703" t="inlineStr">
        <is>
          <t>https://secure.leukaemia.net.nz/registrant/mobile/mobilePersonalPage.aspx?langPref=en-CA&amp;amp;RegistrationID=1300677&amp;amp;Referrer=http%3a%2f%2fm.facebook.com%2f#.XXBM5FmSr5E.facebook</t>
        </is>
      </c>
      <c r="C4703" t="inlineStr">
        <is>
          <t>Thought I’d just put this out there, I’ve been growing my hair for over 2 years and I’m shaving it all off to raise money and awareness for leukaemia and related blood cancers, if you could spare a dollar or two you will make such a difference. 
The hair will be donated and made into a wig.
Thanks so much fellow redditors</t>
        </is>
      </c>
      <c r="D4703" t="n">
        <v>1</v>
      </c>
      <c r="E4703" t="n">
        <v>1</v>
      </c>
      <c r="F4703">
        <f>HYPERLINK("https://www.reddit.com/r/cancer/comments/d2nh5t/httpssecureleukaemianetnzregistrantmobilemobileper/")</f>
        <v/>
      </c>
      <c r="G4703" t="inlineStr">
        <is>
          <t>2019-09-11 02:35:18</t>
        </is>
      </c>
      <c r="H4703" t="inlineStr"/>
    </row>
    <row r="4704">
      <c r="A4704" t="inlineStr">
        <is>
          <t>d2ob9u</t>
        </is>
      </c>
      <c r="B4704" t="inlineStr">
        <is>
          <t>I’m losing my dad..my last parent it started with cirrhosis of the liver now it’s liver cancer lung cancer and possibly back cancer. He’s coming on his “ 6 month” mark next month..everyday he’s a little worse. It’s taken me the last 5 months just accept the fact I’m losing him</t>
        </is>
      </c>
      <c r="C4704" t="inlineStr">
        <is>
          <t>I cherish every moment I get with him and I take in and make the most memorable moments I can with him but I can’t get passed the fact that when he’s gone I have nothing. I’ve thought about going to talk to someone. Any thoughts.</t>
        </is>
      </c>
      <c r="D4704" t="n">
        <v>10</v>
      </c>
      <c r="E4704" t="n">
        <v>3</v>
      </c>
      <c r="F4704">
        <f>HYPERLINK("https://www.reddit.com/r/cancer/comments/d2ob9u/im_losing_my_dadmy_last_parent_it_started_with/")</f>
        <v/>
      </c>
      <c r="G4704" t="inlineStr">
        <is>
          <t>2019-09-11 04:01:00</t>
        </is>
      </c>
      <c r="H4704" t="inlineStr"/>
    </row>
    <row r="4705">
      <c r="A4705" t="inlineStr">
        <is>
          <t>d2oj61</t>
        </is>
      </c>
      <c r="B4705" t="inlineStr">
        <is>
          <t>Mum had her final Chemo session!</t>
        </is>
      </c>
      <c r="C4705" t="inlineStr">
        <is>
          <t>She got ot ring a mini bell and everyone clapped :)  Next stop - debulking surgery. Pseudomyxoma - you will not beat my mum.</t>
        </is>
      </c>
      <c r="D4705" t="n">
        <v>73</v>
      </c>
      <c r="E4705" t="n">
        <v>27</v>
      </c>
      <c r="F4705">
        <f>HYPERLINK("https://www.reddit.com/r/cancer/comments/d2oj61/mum_had_her_final_chemo_session/")</f>
        <v/>
      </c>
      <c r="G4705" t="inlineStr">
        <is>
          <t>2019-09-11 04:20:50</t>
        </is>
      </c>
      <c r="H4705" t="inlineStr"/>
    </row>
    <row r="4706">
      <c r="A4706" t="inlineStr">
        <is>
          <t>d2p7ok</t>
        </is>
      </c>
      <c r="B4706" t="inlineStr">
        <is>
          <t>Fk you Chemo..</t>
        </is>
      </c>
      <c r="C4706" t="inlineStr">
        <is>
          <t>My official whinge list of my chemo side effects..
I feel sick..
Guts medsed up..
My finger nails are growing a bit weird..
Loosing hair..
I've lost most of my pubes..
I have/had thrush in my mouth &amp;amp; junk..
Mouth tastes like zink..
Can't think right..
Putting on weight..
Lung damage..
&amp;amp; i can't play the piano! I might never play again!
Ok that last one was made up! But fk you chemo!</t>
        </is>
      </c>
      <c r="D4706" t="n">
        <v>23</v>
      </c>
      <c r="E4706" t="n">
        <v>13</v>
      </c>
      <c r="F4706">
        <f>HYPERLINK("https://www.reddit.com/r/cancer/comments/d2p7ok/fk_you_chemo/")</f>
        <v/>
      </c>
      <c r="G4706" t="inlineStr">
        <is>
          <t>2019-09-11 05:17:12</t>
        </is>
      </c>
      <c r="H4706" t="inlineStr"/>
    </row>
    <row r="4707">
      <c r="A4707" t="inlineStr">
        <is>
          <t>d2rrtc</t>
        </is>
      </c>
      <c r="B4707" t="inlineStr">
        <is>
          <t>MY DAD IS ELIGIBLE FOR STAGE IV CANCER SURGERY</t>
        </is>
      </c>
      <c r="C4707" t="inlineStr">
        <is>
          <t>I'M LITERALLY SO EXCITED!!
I've posted here quite a bit about my dad's journey with stage IV CRC with 3 Mets to the liver. He has gone through 5 rounds of chemo so far to get rid of the liver Mets. The oncologists say that the tumors are the same size, but the cancer inside of them is almost all killed. The third tumor is no longer cancerous at all. Just a benign cyst.
Surgery is scheduled for November 7th. We have one more treatment then 4 weeks of rest before the surgery and we hopefully kick cancers ass forever.
Stage IV is not a death sentence. It's not ending. This is the happiest news I've ever gotten in my life, and I just want to share some hopefulness with some of you. And most importantly of all, FUCK CANCER</t>
        </is>
      </c>
      <c r="D4707" t="n">
        <v>40</v>
      </c>
      <c r="E4707" t="n">
        <v>17</v>
      </c>
      <c r="F4707">
        <f>HYPERLINK("https://www.reddit.com/r/cancer/comments/d2rrtc/my_dad_is_eligible_for_stage_iv_cancer_surgery/")</f>
        <v/>
      </c>
      <c r="G4707" t="inlineStr">
        <is>
          <t>2019-09-11 08:19:11</t>
        </is>
      </c>
      <c r="H4707" t="inlineStr"/>
    </row>
    <row r="4708">
      <c r="A4708" t="inlineStr">
        <is>
          <t>d2sol7</t>
        </is>
      </c>
      <c r="B4708" t="inlineStr">
        <is>
          <t>Mum has just gone to find out if/how the chemo has worked so far...</t>
        </is>
      </c>
      <c r="C4708" t="inlineStr">
        <is>
          <t>So my mum has been going through Cancer since February this year, she started in mid June and between then and now, she hasn't had any MRI scans or similar until last week, after her third cycle of Ribociclib Chemo drug.
The tumour is close enough to a blood vessel that an operation isn't possible, unless it not only shrinks, but shrinks in the direction away from the vessel. I know she's not feeling overly positive, and I don't know what to expect, but from here, I have no idea what to do.
My dad is with her, she doesn't want to text, and will come home and tell me in person, good or bad. I ofcourse want to be there for her, but I honestly don't know what to do.
This is cancer #4, she had it 3 times during my childhood, twice it was operable straight away and once required radiotherapy. I think this one feels much worse, there's been a lot more 'If this doesn't work...' talk from doctors, and I'm sure it's related to whats making this much harder to deal with and think positively over.
(I don't know if anyone can offer any advice or how to approach whatever news she comes home with, I think I just needed to put what I was freaking out over in writing..)</t>
        </is>
      </c>
      <c r="D4708" t="n">
        <v>1</v>
      </c>
      <c r="E4708" t="n">
        <v>0</v>
      </c>
      <c r="F4708">
        <f>HYPERLINK("https://www.reddit.com/r/cancer/comments/d2sol7/mum_has_just_gone_to_find_out_ifhow_the_chemo_has/")</f>
        <v/>
      </c>
      <c r="G4708" t="inlineStr">
        <is>
          <t>2019-09-11 09:19:08</t>
        </is>
      </c>
      <c r="H4708" t="inlineStr"/>
    </row>
    <row r="4709">
      <c r="A4709" t="inlineStr">
        <is>
          <t>d2te9x</t>
        </is>
      </c>
      <c r="B4709" t="inlineStr">
        <is>
          <t>After 3 months of Chemo drug Ribociclib (Kisqali), Mums cancer hasn't changed at all...</t>
        </is>
      </c>
      <c r="C4709" t="inlineStr">
        <is>
          <t>My mum found a tumour in her breast tissue (Located essentially under her left armpit) back in Feb. 
She started a course of Ribociclib back in June, and her been today for the results of her first MRI scan since starting.
No change between then and now. Positives, it hasn't grown, it hasn't spread elsewhere.
Negatives, it hasn't changed! It isn't reacting.
The idea was for the tumor to shrink to a size they could operate on it, as it's too close to some major blood vessels at present. 
Maybe I'm being too hasty, but just wondering if anyone has any experiences with the drug they could share?</t>
        </is>
      </c>
      <c r="D4709" t="n">
        <v>7</v>
      </c>
      <c r="E4709" t="n">
        <v>3</v>
      </c>
      <c r="F4709">
        <f>HYPERLINK("https://www.reddit.com/r/cancer/comments/d2te9x/after_3_months_of_chemo_drug_ribociclib_kisqali/")</f>
        <v/>
      </c>
      <c r="G4709" t="inlineStr">
        <is>
          <t>2019-09-11 10:05:44</t>
        </is>
      </c>
      <c r="H4709" t="inlineStr"/>
    </row>
    <row r="4710">
      <c r="A4710" t="inlineStr">
        <is>
          <t>d2u7oh</t>
        </is>
      </c>
      <c r="B4710" t="inlineStr">
        <is>
          <t>Qualifying for disability?</t>
        </is>
      </c>
      <c r="C4710" t="inlineStr">
        <is>
          <t>I have a grade 2 brain tumor. In July I had surgery and I’m receiving some vaccines as follow up treatment. I’ve had the last 9 weeks off work and im due back in a few weeks. However I’m really concerned with that. I’m tired all the time and still get headaches etc. 
I know it’s hard to get disability and I’m not sure the grade of my tumor qualifies me. Has anyone gone through the process? What was it like?</t>
        </is>
      </c>
      <c r="D4710" t="n">
        <v>3</v>
      </c>
      <c r="E4710" t="n">
        <v>5</v>
      </c>
      <c r="F4710">
        <f>HYPERLINK("https://www.reddit.com/r/cancer/comments/d2u7oh/qualifying_for_disability/")</f>
        <v/>
      </c>
      <c r="G4710" t="inlineStr">
        <is>
          <t>2019-09-11 10:59:50</t>
        </is>
      </c>
      <c r="H4710" t="inlineStr"/>
    </row>
    <row r="4711">
      <c r="A4711" t="inlineStr">
        <is>
          <t>d2urv6</t>
        </is>
      </c>
      <c r="B4711" t="inlineStr">
        <is>
          <t>oropharyngeal cancer</t>
        </is>
      </c>
      <c r="C4711" t="inlineStr">
        <is>
          <t>My mother had oropharyngeal cancer stage 4, after several radiation and a chemo she is now cancer free. Problem is she's been smoking for 55 years she was supposed to have quit when she was diagnosed last christmas, since she has been physically able to drive she has been smoking and we have caught her multiple times needless to say we are very upset. She is still on a feeding tube and seems like she doesnt care to get any better.
My question is will continuing to smoke make things worse as in easier to get cancer now that she's in remission?</t>
        </is>
      </c>
      <c r="D4711" t="n">
        <v>3</v>
      </c>
      <c r="E4711" t="n">
        <v>6</v>
      </c>
      <c r="F4711">
        <f>HYPERLINK("https://www.reddit.com/r/cancer/comments/d2urv6/oropharyngeal_cancer/")</f>
        <v/>
      </c>
      <c r="G4711" t="inlineStr">
        <is>
          <t>2019-09-11 11:37:32</t>
        </is>
      </c>
      <c r="H4711" t="inlineStr"/>
    </row>
    <row r="4712">
      <c r="A4712" t="inlineStr">
        <is>
          <t>d2v08h</t>
        </is>
      </c>
      <c r="B4712" t="inlineStr">
        <is>
          <t>How does castallanis ink damage the skin?</t>
        </is>
      </c>
      <c r="C4712" t="inlineStr">
        <is>
          <t>This is the type of ink they used on me to mark me for radiation and it left lasting marks on my skin. Radiation therapist had never seen skin damage before like how my skin was damaged (from the ink they used to mark me, I had no ill side effects from the actual radiation itself). I was going to ask the dermatologist about it on Friday.</t>
        </is>
      </c>
      <c r="D4712" t="n">
        <v>3</v>
      </c>
      <c r="E4712" t="n">
        <v>0</v>
      </c>
      <c r="F4712">
        <f>HYPERLINK("https://www.reddit.com/r/cancer/comments/d2v08h/how_does_castallanis_ink_damage_the_skin/")</f>
        <v/>
      </c>
      <c r="G4712" t="inlineStr">
        <is>
          <t>2019-09-11 11:52:57</t>
        </is>
      </c>
      <c r="H4712" t="inlineStr"/>
    </row>
    <row r="4713">
      <c r="A4713" t="inlineStr">
        <is>
          <t>d2v7j7</t>
        </is>
      </c>
      <c r="B4713" t="inlineStr">
        <is>
          <t>Diagnosed on the 24th of August with stage IV pancreatic cancer, now is over</t>
        </is>
      </c>
      <c r="C4713" t="inlineStr">
        <is>
          <t>Hi beautiful people,
I have posted here a while ago my father’s story and you have been incredibly kind and helpful towards me. I want to thank you for taking the time to write or comment me your thoughts.
My father died on the 10th of September, at 5 a.m. Before this, he was diagnosed on the 24th of August with stage 4 pancreatic cancer and was in and out if hospital until he died. His condition worsened day by day, at the point in which I have been shocked to see what this disease does to the human body. It is horrible to see someone you love weaker and sicker as the days go by. By the start of this week, he was already sleeping most of the time, barely speaking and seemed out of this world. I spent time with him, hold his hand and made him laugh for the last time. I am at peace with the fact that his death was natural and painless. He just sighed and stopped breathing. He also seemed at peace with his condition. 
I am still trying to process what happened. I look around the house and expect to see or hear his voice. A month ago he was alive and healthy (we thought), complaining of no pain or symptoms of what was about to come. I initially thought that he will have at least 3 months still to live, but the cancer was extremely aggressive and took out every resource he had. 
Dad, I don’t really know where you are atm. I love so much and you will be forever in my heart. 
For all of you that have experienced this kind of situation, you have all my love and admiration! I have realized that we feel the same, no matter where we are on this planet or what our beliefs are. We suffer and ache just as humans should when a loved one is taken away from us. All the love to you!</t>
        </is>
      </c>
      <c r="D4713" t="n">
        <v>127</v>
      </c>
      <c r="E4713" t="n">
        <v>19</v>
      </c>
      <c r="F4713">
        <f>HYPERLINK("https://www.reddit.com/r/cancer/comments/d2v7j7/diagnosed_on_the_24th_of_august_with_stage_iv/")</f>
        <v/>
      </c>
      <c r="G4713" t="inlineStr">
        <is>
          <t>2019-09-11 12:06:44</t>
        </is>
      </c>
      <c r="H4713" t="inlineStr"/>
    </row>
    <row r="4714">
      <c r="A4714" t="inlineStr">
        <is>
          <t>d2vr1l</t>
        </is>
      </c>
      <c r="B4714" t="inlineStr">
        <is>
          <t>Hysterectomy to extreme?</t>
        </is>
      </c>
      <c r="C4714" t="inlineStr">
        <is>
          <t>Sorry if this is the wrong place to post. 
I have Lynch syndrome, along with 75% of my family of 4. My father passed away last year of complications from liver cancer and had had stomach cancer previously, my sister has been battling ovarian cancer for the past 5 years. My mom(only one with out lynch) beat breast cancer two years ago. I had an iud placed 5 years ago and it’s due to be replaced the end of this year. I’ve been thinking about “just” getting a hysterectomy instead. I’m 35 and already have two kids and don’t want more. But everyone I mention it too seems to think that’s extreme and I shouldn’t, I’ll be talking to my high risk gyno about next time I see her... but is it extreme? Has anyone else gotten a hysterectomy as preventative care?</t>
        </is>
      </c>
      <c r="D4714" t="n">
        <v>2</v>
      </c>
      <c r="E4714" t="n">
        <v>7</v>
      </c>
      <c r="F4714">
        <f>HYPERLINK("https://www.reddit.com/r/cancer/comments/d2vr1l/hysterectomy_to_extreme/")</f>
        <v/>
      </c>
      <c r="G4714" t="inlineStr">
        <is>
          <t>2019-09-11 12:42:35</t>
        </is>
      </c>
      <c r="H4714" t="inlineStr"/>
    </row>
    <row r="4715">
      <c r="A4715" t="inlineStr">
        <is>
          <t>d2wm29</t>
        </is>
      </c>
      <c r="B4715" t="inlineStr">
        <is>
          <t>In the UK and concerned about cancer wait times? Help me make a change!</t>
        </is>
      </c>
      <c r="C4715" t="inlineStr">
        <is>
          <t>In 2016 my Dad was diagnosed with metastatic ocular melanoma, having been treated for the initial tumour five years previously. At a routine scan a mark was found on his liver, which turned out to be cancerous. For the next two years we fought hard to keep him around, never losing hope. Since OM is a rare cancer we had to search for treatment options and travel around the country to search out information. He endured failed surgery, medical trials, chemotherapy and immunotherapy. The care he received from NHS staff was almost always excellent, but we noticed that when he was taking part in a trial (Which was privately paid for by the drug companies) he received scan and test results much more quickly. It occurred to me that most people who have cancer wait weeks, or occasionally more than a month, for results from tests or scans which tell them whether and how their disease is progressing.  I reached out to many other cancer sufferers and my fears were confirmed. This wait was always so hard for us and although my Dad was the most positive person I've ever met, it even got to him sometimes, especially in the last weeks of his life when we knew time was running out and decisions were more urgent. Unfortunately, my Dad died in June 2018 never having had his last go at chemotherapy because the results from his tests came too late. It may have made a difference, it may not, but it would have been nice to have been able to try. In my Dad's memory and with the support of cancer charity OcuMel I have created a petition urging the government to consider the time it takes for cancer patients to receive scan or test results. It seems like the only thing on the agenda at the moment is Brexit, but people are still living and suffering through 'normal' life. There are things which need addressing and this is one of them. If you are frustrated, or worried about the time it takes cancer patients to get results, please consider signing my petition. Thank you.  [https://petition.parliament.uk/petitions/268594?fbclid=IwAR1kfyn0S5r1A7JLN9jMFYS-tWkaV\_fG6AdF\_ArWO5A\_9fLLsA\_1YZbhM3M](https://petition.parliament.uk/petitions/268594?fbclid=IwAR1kfyn0S5r1A7JLN9jMFYS-tWkaV_fG6AdF_ArWO5A_9fLLsA_1YZbhM3M)</t>
        </is>
      </c>
      <c r="D4715" t="n">
        <v>14</v>
      </c>
      <c r="E4715" t="n">
        <v>7</v>
      </c>
      <c r="F4715">
        <f>HYPERLINK("https://www.reddit.com/r/cancer/comments/d2wm29/in_the_uk_and_concerned_about_cancer_wait_times/")</f>
        <v/>
      </c>
      <c r="G4715" t="inlineStr">
        <is>
          <t>2019-09-11 13:39:41</t>
        </is>
      </c>
      <c r="H4715" t="inlineStr"/>
    </row>
    <row r="4716">
      <c r="A4716" t="inlineStr">
        <is>
          <t>d308vi</t>
        </is>
      </c>
      <c r="B4716" t="inlineStr">
        <is>
          <t>Mom starts treatment tomorrow</t>
        </is>
      </c>
      <c r="C4716" t="inlineStr">
        <is>
          <t>My mom was told she has stage IV breast cancer last week. She’s starting chemo tomorrow and I’m so scared of the road ahead. She looks and feels completely fine right now and I know that won’t always be the case as chemo is notoriously unforgiving. 
For those who underwent chemo therapy or who are caregivers, what can we expect as my mom goes through her chemo treatment? How severe are the side effects generally? My mom’s oncologist listed some possible side effects (hair loss, nausea, diarrhea, etc) but I’d like to get first hand insight from those have gone/are going through chemo as to what we can expect. 
Thank you in advance for any responses. This subreddit has been a huge source of information and comfort during this difficult time. For that I’ll always be grateful.</t>
        </is>
      </c>
      <c r="D4716" t="n">
        <v>4</v>
      </c>
      <c r="E4716" t="n">
        <v>5</v>
      </c>
      <c r="F4716">
        <f>HYPERLINK("https://www.reddit.com/r/cancer/comments/d308vi/mom_starts_treatment_tomorrow/")</f>
        <v/>
      </c>
      <c r="G4716" t="inlineStr">
        <is>
          <t>2019-09-11 18:02:23</t>
        </is>
      </c>
      <c r="H4716" t="inlineStr"/>
    </row>
    <row r="4717">
      <c r="A4717" t="inlineStr">
        <is>
          <t>d3090x</t>
        </is>
      </c>
      <c r="B4717" t="inlineStr">
        <is>
          <t>Nerve sheath tumor in Sacrum</t>
        </is>
      </c>
      <c r="C4717" t="inlineStr">
        <is>
          <t>I'm 23 and was recently diagnosed with a 4cm nerve sheath tumor in my sacrum, wrapped around the S1 nerve of my left leg. Additionally, the tumor seems to have "reshaped" the bone in my spine as it has gotten bigger. They're saying it hasn't "entered" the bone, but it has just "moved" it. The specialist from UCLA recommended to NOT undergo surgery, as it's in a "risky" location. They said risks include blood loss, or the complete removal of the S1 nerve. They recommend that I go back to living life as normal, and check up every 5-6 months with an MRI. This was not the answer I wanted.   
I have some pretty annoying discomfort in my leg, and it's keeping me from doing things like running, jumping, or stretching. Should I "push" for them to do surgery on it? I want my quality of life to go back to normal and it's frustrating not being able to  be normal. On top of it all, I'm supposed to start a new job in January and can't afford to push the start date back (for a 3rd time) because of this tumor.   
They said the tumor is benign, and it has not metastasized anywhere. I'm not sure if I believe it yet, because it seems to good to be true. What can I do and what should I expect with trying to get back to normal?</t>
        </is>
      </c>
      <c r="D4717" t="n">
        <v>6</v>
      </c>
      <c r="E4717" t="n">
        <v>2</v>
      </c>
      <c r="F4717">
        <f>HYPERLINK("https://www.reddit.com/r/cancer/comments/d3090x/nerve_sheath_tumor_in_sacrum/")</f>
        <v/>
      </c>
      <c r="G4717" t="inlineStr">
        <is>
          <t>2019-09-11 18:02:40</t>
        </is>
      </c>
      <c r="H4717" t="inlineStr"/>
    </row>
    <row r="4718">
      <c r="A4718" t="inlineStr">
        <is>
          <t>d31cxz</t>
        </is>
      </c>
      <c r="B4718" t="inlineStr">
        <is>
          <t>What is up my dudes</t>
        </is>
      </c>
      <c r="C4718" t="inlineStr">
        <is>
          <t>Just putting myself out there, joining the exclusive club. 28f, Colon cancer, staging yet to be determined, diagnosed via a colonoscopy two days before my birthday (made for an awkward beach vacation, I tell you what).  Tumors pretty small, 2x5 cm, CEA level’s around 2.9 (which is good I think?) and there’s a mass in my breast but the biopsy came back benign (hooray for small victories!) Waiting on a lymph node biopsy this friday to determine if its spread, if it hasn’t then we’ll go ahead with surgery early october. If it has, then I guess I’ll have chemo, and that’ll suck ass. 
It’s been a weird month. 
Anyway, I have a baller support system, and I’m hopeful about my future, but I figured I’d put my foot in the door here in case I need a place to complain about getting stuck with IVs and the taste of barium jizz drink (creamy vanilla my ass). 
How’s everybody holding up? Play any cool video games lately? What’s your favorite TV show to binge?</t>
        </is>
      </c>
      <c r="D4718" t="n">
        <v>61</v>
      </c>
      <c r="E4718" t="n">
        <v>34</v>
      </c>
      <c r="F4718">
        <f>HYPERLINK("https://www.reddit.com/r/cancer/comments/d31cxz/what_is_up_my_dudes/")</f>
        <v/>
      </c>
      <c r="G4718" t="inlineStr">
        <is>
          <t>2019-09-11 19:30:23</t>
        </is>
      </c>
      <c r="H4718" t="inlineStr"/>
    </row>
    <row r="4719">
      <c r="A4719" t="inlineStr">
        <is>
          <t>d320ee</t>
        </is>
      </c>
      <c r="B4719" t="inlineStr">
        <is>
          <t>I really need help, is this Leukemia or just stress anxiety and bad eating and sleeping habits</t>
        </is>
      </c>
      <c r="C4719" t="inlineStr">
        <is>
          <t>For like a week now, I’ve been feeling really out of it. Sort of lightheaded and unfocused, sometimes a little tired but it could be the lack of sleep. It all started with what i think was a panic attack where I couldn’t breath and felt like very lightheaded. The thing is I don’t feel lightheaded all the time, I feel like that when I actually think about it if that makes sense. I’ve also had a bit of a lack of an appetite and now a rash has appeared that looks like a lot of red spots a long my back, I also sometimes feel like it’s going to vomit. These sick feelings usually go away when I distract myself but come back at the worst times. Please help</t>
        </is>
      </c>
      <c r="D4719" t="n">
        <v>0</v>
      </c>
      <c r="E4719" t="n">
        <v>3</v>
      </c>
      <c r="F4719">
        <f>HYPERLINK("https://www.reddit.com/r/cancer/comments/d320ee/i_really_need_help_is_this_leukemia_or_just/")</f>
        <v/>
      </c>
      <c r="G4719" t="inlineStr">
        <is>
          <t>2019-09-11 20:25:17</t>
        </is>
      </c>
      <c r="H4719" t="inlineStr"/>
    </row>
    <row r="4720">
      <c r="A4720" t="inlineStr">
        <is>
          <t>d326g3</t>
        </is>
      </c>
      <c r="B4720" t="inlineStr">
        <is>
          <t>When one is up, the other is down.</t>
        </is>
      </c>
      <c r="C4720" t="inlineStr">
        <is>
          <t>My parents were diagnosed with different cancers less than two months apart. Completely unrelated, just horrible fucking luck. Mom is stage 3, Dad is stage 4. 
Dad almost immediately had a complication that caused him to go septic and we nearly lost him, but today we got all sorts of good news for him. Mom had been doing really well, except now her white blood cell count is non-existent and so they can't do chemo, and a cold could kill her. We are headed into cold and flu season and they are devout evangelicals who have lots of anti-vaxxers in the congregation. 
To make matters worse, I'm in the early stages of a cervical cancer diagnosis and haven't told anyone. I have an out-patient surgery tomorrow that will get me more answers, but I haven't felt like I can tell anyone in my family what is going on with my health because it feels so minor in comparison. 
How do others deal with the drastic swings from good to bad that feel so sudden and out of the blue? I know you can't really prepare for them, but are there things you do or say to yourself to get centered and grounded and not completely fall apart?</t>
        </is>
      </c>
      <c r="D4720" t="n">
        <v>2</v>
      </c>
      <c r="E4720" t="n">
        <v>6</v>
      </c>
      <c r="F4720">
        <f>HYPERLINK("https://www.reddit.com/r/cancer/comments/d326g3/when_one_is_up_the_other_is_down/")</f>
        <v/>
      </c>
      <c r="G4720" t="inlineStr">
        <is>
          <t>2019-09-11 20:40:01</t>
        </is>
      </c>
      <c r="H4720" t="inlineStr"/>
    </row>
    <row r="4721">
      <c r="A4721" t="inlineStr">
        <is>
          <t>d32x0z</t>
        </is>
      </c>
      <c r="B4721" t="inlineStr">
        <is>
          <t>Should I just "get over" having had cancer?</t>
        </is>
      </c>
      <c r="C4721" t="inlineStr">
        <is>
          <t>It's been 4 years since my last cancer and I have depression, anxiety and many physical problems from cancer. I keep getting told to just get over it because it was so long ago. But every day something new pops up from my cancer and my depression just worsens. I literally am broke $400 in my bank account total and I am still trying to pay off medical bills costing $14,000 so no matter how many times people tell me to see a therapist I can't because I can't afford it.</t>
        </is>
      </c>
      <c r="D4721" t="n">
        <v>4</v>
      </c>
      <c r="E4721" t="n">
        <v>8</v>
      </c>
      <c r="F4721">
        <f>HYPERLINK("https://www.reddit.com/r/cancer/comments/d32x0z/should_i_just_get_over_having_had_cancer/")</f>
        <v/>
      </c>
      <c r="G4721" t="inlineStr">
        <is>
          <t>2019-09-11 21:49:53</t>
        </is>
      </c>
      <c r="H4721" t="inlineStr"/>
    </row>
    <row r="4722">
      <c r="A4722" t="inlineStr">
        <is>
          <t>d339lw</t>
        </is>
      </c>
      <c r="B4722" t="inlineStr">
        <is>
          <t>This song really helped me through.</t>
        </is>
      </c>
      <c r="C4722" t="inlineStr">
        <is>
          <t>[https://www.youtube.com/watch?v=Fl0ahDKR0QU](https://www.youtube.com/watch?v=Fl0ahDKR0QU)  
I'm sorry if this is not allowed for whatever reason, but I've long enjoyed this song. When I was first diagnosed, I came across it and was amused. Since then, I have become a huge Zevon fan. Now, it just comes across as sincere. But I appreciate it, nonetheless. It's relatable.</t>
        </is>
      </c>
      <c r="D4722" t="n">
        <v>2</v>
      </c>
      <c r="E4722" t="n">
        <v>5</v>
      </c>
      <c r="F4722">
        <f>HYPERLINK("https://www.reddit.com/r/cancer/comments/d339lw/this_song_really_helped_me_through/")</f>
        <v/>
      </c>
      <c r="G4722" t="inlineStr">
        <is>
          <t>2019-09-11 22:24:50</t>
        </is>
      </c>
      <c r="H4722" t="inlineStr"/>
    </row>
    <row r="4723">
      <c r="A4723" t="inlineStr">
        <is>
          <t>d33tda</t>
        </is>
      </c>
      <c r="B4723" t="inlineStr">
        <is>
          <t>Get your routine checkups</t>
        </is>
      </c>
      <c r="C4723" t="inlineStr">
        <is>
          <t>Hey all, I'm just posting here to vent because I'm not sure where else would be appropriate. 
Today I heard the news that my mom had the beginnings of stage 1 colon cancer, but luckily they were able to remove the growth without the need for chemo. She is perfectly fine but, holy shit, I didn't expect anything like this to happen in the foreseeable future. Especially to my immediate family. I shed a few tears earlier but I'm just glad she was able to get everything fixed. I'm so happy she decided to get a checkup when she did. 
Please remind your family members (and yourselves) to get routine checkups, because I could've seen this situation being put off for several years until it may have been too late.</t>
        </is>
      </c>
      <c r="D4723" t="n">
        <v>2</v>
      </c>
      <c r="E4723" t="n">
        <v>3</v>
      </c>
      <c r="F4723">
        <f>HYPERLINK("https://www.reddit.com/r/cancer/comments/d33tda/get_your_routine_checkups/")</f>
        <v/>
      </c>
      <c r="G4723" t="inlineStr">
        <is>
          <t>2019-09-11 23:24:02</t>
        </is>
      </c>
      <c r="H4723" t="inlineStr"/>
    </row>
    <row r="4724">
      <c r="A4724" t="inlineStr">
        <is>
          <t>d344pt</t>
        </is>
      </c>
      <c r="B4724" t="inlineStr">
        <is>
          <t>What to do while I’m in the hospital for treatment</t>
        </is>
      </c>
      <c r="C4724" t="inlineStr">
        <is>
          <t>I got diagnosed with leukemia August 3rd and I’ve already done 1 round of chemo. I was discharged from the hospital a few days ago but now they want me back for more chemo and possibly a bone marrow transplant so I’m assuming I’m gonna be in the hospital for a while. I’m used to living an active lifestyle, I went from graduating from the fire academy on July 25th to being told a week later to lay down and watch TV. Sitting in the hospital is the hardest part for me. I don’t have any hobbies that I can do in a hospital. I’m just lucky to have a really good support system.</t>
        </is>
      </c>
      <c r="D4724" t="n">
        <v>4</v>
      </c>
      <c r="E4724" t="n">
        <v>4</v>
      </c>
      <c r="F4724">
        <f>HYPERLINK("https://www.reddit.com/r/cancer/comments/d344pt/what_to_do_while_im_in_the_hospital_for_treatment/")</f>
        <v/>
      </c>
      <c r="G4724" t="inlineStr">
        <is>
          <t>2019-09-11 23:57:54</t>
        </is>
      </c>
      <c r="H4724" t="inlineStr"/>
    </row>
    <row r="4725">
      <c r="A4725" t="inlineStr">
        <is>
          <t>d348rc</t>
        </is>
      </c>
      <c r="B4725" t="inlineStr">
        <is>
          <t>Ascites</t>
        </is>
      </c>
      <c r="C4725" t="inlineStr">
        <is>
          <t>Anybody have experience dealing with Ascites? How do you alleviate the symptoms?</t>
        </is>
      </c>
      <c r="D4725" t="n">
        <v>4</v>
      </c>
      <c r="E4725" t="n">
        <v>8</v>
      </c>
      <c r="F4725">
        <f>HYPERLINK("https://www.reddit.com/r/cancer/comments/d348rc/ascites/")</f>
        <v/>
      </c>
      <c r="G4725" t="inlineStr">
        <is>
          <t>2019-09-12 00:09:52</t>
        </is>
      </c>
      <c r="H4725" t="inlineStr"/>
    </row>
    <row r="4726">
      <c r="A4726" t="inlineStr">
        <is>
          <t>d34kea</t>
        </is>
      </c>
      <c r="B4726" t="inlineStr">
        <is>
          <t>Getting my scan results today</t>
        </is>
      </c>
      <c r="C4726" t="inlineStr">
        <is>
          <t>So today I will be told wether or not the chemo is working, not sure why I'm posting I'm just really anxious about it all.</t>
        </is>
      </c>
      <c r="D4726" t="n">
        <v>31</v>
      </c>
      <c r="E4726" t="n">
        <v>16</v>
      </c>
      <c r="F4726">
        <f>HYPERLINK("https://www.reddit.com/r/cancer/comments/d34kea/getting_my_scan_results_today/")</f>
        <v/>
      </c>
      <c r="G4726" t="inlineStr">
        <is>
          <t>2019-09-12 00:46:38</t>
        </is>
      </c>
      <c r="H4726" t="inlineStr"/>
    </row>
    <row r="4727">
      <c r="A4727" t="inlineStr">
        <is>
          <t>d373mr</t>
        </is>
      </c>
      <c r="B4727" t="inlineStr">
        <is>
          <t>Anyone familiar with surgical removal of a GIST tumor procedure?</t>
        </is>
      </c>
      <c r="C4727" t="inlineStr">
        <is>
          <t>I am wondering if realtime pathology is done to establish the margin line while patient is undergoing the procedure.  Online resources appear to be very vague concerning this.</t>
        </is>
      </c>
      <c r="D4727" t="n">
        <v>4</v>
      </c>
      <c r="E4727" t="n">
        <v>0</v>
      </c>
      <c r="F4727">
        <f>HYPERLINK("https://www.reddit.com/r/cancer/comments/d373mr/anyone_familiar_with_surgical_removal_of_a_gist/")</f>
        <v/>
      </c>
      <c r="G4727" t="inlineStr">
        <is>
          <t>2019-09-12 05:22:24</t>
        </is>
      </c>
      <c r="H4727" t="inlineStr"/>
    </row>
    <row r="4728">
      <c r="A4728" t="inlineStr">
        <is>
          <t>d3756k</t>
        </is>
      </c>
      <c r="B4728" t="inlineStr">
        <is>
          <t>How likely is it that Hodgkin's Lymphoma Stage 4 be treated?</t>
        </is>
      </c>
      <c r="C4728" t="inlineStr">
        <is>
          <t>My aunt just died last week. They said she had cancer right away, stage 4. Didn't know what kind until now. They did not suggest chemotherapy or radiation. By the time we found out, she had a lump on her neck that was barely even noticeable unless you looked closely, before she died her lump was half as big as her face. And a huge lump on the top of her head too.
Before death, she also vomitted lots and lots of clotted blood. The doctors said there wasn't anything we could do, they basically just gave up on her and we watched her rot slowly to death.
Before that,months before death I thought she had lots of energy still,she had headaches and sinusitis but she was much much better and I thought she had a chance,so I wonder why the doctors did not opt for chemo.</t>
        </is>
      </c>
      <c r="D4728" t="n">
        <v>5</v>
      </c>
      <c r="E4728" t="n">
        <v>13</v>
      </c>
      <c r="F4728">
        <f>HYPERLINK("https://www.reddit.com/r/cancer/comments/d3756k/how_likely_is_it_that_hodgkins_lymphoma_stage_4/")</f>
        <v/>
      </c>
      <c r="G4728" t="inlineStr">
        <is>
          <t>2019-09-12 05:26:15</t>
        </is>
      </c>
      <c r="H4728" t="inlineStr"/>
    </row>
    <row r="4729">
      <c r="A4729" t="inlineStr">
        <is>
          <t>d38avu</t>
        </is>
      </c>
      <c r="B4729" t="inlineStr">
        <is>
          <t>Hello!</t>
        </is>
      </c>
      <c r="C4729" t="inlineStr">
        <is>
          <t>Hey guys just wanted to introduce myself and share my story. At the end of February I found out I was pregnant and then in March a large mass started growing in my lower left leg, just under my knee. Went to the doctors and they ran a ton of tests and I was told that the mass is malignant. I was officially diagnosed in July with Leiomyosarcoma. I am unable to do a CT scan because I am pregnant but the chest X-ray is clear and my doctors don’t think the cancer has spread. Unfortunately the lovely hormones that are helping my baby to grow also made the mass grow extremely fast and it completely destroyed my lower leg. My doctors said they needed to remove it ASAP and eventually decided that the best option was amputation. I just had an above the knee amputation on August 30th and they said they were able to get all the cancer out with margins. Now the plan is to have my baby the first week of October and the start chemo two weeks after that.</t>
        </is>
      </c>
      <c r="D4729" t="n">
        <v>80</v>
      </c>
      <c r="E4729" t="n">
        <v>13</v>
      </c>
      <c r="F4729">
        <f>HYPERLINK("https://www.reddit.com/r/cancer/comments/d38avu/hello/")</f>
        <v/>
      </c>
      <c r="G4729" t="inlineStr">
        <is>
          <t>2019-09-12 06:58:56</t>
        </is>
      </c>
      <c r="H4729" t="inlineStr"/>
    </row>
    <row r="4730">
      <c r="A4730" t="inlineStr">
        <is>
          <t>d38mzc</t>
        </is>
      </c>
      <c r="B4730" t="inlineStr">
        <is>
          <t>Anyone had psuedoprogression on immunotherapy?</t>
        </is>
      </c>
      <c r="C4730" t="inlineStr">
        <is>
          <t>That's what we are hoping this is for me. I made it thru 4 rounds of ipi/nivo, got colitis and hepatitis, scan in July after all 4 rounds showed great shrinkage. Been in Prednisone hell since July, went in for a CT for a visible mass on my neck. Nodes that had previously shrunk up are big again. Doc is hopeful it's psuedoprogression but can't be sure yet. Thanks for any input!</t>
        </is>
      </c>
      <c r="D4730" t="n">
        <v>5</v>
      </c>
      <c r="E4730" t="n">
        <v>2</v>
      </c>
      <c r="F4730">
        <f>HYPERLINK("https://www.reddit.com/r/cancer/comments/d38mzc/anyone_had_psuedoprogression_on_immunotherapy/")</f>
        <v/>
      </c>
      <c r="G4730" t="inlineStr">
        <is>
          <t>2019-09-12 07:23:38</t>
        </is>
      </c>
      <c r="H4730" t="inlineStr"/>
    </row>
    <row r="4731">
      <c r="A4731" t="inlineStr">
        <is>
          <t>d38rix</t>
        </is>
      </c>
      <c r="B4731" t="inlineStr">
        <is>
          <t>Worrys about Cancer</t>
        </is>
      </c>
      <c r="C4731" t="inlineStr">
        <is>
          <t>Hi so I'm a 15M and I worry about everything on my body but today I found a a little slpodge thing on the bottom right of my rib cage and I always fear diseases like cancer and I hate it . I'm also afraid of getting things checked out and I know I shouldn't be I've seen what the tinest bits of cancer can do to people I'm just worried and idk what to do</t>
        </is>
      </c>
      <c r="D4731" t="n">
        <v>1</v>
      </c>
      <c r="E4731" t="n">
        <v>0</v>
      </c>
      <c r="F4731">
        <f>HYPERLINK("https://www.reddit.com/r/cancer/comments/d38rix/worrys_about_cancer/")</f>
        <v/>
      </c>
      <c r="G4731" t="inlineStr">
        <is>
          <t>2019-09-12 07:33:04</t>
        </is>
      </c>
      <c r="H4731" t="inlineStr"/>
    </row>
    <row r="4732">
      <c r="A4732" t="inlineStr">
        <is>
          <t>d39bih</t>
        </is>
      </c>
      <c r="B4732" t="inlineStr">
        <is>
          <t>Castellanis paint skin damage?</t>
        </is>
      </c>
      <c r="C4732" t="inlineStr">
        <is>
          <t>This is the type of ink they used on me to mark me for radiation and it left lasting marks on my skin. Radiation therapist had never seen skin damage before like how my skin was damaged (from the ink they used to mark me, I had no ill side effects from the actual radiation itself). I was going to ask the dermatologist about it on Friday. Radiation therapist said it looked like my skin was burned from it :(</t>
        </is>
      </c>
      <c r="D4732" t="n">
        <v>3</v>
      </c>
      <c r="E4732" t="n">
        <v>2</v>
      </c>
      <c r="F4732">
        <f>HYPERLINK("https://www.reddit.com/r/cancer/comments/d39bih/castellanis_paint_skin_damage/")</f>
        <v/>
      </c>
      <c r="G4732" t="inlineStr">
        <is>
          <t>2019-09-12 08:12:23</t>
        </is>
      </c>
      <c r="H4732" t="inlineStr"/>
    </row>
    <row r="4733">
      <c r="A4733" t="inlineStr">
        <is>
          <t>d39job</t>
        </is>
      </c>
      <c r="B4733" t="inlineStr">
        <is>
          <t>Has anyone been prescribed adderall or similar to deal with fatigue?</t>
        </is>
      </c>
      <c r="C4733" t="inlineStr">
        <is>
          <t>I am so tired. I just take Xeloda but I have three young kids to keep up with and I've had a fairly active lifestyle. But now I can barely keep up with the laundry let alone everything else. And I'm just curious if that's a thing anyone else's oncologist has suggested or tried. Thanks and much love to everyone</t>
        </is>
      </c>
      <c r="D4733" t="n">
        <v>1</v>
      </c>
      <c r="E4733" t="n">
        <v>13</v>
      </c>
      <c r="F4733">
        <f>HYPERLINK("https://www.reddit.com/r/cancer/comments/d39job/has_anyone_been_prescribed_adderall_or_similar_to/")</f>
        <v/>
      </c>
      <c r="G4733" t="inlineStr">
        <is>
          <t>2019-09-12 08:28:36</t>
        </is>
      </c>
      <c r="H4733" t="inlineStr"/>
    </row>
    <row r="4734">
      <c r="A4734" t="inlineStr">
        <is>
          <t>d3aliq</t>
        </is>
      </c>
      <c r="B4734" t="inlineStr">
        <is>
          <t>Breast cancer, Liver metastases</t>
        </is>
      </c>
      <c r="C4734" t="inlineStr">
        <is>
          <t>My mom had breast cancer a few years back. Done her surgery for breast removal and had her chemo. All is well until the sudden discovery of a mass in her liver this week. CT scan confirmed liver metastases and i'm devastated.
I don't even know what to think. I heard the survival rate for 5 years is bleak. 
What should we exect from this point on?</t>
        </is>
      </c>
      <c r="D4734" t="n">
        <v>2</v>
      </c>
      <c r="E4734" t="n">
        <v>1</v>
      </c>
      <c r="F4734">
        <f>HYPERLINK("https://www.reddit.com/r/cancer/comments/d3aliq/breast_cancer_liver_metastases/")</f>
        <v/>
      </c>
      <c r="G4734" t="inlineStr">
        <is>
          <t>2019-09-12 09:41:56</t>
        </is>
      </c>
      <c r="H4734" t="inlineStr"/>
    </row>
    <row r="4735">
      <c r="A4735" t="inlineStr">
        <is>
          <t>d3b96p</t>
        </is>
      </c>
      <c r="B4735" t="inlineStr">
        <is>
          <t>Nephew is Doing Well</t>
        </is>
      </c>
      <c r="C4735" t="inlineStr">
        <is>
          <t>My nephew had another brain surgery on September 9. They got 80-90% of the tumor this time. He's recovering well. They have more surgeries scheduled to reconstruct some of the bone that was eaten away by the tumor. They want to get the surgeries out of the way before the radiation completely tanks his immune system. How do they do that? Does anyone know?
They moved to St. Louis to be closer to the hospital the week before the surgery. They did live an hour from the nearest hospital and 5 hours from the hospital where he's getting treatment. They were told that if Shane got so much as a fever, they'd have to life flight him to St. Louis. I'm missing them, but the move was the best thing for Shane. They've also pulled all the kids out of school and they're being homeschooled. Schools are petri dishes. Too much nasty stuff for the kids to bring home. 
Unfortunately, I wasn't able to visit before they left. I had a sore throat for about a week. Probably because of my allergies - stuffy nose at night causing mouth breathing - but I wasn't about to risk  it. Then my baby caught a cold. No big deal for him but it could have been for Shane. 
As scary as all this is, it's much less scary than it was in the beginning when they couldn't figure out what they were dealing with. It's a 1 in a minion cancer that is usually found in men aged 50 -60. Shane turned 10 a month after the diagnosis. But he's a fighter and he's surrounded by love and support.</t>
        </is>
      </c>
      <c r="D4735" t="n">
        <v>9</v>
      </c>
      <c r="E4735" t="n">
        <v>2</v>
      </c>
      <c r="F4735">
        <f>HYPERLINK("https://www.reddit.com/r/cancer/comments/d3b96p/nephew_is_doing_well/")</f>
        <v/>
      </c>
      <c r="G4735" t="inlineStr">
        <is>
          <t>2019-09-12 10:27:07</t>
        </is>
      </c>
      <c r="H4735" t="inlineStr"/>
    </row>
    <row r="4736">
      <c r="A4736" t="inlineStr">
        <is>
          <t>d3cfng</t>
        </is>
      </c>
      <c r="B4736" t="inlineStr">
        <is>
          <t>Cancer Meal Plan?</t>
        </is>
      </c>
      <c r="C4736" t="inlineStr">
        <is>
          <t>Hi everyone,
I'm sure someone has asked this before but I'm wondering how your diet changed when you were diagnosed. Did you cut out or add anything to your diet? If so are there any specific meals (breakfast, lunch or dinner) you can suggest?
I've seen that flax seeds, cinnamon, tumeric, berries are good... any other specific foods?
My dad was just officially diagnosed so I want to help him prep healthy meals so he can fight this.
Thanks!</t>
        </is>
      </c>
      <c r="D4736" t="n">
        <v>6</v>
      </c>
      <c r="E4736" t="n">
        <v>11</v>
      </c>
      <c r="F4736">
        <f>HYPERLINK("https://www.reddit.com/r/cancer/comments/d3cfng/cancer_meal_plan/")</f>
        <v/>
      </c>
      <c r="G4736" t="inlineStr">
        <is>
          <t>2019-09-12 11:48:59</t>
        </is>
      </c>
      <c r="H4736" t="inlineStr"/>
    </row>
    <row r="4737">
      <c r="A4737" t="inlineStr">
        <is>
          <t>d3dnxk</t>
        </is>
      </c>
      <c r="B4737" t="inlineStr">
        <is>
          <t>Men, Testicular cancer.</t>
        </is>
      </c>
      <c r="C4737" t="inlineStr">
        <is>
          <t>I hope not to offend anyone or make light of a shitty situation, but ive had some scares and thought about this a bit and wondered. Men who have had both testicals removed, do you keep your ball sack? Or does it have to go? And for Men who have not fallen victim or women who are partnered with a man. Which would you chose? If you had a choice. Keep it, or dont.</t>
        </is>
      </c>
      <c r="D4737" t="n">
        <v>0</v>
      </c>
      <c r="E4737" t="n">
        <v>1</v>
      </c>
      <c r="F4737">
        <f>HYPERLINK("https://www.reddit.com/r/cancer/comments/d3dnxk/men_testicular_cancer/")</f>
        <v/>
      </c>
      <c r="G4737" t="inlineStr">
        <is>
          <t>2019-09-12 13:13:32</t>
        </is>
      </c>
      <c r="H4737" t="inlineStr"/>
    </row>
    <row r="4738">
      <c r="A4738" t="inlineStr">
        <is>
          <t>d3eoti</t>
        </is>
      </c>
      <c r="B4738" t="inlineStr">
        <is>
          <t>Worth a shot?</t>
        </is>
      </c>
      <c r="C4738" t="inlineStr">
        <is>
          <t>Family member has very metasticized cancer, and I have come into contact with ~93-98% THC distillate. Not the fake stuff from America, the real deal. I know it will get them absolutely baked, but was wondering if there is any medicinal value to it? Even the slightest.</t>
        </is>
      </c>
      <c r="D4738" t="n">
        <v>4</v>
      </c>
      <c r="E4738" t="n">
        <v>8</v>
      </c>
      <c r="F4738">
        <f>HYPERLINK("https://www.reddit.com/r/cancer/comments/d3eoti/worth_a_shot/")</f>
        <v/>
      </c>
      <c r="G4738" t="inlineStr">
        <is>
          <t>2019-09-12 14:23:17</t>
        </is>
      </c>
      <c r="H4738" t="inlineStr"/>
    </row>
    <row r="4739">
      <c r="A4739" t="inlineStr">
        <is>
          <t>d3ghhu</t>
        </is>
      </c>
      <c r="B4739" t="inlineStr">
        <is>
          <t>Symptoms</t>
        </is>
      </c>
      <c r="C4739" t="inlineStr">
        <is>
          <t>I was wondering when cancer symptoms begin, before being diagnosed and treated, are they constant, get worst, or come and go?
Back story:
I’ve had fatigue for three months, I will say things were a lot worst 3 months ago, I could not talk. I have joint pain and headaches, and brain fog. My veins have become more visible but that can be due to lack of sunshine. I’ve had 2 blood test in the time frame both showed my white blood cells higher than what they’re supposed to be but not drastic and red cells lower again not super drastic. I was told I have asthma because I get chest pains and trouble breathing and the second time a uti But has no symptoms. I did have two weeks tho the last two weeks of August with minimal symptoms, the only one being constant is fatigue but it was minimal. And then when my period came everything came back. And fatigue is bad again. I’ve been off my period for 3 days and the nausea subsided but back to fatigue, joint pain, head aches, chest pain and trouble breathing, and my blood cells are still slight elevated. I will be going in for an ANA test to check for autoimmune (lupus) but I was told it was more than likely my thyroid and my test came back normal so I’m losing hope and wanna know would it be better that I ask for an in depth test for cancer.</t>
        </is>
      </c>
      <c r="D4739" t="n">
        <v>1</v>
      </c>
      <c r="E4739" t="n">
        <v>3</v>
      </c>
      <c r="F4739">
        <f>HYPERLINK("https://www.reddit.com/r/cancer/comments/d3ghhu/symptoms/")</f>
        <v/>
      </c>
      <c r="G4739" t="inlineStr">
        <is>
          <t>2019-09-12 16:36:37</t>
        </is>
      </c>
      <c r="H4739" t="inlineStr"/>
    </row>
    <row r="4740">
      <c r="A4740" t="inlineStr">
        <is>
          <t>d3in9y</t>
        </is>
      </c>
      <c r="B4740" t="inlineStr">
        <is>
          <t>Nurse appreciation post</t>
        </is>
      </c>
      <c r="C4740" t="inlineStr">
        <is>
          <t>My mom is being transported to a hospice facility tomorrow where we will essentially wait for nature to take its course. I was tearing up a bit when she was saying goodbye to her oncologist and her nurse came and hugged me. Then she brought me ice cream. She was very compassionate and helpful all day and I'm just very appreciative of her and nurses in general.</t>
        </is>
      </c>
      <c r="D4740" t="n">
        <v>50</v>
      </c>
      <c r="E4740" t="n">
        <v>13</v>
      </c>
      <c r="F4740">
        <f>HYPERLINK("https://www.reddit.com/r/cancer/comments/d3in9y/nurse_appreciation_post/")</f>
        <v/>
      </c>
      <c r="G4740" t="inlineStr">
        <is>
          <t>2019-09-12 19:32:08</t>
        </is>
      </c>
      <c r="H4740" t="inlineStr"/>
    </row>
    <row r="4741">
      <c r="A4741" t="inlineStr">
        <is>
          <t>d3ist8</t>
        </is>
      </c>
      <c r="B4741" t="inlineStr">
        <is>
          <t>How did things change so fast? Father diagnosed with stage IV lung cancer. NSCLC</t>
        </is>
      </c>
      <c r="C4741" t="inlineStr">
        <is>
          <t>My dad was diagnosed with non small lung cancer with brain mets. He went into the hospital with a bad headache and tests showed he had small brain tumors originating from his lung cancer.  He had radiation on his brain tumours and no longer has headaches. 
He tested positive for EGRF inhibitors and started on Tagrisso (osinertinib) targeted drug treatment.  A few days after starting treatment, he started feeling shortness of breath and was admitted to the hospital because he had fluid buildup in his chest (pleural effusion). It’s been 2.5 weeks and his chest has been constantly draining at least 1.5L per day with no improvements.  He also had to take a break after 13 days on Tagrisso due to bad side effects, which means his lung cancer isn’t being treated. 
1 week ago he had an infection and his blood pressure dropped dangerously low. He was moved to ICU and is now stable and moved back to the oncology ward. 
He hasn’t been eating much and can barely get out of bed due to the IVs, chest drain, pain and fatigue. 
It hurts to see how much has change.  He was feeling 100% fine before the fluid build up 2.5 weeks ago. We went bowling 4 weeks ago and he kicked our asses. How could so much change in such a short amount of time...
When I lay down to rest I think about how my dad has been in the hospital for 2.5 weeks and seems to be getting weaker and barely eats. He loves food and could out eat my brothers. I feel like there’s something heavy on my chest and the guilt/ regret of not spending more time together as a family breaks my heart. I feel like it’s too late and I’ll never get the chance to do the things I wanted to do for my parents as they got older. 
My heart breaks for my mom who is only 51 and will have to live the rest of her life without the man she’s been married to for 32 years.  I always thought we would have more time to spend together as a family and put off going on family vacations together. I promised my family we would go in 1-2 years. I thought we had more time... he’s only 56 and I thought I had at least 15 more years with him.  I worked so hard to make enough to help support my immigrants parents who have worked so hard making close to minimum wage most of their lives to take of me and my two younger brothers and now I feel like all my efforts are no longer needed. I was so close to being comfortable financially to  give back to them.  Sorry for rambling on... I still have hope. It’s only a small bump in this long journey.  Please don’t put off the things you want to do with your family. 
Thanks for reading. My thoughts are with you and your families going through this terrible and disgusting journey.</t>
        </is>
      </c>
      <c r="D4741" t="n">
        <v>13</v>
      </c>
      <c r="E4741" t="n">
        <v>9</v>
      </c>
      <c r="F4741">
        <f>HYPERLINK("https://www.reddit.com/r/cancer/comments/d3ist8/how_did_things_change_so_fast_father_diagnosed/")</f>
        <v/>
      </c>
      <c r="G4741" t="inlineStr">
        <is>
          <t>2019-09-12 19:44:50</t>
        </is>
      </c>
      <c r="H4741" t="inlineStr"/>
    </row>
    <row r="4742">
      <c r="A4742" t="inlineStr">
        <is>
          <t>d3izv1</t>
        </is>
      </c>
      <c r="B4742" t="inlineStr">
        <is>
          <t>3 weeks post op, still fatigued, pain, and grumpy</t>
        </is>
      </c>
      <c r="C4742" t="inlineStr">
        <is>
          <t>I had a partial nephrectomy which mid-procedure turned into radical full nephrectomy.  The surgery went 7 hours.  I may have a small incisional hernia.  Surgery was due to a small mass that was papillary renal cell carcinoma.  During the surgery the pathologist could be sure they had clear cells in kidney so they removed the whole kidney vs. the planned partial nephrectomy it became a radical full nephrectomy.
I had a question for everyone.  3 weeks and I'm still feeling bad pain and stiffness.  Is this normal?  
Overall I feel tired and weak.  Kinda depressed too.  I'll call it grumpy, but maybe it's worse than just grumpy.  Is this normal after major surgery?
Feel like I've lost most of my motivation and want to do anything now.  I'm making efforts to improve my diet and doing a good job with this as well.  I just feel so worn out even with the improved diet. Sleep has sucked overall.  
I guess I also witnessed my brother go through dialysis due to type 1 diabetes and eventually dying after receiving a kidney donation surgery do to complications from surgery.  My labs are indicating pre-diabetes.
I thought the surgery would relieve my fear.  It hasn't.  I still have a feeling of impending doom.  My cancer may technically be gone, but I'm left weak and in fear.</t>
        </is>
      </c>
      <c r="D4742" t="n">
        <v>2</v>
      </c>
      <c r="E4742" t="n">
        <v>6</v>
      </c>
      <c r="F4742">
        <f>HYPERLINK("https://www.reddit.com/r/cancer/comments/d3izv1/3_weeks_post_op_still_fatigued_pain_and_grumpy/")</f>
        <v/>
      </c>
      <c r="G4742" t="inlineStr">
        <is>
          <t>2019-09-12 20:02:04</t>
        </is>
      </c>
      <c r="H4742" t="inlineStr"/>
    </row>
    <row r="4743">
      <c r="A4743" t="inlineStr">
        <is>
          <t>d3j1cu</t>
        </is>
      </c>
      <c r="B4743" t="inlineStr">
        <is>
          <t>Mom</t>
        </is>
      </c>
      <c r="C4743" t="inlineStr">
        <is>
          <t>Hey, first time posting here I think i just need to tell someone somewhere that my mom is dying. She's in California with a failing liver because of cancer and I'm here in CLT waiting on a flight in the morning to get me there. She was doing okay and then it went downhill so fast. I got the fastest tickets i could or at least i think i did we thought we had more time but now we don't know if she'll make it until i get there. Its rough. I lived with family for a year after her intial diagnosis and moved away for a job but we were supposed to have more time.  Just wanted to have someone else outside my support group know. IDK. I might get a phone call saying she's dead at any second. 
Life sucks sometimes.</t>
        </is>
      </c>
      <c r="D4743" t="n">
        <v>20</v>
      </c>
      <c r="E4743" t="n">
        <v>6</v>
      </c>
      <c r="F4743">
        <f>HYPERLINK("https://www.reddit.com/r/cancer/comments/d3j1cu/mom/")</f>
        <v/>
      </c>
      <c r="G4743" t="inlineStr">
        <is>
          <t>2019-09-12 20:05:30</t>
        </is>
      </c>
      <c r="H4743" t="inlineStr"/>
    </row>
    <row r="4744">
      <c r="A4744" t="inlineStr">
        <is>
          <t>d3lg18</t>
        </is>
      </c>
      <c r="B4744" t="inlineStr">
        <is>
          <t>Rant</t>
        </is>
      </c>
      <c r="C4744" t="inlineStr">
        <is>
          <t>Hi! I need to rant. I was diagnosed last year at 23 yo with AML. I had chemo and a bone marrow transplant. I'm cancer-free in my bone marrow but I have leukemia in the skin, so I will get two years of Vidaza.
I'm from a third world country and sadly, here we don't have so many options for treatment. I know so many kids that died this year and I feel heartbroken. I don't have the money to help because I'm struggling with debt.
Just is unfair that if you were born in a corrupt country, you don't have the opportunity to live.
I'm sure that when I'm okay I'm going to fight to bring the new treatments. This fire is that keeps me alive. I don't want more kids to die.
My survival percentage is 6% because I have metastasis, but I'm not going to die without doing something. Our corrupt government steals money and quit money to cancer programs. I was lucky, but why kids have to die when treatment is available in other countries?
I used to think that life was fair, I don't think that anymore.</t>
        </is>
      </c>
      <c r="D4744" t="n">
        <v>21</v>
      </c>
      <c r="E4744" t="n">
        <v>2</v>
      </c>
      <c r="F4744">
        <f>HYPERLINK("https://www.reddit.com/r/cancer/comments/d3lg18/rant/")</f>
        <v/>
      </c>
      <c r="G4744" t="inlineStr">
        <is>
          <t>2019-09-12 23:56:03</t>
        </is>
      </c>
      <c r="H4744" t="inlineStr"/>
    </row>
    <row r="4745">
      <c r="A4745" t="inlineStr">
        <is>
          <t>d3mxw2</t>
        </is>
      </c>
      <c r="B4745" t="inlineStr">
        <is>
          <t>Fuck that Bell!</t>
        </is>
      </c>
      <c r="C4745" t="inlineStr">
        <is>
          <t>Sorry for the title, but I wish the bell ringing and party music and celebration of the last round of chemo will stop.
I have a friend that is fighting for his life. 3 weeks after getting a certificate  for completing 12 rounds of chemo. He made it less than two weeks because he has been in The ICU since last week Saturday.
The cancer did not go into remission, he was not NED at all, but they made a huge thing about his last round. 
He had to go for an emergency operation as his tumor grew and blocked his colon. He could not pass anything, not gas not solids, nothing.
Now he is on a machine that keeps him breathing as his lungs are shot. The oncologist told him not to stop smoking as his body won’t be able to take the stress.
Last night was the first time he woke up as he was in a coma. His daughter said that he can’t understand what is going on. Why he has tubes in every hole in his body. AFAIK the doctor did a colostomy for him.
But still, after ringing the bell and making a huge fuss. The false hope it gave him that he was done with cancer and then few days later cancer almost took him out?
I will kindly refuse to ring the bell and will refuse the loud celebration! 
The day they find a cure for cancer will be the day that I will celebrate.</t>
        </is>
      </c>
      <c r="D4745" t="n">
        <v>75</v>
      </c>
      <c r="E4745" t="n">
        <v>34</v>
      </c>
      <c r="F4745">
        <f>HYPERLINK("https://www.reddit.com/r/cancer/comments/d3mxw2/fuck_that_bell/")</f>
        <v/>
      </c>
      <c r="G4745" t="inlineStr">
        <is>
          <t>2019-09-13 02:55:58</t>
        </is>
      </c>
      <c r="H4745" t="inlineStr"/>
    </row>
    <row r="4746">
      <c r="A4746" t="inlineStr">
        <is>
          <t>d3napd</t>
        </is>
      </c>
      <c r="B4746" t="inlineStr">
        <is>
          <t>I had cancer but i was inspired by a family member.</t>
        </is>
      </c>
      <c r="C4746" t="inlineStr">
        <is>
          <t>Hi guys, although i’ve had Reddit for about a year now i’ve only recently figured out how it works so this is my first post. So to cut things short, this post isn’t going to be about how i battled cancer or how inspiring i was, rather, it’s about how i was inspired by a family member. 
Here’s a little background about me: I had ovarian cancer (yolk sac tumour) when i was 15 and i turn 21 next month so thats about 5-6 years since my surgery to extract the tumour out and unfortunately, my left ovary. I had missed a lot of school even before i was diagnosed cause it was excruciatingly painful. My surgery kept getting delayed because somehow my body temperature was always spiking up and there wasnt enough blood etc. But one morning, my onco-gynaecologist decided to operate on me anyway. Currently i am a third year university student at a school of pharmacy cause me being me, i wanted to “cure” cancer haha!
Fast forward to chemotherapy, my mother was the person who spent every single day and night at the hospital, never really left my side. Remember i said I WAS inspired? Yep, i was inspired by my mother. My beautiful mother was a teacher, precisely an assistant principal so she was really busy with administrative work and sometimes teaching too. When we were at the hospital, i spent a lot of my time on my ipod or Sudoku, while she spent a lot of time getting to know other patients in the ward, talking and helping them out. Being a needy teenager, i was always annoyed whenever she went over to the other patients. I wanted her to sit with me. All the time. Even to this day, i still joke about her being Florence Nightingale. What i came to a realisation the past year is that how it was a therapy for her. I knew she was more affected by the fact that her 15 year old daughter had cancer than i was affected by it. I knew she was praying without fail for my well being, she barely went home, ate or got a nice sleep at night. 
When i come to think about it, i was amazed and mostly inspired by her kindness, strength and positivity throughout the years. I didnt understand why she had to care about those other people as well, but i feel like i do now. All i knew back then was just she was being “nosy”. But she wasnt, she is my biggest inspiration and if im being honest i want to be exactly who she is as a person. 
I love and miss her every day.</t>
        </is>
      </c>
      <c r="D4746" t="n">
        <v>14</v>
      </c>
      <c r="E4746" t="n">
        <v>5</v>
      </c>
      <c r="F4746">
        <f>HYPERLINK("https://www.reddit.com/r/cancer/comments/d3napd/i_had_cancer_but_i_was_inspired_by_a_family_member/")</f>
        <v/>
      </c>
      <c r="G4746" t="inlineStr">
        <is>
          <t>2019-09-13 03:34:02</t>
        </is>
      </c>
      <c r="H4746" t="inlineStr"/>
    </row>
    <row r="4747">
      <c r="A4747" t="inlineStr">
        <is>
          <t>d3nku2</t>
        </is>
      </c>
      <c r="B4747" t="inlineStr">
        <is>
          <t>Death day of my mother</t>
        </is>
      </c>
      <c r="C4747" t="inlineStr">
        <is>
          <t>The death day of my mother is coming up in the 25th. She died from breast cancer in 2005 and this is the first year I'll be alone on that date. I don't know what to do or how to cope with it alone.
Could do with some help and/or suggestions.</t>
        </is>
      </c>
      <c r="D4747" t="n">
        <v>5</v>
      </c>
      <c r="E4747" t="n">
        <v>5</v>
      </c>
      <c r="F4747">
        <f>HYPERLINK("https://www.reddit.com/r/cancer/comments/d3nku2/death_day_of_my_mother/")</f>
        <v/>
      </c>
      <c r="G4747" t="inlineStr">
        <is>
          <t>2019-09-13 04:03:09</t>
        </is>
      </c>
      <c r="H4747" t="inlineStr"/>
    </row>
    <row r="4748">
      <c r="A4748" t="inlineStr">
        <is>
          <t>d3qyif</t>
        </is>
      </c>
      <c r="B4748" t="inlineStr">
        <is>
          <t>Putting together a care package?</t>
        </is>
      </c>
      <c r="C4748" t="inlineStr">
        <is>
          <t>Hey, i hope this is okay to ask here. A close family member of mine has just been diagnosed, it's not really common knowledge yet and i dont have anywhere else to ask. I'm going to see her soon and i know she starts treatment soon too. I really want to put together a nice bundle of goodies that will make her feel nice or help make things a little better. While cancer has effected other family members  and childhood friends too i've never put together anything like this for someone so i'd really appreciate any suggestions!   
So far i'm thinking of raiding Lush and getting a nice face mask and some bath bombs along with fluffy socks. I'm worried to add sweeties and food in? Anyway, thankyou in advance!</t>
        </is>
      </c>
      <c r="D4748" t="n">
        <v>9</v>
      </c>
      <c r="E4748" t="n">
        <v>22</v>
      </c>
      <c r="F4748">
        <f>HYPERLINK("https://www.reddit.com/r/cancer/comments/d3qyif/putting_together_a_care_package/")</f>
        <v/>
      </c>
      <c r="G4748" t="inlineStr">
        <is>
          <t>2019-09-13 08:33:24</t>
        </is>
      </c>
      <c r="H4748" t="inlineStr"/>
    </row>
    <row r="4749">
      <c r="A4749" t="inlineStr">
        <is>
          <t>d3rg33</t>
        </is>
      </c>
      <c r="B4749" t="inlineStr">
        <is>
          <t>Family friend needs financial support for funeral costs</t>
        </is>
      </c>
      <c r="C4749" t="inlineStr">
        <is>
          <t>Sorry if this isn’t the right place to post but it breaks my heart that no one has donated yet... delete if not. 
[gofundme ](https://www.gofundme.com/f/help-for-expenses-due-to-cancer-treatments?pc=fb_dn_cpgnstaticsmall_r)</t>
        </is>
      </c>
      <c r="D4749" t="n">
        <v>1</v>
      </c>
      <c r="E4749" t="n">
        <v>0</v>
      </c>
      <c r="F4749">
        <f>HYPERLINK("https://www.reddit.com/r/cancer/comments/d3rg33/family_friend_needs_financial_support_for_funeral/")</f>
        <v/>
      </c>
      <c r="G4749" t="inlineStr">
        <is>
          <t>2019-09-13 09:06:57</t>
        </is>
      </c>
      <c r="H4749" t="inlineStr"/>
    </row>
    <row r="4750">
      <c r="A4750" t="inlineStr">
        <is>
          <t>d3rzcm</t>
        </is>
      </c>
      <c r="B4750" t="inlineStr">
        <is>
          <t>Friend, good guy, 28M, ASU student diagnosed with aggressive diffuse large B cell lymphoma today, after finding out a few days ago that he'll be homeless in a week because ASU housing only allows one-support animal in its housing policy. He has two.</t>
        </is>
      </c>
      <c r="C4750" t="inlineStr">
        <is>
          <t>He doesn't have anyone else to ask, so I'm leaving my own fragile living situation (sober house) to try and find some institution or program or cancer society that will get him into a home while he continues to attend ASU and undergo chemotherapy. A day of research has given me a few possible leads, but if anyone can contribute some tips or advice, that would be amazing. Here's who I plan on contacting as early as possible Friday morning. 6 days left and he's out.
Right now only focussed on housing solutions or financial aid to pay rent. I have free transportation set up with Veyo. Not worried about medication costs, co-pays, chemo, etc. right now, but first of all a good place for him and his dogs.
He has no money. I'm working minimum wage, 30+ hours per week. If ASU has no mercy, hopefully one of these will:
# HOUSING/FINANCIAL AID
* **Arizona Department of Economic Security**\*\*:\*\* "Rapid Rehousing"
* **Open Homes Medical Stays/The Bone Marrow &amp;amp; Cancer Foundation**: Free 2-week Airbnb stays during chemo
* **Valley of the Sun United Way:** "Permanent Supportive Housing"
* **Catholic Charities AZ:** "Affordable Housing" | "Hope for the Homeless"
* **Leukemia &amp;amp; Lymphoma Society (LLS):** "Urgent Need Program"
* **~~Social Security Disability~~** (scratched because cancer must be persistent or recurrent following initial treatment)
There were a few others I found, but their application season has closed already or doesn't open until spring 2020.
Family is not an option. No friends close enough to help. Thinking about reaching out to ASU students in ASU off-campus housing who would trade their studio for his single-occupant dorm room at Barrett. I don't know. Any other ideas please?</t>
        </is>
      </c>
      <c r="D4750" t="n">
        <v>3</v>
      </c>
      <c r="E4750" t="n">
        <v>5</v>
      </c>
      <c r="F4750">
        <f>HYPERLINK("https://www.reddit.com/r/cancer/comments/d3rzcm/friend_good_guy_28m_asu_student_diagnosed_with/")</f>
        <v/>
      </c>
      <c r="G4750" t="inlineStr">
        <is>
          <t>2019-09-13 09:44:26</t>
        </is>
      </c>
      <c r="H4750" t="inlineStr"/>
    </row>
    <row r="4751">
      <c r="A4751" t="inlineStr">
        <is>
          <t>d3uly9</t>
        </is>
      </c>
      <c r="B4751" t="inlineStr">
        <is>
          <t>Full CT results in regarding neck growth</t>
        </is>
      </c>
      <c r="C4751" t="inlineStr">
        <is>
          <t>Got full CT results back, tumor itself is still stable, pericardial effusion is still small. No abdomen spread or any organ involvement. Just lymph nodes that had previously been enlarged, then shrunk with the ipi/nivo are partying again. There is a spot on my pelvic bone, they are hoping it is a bone island. Won't know for sure until pet scan. Also an ovarian cyst but she said those come and go. Overall good I think as far as bad news goes! Fingers crossed it's psuedoprogression and that the spot on my pelvic bone is just a bone island and not spread. Wouldn't make much sense to go from neck to pelvic bone with nothing in between, but none of this makes sense 😆 anyone have any experience with bone islands? I have no pain at all in the area. Thanks!</t>
        </is>
      </c>
      <c r="D4751" t="n">
        <v>4</v>
      </c>
      <c r="E4751" t="n">
        <v>1</v>
      </c>
      <c r="F4751">
        <f>HYPERLINK("https://www.reddit.com/r/cancer/comments/d3uly9/full_ct_results_in_regarding_neck_growth/")</f>
        <v/>
      </c>
      <c r="G4751" t="inlineStr">
        <is>
          <t>2019-09-13 12:52:30</t>
        </is>
      </c>
      <c r="H4751" t="inlineStr"/>
    </row>
    <row r="4752">
      <c r="A4752" t="inlineStr">
        <is>
          <t>d3vb44</t>
        </is>
      </c>
      <c r="B4752" t="inlineStr">
        <is>
          <t>Whipple procedure</t>
        </is>
      </c>
      <c r="C4752" t="inlineStr">
        <is>
          <t>Recently diagnosed with cancer, I am facing a Whipple procedure next Friday. Anyone have this, or know someone who has had this procedure? Trying to stay strong and positive.</t>
        </is>
      </c>
      <c r="D4752" t="n">
        <v>4</v>
      </c>
      <c r="E4752" t="n">
        <v>16</v>
      </c>
      <c r="F4752">
        <f>HYPERLINK("https://www.reddit.com/r/cancer/comments/d3vb44/whipple_procedure/")</f>
        <v/>
      </c>
      <c r="G4752" t="inlineStr">
        <is>
          <t>2019-09-13 13:43:09</t>
        </is>
      </c>
      <c r="H4752" t="inlineStr"/>
    </row>
    <row r="4753">
      <c r="A4753" t="inlineStr">
        <is>
          <t>d3wjg8</t>
        </is>
      </c>
      <c r="B4753" t="inlineStr">
        <is>
          <t>Glioblastoma Cause of Death</t>
        </is>
      </c>
      <c r="C4753" t="inlineStr">
        <is>
          <t>My s/o has glioblastoma, and she’s opted out of treatment. 
What are some of the more common physiological causes of death in a patient with Glioblastoma? Meaning what actually leads to death. Not just “cancer.”
I.e. when someone says “they died of old age,” that’s not really accurate. There is a failing somewhere in the body that led to death. Old age may have caused that part of the body to break down, but a part of the body stopped working correctly which led to death. 
Thanks for any answers. I apologize if I’m being blunt. I’m a fulltime firefighter/paramedic and my life experience has led to me addressing these things in a straightforward way.</t>
        </is>
      </c>
      <c r="D4753" t="n">
        <v>1</v>
      </c>
      <c r="E4753" t="n">
        <v>3</v>
      </c>
      <c r="F4753">
        <f>HYPERLINK("https://www.reddit.com/r/cancer/comments/d3wjg8/glioblastoma_cause_of_death/")</f>
        <v/>
      </c>
      <c r="G4753" t="inlineStr">
        <is>
          <t>2019-09-13 15:17:02</t>
        </is>
      </c>
      <c r="H4753" t="inlineStr"/>
    </row>
    <row r="4754">
      <c r="A4754" t="inlineStr">
        <is>
          <t>d3wkjf</t>
        </is>
      </c>
      <c r="B4754" t="inlineStr">
        <is>
          <t>Post surgical changes on PET Scan v the real thing</t>
        </is>
      </c>
      <c r="C4754" t="inlineStr">
        <is>
          <t>Hi,
So I had a wedge resection on my chest on 8/22 to remove a legions of my left lung and my pleura. 
I had a chest ct on 9,2 when I was in the ER that showed a lesion is growing on the surgical structure line ( probably inflammation ) 
Today I got the results of my PET scan that are clean everywhere else but are lighting up a lot on the chest area. There’s 2 new pleura masses, pleural effusion, there is uptake in my Rib where the doctor made the incision for VATs. He went on to go yell at me why did the doctor order this pet so soon after surgery I said she needed a baseline for chemo. 
He wasn’t very clear if it was all surgical changes or not but it’s a mess in the chest wall area. SUVs between 10-20, pleura Mets that weren’t there 20 days ago already 4cm? I mean is this stuff possible ? How fast do Mets grow. 
Has anyone had similar experiences?
A</t>
        </is>
      </c>
      <c r="D4754" t="n">
        <v>1</v>
      </c>
      <c r="E4754" t="n">
        <v>0</v>
      </c>
      <c r="F4754">
        <f>HYPERLINK("https://www.reddit.com/r/cancer/comments/d3wkjf/post_surgical_changes_on_pet_scan_v_the_real_thing/")</f>
        <v/>
      </c>
      <c r="G4754" t="inlineStr">
        <is>
          <t>2019-09-13 15:19:26</t>
        </is>
      </c>
      <c r="H4754" t="inlineStr"/>
    </row>
    <row r="4755">
      <c r="A4755" t="inlineStr">
        <is>
          <t>d3wptm</t>
        </is>
      </c>
      <c r="B4755" t="inlineStr">
        <is>
          <t>Suicide</t>
        </is>
      </c>
      <c r="C4755" t="inlineStr">
        <is>
          <t>I was given 3 months to live, that was back in mid-August. I’m tired. I’m tired of being around, I’m ready to go. I’m nauseous, exhausted and feeling generally like crap.
I’m considering taking a bunch of my morphine or oxycodone pills and calling it a day.</t>
        </is>
      </c>
      <c r="D4755" t="n">
        <v>77</v>
      </c>
      <c r="E4755" t="n">
        <v>53</v>
      </c>
      <c r="F4755">
        <f>HYPERLINK("https://www.reddit.com/r/cancer/comments/d3wptm/suicide/")</f>
        <v/>
      </c>
      <c r="G4755" t="inlineStr">
        <is>
          <t>2019-09-13 15:30:30</t>
        </is>
      </c>
      <c r="H4755" t="inlineStr"/>
    </row>
    <row r="4756">
      <c r="A4756" t="inlineStr">
        <is>
          <t>d3xphd</t>
        </is>
      </c>
      <c r="B4756" t="inlineStr">
        <is>
          <t>It was my 34th birthday yesterday U.K. time</t>
        </is>
      </c>
      <c r="C4756" t="inlineStr">
        <is>
          <t>I was 32 when my prognosis was 3-6 months stage 4 melanoma. Surprised myself and my oncologist by being alive today.
I know some of you have lost people to this cruel disease or sadly may die soon. I pray for you all.
But they is hope. It’s likely I’ll not live to 40 but who knows. I’m blessed to be here but my life is not what I want it to be besides cancer.
I’m single and no kids and maybe 3 or 4 pay checks from disaster and I know I could of done much more with my life.
I’ll not take life for granted even tho with all the treatment that makes me tired and weak it’s hard not to push myself.
God bless you all brothers and sisters</t>
        </is>
      </c>
      <c r="D4756" t="n">
        <v>21</v>
      </c>
      <c r="E4756" t="n">
        <v>4</v>
      </c>
      <c r="F4756">
        <f>HYPERLINK("https://www.reddit.com/r/cancer/comments/d3xphd/it_was_my_34th_birthday_yesterday_uk_time/")</f>
        <v/>
      </c>
      <c r="G4756" t="inlineStr">
        <is>
          <t>2019-09-13 16:49:58</t>
        </is>
      </c>
      <c r="H4756" t="inlineStr"/>
    </row>
    <row r="4757">
      <c r="A4757" t="inlineStr">
        <is>
          <t>d3yt59</t>
        </is>
      </c>
      <c r="B4757" t="inlineStr">
        <is>
          <t>In the hospital</t>
        </is>
      </c>
      <c r="C4757" t="inlineStr">
        <is>
          <t>Been in since yesterday. They found a large clot in my heart, luckily it was caught before it caused anything. Now I'm on the blood thinner shot at least for the duration of my chemo. It's just one more thing, but I'm so exhausted and overwhelmed already. I don't know how I'm going to get through five more months.</t>
        </is>
      </c>
      <c r="D4757" t="n">
        <v>12</v>
      </c>
      <c r="E4757" t="n">
        <v>9</v>
      </c>
      <c r="F4757">
        <f>HYPERLINK("https://www.reddit.com/r/cancer/comments/d3yt59/in_the_hospital/")</f>
        <v/>
      </c>
      <c r="G4757" t="inlineStr">
        <is>
          <t>2019-09-13 18:28:03</t>
        </is>
      </c>
      <c r="H4757" t="inlineStr"/>
    </row>
    <row r="4758">
      <c r="A4758" t="inlineStr">
        <is>
          <t>d3yw2z</t>
        </is>
      </c>
      <c r="B4758" t="inlineStr">
        <is>
          <t>American patients, you really have my sympathies</t>
        </is>
      </c>
      <c r="C4758" t="inlineStr">
        <is>
          <t>So in terms of cancer I am completely fucked. But I saw my doctor today and he told me about a new drug, not a miracle drug that would drastically improve my life but one that would definitely make me more comfortable and give me more freedom. One issue though, the drug isn't wildly available on the NHS, its only given out under strict parameters and I don't meet them. In order to get this drug I have to pay two grand per injection and would need an injection every few weeks. Which is completely unrealistic for me and I can't justify dropping that amount of money on a dead girl even if its just once. I don't think I could pay it once. This conversation unsurprisingly made me feel really shit. It really sucks to find out that there is a drug out there which will help you feel better but you can't afford to get it. So I just want to take a moment to address all the American patients and say that I am so fucking SORRY that your medical shit is accompanied by bills all the fucking time. I am so sorry that you are dealing with fucking cancer and you're having to figure out the fucking financial bullshit at the same time. I am so sorry 
if you are in a position where there is a drug or a procedure available which would help you but you are struggling to get access to it. It's fucking bullshit and we need to do better.</t>
        </is>
      </c>
      <c r="D4758" t="n">
        <v>61</v>
      </c>
      <c r="E4758" t="n">
        <v>23</v>
      </c>
      <c r="F4758">
        <f>HYPERLINK("https://www.reddit.com/r/cancer/comments/d3yw2z/american_patients_you_really_have_my_sympathies/")</f>
        <v/>
      </c>
      <c r="G4758" t="inlineStr">
        <is>
          <t>2019-09-13 18:35:45</t>
        </is>
      </c>
      <c r="H4758" t="inlineStr"/>
    </row>
    <row r="4759">
      <c r="A4759" t="inlineStr">
        <is>
          <t>d3zttx</t>
        </is>
      </c>
      <c r="B4759" t="inlineStr">
        <is>
          <t>My mother is no longer in her body</t>
        </is>
      </c>
      <c r="C4759" t="inlineStr">
        <is>
          <t>I have never had a good relationship with my mom but ive been trying my best to fix it since her diagnosis a year ago. Sadly, trying my best wasn't even close to enough because now shes no longer my mom. I never got to tell her how much I truly loved her. I didn't think this kind of thing could happen overnight. She is in a morphine induced zombie like state and ill never get her back. The mother I thought I used to hate.</t>
        </is>
      </c>
      <c r="D4759" t="n">
        <v>11</v>
      </c>
      <c r="E4759" t="n">
        <v>4</v>
      </c>
      <c r="F4759">
        <f>HYPERLINK("https://www.reddit.com/r/cancer/comments/d3zttx/my_mother_is_no_longer_in_her_body/")</f>
        <v/>
      </c>
      <c r="G4759" t="inlineStr">
        <is>
          <t>2019-09-13 20:06:36</t>
        </is>
      </c>
      <c r="H4759" t="inlineStr"/>
    </row>
    <row r="4760">
      <c r="A4760" t="inlineStr">
        <is>
          <t>d400tr</t>
        </is>
      </c>
      <c r="B4760" t="inlineStr">
        <is>
          <t>Avenues for a cancer patient to receive financial assistance? This is NOT a donation request.</t>
        </is>
      </c>
      <c r="C4760" t="inlineStr">
        <is>
          <t>I'm posting this for my step-father. Less than a year after losing my mother to cancer, he's been diagnosed with lung cancer. The short-term disability runs out at his job in two weeks and they've given him two choices: return to work or resign. He drives a truck for a living and no doctor will release him to work. If he resigns he loses his insurance, if he can't work he gets fired and loses his insurance. Who can he contact? I suggested disability but he was told he already made too much money this year. What help can he receive?</t>
        </is>
      </c>
      <c r="D4760" t="n">
        <v>4</v>
      </c>
      <c r="E4760" t="n">
        <v>6</v>
      </c>
      <c r="F4760">
        <f>HYPERLINK("https://www.reddit.com/r/cancer/comments/d400tr/avenues_for_a_cancer_patient_to_receive_financial/")</f>
        <v/>
      </c>
      <c r="G4760" t="inlineStr">
        <is>
          <t>2019-09-13 20:26:12</t>
        </is>
      </c>
      <c r="H4760" t="inlineStr"/>
    </row>
    <row r="4761">
      <c r="A4761" t="inlineStr">
        <is>
          <t>d409yq</t>
        </is>
      </c>
      <c r="B4761" t="inlineStr">
        <is>
          <t>Mom is halfway through radiation</t>
        </is>
      </c>
      <c r="C4761" t="inlineStr">
        <is>
          <t>Hi Everyone,
She's halfway done! Mom has done 15 (3 weeks) sessions of radiation, 15 more to go! Her symptoms are being managed with hydromophone and sitz baths. Chemo pills are manageable thus far.
She's been noticing a reduction in her tumours (located on her anus) and she has been able to sit down normally.  The radiation techs didn't quite believe that it was being reduced that quickly, but each week they've definitely noticed it more.
Mom had a huge win today when her radiation oncologist looked at the area for the first time since beginning treatment.. and he was so happy! He said how excellent her progress has been and we're only halfway.
We know in the back of our heads that this might not be it, and the lymphnodes found in her groin might not have changed much.. but she is damn happy to be able to sit in a car without being worried about potholes!</t>
        </is>
      </c>
      <c r="D4761" t="n">
        <v>10</v>
      </c>
      <c r="E4761" t="n">
        <v>2</v>
      </c>
      <c r="F4761">
        <f>HYPERLINK("https://www.reddit.com/r/cancer/comments/d409yq/mom_is_halfway_through_radiation/")</f>
        <v/>
      </c>
      <c r="G4761" t="inlineStr">
        <is>
          <t>2019-09-13 20:51:45</t>
        </is>
      </c>
      <c r="H4761" t="inlineStr"/>
    </row>
    <row r="4762">
      <c r="A4762" t="inlineStr">
        <is>
          <t>d40bh6</t>
        </is>
      </c>
      <c r="B4762" t="inlineStr">
        <is>
          <t>Hair regrowth</t>
        </is>
      </c>
      <c r="C4762" t="inlineStr">
        <is>
          <t>Hello, i (18m) finished my last chemo for ewing’s sarcoma in april this year. My hair is growing back however it is still extremely thin and in the light you can see my scalp. I’m at college and i can’t fully gain my confidence knowing that my hair doesn’t look normal. I was wondering if you guys had any tips on how to make your hair grow fuller and faster besides just patience.</t>
        </is>
      </c>
      <c r="D4762" t="n">
        <v>4</v>
      </c>
      <c r="E4762" t="n">
        <v>8</v>
      </c>
      <c r="F4762">
        <f>HYPERLINK("https://www.reddit.com/r/cancer/comments/d40bh6/hair_regrowth/")</f>
        <v/>
      </c>
      <c r="G4762" t="inlineStr">
        <is>
          <t>2019-09-13 20:56:25</t>
        </is>
      </c>
      <c r="H4762" t="inlineStr"/>
    </row>
    <row r="4763">
      <c r="A4763" t="inlineStr">
        <is>
          <t>d40cqx</t>
        </is>
      </c>
      <c r="B4763" t="inlineStr">
        <is>
          <t>Mom's first round of chemo is complete</t>
        </is>
      </c>
      <c r="C4763" t="inlineStr">
        <is>
          <t>My mom completed her first round of chemo yesterday. She was at the hospital all day getting her chemo treatment done. She felt relatively fine yesterday evening and this morning but started to feel unwell in the afternoon. I'm doing my best to be here for her and provide the best possible care as she faces the side effects of her chemo treatment, but it can be emotionally draining sometimes. 
There's nothing I wouldn't give to keep my mom and all cancer patients from having to go through this. 
FUCK cancer.</t>
        </is>
      </c>
      <c r="D4763" t="n">
        <v>8</v>
      </c>
      <c r="E4763" t="n">
        <v>6</v>
      </c>
      <c r="F4763">
        <f>HYPERLINK("https://www.reddit.com/r/cancer/comments/d40cqx/moms_first_round_of_chemo_is_complete/")</f>
        <v/>
      </c>
      <c r="G4763" t="inlineStr">
        <is>
          <t>2019-09-13 21:00:39</t>
        </is>
      </c>
      <c r="H4763" t="inlineStr"/>
    </row>
    <row r="4764">
      <c r="A4764" t="inlineStr">
        <is>
          <t>d41bji</t>
        </is>
      </c>
      <c r="B4764" t="inlineStr">
        <is>
          <t>Mom’s cancer is back</t>
        </is>
      </c>
      <c r="C4764" t="inlineStr">
        <is>
          <t>My mom was diagnosed with endometrial cancer in February. Had a radical hysterectomy in April. Did radiation (3 sessions). Was fine for a few weeks. And then she felt odd - her legs were swelling, she was always tired, and she’s not eating much. Her latest biopsy confirmed it’s back. I don’t know what to do or how to help. I hate this so much.</t>
        </is>
      </c>
      <c r="D4764" t="n">
        <v>7</v>
      </c>
      <c r="E4764" t="n">
        <v>3</v>
      </c>
      <c r="F4764">
        <f>HYPERLINK("https://www.reddit.com/r/cancer/comments/d41bji/moms_cancer_is_back/")</f>
        <v/>
      </c>
      <c r="G4764" t="inlineStr">
        <is>
          <t>2019-09-13 22:48:55</t>
        </is>
      </c>
      <c r="H4764" t="inlineStr"/>
    </row>
    <row r="4765">
      <c r="A4765" t="inlineStr">
        <is>
          <t>d42s1v</t>
        </is>
      </c>
      <c r="B4765" t="inlineStr">
        <is>
          <t>I don’t know where else to post but I need help</t>
        </is>
      </c>
      <c r="C4765" t="inlineStr">
        <is>
          <t>Since February I’ve had a problem with my throat feeling swollen. And I’m afraid it’s something really serious. I’ve considered it being thrush, which I have on my tongue probably due to drinking too much beer. But it’s getting to the point where it’s rather uncomfortable, I’m out of work and have no insurance for a doctor it almost feels as if my tonsils are swollen but I’m not quite sure</t>
        </is>
      </c>
      <c r="D4765" t="n">
        <v>3</v>
      </c>
      <c r="E4765" t="n">
        <v>2</v>
      </c>
      <c r="F4765">
        <f>HYPERLINK("https://www.reddit.com/r/cancer/comments/d42s1v/i_dont_know_where_else_to_post_but_i_need_help/")</f>
        <v/>
      </c>
      <c r="G4765" t="inlineStr">
        <is>
          <t>2019-09-14 01:52:33</t>
        </is>
      </c>
      <c r="H4765" t="inlineStr"/>
    </row>
    <row r="4766">
      <c r="A4766" t="inlineStr">
        <is>
          <t>d45gih</t>
        </is>
      </c>
      <c r="B4766" t="inlineStr">
        <is>
          <t>Good news, sort of.</t>
        </is>
      </c>
      <c r="C4766" t="inlineStr">
        <is>
          <t>I have prostate cancer that has found it’s way into the nearby bones and lymph nodes.  Not long ago that would have been a death sentence.  Yesterday the oncologist told me that the cancer as I have it, it’s different for everybody, is a manageable chronic disease.  That’s without an Immunotherapy fix.  Now if they could just figure out a way to get me off the Lupron so I could get a boner again....</t>
        </is>
      </c>
      <c r="D4766" t="n">
        <v>51</v>
      </c>
      <c r="E4766" t="n">
        <v>6</v>
      </c>
      <c r="F4766">
        <f>HYPERLINK("https://www.reddit.com/r/cancer/comments/d45gih/good_news_sort_of/")</f>
        <v/>
      </c>
      <c r="G4766" t="inlineStr">
        <is>
          <t>2019-09-14 06:53:28</t>
        </is>
      </c>
      <c r="H4766" t="inlineStr"/>
    </row>
    <row r="4767">
      <c r="A4767" t="inlineStr">
        <is>
          <t>d45pd5</t>
        </is>
      </c>
      <c r="B4767" t="inlineStr">
        <is>
          <t>Most Fatal Types of Cancer</t>
        </is>
      </c>
      <c r="C4767" t="inlineStr">
        <is>
          <t>I have this book called the Book of Lists that has a list of the 5-year survival rates for 25 kinds of cancer.  I am not sure if this covers all types of cancer but it claims pancreas cancer is the most fatal, with a rate of 4.6 percent.  Liver is the runner up, with 9.7 percent.  Esophagus is third.
Cancer is not very often explained.  It is when more than one cell have a mutation reproducing.  This becomes a tumor. This becomes cancer.</t>
        </is>
      </c>
      <c r="D4767" t="n">
        <v>0</v>
      </c>
      <c r="E4767" t="n">
        <v>2</v>
      </c>
      <c r="F4767">
        <f>HYPERLINK("https://www.reddit.com/r/cancer/comments/d45pd5/most_fatal_types_of_cancer/")</f>
        <v/>
      </c>
      <c r="G4767" t="inlineStr">
        <is>
          <t>2019-09-14 07:14:59</t>
        </is>
      </c>
      <c r="H4767" t="inlineStr"/>
    </row>
    <row r="4768">
      <c r="A4768" t="inlineStr">
        <is>
          <t>d46y2v</t>
        </is>
      </c>
      <c r="B4768" t="inlineStr">
        <is>
          <t>9 Steps to Surviving your first Colonoscopy Prep Experience.</t>
        </is>
      </c>
      <c r="C4768" t="inlineStr">
        <is>
          <t>Hi to those of you who have endured or must endure a colonoscopy! My first colonoscopy experience was last Monday and I have to say, it was less than pretty. But, it did get my wheels turning to find the ways in which the prep could be a meaningful and spiritual growth experience, despite all the discomfort and anxiety that comes with it. If you want to cringe, giggle, or seriously prepare for your next prep experience, feel free to check out my current publication on Elephant Journal :) I'd love to hear about your experience too!
[https://www.elephantjournal.com/2019/09/9-steps-to-surviving-your-first-colonoscopy-prep-experience/](https://www.elephantjournal.com/2019/09/9-steps-to-surviving-your-first-colonoscopy-prep-experience/)</t>
        </is>
      </c>
      <c r="D4768" t="n">
        <v>5</v>
      </c>
      <c r="E4768" t="n">
        <v>6</v>
      </c>
      <c r="F4768">
        <f>HYPERLINK("https://www.reddit.com/r/cancer/comments/d46y2v/9_steps_to_surviving_your_first_colonoscopy_prep/")</f>
        <v/>
      </c>
      <c r="G4768" t="inlineStr">
        <is>
          <t>2019-09-14 08:53:54</t>
        </is>
      </c>
      <c r="H4768" t="inlineStr"/>
    </row>
    <row r="4769">
      <c r="A4769" t="inlineStr">
        <is>
          <t>d48036</t>
        </is>
      </c>
      <c r="B4769" t="inlineStr">
        <is>
          <t>24f PPC questions.</t>
        </is>
      </c>
      <c r="C4769" t="inlineStr">
        <is>
          <t>I was diagnosed with PPC (Primary peritoneal cancer) in may. I just finished my 6th chemo on Thursday. Monday I go in for a CT Scan and on Thursday i go in for a consolation to see when my debulking surgery will be. Last time my drs thought I would have a bilateral salpingo-oophorectomy. (Removal of fallopian tubes, ovaries, and uterus) 
I was wondering if anyone has been through this? 
What about saving your eggs? 
What did you do to help with pre surgery and post surgery? 
Any good books while I'm laid up?</t>
        </is>
      </c>
      <c r="D4769" t="n">
        <v>3</v>
      </c>
      <c r="E4769" t="n">
        <v>3</v>
      </c>
      <c r="F4769">
        <f>HYPERLINK("https://www.reddit.com/r/cancer/comments/d48036/24f_ppc_questions/")</f>
        <v/>
      </c>
      <c r="G4769" t="inlineStr">
        <is>
          <t>2019-09-14 10:13:10</t>
        </is>
      </c>
      <c r="H4769" t="inlineStr"/>
    </row>
    <row r="4770">
      <c r="A4770" t="inlineStr">
        <is>
          <t>d486vz</t>
        </is>
      </c>
      <c r="B4770" t="inlineStr">
        <is>
          <t>Fuck osteosarcoma</t>
        </is>
      </c>
      <c r="C4770" t="inlineStr">
        <is>
          <t>This is a terrible fucking cancer. It’s rare af, so painful, the life expectancy isn’t that long, and I haven’t read a lot on here with people who have it. 
My husband is going on year 6 since he was diagnosed. 
I can’t tell you how many doctors recently have told us that science can’t explain why he’s alive. It’s both a comforting, and a really disturbing thing to hear. 
February kicked off the worst of it. Several nodules in his spine, other leg, arm, neck, kidney, etc. 
He’s had 3 surgeries in 3 months. Broken femur, and 2 laminectamies. 
The most recent laminectamy was Wednesday. It was a much bigger surgery that last time. 
Today they said they’re uncertain if he will walk again. 
That’s honestly he least of my worries. 
I’m not sure how much time he’s got with the way things are going. I’m not sure I want to know. But either way, none of this feels good. 
I hate so much that I even have to write this.</t>
        </is>
      </c>
      <c r="D4770" t="n">
        <v>75</v>
      </c>
      <c r="E4770" t="n">
        <v>10</v>
      </c>
      <c r="F4770">
        <f>HYPERLINK("https://www.reddit.com/r/cancer/comments/d486vz/fuck_osteosarcoma/")</f>
        <v/>
      </c>
      <c r="G4770" t="inlineStr">
        <is>
          <t>2019-09-14 10:27:42</t>
        </is>
      </c>
      <c r="H4770" t="inlineStr"/>
    </row>
    <row r="4771">
      <c r="A4771" t="inlineStr">
        <is>
          <t>d48ohd</t>
        </is>
      </c>
      <c r="B4771" t="inlineStr">
        <is>
          <t>Sushi</t>
        </is>
      </c>
      <c r="C4771" t="inlineStr">
        <is>
          <t>I’m like 4 months out of chemo.  Is it ok to eat sushi lol</t>
        </is>
      </c>
      <c r="D4771" t="n">
        <v>7</v>
      </c>
      <c r="E4771" t="n">
        <v>17</v>
      </c>
      <c r="F4771">
        <f>HYPERLINK("https://www.reddit.com/r/cancer/comments/d48ohd/sushi/")</f>
        <v/>
      </c>
      <c r="G4771" t="inlineStr">
        <is>
          <t>2019-09-14 11:04:17</t>
        </is>
      </c>
      <c r="H4771" t="inlineStr"/>
    </row>
    <row r="4772">
      <c r="A4772" t="inlineStr">
        <is>
          <t>d4agdl</t>
        </is>
      </c>
      <c r="B4772" t="inlineStr">
        <is>
          <t>Recently Diagnosed. Thoughts about a “Second Opinion”?</t>
        </is>
      </c>
      <c r="C4772" t="inlineStr">
        <is>
          <t>Hey, everybody. I’m 25 years old and I was just diagnosed with Breast Cancer. I’ve had a suspicious lump since January, about the size of a small marble. Now it takes up about 1/3 of my breast, taking the added mass into account. Then a lump popped up in my armpit about five weeks ago. Basically, cancer was caught late, spreading was caught early. I have Invasis Ductal Carcinoma in my booby, and Metastatic in my armpit (lymph nodes). I had an MRI a couple days ago and I’m meeting with the nerds on Monday.
Breast Cancer runs RAMPANT on my mom’s side, dude. Her, my grandma, great aunt, and my mom’s cousin (currently battling) have all had it. I’m obviously the youngest one diagnosed in our entire family history (yay?). My grandmother had a very similar, if not exact, diagnosis as me when she was 57, and she’s doing great right now. Telling the doctors how old she was when she was diagnosed was a trip because she’s been 55 for 12 years now.
“She was...55 plus two.”
“So, 57?”
“Don’t let her hear you say that.”
I’m aiming for Stage II, but I’d be surprised if it’s lower than Stage III. I’m not really sure how all that works, though. I’m obviously terrified, but I have a great support system. I think my age is a silver lining, and I’m relatively healthy. No other medical problems.
Anyway, my step dad and mom have a huge bias against Chemo. They claim it messed my mom up mentally. But my grandma and great aunt, who(m?) were both older than her when they had Chemo, are doing great! My parents are trying their best to steer me away from Chemo if it’s brought up as the ideal option. They seem like the prefer Radiation. They keep bringing up a second opinion on treatment, which frustrates me because I’d like to get the ball rolling as soon as possible and I trust what the doctor’s say. My sister, who has some medical bachelors degree in whatever, said that a second opinion on treatment is normal. But, my grandma cringes when I bring it up. 
So I’m wondering, is a second opinion normal? Will it prolong starting treatment? It just seems like an unnecessary inconvenience, you know? I just want to get this sh*t out of me.
Thank you for taking the time to read this!</t>
        </is>
      </c>
      <c r="D4772" t="n">
        <v>4</v>
      </c>
      <c r="E4772" t="n">
        <v>16</v>
      </c>
      <c r="F4772">
        <f>HYPERLINK("https://www.reddit.com/r/cancer/comments/d4agdl/recently_diagnosed_thoughts_about_a_second_opinion/")</f>
        <v/>
      </c>
      <c r="G4772" t="inlineStr">
        <is>
          <t>2019-09-14 13:20:51</t>
        </is>
      </c>
      <c r="H4772" t="inlineStr"/>
    </row>
    <row r="4773">
      <c r="A4773" t="inlineStr">
        <is>
          <t>d4bclq</t>
        </is>
      </c>
      <c r="B4773" t="inlineStr">
        <is>
          <t>DIPG</t>
        </is>
      </c>
      <c r="C4773" t="inlineStr">
        <is>
          <t>My friends little cousin had DIPG when he was born. DIPG is a brain cancer inside the part of the brain that can control heart function. He was only 3 years old when he died, and died last month. They thought he would die last year, but turns out it was this year. I just wanted to share because DIPG has 0 percent survival rate. Chemo or radiation therapy wont work, and surgery cant be performed because they cant take the tumor out without damaging the tissues. I hope y'all have a great day guys.</t>
        </is>
      </c>
      <c r="D4773" t="n">
        <v>7</v>
      </c>
      <c r="E4773" t="n">
        <v>2</v>
      </c>
      <c r="F4773">
        <f>HYPERLINK("https://www.reddit.com/r/cancer/comments/d4bclq/dipg/")</f>
        <v/>
      </c>
      <c r="G4773" t="inlineStr">
        <is>
          <t>2019-09-14 14:31:24</t>
        </is>
      </c>
      <c r="H4773" t="inlineStr"/>
    </row>
    <row r="4774">
      <c r="A4774" t="inlineStr">
        <is>
          <t>d4bs8n</t>
        </is>
      </c>
      <c r="B4774" t="inlineStr">
        <is>
          <t>Possible ovarian cancer</t>
        </is>
      </c>
      <c r="C4774" t="inlineStr">
        <is>
          <t>I don't know how to start, so I'll start from the beggining. It started about a year ago. My mother had a stomach pain and it was caused by some cyst (not sure if it was a cyst, there was just something that should not be there) and she had it removed like 3 days after it was found, because it was very dangerous. Obviously no one told me about it (they told me it will be removed the next day, because they didn't want to worry me). My whole family was there, because they didn't know if she would wake up and I just casually went to school without knowing about it. Then I went back home and my father (who stayed, because I have a little sister who was 3/4 at that time) told me that the operation was successful. They removed one ovary and most of the second one. I don't know how to explain it, but they left a little, so it would, produce hormones etc. Now time-skip. My mother regularly checked if everything is okay and yestarday they found another bump/cyst or whatever on that little ovary. My mother told me it's nothing dangerous and everything will be okay because they found it very early. But today I saw her crying in the bedroom and asked what happened and she told me that that thing on her ovary might be a cancer. And that's all I know. She stopped crying and tried to talk about something else like everything was good, nothing happened etc. I didn't even ask for details, because she could lie about it again. Also I saw some people taking chemo to cure ovarian cancer, but she told me she will have it removed (I mean surgical. I don't know to say it bcs I'm not native and I just try to say she will have an operation and they will cut the leftover of her ovary), but first they need to take a sample to check if it is a cancer and then wait about 3 weeks for results and I'm scared, because it might grow during that month of waiting. I will talk to her tomorrow about all the details and ask if she can show me all papers with diagnosis, so at least I'll be sure she told me the truth this time. I'm here because it's all I know  now and before I talk to her I want to ask how dangerous it might be, if she will be okay and what stage could it be. Thanks 
Sorry for grammar, poor vocabulary etc.</t>
        </is>
      </c>
      <c r="D4774" t="n">
        <v>2</v>
      </c>
      <c r="E4774" t="n">
        <v>3</v>
      </c>
      <c r="F4774">
        <f>HYPERLINK("https://www.reddit.com/r/cancer/comments/d4bs8n/possible_ovarian_cancer/")</f>
        <v/>
      </c>
      <c r="G4774" t="inlineStr">
        <is>
          <t>2019-09-14 15:06:23</t>
        </is>
      </c>
      <c r="H4774" t="inlineStr"/>
    </row>
    <row r="4775">
      <c r="A4775" t="inlineStr">
        <is>
          <t>d4bzxh</t>
        </is>
      </c>
      <c r="B4775" t="inlineStr">
        <is>
          <t>Immunotherapy</t>
        </is>
      </c>
      <c r="C4775" t="inlineStr">
        <is>
          <t>Hello,
I got results from my biopsy and I have melanoma. I haven't had a chance to have a follow up with my oncologist but when he booked the biopsy he indicated the next step would be surgery and immunotherapy. Has anyone done immunotherapy? How is it given? How bad were your side effects? How long will I expect to be on this? Is it weeks, months...
I am not having a lot of luck finding out what to expect and I would appreciate having some idea what will be happening in this chapter of my life. 
Thank you</t>
        </is>
      </c>
      <c r="D4775" t="n">
        <v>4</v>
      </c>
      <c r="E4775" t="n">
        <v>9</v>
      </c>
      <c r="F4775">
        <f>HYPERLINK("https://www.reddit.com/r/cancer/comments/d4bzxh/immunotherapy/")</f>
        <v/>
      </c>
      <c r="G4775" t="inlineStr">
        <is>
          <t>2019-09-14 15:23:43</t>
        </is>
      </c>
      <c r="H4775" t="inlineStr"/>
    </row>
    <row r="4776">
      <c r="A4776" t="inlineStr">
        <is>
          <t>d4c1pn</t>
        </is>
      </c>
      <c r="B4776" t="inlineStr">
        <is>
          <t>High calcium</t>
        </is>
      </c>
      <c r="C4776" t="inlineStr">
        <is>
          <t>My partner is in the hospital because of high calcium. He was supposed to start a promising clinical trial yesterday but it’s being delayed because of the complications. Everything I’m reading online says that this is not a good sign and that it means he’s reaching the end. Has anyone here had high calcium and been able to lower it? If so please share how because I am desperate for some hope. He has a good chance of achieving PR or CR with this trial if they can just get his numbers back into a normal range.</t>
        </is>
      </c>
      <c r="D4776" t="n">
        <v>4</v>
      </c>
      <c r="E4776" t="n">
        <v>4</v>
      </c>
      <c r="F4776">
        <f>HYPERLINK("https://www.reddit.com/r/cancer/comments/d4c1pn/high_calcium/")</f>
        <v/>
      </c>
      <c r="G4776" t="inlineStr">
        <is>
          <t>2019-09-14 15:27:46</t>
        </is>
      </c>
      <c r="H4776" t="inlineStr"/>
    </row>
    <row r="4777">
      <c r="A4777" t="inlineStr">
        <is>
          <t>d4eqct</t>
        </is>
      </c>
      <c r="B4777" t="inlineStr">
        <is>
          <t>Serious question: when is a limb amputation ok or even a smart choice? Im in a lot of pain.</t>
        </is>
      </c>
      <c r="C4777" t="inlineStr">
        <is>
          <t xml:space="preserve"> So much so that I can't wait for immunotherapy or chemotherapy to work, if they do at all. Some nights I don't want to wake up once I've somehow exhausted myself and pass out. I've had a lot of treatment and it seems like amputation would solve the "inoperable" problem. I've tried all kinds of palliative pain MGMT. Nothing really works, especially long term. If my arm was gone (that's where 80 percent of my disease is) I would have time to pursue a more systemic treatment. How long is the recovery time</t>
        </is>
      </c>
      <c r="D4777" t="n">
        <v>6</v>
      </c>
      <c r="E4777" t="n">
        <v>4</v>
      </c>
      <c r="F4777">
        <f>HYPERLINK("https://www.reddit.com/r/cancer/comments/d4eqct/serious_question_when_is_a_limb_amputation_ok_or/")</f>
        <v/>
      </c>
      <c r="G4777" t="inlineStr">
        <is>
          <t>2019-09-14 19:29:33</t>
        </is>
      </c>
      <c r="H4777" t="inlineStr"/>
    </row>
    <row r="4778">
      <c r="A4778" t="inlineStr">
        <is>
          <t>d4f3wj</t>
        </is>
      </c>
      <c r="B4778" t="inlineStr">
        <is>
          <t>Dad is dying from cancer (squamous cell carcinoma). Help writing a letter?</t>
        </is>
      </c>
      <c r="C4778" t="inlineStr">
        <is>
          <t>I'm so devastated I dont know what to include.  Memories,  thanks, what else? I cant think straight.</t>
        </is>
      </c>
      <c r="D4778" t="n">
        <v>3</v>
      </c>
      <c r="E4778" t="n">
        <v>2</v>
      </c>
      <c r="F4778">
        <f>HYPERLINK("https://www.reddit.com/r/cancer/comments/d4f3wj/dad_is_dying_from_cancer_squamous_cell_carcinoma/")</f>
        <v/>
      </c>
      <c r="G4778" t="inlineStr">
        <is>
          <t>2019-09-14 20:05:58</t>
        </is>
      </c>
      <c r="H4778" t="inlineStr"/>
    </row>
    <row r="4779">
      <c r="A4779" t="inlineStr">
        <is>
          <t>d4f7sz</t>
        </is>
      </c>
      <c r="B4779" t="inlineStr">
        <is>
          <t>Almost there!</t>
        </is>
      </c>
      <c r="C4779" t="inlineStr">
        <is>
          <t>Hey everyone! Chemo and radiation are kicking my ass and I’ve been sleeping a lot. I have 5 more sessions of radiation and one more dose of chemo and then I get to rest. I’m not sure what the step after completing treatment will be. I think I heard someone say that I’ll need to go have some imaging done so the doctors can see if there is any cancer left. Im trying not to be scared but it’s definitely something that’s causing apprehension. 
Has anyone experienced loss of taste during radiation? If you did, how long did it take before you could taste again?
I’m also thinking about how to commemorate this experience, maybe in a tattoo? I’d love to hear how my fellow warriors and survivors have celebrated their own victories!</t>
        </is>
      </c>
      <c r="D4779" t="n">
        <v>8</v>
      </c>
      <c r="E4779" t="n">
        <v>4</v>
      </c>
      <c r="F4779">
        <f>HYPERLINK("https://www.reddit.com/r/cancer/comments/d4f7sz/almost_there/")</f>
        <v/>
      </c>
      <c r="G4779" t="inlineStr">
        <is>
          <t>2019-09-14 20:17:15</t>
        </is>
      </c>
      <c r="H4779" t="inlineStr"/>
    </row>
    <row r="4780">
      <c r="A4780" t="inlineStr">
        <is>
          <t>d4g5zg</t>
        </is>
      </c>
      <c r="B4780" t="inlineStr">
        <is>
          <t>Wig Donations</t>
        </is>
      </c>
      <c r="C4780" t="inlineStr">
        <is>
          <t>My mom just passed away after quite the battle with ovarian and neuroendocrine cancers. I’m hoping to donate her wigs. Anyone have recommendations of non-profits or other organizations that would accept gently used wigs? Or even a person in need of these? I’m located in the Bay Area, CA and would like to donate locally but am also open to sending wigs elsewhere.</t>
        </is>
      </c>
      <c r="D4780" t="n">
        <v>10</v>
      </c>
      <c r="E4780" t="n">
        <v>2</v>
      </c>
      <c r="F4780">
        <f>HYPERLINK("https://www.reddit.com/r/cancer/comments/d4g5zg/wig_donations/")</f>
        <v/>
      </c>
      <c r="G4780" t="inlineStr">
        <is>
          <t>2019-09-14 21:57:17</t>
        </is>
      </c>
      <c r="H4780" t="inlineStr"/>
    </row>
    <row r="4781">
      <c r="A4781" t="inlineStr">
        <is>
          <t>d4gw8m</t>
        </is>
      </c>
      <c r="B4781" t="inlineStr">
        <is>
          <t>A Lost Battle.</t>
        </is>
      </c>
      <c r="C4781" t="inlineStr">
        <is>
          <t>Hello everyone.
My mom passed away this morning from her battle with cancer. 
She had been in massive pain the last week as her organs were shutting down. I work in another country so I could not be with her but I was so grateful she had my sister with her when it happened. 
Please, remind your family to get tested. To get checked. Find the time.</t>
        </is>
      </c>
      <c r="D4781" t="n">
        <v>80</v>
      </c>
      <c r="E4781" t="n">
        <v>12</v>
      </c>
      <c r="F4781">
        <f>HYPERLINK("https://www.reddit.com/r/cancer/comments/d4gw8m/a_lost_battle/")</f>
        <v/>
      </c>
      <c r="G4781" t="inlineStr">
        <is>
          <t>2019-09-14 23:23:55</t>
        </is>
      </c>
      <c r="H4781" t="inlineStr"/>
    </row>
    <row r="4782">
      <c r="A4782" t="inlineStr">
        <is>
          <t>d4i18u</t>
        </is>
      </c>
      <c r="B4782" t="inlineStr">
        <is>
          <t>I'm feeling isolated.</t>
        </is>
      </c>
      <c r="C4782" t="inlineStr">
        <is>
          <t>I'm not sure where else to put this, I feel like it's been trapped in my head since this week. We found out my mother's boyfriend likely has esophageal cancer, he has a painful mass and can barely swallow. They're doing a scope/possible biopsy Wednesday for certain. He's taking out a life policy so that my mom and I will have help, even though he's only been in my life for two years.
I've lost many family members to cancer. My dad's mother and her 6 siblings all died from a various form of it, as did his sister. My mother recently got over colon cancer and is struggling with living with a colostomy bag, as well as having moderate-severe MS. Her boyfriend is her primary caretaker, and I'm a fulltime student/librarian so I see her when I can (she's about 90 miles away from me).
He's religious and seems to have come to terms with it all, but this has only soured me for it that much more. It's beginning to feel like another waiting game, and I hate those. I can't stand the thought that people like him have to die and yet other wastes of space get to live (I'm talking murderers, rapists, the like, I'm very bitter at the moment).
The survival rate is so slim and that's not even for 6 years. We talk about medical miracles yet it's times like these where I want to spit on whoever made that term. People are in pain, and they are dying. I don't know how to describe it other than I'm an incredibly empathetic/emotional person and I'm almost between numb, and feeling like my insides are crushing themselves. I just don't get it..</t>
        </is>
      </c>
      <c r="D4782" t="n">
        <v>14</v>
      </c>
      <c r="E4782" t="n">
        <v>4</v>
      </c>
      <c r="F4782">
        <f>HYPERLINK("https://www.reddit.com/r/cancer/comments/d4i18u/im_feeling_isolated/")</f>
        <v/>
      </c>
      <c r="G4782" t="inlineStr">
        <is>
          <t>2019-09-15 01:52:07</t>
        </is>
      </c>
      <c r="H4782" t="inlineStr"/>
    </row>
    <row r="4783">
      <c r="A4783" t="inlineStr">
        <is>
          <t>d4izes</t>
        </is>
      </c>
      <c r="B4783" t="inlineStr">
        <is>
          <t>How to plan for the future?</t>
        </is>
      </c>
      <c r="C4783" t="inlineStr">
        <is>
          <t>When I developed brain cancer, I was told that I had 18-24 months to live. I'm 11 months in right now, currently on long-term disability and doing everything I can to keep it at bay. I've developed my own treatment plan above and beyond standard of care, thanks to obsessive research that started on day 2 after prognosis. 
It seems to be working very well. I'm getting very positive news from scans. I'm feeling 90% back to my old self, and have very few side effects from treatments. My oncology team refers to me as "the unicorn". I can't help but feel that I'm going to be around for much longer than anyone expects. 
I've always been a long-term planner, but cancer has prevented me from envisioning more than a week or two in the future. Long-term disability will support me for 2 years, and technically it's enough to live off of, but it's a far cry from my previous pay and I've always enjoyed my work life.
If I really only have less than a year, I'd live it up like there's no tomorrow (because there wouldn't be). If I can overcome the odds and last 2, 5, 10+ years, all of my decisions will be very different. 
What to do?</t>
        </is>
      </c>
      <c r="D4783" t="n">
        <v>16</v>
      </c>
      <c r="E4783" t="n">
        <v>2</v>
      </c>
      <c r="F4783">
        <f>HYPERLINK("https://www.reddit.com/r/cancer/comments/d4izes/how_to_plan_for_the_future/")</f>
        <v/>
      </c>
      <c r="G4783" t="inlineStr">
        <is>
          <t>2019-09-15 03:53:21</t>
        </is>
      </c>
      <c r="H4783" t="inlineStr"/>
    </row>
    <row r="4784">
      <c r="A4784" t="inlineStr">
        <is>
          <t>d4jijz</t>
        </is>
      </c>
      <c r="B4784" t="inlineStr">
        <is>
          <t>5 years after Testicular IIIB, I've an enlarged node with no markers</t>
        </is>
      </c>
      <c r="C4784" t="inlineStr">
        <is>
          <t>I was diagnosed with Testicular Cancer IIIB back in 2013, had a lot of surgery, got through it.
Back in March this year they told me they found an enlarged node in my groin, 11mm but no tumor markers.
They sent me to a surgeon to perform an RPLND to remove most of the nodes in my groin. He decided not to go ahead because it was, in his opinion, too small to do anything now, and its position beside the femoral artery made him wary of king anything before chemo, if it was necessary. I have to wait another month for more CT results before we move forward.
The wait is awful. I've no idea what might be happening. Has anyone else had an experience like this? It's</t>
        </is>
      </c>
      <c r="D4784" t="n">
        <v>5</v>
      </c>
      <c r="E4784" t="n">
        <v>3</v>
      </c>
      <c r="F4784">
        <f>HYPERLINK("https://www.reddit.com/r/cancer/comments/d4jijz/5_years_after_testicular_iiib_ive_an_enlarged/")</f>
        <v/>
      </c>
      <c r="G4784" t="inlineStr">
        <is>
          <t>2019-09-15 04:57:52</t>
        </is>
      </c>
      <c r="H4784" t="inlineStr"/>
    </row>
    <row r="4785">
      <c r="A4785" t="inlineStr">
        <is>
          <t>d4k0e8</t>
        </is>
      </c>
      <c r="B4785" t="inlineStr">
        <is>
          <t>My best friend just told me she has appendix cancer</t>
        </is>
      </c>
      <c r="C4785" t="inlineStr">
        <is>
          <t>She found out two days ago. They’re doing more tests to determine the stage. And will be removing a large part of her colon.
I told her I will be there for her and that she can ask me for anything. We talked about it for a while, then I could tell that she wanted to take her mind off of it so I just chatted and joked about other stuff and tried to make her feel normal.
Obviously waiting for all of these tests and appointments to find out more information must be agonizing.
What else can I do or say to support her through this right now?</t>
        </is>
      </c>
      <c r="D4785" t="n">
        <v>5</v>
      </c>
      <c r="E4785" t="n">
        <v>5</v>
      </c>
      <c r="F4785">
        <f>HYPERLINK("https://www.reddit.com/r/cancer/comments/d4k0e8/my_best_friend_just_told_me_she_has_appendix/")</f>
        <v/>
      </c>
      <c r="G4785" t="inlineStr">
        <is>
          <t>2019-09-15 05:48:30</t>
        </is>
      </c>
      <c r="H4785" t="inlineStr"/>
    </row>
    <row r="4786">
      <c r="A4786" t="inlineStr">
        <is>
          <t>d4k6x2</t>
        </is>
      </c>
      <c r="B4786" t="inlineStr">
        <is>
          <t>We are losing hopes</t>
        </is>
      </c>
      <c r="C4786" t="inlineStr">
        <is>
          <t>It is the 4th time cancer recured in my father's mouth. Every time during treatment we think it's over but it comes again. Why is this disease not leaving us. It has made our lives hell.</t>
        </is>
      </c>
      <c r="D4786" t="n">
        <v>7</v>
      </c>
      <c r="E4786" t="n">
        <v>1</v>
      </c>
      <c r="F4786">
        <f>HYPERLINK("https://www.reddit.com/r/cancer/comments/d4k6x2/we_are_losing_hopes/")</f>
        <v/>
      </c>
      <c r="G4786" t="inlineStr">
        <is>
          <t>2019-09-15 06:05:45</t>
        </is>
      </c>
      <c r="H4786" t="inlineStr"/>
    </row>
    <row r="4787">
      <c r="A4787" t="inlineStr">
        <is>
          <t>d4mdgz</t>
        </is>
      </c>
      <c r="B4787" t="inlineStr">
        <is>
          <t>Reducing Working Hours - Father with Cancer</t>
        </is>
      </c>
      <c r="C4787" t="inlineStr">
        <is>
          <t>Hi All,
&amp;amp;#x200B;
Hope you are all well / doing better!
&amp;amp;#x200B;
My Father has Stage IV Colonic Cancer with Metastatis to the Liver \[Lungs?\]. We knew about the Colon and the Liver cancers, however he has started persistently coughing frequently so a PET scan has been arranged to determine if it has spread to the Lungs.
&amp;amp;#x200B;
We have been told by the MDT team that his cancer is aggressive in nature. I am starting to fear the worst that it may be a matter of months rather than years.
&amp;amp;#x200B;
I am preparing for this outcome and would be interested to know if any of you whom are close to someone whom did not have much time left went into a flexible working arrangement with your employers so you could spend more time with your loved ones before they passed?
&amp;amp;#x200B;
My plan is to move from a 5-day working week to a 4-day working week, spending the extra day with my Father. My work are great so hopefully this wont be an issue. Even if it was I wouldn't be turning up on that day!
&amp;amp;#x200B;
Have any of you gone into such an arrangement? How did it go? Was it the right call?
&amp;amp;#x200B;
Many thanks all!</t>
        </is>
      </c>
      <c r="D4787" t="n">
        <v>2</v>
      </c>
      <c r="E4787" t="n">
        <v>3</v>
      </c>
      <c r="F4787">
        <f>HYPERLINK("https://www.reddit.com/r/cancer/comments/d4mdgz/reducing_working_hours_father_with_cancer/")</f>
        <v/>
      </c>
      <c r="G4787" t="inlineStr">
        <is>
          <t>2019-09-15 09:02:21</t>
        </is>
      </c>
      <c r="H4787" t="inlineStr"/>
    </row>
    <row r="4788">
      <c r="A4788" t="inlineStr">
        <is>
          <t>d4ol0v</t>
        </is>
      </c>
      <c r="B4788" t="inlineStr">
        <is>
          <t>Dad losing himself</t>
        </is>
      </c>
      <c r="C4788" t="inlineStr">
        <is>
          <t>My dad was diagnosed with liver cancer maybe 4 years ago. Funny, he hadn’t drank or smoked since he was 18. He’s 60 now, been on hospice for 2 years. He tried to fight it but his age, health, diabetes and hepatitis, it was a death sentence. 
Before he got sick he was the strongest man i knew. He was like Superman to me. Kids admire cops or firefighters or something, but i wanted to be like my dad. He’s from Mexico and started working at 8, laying brick. He came to America to start a family. He did. Worked in construction all of his life in the Texas heat. He’d come home dripping in sweat, looked like he went swimming but he was always smiling. We were broke so sometimes he couldn’t afford to eat. He was hungry but still worked without complainants. Most of my family has mental issues. He didn’t. He was calm and logical. When everyone was crazy, he was the voice of reason. Especially with me. I’m a fucking train wreck of emotion man. Suicidal, an addict, self harming, all that. He helped me. Motivated me to be like him. A fighter. 
Lately with him closer to death, he’s different. He’s not head strong. Sometimes he’s just plain illogical. Almost reacting like a child, crying sometimes uncontrollably. It’s sucks seeing your hero die and seeing his personality die with him. I’m a piece of shit and react by being distant and numb. It’s like if he would of died in a car crash he would of died as him but cancer’s a bitch. It breaks you down. He didn’t deserve this. He was a good man. He did his best always and was handed the worst. I’ve made mistakes with the way I’ve treated him. I feel terrible. It’s just all bad all the time. I’m usually high or drunk because I don’t want to face this. Face him. I know I’m reacting wrong, but this situation is wrong too. I wanna be right but I hate seeing him throw tantrums. He was always who I looked to for strength and guidance. Who do I look to now? I wish i could trade places with him, he would of stayed as who we was and I would of died happy.</t>
        </is>
      </c>
      <c r="D4788" t="n">
        <v>1</v>
      </c>
      <c r="E4788" t="n">
        <v>0</v>
      </c>
      <c r="F4788">
        <f>HYPERLINK("https://www.reddit.com/r/cancer/comments/d4ol0v/dad_losing_himself/")</f>
        <v/>
      </c>
      <c r="G4788" t="inlineStr">
        <is>
          <t>2019-09-15 11:43:05</t>
        </is>
      </c>
      <c r="H4788" t="inlineStr"/>
    </row>
    <row r="4789">
      <c r="A4789" t="inlineStr">
        <is>
          <t>d4oqjw</t>
        </is>
      </c>
      <c r="B4789" t="inlineStr">
        <is>
          <t>Psilocybin</t>
        </is>
      </c>
      <c r="C4789" t="inlineStr">
        <is>
          <t>I am currently reading How to Change Your Mind by Michael Pollan  and it goes into how they would treat terminal cancer patients with psilocybin (shrooms) alongside therapy for help with anxiety related to death.
(Micro doses, not enough to leave reality)
Has anyone tried/have thoughts about this?</t>
        </is>
      </c>
      <c r="D4789" t="n">
        <v>40</v>
      </c>
      <c r="E4789" t="n">
        <v>25</v>
      </c>
      <c r="F4789">
        <f>HYPERLINK("https://www.reddit.com/r/cancer/comments/d4oqjw/psilocybin/")</f>
        <v/>
      </c>
      <c r="G4789" t="inlineStr">
        <is>
          <t>2019-09-15 11:54:02</t>
        </is>
      </c>
      <c r="H4789" t="inlineStr"/>
    </row>
    <row r="4790">
      <c r="A4790" t="inlineStr">
        <is>
          <t>d4ouul</t>
        </is>
      </c>
      <c r="B4790" t="inlineStr">
        <is>
          <t>Can breast cancer spread / go terminal after operation?</t>
        </is>
      </c>
      <c r="C4790" t="inlineStr">
        <is>
          <t>Someone close has been diagnosed with breast cancer and is currently getting treatment for it, they've had an operation for breast removal and are starting chemo in a couple weeks but I was wondering is it possible for breast cancer to spread and become terminal? I haven't asked them incase it worries or upsets them and that causes issues for them during treatment. Hope someone can answer.</t>
        </is>
      </c>
      <c r="D4790" t="n">
        <v>6</v>
      </c>
      <c r="E4790" t="n">
        <v>10</v>
      </c>
      <c r="F4790">
        <f>HYPERLINK("https://www.reddit.com/r/cancer/comments/d4ouul/can_breast_cancer_spread_go_terminal_after/")</f>
        <v/>
      </c>
      <c r="G4790" t="inlineStr">
        <is>
          <t>2019-09-15 12:03:16</t>
        </is>
      </c>
      <c r="H4790" t="inlineStr"/>
    </row>
    <row r="4791">
      <c r="A4791" t="inlineStr">
        <is>
          <t>d4rf4x</t>
        </is>
      </c>
      <c r="B4791" t="inlineStr">
        <is>
          <t>What do you do knowing your parent is going to die?</t>
        </is>
      </c>
      <c r="C4791" t="inlineStr">
        <is>
          <t>I’m sorry if this is a little scrambled. My brain is all over the place and I’m trying to figure out how to feel. Tomorrow we find out how much time my dad has. I don’t think it’s long. Metastatic bladder cancer. I’m not really sure what to do with myself and with him to make the most of this time. I’m 26, he’s 65 — his birthday is one week from today. How do you prepare for this?</t>
        </is>
      </c>
      <c r="D4791" t="n">
        <v>21</v>
      </c>
      <c r="E4791" t="n">
        <v>22</v>
      </c>
      <c r="F4791">
        <f>HYPERLINK("https://www.reddit.com/r/cancer/comments/d4rf4x/what_do_you_do_knowing_your_parent_is_going_to_die/")</f>
        <v/>
      </c>
      <c r="G4791" t="inlineStr">
        <is>
          <t>2019-09-15 15:08:18</t>
        </is>
      </c>
      <c r="H4791" t="inlineStr"/>
    </row>
    <row r="4792">
      <c r="A4792" t="inlineStr">
        <is>
          <t>d4sein</t>
        </is>
      </c>
      <c r="B4792" t="inlineStr">
        <is>
          <t>My father is having a surgery this Tuesday</t>
        </is>
      </c>
      <c r="C4792" t="inlineStr">
        <is>
          <t>Hi!  
I posted here before, every time I post here it makes me feel a little bit better about the current situation. I am a 21 year old female and my father who is 57 years old got diagnosed with gastric cancer this March stage 3, however literally when he was about to prepare for surgery and so they did some tests on him etc they found out that his cancer spread to his esophagus. I am speechless...scanners didn't pick up anything til now, also what's worse I live in a 3rd world country and our technology and ways of treating cancer are a bit outdated, for example we don't have lasers here still while other countries in Europe use it. So after they found out about esophagus the surgeon decided to take the whole stomach out and half of the esophagus out, I am currently very scared especially because here in my country medicine is outdated and I am scared that he might die during surgery or he might get clostridia which is very common here because we don't have any kind of regulation for that (my neighbor died for it after his cancer surgery and it's making me scared even more) The surgery will be very long it will go on for like a whole day, does anyone here has had a similar surgery or had a loved one have it? I am very stressed.
Also if everything goes well we decided to continue his treatment in Germany since medicine there compared to here is like night and day.</t>
        </is>
      </c>
      <c r="D4792" t="n">
        <v>2</v>
      </c>
      <c r="E4792" t="n">
        <v>2</v>
      </c>
      <c r="F4792">
        <f>HYPERLINK("https://www.reddit.com/r/cancer/comments/d4sein/my_father_is_having_a_surgery_this_tuesday/")</f>
        <v/>
      </c>
      <c r="G4792" t="inlineStr">
        <is>
          <t>2019-09-15 16:26:42</t>
        </is>
      </c>
      <c r="H4792" t="inlineStr"/>
    </row>
    <row r="4793">
      <c r="A4793" t="inlineStr">
        <is>
          <t>d4t2wh</t>
        </is>
      </c>
      <c r="B4793" t="inlineStr">
        <is>
          <t>Where to find surgery volume data per hospital?</t>
        </is>
      </c>
      <c r="C4793" t="inlineStr">
        <is>
          <t>My understanding is that the number of surgeries performed for a given hospital is the best indicator of surgery success. I'm looking for data on the number of certain types of surgeries performed for different hospitals. In particular I'm looking pancreatic surgeries. Does anyone know where I can find this information?</t>
        </is>
      </c>
      <c r="D4793" t="n">
        <v>5</v>
      </c>
      <c r="E4793" t="n">
        <v>4</v>
      </c>
      <c r="F4793">
        <f>HYPERLINK("https://www.reddit.com/r/cancer/comments/d4t2wh/where_to_find_surgery_volume_data_per_hospital/")</f>
        <v/>
      </c>
      <c r="G4793" t="inlineStr">
        <is>
          <t>2019-09-15 17:25:30</t>
        </is>
      </c>
      <c r="H4793" t="inlineStr"/>
    </row>
    <row r="4794">
      <c r="A4794" t="inlineStr">
        <is>
          <t>d4tlwy</t>
        </is>
      </c>
      <c r="B4794" t="inlineStr">
        <is>
          <t>It's all become so real</t>
        </is>
      </c>
      <c r="C4794" t="inlineStr">
        <is>
          <t>I have been a lurker here for several months now, not sure if I have anything to contribute. Last November I attended the A&amp;amp;E with what I thought was a kidney stone. It turn out it was a 13cm Tumor on my left kidney. I had keyhole surgury to have it removed, and after an emergency spleenectomy (as a side affect of my surgury), I was advised that the kidney surgury was too late, and the cancer had moved into my lymphnode and I had 2 large lesions on my lung.
As kidney (renel/clear cell carsonoma) does not respond well to Chemo, I was put on a targeted treatment course of Sutent. 1 a day for 2 weeks and then a week off. I have to go to Oncology at the start of each cycle to get blood tests, but could take the tablets myself. I know it sounds selfish, but I felt lucky that I did not have to endure the enfusions that others in the day ward were there for.
I've done 4 cycles with the tablets, and apart from a little nausia, bloating and diaria, my side effects were minimal. I started to feel like the cancer was just something I would have to live with, and maybe even convinced myself that it wasn't going to be too bad.
Then Thursday happened. On my daily walk with my brother, I got dizzy, then my eyes crossed, then I woke up in an ambulance. I went to A&amp;amp;E and they ran a CT scan of my head, where they have found a growth in my frontal lobe. I've been in the wards since then, waiting for an MRI to get a clearer picture.
This has messed me up. The doctors tell me if the lesions have spread to my brain, some things are going to change. They will need to take me off the Sutent, and put me on a course of radiation, and most likely an IV immunotherapy course. They have given me no detail of what this course would be, so I have no idea what to expect.
I'm lost. I have been keeping myself so positive. This was not going to beat me, and I still want to believe that, but I'm floundering. I don't know what to think. If the seizures continue, I will have to give up driving, which will destroy my independance, and this immunotherapy may further limited ability to keep some semblince of a normal life.
I know this is probably not the place for this, but I feel I can't tell anyone in my support circle, as they are constantly pushing me to be positive (which was not an issue up until now). I am hoping that venting here will mean that someone who understands what I'm feeling can see the words.
It's become so real over the last few days, and I'm not sure how to cope. It doesn't help that they put me in a pallitive care ward, so most of my companions are at the further end of this horrible disease, which if making it harder to move back to a positive attitude.
I'm sorry for the rant, and thanks to anyone who has read these words. Knowing that there is someone out in the world who knows my true feeling helps me feel a little better. I just hope it will help me back to the path of positivity</t>
        </is>
      </c>
      <c r="D4794" t="n">
        <v>58</v>
      </c>
      <c r="E4794" t="n">
        <v>13</v>
      </c>
      <c r="F4794">
        <f>HYPERLINK("https://www.reddit.com/r/cancer/comments/d4tlwy/its_all_become_so_real/")</f>
        <v/>
      </c>
      <c r="G4794" t="inlineStr">
        <is>
          <t>2019-09-15 18:12:04</t>
        </is>
      </c>
      <c r="H4794" t="inlineStr"/>
    </row>
    <row r="4795">
      <c r="A4795" t="inlineStr">
        <is>
          <t>d4uag2</t>
        </is>
      </c>
      <c r="B4795" t="inlineStr">
        <is>
          <t>Hello, a relative just got diagnosed with breast cancer and I'm not sure what to expect.</t>
        </is>
      </c>
      <c r="C4795" t="inlineStr">
        <is>
          <t>We're in different countries, so, we haven't had the chance to discuss survival and treatment in depth. Her brother sent us a copy of the medical report, and I don't know how to read it.   
I'll summarize the main terms mentioned here:  
Clinical Data: Excision biopsy. Breast mass was hard in consistency with skin dimpling during the excision. Friable with necrotic portions. Neoplasm.  
Diagnosis: Breast, excision biopsy specimen. Histologic type: Invasive mucinous carcinoma. Histologic grade: Nottingham's grade I (score 4/9). Tubular formation 1/3, Anaplasia 2/3, Mitosis 1/3. Insitu ductal carcinoma component: not seen. Tumor size: received in pieces. Lymphovascular invasion by tumor: absent. Perineural invasion: absent. Tumoural necrosis: absent. Microcalcification: not seen. Margins: tumor received in pieces, but margins appear to be involved by carcinoma.  
Now, I know it's not right to come to Reddit for medical advice, but - keeping in mind all of the above - what could we expect in terms of survival? Also, does this sound treatable? Thank you for reading.</t>
        </is>
      </c>
      <c r="D4795" t="n">
        <v>1</v>
      </c>
      <c r="E4795" t="n">
        <v>2</v>
      </c>
      <c r="F4795">
        <f>HYPERLINK("https://www.reddit.com/r/cancer/comments/d4uag2/hello_a_relative_just_got_diagnosed_with_breast/")</f>
        <v/>
      </c>
      <c r="G4795" t="inlineStr">
        <is>
          <t>2019-09-15 19:11:27</t>
        </is>
      </c>
      <c r="H4795" t="inlineStr"/>
    </row>
    <row r="4796">
      <c r="A4796" t="inlineStr">
        <is>
          <t>d4ue6h</t>
        </is>
      </c>
      <c r="B4796" t="inlineStr">
        <is>
          <t>Starting Interferon injections this week.</t>
        </is>
      </c>
      <c r="C4796" t="inlineStr">
        <is>
          <t>New here.. Im 23 weeks pregnant, and recently diagnosed with Chronic Myelogenous Leukemia. Really great timing, I know. I was wondering if anyone who has also been on interferon could give me advice. My oncologist says symptoms are like the flu, but just how bad? I also have a 1 year old and am feeling terribly guilty about the possibility of not being able to give him the attention he deserves. In addition to worrying about the health of my little one still baking.</t>
        </is>
      </c>
      <c r="D4796" t="n">
        <v>3</v>
      </c>
      <c r="E4796" t="n">
        <v>1</v>
      </c>
      <c r="F4796">
        <f>HYPERLINK("https://www.reddit.com/r/cancer/comments/d4ue6h/starting_interferon_injections_this_week/")</f>
        <v/>
      </c>
      <c r="G4796" t="inlineStr">
        <is>
          <t>2019-09-15 19:20:31</t>
        </is>
      </c>
      <c r="H4796" t="inlineStr"/>
    </row>
    <row r="4797">
      <c r="A4797" t="inlineStr">
        <is>
          <t>d4v0ao</t>
        </is>
      </c>
      <c r="B4797" t="inlineStr">
        <is>
          <t>First Time Chemo</t>
        </is>
      </c>
      <c r="C4797" t="inlineStr">
        <is>
          <t>So on Monday I meet with my oncologist to sign the consent forms, and then on Tuesday I go to chemo for the first time -- the FOLFIRINOX protocol ( bloodwork, benadryl/anti nausea/steroids stuff, two hours of med A, two hours of med B, 15 minutes of med C and then hooked up with a pump of med C for two days. Roughly -- I haven't asked what my exact protocol will look like yet, as I very much have been fast tracked through this process, but I was basically told to show up at 8 and expect to be there all day ).   
I've done an iron infusion once before, but is there anything that you wish that you'd asked your doctor or nurse before your first chemo? Is there anything that you wish you'd brought with you that you didn't think about until later? I can find very little information on this infusion clinic, but when I spoke to the scheduling nurse the implications was that it was fairly bare-bones ( for example, when I asked about food, she said that they literally had graham crackers and sometimes goldfish, and that was it, so if I wanted anything to eat during the full day I'd be there I would need to bring it myself ).   
They claim that there is Wi-Fi, and I have a small travel extension cord / power strip in case getting a chair near an outlet is a challenge ( it was at the iron infusion place ). I have a extra-soft fuzzy blanket, kindle, computer, and two pairs of headphones ( one that give better sound, one that's squishy enough that you can sleep with them in but not as great sound quality ). I have warm socks, and a large water bottle, and one of those small hand-held battery massaging things, as well as various hard candy to suck on. A friend is coming this first time, and if they let me I'll set up a schedule for other friends to come join me for lunch each time, but...   
Is there anything I'm missing?  
( Confession : Yeah, I'm a little nervous. Mostly about the day after, and how badly I'm going to react ).</t>
        </is>
      </c>
      <c r="D4797" t="n">
        <v>21</v>
      </c>
      <c r="E4797" t="n">
        <v>33</v>
      </c>
      <c r="F4797">
        <f>HYPERLINK("https://www.reddit.com/r/cancer/comments/d4v0ao/first_time_chemo/")</f>
        <v/>
      </c>
      <c r="G4797" t="inlineStr">
        <is>
          <t>2019-09-15 20:17:31</t>
        </is>
      </c>
      <c r="H4797" t="inlineStr"/>
    </row>
    <row r="4798">
      <c r="A4798" t="inlineStr">
        <is>
          <t>d4v1fw</t>
        </is>
      </c>
      <c r="B4798" t="inlineStr">
        <is>
          <t>Lung Cancer Hospice</t>
        </is>
      </c>
      <c r="C4798" t="inlineStr">
        <is>
          <t>We are nearing the end of my mother life. I think it would be cool to have a friend to speak to that had gone through/is going through losing a mother to lung cancer. Figured here would be the best place to look. If this resonates w/ u please shoot me a message</t>
        </is>
      </c>
      <c r="D4798" t="n">
        <v>5</v>
      </c>
      <c r="E4798" t="n">
        <v>2</v>
      </c>
      <c r="F4798">
        <f>HYPERLINK("https://www.reddit.com/r/cancer/comments/d4v1fw/lung_cancer_hospice/")</f>
        <v/>
      </c>
      <c r="G4798" t="inlineStr">
        <is>
          <t>2019-09-15 20:20:30</t>
        </is>
      </c>
      <c r="H4798" t="inlineStr"/>
    </row>
    <row r="4799">
      <c r="A4799" t="inlineStr">
        <is>
          <t>d4v5p4</t>
        </is>
      </c>
      <c r="B4799" t="inlineStr">
        <is>
          <t>I'm confused &amp;amp; nervous</t>
        </is>
      </c>
      <c r="C4799" t="inlineStr">
        <is>
          <t>I'm sorry if this isn't the right place to post this but here it goes:
Tl;dr my father was diagnosed with stage 4 melanoma in 2012. He's in remission but within this past month he's been having awful symptoms and I think the cancer may have come back.
&amp;amp;#x200B;
To preface, I've been confused about his diagnosis from the start. 
My dad was diagnosed with stage 4 melanoma even though he said it hadn't spread to his lymphnodes or other organs. The mass removed during the second surgery was huge, I don't mean to be dramatic but it truly was; 7 in. horizontally from just under his left ear to a bit more than half way across the back of his neck, 3.5 in. vertically, and probably 1-2 in. deep at some points. His medical team said it's considered stage 4 simply because of the size of the mass removed but from everything I read that would be considered stage 3 since it hadn't spread to lymphnodes or other organs. Again, this was years ago and I was about to graduate high school and had a lot on my mind so I didn't think of asking any questions. I just wanted to help my dad through all the surgeries, radiation, and immunotherapy while he was going into recovery. My first question is, is that kind of diagnosis usual? As far as size of the tumor being the dominant factor in staging. To my understanding it's the growth of the cancer into other areas of the body not typically the size but I'm not a doctor so I could be wrong.
&amp;amp;#x200B;
On to my main point and my need to vent to anyone who will listen.
My father is an old school kind of guy. He doesn't accept being sick or taking the time to recuperate no matter what it is. After any surgeries he's had, he never took pain meds or anything because "he didn't need them". Which is fair since he truly may not have needed them but to be honest I've heard hemorrhoids are pretty painful, getting wisdom teeth removed sucks, and his first cancer surgery didn't look like a walk in the park either. No pain meds for any of that. 
The second surgery for the cancer hit both of us the hardest. He's a BIG, Scotch-Irish man. I'm talking 6'2" at 240 lbs. He was a firefighter and a surveyor and although he'd never been fat or obese he was/is definitely overweight at times. Imagine Santa Claus and his big red cheeks and you'd have a good picture as to what my dad's skin tone looked like. After the surgery, his face was completely gaunt, white, and terrifying. He lost 60-70 lbs throughout treatment and was extremely skinny especially in comparison to what I was used to seeing. He barely ate anything and even refused any of the high calorie smoothies/drinks we made or bought and he was completely exhausted and irritable. Quite frankly he just looked like death and it scared me to no end throughout that time.
It was difficult to get him into treatment to begin with. However, after 2 surgeries and radiation coupled with immunotherapy, he's been in remission since 2013. Unfortunately, the past couple years he's been having intense joint pain and fatigue which has only gotten worse. This past month he finally went to a doctor because he chalked it up to getting Lyme disease. A couple panels came back positive for Lyme but not all. He's been on antibiotics for a while and other meds for high blood pressure and high glucose levels but still says he feels like shit and can't get up in the morning or even do anything throughout the day and he's saying he has no appetite at all and has lost a lot of weight. He was even recently prescribed medical cannabis. Although in his state, it's incredibly difficult to get a card so I don't understand how he could've gotten it. We don't live together anymore but we used to talk every week or two. We barely talk now except for when I initiate conversations. He never wants to talk about how he's feeling or his health. I get it, I truly do since that's always been his personality. It's just incredibly difficult. He's said before that if he gets cancer again he doesn't want any treatment and that it'll be his time to go. I fully respect that and am even a large proponent for voluntary euthanasia which is unfortunately illegal in his state but recently legal in mine. A piece of me will die when he does as I'm an only child and we've always been extremely close. I'm so worried. I would just like to know what I'm dealing with and would like to have everything in its proper place before anything like that ever happens.
&amp;amp;#x200B;
All in all, I feel like he's keeping something from me. I think the cancer is coming or has come back. Maybe his ailments are due to the meds, worsening diabetes or high blood pressure or Lyme disease. I know those are a multitude of different factors but still, there's something telling me in my gut that something's wrong. I can't shake it. His WBC is so high it's out of this world. He seems sad whenever I call him and he got really upset when during one of our calls I learned I have to get surgery for pre-melanoma. He fucking apologized and said, "Sorry kiddo, you'll get that cancer from me". I felt awful. I told him it's not his fault and there's no way that he could've caused anything like that on purpose and not to worry. 
&amp;amp;#x200B;
Sorry for the rant, I just really needed to get that off my chest. I'm going crazy worrying even though I know I probably can't do anything. More importantly, I'd like other opinions. Not only to get out of my own head but for some true clarity and pragmatism. I'm sorry if this was all over the place but thanks for reading.</t>
        </is>
      </c>
      <c r="D4799" t="n">
        <v>6</v>
      </c>
      <c r="E4799" t="n">
        <v>5</v>
      </c>
      <c r="F4799">
        <f>HYPERLINK("https://www.reddit.com/r/cancer/comments/d4v5p4/im_confused_nervous/")</f>
        <v/>
      </c>
      <c r="G4799" t="inlineStr">
        <is>
          <t>2019-09-15 20:31:50</t>
        </is>
      </c>
      <c r="H4799" t="inlineStr"/>
    </row>
    <row r="4800">
      <c r="A4800" t="inlineStr">
        <is>
          <t>d4ve5p</t>
        </is>
      </c>
      <c r="B4800" t="inlineStr">
        <is>
          <t>What's the best gift to give someone with cancer?</t>
        </is>
      </c>
      <c r="C4800" t="inlineStr">
        <is>
          <t>I dont know if this is the best place to throw this question out. If not please point me in the right direction... 
I have a friend who has been battling cancer for many months. His treatment has really worn him down over the last month or so. His birthday's  coming up and I was wondering what I might be able to give him to lift his spirits a bit. I'd love to hear input from people who have given a gift that they felt was impactful or from people who have battled cancer who have received a gift that they appreciated. Thanks for taking to time read &amp;amp; respond!</t>
        </is>
      </c>
      <c r="D4800" t="n">
        <v>1</v>
      </c>
      <c r="E4800" t="n">
        <v>15</v>
      </c>
      <c r="F4800">
        <f>HYPERLINK("https://www.reddit.com/r/cancer/comments/d4ve5p/whats_the_best_gift_to_give_someone_with_cancer/")</f>
        <v/>
      </c>
      <c r="G4800" t="inlineStr">
        <is>
          <t>2019-09-15 20:54:38</t>
        </is>
      </c>
      <c r="H4800" t="inlineStr"/>
    </row>
    <row r="4801">
      <c r="A4801" t="inlineStr">
        <is>
          <t>d4xb85</t>
        </is>
      </c>
      <c r="B4801" t="inlineStr">
        <is>
          <t>YAAAAAAY</t>
        </is>
      </c>
      <c r="C4801" t="inlineStr">
        <is>
          <t>I'm feeling so happy right now! I was able to stop taking my meds today. (Asked my doctor and he said I don't need them anymore.) Next Monday i'll get my appointment for a CT scan. 
Another step back to normality.</t>
        </is>
      </c>
      <c r="D4801" t="n">
        <v>78</v>
      </c>
      <c r="E4801" t="n">
        <v>13</v>
      </c>
      <c r="F4801">
        <f>HYPERLINK("https://www.reddit.com/r/cancer/comments/d4xb85/yaaaaaay/")</f>
        <v/>
      </c>
      <c r="G4801" t="inlineStr">
        <is>
          <t>2019-09-16 00:26:03</t>
        </is>
      </c>
      <c r="H4801" t="inlineStr"/>
    </row>
    <row r="4802">
      <c r="A4802" t="inlineStr">
        <is>
          <t>d50joy</t>
        </is>
      </c>
      <c r="B4802" t="inlineStr">
        <is>
          <t>Question about sanitary conditions and chemo</t>
        </is>
      </c>
      <c r="C4802" t="inlineStr">
        <is>
          <t>Hi r/cancer community. Really glad and sad this sub exists simultaneously. 
A friend of mine (male in his 50's) was diagnosed with bladder cancer. Prognosis is shitty however he isn't going down without a fight and decided to do chemo. I went to see him last Tuesday after his first round of chemo the day before. Haven't been over to his place in a few years but from previous visits I was expecting somewhat of a messy place. When I walked in the door I was floored by what I saw. It was the mess I was expecting on steroids. The house was declining before but is now run down due to working a full time job before cancer struck, pets, etc. There is literally stuff everywhere! 
&amp;amp;#x200B;
Before anyone asks, No, not a hoarder.
&amp;amp;#x200B;
Anyways, I'm wondering how "dangerous" is it for someone who is undergoing chemotherapy treatment to be living with their surroundings likes this? I'm not that familiar with what kind of precautions chemo patients need to be aware of if there are any. I'm sorry if I sound ignorant but I guess I am. Any info I can gain knowledge on would be great. And any advice on how to go about helping him out in this area without making him feel bad.
&amp;amp;#x200B;
Thanks in advance!</t>
        </is>
      </c>
      <c r="D4802" t="n">
        <v>7</v>
      </c>
      <c r="E4802" t="n">
        <v>9</v>
      </c>
      <c r="F4802">
        <f>HYPERLINK("https://www.reddit.com/r/cancer/comments/d50joy/question_about_sanitary_conditions_and_chemo/")</f>
        <v/>
      </c>
      <c r="G4802" t="inlineStr">
        <is>
          <t>2019-09-16 06:18:13</t>
        </is>
      </c>
      <c r="H4802" t="inlineStr"/>
    </row>
    <row r="4803">
      <c r="A4803" t="inlineStr">
        <is>
          <t>d55s2n</t>
        </is>
      </c>
      <c r="B4803" t="inlineStr">
        <is>
          <t>This is life i guess..</t>
        </is>
      </c>
      <c r="C4803" t="inlineStr">
        <is>
          <t>Im 29 years old/young.. For the last 5 years ive been having problems with pressure in my head, broken teeths, zits that i never had before, numb in arms, stomach ache, fevers and so on. I have also a loving family.. i love my uncled and my nephews love me and the other way around. 
I have had a great life-experience for my age. So my question is.. Cuz im not afraid of death and ive come to embracr the idea.
Do you all think i should tell them how it is for me now and do a ”zat-scan” (dont know the correct term for brain-cancer).
So ppl of reddit.. Should i be the type thhst ruins theire reality or should i ruin mine cuz im feeling selfish?</t>
        </is>
      </c>
      <c r="D4803" t="n">
        <v>0</v>
      </c>
      <c r="E4803" t="n">
        <v>4</v>
      </c>
      <c r="F4803">
        <f>HYPERLINK("https://www.reddit.com/r/cancer/comments/d55s2n/this_is_life_i_guess/")</f>
        <v/>
      </c>
      <c r="G4803" t="inlineStr">
        <is>
          <t>2019-09-16 13:03:31</t>
        </is>
      </c>
      <c r="H4803" t="inlineStr"/>
    </row>
    <row r="4804">
      <c r="A4804" t="inlineStr">
        <is>
          <t>d55xw2</t>
        </is>
      </c>
      <c r="B4804" t="inlineStr">
        <is>
          <t>One year in remission! PET scan came back unremarkable. Considering taking my port out.</t>
        </is>
      </c>
      <c r="C4804" t="inlineStr">
        <is>
          <t>Good news is always welcome, right? Heard from the hospital today that my follow-up PET scan from last week came back unremarkable. No activity they were particularly concerned about. There's still a 6x3cm mass in my chest, but everyone thinks it's scar tissue (after mediastinal seminoma).  
This month marks one year since I finished chemo and went into remission. One year is good. One year is something I'm alright being happy about. It's a win!
I'm kind of financially wrecked, and this last year has been such a whirlwind or weirdness, but overall I'm happy I'm alive and in relatively good health. 
I have a question for the sub though: How long did you keep your port in after treatment? My previous oncologist recommended 2 years. I moved to a new city and established care here, which is why I got the PET scan last week, but the 2-year-mark seems to be shared. 
Currently, I'm on 80% financial assistance from the new hospital and will be for the next 6 months (after which I'll have to reapply). Also, open enrollment for health insurance opens November 1st, and I think insurance is kind of a must right now. I need to call the only provider in my state though to ask if insurance will be limited due to cancer/a pre-existing condition. So, right now it's a timing consideration. Do I get the port out after only a year since it might be extremely manageable from a financial standpoint? Do I wait another year and risk not getting assistance from the hospital? Insurance is an absolute must, right? Do I wait until November/I have an insurance plan to get the port out?
Any advice is greatly appreciated!</t>
        </is>
      </c>
      <c r="D4804" t="n">
        <v>9</v>
      </c>
      <c r="E4804" t="n">
        <v>3</v>
      </c>
      <c r="F4804">
        <f>HYPERLINK("https://www.reddit.com/r/cancer/comments/d55xw2/one_year_in_remission_pet_scan_came_back/")</f>
        <v/>
      </c>
      <c r="G4804" t="inlineStr">
        <is>
          <t>2019-09-16 13:13:56</t>
        </is>
      </c>
      <c r="H4804" t="inlineStr"/>
    </row>
    <row r="4805">
      <c r="A4805" t="inlineStr">
        <is>
          <t>d562qy</t>
        </is>
      </c>
      <c r="B4805" t="inlineStr">
        <is>
          <t>So worried about relapsing</t>
        </is>
      </c>
      <c r="C4805" t="inlineStr">
        <is>
          <t>I'm 4 years in remission from leukemia and I'm so worried about relapsing. I'm tired lately but I'm in exam year and most people are tired. Just worried cuz I have a 3 faded bruises on my leg where I'm nts how I got them. I've lost a bit of weight too..  Is this normal to worry??</t>
        </is>
      </c>
      <c r="D4805" t="n">
        <v>5</v>
      </c>
      <c r="E4805" t="n">
        <v>4</v>
      </c>
      <c r="F4805">
        <f>HYPERLINK("https://www.reddit.com/r/cancer/comments/d562qy/so_worried_about_relapsing/")</f>
        <v/>
      </c>
      <c r="G4805" t="inlineStr">
        <is>
          <t>2019-09-16 13:23:24</t>
        </is>
      </c>
      <c r="H4805" t="inlineStr"/>
    </row>
    <row r="4806">
      <c r="A4806" t="inlineStr">
        <is>
          <t>d56pnq</t>
        </is>
      </c>
      <c r="B4806" t="inlineStr">
        <is>
          <t>How long did it take you to feel "normal" after chemo?</t>
        </is>
      </c>
      <c r="C4806" t="inlineStr">
        <is>
          <t>I just finished dose dense AC-T for breast cancer two weeks ago. I am still feeling a lot of my side effects (non-stop hot flashes, fatigue, digestive issues) and was wondering when people generally start feeling better after chemo? Also, when did your hair start growing back? What have your experiences been like? I know my body has been through a lot and I don't expect to feel better immediately am just wondering realistically what I might expect the next few months.</t>
        </is>
      </c>
      <c r="D4806" t="n">
        <v>1</v>
      </c>
      <c r="E4806" t="n">
        <v>0</v>
      </c>
      <c r="F4806">
        <f>HYPERLINK("https://www.reddit.com/r/cancer/comments/d56pnq/how_long_did_it_take_you_to_feel_normal_after/")</f>
        <v/>
      </c>
      <c r="G4806" t="inlineStr">
        <is>
          <t>2019-09-16 14:09:24</t>
        </is>
      </c>
      <c r="H4806" t="inlineStr"/>
    </row>
    <row r="4807">
      <c r="A4807" t="inlineStr">
        <is>
          <t>d596hk</t>
        </is>
      </c>
      <c r="B4807" t="inlineStr">
        <is>
          <t>How my friend died of Neuroblastoma</t>
        </is>
      </c>
      <c r="C4807" t="inlineStr">
        <is>
          <t>My friend, named Sarah, was friends with me since I was a baby, she was 4 years old and she had “Neuroblastoma” Neuroblastoma is a cancer for babies between 1-5 Sarah was one of them. We couldn’t afford chemotherapy, so we had to be cheap so we can get the money we want, but as her 5th birthday, things changed. Her symptoms get more stronger, and she’s starting to feel weaker, we tried the best we could, but... in her 6th birthday, when I was 2 years old, she got really weak, she couldn’t even walk anymore, her head was bald, she felt like she was ready.. as her parents held her hand and cried she said a favor. “Play happy birthday on my funeral, I love you Mommy and Daddy for taking care of me, especially this... I. Love. You” and she collapsed. She died on her birthday, I gave her a few slaps to wake her up, because I am a baby, nothing happened yet, she was my bestest friend. I loved her too. But she’s apperantly gone, and now looking back, I still wonder what’s up at the very sky when it’s my time to come... waiting for Sarah.
Happy Birthday. To. You.....</t>
        </is>
      </c>
      <c r="D4807" t="n">
        <v>0</v>
      </c>
      <c r="E4807" t="n">
        <v>3</v>
      </c>
      <c r="F4807">
        <f>HYPERLINK("https://www.reddit.com/r/cancer/comments/d596hk/how_my_friend_died_of_neuroblastoma/")</f>
        <v/>
      </c>
      <c r="G4807" t="inlineStr">
        <is>
          <t>2019-09-16 17:18:33</t>
        </is>
      </c>
      <c r="H4807" t="inlineStr"/>
    </row>
    <row r="4808">
      <c r="A4808" t="inlineStr">
        <is>
          <t>d59ex1</t>
        </is>
      </c>
      <c r="B4808" t="inlineStr">
        <is>
          <t>Oophorectomy</t>
        </is>
      </c>
      <c r="C4808" t="inlineStr">
        <is>
          <t>Women who had their ovaries and fallopian tubes removed after estrogen positive  breast cancer, how did you feel? How much time off work did you take? I finished treatments back in April and have been back to work (office job) Doctor wants to now remove my ovaries. Not sure how long I should take off. Age 40. Doctors say 6-8 weeks but I think I won’t need that long.</t>
        </is>
      </c>
      <c r="D4808" t="n">
        <v>0</v>
      </c>
      <c r="E4808" t="n">
        <v>5</v>
      </c>
      <c r="F4808">
        <f>HYPERLINK("https://www.reddit.com/r/cancer/comments/d59ex1/oophorectomy/")</f>
        <v/>
      </c>
      <c r="G4808" t="inlineStr">
        <is>
          <t>2019-09-16 17:38:05</t>
        </is>
      </c>
      <c r="H4808" t="inlineStr"/>
    </row>
    <row r="4809">
      <c r="A4809" t="inlineStr">
        <is>
          <t>d5aegm</t>
        </is>
      </c>
      <c r="B4809" t="inlineStr">
        <is>
          <t>Hair loss and maintenance</t>
        </is>
      </c>
      <c r="C4809" t="inlineStr">
        <is>
          <t>I'm 16 years old and was diagnosed with Leukemia back in February of 2018. I've been in maintenance since September-October. Now I didn't lose all my hair( it just got thinner) but I still lost some of it and had some decent thinning on the crown of my head. I've wanted to know if the hair loss or hair damage still continues on through maintenance. I take mercaptopurine daily, as well as a dose of vincristine and intrathecal methotrexate every two months. Will my hair continue to get thinner until I finish maintenance or can hair grow healthy even during chemotherapy (although not near as agressive as before)? And do any of any you have any tips on caring for hair during chemotherapy.</t>
        </is>
      </c>
      <c r="D4809" t="n">
        <v>4</v>
      </c>
      <c r="E4809" t="n">
        <v>3</v>
      </c>
      <c r="F4809">
        <f>HYPERLINK("https://www.reddit.com/r/cancer/comments/d5aegm/hair_loss_and_maintenance/")</f>
        <v/>
      </c>
      <c r="G4809" t="inlineStr">
        <is>
          <t>2019-09-16 19:00:33</t>
        </is>
      </c>
      <c r="H4809" t="inlineStr"/>
    </row>
    <row r="4810">
      <c r="A4810" t="inlineStr">
        <is>
          <t>d5aphv</t>
        </is>
      </c>
      <c r="B4810" t="inlineStr">
        <is>
          <t>a few questions (GBM)</t>
        </is>
      </c>
      <c r="C4810" t="inlineStr">
        <is>
          <t>hello first time posting here! i have a few questions, but first let me give some back story. 
MIL (57) diagnosed with glioblastoma in july. it’s a butterfly tumor in the frontal lobe of her brain and not operable. at first she was very much not ok, since then, she had done radiation, chemo pills (temodar), and dexamethasone. she can now have a conversation with you and is coherent and not as confused. she still has memory issues, weak, tired, but all in all not super sick. still eating great etc. 
last week her breathing was bad, i brought it up to her dr and long story short-she had double pneumonia and was hospitalized for five days. she is home now, still very weak and tired and breathing isn’t what it used to be (which scares me) 
she is done with radiation and chemo for 4 weeks (as of now, we have a follow up app and MRI first week of oct) and they started her steroid taper today. she agreed to start optune which will begin after her appointment i believe, so my questions are:
what is life like after treatment? does strength/memory increase or decrease? 
experiences with optune? 
experiences with GBM? 
this is all new to me and the family, just looking for any info on what possibly to expect with this.</t>
        </is>
      </c>
      <c r="D4810" t="n">
        <v>1</v>
      </c>
      <c r="E4810" t="n">
        <v>1</v>
      </c>
      <c r="F4810">
        <f>HYPERLINK("https://www.reddit.com/r/cancer/comments/d5aphv/a_few_questions_gbm/")</f>
        <v/>
      </c>
      <c r="G4810" t="inlineStr">
        <is>
          <t>2019-09-16 19:26:57</t>
        </is>
      </c>
      <c r="H4810" t="inlineStr"/>
    </row>
    <row r="4811">
      <c r="A4811" t="inlineStr">
        <is>
          <t>d5bger</t>
        </is>
      </c>
      <c r="B4811" t="inlineStr">
        <is>
          <t>I’m beginning to come to terms with the fact I won’t have a mom much longer, and am afraid of what’s to come.</t>
        </is>
      </c>
      <c r="C4811" t="inlineStr">
        <is>
          <t>We got the news about three months ago, and it never hit me like it should’ve. Today it all came in and I’m coming to terms with everything.
It’s been a long day for me, earlier today I was at a viewing for a former member of my fire company, I stood honor guard, and that experience shook me and made me realize that she won’t be around forever. I’ve seen hospice patients who are husks, barely verbal and need assistance with almost everything, and I know that day might come for her. I’m not afraid of the responsibility of caring for her, but how she’ll cope with this. She’s a former runner, she would do marathons, triathlons, you name it.
I’m coming to terms with the fact that she may never see her grandchildren, or see them go to school. She always wanted to be a grandmother, even before her first pop up of cancer in 2015. To see this woman I’ve known all my life to be a fighter slowly lose her strength over time will be heart wrenching, and I’ve never thought of it this much since coming back from the viewing. 
I don’t know why I’m even writing this, there’s no point to it, and it’s terribly written. I’m tired and I need sleep. I guess I just want help coping with what’s to come, like everyone else here. This isn’t new to me but I’m still lost here.</t>
        </is>
      </c>
      <c r="D4811" t="n">
        <v>11</v>
      </c>
      <c r="E4811" t="n">
        <v>5</v>
      </c>
      <c r="F4811">
        <f>HYPERLINK("https://www.reddit.com/r/cancer/comments/d5bger/im_beginning_to_come_to_terms_with_the_fact_i/")</f>
        <v/>
      </c>
      <c r="G4811" t="inlineStr">
        <is>
          <t>2019-09-16 20:35:06</t>
        </is>
      </c>
      <c r="H4811" t="inlineStr"/>
    </row>
    <row r="4812">
      <c r="A4812" t="inlineStr">
        <is>
          <t>d5bvpl</t>
        </is>
      </c>
      <c r="B4812" t="inlineStr">
        <is>
          <t>Doing chemo this week actually now, 6am time to get up according to my betapred</t>
        </is>
      </c>
      <c r="C4812" t="inlineStr">
        <is>
          <t>Cortisone wants me up early not much can be done about that so I guess it time to get out of bed and have some more cortisone and other medicines 
I feel for you all, you guys posts here get me very emotional, crossing my fingers for everyone having this fucking disease 
Fuck cancer</t>
        </is>
      </c>
      <c r="D4812" t="n">
        <v>9</v>
      </c>
      <c r="E4812" t="n">
        <v>2</v>
      </c>
      <c r="F4812">
        <f>HYPERLINK("https://www.reddit.com/r/cancer/comments/d5bvpl/doing_chemo_this_week_actually_now_6am_time_to/")</f>
        <v/>
      </c>
      <c r="G4812" t="inlineStr">
        <is>
          <t>2019-09-16 21:17:21</t>
        </is>
      </c>
      <c r="H4812" t="inlineStr"/>
    </row>
    <row r="4813">
      <c r="A4813" t="inlineStr">
        <is>
          <t>d5bz19</t>
        </is>
      </c>
      <c r="B4813" t="inlineStr">
        <is>
          <t>Mother passed away from Lung Cancer today.</t>
        </is>
      </c>
      <c r="C4813" t="inlineStr">
        <is>
          <t>My mom had been struggling these past few days. I spent a lot of my time trying to make sure she was comfortable. Giving her meds hourly and communicating with hospice about how to deal with the hard parts like anxiety attacks, catheters, and getting her to take her meds. Eventually I was able to make her comfortable and I laid with her today while she was knocked out from the metastasis in her brain and a cocktail of really strong medicine, and I told her that I loved her and she didn’t have to hang on anymore and then she passed just seconds later. I’m sad. It’s weird seeing all of her stuff here but she isn’t. It’s weird knowing that this is final. It’s tough but I’ll have to make it. Hopefully she knows how sorry I am and how much I love her. I’m just glad she’s no longer suffering.</t>
        </is>
      </c>
      <c r="D4813" t="n">
        <v>76</v>
      </c>
      <c r="E4813" t="n">
        <v>19</v>
      </c>
      <c r="F4813">
        <f>HYPERLINK("https://www.reddit.com/r/cancer/comments/d5bz19/mother_passed_away_from_lung_cancer_today/")</f>
        <v/>
      </c>
      <c r="G4813" t="inlineStr">
        <is>
          <t>2019-09-16 21:27:13</t>
        </is>
      </c>
      <c r="H4813" t="inlineStr"/>
    </row>
    <row r="4814">
      <c r="A4814" t="inlineStr">
        <is>
          <t>d5c5jm</t>
        </is>
      </c>
      <c r="B4814" t="inlineStr">
        <is>
          <t>Breast cancer reconstruction</t>
        </is>
      </c>
      <c r="C4814" t="inlineStr">
        <is>
          <t>Hi, so I was diagnosed with breast cancer on my left breast.  I was in my late 30’s.  No family history, no gene mutation.  It was 4 inches malignant HER +, grade 3, growth rate of 70%.  I thought I’d dye....what a nightmare all of that and then the chemo.  Okay over 2 years cancer free now working on reconstruction.  My left breast got expander then permanent implant.  Now trying to line up my right breast.  Lift and reduction.  So I am three weeks out and now I have a breast infection on the breast that got the lift.  I was at the doctor today and my surgery site opened up and fluid gushed all over at the doctor’s office.  Has anyone had this happen?  I was super scared.  It kept gushing and I had to keep getting napkins and gauze, I changed them out like 4 times.</t>
        </is>
      </c>
      <c r="D4814" t="n">
        <v>1</v>
      </c>
      <c r="E4814" t="n">
        <v>1</v>
      </c>
      <c r="F4814">
        <f>HYPERLINK("https://www.reddit.com/r/cancer/comments/d5c5jm/breast_cancer_reconstruction/")</f>
        <v/>
      </c>
      <c r="G4814" t="inlineStr">
        <is>
          <t>2019-09-16 21:47:08</t>
        </is>
      </c>
      <c r="H4814" t="inlineStr"/>
    </row>
    <row r="4815">
      <c r="A4815" t="inlineStr">
        <is>
          <t>d5d5f6</t>
        </is>
      </c>
      <c r="B4815" t="inlineStr">
        <is>
          <t>Radiation (Cyberknife vs. whole brain) or no treatment for asymptomatic brain metastases?</t>
        </is>
      </c>
      <c r="C4815" t="inlineStr">
        <is>
          <t>My mom (54F, Chinese, 172cm, 65kg, non-smoker with no previous health issues) has Stage IV lung cancer with 2 brain metastases &amp;lt; 2cm. She stopped chemo after three rounds as her brain and lung tumors had grown. She’s now being signed up for a trial targeted drug (TAK-788) for people with Exon-20 mutations, but the doctor has recommended treating her brain before entering the trial.
She now has the choice between Cyberknife/SRS radiation, which isn’t covered by insurance, or WBRT, which is. If we were to wait to get approval from insurance about SRS, it would delay the process by 4-5 weeks and she may lose her spot in the trial. Should we pay for Cyberknife or do WBRT, or just enter the trial without doing any treatment as she’s asymptomatic?</t>
        </is>
      </c>
      <c r="D4815" t="n">
        <v>2</v>
      </c>
      <c r="E4815" t="n">
        <v>1</v>
      </c>
      <c r="F4815">
        <f>HYPERLINK("https://www.reddit.com/r/cancer/comments/d5d5f6/radiation_cyberknife_vs_whole_brain_or_no/")</f>
        <v/>
      </c>
      <c r="G4815" t="inlineStr">
        <is>
          <t>2019-09-16 23:39:09</t>
        </is>
      </c>
      <c r="H4815" t="inlineStr"/>
    </row>
    <row r="4816">
      <c r="A4816" t="inlineStr">
        <is>
          <t>d5dze3</t>
        </is>
      </c>
      <c r="B4816" t="inlineStr">
        <is>
          <t>How to help</t>
        </is>
      </c>
      <c r="C4816" t="inlineStr">
        <is>
          <t>Hi everyone,
I'm so sorry that you're all having to deal with this hateful disease, it's so cruel and you're all so strong for keeping going.
I was wondering if I could possibly ask for a little advice please? Is there anything that people say to you that really winds you up as patients, or anything that would really help you to hear? My husband's best friend has liver cancer and we're trying to help as best we can. Also, is there anything that would really help you to feel better that people might not think of? 
I wish you all, all the best with everything, thank you for your time reading this and any advice would be gratefully received</t>
        </is>
      </c>
      <c r="D4816" t="n">
        <v>8</v>
      </c>
      <c r="E4816" t="n">
        <v>19</v>
      </c>
      <c r="F4816">
        <f>HYPERLINK("https://www.reddit.com/r/cancer/comments/d5dze3/how_to_help/")</f>
        <v/>
      </c>
      <c r="G4816" t="inlineStr">
        <is>
          <t>2019-09-17 01:21:51</t>
        </is>
      </c>
      <c r="H4816" t="inlineStr"/>
    </row>
    <row r="4817">
      <c r="A4817" t="inlineStr">
        <is>
          <t>d5ear6</t>
        </is>
      </c>
      <c r="B4817" t="inlineStr">
        <is>
          <t>Dad will most likely pass away today on my 30th birthday</t>
        </is>
      </c>
      <c r="C4817" t="inlineStr">
        <is>
          <t>He had some complications over the past 3 weeks. His blood pressure dropped dramatically yesterday and we were told he had maybe one or two days left. His condition changed even more throughout the day and will most likely pass today on my 30th.  I am so heartbroken, shocked and in disbelief that this is happening so fast. He was literally talking to me and alert about 17 hours ago. He thought he had more time and didn’t believe me when I told him about his condition. 
Thank you for everything dad...</t>
        </is>
      </c>
      <c r="D4817" t="n">
        <v>30</v>
      </c>
      <c r="E4817" t="n">
        <v>8</v>
      </c>
      <c r="F4817">
        <f>HYPERLINK("https://www.reddit.com/r/cancer/comments/d5ear6/dad_will_most_likely_pass_away_today_on_my_30th/")</f>
        <v/>
      </c>
      <c r="G4817" t="inlineStr">
        <is>
          <t>2019-09-17 02:03:29</t>
        </is>
      </c>
      <c r="H4817" t="inlineStr"/>
    </row>
    <row r="4818">
      <c r="A4818" t="inlineStr">
        <is>
          <t>d5ffto</t>
        </is>
      </c>
      <c r="B4818" t="inlineStr">
        <is>
          <t>Head coverings for chemo?</t>
        </is>
      </c>
      <c r="C4818" t="inlineStr">
        <is>
          <t>I (31f) start chemo on Thursday and I know I will need/want some sort of hat or scarf when I lose my hair, but I am unsure where to look or what to buy (or avoid!). How many should I even get? Do any of you who have gone through this have a style or brand you always reached for while you went through treatment? Any websites or recommendations are appreciated, thanks!</t>
        </is>
      </c>
      <c r="D4818" t="n">
        <v>4</v>
      </c>
      <c r="E4818" t="n">
        <v>28</v>
      </c>
      <c r="F4818">
        <f>HYPERLINK("https://www.reddit.com/r/cancer/comments/d5ffto/head_coverings_for_chemo/")</f>
        <v/>
      </c>
      <c r="G4818" t="inlineStr">
        <is>
          <t>2019-09-17 04:11:43</t>
        </is>
      </c>
      <c r="H4818" t="inlineStr"/>
    </row>
    <row r="4819">
      <c r="A4819" t="inlineStr">
        <is>
          <t>d5jdwd</t>
        </is>
      </c>
      <c r="B4819" t="inlineStr">
        <is>
          <t>Waiting to meet my new Oncologist ten years after beating Stage 4 colon cancer, and trying not to break down.</t>
        </is>
      </c>
      <c r="C4819" t="inlineStr">
        <is>
          <t>Back in 2008 I was diagnosed with Stage 4 colon cancer, which, after chemo, radiation and surgery ( including a colostomy) I was able to beat.
Long and disjointed vent.
This year I’ve lost 40 lbs without trying and have been so n and out of the hospital with various goings on. In June I developed some edema in my feet and ankles. I went to Urgent Care to have it looked at and the Doctor I saw had me admitted to our local Heart Hospital as he felt I was a candidate for a pacemaker. 
Well, that wasn’t necessary, but I showed signs of “floating air” at n my abdominal cavity which a Cardiologist said could be a sign of cancer.
He also told me I should have my Primary Care run a CEA test.
She did two weeks ago and it came back elevated. Not by much, and if I were a smoker it wouldn’t be considered high.
Anyway, she thought I should be handed over to Oncology for follow up.
I know this one lab result isn’t conclusive of anything, but I’m freaking out a little and trying not to break down in tears. Having been thru this before I thought I’d be better prepared.
BTW, I had a colonoscopy in May that was clean, and the cardiologist who suggested the CEA told me “I’d be surprised if you have cancer, we’ve scanned the hell out of you and if you had anything we probably would have seen it.”
Thanks for listening.</t>
        </is>
      </c>
      <c r="D4819" t="n">
        <v>86</v>
      </c>
      <c r="E4819" t="n">
        <v>14</v>
      </c>
      <c r="F4819">
        <f>HYPERLINK("https://www.reddit.com/r/cancer/comments/d5jdwd/waiting_to_meet_my_new_oncologist_ten_years_after/")</f>
        <v/>
      </c>
      <c r="G4819" t="inlineStr">
        <is>
          <t>2019-09-17 09:27:15</t>
        </is>
      </c>
      <c r="H4819" t="inlineStr"/>
    </row>
    <row r="4820">
      <c r="A4820" t="inlineStr">
        <is>
          <t>d5jns4</t>
        </is>
      </c>
      <c r="B4820" t="inlineStr">
        <is>
          <t>How do I tell my friends?</t>
        </is>
      </c>
      <c r="C4820" t="inlineStr">
        <is>
          <t>I (m27) have a tight group of friends. I live slightly out of town so I usually only see them 2-4 days a week, while they are all close by each other. 
I have told my closest friend in the group and a second friend because my closest friend had a mental breakdown over the weekend and I needed him to have someone besides me to talk to about my situation.
It’s hard to get my friends one on one without suspicion. So I’m thinking of bringing it up when everyone is together. That would save me the trouble of having 10 difficult conversations and condense them down into one. 
How did you tell your friends? What would you suggest I do to smooth the conversation over? What will they ask? How do I make this easier on them?</t>
        </is>
      </c>
      <c r="D4820" t="n">
        <v>4</v>
      </c>
      <c r="E4820" t="n">
        <v>4</v>
      </c>
      <c r="F4820">
        <f>HYPERLINK("https://www.reddit.com/r/cancer/comments/d5jns4/how_do_i_tell_my_friends/")</f>
        <v/>
      </c>
      <c r="G4820" t="inlineStr">
        <is>
          <t>2019-09-17 09:47:57</t>
        </is>
      </c>
      <c r="H4820" t="inlineStr"/>
    </row>
    <row r="4821">
      <c r="A4821" t="inlineStr">
        <is>
          <t>d5jo26</t>
        </is>
      </c>
      <c r="B4821" t="inlineStr">
        <is>
          <t>Chemo tips?</t>
        </is>
      </c>
      <c r="C4821" t="inlineStr">
        <is>
          <t>Oh shit, its in the lymph nodes. Looks like i have to do chemo pre-surgery. I’m getting a port so that’ll be exciting. Is it true I’m not sllowed to shower? Should i pre-emptively get a low maintenance pixie cut to keep things cleaner/easier when/if theres hair loss/thinning? Going in for the chemo infodump next week, so I’ll be getting all the important medical info shortly; im looking for lifestyle tips that aren’t part of the doctor’s info I’ll get. 
Also, Tell me a nice thing that happened to you today.</t>
        </is>
      </c>
      <c r="D4821" t="n">
        <v>7</v>
      </c>
      <c r="E4821" t="n">
        <v>18</v>
      </c>
      <c r="F4821">
        <f>HYPERLINK("https://www.reddit.com/r/cancer/comments/d5jo26/chemo_tips/")</f>
        <v/>
      </c>
      <c r="G4821" t="inlineStr">
        <is>
          <t>2019-09-17 09:48:30</t>
        </is>
      </c>
      <c r="H4821" t="inlineStr"/>
    </row>
    <row r="4822">
      <c r="A4822" t="inlineStr">
        <is>
          <t>d5lb7d</t>
        </is>
      </c>
      <c r="B4822" t="inlineStr">
        <is>
          <t>Had a GP appointment, it's not cancer! Don't wait for so long like I did..</t>
        </is>
      </c>
      <c r="C4822" t="inlineStr">
        <is>
          <t>Hi everyone, a bit of a backstory. I had noticed a lump 3 years ago and didn't think much of it, a couple of years later it didn't change size and thought it was probably fat or something, like I read on the internet.
A year ago I noticed a lump in my ball-sack and one on my throat too. This is when I started to worry but I was too scared, I tried ignoring it. A few months ago it has been in my mind every day, checking the size every day.
After being scared I wouldn't see my family again, I got motivated to finally get it checked out, and with some motivation here on the sub I booked my appointment.
I went today and it was great, the guy was nice and wrote down what every lump was. The lumps were diagnosed as: Lipoma, Lymph Node and an Epididoymal Cyst. No scan needed, he felt around everywhere near the areas I told him about just to make sure.
I just wanna say to those out there who are worried, get checked out! The doctor was very nice and knowledgeable. Your lumps might not be cancer, just get checked out and get closure. It's either good or you are gonna get good, doing nothing solves nothing.
Thanks, I'll answer any questions you have :)</t>
        </is>
      </c>
      <c r="D4822" t="n">
        <v>2</v>
      </c>
      <c r="E4822" t="n">
        <v>7</v>
      </c>
      <c r="F4822">
        <f>HYPERLINK("https://www.reddit.com/r/cancer/comments/d5lb7d/had_a_gp_appointment_its_not_cancer_dont_wait_for/")</f>
        <v/>
      </c>
      <c r="G4822" t="inlineStr">
        <is>
          <t>2019-09-17 11:46:57</t>
        </is>
      </c>
      <c r="H4822" t="inlineStr"/>
    </row>
    <row r="4823">
      <c r="A4823" t="inlineStr">
        <is>
          <t>d5lk5e</t>
        </is>
      </c>
      <c r="B4823" t="inlineStr">
        <is>
          <t>It's my last radiation treatment: I love you all</t>
        </is>
      </c>
      <c r="C4823" t="inlineStr">
        <is>
          <t>Sending much love and lots of crazy hugs to everyone here. This is an incredible, heartfelt and at times heartwrenching sub. I don't think there's a better cancer forum on the internet. Thank you all. You've been such a source of support, inspiration, and proof that you can't spread enough love, and receive it as well. I guess I'll always be a member of the shittiest country club in the world, so look for me --I'll be working the smoothie stand.</t>
        </is>
      </c>
      <c r="D4823" t="n">
        <v>21</v>
      </c>
      <c r="E4823" t="n">
        <v>6</v>
      </c>
      <c r="F4823">
        <f>HYPERLINK("https://www.reddit.com/r/cancer/comments/d5lk5e/its_my_last_radiation_treatment_i_love_you_all/")</f>
        <v/>
      </c>
      <c r="G4823" t="inlineStr">
        <is>
          <t>2019-09-17 12:04:32</t>
        </is>
      </c>
      <c r="H4823" t="inlineStr"/>
    </row>
    <row r="4824">
      <c r="A4824" t="inlineStr">
        <is>
          <t>d5lsbh</t>
        </is>
      </c>
      <c r="B4824" t="inlineStr">
        <is>
          <t>Does anyone attend school while undergoing chemo? How did that go for you?</t>
        </is>
      </c>
      <c r="C4824" t="inlineStr">
        <is>
          <t>This seems like a shot in the dark but I'm hoping to hear about the experiences that anyone might have about undergoing treatments (specifically high doses of chemo, since I've already completed a 6-week chemo+radiation treatment regimen) and going to school. I'm almost 22 years old, a male, and attend a public university in Vermont - but I unfortunately had to take a leave of absence this semester; however, I plan on potentially returning this next semester if my chemo treatment isn't too physically taxing. Like I said, I already underwent 6-weeks of radiation and took 130 mg chemo daily; so for the most part I know what I'm in for (exhaustion and a warped appetite, in my case). My oncologists actually said that I've been been tolerating the treatments really well. I know that could change though, since my next treatment regimen is 5-days out of every month on a 300 mg dose (about 2.5x what I was on prior) but I was wondering if anyone else might have a similar experience in regards to going to school while undergoing chemotherapy. Im supposed to be a senior finishing school and instead I'm visiting my girlfriend (who's also a senior) watching her wrap up her degree while I lay in bed waiting for her to get back from class. Life throws ya curveballs, I guess. Anyways, aside from my tangent, has anyone gone to college while undergoing chemo? Im just wondering what other people have done.</t>
        </is>
      </c>
      <c r="D4824" t="n">
        <v>2</v>
      </c>
      <c r="E4824" t="n">
        <v>6</v>
      </c>
      <c r="F4824">
        <f>HYPERLINK("https://www.reddit.com/r/cancer/comments/d5lsbh/does_anyone_attend_school_while_undergoing_chemo/")</f>
        <v/>
      </c>
      <c r="G4824" t="inlineStr">
        <is>
          <t>2019-09-17 12:20:53</t>
        </is>
      </c>
      <c r="H4824" t="inlineStr"/>
    </row>
    <row r="4825">
      <c r="A4825" t="inlineStr">
        <is>
          <t>d5m4mo</t>
        </is>
      </c>
      <c r="B4825" t="inlineStr">
        <is>
          <t>Last Monday we found out my mom has CRC and I feel like I’m losing my mind.</t>
        </is>
      </c>
      <c r="C4825" t="inlineStr">
        <is>
          <t>My mom had been feeling like she was going to have a heart attack for about two months. She had gone to the ER three times before last Monday. The first two times, they told her she was stressed. One doctor told her to go on her upcoming Europe vacation to “get her mind off things”. The third time they told her she had Pericarditis and to follow up with her Primary.  Well, that was a circus and three weeks later I am with her and she can barely sit up right with out feeling like she’s going to pass out. 
I took her to the ER again. They found a mass on her colon and told us she would be going into surgery that night. 
WOW. What?! Okay, they said it should be an in and out non-invasive thing. 
I anxiously waited at home (I have a newly 1 yr old) while my oldest sister and other family waited at the hospital. My mom went in for surgery at 7 and by 10 the were “closing up”. My sister and I were texting the whole time super optimistic that it went to fast and so well! 
Then she called me... the surgeon talked with them. They weren’t able to remove the mass. It was too big and there was fluid? around it? though it was contained. Which is good I guess. Also, it had attached to the top of her stomach. They had to do a colostomy because her colon was blocked. 
The plan then was that she would heal from this surgery and then start chemo. After chemo, they would go in and remove her stomach and the mass and reattach her colon so she could live a normal life. He worded it as “redo the plumbing” 
My family asked what stage it was and he said we wouldn’t know until we get some tests done and the results back. 
They kept her in the hospital to do all the tests so we wouldn’t battle with offices making appointments.  She had an endoscopy and colonoscopy done. They found a smaller mass in her lower colon and were able to take a biopsy of that one. We haven’t received the results of that yet. She also had a PET scan and we are still waiting on the results of that. 
Before she left another surgeon came in and made her feel really hopeful. He said that he is hoping the after chemo, the mass will have shrunk and he can just wedge out the part of her stomach that is infected instead of removing the whole thing. 
I’m glad she’s hopeful and so is my sister. I am too as my mom is a fighter... But I suffer from anxiety and have since I was little. I can’t help but think the worst at times. I hate not knowing what, where, how or how long. Is this going to take her life? Do we have years? Months? Weeks? I know every one person is different but I can’t help wondering these things. I find myself driving and just breaking down. Even if I only cry for a minute. I haven’t shown my mom that obviously, I’ve been with her everyday since. I want to make sure my daughter gets to spend as much time with her as possible. That I get to spend as much time with her as possible. 
Day by day. That’s what my sister and me keep saying. We just have to take it day by day. 
I’m trying my best. I know we all are. 
I’m sorry this is super long. I’m sorry I don’t know the proper terminology yet. I’m sure I will soon. I’m sorry if this is the wrong place for this.</t>
        </is>
      </c>
      <c r="D4825" t="n">
        <v>4</v>
      </c>
      <c r="E4825" t="n">
        <v>4</v>
      </c>
      <c r="F4825">
        <f>HYPERLINK("https://www.reddit.com/r/cancer/comments/d5m4mo/last_monday_we_found_out_my_mom_has_crc_and_i/")</f>
        <v/>
      </c>
      <c r="G4825" t="inlineStr">
        <is>
          <t>2019-09-17 12:46:00</t>
        </is>
      </c>
      <c r="H4825" t="inlineStr"/>
    </row>
    <row r="4826">
      <c r="A4826" t="inlineStr">
        <is>
          <t>d5n5c1</t>
        </is>
      </c>
      <c r="B4826" t="inlineStr">
        <is>
          <t>Still Fighting.</t>
        </is>
      </c>
      <c r="C4826" t="inlineStr">
        <is>
          <t>I've been fighting cancer since 2012. First rectal, then moved to lung, then moved to liver...twice! Have had 3 major surgeries. Have to be on some form of chemo for the rest of my life. Got clean CT scans back this week. So, there's that! Gotta go in for iron infusions the next 2 weeks. Sigh...</t>
        </is>
      </c>
      <c r="D4826" t="n">
        <v>6</v>
      </c>
      <c r="E4826" t="n">
        <v>1</v>
      </c>
      <c r="F4826">
        <f>HYPERLINK("https://www.reddit.com/r/cancer/comments/d5n5c1/still_fighting/")</f>
        <v/>
      </c>
      <c r="G4826" t="inlineStr">
        <is>
          <t>2019-09-17 14:00:19</t>
        </is>
      </c>
      <c r="H4826" t="inlineStr"/>
    </row>
    <row r="4827">
      <c r="A4827" t="inlineStr">
        <is>
          <t>d5npe7</t>
        </is>
      </c>
      <c r="B4827" t="inlineStr">
        <is>
          <t>Worried about my Uncle</t>
        </is>
      </c>
      <c r="C4827" t="inlineStr">
        <is>
          <t>Hey all. In 2015 my uncle was diagnosed with lung cancer - early stages and was successfully removed. While he was in Dublin for surgery, his wife was diagnosed with breast cancer. Sadly we lost her last year. Since the beginning of this year I’ve noticed my uncle getting increasingly thin, unsteady and yellow tones to his skin. 4 weeks ago I had him admitted to ED as he was very dizzy on standing. Long story short, he had a black stool and was told he had orthostatic hypotension. Endoscopy shows mild gastritis. Here’s the thing, his liver function tests were deranged. He had pneumonia on admission which cleared and ended up with a reoccurrence. CT thorax to pelvis shows enlarged lymph nodes, lesion on the liver of unknown significance, some thickening of bowel wall and they want to repeat the chest CT in 3 months due to the concern about previous malignancy. He weighs 57.1kg. Haemoglobin also dropped due to unexplained blood loss. He had 1 unit of blood and a transfusion of iron. Some of my family think he will get better. I’m not so optimistic. Am I right to be concerned??</t>
        </is>
      </c>
      <c r="D4827" t="n">
        <v>1</v>
      </c>
      <c r="E4827" t="n">
        <v>2</v>
      </c>
      <c r="F4827">
        <f>HYPERLINK("https://www.reddit.com/r/cancer/comments/d5npe7/worried_about_my_uncle/")</f>
        <v/>
      </c>
      <c r="G4827" t="inlineStr">
        <is>
          <t>2019-09-17 14:41:10</t>
        </is>
      </c>
      <c r="H4827" t="inlineStr"/>
    </row>
    <row r="4828">
      <c r="A4828" t="inlineStr">
        <is>
          <t>d5oo2s</t>
        </is>
      </c>
      <c r="B4828" t="inlineStr">
        <is>
          <t>I having hard time trying to convince doctors to take my colon cancer fears seriously</t>
        </is>
      </c>
      <c r="C4828" t="inlineStr">
        <is>
          <t>I am 31 year old who has recently been having problems with constipation and lower back pain
It all started 4 weeks ago when I went to the bathroom one morning and discovered that I was having trouble having a bowel movement. I was trying but for some reason barley anything was happening and by time something did happen the stool was a lot smaller the normal. This had gone on for 2 days before I finally decided to get it checked out
My father had passed away from colon cancer so I decided I was not talking any chances. so I went to the DR and they told me that I was just constipation and it should clear up after I take the medicine they had given me.
Not only did that not happen my problem only started to get worse. My stools started to sometime looks ribbon shaped  other times it does not
lower back pain and pain on my left abdomen had me rushing back to the ER and the DR told me that It looks like hemorrhoids but I did not know what hemorrhoids had to do with pain on my left abdomen or the lover back pain I was having
&amp;amp;#x200B;
once again that pain was only getting worse I once again rushed back to he Dr and told them About it
&amp;amp;#x200B;
They ran every test you could think of to rule out every other issue but sadly The test did not find anything and once again I was left with no answers. I finally convinced my DR to test to see if there was any hidden blood in my stool. they told me that the test came back normal and that they not find any blood inside my stool
&amp;amp;#x200B;
yet despite all of the seemingly good news about the blood in my stool test
Im still stilling struggling to have normal bowel movements
My stool is sometime is still ribbon shaped
The lower back pain and left abdomen pain only seems to be getting worse
&amp;amp;#x200B;
It feels like both my age and these so called normal test have worked against me when It comes to getting a referral to  gastroenterologist</t>
        </is>
      </c>
      <c r="D4828" t="n">
        <v>0</v>
      </c>
      <c r="E4828" t="n">
        <v>8</v>
      </c>
      <c r="F4828">
        <f>HYPERLINK("https://www.reddit.com/r/cancer/comments/d5oo2s/i_having_hard_time_trying_to_convince_doctors_to/")</f>
        <v/>
      </c>
      <c r="G4828" t="inlineStr">
        <is>
          <t>2019-09-17 15:54:07</t>
        </is>
      </c>
      <c r="H4828" t="inlineStr"/>
    </row>
    <row r="4829">
      <c r="A4829" t="inlineStr">
        <is>
          <t>d5p39b</t>
        </is>
      </c>
      <c r="B4829" t="inlineStr">
        <is>
          <t>It’s been one year since I found out I had cancer</t>
        </is>
      </c>
      <c r="C4829" t="inlineStr">
        <is>
          <t>A year ago I went to a urologist and they discovered that I had stage 1 bladder cancer. A week later I had a biopsy to have the cancer removed and check-ups have been ok since then. My only fear is that the doctor said bladder cancer is common for men above age 60, are African American or heavy smokers. I’m aware those are just statistics and it can happen to anyone but I’m 32, Caucasian and have never smoked a day in my life and he repeatedly told me that it didn’t make sense for me to get it. Since finding this out last year, I feel like my motivation has gone to down almost nothing because I fear that it’s just going to come back in some form or another. I’ve had older relatives pass away from different forms of cancer in the past and have many friends who have also lost family members from it. I may be ok now, but I feel like it’s just a waiting game. I don’t really know what my intentions were about this post, this is just one of the first places I came after finding out to seek advice from similar people. I didn’t think it would mentally effect me this much but it has</t>
        </is>
      </c>
      <c r="D4829" t="n">
        <v>5</v>
      </c>
      <c r="E4829" t="n">
        <v>4</v>
      </c>
      <c r="F4829">
        <f>HYPERLINK("https://www.reddit.com/r/cancer/comments/d5p39b/its_been_one_year_since_i_found_out_i_had_cancer/")</f>
        <v/>
      </c>
      <c r="G4829" t="inlineStr">
        <is>
          <t>2019-09-17 16:27:32</t>
        </is>
      </c>
      <c r="H4829" t="inlineStr"/>
    </row>
    <row r="4830">
      <c r="A4830" t="inlineStr">
        <is>
          <t>d5pjbe</t>
        </is>
      </c>
      <c r="B4830" t="inlineStr">
        <is>
          <t>Ode to Cancer</t>
        </is>
      </c>
      <c r="C4830" t="inlineStr">
        <is>
          <t>Ode to Cancer.
You snuck into my life just like a thief into the night..
You hit me from behind because this is how you fight..
You thought that I'd be easy like the ones you took before..
As doctors begin to tell me you have got me at stage 4..
But what you failed to realise and what you failed to see.. 
Is that your little plan has backfired
for you have set me free..
I've gathered peace and strength that I'd never felt before..
I've helped fifty people, a hundred, maybe more..
I've found a lot of family that I haven't seen in years..
Reaffirming our bonds with much laughter, memories and tears..
My friends are closer to me than we have ever been..
As I see their light shine through for they're all on my team.. 
I never will forgive you for attacking my loving wife..
Again though your mistake is her amazing strength in life..
You may kill my body 
and mess around with my mind..
But my spirit is untouchable, My heart wil remain kind..
No longer am I tied to mans trivial law..
The only thing Ill fear is the judgement from the lord..
Glen C
Sept 2019</t>
        </is>
      </c>
      <c r="D4830" t="n">
        <v>40</v>
      </c>
      <c r="E4830" t="n">
        <v>6</v>
      </c>
      <c r="F4830">
        <f>HYPERLINK("https://www.reddit.com/r/cancer/comments/d5pjbe/ode_to_cancer/")</f>
        <v/>
      </c>
      <c r="G4830" t="inlineStr">
        <is>
          <t>2019-09-17 17:03:12</t>
        </is>
      </c>
      <c r="H4830" t="inlineStr"/>
    </row>
    <row r="4831">
      <c r="A4831" t="inlineStr">
        <is>
          <t>d5rg9d</t>
        </is>
      </c>
      <c r="B4831" t="inlineStr">
        <is>
          <t>Finished chemo today</t>
        </is>
      </c>
      <c r="C4831" t="inlineStr">
        <is>
          <t>Today I completed my 6th dose of cisplatin!!</t>
        </is>
      </c>
      <c r="D4831" t="n">
        <v>88</v>
      </c>
      <c r="E4831" t="n">
        <v>19</v>
      </c>
      <c r="F4831">
        <f>HYPERLINK("https://www.reddit.com/r/cancer/comments/d5rg9d/finished_chemo_today/")</f>
        <v/>
      </c>
      <c r="G4831" t="inlineStr">
        <is>
          <t>2019-09-17 19:40:57</t>
        </is>
      </c>
      <c r="H4831" t="inlineStr"/>
    </row>
    <row r="4832">
      <c r="A4832" t="inlineStr">
        <is>
          <t>d5rzck</t>
        </is>
      </c>
      <c r="B4832" t="inlineStr">
        <is>
          <t>Makeup/gift help for my mom!</t>
        </is>
      </c>
      <c r="C4832" t="inlineStr">
        <is>
          <t>Hi everyone!!  Please remove if this type of post isn't allowed.
My mom is currently going through treatment for breast cancer, prognosis is overall good and she had been really positive until recently. She stopped chemo a few weeks ago and is only doing targeted treatments and radiation. Her morale has been pretty low because of her hair loss and not feeling as well as she thought she would now that chemo is done.  She's also getting paranoid about the cancer coming back. My mother is an incredible person - she took care of my grandfather for years with his cancer, only to get cancer herself a few months after he finally passed away.  I want to send her a nice gift to cheer her up because I'm in college and too far to visit home.
SO, I was hoping anyone could help me out with their own experience of "glowy" makeup or products that may have helped them feel more confident.  She already uses eyeshadow in her brows and that powder to cover up some of her hair loss.  She has medium skin with neutral undertones, blue eyes, and brown-blonde hair (think mixed latina). She does not wear much makeup, however. She uses a few creams and a couple clinique eyeshadows and blue eyeliner.
I'm looking for suggestions for:
* Lightweight CC creams or powders
* Blushes
* Highlighters
Anything that you all have used that is easy to use, okay for sensitive skin, and that won't come out too strong on her skin so she isn't overwhelmed.  I'm scared to buy her something that might hurt her or that she can't use.
If you have any other ideas for gifts that maybe I'm not thinking of that would be so helpful as well.  She's gotten most of the traditional care package stuff (weighed blankets, slippers, etc).  Is there anything that you got that was particularly helpful?
Thank you so much for taking the time to read through and I really appreciate your advice!</t>
        </is>
      </c>
      <c r="D4832" t="n">
        <v>2</v>
      </c>
      <c r="E4832" t="n">
        <v>3</v>
      </c>
      <c r="F4832">
        <f>HYPERLINK("https://www.reddit.com/r/cancer/comments/d5rzck/makeupgift_help_for_my_mom/")</f>
        <v/>
      </c>
      <c r="G4832" t="inlineStr">
        <is>
          <t>2019-09-17 20:28:45</t>
        </is>
      </c>
      <c r="H4832" t="inlineStr"/>
    </row>
    <row r="4833">
      <c r="A4833" t="inlineStr">
        <is>
          <t>d5sou2</t>
        </is>
      </c>
      <c r="B4833" t="inlineStr">
        <is>
          <t>Endoscopy help!</t>
        </is>
      </c>
      <c r="C4833" t="inlineStr">
        <is>
          <t>Has anyone had a missed cancer on endoscopy? Stomach cancer to be specific, I had one done yesterday and want to hear about stories. After I woke  up I was still drugged up so I don’t remember much.</t>
        </is>
      </c>
      <c r="D4833" t="n">
        <v>2</v>
      </c>
      <c r="E4833" t="n">
        <v>3</v>
      </c>
      <c r="F4833">
        <f>HYPERLINK("https://www.reddit.com/r/cancer/comments/d5sou2/endoscopy_help/")</f>
        <v/>
      </c>
      <c r="G4833" t="inlineStr">
        <is>
          <t>2019-09-17 21:36:35</t>
        </is>
      </c>
      <c r="H4833" t="inlineStr"/>
    </row>
    <row r="4834">
      <c r="A4834" t="inlineStr">
        <is>
          <t>d5supq</t>
        </is>
      </c>
      <c r="B4834" t="inlineStr">
        <is>
          <t>Dad just diagnosed with Glioblastoma</t>
        </is>
      </c>
      <c r="C4834" t="inlineStr">
        <is>
          <t>Hi there, 
Two weeks ago doctors discovered two tumours in my 64 year old dad's brain. One week later he had a craniotomy that was able to remove one of those tumours, 24 hours later he was discharged from hospital and on discharged we were told he has glioblastoma and he needs one month to heal before starting chemo/radiation and that the cancer society will contact us. 
On week later and literally that is all the information we have other than the research we have done on our own. I had to sit my dad down and explain the diagnosis to him. It has been an absolutely devastating time. And even worse is aside from being run down from the anti seizure medications and recovering from surgery, he is totally himself, his symptoms are minimal (tingling in hands, minimal short term memory loss and thats about all we notice right now).
 With the research I've been doing I've noticed a lot of great clinical trials happening in the USA but we live in Canada and I can't find much here. He doesn't want to bankrupt us getting trial treatments in the USA. 
Any fellow Canadians in this sub that can offer any advice?? Or any words of encouragement or any advice would be greatly welcomed!</t>
        </is>
      </c>
      <c r="D4834" t="n">
        <v>3</v>
      </c>
      <c r="E4834" t="n">
        <v>9</v>
      </c>
      <c r="F4834">
        <f>HYPERLINK("https://www.reddit.com/r/cancer/comments/d5supq/dad_just_diagnosed_with_glioblastoma/")</f>
        <v/>
      </c>
      <c r="G4834" t="inlineStr">
        <is>
          <t>2019-09-17 21:53:40</t>
        </is>
      </c>
      <c r="H4834" t="inlineStr"/>
    </row>
    <row r="4835">
      <c r="A4835" t="inlineStr">
        <is>
          <t>d5sxjq</t>
        </is>
      </c>
      <c r="B4835" t="inlineStr">
        <is>
          <t>How to support/ help boyfriend(26m)with his dads( 60m )cancer treatment</t>
        </is>
      </c>
      <c r="C4835" t="inlineStr">
        <is>
          <t>I was just wondering if there is anything specific/general  that I can do to comfort my boyfriend through this difficult time . His father has been diagnosed with stage 4 cancer and has just finished his surgeries and is being discharged soon. When the topic came up that his father now has a colostomy bag he got very weird about it when I said I can show you what it looks like then he proceeded to say He really didn’t want to see it ( I’m a student nurse in oncology  ) so I’m familiar with them. Anyways I feel that his behaviour is becoming more avoidant of the topic of cancer . He’s visiting his family this week ( I was supposed to go and his family wanted me there but the logistics just didn’t work out sadly) and I’m just not sure what I can do to support him if he’s avoiding having these talks about his father. 
Thanks for your help !</t>
        </is>
      </c>
      <c r="D4835" t="n">
        <v>2</v>
      </c>
      <c r="E4835" t="n">
        <v>9</v>
      </c>
      <c r="F4835">
        <f>HYPERLINK("https://www.reddit.com/r/cancer/comments/d5sxjq/how_to_support_help_boyfriend26mwith_his_dads_60m/")</f>
        <v/>
      </c>
      <c r="G4835" t="inlineStr">
        <is>
          <t>2019-09-17 22:02:08</t>
        </is>
      </c>
      <c r="H4835" t="inlineStr"/>
    </row>
    <row r="4836">
      <c r="A4836" t="inlineStr">
        <is>
          <t>d5uqft</t>
        </is>
      </c>
      <c r="B4836" t="inlineStr">
        <is>
          <t>Has anyone here ever watched the 2014 film "The Cure?"</t>
        </is>
      </c>
      <c r="C4836" t="inlineStr">
        <is>
          <t>It's a thriller starring starring Antonia Prebble and Daniel Lissing.
It's about discovering a cure for cancer.
What'd you think if you watched it?</t>
        </is>
      </c>
      <c r="D4836" t="n">
        <v>5</v>
      </c>
      <c r="E4836" t="n">
        <v>0</v>
      </c>
      <c r="F4836">
        <f>HYPERLINK("https://www.reddit.com/r/cancer/comments/d5uqft/has_anyone_here_ever_watched_the_2014_film_the/")</f>
        <v/>
      </c>
      <c r="G4836" t="inlineStr">
        <is>
          <t>2019-09-18 01:26:25</t>
        </is>
      </c>
      <c r="H4836" t="inlineStr"/>
    </row>
    <row r="4837">
      <c r="A4837" t="inlineStr">
        <is>
          <t>d5ur59</t>
        </is>
      </c>
      <c r="B4837" t="inlineStr">
        <is>
          <t>Help. My dad has a biopsy and I feel worried sick</t>
        </is>
      </c>
      <c r="C4837" t="inlineStr">
        <is>
          <t>Hello, I’m 21 M and my dad has a biopsy coming up as they’ve spotted a lump under the skin beneath his arm. They’ve said it’s good that he’s not showing any symptoms and that the lump hasn’t changed size in the 6 months he’s had it. They’ve also said that the lump could just be fatty tissue or there because of his rheumatoid arthritis. But I’m worried sick and I don’t know what to do. Please help me, I really don’t know what to do or how to feel</t>
        </is>
      </c>
      <c r="D4837" t="n">
        <v>1</v>
      </c>
      <c r="E4837" t="n">
        <v>3</v>
      </c>
      <c r="F4837">
        <f>HYPERLINK("https://www.reddit.com/r/cancer/comments/d5ur59/help_my_dad_has_a_biopsy_and_i_feel_worried_sick/")</f>
        <v/>
      </c>
      <c r="G4837" t="inlineStr">
        <is>
          <t>2019-09-18 01:29:01</t>
        </is>
      </c>
      <c r="H4837" t="inlineStr"/>
    </row>
    <row r="4838">
      <c r="A4838" t="inlineStr">
        <is>
          <t>d5wckw</t>
        </is>
      </c>
      <c r="B4838" t="inlineStr">
        <is>
          <t>Cure Your Cancerous Condition With Homeopathy In Early Stage</t>
        </is>
      </c>
      <c r="C4838" t="inlineStr">
        <is>
          <t xml:space="preserve"> Everyone when listens to “Cancer” only death and chemotherapy sessions strikes in their mind. Cancer is a dreadful disease which could be characterized as an unusual increase in the abnormal body cells which becomes uncontrollable and start occurring at a higher pace. These could spread to other body organs if not controlled on right timeHowever, with the advancement of treatments and medicines, the early stage of this dreadful condition can be cured with proper homoeopathic medicines. You must visit the [**best homoeopathic**](https://www.homoeopathicspecialist.com/)[ **doctor in Gurgaon**](https://www.homoeopathicspecialist.com/) for treating your early-stage cancer condition.</t>
        </is>
      </c>
      <c r="D4838" t="n">
        <v>0</v>
      </c>
      <c r="E4838" t="n">
        <v>0</v>
      </c>
      <c r="F4838">
        <f>HYPERLINK("https://www.reddit.com/r/cancer/comments/d5wckw/cure_your_cancerous_condition_with_homeopathy_in/")</f>
        <v/>
      </c>
      <c r="G4838" t="inlineStr">
        <is>
          <t>2019-09-18 04:27:02</t>
        </is>
      </c>
      <c r="H4838" t="inlineStr"/>
    </row>
    <row r="4839">
      <c r="A4839" t="inlineStr">
        <is>
          <t>d5ws4l</t>
        </is>
      </c>
      <c r="B4839" t="inlineStr">
        <is>
          <t>Dad's results in today......</t>
        </is>
      </c>
      <c r="C4839" t="inlineStr">
        <is>
          <t>Back in January I received a call from a urologist about my dad. I was listed as an emergency contact for him. Turns out last April he had an elevated PSA, but decided against telling anyone in the family and decided to forego any further testing to figure out what was going on. They reached out to me as a last resort to hopefully persuade my dad to move forward. I approached my dad, and as you can imagine, he was furious about the phone call.
Fast forward to three weeks ago, my dad ended up in the ER with incredible back pain and vomiting. At the ER they performed a variety of tests and immediately referred him to see an oncologist the next day. He agreed. 
We were advised that the initial test pointed to metastatic prostate cancer which has caused a compression fracture in his L1 and L2. He had a needle biopsy and several CT scans to rule out lung, Thyroid, and multiple myloma. We ended up at the ER again yesterday because he cannot keep his pain under control.
We get the results at 9:30. I’ve been staring at this day on my calendar for three weeks and have so much anxiety my phone is shaking in my hand right now. I just want to stay strong for him during the appointment and not break down. Most importantly I just want him to get some relief and some hopeful news. Please keep us in your thoughts. Thank you</t>
        </is>
      </c>
      <c r="D4839" t="n">
        <v>12</v>
      </c>
      <c r="E4839" t="n">
        <v>5</v>
      </c>
      <c r="F4839">
        <f>HYPERLINK("https://www.reddit.com/r/cancer/comments/d5ws4l/dads_results_in_today/")</f>
        <v/>
      </c>
      <c r="G4839" t="inlineStr">
        <is>
          <t>2019-09-18 05:06:00</t>
        </is>
      </c>
      <c r="H4839" t="inlineStr"/>
    </row>
    <row r="4840">
      <c r="A4840" t="inlineStr">
        <is>
          <t>d5y5zk</t>
        </is>
      </c>
      <c r="B4840" t="inlineStr">
        <is>
          <t>A really confusing time</t>
        </is>
      </c>
      <c r="C4840" t="inlineStr">
        <is>
          <t>I’ve been in remission for about 3 months now, i have a girlfriend,i got accepted into trinity, life’s looking good.... or at least it should.
Ever since i got into remission i just feel very unmotivated, i just feel very... bored i guess nothing is really fun anymore nothing is actually interestingi feel like having cancer made me not worry about tomorrow, i know this is really weird to say and honestly im not the type of person to write this kind of shit but im desperate i really don’t know how to feel but i don’t know where to go with my life from here, i snapped at one of my friends for asking me if i was feeling alright and telling me i seem off.
Im really embarrassed about this and i know i seem ungrateful because alot of people don’t get another chance and i did and im just gonna sit here and complain about it? 
It’s also worth mentioning i am bipolar but this doesn’t feel like that and I’ve been on my meds. 
Has anyone ever felt this way? Does this go away on it’s own? What do i do?</t>
        </is>
      </c>
      <c r="D4840" t="n">
        <v>15</v>
      </c>
      <c r="E4840" t="n">
        <v>2</v>
      </c>
      <c r="F4840">
        <f>HYPERLINK("https://www.reddit.com/r/cancer/comments/d5y5zk/a_really_confusing_time/")</f>
        <v/>
      </c>
      <c r="G4840" t="inlineStr">
        <is>
          <t>2019-09-18 06:57:13</t>
        </is>
      </c>
      <c r="H4840" t="inlineStr"/>
    </row>
    <row r="4841">
      <c r="A4841" t="inlineStr">
        <is>
          <t>d5zcbs</t>
        </is>
      </c>
      <c r="B4841" t="inlineStr">
        <is>
          <t>Recently diagnosed w/ polycythemia vera</t>
        </is>
      </c>
      <c r="C4841" t="inlineStr">
        <is>
          <t xml:space="preserve"> I’m male, 62 y/o. I was a power lifter, runner, and mountain biker and was in fairly good shape. I was in the hospital Jul 2-3 this year for what was initially thought to be CHF, congestive heart failure. I have not been able to breathe, I wake up at night gasping and feeling like I'm suffocating. Not to mention sweating all the time, day or night. I've been swollen... hands, feet, face (bushy beard notwithstanding, you can still see the puffiness), tired all the time, no strength, most of the symptoms of CHF. I get an ECG, EKG, stress test. Heart is in perfect shape. Doctors are scratching their heads.
Follow up with my internist, who yells at me because I gained weight. Yeah well, if you can't breathe it's kind of hard to do much exercise. He takes blood for just about every test. It turns out my hematocrit and hemoglobin are entirely too high. I hear him say to his interns "he has polycythemia". He gets onto a Face Time session with another doctor who is a hematologist and oncologist. So I go and see this doctor. He looks at my blood work, asks me a boatload of questions, examines me, and pokes around my belly. He hits a tender spot. He says it feels like my liver or spleen may be swollen. So I went for a CAT scan which shows hepatosplenomegaly. He says that everything is consistent with polycythemia vera. My JAK2 is negative.
So, I have these symptoms:
· Headaches
· I get full right away and often don’t want to eat. 
· Dizziness, “seeing stars” when I turn or move my head. Almost like the beginning of a migraine aura.
· Weakness.
· Fatigue.
· Blurred vision.
· Excessive sweating. It’s embarrassing.
· Shortness of breath for just about anything I do. 
· I generally feel like crap. 
I’m going for my first phlebotomy tomorrow. I already started on hydroxyurea and 81 mg aspirin last week. So, anything anyone can tell me about this, what I can expect, is appreciated. I'm not quite as angry as I was. I found a quote *"We have no right to ask when a sorrow comes, ‘Why did this happen to me?’ unless we ask the same question for every joy that comes our way"*. Though I'm not happy that my sister decided to let on to the family without my permission.</t>
        </is>
      </c>
      <c r="D4841" t="n">
        <v>8</v>
      </c>
      <c r="E4841" t="n">
        <v>14</v>
      </c>
      <c r="F4841">
        <f>HYPERLINK("https://www.reddit.com/r/cancer/comments/d5zcbs/recently_diagnosed_w_polycythemia_vera/")</f>
        <v/>
      </c>
      <c r="G4841" t="inlineStr">
        <is>
          <t>2019-09-18 08:23:01</t>
        </is>
      </c>
      <c r="H4841" t="inlineStr"/>
    </row>
    <row r="4842">
      <c r="A4842" t="inlineStr">
        <is>
          <t>d5zrs3</t>
        </is>
      </c>
      <c r="B4842" t="inlineStr">
        <is>
          <t>Seizures from brain mets</t>
        </is>
      </c>
      <c r="C4842" t="inlineStr">
        <is>
          <t>My husband has metastasized germ cell cancer. Newest lesion is in his brain and was diagnosed after he had a grand mal seizure. Due to the location of the lesion he has left hand symptoms right before it goes full body. After this first seizure he had isolated radiation to the tumor, it was small, so just one and put on anti seizure meds. It’s been about two months since his first seizure and yesterday he had another, leading into an 18 hour day in the emergency room. After a CT scan and MRI nothing looks changed. No new spots. No Acute hemorrhages (it bled the first time) and just showed the same calcification as prior images. They upped his meds to the max dose and sent us home till we follow up with neuro later on. 
My question is: does anyone have any experience with this? We are wondering if after he’s done with chemo and his body is able to heal from radiation that was about 2 months ago, will his need for seizure meds cease? Although I know no one can really answer these questions, any personal stories would be appreciated. It’s obviously really scary for him and myself he’s only 29 and would like to think one day he’ll be able to drive again and go out without worries</t>
        </is>
      </c>
      <c r="D4842" t="n">
        <v>4</v>
      </c>
      <c r="E4842" t="n">
        <v>7</v>
      </c>
      <c r="F4842">
        <f>HYPERLINK("https://www.reddit.com/r/cancer/comments/d5zrs3/seizures_from_brain_mets/")</f>
        <v/>
      </c>
      <c r="G4842" t="inlineStr">
        <is>
          <t>2019-09-18 08:53:48</t>
        </is>
      </c>
      <c r="H4842" t="inlineStr"/>
    </row>
    <row r="4843">
      <c r="A4843" t="inlineStr">
        <is>
          <t>d606u2</t>
        </is>
      </c>
      <c r="B4843" t="inlineStr">
        <is>
          <t>What’s a PET scan like?</t>
        </is>
      </c>
      <c r="C4843" t="inlineStr">
        <is>
          <t>Hey there! So I’m getting my first PET scan on Saturday and I have absolutely no idea what to expect. I hate MRI’s because they make me feel claustrophobic. Is the machine similar? What should I expect during the scan?</t>
        </is>
      </c>
      <c r="D4843" t="n">
        <v>6</v>
      </c>
      <c r="E4843" t="n">
        <v>10</v>
      </c>
      <c r="F4843">
        <f>HYPERLINK("https://www.reddit.com/r/cancer/comments/d606u2/whats_a_pet_scan_like/")</f>
        <v/>
      </c>
      <c r="G4843" t="inlineStr">
        <is>
          <t>2019-09-18 09:23:18</t>
        </is>
      </c>
      <c r="H4843" t="inlineStr"/>
    </row>
    <row r="4844">
      <c r="A4844" t="inlineStr">
        <is>
          <t>d60ni4</t>
        </is>
      </c>
      <c r="B4844" t="inlineStr">
        <is>
          <t>Promising treatment for NUT Midline Carcinoma?</t>
        </is>
      </c>
      <c r="C4844" t="inlineStr">
        <is>
          <t>My classmate was diagnosed a few years ago and she bravely won the battle. But the war wasn't over. The cancer is back, treatment isn't working now and everybody is at a loss for options. A mutual friend and I are desperately searching for any information about new, promising treatments. It would be extremely helpful if somebody here can provide some treatment information. 
Also, is stem cell a viable treatment for this type of cancer? 
I'm sorry if this is the wong place to post this. I haven't made a lot of posts before and am kind of desperate to find some help. I'll repost this elsewhere if you feel a different subreddit would be more appropriate.</t>
        </is>
      </c>
      <c r="D4844" t="n">
        <v>4</v>
      </c>
      <c r="E4844" t="n">
        <v>2</v>
      </c>
      <c r="F4844">
        <f>HYPERLINK("https://www.reddit.com/r/cancer/comments/d60ni4/promising_treatment_for_nut_midline_carcinoma/")</f>
        <v/>
      </c>
      <c r="G4844" t="inlineStr">
        <is>
          <t>2019-09-18 09:55:48</t>
        </is>
      </c>
      <c r="H4844" t="inlineStr"/>
    </row>
    <row r="4845">
      <c r="A4845" t="inlineStr">
        <is>
          <t>d60z3b</t>
        </is>
      </c>
      <c r="B4845" t="inlineStr">
        <is>
          <t>How do you know if death is near?( lung cancer)</t>
        </is>
      </c>
      <c r="C4845" t="inlineStr">
        <is>
          <t>Hello everyone, 
My uncle has stage 4 non-small cell adenocarcinoma. He started his treatment(carboplatin, pemetrexed,keytruda) about 3 weeks ago. Then he had gamma knife last week on 4 lesions on the brain. His lung cancer is in both lungs, lymph nodes , and there was the 4 lesions on the brain. He was doing awesome after the first chemo and has been doing really well up until two days ago when he couldn’t walk from the pain in his right foot which turned out to be a blood clot.  Now he is hospitalized due to the clot , and I also forced them to do a chest X-ray because his cough sounded different and when they finally agreed to do one, they found blood clots in his lungs along with  what appears to be pneumonia. He has a lot of trouble sleeping and the other day in the emergency room he started to drift away and I saw his pulse go completely down to 10 which made me scream to wake him up. He woke up and he is fine . Idk why that happened and it’s haunting me. He acted like everything was ok and the nurse said he probably moved or something so it messed the pulse thing up. Which isn’t the case because I was watching him the whole time and I saw the pulse drop myself. Anyways , now he is sleeping a lot more and he seems really out of it. I get such a scary feeling and something just feels off. Idk what to do. Idk why I’m even making this post , I think it’s more to just vent than anything else. Is there anything to look for? I hate asking that because no one can know that for sure but I want him to be comfortable and idk man this is all just so much and it’s killing me so anyone just tell me anything at all.</t>
        </is>
      </c>
      <c r="D4845" t="n">
        <v>12</v>
      </c>
      <c r="E4845" t="n">
        <v>8</v>
      </c>
      <c r="F4845">
        <f>HYPERLINK("https://www.reddit.com/r/cancer/comments/d60z3b/how_do_you_know_if_death_is_near_lung_cancer/")</f>
        <v/>
      </c>
      <c r="G4845" t="inlineStr">
        <is>
          <t>2019-09-18 10:18:40</t>
        </is>
      </c>
      <c r="H4845" t="inlineStr"/>
    </row>
    <row r="4846">
      <c r="A4846" t="inlineStr">
        <is>
          <t>d61d5x</t>
        </is>
      </c>
      <c r="B4846" t="inlineStr">
        <is>
          <t>It's not cool to romanticize cancer in movies/songs/books/pop culture</t>
        </is>
      </c>
      <c r="C4846" t="inlineStr">
        <is>
          <t>It's really not. It also happens with depression and lots of other illnesses. The portrayal is - to be *generous* - very rarely accurate.</t>
        </is>
      </c>
      <c r="D4846" t="n">
        <v>16</v>
      </c>
      <c r="E4846" t="n">
        <v>5</v>
      </c>
      <c r="F4846">
        <f>HYPERLINK("https://www.reddit.com/r/cancer/comments/d61d5x/its_not_cool_to_romanticize_cancer_in/")</f>
        <v/>
      </c>
      <c r="G4846" t="inlineStr">
        <is>
          <t>2019-09-18 10:45:55</t>
        </is>
      </c>
      <c r="H4846" t="inlineStr"/>
    </row>
    <row r="4847">
      <c r="A4847" t="inlineStr">
        <is>
          <t>d61kzs</t>
        </is>
      </c>
      <c r="B4847" t="inlineStr">
        <is>
          <t>Cancer and working</t>
        </is>
      </c>
      <c r="C4847" t="inlineStr">
        <is>
          <t>Anyone else on treatment and still working?
I took day off today felt tired and had the shits again. Hate taking time off work, but thought fuck it, I’ve got cancer right? 
It’s just before cancer I never really had any sickness.
I live in U.K. and claim PIP. I work for a sense of normalcy and plus I need the money to be able to fund my trip to Japan and Dubai. Get to see the world in case the worse happens.
I also rent and sorry if go on benefits then housing benefit won’t cover it.
Don’t get me wrong I have a disposable income but money should be last of my worries. 
I’ve been broke before and don’t want to end up broke again thanks to this cancer shit.</t>
        </is>
      </c>
      <c r="D4847" t="n">
        <v>5</v>
      </c>
      <c r="E4847" t="n">
        <v>6</v>
      </c>
      <c r="F4847">
        <f>HYPERLINK("https://www.reddit.com/r/cancer/comments/d61kzs/cancer_and_working/")</f>
        <v/>
      </c>
      <c r="G4847" t="inlineStr">
        <is>
          <t>2019-09-18 11:01:16</t>
        </is>
      </c>
      <c r="H4847" t="inlineStr"/>
    </row>
    <row r="4848">
      <c r="A4848" t="inlineStr">
        <is>
          <t>d6202r</t>
        </is>
      </c>
      <c r="B4848" t="inlineStr">
        <is>
          <t>Advice about practical transition from passing of Patriarch? (The What Ifs)</t>
        </is>
      </c>
      <c r="C4848" t="inlineStr">
        <is>
          <t xml:space="preserve"> 
My father-in-law (60) was just diagnosed with Stage 4 Pancreatic and Esophageal cancers (as well as a few other places it's spread to). We are finding out this week IF they will treat, but it's not likely. He's expected to go fairly quickly, which is merciful, but there is a ton to prepare his wife for (who has M.S. and is often tired after work).
I am close to him and I am going to try and take care of what we are referring to as the "what-if's" for now. His kids are too emotional for now and I think it's best I take care of these things. I know he's trying to take care of setting up his wife with all that he can move to her name, etc, but I realize there is going to be a ton that is easy to forget (like passwords for toll tag, netflix, car insurance usernames, etc). He is a teacher and does not have life insurance.
I know there is going to be a TON that we realize we forgot about once he passes, so any recommendations on what to do or where to go to learn about all of the little things to prepare for would be greatly appreciated.</t>
        </is>
      </c>
      <c r="D4848" t="n">
        <v>2</v>
      </c>
      <c r="E4848" t="n">
        <v>2</v>
      </c>
      <c r="F4848">
        <f>HYPERLINK("https://www.reddit.com/r/cancer/comments/d6202r/advice_about_practical_transition_from_passing_of/")</f>
        <v/>
      </c>
      <c r="G4848" t="inlineStr">
        <is>
          <t>2019-09-18 11:30:47</t>
        </is>
      </c>
      <c r="H4848" t="inlineStr"/>
    </row>
    <row r="4849">
      <c r="A4849" t="inlineStr">
        <is>
          <t>d62h9f</t>
        </is>
      </c>
      <c r="B4849" t="inlineStr">
        <is>
          <t>Dad is Prostate Cancer Remission but unexplainable weight loss of 10 lbs in 3 months</t>
        </is>
      </c>
      <c r="C4849" t="inlineStr">
        <is>
          <t>Hi everyone, I just wanted to share my dad story and reach out to anyone who is currently in the same situation. 
My dad was diagnosed with prostate cancer in September 2018, did prostatectomy in Feb 2019 pathology stage was pT2 N0. His recovery was very fast and he was back working full time in June 2019. So far 0 PSA in the post surgery blood test. His urologist cleared that he is in remission. His weight was 118 lbs in May 2019, 2 days ago 9/16/19 he weighed 108 lbs. He has an appetite and exercises. Sleep average 5-7 hr a day. 
Now we are back to doing more testing to find out if he has anything else. It was very short live happiness for us. There were series of testing before surgery that cleared him of any other types of cancers. 
1) Colonoscopy - August 2019 - no tumor - normal
2) chest x-ray - October 2018 - no pulmonary disease 
3) whole body bone scan - October 2018 - normal
4) lower abdominal CT scan - October 2018 - normal except prostate cancer 
5) scrotum ultra sound - March 2019 - normal except a small cyst 
6) thyroid - Jan 2019 - normal range
He said his scrotum cyst hurts a lil bit now and wants to take the cyst out. We are taking another ultra sound on his scrotum to see anything changes. His is also taking thyroid ultrasound. He is 58 and long history of cancer in the family. My grandma was pharyngeal cancer and my grandpa was lung cancer. 
My theory is his thyroid hormones are out of range due to absence of prostate gland. His metabolism is increasing. We will find out more from the blood test in upcoming weeks.</t>
        </is>
      </c>
      <c r="D4849" t="n">
        <v>3</v>
      </c>
      <c r="E4849" t="n">
        <v>0</v>
      </c>
      <c r="F4849">
        <f>HYPERLINK("https://www.reddit.com/r/cancer/comments/d62h9f/dad_is_prostate_cancer_remission_but/")</f>
        <v/>
      </c>
      <c r="G4849" t="inlineStr">
        <is>
          <t>2019-09-18 12:03:53</t>
        </is>
      </c>
      <c r="H4849" t="inlineStr"/>
    </row>
    <row r="4850">
      <c r="A4850" t="inlineStr">
        <is>
          <t>d62yty</t>
        </is>
      </c>
      <c r="B4850" t="inlineStr">
        <is>
          <t>How to handle benefits</t>
        </is>
      </c>
      <c r="C4850" t="inlineStr">
        <is>
          <t>I am very lucky on this shitty journey to have a great support system. My parents and their friends are throwing me a benefit back where I grew up, and my friends are doing one where I live now. I am super grateful, and we really do need the financial help, but I can't help but feel guilty. Like I can never repay all these awesome donations, work, and time going into this. My husband and I are doing all we can on our end to help with both. I am not at all complaining or ungrateful, so I hope that's not how I come across. Has anyone felt like this? Like I want to repay everyone for their kindness and am not sure how or what to do. Hope everyone is having a good day and getting great results, whatever it is you're going through today ♥️</t>
        </is>
      </c>
      <c r="D4850" t="n">
        <v>6</v>
      </c>
      <c r="E4850" t="n">
        <v>4</v>
      </c>
      <c r="F4850">
        <f>HYPERLINK("https://www.reddit.com/r/cancer/comments/d62yty/how_to_handle_benefits/")</f>
        <v/>
      </c>
      <c r="G4850" t="inlineStr">
        <is>
          <t>2019-09-18 12:38:05</t>
        </is>
      </c>
      <c r="H4850" t="inlineStr"/>
    </row>
    <row r="4851">
      <c r="A4851" t="inlineStr">
        <is>
          <t>d640ng</t>
        </is>
      </c>
      <c r="B4851" t="inlineStr">
        <is>
          <t>Looking for recommendations for things my aunt can do while staying in the hospital!</t>
        </is>
      </c>
      <c r="C4851" t="inlineStr">
        <is>
          <t>My aunt is staying in the hospital, and may not be leaving for a long time. She has stage 4 cancer and is already getting bored and spending too much time stressing. Any recommendations of things she can do, or what i should bring her to help ease her mind/distract her?</t>
        </is>
      </c>
      <c r="D4851" t="n">
        <v>6</v>
      </c>
      <c r="E4851" t="n">
        <v>4</v>
      </c>
      <c r="F4851">
        <f>HYPERLINK("https://www.reddit.com/r/cancer/comments/d640ng/looking_for_recommendations_for_things_my_aunt/")</f>
        <v/>
      </c>
      <c r="G4851" t="inlineStr">
        <is>
          <t>2019-09-18 14:07:50</t>
        </is>
      </c>
      <c r="H4851" t="inlineStr"/>
    </row>
    <row r="4852">
      <c r="A4852" t="inlineStr">
        <is>
          <t>d65tx5</t>
        </is>
      </c>
      <c r="B4852" t="inlineStr">
        <is>
          <t>Question for people who had oral cancer, inner cheek to be specific</t>
        </is>
      </c>
      <c r="C4852" t="inlineStr">
        <is>
          <t>Before you were diagnosed was there anything noticeable like bad taste, pain in the cheek?</t>
        </is>
      </c>
      <c r="D4852" t="n">
        <v>1</v>
      </c>
      <c r="E4852" t="n">
        <v>0</v>
      </c>
      <c r="F4852">
        <f>HYPERLINK("https://www.reddit.com/r/cancer/comments/d65tx5/question_for_people_who_had_oral_cancer_inner/")</f>
        <v/>
      </c>
      <c r="G4852" t="inlineStr">
        <is>
          <t>2019-09-18 16:55:53</t>
        </is>
      </c>
      <c r="H4852" t="inlineStr"/>
    </row>
    <row r="4853">
      <c r="A4853" t="inlineStr">
        <is>
          <t>d663ks</t>
        </is>
      </c>
      <c r="B4853" t="inlineStr">
        <is>
          <t>Young Cancer Survivor Indicted with 2 Bank Robberies</t>
        </is>
      </c>
      <c r="C4853" t="inlineStr">
        <is>
          <t>I am here today to share my story and hopefully receive some guidance and or mentorship given my new circumstances in life. I am writing this under supervised pretrial release. 
I am a twenty three year old man. I was diagnosed with acute T cell leukemia when I was 11 years old and I endured two years of treatment including chemo, radiation, bone marrow transplants, etc. 
My chances of survival were quite slim, as the disease had already progressed undetected until one morning I woke up to excruciating pain radiating throughout my entire body. At the beginning of my treatment my kidneys were in very poor condition, and I had to undergo dialysis for five days while in a medically induced coma. 
Despite the odds, I managed to beat it. My battle with cancer had stunted my social development to a significant degree from adolescence and into early adulthood. 
I am currently indicted by the federal government for two unarmed bank robberies that had occurred earlier this year. I can’t delve into the details of the case as it has not yet been resolved.
I had one semester left at a state university before obtaining my bachelor’s degree. 
Prior to that I suffered from severe depression and suicidal thoughts for several years. I began seeking mental health treatment at my university health center albeit relatively late (“I don’t want to become a zombie on antidepressants!”) and was diagnosed with major depressive disorder and general anxiety disorder. 
It was (and still is) pretty bad. Oftentimes I can’t turn on the lights, nor leave my bed, nor bring myself to even look at myself in the mirror for days if not weeks at a time. 
After much self reflection and honesty I now realize my mental health stems from deep feelings of disillusionment with life in general. The best way I could describe it is as seeing everything in “pixels”. 
I’m not a religious guy. I view everything in terms of evolution and physical, observable reality. I see the world, and the universe for that matter, for what (I believe) it really is. A life where true love, and the belief in widely accepted fantasies and mythologies (spirituality) are merely neurons firing off in our brains creating a narrative we don’t truly have any control over. Oftentimes the juice just really isn’t worth the squeeze for me. Perhaps some of you share similar sentiments, but for those of you that don’t, I hope you can see why I am depressed.
In December of 2018 I decided I was going to kill myself. 
Well, that never happened. After a failed suicide attempt due to an unlikely intervention while in county jail, I spent three months locked up and now I’ve been  awaiting trial since then. 
I plan on completing my degree after my case has been resolved. 
In the meantime I’ve done some research and weighed out my options. I have determined that a future in web/mobile centric software development would be ideal for me. I am currently learning CSS/HTML and javascript (I just started) and I plan on learning react.js / react native and then creating a portfolio demonstrating competence in front end development. 
If there is anybody out there in the field of IT / software engineering / web development / etc who could be something of a mentor to me, or even point me in the direction of somebody that could help guide me I would be greatly appreciative. 
TL:DR 
I am a cancer survivor, I had one semester of university left and now I am awaiting trial after being indicted with two bank robberies.
 In the event that I must take a plea bargain, I am preparing for a future as a felon and am seeking a mentoring/guidance from somebody in IT/software development/programming. just somebody who I could ask questions regarding what to focus on, and hopefully guide me in the likely struggle of landing a job in the field as a felon.</t>
        </is>
      </c>
      <c r="D4853" t="n">
        <v>8</v>
      </c>
      <c r="E4853" t="n">
        <v>11</v>
      </c>
      <c r="F4853">
        <f>HYPERLINK("https://www.reddit.com/r/cancer/comments/d663ks/young_cancer_survivor_indicted_with_2_bank/")</f>
        <v/>
      </c>
      <c r="G4853" t="inlineStr">
        <is>
          <t>2019-09-18 17:17:34</t>
        </is>
      </c>
      <c r="H4853" t="inlineStr"/>
    </row>
    <row r="4854">
      <c r="A4854" t="inlineStr">
        <is>
          <t>d69fnf</t>
        </is>
      </c>
      <c r="B4854" t="inlineStr">
        <is>
          <t>This is really starting to tick me off! Advice on different ways to handle, I feel like we are proactive with this.</t>
        </is>
      </c>
      <c r="C4854" t="inlineStr">
        <is>
          <t>I’m starting to think that “Doctors” don’t get proper bedside manner training. 
Had a doctor in the ER today first time meeting Saniya. We always let them know ahead of time that Saniya is now blind,just in case they didn’t properly go through her chart. So upon her exam the doctor notices that Saniya’s nails are polished as always. This lady doctor goes on to say to Saniya “ too bad you can’t see how pretty your nails are”. Like WTF, why say that? We have had doctors that don’t listen to us and miss the part when we say she can’t see telling her to follow their finger, ask how many fingers are they holding up, pull out pain cards and ask her to point to her level. When inpatient we always put a sign on the door that says “ Hi, I’m Saniya please let me know when you come in, I can’t see you” That doesn’t work either. We put the sign, you would think the hospital would do that. Nope! It’s quite hurtful and I’m not even sure how it might make Saniya feel. It’s starting to really work my nerves. 
Disclaimer: Saniya could see up until diagnosis. She could see the first 7 years of life. Now she is 9 and blind. Saniya lost her vision after either resection or an extreme dose of Chemo to shrink the Tumor. We don’t know and they don’t which.</t>
        </is>
      </c>
      <c r="D4854" t="n">
        <v>11</v>
      </c>
      <c r="E4854" t="n">
        <v>12</v>
      </c>
      <c r="F4854">
        <f>HYPERLINK("https://www.reddit.com/r/cancer/comments/d69fnf/this_is_really_starting_to_tick_me_off_advice_on/")</f>
        <v/>
      </c>
      <c r="G4854" t="inlineStr">
        <is>
          <t>2019-09-18 22:16:33</t>
        </is>
      </c>
      <c r="H4854" t="inlineStr"/>
    </row>
    <row r="4855">
      <c r="A4855" t="inlineStr">
        <is>
          <t>d6ak2e</t>
        </is>
      </c>
      <c r="B4855" t="inlineStr">
        <is>
          <t>Donor lymphocyte infusion experiences</t>
        </is>
      </c>
      <c r="C4855" t="inlineStr">
        <is>
          <t>Wondering if anyone out there has any experiences/knowledge to share around donor lymphocyte infusions (DLI).</t>
        </is>
      </c>
      <c r="D4855" t="n">
        <v>1</v>
      </c>
      <c r="E4855" t="n">
        <v>0</v>
      </c>
      <c r="F4855">
        <f>HYPERLINK("https://www.reddit.com/r/cancer/comments/d6ak2e/donor_lymphocyte_infusion_experiences/")</f>
        <v/>
      </c>
      <c r="G4855" t="inlineStr">
        <is>
          <t>2019-09-19 00:21:32</t>
        </is>
      </c>
      <c r="H4855" t="inlineStr"/>
    </row>
    <row r="4856">
      <c r="A4856" t="inlineStr">
        <is>
          <t>d6b71p</t>
        </is>
      </c>
      <c r="B4856" t="inlineStr">
        <is>
          <t>I'm back!</t>
        </is>
      </c>
      <c r="C4856" t="inlineStr">
        <is>
          <t>Hey y'all. It's been about 5 month since I posted. Here's an update. I finished chemo about a month ago. I am not terminal anymore. The cancer was localized and jad not spread throughout my body. My post-treatmemt scans show NED (no evidence of disease). Everything is going great now for the time being. 
Thank you all for the comments, advice, and support! I really appreciate it. I will try to be on this account more and answer questions for people going through treatment, etc.</t>
        </is>
      </c>
      <c r="D4856" t="n">
        <v>117</v>
      </c>
      <c r="E4856" t="n">
        <v>27</v>
      </c>
      <c r="F4856">
        <f>HYPERLINK("https://www.reddit.com/r/cancer/comments/d6b71p/im_back/")</f>
        <v/>
      </c>
      <c r="G4856" t="inlineStr">
        <is>
          <t>2019-09-19 01:42:03</t>
        </is>
      </c>
      <c r="H4856" t="inlineStr"/>
    </row>
    <row r="4857">
      <c r="A4857" t="inlineStr">
        <is>
          <t>d6bgxf</t>
        </is>
      </c>
      <c r="B4857" t="inlineStr">
        <is>
          <t>Miss my mom</t>
        </is>
      </c>
      <c r="C4857" t="inlineStr">
        <is>
          <t>It’s been 10 days. It feels like eternity. I just miss her voice. Her hug. Cancer took her away months ago but it’s been 10 days since she finally could be free. It’s not fair. It’s unreal. Don’t know how my father is going to cope. She was his world and reason to work hard. 
We will be ok, time will heal... but I miss her. People ask what to get me or how to help. I just want a time machine. 
Fuck cancer.</t>
        </is>
      </c>
      <c r="D4857" t="n">
        <v>16</v>
      </c>
      <c r="E4857" t="n">
        <v>5</v>
      </c>
      <c r="F4857">
        <f>HYPERLINK("https://www.reddit.com/r/cancer/comments/d6bgxf/miss_my_mom/")</f>
        <v/>
      </c>
      <c r="G4857" t="inlineStr">
        <is>
          <t>2019-09-19 02:16:29</t>
        </is>
      </c>
      <c r="H4857" t="inlineStr"/>
    </row>
    <row r="4858">
      <c r="A4858" t="inlineStr">
        <is>
          <t>d6cmlx</t>
        </is>
      </c>
      <c r="B4858" t="inlineStr">
        <is>
          <t>The University of Manchester scientists discover new breakthrough in cancer hair loss treatment</t>
        </is>
      </c>
      <c r="C4858" t="inlineStr">
        <is>
          <t>RESEARCH [here](https://www.manchester.ac.uk/discover/news/scientists-discover-new-breakthrough-in-cancer-hair-loss-treatment/#utm_source=Reddit&amp;amp;utm_medium=Social&amp;amp;utm_campaign=News).
Researchers based at [The University of Manchester](https://www.manchester.ac.uk/) have discovered a new strategy for how to protect hair follicles from chemotherapy, which could lead to new treatments that prevent chemotherapy-induced hair loss – arguably one of the most psychologically distressing side effects of modern cancer therapy.
Published in the journal, [EMBO Molecular Medicine](https://www.embopress.org/journal/17574684), the study from the laboratory of Professor Ralf Paus of the Centre for Dermatology Research describes how damage in the hair follicle caused by taxanes, cancer drugs which can cause permanent hair loss, can be prevented.</t>
        </is>
      </c>
      <c r="D4858" t="n">
        <v>4</v>
      </c>
      <c r="E4858" t="n">
        <v>1</v>
      </c>
      <c r="F4858">
        <f>HYPERLINK("https://www.reddit.com/r/cancer/comments/d6cmlx/the_university_of_manchester_scientists_discover/")</f>
        <v/>
      </c>
      <c r="G4858" t="inlineStr">
        <is>
          <t>2019-09-19 04:24:00</t>
        </is>
      </c>
      <c r="H4858" t="inlineStr"/>
    </row>
    <row r="4859">
      <c r="A4859" t="inlineStr">
        <is>
          <t>d6e2yz</t>
        </is>
      </c>
      <c r="B4859" t="inlineStr">
        <is>
          <t>Does anyone in here have experience with Care Oncology?</t>
        </is>
      </c>
      <c r="C4859" t="inlineStr">
        <is>
          <t>They have a protocol that is intended to be applied as an adjuvant therapy to undermine cancer metabolically (sorta) using existing pharmaceuticals in an off-label manner.    They have a trial in the UK that discusses the actual medication -  [https://clinicaltrials.gov/ct2/show/NCT02201381](https://clinicaltrials.gov/ct2/show/NCT02201381) 
The approach is also outlined, in part, in Jane McLelland's book 'How to Starve Cancer'...which unfortunately I found almost unbearable to read but did have some interesting info at the end.  There also seems to be a groundswell of clinical trials and associated research in many of the areas she discusses.
I spoke with a rep recently and I found the process to be pretty straightforward and relatively inexpensive.  I'm fairly skeptical by nature but can't really see the upsell or scam at this time.  Interested if anyone else has tried it out.</t>
        </is>
      </c>
      <c r="D4859" t="n">
        <v>0</v>
      </c>
      <c r="E4859" t="n">
        <v>9</v>
      </c>
      <c r="F4859">
        <f>HYPERLINK("https://www.reddit.com/r/cancer/comments/d6e2yz/does_anyone_in_here_have_experience_with_care/")</f>
        <v/>
      </c>
      <c r="G4859" t="inlineStr">
        <is>
          <t>2019-09-19 06:30:52</t>
        </is>
      </c>
      <c r="H4859" t="inlineStr"/>
    </row>
    <row r="4860">
      <c r="A4860" t="inlineStr">
        <is>
          <t>d6e75m</t>
        </is>
      </c>
      <c r="B4860" t="inlineStr">
        <is>
          <t>My girlfriend's sister was given 2 weeks. How to support her and her family?</t>
        </is>
      </c>
      <c r="C4860" t="inlineStr">
        <is>
          <t>Almost 3 years ago, GF's sister, was diagnosed with Ewing's Sarcoma, and started chemotherapy. 3 years, having her arm amputated, and literally every chemotherapy available in North America later she has kept her spirits high and has faced it with a level of optimism that seems almost impossible.
A month ago, we got news that there were no other treatments available. She started radiation as a last stand, but after spending the weekend in the hospital to drain some fluid off of her lungs, we were told the tumor has spread into her heart and it is flooded with fluid. We were told at best, expect 2 weeks, at worst she's hour to hour.
I live about 900 miles from my family, and my GF's family, sister included, has treated me like family from day 1. I've already cleared time off with my job, and I plan to take a week at least to do my own grieving of course but most importantly to be there to support them.
I've had the privilege of never having to go through a loss like this before, only having to say goodbye to elderly grandparents, so I came looking for advice on how I can make the most of my support. Those who have lost someone, what meant the most to you or what do you wish people had done at the time?</t>
        </is>
      </c>
      <c r="D4860" t="n">
        <v>10</v>
      </c>
      <c r="E4860" t="n">
        <v>6</v>
      </c>
      <c r="F4860">
        <f>HYPERLINK("https://www.reddit.com/r/cancer/comments/d6e75m/my_girlfriends_sister_was_given_2_weeks_how_to/")</f>
        <v/>
      </c>
      <c r="G4860" t="inlineStr">
        <is>
          <t>2019-09-19 06:40:00</t>
        </is>
      </c>
      <c r="H4860" t="inlineStr"/>
    </row>
    <row r="4861">
      <c r="A4861" t="inlineStr">
        <is>
          <t>d6e8ev</t>
        </is>
      </c>
      <c r="B4861" t="inlineStr">
        <is>
          <t>(37F)Having surgery Monday to find out if I have ovarian cancer.</t>
        </is>
      </c>
      <c r="C4861" t="inlineStr">
        <is>
          <t>I have two tumors and a tubular growth on my ovary. I had a partial hysterectomy 5 years ago and now  they will be removing my remaining ovary. So I also have medical menopause to look forward too. The surgery is planned as robotic, but they may have to open me up if there is too much scar tissue from my two previous surgeries and endometriosis.
Anyone who can tell me what to expect or even just send good vibes would be much appreciated.</t>
        </is>
      </c>
      <c r="D4861" t="n">
        <v>5</v>
      </c>
      <c r="E4861" t="n">
        <v>9</v>
      </c>
      <c r="F4861">
        <f>HYPERLINK("https://www.reddit.com/r/cancer/comments/d6e8ev/37fhaving_surgery_monday_to_find_out_if_i_have/")</f>
        <v/>
      </c>
      <c r="G4861" t="inlineStr">
        <is>
          <t>2019-09-19 06:42:53</t>
        </is>
      </c>
      <c r="H4861" t="inlineStr"/>
    </row>
    <row r="4862">
      <c r="A4862" t="inlineStr">
        <is>
          <t>d6fcto</t>
        </is>
      </c>
      <c r="B4862" t="inlineStr">
        <is>
          <t>Humor Milestone Card Inspiration</t>
        </is>
      </c>
      <c r="C4862" t="inlineStr">
        <is>
          <t>Hi all,
So I need some help if you don't mind. My uncle is currently working his way through some immunotherapy. I need some milestone card ideas. I'm making them myself at home. So far I've got '1 more scan and I'll glow in the dark', 'my oncologist does my hair', 'who needs 2 kidneys anyway' (All totally stolen from the internet). I'd really appreciate bits around the whole way through. I know there is gonna be a lot of blood tests, trips back and forward and I need to make this as light-hearted and funny as I can for the time being. Thank you so much in advance !! X</t>
        </is>
      </c>
      <c r="D4862" t="n">
        <v>3</v>
      </c>
      <c r="E4862" t="n">
        <v>5</v>
      </c>
      <c r="F4862">
        <f>HYPERLINK("https://www.reddit.com/r/cancer/comments/d6fcto/humor_milestone_card_inspiration/")</f>
        <v/>
      </c>
      <c r="G4862" t="inlineStr">
        <is>
          <t>2019-09-19 08:07:12</t>
        </is>
      </c>
      <c r="H4862" t="inlineStr"/>
    </row>
    <row r="4863">
      <c r="A4863" t="inlineStr">
        <is>
          <t>d6flij</t>
        </is>
      </c>
      <c r="B4863" t="inlineStr">
        <is>
          <t>Mom 83 with entire right tongue carcinoma</t>
        </is>
      </c>
      <c r="C4863" t="inlineStr">
        <is>
          <t>She isn’t a candidate for a 12-hour tongue resection, so radiation seems to be her only choice. I live 1200 miles away &amp;amp; getting info from siblings is frustrating. No lymph node involvement. Not sure of Stage yet. Any info on treatment, side effects, quality of life or life expectancy are greatly appreciated.</t>
        </is>
      </c>
      <c r="D4863" t="n">
        <v>0</v>
      </c>
      <c r="E4863" t="n">
        <v>3</v>
      </c>
      <c r="F4863">
        <f>HYPERLINK("https://www.reddit.com/r/cancer/comments/d6flij/mom_83_with_entire_right_tongue_carcinoma/")</f>
        <v/>
      </c>
      <c r="G4863" t="inlineStr">
        <is>
          <t>2019-09-19 08:24:27</t>
        </is>
      </c>
      <c r="H4863" t="inlineStr"/>
    </row>
    <row r="4864">
      <c r="A4864" t="inlineStr">
        <is>
          <t>d6fpju</t>
        </is>
      </c>
      <c r="B4864" t="inlineStr">
        <is>
          <t>Broken..</t>
        </is>
      </c>
      <c r="C4864" t="inlineStr">
        <is>
          <t>Hello everyone. 23 female, sucky rare diagnosis of ovarian cancer. My oncologist says hes never seen it and will never again. Ive had one ovary taken out so i was going to a fertility doc to do a harvest so we could take the other one out. Just got my news that the chemo did its job and killed everything in my body... My ovary is dead. I cannot have my own genetic baby... Which has always been my dream my sister was with me but you all are the first to know. I guess its easier to get it out to you all then face my family and tell them that i cant provide a blood baby.. Im just so heartbroken I dont know what to do</t>
        </is>
      </c>
      <c r="D4864" t="n">
        <v>23</v>
      </c>
      <c r="E4864" t="n">
        <v>17</v>
      </c>
      <c r="F4864">
        <f>HYPERLINK("https://www.reddit.com/r/cancer/comments/d6fpju/broken/")</f>
        <v/>
      </c>
      <c r="G4864" t="inlineStr">
        <is>
          <t>2019-09-19 08:32:29</t>
        </is>
      </c>
      <c r="H4864" t="inlineStr"/>
    </row>
    <row r="4865">
      <c r="A4865" t="inlineStr">
        <is>
          <t>d6fyyi</t>
        </is>
      </c>
      <c r="B4865" t="inlineStr">
        <is>
          <t>Experience with Imfinzi / durvalumab</t>
        </is>
      </c>
      <c r="C4865" t="inlineStr">
        <is>
          <t>My father was treated with Imfinzi / durvalumab recently and now he cannot hold his head up.  They stopped after 2 infusions.  They gave him saline IVs for 1 week and the diagnosis was "rhabdomyolysis". They said it was a very rare side effect.  I wanted to see if anyone else had experience with this drug, and also if anyone can point me to any more online resources I would really appreciate it.  Thank you.</t>
        </is>
      </c>
      <c r="D4865" t="n">
        <v>2</v>
      </c>
      <c r="E4865" t="n">
        <v>1</v>
      </c>
      <c r="F4865">
        <f>HYPERLINK("https://www.reddit.com/r/cancer/comments/d6fyyi/experience_with_imfinzi_durvalumab/")</f>
        <v/>
      </c>
      <c r="G4865" t="inlineStr">
        <is>
          <t>2019-09-19 08:51:10</t>
        </is>
      </c>
      <c r="H4865" t="inlineStr"/>
    </row>
    <row r="4866">
      <c r="A4866" t="inlineStr">
        <is>
          <t>d6gafz</t>
        </is>
      </c>
      <c r="B4866" t="inlineStr">
        <is>
          <t>Anyone have experience with Nelarabine?</t>
        </is>
      </c>
      <c r="C4866" t="inlineStr">
        <is>
          <t>My chemo pal is going to get it this Monday. I was wondering if anyone has experience with this drug?</t>
        </is>
      </c>
      <c r="D4866" t="n">
        <v>2</v>
      </c>
      <c r="E4866" t="n">
        <v>0</v>
      </c>
      <c r="F4866">
        <f>HYPERLINK("https://www.reddit.com/r/cancer/comments/d6gafz/anyone_have_experience_with_nelarabine/")</f>
        <v/>
      </c>
      <c r="G4866" t="inlineStr">
        <is>
          <t>2019-09-19 09:14:03</t>
        </is>
      </c>
      <c r="H4866" t="inlineStr"/>
    </row>
    <row r="4867">
      <c r="A4867" t="inlineStr">
        <is>
          <t>d6hpmc</t>
        </is>
      </c>
      <c r="B4867" t="inlineStr">
        <is>
          <t>Help wanted from fellow immunotherapy patients</t>
        </is>
      </c>
      <c r="C4867" t="inlineStr">
        <is>
          <t>My mom has cancer and we put her on Keytruda, her biggest issue right now is her appetite is non existent. She says all foods have a weird taste to them that she cant describe and doesn't wanna swallow it at all. She handles protein shakes like Ensure a bit better but we all know a liquid diet cannot suffice for solid foods. What can I do?</t>
        </is>
      </c>
      <c r="D4867" t="n">
        <v>5</v>
      </c>
      <c r="E4867" t="n">
        <v>14</v>
      </c>
      <c r="F4867">
        <f>HYPERLINK("https://www.reddit.com/r/cancer/comments/d6hpmc/help_wanted_from_fellow_immunotherapy_patients/")</f>
        <v/>
      </c>
      <c r="G4867" t="inlineStr">
        <is>
          <t>2019-09-19 10:56:19</t>
        </is>
      </c>
      <c r="H4867" t="inlineStr"/>
    </row>
    <row r="4868">
      <c r="A4868" t="inlineStr">
        <is>
          <t>d6jhk8</t>
        </is>
      </c>
      <c r="B4868" t="inlineStr">
        <is>
          <t>16 Warning Signs of Cancer You Shouldn’t Ignore</t>
        </is>
      </c>
      <c r="C4868" t="inlineStr">
        <is>
          <t xml:space="preserve"> [https://yourpets.tk/16-warning/](https://yourpets.tk/16-warning/) 
https://i.redd.it/nm3w1ohqwln31.png</t>
        </is>
      </c>
      <c r="D4868" t="n">
        <v>0</v>
      </c>
      <c r="E4868" t="n">
        <v>0</v>
      </c>
      <c r="F4868">
        <f>HYPERLINK("https://www.reddit.com/r/cancer/comments/d6jhk8/16_warning_signs_of_cancer_you_shouldnt_ignore/")</f>
        <v/>
      </c>
      <c r="G4868" t="inlineStr">
        <is>
          <t>2019-09-19 13:04:49</t>
        </is>
      </c>
      <c r="H4868" t="inlineStr"/>
    </row>
    <row r="4869">
      <c r="A4869" t="inlineStr">
        <is>
          <t>d6jmpq</t>
        </is>
      </c>
      <c r="B4869" t="inlineStr">
        <is>
          <t>I have no idea how to cope with my grandma nearing the end</t>
        </is>
      </c>
      <c r="C4869" t="inlineStr">
        <is>
          <t>My grandma has had stage 4 lung cancer for about 3 years now, and my mom has been warning me it’s getting really bad. She managed to get a bit more time with us but her treatment stopped working. My mom had been staying with her overnight at the hospital and when she calls she always sounds like she’s just been crying. I’m a high school junior and the school work isn’t too hard, but I’ve been slacking on homework and struggling not to cry in classes. I’ve been really touchy and randomly cry and I’m wondering if anyone has advice on how to continue life as normally as I can while I wait for the end.</t>
        </is>
      </c>
      <c r="D4869" t="n">
        <v>3</v>
      </c>
      <c r="E4869" t="n">
        <v>5</v>
      </c>
      <c r="F4869">
        <f>HYPERLINK("https://www.reddit.com/r/cancer/comments/d6jmpq/i_have_no_idea_how_to_cope_with_my_grandma/")</f>
        <v/>
      </c>
      <c r="G4869" t="inlineStr">
        <is>
          <t>2019-09-19 13:15:14</t>
        </is>
      </c>
      <c r="H4869" t="inlineStr"/>
    </row>
    <row r="4870">
      <c r="A4870" t="inlineStr">
        <is>
          <t>d6jnb2</t>
        </is>
      </c>
      <c r="B4870" t="inlineStr">
        <is>
          <t>14 and fighting</t>
        </is>
      </c>
      <c r="C4870" t="inlineStr">
        <is>
          <t>So cancer is in my family it has always been, my mom, grandparents and i got it. Is it a thing in your family or just bad luck ?</t>
        </is>
      </c>
      <c r="D4870" t="n">
        <v>6</v>
      </c>
      <c r="E4870" t="n">
        <v>9</v>
      </c>
      <c r="F4870">
        <f>HYPERLINK("https://www.reddit.com/r/cancer/comments/d6jnb2/14_and_fighting/")</f>
        <v/>
      </c>
      <c r="G4870" t="inlineStr">
        <is>
          <t>2019-09-19 13:16:29</t>
        </is>
      </c>
      <c r="H4870" t="inlineStr"/>
    </row>
    <row r="4871">
      <c r="A4871" t="inlineStr">
        <is>
          <t>d6juge</t>
        </is>
      </c>
      <c r="B4871" t="inlineStr">
        <is>
          <t>Chat Room for Teens</t>
        </is>
      </c>
      <c r="C4871" t="inlineStr">
        <is>
          <t>How do you do, fellow teens? Here is Discord server for teens with cancer. A good place to talk about whatever you want without people knowing your identity. C'mon down and join the fun. https://discord.gg/j3qwyBR</t>
        </is>
      </c>
      <c r="D4871" t="n">
        <v>1</v>
      </c>
      <c r="E4871" t="n">
        <v>1</v>
      </c>
      <c r="F4871">
        <f>HYPERLINK("https://www.reddit.com/r/cancer/comments/d6juge/chat_room_for_teens/")</f>
        <v/>
      </c>
      <c r="G4871" t="inlineStr">
        <is>
          <t>2019-09-19 13:30:48</t>
        </is>
      </c>
      <c r="H4871" t="inlineStr"/>
    </row>
    <row r="4872">
      <c r="A4872" t="inlineStr">
        <is>
          <t>d6kiap</t>
        </is>
      </c>
      <c r="B4872" t="inlineStr">
        <is>
          <t>Not having a good week</t>
        </is>
      </c>
      <c r="C4872" t="inlineStr">
        <is>
          <t>tl;dr: had a CT of my kidneys in August to check for post-chemotherapy damage, followed up w my doc about that a few days ago and kidneys are fine, but whoops there's a lesion on (in?) my liver. the radiologist report said it could be benign, but given my medical history it's something my oncologist wants to check out, so getting an MRI hopefully next week. I am, obviously, not very happy about this.
personal history: bone cancer a few years back. this is the first like, maybe-cancer issue i've had since.
Ive barely told anyone. I thought seriously about not telling my parents. I'm going back to my college apartment now and Im just thinking about how everyone will expect me to be normal and even the people who do know about my cancer stuff cant really understand it anyway. I'm freaked out and scared for all the usual reasons. School is supposed to start next week, I just got a job. I'm already really busy and now i am also immensly stressed about fitting in an MRI + the commute to/from it, I'm stressed about the possibility of new cancer or relapse or having to drop commitments I've made.
I've been Dealing With It fine, but... yeah. them's the breaks.</t>
        </is>
      </c>
      <c r="D4872" t="n">
        <v>30</v>
      </c>
      <c r="E4872" t="n">
        <v>21</v>
      </c>
      <c r="F4872">
        <f>HYPERLINK("https://www.reddit.com/r/cancer/comments/d6kiap/not_having_a_good_week/")</f>
        <v/>
      </c>
      <c r="G4872" t="inlineStr">
        <is>
          <t>2019-09-19 14:19:46</t>
        </is>
      </c>
      <c r="H4872" t="inlineStr"/>
    </row>
    <row r="4873">
      <c r="A4873" t="inlineStr">
        <is>
          <t>d6kzui</t>
        </is>
      </c>
      <c r="B4873" t="inlineStr">
        <is>
          <t>Scam alert for members of this sub.</t>
        </is>
      </c>
      <c r="C4873" t="inlineStr">
        <is>
          <t>I just got a PM (full text below) from someone with only one previous post that was removed. The PM came, apparently, because I have previously been active in this community. It promises money for a 90-minute interview "in your home." It includes a link to a really sketchy "research" website. It is surely a scam, so please don't fall for it. Cancer folks get scammed enough and we don't need this s**t.
Here is the full PM: 
Paid research on cancer
from Foragedesignresearch
 sent 3 hours ago
A research team is currently seeking people in the NY and NJ areas to talk about their journey through cancer. By learning more direclty from patient experiences, they can translate them into products and services designed for this journey. They are currently interested in talking to people with late to early stage breast, prostrate, lung, colon and multiple myeloma cancer recently diagnosed and going through or just finished treatment.
They would like to conduct 90 minute interviews in people's homes to learn more about everything from diagnosis to tools used and types of support received. They would compensate you $175 for this time plus an additional $25 for a pre-interview assignment.
I noticed that you are on or were on this type of journey so I'm following up to see if this sounds like something you might be a match for and if you would consider meeting with researchers? If yes, please send me an email at trena@foragedesignresearch.com. You can learn more about us at http://www.foragedesignresearch.com/.
Best, Trena</t>
        </is>
      </c>
      <c r="D4873" t="n">
        <v>39</v>
      </c>
      <c r="E4873" t="n">
        <v>35</v>
      </c>
      <c r="F4873">
        <f>HYPERLINK("https://www.reddit.com/r/cancer/comments/d6kzui/scam_alert_for_members_of_this_sub/")</f>
        <v/>
      </c>
      <c r="G4873" t="inlineStr">
        <is>
          <t>2019-09-19 14:55:47</t>
        </is>
      </c>
      <c r="H4873" t="inlineStr"/>
    </row>
    <row r="4874">
      <c r="A4874" t="inlineStr">
        <is>
          <t>d6l367</t>
        </is>
      </c>
      <c r="B4874" t="inlineStr">
        <is>
          <t>It's coming</t>
        </is>
      </c>
      <c r="C4874" t="inlineStr">
        <is>
          <t>It's weird to be waiting for the most pain you've ever felt. I am losing my mom in the next week or so. She was diagnosed with ovarian cancer a year ago. Her intestines stopped working and she's been having her stomach drained for almost 3 weeks, but throwing up daily for 2 months before that. Emotions come in waves and I'm okay right at this moment, but knowing such severe pain is coming is a very strange thing and I don't know how I'm going to react. I'm trying to do what I can for her and be there as much as I can. I'm 23 and I just started my first real job a few months ago, so I'm trying to balance a lot right now, but I know I'll be okay eventually.</t>
        </is>
      </c>
      <c r="D4874" t="n">
        <v>7</v>
      </c>
      <c r="E4874" t="n">
        <v>12</v>
      </c>
      <c r="F4874">
        <f>HYPERLINK("https://www.reddit.com/r/cancer/comments/d6l367/its_coming/")</f>
        <v/>
      </c>
      <c r="G4874" t="inlineStr">
        <is>
          <t>2019-09-19 15:02:51</t>
        </is>
      </c>
      <c r="H4874" t="inlineStr"/>
    </row>
    <row r="4875">
      <c r="A4875" t="inlineStr">
        <is>
          <t>d6lmcq</t>
        </is>
      </c>
      <c r="B4875" t="inlineStr">
        <is>
          <t>Diagnosis today</t>
        </is>
      </c>
      <c r="C4875" t="inlineStr">
        <is>
          <t>I (45f) was diagnosed with bladder cancer today. After the initial shock, I was fine, very practical and optimistic as it’s early and hopefully it is non invasive. Spent most of the day comforting other people
 I can’t sleep, I can’t settle, I’m not crying or worrying, I’m just, I don’t know. I guess I don’t even have a question. I don’t want to talk to anyone irl. I just really want to sleep and get today over and sleep won’t come.</t>
        </is>
      </c>
      <c r="D4875" t="n">
        <v>1</v>
      </c>
      <c r="E4875" t="n">
        <v>0</v>
      </c>
      <c r="F4875">
        <f>HYPERLINK("https://www.reddit.com/r/cancer/comments/d6lmcq/diagnosis_today/")</f>
        <v/>
      </c>
      <c r="G4875" t="inlineStr">
        <is>
          <t>2019-09-19 15:42:40</t>
        </is>
      </c>
      <c r="H4875" t="inlineStr"/>
    </row>
    <row r="4876">
      <c r="A4876" t="inlineStr">
        <is>
          <t>d6m5uv</t>
        </is>
      </c>
      <c r="B4876" t="inlineStr">
        <is>
          <t>Understanding my moms cancer</t>
        </is>
      </c>
      <c r="C4876" t="inlineStr">
        <is>
          <t>My mom got diagnosed with stage 4 lung cancer couple years ago, and at first it seemed ok. They put her in different kinds of treatments, and it was working. The happiest news I ever heard came earlier this year, her cancer was reduced by 80%. However, it seems like good news rarely stay around, recently all her cancer been been coming back with a vengeance.
Due to her chemo she was always weak, but always have enough energy to yell at me or do other daily activities. However, recently she been extremely tired to the point where she cant even walk up one flight of stairs. Her appetite is going, and she been losing on average 1-3 pounds almost every couple weeks. I am a bit scared, and want to know if anyone know what stage of cancer shes in. Is it bad like to the point of no return or is this normal? 
Tbh I feel like of stupid to ask, but I really dont know who else to talk to about this, and reddit has always been a place for my outlet.</t>
        </is>
      </c>
      <c r="D4876" t="n">
        <v>1</v>
      </c>
      <c r="E4876" t="n">
        <v>2</v>
      </c>
      <c r="F4876">
        <f>HYPERLINK("https://www.reddit.com/r/cancer/comments/d6m5uv/understanding_my_moms_cancer/")</f>
        <v/>
      </c>
      <c r="G4876" t="inlineStr">
        <is>
          <t>2019-09-19 16:24:30</t>
        </is>
      </c>
      <c r="H4876" t="inlineStr"/>
    </row>
    <row r="4877">
      <c r="A4877" t="inlineStr">
        <is>
          <t>d6m6o4</t>
        </is>
      </c>
      <c r="B4877" t="inlineStr">
        <is>
          <t>I lost my mom this morning</t>
        </is>
      </c>
      <c r="C4877" t="inlineStr">
        <is>
          <t>My heart hurts so badly today. Two weeks ago my mom was out watering her plants in the garden with my 3 year old daughter.
Today I had to watch her take her last breath. It physically pained me.
Her cancer moved so quickly and sudden we still don't even have a full diagnosis. There was just nothing they could do. It had spread to her lungs and her thyroid.
She was so healthy. She never smoked or drank. Ate healthy. No family history. Exercised. Regular check ups. I'm at a loss as how this happened.
The only silver lining I've found is that we were able to each talk with her and tell her we loved her before they put her under intubation...and that her suffering was brief. 
I will miss her every single day of my life. I do not know how to tell my 3 year old that her grammy is gone. This is the most terrible thing to ever happen to our family.
I'm sorry if this isn't the right place for this.</t>
        </is>
      </c>
      <c r="D4877" t="n">
        <v>28</v>
      </c>
      <c r="E4877" t="n">
        <v>5</v>
      </c>
      <c r="F4877">
        <f>HYPERLINK("https://www.reddit.com/r/cancer/comments/d6m6o4/i_lost_my_mom_this_morning/")</f>
        <v/>
      </c>
      <c r="G4877" t="inlineStr">
        <is>
          <t>2019-09-19 16:26:15</t>
        </is>
      </c>
      <c r="H4877" t="inlineStr"/>
    </row>
    <row r="4878">
      <c r="A4878" t="inlineStr">
        <is>
          <t>d6mcbq</t>
        </is>
      </c>
      <c r="B4878" t="inlineStr">
        <is>
          <t>How are caregivers managing impact to their work?</t>
        </is>
      </c>
      <c r="C4878" t="inlineStr">
        <is>
          <t>I think everyone in my wife's circle is a caregiver, so I'll qualify my role as primary driver and pharmacist.  
We've been at this for 18 months but my performance at work has been in a steady decline over the past 9 months or so.  I just checked last week and we've been to the ER 7 times since May, have spent approximately three weeks in the hospital since the beginning of the year (including 8 day stretch last week), and just yesterday started our third chemotherapy option after my wife had a recurrence in May.
My boss and his boss sort of know what's up and have been forgiving, but there's no end in sight and I need to make some kind of change.  I manage a small team of relatively junior engineers and they need someone who's head is in the game to keep them on target and mentor them as needed.  My strategic thinking has flatlined and my tolerance for bullshit is at an all time low.  I haven't broken the habit of over committing (which in my case basically means doing my job) so stuff is regularly late and I'm missing meetings/updates/etc.
I am aware of FMLA but that only covers 12 weeks a year.  I think I need to make a rather substantial change and am wondering what others have done in cases like this.  I'm a salaried information technology employee in the US financial sector if that is helpful at all.
Thanks in advance.</t>
        </is>
      </c>
      <c r="D4878" t="n">
        <v>5</v>
      </c>
      <c r="E4878" t="n">
        <v>5</v>
      </c>
      <c r="F4878">
        <f>HYPERLINK("https://www.reddit.com/r/cancer/comments/d6mcbq/how_are_caregivers_managing_impact_to_their_work/")</f>
        <v/>
      </c>
      <c r="G4878" t="inlineStr">
        <is>
          <t>2019-09-19 16:39:03</t>
        </is>
      </c>
      <c r="H4878" t="inlineStr"/>
    </row>
    <row r="4879">
      <c r="A4879" t="inlineStr">
        <is>
          <t>d6mkaq</t>
        </is>
      </c>
      <c r="B4879" t="inlineStr">
        <is>
          <t>Questions about lung cancer</t>
        </is>
      </c>
      <c r="C4879" t="inlineStr">
        <is>
          <t>Hey everyone, I’m 22m and smoked since I was a little. I recently stopped about a month ago. I recently started receiving super sharp and intense pain in my chest, and so bad that last week Thursday I went to the ER. They took xrays and didn’t find anything. They gave me an ibuprofen and told me it was from stress. Then as of a few days ago, I started getting sharp pains near both sides of my kidneys. I should also add that the pain in my chest hasn’t stopped and still hurts today. My back recently has also been feeling like sharp stabbing pains, more in the upper/mid area of my back but on the side of my left spine. I have been way more thirstier then usual aswell, and since April of this year I have lost a good amount of weight. I was 190 in April and as of today I am 165. 
I don’t know if I’m reaching or what it is, but should I maybe get some bloodwork? Or should I see if this goes away? I’m kind of embarrassed to even ask because I see people’s battles in this sub and I don’t want to mean any disrespect by jumping to conclusions. I’m just looking to see if it’s really worth going and maybe other people who have had similar symptoms to mine who have been diagnosed. 
Thank you.</t>
        </is>
      </c>
      <c r="D4879" t="n">
        <v>1</v>
      </c>
      <c r="E4879" t="n">
        <v>9</v>
      </c>
      <c r="F4879">
        <f>HYPERLINK("https://www.reddit.com/r/cancer/comments/d6mkaq/questions_about_lung_cancer/")</f>
        <v/>
      </c>
      <c r="G4879" t="inlineStr">
        <is>
          <t>2019-09-19 16:56:41</t>
        </is>
      </c>
      <c r="H4879" t="inlineStr"/>
    </row>
    <row r="4880">
      <c r="A4880" t="inlineStr">
        <is>
          <t>d6n53u</t>
        </is>
      </c>
      <c r="B4880" t="inlineStr">
        <is>
          <t>Food options for chemo-related cardboard mouth?</t>
        </is>
      </c>
      <c r="C4880" t="inlineStr">
        <is>
          <t>I’m a week into my first chemo cycle (every 21 days), and I’m having such a hard time eating anything that doesn’t turn into the taste and texture of cardboard. All the googling I’ve done has been feel-good articles about foods that don’t sound good when nauseated.</t>
        </is>
      </c>
      <c r="D4880" t="n">
        <v>3</v>
      </c>
      <c r="E4880" t="n">
        <v>23</v>
      </c>
      <c r="F4880">
        <f>HYPERLINK("https://www.reddit.com/r/cancer/comments/d6n53u/food_options_for_chemorelated_cardboard_mouth/")</f>
        <v/>
      </c>
      <c r="G4880" t="inlineStr">
        <is>
          <t>2019-09-19 17:44:33</t>
        </is>
      </c>
      <c r="H4880" t="inlineStr"/>
    </row>
    <row r="4881">
      <c r="A4881" t="inlineStr">
        <is>
          <t>d6nyg7</t>
        </is>
      </c>
      <c r="B4881" t="inlineStr">
        <is>
          <t>Hope and Positive Energy</t>
        </is>
      </c>
      <c r="C4881" t="inlineStr">
        <is>
          <t>My mom was diagnosed with stage IV lung carcinoma in May of this year - literally 2 weeks after her mother (my Granny) passed away from the same diagnosis. Our family was devastated and in disbelief. I researched TONS of natural solutions and helped as best as I could. The only recommendation of mine that she stayed consistent with was 1,000mg (twice daily) dosage of CBD oil. She had 4 treatments of chemo and immunotherapy. She lost her hair and had minor side effects but thankfully nothing unbearable. Well yesterday her tests results came back and the cancer shrunk 80%!!!!!!!!!! Thank you to God and the angels watching over her, especially my dear Granny!For someone who tries the natural approach to everything and was extremely disapproving of the chemo, I am shocked and proven wrong. Though everyone is different, it has worked positively for my mother. My advice to anyone experiencing the same thing: HAVE HOPE and STAY STRONG! Kick that cancers ass!!! My mom was happy and confident the entire treatment and for that... I thank the CBD!</t>
        </is>
      </c>
      <c r="D4881" t="n">
        <v>7</v>
      </c>
      <c r="E4881" t="n">
        <v>4</v>
      </c>
      <c r="F4881">
        <f>HYPERLINK("https://www.reddit.com/r/cancer/comments/d6nyg7/hope_and_positive_energy/")</f>
        <v/>
      </c>
      <c r="G4881" t="inlineStr">
        <is>
          <t>2019-09-19 18:51:30</t>
        </is>
      </c>
      <c r="H4881" t="inlineStr"/>
    </row>
    <row r="4882">
      <c r="A4882" t="inlineStr">
        <is>
          <t>d6pu7e</t>
        </is>
      </c>
      <c r="B4882" t="inlineStr">
        <is>
          <t>The truth about cervical cancer</t>
        </is>
      </c>
      <c r="C4882" t="inlineStr">
        <is>
          <t xml:space="preserve">
Only for women's, read very carefully and share it with someone maybe you'll save someone's life, who knows. Https://christmastools.net/10-dangerous-symptoms-of-cervical-cancer-you-should-never-ignore</t>
        </is>
      </c>
      <c r="D4882" t="n">
        <v>0</v>
      </c>
      <c r="E4882" t="n">
        <v>0</v>
      </c>
      <c r="F4882">
        <f>HYPERLINK("https://www.reddit.com/r/cancer/comments/d6pu7e/the_truth_about_cervical_cancer/")</f>
        <v/>
      </c>
      <c r="G4882" t="inlineStr">
        <is>
          <t>2019-09-19 21:40:35</t>
        </is>
      </c>
      <c r="H4882" t="inlineStr"/>
    </row>
    <row r="4883">
      <c r="A4883" t="inlineStr">
        <is>
          <t>d6q3fd</t>
        </is>
      </c>
      <c r="B4883" t="inlineStr">
        <is>
          <t>I’m 18 and need support.</t>
        </is>
      </c>
      <c r="C4883" t="inlineStr">
        <is>
          <t>This is something I never thought I’d be doing in my entire life. I need some support. My doctors think I could have leukemia and on Tuesday I see the hematology oncologist. I’m so scared. My grandfather died of leukemia. I aspire to join the Air Force or Army and I feel like everything is falling apart.</t>
        </is>
      </c>
      <c r="D4883" t="n">
        <v>45</v>
      </c>
      <c r="E4883" t="n">
        <v>19</v>
      </c>
      <c r="F4883">
        <f>HYPERLINK("https://www.reddit.com/r/cancer/comments/d6q3fd/im_18_and_need_support/")</f>
        <v/>
      </c>
      <c r="G4883" t="inlineStr">
        <is>
          <t>2019-09-19 22:07:32</t>
        </is>
      </c>
      <c r="H4883" t="inlineStr"/>
    </row>
    <row r="4884">
      <c r="A4884" t="inlineStr">
        <is>
          <t>d6qona</t>
        </is>
      </c>
      <c r="B4884" t="inlineStr">
        <is>
          <t>My mom has thymoma</t>
        </is>
      </c>
      <c r="C4884" t="inlineStr">
        <is>
          <t>My mom was getting ready to donate a kidney to her husband as she was a perfect match. During her testing to medically clear her, the doctor found a massive tumor in her chest (about the size of a fist). She was diagnosed with thymoma. At this point it is inoperable. She has completed 4 rounds of chemo therapy with little to no shrinkage. My heart hurts so bad. We are best friend. I lost my father at a young age and i can’t bear to lose my mother as well.</t>
        </is>
      </c>
      <c r="D4884" t="n">
        <v>10</v>
      </c>
      <c r="E4884" t="n">
        <v>2</v>
      </c>
      <c r="F4884">
        <f>HYPERLINK("https://www.reddit.com/r/cancer/comments/d6qona/my_mom_has_thymoma/")</f>
        <v/>
      </c>
      <c r="G4884" t="inlineStr">
        <is>
          <t>2019-09-19 23:09:21</t>
        </is>
      </c>
      <c r="H4884" t="inlineStr"/>
    </row>
    <row r="4885">
      <c r="A4885" t="inlineStr">
        <is>
          <t>d6qouj</t>
        </is>
      </c>
      <c r="B4885" t="inlineStr">
        <is>
          <t>Neulasta On-Body Injector</t>
        </is>
      </c>
      <c r="C4885" t="inlineStr">
        <is>
          <t>So today I went in to get my pump taken off after my first round of chemo ( freedom! Seriously, whoever designed the length of the tubing from port-to-connector didn't consider boobs, bras, or 'the weight of this thing yanking on your port'. I finally managed to tape it out of the way on my shirt, but doesn't really work when going for the 'subtle' look )  
Originally when I spoke to my oncologist, he'd mentioned wanting to give me something to keep my WBC up, just in case -- I work at a school ( even if I'm currently in an office ), and two of my roommates also work with the kiddos, so we wanted to be safe. I figured it was fine, it would just be one more thing given on chemo day, and nodded along.   
Nope. Turns out he prescribed Neulasta, an on-body-injector. I had no idea what was going on until the nurse pulled it out after taking off the pump, and got to watch me have a minor breakdown. I hate needles. I hate IVs. I've had some bad experiences with IVs, and had been looking forward to things like ' shower! ' and 'sleeping however I want! ' ( the port is still new, so I've been restricted in sleep positions for what feels like far too long ) and getting this thrown at me without warning was too much.   
For those not familiar: it's a small device that they stick on either your stomach or the back of your arm. It stabs you with a "short needle", and leaves a catheter in you. After 27 hours, it injects you with the medication through the catheter over 45 minutes, and then you peel it off and dispose of it.   
They agreed that this time, I can come in tomorrow and they will simply give me the shot 'normally' ( which is bad enough -- see above re: needles ), but that won't be an option in the future due to how the rest of my chemo days will be scheduled.   
Anyone have any experience with these? How badly does that initial needle hurt? Will I be able to feel the catheter after? I've heard that bone pain is a semi-common side effect as well?   
Thanks for the help!</t>
        </is>
      </c>
      <c r="D4885" t="n">
        <v>3</v>
      </c>
      <c r="E4885" t="n">
        <v>22</v>
      </c>
      <c r="F4885">
        <f>HYPERLINK("https://www.reddit.com/r/cancer/comments/d6qouj/neulasta_onbody_injector/")</f>
        <v/>
      </c>
      <c r="G4885" t="inlineStr">
        <is>
          <t>2019-09-19 23:09:57</t>
        </is>
      </c>
      <c r="H4885" t="inlineStr"/>
    </row>
    <row r="4886">
      <c r="A4886" t="inlineStr">
        <is>
          <t>d6s75x</t>
        </is>
      </c>
      <c r="B4886" t="inlineStr">
        <is>
          <t>To all the cancer folk out there – watch out for scammers.</t>
        </is>
      </c>
      <c r="C4886" t="inlineStr">
        <is>
          <t>By “cancer folk” I mean anyone who has now or in the past has had cancer, or to any caregiver or dear friend of someone with cancer. 
We can all feel desperate and grasp at any straws. I know that. And there are people who will take advantage of that desperation. 
Please always try to have someone else along with you to take notes and to help you understand what is going on. It’s hard to go it alone. 
And there are, most unfortunately, a lot of people who try to take advantage of cancer folks. 
I am with you. And my heart (at least for now) is with everyone here.</t>
        </is>
      </c>
      <c r="D4886" t="n">
        <v>17</v>
      </c>
      <c r="E4886" t="n">
        <v>1</v>
      </c>
      <c r="F4886">
        <f>HYPERLINK("https://www.reddit.com/r/cancer/comments/d6s75x/to_all_the_cancer_folk_out_there_watch_out_for/")</f>
        <v/>
      </c>
      <c r="G4886" t="inlineStr">
        <is>
          <t>2019-09-20 02:05:52</t>
        </is>
      </c>
      <c r="H4886" t="inlineStr"/>
    </row>
    <row r="4887">
      <c r="A4887" t="inlineStr">
        <is>
          <t>d6squ6</t>
        </is>
      </c>
      <c r="B4887" t="inlineStr">
        <is>
          <t>Practical question</t>
        </is>
      </c>
      <c r="C4887" t="inlineStr">
        <is>
          <t>I'm fighting cancer for the third time. During the previous two times I was CONSTANTLY cold during chemo. Blankets, hot water bottles, nothing seemed to work except scalding hot baths. Does anyone have any tips in case it happens again this time? There's just something so miserable about feeling sick and constantly being cold.</t>
        </is>
      </c>
      <c r="D4887" t="n">
        <v>7</v>
      </c>
      <c r="E4887" t="n">
        <v>15</v>
      </c>
      <c r="F4887">
        <f>HYPERLINK("https://www.reddit.com/r/cancer/comments/d6squ6/practical_question/")</f>
        <v/>
      </c>
      <c r="G4887" t="inlineStr">
        <is>
          <t>2019-09-20 03:08:30</t>
        </is>
      </c>
      <c r="H4887" t="inlineStr"/>
    </row>
    <row r="4888">
      <c r="A4888" t="inlineStr">
        <is>
          <t>d6t7vj</t>
        </is>
      </c>
      <c r="B4888" t="inlineStr">
        <is>
          <t>Nilandron</t>
        </is>
      </c>
      <c r="C4888" t="inlineStr">
        <is>
          <t>Hi, 
Has anyone in the US had trouble with getting hold of Nilandron due to it's cost? I'm a British journalist looking into drug price increases and would be really interested to hear about your experience.</t>
        </is>
      </c>
      <c r="D4888" t="n">
        <v>5</v>
      </c>
      <c r="E4888" t="n">
        <v>1</v>
      </c>
      <c r="F4888">
        <f>HYPERLINK("https://www.reddit.com/r/cancer/comments/d6t7vj/nilandron/")</f>
        <v/>
      </c>
      <c r="G4888" t="inlineStr">
        <is>
          <t>2019-09-20 03:59:00</t>
        </is>
      </c>
      <c r="H4888" t="inlineStr"/>
    </row>
    <row r="4889">
      <c r="A4889" t="inlineStr">
        <is>
          <t>d6vaq6</t>
        </is>
      </c>
      <c r="B4889" t="inlineStr">
        <is>
          <t>How long did you keep your port in after getting the all clear?</t>
        </is>
      </c>
      <c r="C4889" t="inlineStr">
        <is>
          <t>I’m a year in after remission last September. Financially, right now is a good time to get my port removed. Wanted to hear from some people on the sub before making a decision.</t>
        </is>
      </c>
      <c r="D4889" t="n">
        <v>3</v>
      </c>
      <c r="E4889" t="n">
        <v>11</v>
      </c>
      <c r="F4889">
        <f>HYPERLINK("https://www.reddit.com/r/cancer/comments/d6vaq6/how_long_did_you_keep_your_port_in_after_getting/")</f>
        <v/>
      </c>
      <c r="G4889" t="inlineStr">
        <is>
          <t>2019-09-20 06:58:09</t>
        </is>
      </c>
      <c r="H4889" t="inlineStr"/>
    </row>
    <row r="4890">
      <c r="A4890" t="inlineStr">
        <is>
          <t>d6vrca</t>
        </is>
      </c>
      <c r="B4890" t="inlineStr">
        <is>
          <t>Any advice for those who live far away from a relative fighting cancer?</t>
        </is>
      </c>
      <c r="C4890" t="inlineStr">
        <is>
          <t>My dad lives 3000 miles away from me. It's a six hour flight home, about $1000 round trip if you buy a ticket last minute. 
I'm struggling a ton with how to try to time visits home. He has stage 4 lymphoma, and the doctors aren't giving us a ton of info (they're still figuring out other options) but they say his chances are "low". I don't know if he has weeks, months, years. I'm out of vacation days but don't mind taking family leave to go home for an extended amount of time. My boss knows what's going on and is ready to be flexible and understanding, but that can only go so far. 
I just struggle trying to determine when to visit, because I can't just go every weekend. Do I go now, when he's still mentally there but physically struggling, and there won't be much I can do besides sit there and cry with him? Do I wait for the holidays at this point (Thanksgiving, Christmas) and try to save my favors with my boss to go back for more time around then, when maybe we could make some happier final memories? Do I just take the family leave and go home for six months my work will allow and accept the major disrupt to my job, but then what if I went home too early and after my leave is up he gets worse and really needs me? 
There's so much up in the air with his treatment and his health. Last night he got emergency admitted for a infection, which following chemo is not a good sign. What if this infection kills him and I'm not there. Or what if something in the next week's or months that's equally as fast happens and I never get a chance to say goodbye?
I've been calling home as much as I can but it doesn't feel like enough. My dad sits on the other end of the line in silence and I feel like he doesn't want to hang up because he knows our time is limited even though we both have nothing to say. God I'm such a mess. I wish I lived closer to home but I don't. 
Has anyone else been through something similar and have any advice? Should I just be trying to go home every month if I can? Did anyone regret not sacrificing more, like just leaving this job and being at home for awhile?</t>
        </is>
      </c>
      <c r="D4890" t="n">
        <v>7</v>
      </c>
      <c r="E4890" t="n">
        <v>4</v>
      </c>
      <c r="F4890">
        <f>HYPERLINK("https://www.reddit.com/r/cancer/comments/d6vrca/any_advice_for_those_who_live_far_away_from_a/")</f>
        <v/>
      </c>
      <c r="G4890" t="inlineStr">
        <is>
          <t>2019-09-20 07:32:35</t>
        </is>
      </c>
      <c r="H4890" t="inlineStr"/>
    </row>
    <row r="4891">
      <c r="A4891" t="inlineStr">
        <is>
          <t>d6wd38</t>
        </is>
      </c>
      <c r="B4891" t="inlineStr">
        <is>
          <t>I’m 17 and my dad has terminal cancer</t>
        </is>
      </c>
      <c r="C4891" t="inlineStr">
        <is>
          <t>I am 17 and I am pretty much a full time caretaker for my father who has stage 4 lung cancer (Adenocarcinoma) that has ravaged his body in the 5 months he has been diagnosed. He had surgery in May to biopsy the pleura since that was the only place that it presenting on his pet scan and we wanted to make sure we had the right diagnoses and there was a possibility it was mesothelioma that completely debilitated him. He was in pretty much constant excusing pain until he was admitted into hospice a few weeks ago. We are now faced with the choice of continuing his blood thinner which is keeping him alive (he is very prone to clots. He got a pulmonary embolism when he went off to have his port installed) but, with the progression of the cancer  a clot he could get anyway even on the medication would kill him anyway but instead of it being a “peaceful” death he would have that we could control with pain medication and other comfort care. He would instead bleed internally and would bleed to death and it would be very traumatic as he would most likely start choking on his own blood. This morning he gathered our family and said he can tell that he is dying and wants to stop the blood thinners so he is most likely going to pass with in a few days.  He has been showing sighs of passing soon anyway (he slept nearly all day yesterday, talking in his sleep ALOT, edema, and minimal appetite or thirst). I’m really anxious about him passing and I just hope that it is peaceful for him because that is what he deserves after the HELL he has been through for the past 5 months. If any of you have been in a situation like this PLEASE don’t hesitate to reach out as I know how lonely it can be.</t>
        </is>
      </c>
      <c r="D4891" t="n">
        <v>1</v>
      </c>
      <c r="E4891" t="n">
        <v>0</v>
      </c>
      <c r="F4891">
        <f>HYPERLINK("https://www.reddit.com/r/cancer/comments/d6wd38/im_17_and_my_dad_has_terminal_cancer/")</f>
        <v/>
      </c>
      <c r="G4891" t="inlineStr">
        <is>
          <t>2019-09-20 08:16:03</t>
        </is>
      </c>
      <c r="H4891" t="inlineStr"/>
    </row>
    <row r="4892">
      <c r="A4892" t="inlineStr">
        <is>
          <t>d6wkjv</t>
        </is>
      </c>
      <c r="B4892" t="inlineStr">
        <is>
          <t>How do I deal with parents that try to be supportive, but just aren't?</t>
        </is>
      </c>
      <c r="C4892" t="inlineStr">
        <is>
          <t>I started venting to my mom on the phone about cancer-related things that are bothering me. I was swearing and quite clearly upset, and in the middle of it she says that she "thinks I need to talk to someone, and not her." The other day I told her I was feeling sad and she said that "I have to try to be upbeat". I asked how, and she said she "doesn't know, but it's not good to be sad" (gee, mom, what revolutionary information! I never once considered that!). She also told me there was a book fair (I love books) and that we should go to it, before checking with the nurses if I could first. So I check and nope, I can't leave during my chemo round, and the book fair ended at the same time my chemo was gonna. I was upset the rest of the day (duh), and my mom got all upset with *me* for being upset, and kept saying she was "sorry for opening her mouth" and other dramatic comments.
I get this is rough for her too. I get this is hard for everyone. I get she's distressed and irritated as well. But nothing she does makes me feel supported. Everything she does makes me feel like I'm overreacting, or like I'm crazy, or like there's something wrong with me other than the cancer. I feel judged and like I'm inadequate for not handling this with such grace and being bubbly 100% of the time. I feel like I'm failing at being a patient and that if I'm not 100% happy 100% of the time, I'm doing something wrong. What the hell do I do? I can't talk to her anymore.</t>
        </is>
      </c>
      <c r="D4892" t="n">
        <v>44</v>
      </c>
      <c r="E4892" t="n">
        <v>50</v>
      </c>
      <c r="F4892">
        <f>HYPERLINK("https://www.reddit.com/r/cancer/comments/d6wkjv/how_do_i_deal_with_parents_that_try_to_be/")</f>
        <v/>
      </c>
      <c r="G4892" t="inlineStr">
        <is>
          <t>2019-09-20 08:31:16</t>
        </is>
      </c>
      <c r="H4892" t="inlineStr"/>
    </row>
    <row r="4893">
      <c r="A4893" t="inlineStr">
        <is>
          <t>d6xbft</t>
        </is>
      </c>
      <c r="B4893" t="inlineStr">
        <is>
          <t>Anyone else experience achey muscles a few weeks after treatments?</t>
        </is>
      </c>
      <c r="C4893" t="inlineStr">
        <is>
          <t>I’ve notified my oncologists about this, but they said they haven’t heard of it before; but that they also haven’t heard of many other things that ended up being common. I just finished treatments like 16 days ago. I did 6weeks of everyday chemo and radiation on weekdays. I didn’t suffer nearly as much as I could’ve, and after it was over I was at a high, mentally, and physics was only left with the balding spots on my head. Over the past few days though, I’ve developed this weird achey was/sensitivity in the muscles on my torso. Put simply, it feels like the surface layer of muscle on my torso (stomach, chest, and back; even my armpits if I extend them awkwardly) just beneath my skin is aching when I lay down or lay back for the first time in a while. A good example of is when I roll over in bed I get this achey sensation, it’s not my skin but it’s also definitely not internal organs or anything, either. It’s like the muscles just beneath my skin are sensitive and rolling over, laying on them abruptly, putting a lot of weight on them, etc, makes them feel slightly uncomfortable. I wish I could explain this better. It’s really disheartening to have people ignore what you’re saying because you can’t explain it well enough for them to understand. If anyone’s experienced anything similar please let me know.</t>
        </is>
      </c>
      <c r="D4893" t="n">
        <v>3</v>
      </c>
      <c r="E4893" t="n">
        <v>5</v>
      </c>
      <c r="F4893">
        <f>HYPERLINK("https://www.reddit.com/r/cancer/comments/d6xbft/anyone_else_experience_achey_muscles_a_few_weeks/")</f>
        <v/>
      </c>
      <c r="G4893" t="inlineStr">
        <is>
          <t>2019-09-20 09:24:48</t>
        </is>
      </c>
      <c r="H4893" t="inlineStr"/>
    </row>
    <row r="4894">
      <c r="A4894" t="inlineStr">
        <is>
          <t>d6xw6p</t>
        </is>
      </c>
      <c r="B4894" t="inlineStr">
        <is>
          <t>A year and half half into remission - I fear every little ache and pain. Anyone else have this same issue?</t>
        </is>
      </c>
      <c r="C4894" t="inlineStr">
        <is>
          <t>I am in decent health and most if not all, drug side effects have disappeared.
Any little ache or pain, and I start to panic and think the cancer has returned.  My visits with the oncologist have been great.
I also get blue when someone I know dies of the disease and think I'm next.
Anyone else out there deal with this?</t>
        </is>
      </c>
      <c r="D4894" t="n">
        <v>50</v>
      </c>
      <c r="E4894" t="n">
        <v>24</v>
      </c>
      <c r="F4894">
        <f>HYPERLINK("https://www.reddit.com/r/cancer/comments/d6xw6p/a_year_and_half_half_into_remission_i_fear_every/")</f>
        <v/>
      </c>
      <c r="G4894" t="inlineStr">
        <is>
          <t>2019-09-20 10:06:10</t>
        </is>
      </c>
      <c r="H4894" t="inlineStr"/>
    </row>
    <row r="4895">
      <c r="A4895" t="inlineStr">
        <is>
          <t>d6y0n2</t>
        </is>
      </c>
      <c r="B4895" t="inlineStr">
        <is>
          <t>My mom has never smoked a cigarette and has small cell lung cancer</t>
        </is>
      </c>
      <c r="C4895" t="inlineStr">
        <is>
          <t>My dad texted me yesterday telling me my mom has been diagnosed with small cell lung cancer which is the most aggressive type of lung cancer. She has never smoked even one cigarette in her life and she is only 60 years old. It's all I can think about. She had breast cancer 25 years ago and beat it. She says she will beat this but it is so rare. I am just hoping she will be with us for as long as possible. I feel so sad and useless. Her having to go through chemo and pain again right before she was planning to retire is just awful. I live in a city an hour and a half away and told her I'd come down but she said she doesn't know her schedule so she doesn't want me to come yet. I just want to see her as much as possible before...
I don't know what else to say.</t>
        </is>
      </c>
      <c r="D4895" t="n">
        <v>9</v>
      </c>
      <c r="E4895" t="n">
        <v>8</v>
      </c>
      <c r="F4895">
        <f>HYPERLINK("https://www.reddit.com/r/cancer/comments/d6y0n2/my_mom_has_never_smoked_a_cigarette_and_has_small/")</f>
        <v/>
      </c>
      <c r="G4895" t="inlineStr">
        <is>
          <t>2019-09-20 10:14:57</t>
        </is>
      </c>
      <c r="H4895" t="inlineStr"/>
    </row>
    <row r="4896">
      <c r="A4896" t="inlineStr">
        <is>
          <t>d6y2fq</t>
        </is>
      </c>
      <c r="B4896" t="inlineStr">
        <is>
          <t>Dealing with the nerves from uncertainty</t>
        </is>
      </c>
      <c r="C4896" t="inlineStr">
        <is>
          <t>Hey folks, 
First time poster here. Unfortunately a few weeks ago I discovered a hard but small lump in my neck around my collar bone. I decided to try and get in with my Rheumatologist and after inspecting the area, he seemed a tiny bit nervous but nothing over the top. He referred me to a Head and Neck Cancer Clinic and I got an appointment scheduled for next month. Although this has been a little nerve racking, especially since we lost our Aunt to cancer about a year ago, I have remained pretty calm. I’m only 24 and have had my fair share of medical scares so I’m almost “used to it”. 
But today I finally hit a point of genuine fear. I noticed that my left ankle had been especially weak in the recent weeks but attributed it to my RA or Ankylosing Spondylitis. While rubbing my leg this morning I noticed a large lump, very hard, and big enough to be seen pushing off of my tibia.  This was a huge “holy crap” moment. I immediately called the oncologist and notified him of my discovery and they are “discussing whether or not they need to pursue immediate action” because my appointment is still weeks and weeks away. 
I’m not sure what the purpose of this post really was, or even if I definitively have cancer. But wow this is scary. I’m definitely at a point of nervousness I don’t like being at.</t>
        </is>
      </c>
      <c r="D4896" t="n">
        <v>1</v>
      </c>
      <c r="E4896" t="n">
        <v>1</v>
      </c>
      <c r="F4896">
        <f>HYPERLINK("https://www.reddit.com/r/cancer/comments/d6y2fq/dealing_with_the_nerves_from_uncertainty/")</f>
        <v/>
      </c>
      <c r="G4896" t="inlineStr">
        <is>
          <t>2019-09-20 10:18:35</t>
        </is>
      </c>
      <c r="H4896" t="inlineStr"/>
    </row>
    <row r="4897">
      <c r="A4897" t="inlineStr">
        <is>
          <t>d6y8tz</t>
        </is>
      </c>
      <c r="B4897" t="inlineStr">
        <is>
          <t>My mom may have cancer</t>
        </is>
      </c>
      <c r="C4897" t="inlineStr">
        <is>
          <t>Me and my mom have always had an up and down relationship. We disagree on alot of things and that's gotten in the way of our relationship progressing. We had a big fight about a month ago and things haven't been the same since. She barely talks to me and vice versa. She's always had some health problems so when I noticed she was going to the doctors alot, I rode it off as just her having issues with a cyst in her ovaries (she's had alot of reproductive parts related health issues). But my stepdad just informed me that tomorrow they're going to the doctor to find out how far along and what kind of cancer she has. Idk if she forsure has it because i didn't ask any questions after that but now i don't know how to process it. I love my mom even if at times she hurts me. And I feel shitty for being cold towards her and not saying much. I knew she was having health problems but I never took it as this serious. None of my other siblings know and i doubt my mom even wanted me to know. I'm having trouble letting go of the argument we got into and being the bigger person and talking to her more. She's just been so cold towards me that it makes it hard for me to actually talk to her. Idk how to make peace with the fight and leave it in the past. She's never hurt me like she did when we fought and I feel like its changed our relationship forever. Any advice on the situation is welcome. I don't think I can handle talking to any of my friends about the situation so I've come to Reddit.</t>
        </is>
      </c>
      <c r="D4897" t="n">
        <v>4</v>
      </c>
      <c r="E4897" t="n">
        <v>3</v>
      </c>
      <c r="F4897">
        <f>HYPERLINK("https://www.reddit.com/r/cancer/comments/d6y8tz/my_mom_may_have_cancer/")</f>
        <v/>
      </c>
      <c r="G4897" t="inlineStr">
        <is>
          <t>2019-09-20 10:31:12</t>
        </is>
      </c>
      <c r="H4897" t="inlineStr"/>
    </row>
    <row r="4898">
      <c r="A4898" t="inlineStr">
        <is>
          <t>d6ybmt</t>
        </is>
      </c>
      <c r="B4898" t="inlineStr">
        <is>
          <t>Western Health Advantage and Mercy Hospitals</t>
        </is>
      </c>
      <c r="C4898" t="inlineStr">
        <is>
          <t>I qualify for health benefits at my job starting on October 1. They offer Western Health advantage, which I believe means I’d be going to Mercy hospitals.
I had non-Hodgkins lymphoma, but it’s in remission. Whatever health coverage I have, I want to be sure it covers this sort of thing in case it comes back.
Has anyone gone through the oncology department with Mercy? How was it?
I’d be leaving Kaiser, which I’ve been paying out of pocket for.</t>
        </is>
      </c>
      <c r="D4898" t="n">
        <v>3</v>
      </c>
      <c r="E4898" t="n">
        <v>3</v>
      </c>
      <c r="F4898">
        <f>HYPERLINK("https://www.reddit.com/r/cancer/comments/d6ybmt/western_health_advantage_and_mercy_hospitals/")</f>
        <v/>
      </c>
      <c r="G4898" t="inlineStr">
        <is>
          <t>2019-09-20 10:36:29</t>
        </is>
      </c>
      <c r="H4898" t="inlineStr"/>
    </row>
    <row r="4899">
      <c r="A4899" t="inlineStr">
        <is>
          <t>d6ybno</t>
        </is>
      </c>
      <c r="B4899" t="inlineStr">
        <is>
          <t>Giving back</t>
        </is>
      </c>
      <c r="C4899" t="inlineStr">
        <is>
          <t>Hi!  
I've stumbled across this post about this cancer survivor who gave back despite only being 8 years old. Children are often the ones who are leading examples of kindness and caring.  Hopefully, this will brighten your day and inspire you to be kind to others.</t>
        </is>
      </c>
      <c r="D4899" t="n">
        <v>1</v>
      </c>
      <c r="E4899" t="n">
        <v>0</v>
      </c>
      <c r="F4899">
        <f>HYPERLINK("https://www.reddit.com/r/cancer/comments/d6ybno/giving_back/")</f>
        <v/>
      </c>
      <c r="G4899" t="inlineStr">
        <is>
          <t>2019-09-20 10:36:31</t>
        </is>
      </c>
      <c r="H4899" t="inlineStr"/>
    </row>
    <row r="4900">
      <c r="A4900" t="inlineStr">
        <is>
          <t>d6yhbc</t>
        </is>
      </c>
      <c r="B4900" t="inlineStr">
        <is>
          <t>My Dad has Stage IV Prostate Cancer with Metastatic Bone Disease</t>
        </is>
      </c>
      <c r="C4900" t="inlineStr">
        <is>
          <t>That's the first time I've kind of said that to anyone other than my husband because it still seems unreal. He went to his yearly doctors appointment early this year because my parents going on vacation for a while. Turns out his PSA levels were five times what they should be, so vacation pushed back and biopsies and scans scheduled. We as a family didn't really panic at first because prostate cancer is usually very treatable, we didn't think that in a year since his last appoint where everything was good that it could be this bad. He didn't even have any pain or symptoms really.
We found out two days after I had major surgery (not cancer related) that not only is his cancer one of the most aggressive possible forms of prostate cancer it's already spread. He already has mets in other places: T10 - T12, pelvis, femur, lymph nodes, and sacrum. So, he's trying the androgen deprivation shots as a last ditch effort to control it's spread, other than that they've just given him the option of palliative radiation and chemo if he ever gets uncomfortable. But I think that's all the options we've got at this point and I still can't seem to make any of this stick as fact. 
I'm just lost and so confused, he just turned 60 and I'm not ready to lose my Dad in the next 2-5 years. I feel so useless and angry that I can't fix this, and I don't know what to do at all.</t>
        </is>
      </c>
      <c r="D4900" t="n">
        <v>1</v>
      </c>
      <c r="E4900" t="n">
        <v>0</v>
      </c>
      <c r="F4900">
        <f>HYPERLINK("https://www.reddit.com/r/cancer/comments/d6yhbc/my_dad_has_stage_iv_prostate_cancer_with/")</f>
        <v/>
      </c>
      <c r="G4900" t="inlineStr">
        <is>
          <t>2019-09-20 10:47:59</t>
        </is>
      </c>
      <c r="H4900" t="inlineStr"/>
    </row>
    <row r="4901">
      <c r="A4901" t="inlineStr">
        <is>
          <t>d6ytc8</t>
        </is>
      </c>
      <c r="B4901" t="inlineStr">
        <is>
          <t>Writing a book</t>
        </is>
      </c>
      <c r="C4901" t="inlineStr">
        <is>
          <t>Has anyone written a book about their cancer journey? I’ve been wanting to do it since I was first diagnosed 4 years ago but kept putting it off, I finally put pen to paper today. I haven’t wrote a ton, I jotted down some notes and wrote a rough introduction. If anyone has any tips and advice it would be greatly appreciated</t>
        </is>
      </c>
      <c r="D4901" t="n">
        <v>5</v>
      </c>
      <c r="E4901" t="n">
        <v>8</v>
      </c>
      <c r="F4901">
        <f>HYPERLINK("https://www.reddit.com/r/cancer/comments/d6ytc8/writing_a_book/")</f>
        <v/>
      </c>
      <c r="G4901" t="inlineStr">
        <is>
          <t>2019-09-20 11:11:38</t>
        </is>
      </c>
      <c r="H4901" t="inlineStr"/>
    </row>
    <row r="4902">
      <c r="A4902" t="inlineStr">
        <is>
          <t>d6zaiw</t>
        </is>
      </c>
      <c r="B4902" t="inlineStr">
        <is>
          <t>Are there any cancers that can go from stage 1 to death within 6 weeks?</t>
        </is>
      </c>
      <c r="C4902" t="inlineStr">
        <is>
          <t>Some cancers, such as pancreatic cancer, often *appear* to kill people within a short amount of time. The reason for that is it often isn’t diagnosed until it’s terminal, *however,* it was most likely developing for several years. But are there any cancers that can go from the day it develops (even if there are not symptoms) to death within 6 weeks? If so, what?</t>
        </is>
      </c>
      <c r="D4902" t="n">
        <v>1</v>
      </c>
      <c r="E4902" t="n">
        <v>0</v>
      </c>
      <c r="F4902">
        <f>HYPERLINK("https://www.reddit.com/r/cancer/comments/d6zaiw/are_there_any_cancers_that_can_go_from_stage_1_to/")</f>
        <v/>
      </c>
      <c r="G4902" t="inlineStr">
        <is>
          <t>2019-09-20 11:46:59</t>
        </is>
      </c>
      <c r="H4902" t="inlineStr"/>
    </row>
    <row r="4903">
      <c r="A4903" t="inlineStr">
        <is>
          <t>d721p5</t>
        </is>
      </c>
      <c r="B4903" t="inlineStr">
        <is>
          <t>How to handle guilt-tripping family?</t>
        </is>
      </c>
      <c r="C4903" t="inlineStr">
        <is>
          <t>My bf’s dad was supposed to start chemo/radiation for his Stage 3 cancer but instead is switching from a colostomy bag to an ileostomy bag due to some mistakes the previous surgeons made during his first hospital visit 😕
There’s a lot of info for his parents to process and they’re going back &amp;amp; forth on so many things and aren’t being very trusting of the doctors that they’ve seen so far...
Bf’s relationship with both parents isn’t exactly the Brady Bunch-type but it’s also not strained or drama-filled. He’s worried &amp;amp; nervous like everyone else in our family &amp;amp; trying to follow with everything his parents have shared with him. 
He’s already told his parents he is planning to visit his parents at the beginning of next month (not long from now) due to work and other family obligations going on. But his mom wanted him to drive 5 hrs last night, after working an 10-11 hr day to stay the weekend &amp;amp; keep them company in the hospital (his dad would be in surgery/recovery/sleeping most of the time). She is trying to guilt bf into coming sooner because she NEEDS him (she’s 50, healthy as ever &amp;amp; rather narcissistic) but is firm in his plans because moreorless summarized words- His dad is having a surgery to correct a mistake- not on the verge of death.
For anyone that has dealt with cancer in the family, how did you deal with family members guilt-tripping or being dramatic towards others?</t>
        </is>
      </c>
      <c r="D4903" t="n">
        <v>3</v>
      </c>
      <c r="E4903" t="n">
        <v>3</v>
      </c>
      <c r="F4903">
        <f>HYPERLINK("https://www.reddit.com/r/cancer/comments/d721p5/how_to_handle_guilttripping_family/")</f>
        <v/>
      </c>
      <c r="G4903" t="inlineStr">
        <is>
          <t>2019-09-20 15:18:53</t>
        </is>
      </c>
      <c r="H4903" t="inlineStr"/>
    </row>
    <row r="4904">
      <c r="A4904" t="inlineStr">
        <is>
          <t>d728ss</t>
        </is>
      </c>
      <c r="B4904" t="inlineStr">
        <is>
          <t>My father was diagnosed as terminal</t>
        </is>
      </c>
      <c r="C4904" t="inlineStr">
        <is>
          <t>Hi I posted here for quite a while about my father’s gastric cancer, he had surgery today and doctors said that they can’t operate because the cancer has advanced so bad, it’s on a spine too, throat, stomach and a few more organs. I am in total shock and I don’t know what to do...do terminal cancer patients have some kind of life expectancies? I also want to know if there was one who is currently terminal or has a terminal family member that can give me some support and give me some tips on how to accept this and how to expect his death. I am a 21 year old female college student, I also have a brother 18 years old and a sister 16 years old. I don’t know how they can get prepared for all of this considering they are younger than me, and I am very mentally ill and this situation makes it even way worse.
I keep thinking how in the future dad is not going to be able to see our accomplishments, my brother and sister’s marriage and kids, me graduating college and moving away to Canada, its hard for me that he won’t be able to experience these normal things that most parent’s experience. I wanted to make my father proud but due to my mental illness its been hard to make him proud and I need a few years to work on my goals, is there any way I can make him as comfortable as possible? And make him proud?</t>
        </is>
      </c>
      <c r="D4904" t="n">
        <v>9</v>
      </c>
      <c r="E4904" t="n">
        <v>12</v>
      </c>
      <c r="F4904">
        <f>HYPERLINK("https://www.reddit.com/r/cancer/comments/d728ss/my_father_was_diagnosed_as_terminal/")</f>
        <v/>
      </c>
      <c r="G4904" t="inlineStr">
        <is>
          <t>2019-09-20 15:35:12</t>
        </is>
      </c>
      <c r="H4904" t="inlineStr"/>
    </row>
    <row r="4905">
      <c r="A4905" t="inlineStr">
        <is>
          <t>d7377a</t>
        </is>
      </c>
      <c r="B4905" t="inlineStr">
        <is>
          <t>What is the difference between "grade 4" and "stage 4"? Is it the same?</t>
        </is>
      </c>
      <c r="C4905" t="inlineStr">
        <is>
          <t>I am reading up on Pineoblastoma as a friend has just been diagnosed. She is mid 20s.
Is stage 4 and grade 4 the same thing? Does this mean survival rate is low, or just that the cells are aggressive?</t>
        </is>
      </c>
      <c r="D4905" t="n">
        <v>6</v>
      </c>
      <c r="E4905" t="n">
        <v>7</v>
      </c>
      <c r="F4905">
        <f>HYPERLINK("https://www.reddit.com/r/cancer/comments/d7377a/what_is_the_difference_between_grade_4_and_stage/")</f>
        <v/>
      </c>
      <c r="G4905" t="inlineStr">
        <is>
          <t>2019-09-20 16:55:18</t>
        </is>
      </c>
      <c r="H4905" t="inlineStr"/>
    </row>
    <row r="4906">
      <c r="A4906" t="inlineStr">
        <is>
          <t>d739zh</t>
        </is>
      </c>
      <c r="B4906" t="inlineStr">
        <is>
          <t>My mom was diagnosed with thyroid cancer</t>
        </is>
      </c>
      <c r="C4906" t="inlineStr">
        <is>
          <t>She is scheduled to have her thyroid and glands in the area taken out in November, unless they can get her in sooner. After that she will do radioactive iodine treatment. I know now that her chances of treatment being successful are great, but I'm still having daily panic attacks, (up to ten times a day) and am dealing with a severe lack of sleep. My psychiatrist and case worker were supposed to call me two weeks ago to set up an emergency appointment in the middle of all this so that I don't have to go to the hospital. Nobody called and I can't get ahold of anybody or even a supervisor. Thinking of just hospitalizing myself so that somebody will give me the treatment I need to cope.</t>
        </is>
      </c>
      <c r="D4906" t="n">
        <v>3</v>
      </c>
      <c r="E4906" t="n">
        <v>6</v>
      </c>
      <c r="F4906">
        <f>HYPERLINK("https://www.reddit.com/r/cancer/comments/d739zh/my_mom_was_diagnosed_with_thyroid_cancer/")</f>
        <v/>
      </c>
      <c r="G4906" t="inlineStr">
        <is>
          <t>2019-09-20 17:02:03</t>
        </is>
      </c>
      <c r="H4906" t="inlineStr"/>
    </row>
    <row r="4907">
      <c r="A4907" t="inlineStr">
        <is>
          <t>d75ahy</t>
        </is>
      </c>
      <c r="B4907" t="inlineStr">
        <is>
          <t>My experience as a care giver and maybe some things you may find useful.</t>
        </is>
      </c>
      <c r="C4907" t="inlineStr">
        <is>
          <t>Hey all, I want to preface this post with the fact that everyone's experience will vary greatly but I felt like sharing a bit of my moms story and some things I found useful throughout the journey as a caregiver to someone I loved more than life itself when there was so little I could actually do about it.
My Mom was diagnosed with stage 2 Pancreatic cancer in July 5th of 2018 which they realized a few days later was stage 4 that head spread to her liver, she was given a six month prognosis while I am sad to say that I have lost her we over doubled that prognosis when she passed away just last month on August 25th, while this is far from a victory it meant we were able to enjoy a little bit more of life before it was her time.
The first and most important thing in my mind about this and it's important to make sure you have a clear line of communication with your loved one is the importance of their decisions, while it is awesome to give feedback and tell them what you think and doing research on your own and sharing it can some time be game changing at the end of the day you need to reassure them that you love them and you will love them whatever their choice may be on any given topic. my mom elected to do chemo even though the cancer was already stage 4 and while I do believe it extended her life we had far more bad days than good, literally a week prior to her passing our goal when she was in the hospital was to get her back to a place where she could keep fighting it. If you really love them its important to understand that while you as a caregiver want whats best for them unfortunately due to the circumstances whats best and what they want might not be the same thing and you have to respect their wishes.
Taking notes is so so so so so so so so SO important, after a while my moms memory started to get hazier and hazier and I was the one responsible for when she took her medication, I was working full time through out all of this so even the simple task of calling them to ensure they've taken it can be a huge help. If you are able to go to doctors appointments as tedious as it may be it can really help, My mom rarely remembered the specifics of what any of her oncologist/infectious disease/any medical professional really told her and while that stuff is typically well documented people do make mistakes, things get entered incorrectly, systems fail so taking note of these things and really taking an interest in results/medication changes can save a lot of headache for you and your loved one because no one is perfect. I hate to use this as an example but my mom had a stint put into her bile duct as she had issues passing waste because of the size of the tumor, the stint they had put in was designed to be replaced every 3 months and because of a failure on the medical teams part to assess this at a later date my mom had to go through a great deal of pain before we ended up having that stint replaced, I ended up having to be the one to tell them "hey, this needs to be replaced" on the visit after that even to ensure she didn't have to suffer through again.
And of course you need to take care of yourself, a lot of things in my life drastically changed such as living with my mom, we actually used a baby monitor when I would go to sleep just to ensure I'd be able to hear if she got sick or something happened. It's important to take advantage of people in your loved ones life who want to see them/hangout/whatever even if it's at your house. My mom never wanted to be alone so even having people come over gave me a little chance to close my door and just play video games for a little while and just chill out, obviously your loved one isn't a burden but it's far from an easy thing to do being the one responsible for them.
My inbox is always open for any of you who are either taking care of someone with cancer, or are going through cancer if you ever want to talk, the off chance I may give you some good advice, or just to bitch and moan because I will be the first to tell you I bitched and moaned plenty. I hope this helps.</t>
        </is>
      </c>
      <c r="D4907" t="n">
        <v>46</v>
      </c>
      <c r="E4907" t="n">
        <v>2</v>
      </c>
      <c r="F4907">
        <f>HYPERLINK("https://www.reddit.com/r/cancer/comments/d75ahy/my_experience_as_a_care_giver_and_maybe_some/")</f>
        <v/>
      </c>
      <c r="G4907" t="inlineStr">
        <is>
          <t>2019-09-20 20:13:21</t>
        </is>
      </c>
      <c r="H4907" t="inlineStr"/>
    </row>
    <row r="4908">
      <c r="A4908" t="inlineStr">
        <is>
          <t>d75fxn</t>
        </is>
      </c>
      <c r="B4908" t="inlineStr">
        <is>
          <t>HPV Vaccine for cervical cancer.</t>
        </is>
      </c>
      <c r="C4908" t="inlineStr">
        <is>
          <t>Hey all, I’ve posted this somewhere else before. Has any of you ladies on this thread, who are in their 20’s ever gotten the HPV vaccine? What was your experience with it? Any reaction to the vaccine? I’m uncertain if I want to get it done, I’ve done some research and go back and forth. Please I want a FEMALE, who has all the genitalia and women parts. I hope that does not sound harsh, I would really prefer a women’s perspective who is in their 20’s though. No teenagers please, because I know that it’s different for an adult, compared to a teenager.</t>
        </is>
      </c>
      <c r="D4908" t="n">
        <v>3</v>
      </c>
      <c r="E4908" t="n">
        <v>12</v>
      </c>
      <c r="F4908">
        <f>HYPERLINK("https://www.reddit.com/r/cancer/comments/d75fxn/hpv_vaccine_for_cervical_cancer/")</f>
        <v/>
      </c>
      <c r="G4908" t="inlineStr">
        <is>
          <t>2019-09-20 20:28:36</t>
        </is>
      </c>
      <c r="H4908" t="inlineStr"/>
    </row>
    <row r="4909">
      <c r="A4909" t="inlineStr">
        <is>
          <t>d75jpo</t>
        </is>
      </c>
      <c r="B4909" t="inlineStr">
        <is>
          <t>My stem cell transplant is almost here.</t>
        </is>
      </c>
      <c r="C4909" t="inlineStr">
        <is>
          <t>I posted a while ago that I would be getting a bone marrow transplant mid July but it was delayed after genetics testing came back. There was a higher percentage of malfunctioned genes than the doctors wanted so I continued to take Spyrcel (Dasatanib) for two more months with the hopes that it would put me closer to a remission level. The chemo drug stopped working as effectively in that time and we decided to go ahead with transplant.
Chemo started Tuesday this week and I go into the hospital Sunday for additional chemo and preparations for transplant. I get stem cells on Wednesday the 25th, which by coincidence is my birthday. 
I'm ready to get this over with - thanks to everyone in this community. It has been really helpful to have a place to discuss cancer with other people that are so closely connected to it. Thanks for all the info, stories, tips, etc. I will be stuck in a hospital for a while so I will keep checking back, feel free to ask questions if you have any.</t>
        </is>
      </c>
      <c r="D4909" t="n">
        <v>34</v>
      </c>
      <c r="E4909" t="n">
        <v>33</v>
      </c>
      <c r="F4909">
        <f>HYPERLINK("https://www.reddit.com/r/cancer/comments/d75jpo/my_stem_cell_transplant_is_almost_here/")</f>
        <v/>
      </c>
      <c r="G4909" t="inlineStr">
        <is>
          <t>2019-09-20 20:39:49</t>
        </is>
      </c>
      <c r="H4909" t="inlineStr"/>
    </row>
    <row r="4910">
      <c r="A4910" t="inlineStr">
        <is>
          <t>d76lv9</t>
        </is>
      </c>
      <c r="B4910" t="inlineStr">
        <is>
          <t>Lost my father to cancer, mom was just diagnosed today</t>
        </is>
      </c>
      <c r="C4910" t="inlineStr">
        <is>
          <t>Lost my father when I was 21 to melanoma, finally started to really move on from it. Mom is in another state getting treatment for what we thought was some random kidney infection she'd been dealing with for a few months. Turns out it was actually stage 4 ovarian cancer. I'm sitting here in a house all by myself since everyone else is in California with my mom and I can't be there because of work (not having PTO to use and boss not allowing me to use PTI to go out for two days), and I'm just depressed and scared. I remember watching my dad die slowly over a year and a half and I'm freaking out right now knowing I'm more than likely going to go through it all over again with my mom and I just don't know what to do.</t>
        </is>
      </c>
      <c r="D4910" t="n">
        <v>4</v>
      </c>
      <c r="E4910" t="n">
        <v>5</v>
      </c>
      <c r="F4910">
        <f>HYPERLINK("https://www.reddit.com/r/cancer/comments/d76lv9/lost_my_father_to_cancer_mom_was_just_diagnosed/")</f>
        <v/>
      </c>
      <c r="G4910" t="inlineStr">
        <is>
          <t>2019-09-20 22:34:58</t>
        </is>
      </c>
      <c r="H4910" t="inlineStr"/>
    </row>
    <row r="4911">
      <c r="A4911" t="inlineStr">
        <is>
          <t>d76xf9</t>
        </is>
      </c>
      <c r="B4911" t="inlineStr">
        <is>
          <t>Life and smiles</t>
        </is>
      </c>
      <c r="C4911" t="inlineStr">
        <is>
          <t>Someone told me I use cancer as an excuse. There is a difference between an excuse and a reason. An excuse is what an addict uses to feel better about thier decesion.  A reason is what a cancer patient uses to continue making decesions. NHL cancer myself. You live life to the fullest by creating and participating in as many smiles as you can behind every smile there is a memory.. when you feel limited in living get creative a smile is just around the bend. Where there is a will there is a way..</t>
        </is>
      </c>
      <c r="D4911" t="n">
        <v>3</v>
      </c>
      <c r="E4911" t="n">
        <v>2</v>
      </c>
      <c r="F4911">
        <f>HYPERLINK("https://www.reddit.com/r/cancer/comments/d76xf9/life_and_smiles/")</f>
        <v/>
      </c>
      <c r="G4911" t="inlineStr">
        <is>
          <t>2019-09-20 23:13:40</t>
        </is>
      </c>
      <c r="H4911" t="inlineStr"/>
    </row>
    <row r="4912">
      <c r="A4912" t="inlineStr">
        <is>
          <t>d772tv</t>
        </is>
      </c>
      <c r="B4912" t="inlineStr">
        <is>
          <t>How did you handle dating during and after cancer treatment?</t>
        </is>
      </c>
      <c r="C4912" t="inlineStr">
        <is>
          <t>Hey guys. I’m new to this subreddit and I’m glad I decided to speak to my fellow cancer fighters. I have (or had, still waiting my 8 weeks until my last pet scan that will confirm wether or not I still have cancer) Hodgkin’s Lymphoma and going through this whole ordeal has been a journey. However, I’d like to know how you guys went about dating. Did you put your life on hold like me? Did you wait to until your hair grew back or did you just jump right back into it? I’m nervous about talking to girls on tinder or hinge because my profile still has older photos of me prior to chemo. My Instagram, however, is linked on my profiles and has my journey documented so it’s not like I was hiding it.
TLDR - I don’t know if I should wait until I look like my older self or jump right back into dating via dating apps. How did you go about it?</t>
        </is>
      </c>
      <c r="D4912" t="n">
        <v>2</v>
      </c>
      <c r="E4912" t="n">
        <v>20</v>
      </c>
      <c r="F4912">
        <f>HYPERLINK("https://www.reddit.com/r/cancer/comments/d772tv/how_did_you_handle_dating_during_and_after_cancer/")</f>
        <v/>
      </c>
      <c r="G4912" t="inlineStr">
        <is>
          <t>2019-09-20 23:32:21</t>
        </is>
      </c>
      <c r="H4912" t="inlineStr"/>
    </row>
    <row r="4913">
      <c r="A4913" t="inlineStr">
        <is>
          <t>d79zoq</t>
        </is>
      </c>
      <c r="B4913" t="inlineStr">
        <is>
          <t>I wanna do something for a neighbor</t>
        </is>
      </c>
      <c r="C4913" t="inlineStr">
        <is>
          <t>We moved into our house about 7 years ago and our neighbor directly behind us had just been diagnosed but with treatments, he’s survived and lived a good life. Our families have become good friends. 
Well recently the decision was made to discontinue treatments and has had hospice in occasionally. We were planning a bbq for him this evening but we’ve been hearing from his wife that he’s losing mobility rather quickly. Just this am he fell out of bed (unhurt) but couldn’t get himself up and his wife is just a tiny little thing so they called me to help get him onto a chair. That being said I don’t think a bbq is going to happen. 
I’d love to do something for him that doesn’t require he move a lot. Does anyone have any ideas?  He is a classic rock music freak and plays guitar so I was thinking of doing one of those “cameo” shout outs for him.</t>
        </is>
      </c>
      <c r="D4913" t="n">
        <v>8</v>
      </c>
      <c r="E4913" t="n">
        <v>6</v>
      </c>
      <c r="F4913">
        <f>HYPERLINK("https://www.reddit.com/r/cancer/comments/d79zoq/i_wanna_do_something_for_a_neighbor/")</f>
        <v/>
      </c>
      <c r="G4913" t="inlineStr">
        <is>
          <t>2019-09-21 05:40:39</t>
        </is>
      </c>
      <c r="H4913" t="inlineStr"/>
    </row>
    <row r="4914">
      <c r="A4914" t="inlineStr">
        <is>
          <t>d7aukw</t>
        </is>
      </c>
      <c r="B4914" t="inlineStr">
        <is>
          <t>My mother has been given weeks to live</t>
        </is>
      </c>
      <c r="C4914" t="inlineStr">
        <is>
          <t>My mother has been fighting reoccurring ovarian cancer. After a long battle we have now been told she has weeks to live. A tumor has caused one lung to almost collapse and her liver is failing. I am leaving work to care for her. If any one has been through caring for a loved one at the end of there life, any advice? What can I expect to see?</t>
        </is>
      </c>
      <c r="D4914" t="n">
        <v>24</v>
      </c>
      <c r="E4914" t="n">
        <v>24</v>
      </c>
      <c r="F4914">
        <f>HYPERLINK("https://www.reddit.com/r/cancer/comments/d7aukw/my_mother_has_been_given_weeks_to_live/")</f>
        <v/>
      </c>
      <c r="G4914" t="inlineStr">
        <is>
          <t>2019-09-21 07:01:32</t>
        </is>
      </c>
      <c r="H4914" t="inlineStr"/>
    </row>
    <row r="4915">
      <c r="A4915" t="inlineStr">
        <is>
          <t>d7b8q9</t>
        </is>
      </c>
      <c r="B4915" t="inlineStr">
        <is>
          <t>What are the odds for my aunt?</t>
        </is>
      </c>
      <c r="C4915" t="inlineStr">
        <is>
          <t>She got recently the diagnosis lung cancer already spread to lymph nodes. I looked for some data saying that the 5 year survival rate is around 20 percent but this includes all lung cancer cases. And different persons are diagnosed at different stages. I heard especially lung cancer is often diagnosed when it's too late. I visited my aunt last week. She was able to take a medium walk and seemed to be okay except the diagnosis but she is of course worried but not depressed at all. If the tumor has advanced to lymph nodes but nowhere else what stage the tumor is? My dad knows much more I think but he does not talk to me and I don't want to force him to speak about this topic.</t>
        </is>
      </c>
      <c r="D4915" t="n">
        <v>2</v>
      </c>
      <c r="E4915" t="n">
        <v>8</v>
      </c>
      <c r="F4915">
        <f>HYPERLINK("https://www.reddit.com/r/cancer/comments/d7b8q9/what_are_the_odds_for_my_aunt/")</f>
        <v/>
      </c>
      <c r="G4915" t="inlineStr">
        <is>
          <t>2019-09-21 07:34:15</t>
        </is>
      </c>
      <c r="H4915" t="inlineStr"/>
    </row>
    <row r="4916">
      <c r="A4916" t="inlineStr">
        <is>
          <t>d7bm35</t>
        </is>
      </c>
      <c r="B4916" t="inlineStr">
        <is>
          <t>How to talk to a cancer patient?</t>
        </is>
      </c>
      <c r="C4916" t="inlineStr">
        <is>
          <t>I might need a bit of advice on this one. My mom has been diagnosed recently and been given months to live. One of the problems I'm dealing with is that I have no clue how to talk to her. When I see her I feel like breaking down, crying, saying I'm sorry and obviously I do none of that, I'm so lost.    
Do I pretend nothing is happening? Do I ask about what happens next? Do I try to bring up good memories and just try to be the clown? I don't want to make it harder for her, any help is appreciated, thanks</t>
        </is>
      </c>
      <c r="D4916" t="n">
        <v>3</v>
      </c>
      <c r="E4916" t="n">
        <v>6</v>
      </c>
      <c r="F4916">
        <f>HYPERLINK("https://www.reddit.com/r/cancer/comments/d7bm35/how_to_talk_to_a_cancer_patient/")</f>
        <v/>
      </c>
      <c r="G4916" t="inlineStr">
        <is>
          <t>2019-09-21 08:04:40</t>
        </is>
      </c>
      <c r="H4916" t="inlineStr"/>
    </row>
    <row r="4917">
      <c r="A4917" t="inlineStr">
        <is>
          <t>d7ccjr</t>
        </is>
      </c>
      <c r="B4917" t="inlineStr">
        <is>
          <t>Need help with CBD products</t>
        </is>
      </c>
      <c r="C4917" t="inlineStr">
        <is>
          <t>Hey, so this is my first post. My mom was diagnosed with stage 4 cancer a month ago and I’ve been lurking on this subreddit just looking for answers. It’s been a rough journey. But I’ve been trying to look into cbd products that help with pain or just makes her feel better. Maybe something with little to no thc. I’ve been looking for maybe hemp oils or pills or anything that will help. Anything and everything would be appreciated and thank you. 
TLDR: need help finding good cbd products.</t>
        </is>
      </c>
      <c r="D4917" t="n">
        <v>2</v>
      </c>
      <c r="E4917" t="n">
        <v>9</v>
      </c>
      <c r="F4917">
        <f>HYPERLINK("https://www.reddit.com/r/cancer/comments/d7ccjr/need_help_with_cbd_products/")</f>
        <v/>
      </c>
      <c r="G4917" t="inlineStr">
        <is>
          <t>2019-09-21 09:03:14</t>
        </is>
      </c>
      <c r="H4917" t="inlineStr"/>
    </row>
    <row r="4918">
      <c r="A4918" t="inlineStr">
        <is>
          <t>d7dafj</t>
        </is>
      </c>
      <c r="B4918" t="inlineStr">
        <is>
          <t>Dreamlab by Vodafone</t>
        </is>
      </c>
      <c r="C4918" t="inlineStr">
        <is>
          <t>Today I discovered an app by Vodafone called Dreamlab, they claim that while your phone is charging they use your phones processor to run calculations to support Project DRUGS (UK), Project Demystify (Australia) or Project 3D Genome (Italy). 
I can't think of a good enough reason personally not to use it and just thought that I'd share it in the hopes it might help people out there fighting cancer
https://www.vodafone.co.uk/dreamlab/
Mods: if this isn't the place to share this please remove it.</t>
        </is>
      </c>
      <c r="D4918" t="n">
        <v>0</v>
      </c>
      <c r="E4918" t="n">
        <v>0</v>
      </c>
      <c r="F4918">
        <f>HYPERLINK("https://www.reddit.com/r/cancer/comments/d7dafj/dreamlab_by_vodafone/")</f>
        <v/>
      </c>
      <c r="G4918" t="inlineStr">
        <is>
          <t>2019-09-21 10:16:19</t>
        </is>
      </c>
      <c r="H4918" t="inlineStr"/>
    </row>
    <row r="4919">
      <c r="A4919" t="inlineStr">
        <is>
          <t>d7djje</t>
        </is>
      </c>
      <c r="B4919" t="inlineStr">
        <is>
          <t>How fatal is "Paratesticular Low Grade Leiomyosarcoma"?</t>
        </is>
      </c>
      <c r="C4919" t="inlineStr">
        <is>
          <t>Someone I know has been discovered to have this disease. Doctor said that its a form of cancer, and a pretty rare case of cancer on top of that. Any of you know how fatal it is? I can't find enough medical case history on it.</t>
        </is>
      </c>
      <c r="D4919" t="n">
        <v>3</v>
      </c>
      <c r="E4919" t="n">
        <v>5</v>
      </c>
      <c r="F4919">
        <f>HYPERLINK("https://www.reddit.com/r/cancer/comments/d7djje/how_fatal_is_paratesticular_low_grade/")</f>
        <v/>
      </c>
      <c r="G4919" t="inlineStr">
        <is>
          <t>2019-09-21 10:35:41</t>
        </is>
      </c>
      <c r="H4919" t="inlineStr"/>
    </row>
    <row r="4920">
      <c r="A4920" t="inlineStr">
        <is>
          <t>d7eiat</t>
        </is>
      </c>
      <c r="B4920" t="inlineStr">
        <is>
          <t>Cancer is such a lonely journey</t>
        </is>
      </c>
      <c r="C4920" t="inlineStr">
        <is>
          <t>Im a relatively young (25) adult with ovarian cancer, after telling my friends about my diagnosis I've noticed they become more distant, anyone ever experience this?
It doesn't help that people my age are usually busy with their lives (career/socialising) , I can't join them for the usual outings anymore (eating out, bars, physical activities, normal 25 yo stuff etc) because I'm still having treatment. Its been months since I've seen anyone in person. 
They use to check in and hang out with me after the first few sessions but as time went on I notice they didnt even bother asking anymore, maybe because I always told them I was fine after the first few chemo sessions so they kinda assumed Im still fine now?
But it still kinda hurts that nobody bothers to drop by/check in anymore, worst thing is I know everyone still hangs out with each other occasionally just without me (they're open about it so its not behind my back). I'd have mixed feelings if they threw me a party for completing my treatments because I can't shake this feeling of abandonment. 
Am I just overthinking this, can't help feeling Im being selfish :/
Ps. I have a very supportive family so it's not all bad. Fellow fighter at the hospital are great but they're also mostly at least middle age (sometimes I wonder if its better or worst to be the youngest in the room) , are there any communities I can join for young cancer fighters?</t>
        </is>
      </c>
      <c r="D4920" t="n">
        <v>65</v>
      </c>
      <c r="E4920" t="n">
        <v>21</v>
      </c>
      <c r="F4920">
        <f>HYPERLINK("https://www.reddit.com/r/cancer/comments/d7eiat/cancer_is_such_a_lonely_journey/")</f>
        <v/>
      </c>
      <c r="G4920" t="inlineStr">
        <is>
          <t>2019-09-21 11:50:32</t>
        </is>
      </c>
      <c r="H4920" t="inlineStr"/>
    </row>
    <row r="4921">
      <c r="A4921" t="inlineStr">
        <is>
          <t>d7ewz1</t>
        </is>
      </c>
      <c r="B4921" t="inlineStr">
        <is>
          <t>Mom with bone cancer can't pass urine for last 12 hours. Is that emergency room status?</t>
        </is>
      </c>
      <c r="C4921" t="inlineStr">
        <is>
          <t>Hi,
My mom has acinic cell carcinoma that is present in many areas of the spine. She is not yet being treated although we have been working with drs to get a proper treatment plan.
Anyway, we met with the oncologist yesterday and he mentioned that if there is any pain, tingling, or numbness in the legs or belly that this would be a situation for the emergency room since the cancer could be compressing the spine and can cause paralysis if untreated. 
He also mentioned that trouble with stool or urine would be something to look out for as well. My mom just mentioned that despite trying, she hasn't been able to go pee since this morning. She is on laxatives to help offset the constipation symptoms with pain meds but this is the first time she hasn't been able to pee. Since it has only been 12 hours I wasn't sure if we should wait longer or if this is something that needs to be treated now. 
Thank you.</t>
        </is>
      </c>
      <c r="D4921" t="n">
        <v>3</v>
      </c>
      <c r="E4921" t="n">
        <v>7</v>
      </c>
      <c r="F4921">
        <f>HYPERLINK("https://www.reddit.com/r/cancer/comments/d7ewz1/mom_with_bone_cancer_cant_pass_urine_for_last_12/")</f>
        <v/>
      </c>
      <c r="G4921" t="inlineStr">
        <is>
          <t>2019-09-21 12:20:41</t>
        </is>
      </c>
      <c r="H4921" t="inlineStr"/>
    </row>
    <row r="4922">
      <c r="A4922" t="inlineStr">
        <is>
          <t>d7hcz1</t>
        </is>
      </c>
      <c r="B4922" t="inlineStr">
        <is>
          <t>Help me out?</t>
        </is>
      </c>
      <c r="C4922" t="inlineStr">
        <is>
          <t>These posts are really making me sad, bless you all, but I’m here to ask a question. What are some products or foods that increase cancer? I’d like to know what I should stay away from. Are there any foods that decrease cancer?</t>
        </is>
      </c>
      <c r="D4922" t="n">
        <v>7</v>
      </c>
      <c r="E4922" t="n">
        <v>14</v>
      </c>
      <c r="F4922">
        <f>HYPERLINK("https://www.reddit.com/r/cancer/comments/d7hcz1/help_me_out/")</f>
        <v/>
      </c>
      <c r="G4922" t="inlineStr">
        <is>
          <t>2019-09-21 15:21:29</t>
        </is>
      </c>
      <c r="H4922" t="inlineStr"/>
    </row>
    <row r="4923">
      <c r="A4923" t="inlineStr">
        <is>
          <t>d7k73v</t>
        </is>
      </c>
      <c r="B4923" t="inlineStr">
        <is>
          <t>Urologist found two tumors in my bladder</t>
        </is>
      </c>
      <c r="C4923" t="inlineStr">
        <is>
          <t>Feeling a lot of different things right now.  The urologist described them as 'superficial' and look to be on the surface of the bladder.  Doing some research, though, most sources indicate that 80-90% of all bladder tumors are malignant.  I've got an endoscopic procedure scheduled for October 3rd to get them scraped out and from there, they will do a biopsy on the tumor tissue.  The good news that I can tell is that bladder cancer is normally highly treatable with a single round of chemo.  I'm going to take solace in that as that's all I've got to go on at this point.  Anyone else going through something similar that can provide any guidance?  I'm really scared.</t>
        </is>
      </c>
      <c r="D4923" t="n">
        <v>10</v>
      </c>
      <c r="E4923" t="n">
        <v>6</v>
      </c>
      <c r="F4923">
        <f>HYPERLINK("https://www.reddit.com/r/cancer/comments/d7k73v/urologist_found_two_tumors_in_my_bladder/")</f>
        <v/>
      </c>
      <c r="G4923" t="inlineStr">
        <is>
          <t>2019-09-21 18:59:35</t>
        </is>
      </c>
      <c r="H4923" t="inlineStr"/>
    </row>
    <row r="4924">
      <c r="A4924" t="inlineStr">
        <is>
          <t>d7krn7</t>
        </is>
      </c>
      <c r="B4924" t="inlineStr">
        <is>
          <t>Surviving the end of radiation to head/neck</t>
        </is>
      </c>
      <c r="C4924" t="inlineStr">
        <is>
          <t>Hello all! I’ve completed 6 doses of cisplatin and gone 30 rounds with the radiation machine so treatment is DONE!! I’d say I’m relieved but it seems like things aren’t going to get better for a while. I’ve had to go for iv fluids every day because this crazy mucus is trying to drown me and keeps making me cough and cough till I throw up. My throat feels so tight and swallowing is painful and the hydrocodone my doctor prescribed doesn’t do anything to help. I’m grateful that the swallow pain is really the only pain I’m experiencing but I’m just so OVER this! How much longer will it be before I can enjoy a simple glass of water again? That’s all I really want. As always, I appreciate hearing about your experiences!</t>
        </is>
      </c>
      <c r="D4924" t="n">
        <v>11</v>
      </c>
      <c r="E4924" t="n">
        <v>9</v>
      </c>
      <c r="F4924">
        <f>HYPERLINK("https://www.reddit.com/r/cancer/comments/d7krn7/surviving_the_end_of_radiation_to_headneck/")</f>
        <v/>
      </c>
      <c r="G4924" t="inlineStr">
        <is>
          <t>2019-09-21 19:53:47</t>
        </is>
      </c>
      <c r="H4924" t="inlineStr"/>
    </row>
    <row r="4925">
      <c r="A4925" t="inlineStr">
        <is>
          <t>d7l3a2</t>
        </is>
      </c>
      <c r="B4925" t="inlineStr">
        <is>
          <t>Saw my dad for the first time since he started chemo</t>
        </is>
      </c>
      <c r="C4925" t="inlineStr">
        <is>
          <t>My dad is on his 70s and has been battling prostate cancer for about 15 years now. He's had all kinds of treatment for it since he started, and had been battling other health issues throughout. I live far away and flew in as a surprise and wanted to be prepared for it but it was so hard. I've never seen him like this before and I tried not to cry but I couldn't stop. I hate that he had to comfort me while he sitting there shaking with a fever of 104. I want to be stronger for him. I don't know how people do this. Wishing you all the best.</t>
        </is>
      </c>
      <c r="D4925" t="n">
        <v>3</v>
      </c>
      <c r="E4925" t="n">
        <v>2</v>
      </c>
      <c r="F4925">
        <f>HYPERLINK("https://www.reddit.com/r/cancer/comments/d7l3a2/saw_my_dad_for_the_first_time_since_he_started/")</f>
        <v/>
      </c>
      <c r="G4925" t="inlineStr">
        <is>
          <t>2019-09-21 20:25:06</t>
        </is>
      </c>
      <c r="H4925" t="inlineStr"/>
    </row>
    <row r="4926">
      <c r="A4926" t="inlineStr">
        <is>
          <t>d7m6mw</t>
        </is>
      </c>
      <c r="B4926" t="inlineStr">
        <is>
          <t>Finally Dumped my bf during chemotherapy</t>
        </is>
      </c>
      <c r="C4926" t="inlineStr">
        <is>
          <t>We were long distance. I video called him in May when I did first time chemotherapy, I was nervous, scared and sick. He went to pee in front of me a min later in the video. It was so gross and I dumped him. 
Before I got diagnosed I already want to break up with him with thousand reasons. Because he always made stupid joke including said he wish me to died, he has no manner, he sit on the floor in airport instead of chairs, he put off his shoes and socks in airplane. He still message other girls when first with me. I thought someone gonna support me when cancer and After got diagnosed I was in a mess so I didn’t do it. But finally I did it and dumped him! 
Although I still in chemo till November. I have lymphoma but I wish I get healed and be a better person. Doc said I have been sick for few years maybe that’s why my judgement all wrong.</t>
        </is>
      </c>
      <c r="D4926" t="n">
        <v>23</v>
      </c>
      <c r="E4926" t="n">
        <v>14</v>
      </c>
      <c r="F4926">
        <f>HYPERLINK("https://www.reddit.com/r/cancer/comments/d7m6mw/finally_dumped_my_bf_during_chemotherapy/")</f>
        <v/>
      </c>
      <c r="G4926" t="inlineStr">
        <is>
          <t>2019-09-21 22:18:31</t>
        </is>
      </c>
      <c r="H4926" t="inlineStr"/>
    </row>
    <row r="4927">
      <c r="A4927" t="inlineStr">
        <is>
          <t>d7m7qb</t>
        </is>
      </c>
      <c r="B4927" t="inlineStr">
        <is>
          <t>Papillary Thyroid Cancer</t>
        </is>
      </c>
      <c r="C4927" t="inlineStr">
        <is>
          <t>For the past Year and a half maybe 2 years i’ve noticed a solid lump at the front of my neck it was there but wasn’t that noticeable, at this point I never knew what a thyroid was or where it was located so I didn’t think anything of it, until around December of last year my family mentioned it to me and had felt it and said I needed it checked out because it had gotten noticeably larger than before hesitantly I made an appointment and started going to the doctor in early January from there they ordered a ultrasound and bloodwork. I had the ultrasound done a couple weeks later the ultrasound technician was having problems getting a clear picture of the thyroid and wanted to do a MRI but she was told to just do an ultrasound and send what pictures she could get over to be reviewed after a little while she was able to get some pictures and then a week later I was referred over to an ENT (Ear, Nose and Throat doctor) there he told me that the thyroid was functioning and that some thyroids work normally and are larger and some are smaller but aren’t working properly (this never made any sense to me) he also mentioned that supposedly there were no masses found. He told me that the options I had were 1. Get surgery (since it was small enough to be taken out) or 2. just wait it out and see if it goes away on its own (which it never did) I who was 21 at the time didn’t want the surgery because of the risks involved such as damage to vocal cords along with bleeding, I had done my own “research “ and found that levothyroxine could help shrink it and I asked him about that and he said he doesn’t usually use this method because it doesn’t usually work but I decided to try it anyway, looking back I wish I had just gotten the surgery but I just wanted to try other options first before having a surgery on my neck, after about 2-3 months I believe of taking it I noticed it seemed to be getting bigger I told him this and he didn’t seem to be concerned or even notice but the nurse did when I told her that I thought it was getting bigger she agreed so I decided to get the surgery because I just felt like something was wrong. Also I never had any other ultrasounds or scans within the 4-5 months of seeing this doctor to make sure there still weren’t any masses. The surgery was scheduled pretty quickly I had a sub total thyroidectomy on July 3rd since they had thought it was just a goiter they decided on only taking part of the thyroid gland out so I wouldn’t have to worry about taking levothyroxine everyday. The day of surgery I met the surgeon (he is the partner of the doctor I was previously seeing) and he felt my neck and thought it was just a goiter as well but in surgery that wasn’t the case. They discovered a mass on my jawline and took that out along with a most of my thyroid and sent the mass to pathology but i’m pretty sure he knew at this point that it was in fact cancer but I wouldn’t know for sure until a week after my surgery at my post op appointment where he told me that the pathology came back as papillary thyroid cancer I can’t tell you what a I felt in that moment it was like someone had punched me in the stomach. He explained that this shouldn’t effect life expectancy since i’m a woman under the age of 40 and that this isn’t the kind of cancer that’ll make me sick or anything like that. He told me that i’d have to take between 1-2 doses of radioactive iodine to get rid of the rest of the thyroid tissue and cancer cells and that should take care of it. I was then referred to a cancer doctor and we just discussed the radioactive iodine and that before I do that i’d have to get a cat scan to make sure the cancer hadn’t spread to any other parts of my body and depending if it had or hadn’t that would determine the amount of radioactive iodine to put into the pill(s) it came back that the cancer appeared to just be in my neck which is what they wanted then we began the process to actually take the radioactive iodine which included a low iodine diet for about 2 weeks before I took the radioactive iodine and 2 Thyrogen shots to make the thyroid “thirsty “ for iodine so that way it soaks up the radioactive iodine. I took the 2 pills on the 30th of August and at first didn’t really feel anything except a weird taste in my mouth but a day later I started to  get a severely sore throat and horrible dry mouth and for a day or 2 my neck was swollen.  but the dry mouth and sore throat lasted for a week but things could always be worse so i’m not complaining but at the time it was awful, I was also constantly hungry and I was told that it  was because of the Thyrogen shots. 10 days later I had to do a full body scan to make sure that the cancer hadn’t spread anywhere and i’m hoping it hasn’t, I have a follow up appointment on oct 2nd so hopefully everything comes back good so until then it’s just a wait and see. Sorry for the long detailed post but I just decided to share my story/help educate people because I didn’t know anything about the thyroid prior to this . Also I’ve read a lot of your guys posts on here and my heart breaks for all of you guys i’m so sorry for what you guys are going through, sending positive thoughts to all of you.</t>
        </is>
      </c>
      <c r="D4927" t="n">
        <v>4</v>
      </c>
      <c r="E4927" t="n">
        <v>7</v>
      </c>
      <c r="F4927">
        <f>HYPERLINK("https://www.reddit.com/r/cancer/comments/d7m7qb/papillary_thyroid_cancer/")</f>
        <v/>
      </c>
      <c r="G4927" t="inlineStr">
        <is>
          <t>2019-09-21 22:21:52</t>
        </is>
      </c>
      <c r="H4927" t="inlineStr"/>
    </row>
    <row r="4928">
      <c r="A4928" t="inlineStr">
        <is>
          <t>d7n980</t>
        </is>
      </c>
      <c r="B4928" t="inlineStr">
        <is>
          <t>Free Stuff / Paid Studies?</t>
        </is>
      </c>
      <c r="C4928" t="inlineStr">
        <is>
          <t>Is anyone aware of legitimate offerings for free products that may benefit cancer patients or paid research studies that are looking for current cancer patients?</t>
        </is>
      </c>
      <c r="D4928" t="n">
        <v>1</v>
      </c>
      <c r="E4928" t="n">
        <v>2</v>
      </c>
      <c r="F4928">
        <f>HYPERLINK("https://www.reddit.com/r/cancer/comments/d7n980/free_stuff_paid_studies/")</f>
        <v/>
      </c>
      <c r="G4928" t="inlineStr">
        <is>
          <t>2019-09-22 00:27:28</t>
        </is>
      </c>
      <c r="H4928" t="inlineStr"/>
    </row>
    <row r="4929">
      <c r="A4929" t="inlineStr">
        <is>
          <t>d7ndos</t>
        </is>
      </c>
      <c r="B4929" t="inlineStr">
        <is>
          <t>Guys, I'm feeling a lot of pain</t>
        </is>
      </c>
      <c r="C4929" t="inlineStr">
        <is>
          <t>I've tried to make jokes and apparently Reddit thinks that I need to eat red meat. I hope they are all right tbh. Anyway, for the last several days I have had pain and bruising on only one side. Motrin isn't helping. I've had children, surgeries throughout the years, etc. This is different and feels like it's my though bone that hurts not a pulled muscle. It hurts more if I try to massage it. 
Does any of this sound like cancer or do you think that I should just keep looking for a place that sells meat. What a dumb thing to even post but I'm honestly hurting and wake up or stay up the last few nights.</t>
        </is>
      </c>
      <c r="D4929" t="n">
        <v>1</v>
      </c>
      <c r="E4929" t="n">
        <v>3</v>
      </c>
      <c r="F4929">
        <f>HYPERLINK("https://www.reddit.com/r/cancer/comments/d7ndos/guys_im_feeling_a_lot_of_pain/")</f>
        <v/>
      </c>
      <c r="G4929" t="inlineStr">
        <is>
          <t>2019-09-22 00:43:15</t>
        </is>
      </c>
      <c r="H4929" t="inlineStr"/>
    </row>
    <row r="4930">
      <c r="A4930" t="inlineStr">
        <is>
          <t>d7nltk</t>
        </is>
      </c>
      <c r="B4930" t="inlineStr">
        <is>
          <t>Very promising results for treating non-Hodgkin lymphoma using Betalutin (Radioimmunotherapy)</t>
        </is>
      </c>
      <c r="C4930" t="inlineStr">
        <is>
          <t>[Nordic Nanovector](http://www.nordicnanovector.com) is a small Norwegian company which are currently carrying out a worldwide study for treatment of non-Hodgins lymphoma.  Tha results are so promising that the company are already working on production facilities for the medicine and towards worldwide distribution.
[A Phase I/II Study of Betalutin for Treatment of Relapsed Non-Hodgkin Lymphoma (LYMRIT-37-01)](https://clinicaltrials.gov/ct2/show/NCT01796171)
Brief Summary:
&amp;gt;This study is a phase I/II, open-label study in patients with relapsed indolent non-Hodgkin lymphoma. Part A of the study included a phase I dose escalation to define the maximum tolerated / recommended dose for expansion of (177Lu)-lilotomab (Betalutin), and a phase IIa part to evaluate safety and preliminary efficacy. Part B of the study will assess the efficacy and safety of two different Betalutin/lilotomab dosing regimens in adult patients with relapsed rituximab / anti-CD20-refractory follicular lymphoma who have received 2 or more prior therapies.
The study are still recrouting new patients. Data readout for advanced studies expected 2H 2020
The preliminary results are almost "too good to be true"
Patient characteristics for the study:  Elderly (median 68 years), Heavily pre-treated with advanced-stage disease at baseline.
Simple single dose treatment (one injection), Well tolerated with only minor short term side-effects which give patients high quality of life during the treatment. High overall respons rate for patients.
The promising results has been recognized by Government:
* Fast-track designation granted in the US in June 2018
* Promising Innovative Medicine (PIM) designation granted in the UK in October 2018</t>
        </is>
      </c>
      <c r="D4930" t="n">
        <v>2</v>
      </c>
      <c r="E4930" t="n">
        <v>1</v>
      </c>
      <c r="F4930">
        <f>HYPERLINK("https://www.reddit.com/r/cancer/comments/d7nltk/very_promising_results_for_treating_nonhodgkin/")</f>
        <v/>
      </c>
      <c r="G4930" t="inlineStr">
        <is>
          <t>2019-09-22 01:12:21</t>
        </is>
      </c>
      <c r="H4930" t="inlineStr"/>
    </row>
    <row r="4931">
      <c r="A4931" t="inlineStr">
        <is>
          <t>d7pce9</t>
        </is>
      </c>
      <c r="B4931" t="inlineStr">
        <is>
          <t>22,Last year was the best in my life, and was on my way to realising my dreams, yesterday I found out I had Ewing's sarcoma</t>
        </is>
      </c>
      <c r="C4931" t="inlineStr">
        <is>
          <t>I'm a 22 year old male who's soon to be 23 this Tuesday and here's my story: 
I grew up in a good loving family, which I'm thankful for, but  growing up my life outside the house wasn't something I'd look forward to. I was the skinny kid in school, so I got bullied pretty much every year in school until I changed highschools. It once got so bad I stopped going out altogether for a good 3 years, my eyes would burn if I saw the sun, my peers were socialising and building their personalities, while I was becoming lonely, awkward, anorexic - but thanks to my family  never depressed - , everyday I go to sleep I'd dream of being fit, funny and talkative like when I was a kid, maybe even fall in love!
At 17, I had to change highschools due to course availablity, I met some of my primary school friends, who are really good people, and helped me build myself back up. Over the next few years started taking care of myself, trying to become socially adept, athletic, and all around a great person. There were some hard times in that journey, mainly at 20yo I lost almost all my college friends because of my scoial skills ( I had a feud with a girl in our group, and I handled the situation badly ). But hey, I stood up again , and this time I was actually becoming a functional person and a friend, last couple of years i made a best friend, few more good friends and socially things were perfect.
Meanwhile, I also was working towards my fitness, took a good 4 years to stop getting injured and get the diet right, but I finally did it, last year I was swimming 2 twice a week easily, was running track and my cardio was phenomenal, in the gym I increased my bench from 40kg to 90kg for reps. I even started getting some looks for the girls in college! I asked someone out, but as it was my first time I fucked it up.
So about February 2019, I start getting this pain in iliac crest, but only when contracting my abs/hip flexors, but since I was working out so much, I figured it was tendonitis ( I mean a medical student, I can't be possibly wrong right?). The pain kept coming and going but every it stayed a day longer, and my hip muscles started getting stiff and my butt muscles aching a bit, i started to think it was a bone related issue, but I'm a healthy 22 year old, with no history of cancer in the family.
4th of August 2019, I wake up with some mild butt pain ( back pain I thought, for sure ), that evening I go for a run despite  the pain, and as soon as I go back home, the pain goes from a 1/10 to 5/10, so I took antiinflammatory drugs and went to bed. Next morning I wake up with excruciating pain in my hip. I decide to take a radiography of my pelvis, just to check if anything is wrong with my hip bone, I do that and go check with a orthopaedic surgeon, he doubtly says it's more likely tendonitis.
Over the next 5 weeks, I sit on the pain, my front hip is becoming better and painless, while my right butt is alternating between pain, and cramp like feeling, it starts to mess up with my daily life. My doctor mom finally convince me to go take an MRI this Thursday.
I go into the MRI laying down - the most painful position for me -, I tough it out, the technician enters the room, tells we're doing another round, and gives me support for my legs fo the pain , now I'm thinking I probably just moved a lot and they're redoing it. Another 20m goes by, he comes back, but now with a contrast chemical, a nurse comes in and starts asking about my hip history,
"fuck this is bad" I thought. I go out of the MRI, just to be told I need to do a CT scan.
Saturday, I go with my family to the clinic to get my results, I let my doctor parents take them while I watch formula 1 qualifying, I hear the nurse call my name, I  stand up and look for parents, my dad os holding the paper, shows it to my mom who turns her head in that " this is the worst thing that could've happened " manner". That moment I knew. 
I'd like to finish by saying, I knew I was special, but not special enough to get a 3 per million bone cancer.</t>
        </is>
      </c>
      <c r="D4931" t="n">
        <v>93</v>
      </c>
      <c r="E4931" t="n">
        <v>51</v>
      </c>
      <c r="F4931">
        <f>HYPERLINK("https://www.reddit.com/r/cancer/comments/d7pce9/22last_year_was_the_best_in_my_life_and_was_on_my/")</f>
        <v/>
      </c>
      <c r="G4931" t="inlineStr">
        <is>
          <t>2019-09-22 04:45:25</t>
        </is>
      </c>
      <c r="H4931" t="inlineStr"/>
    </row>
    <row r="4932">
      <c r="A4932" t="inlineStr">
        <is>
          <t>d7rpfq</t>
        </is>
      </c>
      <c r="B4932" t="inlineStr">
        <is>
          <t>My band director was just diagnosed with cancer and we the band want to gift/do something nice. What's appropriate?</t>
        </is>
      </c>
      <c r="C4932" t="inlineStr">
        <is>
          <t>I'm not sure if this is the best place to post this but my marching band director told us last night that he was diagnosed with cancer earlier this week and is taking a decent leave of absence from the band. It came as a pretty big surprise as he's pretty young. I'm the drum major of the band and people (including myself) really want to do sonething nice for him/his family, but aren't sure what's appropriate. He has a young son (5-6?) and a little girl who was born last February. He's been mb director at our high school for just a couple years now but we all really like him. Any ideas? So far we plan to write some nice cards with well wishes.</t>
        </is>
      </c>
      <c r="D4932" t="n">
        <v>5</v>
      </c>
      <c r="E4932" t="n">
        <v>11</v>
      </c>
      <c r="F4932">
        <f>HYPERLINK("https://www.reddit.com/r/cancer/comments/d7rpfq/my_band_director_was_just_diagnosed_with_cancer/")</f>
        <v/>
      </c>
      <c r="G4932" t="inlineStr">
        <is>
          <t>2019-09-22 08:12:35</t>
        </is>
      </c>
      <c r="H4932" t="inlineStr"/>
    </row>
    <row r="4933">
      <c r="A4933" t="inlineStr">
        <is>
          <t>d7t4et</t>
        </is>
      </c>
      <c r="B4933" t="inlineStr">
        <is>
          <t>Husband might have lung cancer, and I'm not sure what to do.</t>
        </is>
      </c>
      <c r="C4933" t="inlineStr">
        <is>
          <t>I'm going to try to summarize, but basically the past year or so has already been hell. My husband (30) lost his job summer of 2018. He had a really hard time finding a new one. This loss of income hurt our finances, but it did lead to him going back to school and us going to couples therapy (it's covered as a work benefit). We began to rebuild.
Two weeks ago, my husband woke with a 102° fever and we went to urgent Care. They diagnosed him with pneumonia - which he gets much more frequently than everyone else - and they decided to take a chest x-ray. 
With very concerned looks the doctor showed us the x-ray. It showed a couple of cauliflower-shaped clusters in my husband's left lung. She said if it wasn't for the fever they would be handling this very differently, and told us to come back in a few weeks to do another scan. 
A little background: my husband has dealt with pneumonia on and off with incredible frequency since he was young (as in every few months), and this particular interaction was unusual for us.
He went to his PCP about a week later, and now we are waiting to receive an appointment notification for a CT to see if he has lung cancer. 
I am terrified. Lung cancer runs in his family. I have no idea where to begin if this turns out bad. We have financial debt already and are surviving on essentially one salary. I want to do everything I can for him, and I don't know how to plan. 
TLDR: My husband might have lung cancer. We will find out soon. I don't know how to prepare. Any suggestions or resources anyone could offer would be appreciated.</t>
        </is>
      </c>
      <c r="D4933" t="n">
        <v>2</v>
      </c>
      <c r="E4933" t="n">
        <v>1</v>
      </c>
      <c r="F4933">
        <f>HYPERLINK("https://www.reddit.com/r/cancer/comments/d7t4et/husband_might_have_lung_cancer_and_im_not_sure/")</f>
        <v/>
      </c>
      <c r="G4933" t="inlineStr">
        <is>
          <t>2019-09-22 09:54:34</t>
        </is>
      </c>
      <c r="H4933" t="inlineStr"/>
    </row>
    <row r="4934">
      <c r="A4934" t="inlineStr">
        <is>
          <t>d7ukrt</t>
        </is>
      </c>
      <c r="B4934" t="inlineStr">
        <is>
          <t>some questions</t>
        </is>
      </c>
      <c r="C4934" t="inlineStr">
        <is>
          <t>Okay so I'm really sorry to post this here, i hope this is okay to post, it seems like a lot of the doctor/medical subs just want specific health issue questions. I am having health problems but this post is just to ask these questions to help me gain some direction with my health issues, thanks.
(let me know any subs i can ask these kind of questions to if you know any)
does a blood test show lymphoma?
what cancers do blood tests rule out?
can an xray show cancer very well or is it best to get an ultrasound done?  Scans and all really confuse me on the difference of them
are stomach cancer and gastric cancer the same thing? and how can i get tested for either of them? would an endoscopy determine either of these?
what doctor does a full physical examination to check everything? when i do  try to look this up, all I get are doctors for specific lady parts which  is good for me to get done but what about just overall everything to check for cancer signs on the whole body and anything else?</t>
        </is>
      </c>
      <c r="D4934" t="n">
        <v>0</v>
      </c>
      <c r="E4934" t="n">
        <v>8</v>
      </c>
      <c r="F4934">
        <f>HYPERLINK("https://www.reddit.com/r/cancer/comments/d7ukrt/some_questions/")</f>
        <v/>
      </c>
      <c r="G4934" t="inlineStr">
        <is>
          <t>2019-09-22 11:41:18</t>
        </is>
      </c>
      <c r="H4934" t="inlineStr"/>
    </row>
    <row r="4935">
      <c r="A4935" t="inlineStr">
        <is>
          <t>d7z17c</t>
        </is>
      </c>
      <c r="B4935" t="inlineStr">
        <is>
          <t>Recently had a radical hysterectomy to remove a cancerous tumor on my cervix and I need some advice...</t>
        </is>
      </c>
      <c r="C4935" t="inlineStr">
        <is>
          <t>I recently (6 days ago) underwent a radical hysterectomy and I'm trying to find someone whose undergone this type of procedure before. I need some aftercare advice. I spoke to several nurses at the hospital who all either gave me different answers or acted clueless. I'm just looking for someone who can give me some advice and maybe some info on their expirience. 
Also, I will not be using any information given in exchange for medical advice so no needs to worry about that.</t>
        </is>
      </c>
      <c r="D4935" t="n">
        <v>6</v>
      </c>
      <c r="E4935" t="n">
        <v>8</v>
      </c>
      <c r="F4935">
        <f>HYPERLINK("https://www.reddit.com/r/cancer/comments/d7z17c/recently_had_a_radical_hysterectomy_to_remove_a/")</f>
        <v/>
      </c>
      <c r="G4935" t="inlineStr">
        <is>
          <t>2019-09-22 17:32:20</t>
        </is>
      </c>
      <c r="H4935" t="inlineStr"/>
    </row>
    <row r="4936">
      <c r="A4936" t="inlineStr">
        <is>
          <t>d809ao</t>
        </is>
      </c>
      <c r="B4936" t="inlineStr">
        <is>
          <t>Should I be concerned about tumor results and pain resurfacing ...?</t>
        </is>
      </c>
      <c r="C4936" t="inlineStr">
        <is>
          <t>I’m not sure where to start...
 I (18F) was diagnosed with a osteochondroma behind my knee last year after years of short bursts of pain that were a result of my tumor being so large that my hamstrings would get caught in it and would cause my knee to dislocate. This was found by a simple X-ray at my orthopedic surgeon, however he was not comfortable operating on it until we got more information on it’s location and surrounding blood vessels etc. I was sent to get an mri were part 2 began. 
  Returning to my orthopedist after the mri it was discovered that I had a massive enchondroma within my left femur (same leg &amp;amp; femur of tumor #1) that he was not comfortable with operating on based on size and location, so I was sent to an orthopedic oncologist. 
  This oncologist had a huge wait time due to him being the more specialized surgeon in the city we were close to. So after waiting for a month we got in just for him to tell us that I first needed a bone scan before getting specifics and discussing my options. I went in for a bone scan a few weeks later and received my scan. During the scan however, I was able to see the screen as the machine passed over me and saw a huge white spot over my femur (tumor #2) and a small white spot in the same spot as #2 on the opposite leg, and of course being the curious child I am went home to learn about bone scan readings. I learned that I had two “hot spots” (areas of high biological activity/cell growth) and my doctor informed me that, yes my analysis was correct in that tumor #2 was dangerous and he set up a surgery only 2 weeks after the appointment when he had earlier mentioned that if it was not growing then I wouldn’t have surgery for a while but if it was growing we’d have it much sooner.
  Flash forward to surgery day (tumor #2), I had noticed a small ache in my femurs either from a placebo that they were supposed to hurt or that I had suppressed my pain for so long that I had now noticed it (I think it is the latter just because when I wasn’t thinking about it hurting it would be painful). Anyways, during surgery my surgeon did a biopsy and it was inconclusive and was then sent to a specialist a few states away and was also inconclusive but favored to be an enchondroma. So I have been curious about not knowing 100% if it is malignant or not etc. (Additional info, I had bone salvage surgery with a graft put in w/ metal hardware)
  (Surgery for tumor #1 was benign 100%.)
About a year later after months in wheel chairs or crutches and physical therapy for over 8 months (surgery for tumor #2 was early June pt starts, surgery for tumor #1 was October. I got off of crutches multiple times and put back on due to pain but I officially finished crutches in February, ‘finished’ physical therapy this August)  I am noticing growing pains (like growth spurt pains but in my case were feelings of tumor pains) again in the same femur and less often the right femur with tumor #3. 
  Is it realistic to be worried about cancer when my tumor was “favored enchondroma” or am I just being paranoid?
(Sorry for grammatical errors)</t>
        </is>
      </c>
      <c r="D4936" t="n">
        <v>3</v>
      </c>
      <c r="E4936" t="n">
        <v>2</v>
      </c>
      <c r="F4936">
        <f>HYPERLINK("https://www.reddit.com/r/cancer/comments/d809ao/should_i_be_concerned_about_tumor_results_and/")</f>
        <v/>
      </c>
      <c r="G4936" t="inlineStr">
        <is>
          <t>2019-09-22 19:19:28</t>
        </is>
      </c>
      <c r="H4936" t="inlineStr"/>
    </row>
    <row r="4937">
      <c r="A4937" t="inlineStr">
        <is>
          <t>d80v91</t>
        </is>
      </c>
      <c r="B4937" t="inlineStr">
        <is>
          <t>Paraspinal Tumor only shows on MRI not CT</t>
        </is>
      </c>
      <c r="C4937" t="inlineStr">
        <is>
          <t>I am currently battling neurologists for finding a diagnosis for my 18 year old son. He has a paraspinal tumor that shows on MRI but not on CT. We have been told in over 20+ years they have seen nothing like this.
We are still trying to get a diagnosis, inconclusive twice now. The tumor is not a candidate for resection due to erector muscles. I have follow up appointments at two different clinics, but no one can take us further until we get a diagnosis. He just had another biopsy Friday morning. 
MRI was done do to a car accident in November ‘18 and the tumor was found then. February laminectomy performed as well as first biopsy. We were told, “we don’t know what this is, but you’re not going to die” with repeat MRI in May. August 20 was repeat MRI, tumor has grown and changed shape.
A CT guided biopsy became impossible since it didn’t show up on Cat scan, however I’m looking for someone that may be a better specialist than the two neurologists we have seen thus far. 
Do you have any recommendations for us starting out this fight?</t>
        </is>
      </c>
      <c r="D4937" t="n">
        <v>2</v>
      </c>
      <c r="E4937" t="n">
        <v>6</v>
      </c>
      <c r="F4937">
        <f>HYPERLINK("https://www.reddit.com/r/cancer/comments/d80v91/paraspinal_tumor_only_shows_on_mri_not_ct/")</f>
        <v/>
      </c>
      <c r="G4937" t="inlineStr">
        <is>
          <t>2019-09-22 20:14:16</t>
        </is>
      </c>
      <c r="H4937" t="inlineStr"/>
    </row>
    <row r="4938">
      <c r="A4938" t="inlineStr">
        <is>
          <t>d81hnk</t>
        </is>
      </c>
      <c r="B4938" t="inlineStr">
        <is>
          <t>Ways to support a loved one's cancer diagnosis / treatment?</t>
        </is>
      </c>
      <c r="C4938" t="inlineStr">
        <is>
          <t>My mother in law has cancer. She had a mastectomy early last year and it seems the cancer has resurfaced, she is getting radiation and I'm looking for any advice you all have. Thabk you in advance</t>
        </is>
      </c>
      <c r="D4938" t="n">
        <v>1</v>
      </c>
      <c r="E4938" t="n">
        <v>2</v>
      </c>
      <c r="F4938">
        <f>HYPERLINK("https://www.reddit.com/r/cancer/comments/d81hnk/ways_to_support_a_loved_ones_cancer_diagnosis/")</f>
        <v/>
      </c>
      <c r="G4938" t="inlineStr">
        <is>
          <t>2019-09-22 21:14:54</t>
        </is>
      </c>
      <c r="H4938" t="inlineStr"/>
    </row>
    <row r="4939">
      <c r="A4939" t="inlineStr">
        <is>
          <t>d81t5u</t>
        </is>
      </c>
      <c r="B4939" t="inlineStr">
        <is>
          <t>I want to get drunk so fucking bad</t>
        </is>
      </c>
      <c r="C4939" t="inlineStr">
        <is>
          <t>I’m 7 months post bone marrow transplant. Recovering from various complications (CMV colitis, c diff and potentially some mild GVHD in my gut). I’m on a prophylactic to hopefully prevent a CMV recurrence, valtrex, vancomycin, sprycel (TKI), budesonide (steroid) and another antibiotic for folliculitis. I had a glass of wine on Friday and I had 1.5 glasses tonight. But what I really want to do is drink the whole friggin bottle. It’s such a tease. I know I shouldn’t be drinking with all these meds and chemicals in my body but g-d I just miss getting drunk on some good wine with friends. I know this is trite. I’ve got bigger fish to fry but man, I miss it. Thanks for listening.</t>
        </is>
      </c>
      <c r="D4939" t="n">
        <v>58</v>
      </c>
      <c r="E4939" t="n">
        <v>29</v>
      </c>
      <c r="F4939">
        <f>HYPERLINK("https://www.reddit.com/r/cancer/comments/d81t5u/i_want_to_get_drunk_so_fucking_bad/")</f>
        <v/>
      </c>
      <c r="G4939" t="inlineStr">
        <is>
          <t>2019-09-22 21:48:33</t>
        </is>
      </c>
      <c r="H4939" t="inlineStr"/>
    </row>
    <row r="4940">
      <c r="A4940" t="inlineStr">
        <is>
          <t>d822ai</t>
        </is>
      </c>
      <c r="B4940" t="inlineStr">
        <is>
          <t>My mom was diagnosed with lung cancer Friday</t>
        </is>
      </c>
      <c r="C4940" t="inlineStr">
        <is>
          <t>I don't even know why I'm posting this, I just need to vent. We don't know what type but apparently the lady who told her was a real bitch about it, saying it's "all Stage IV," what does that even mean if she's only got three small spots in one lung and one small spot on the lymph node on her clavicle? How is that Stage IV?  Apparently when my mom asked if she'd die the lady did the "maybe, maybe not, maybe" hand motion thing, like what the fuck? Why would you treat someone like that?
What do I even do? I'm 26, and I don't want to lose my mom. She's a lifetime smoker but I can't stay mad at her, we haven't always had the best relationship and she also had a drinking problem but I just want her to be okay. I want her to see me get married. 
Just any stories or encouragement you have would be great.</t>
        </is>
      </c>
      <c r="D4940" t="n">
        <v>7</v>
      </c>
      <c r="E4940" t="n">
        <v>15</v>
      </c>
      <c r="F4940">
        <f>HYPERLINK("https://www.reddit.com/r/cancer/comments/d822ai/my_mom_was_diagnosed_with_lung_cancer_friday/")</f>
        <v/>
      </c>
      <c r="G4940" t="inlineStr">
        <is>
          <t>2019-09-22 22:16:31</t>
        </is>
      </c>
      <c r="H4940" t="inlineStr"/>
    </row>
    <row r="4941">
      <c r="A4941" t="inlineStr">
        <is>
          <t>d831vq</t>
        </is>
      </c>
      <c r="B4941" t="inlineStr">
        <is>
          <t>Low dose Tamoxifen?</t>
        </is>
      </c>
      <c r="C4941" t="inlineStr">
        <is>
          <t>I'm a guy so nobody seems to know the proper way to handle this-
I had breast cancer, so mastectomy, chemo, radiation and now Tamoxifen.  The side effects are killing me.  I sweat my ass off if I think of working, I have zero control of my temper, and have completely lost anything resembling a sex drive.  The weight gain makes for a nice added bonus too.  
I've read that a lower dose can provide similar protection while reducing or even eliminating the side effects.  
Of those here on Tamoxifen, have you had a need to reduce or end your dose?  How did that go?</t>
        </is>
      </c>
      <c r="D4941" t="n">
        <v>2</v>
      </c>
      <c r="E4941" t="n">
        <v>11</v>
      </c>
      <c r="F4941">
        <f>HYPERLINK("https://www.reddit.com/r/cancer/comments/d831vq/low_dose_tamoxifen/")</f>
        <v/>
      </c>
      <c r="G4941" t="inlineStr">
        <is>
          <t>2019-09-23 00:10:39</t>
        </is>
      </c>
      <c r="H4941" t="inlineStr"/>
    </row>
    <row r="4942">
      <c r="A4942" t="inlineStr">
        <is>
          <t>d84plq</t>
        </is>
      </c>
      <c r="B4942" t="inlineStr">
        <is>
          <t>Delayed rash from chemo?</t>
        </is>
      </c>
      <c r="C4942" t="inlineStr">
        <is>
          <t>I'm wondering if anyone else experienced a delay in getting any acne/rash from chemo or if what I'm seeing is something else. I had my first infusion on Thursday and now I have small red splotches in random spots, but none of them were there the first days after getting chemo, they just now showed up. Mostly on my face, neck and shoulders and near my port. Seems like if I had an allergic reaction it would have been right away?</t>
        </is>
      </c>
      <c r="D4942" t="n">
        <v>1</v>
      </c>
      <c r="E4942" t="n">
        <v>8</v>
      </c>
      <c r="F4942">
        <f>HYPERLINK("https://www.reddit.com/r/cancer/comments/d84plq/delayed_rash_from_chemo/")</f>
        <v/>
      </c>
      <c r="G4942" t="inlineStr">
        <is>
          <t>2019-09-23 03:35:59</t>
        </is>
      </c>
      <c r="H4942" t="inlineStr"/>
    </row>
    <row r="4943">
      <c r="A4943" t="inlineStr">
        <is>
          <t>d84y5a</t>
        </is>
      </c>
      <c r="B4943" t="inlineStr">
        <is>
          <t>Uncle diagnosed with liver cancer, in denial</t>
        </is>
      </c>
      <c r="C4943" t="inlineStr">
        <is>
          <t>Wanted to reach out to someone about this, because it's eating me up and doesn't seem to be bothering him.
Background : He is turning 65 in October, and was diagnosed with liver cancer two weeks ago. They're still busy waiting for some test result before giving the final prognosis, but they do know that they cannot operate on the liver as it isn't healthy enough to recover having a 7cm chunk cut out of it.
Now, he's a business man, and he's got a 10 year plan or such including new buildings etc etc. Spoke to him today, and his outlook is that he'll carry on as always, because he hasn't started showing any symptoms yet (they caught it early during some routine tests, so he hasn't started showing signs of liver failure etc etc). 
I'm worried that he isn't thinking everything through. I think he should start planning on what to do with his business, perhaps cancel the new building plans etc etc. He should actually sell everything off, cash out and retire and spend what time he has left with his family. But he is the most stubborn person I know, but he can't argue with the doctors' diagnoses. 
Is this normal? Is he in denial, and just has trouble accepting the truth? At his age and with the state of his liver, I'm afraid that as soon as he starts feeling sick it's going to progress very quickly from then on. And he wants to spend his last days of good health at work, ignoring the truth.</t>
        </is>
      </c>
      <c r="D4943" t="n">
        <v>2</v>
      </c>
      <c r="E4943" t="n">
        <v>6</v>
      </c>
      <c r="F4943">
        <f>HYPERLINK("https://www.reddit.com/r/cancer/comments/d84y5a/uncle_diagnosed_with_liver_cancer_in_denial/")</f>
        <v/>
      </c>
      <c r="G4943" t="inlineStr">
        <is>
          <t>2019-09-23 04:02:17</t>
        </is>
      </c>
      <c r="H4943" t="inlineStr"/>
    </row>
    <row r="4944">
      <c r="A4944" t="inlineStr">
        <is>
          <t>d85043</t>
        </is>
      </c>
      <c r="B4944" t="inlineStr">
        <is>
          <t>Dealing with hair regrowth after chemo</t>
        </is>
      </c>
      <c r="C4944" t="inlineStr">
        <is>
          <t>Sorry, I know this is minor, all things considered. 
I’m on day 13 of my last chemo cycle (thank Jebus!), currently Neutropenic, sitting in the hospital with an antibiotic IV at 3:52AM with this one (really it’s two) burning question:
As my eyebrows start to grow back, should I let them grow out fully before trimming/shaping them? Or would it be ok to start cleaning up the edges already? 
**Background**- I’m of Indian descent, and 7/10 hairy by genetics. I’ve always had to trim my unibrow into shape, but now that my hair is starting to grow back (and it’s baby soft again), I’m anxious to give my face that normal-human-face outline that it used to have. 
I’m also concerned that as I let my brow(s) grow without regular maintenance, they’ll look just as silly as my neck beard did back in grade 9.</t>
        </is>
      </c>
      <c r="D4944" t="n">
        <v>4</v>
      </c>
      <c r="E4944" t="n">
        <v>6</v>
      </c>
      <c r="F4944">
        <f>HYPERLINK("https://www.reddit.com/r/cancer/comments/d85043/dealing_with_hair_regrowth_after_chemo/")</f>
        <v/>
      </c>
      <c r="G4944" t="inlineStr">
        <is>
          <t>2019-09-23 04:07:17</t>
        </is>
      </c>
      <c r="H4944" t="inlineStr"/>
    </row>
    <row r="4945">
      <c r="A4945" t="inlineStr">
        <is>
          <t>d85qew</t>
        </is>
      </c>
      <c r="B4945" t="inlineStr">
        <is>
          <t>Mother going crazy and stressing everyone out,</t>
        </is>
      </c>
      <c r="C4945" t="inlineStr">
        <is>
          <t>I'm a 15 year old and was diagnosed with brain cancer aroun mid August, when I was 8 I had ALL so think took my family but surprise. They were able to remove 2 tumors but left some nerve damage so I can't use my left side too well, my mother is naturally stressed out and yelling at everyone which isn't helping me or my dad or siblings. I don't know what to do with her she wants to go back to work but can't because I need help with pretty much everything, whether it be going to the bathroom or eating or anything</t>
        </is>
      </c>
      <c r="D4945" t="n">
        <v>16</v>
      </c>
      <c r="E4945" t="n">
        <v>9</v>
      </c>
      <c r="F4945">
        <f>HYPERLINK("https://www.reddit.com/r/cancer/comments/d85qew/mother_going_crazy_and_stressing_everyone_out/")</f>
        <v/>
      </c>
      <c r="G4945" t="inlineStr">
        <is>
          <t>2019-09-23 05:18:19</t>
        </is>
      </c>
      <c r="H4945" t="inlineStr"/>
    </row>
    <row r="4946">
      <c r="A4946" t="inlineStr">
        <is>
          <t>d867nr</t>
        </is>
      </c>
      <c r="B4946" t="inlineStr">
        <is>
          <t>Ex gf(21F) told me(21M) I’m not attractive to her anymore before leaving..</t>
        </is>
      </c>
      <c r="C4946" t="inlineStr">
        <is>
          <t>We were already speaking of broking things up but as chemo became way more invasive I lost my hair and before we end things she admitted I’m not attractive to her anymore.. 
I know my body changed, muscles and hair are gone.. but it fucking hurts. 
I met two girls since and they liked me and make me feel good about myself but I just can’t forget about my ex telling me I’m ugly now.. 
Sorry I just felt like shit today..</t>
        </is>
      </c>
      <c r="D4946" t="n">
        <v>103</v>
      </c>
      <c r="E4946" t="n">
        <v>43</v>
      </c>
      <c r="F4946">
        <f>HYPERLINK("https://www.reddit.com/r/cancer/comments/d867nr/ex_gf21f_told_me21m_im_not_attractive_to_her/")</f>
        <v/>
      </c>
      <c r="G4946" t="inlineStr">
        <is>
          <t>2019-09-23 06:00:47</t>
        </is>
      </c>
      <c r="H4946" t="inlineStr"/>
    </row>
    <row r="4947">
      <c r="A4947" t="inlineStr">
        <is>
          <t>d86dye</t>
        </is>
      </c>
      <c r="B4947" t="inlineStr">
        <is>
          <t>Anyone else playing WOW Classic?</t>
        </is>
      </c>
      <c r="C4947" t="inlineStr">
        <is>
          <t>I’m kinda interested in joining (or starting) a guild in World of Warcraft Classic for cancer patients and survivors who want to group up and play together. Just curious if anyone would be interested.</t>
        </is>
      </c>
      <c r="D4947" t="n">
        <v>5</v>
      </c>
      <c r="E4947" t="n">
        <v>7</v>
      </c>
      <c r="F4947">
        <f>HYPERLINK("https://www.reddit.com/r/cancer/comments/d86dye/anyone_else_playing_wow_classic/")</f>
        <v/>
      </c>
      <c r="G4947" t="inlineStr">
        <is>
          <t>2019-09-23 06:15:36</t>
        </is>
      </c>
      <c r="H4947" t="inlineStr"/>
    </row>
    <row r="4948">
      <c r="A4948" t="inlineStr">
        <is>
          <t>d86qya</t>
        </is>
      </c>
      <c r="B4948" t="inlineStr">
        <is>
          <t>Biopsy vs Fibrosure for Liver Lesion?</t>
        </is>
      </c>
      <c r="C4948" t="inlineStr">
        <is>
          <t>An ultrasound and CT scan revealed a 8cm v 7cm lesion in my mother's (61, f, California) liver. She tested negative for cirrhosis and hepatitis. The next step is to get a biopsy, but I was told by another Redditor that biopsy should be the last option, but we should consider fibrosure blood test first.  
Her current doctor is recommending biopsy, but she requested for a non-invasive diagnostic tool, from him. He said, "I don't know what that is". The hospital staff tried to help my mother as much as they can, but they cannot get her a second opinion since her current doctor is the admitting doctor. Not to be negative, but the doctor is an old school, know-it-all doctor who refuses to listen to his patients. Because of her current insurance (Medi-cal, Alameda Alliance), we cannot switch her primary physician quickly nor do we know if we can replace him with a more competent doctor.
Are we just being paranoid about biopsy and the benefits outweigh risk? I've read a lot of material that fibrosure is recommended for liver lesions.</t>
        </is>
      </c>
      <c r="D4948" t="n">
        <v>1</v>
      </c>
      <c r="E4948" t="n">
        <v>14</v>
      </c>
      <c r="F4948">
        <f>HYPERLINK("https://www.reddit.com/r/cancer/comments/d86qya/biopsy_vs_fibrosure_for_liver_lesion/")</f>
        <v/>
      </c>
      <c r="G4948" t="inlineStr">
        <is>
          <t>2019-09-23 06:46:15</t>
        </is>
      </c>
      <c r="H4948" t="inlineStr"/>
    </row>
    <row r="4949">
      <c r="A4949" t="inlineStr">
        <is>
          <t>d87t3b</t>
        </is>
      </c>
      <c r="B4949" t="inlineStr">
        <is>
          <t>I’m sorry if I’m unwelcome</t>
        </is>
      </c>
      <c r="C4949" t="inlineStr">
        <is>
          <t>(NOT A CANCER SURVIVOR) someone very close to me died from stomach cancer and it’s really messing me up anyone here who can cheer me up?</t>
        </is>
      </c>
      <c r="D4949" t="n">
        <v>4</v>
      </c>
      <c r="E4949" t="n">
        <v>10</v>
      </c>
      <c r="F4949">
        <f>HYPERLINK("https://www.reddit.com/r/cancer/comments/d87t3b/im_sorry_if_im_unwelcome/")</f>
        <v/>
      </c>
      <c r="G4949" t="inlineStr">
        <is>
          <t>2019-09-23 08:09:26</t>
        </is>
      </c>
      <c r="H4949" t="inlineStr"/>
    </row>
    <row r="4950">
      <c r="A4950" t="inlineStr">
        <is>
          <t>d87zjt</t>
        </is>
      </c>
      <c r="B4950" t="inlineStr">
        <is>
          <t>We can see the light finally</t>
        </is>
      </c>
      <c r="C4950" t="inlineStr">
        <is>
          <t>After almost two years of constant treatment (chemo, multiple surgeries (including one botched nightmare), chemo again, and now a tandem stem cell transplant) my (26/f) husband (26/m) is finally on the road to recovery. He’s getting his final stem cell transplant as we speak and then he starts the brutal 100 day recovery period. We’re finally feeling like we have an end in sight. It’s scary but also really exhilarating. 
We were engaged for about a year before he was diagnosed and then we scrapped our wedding plans and had a kitchen counter wedding between his first and second rounds of chemo. From the second he was diagnosed we dedicated every minute of our lives to finding the best treatments and traveling to and from specialists. We budgeted so aggressively to manage his treatment without going into debt (we really lucked out with his insurance). We’ve not had more than two weeks off from appointments. When I’m not caring for him I’m working and when he’s recovering he’s working from home. 
We’re just very ready to have a break and spend some tile with a normal routine. For everyone else out there going through this, it fucking sucks and I hope you can get through it soon. This feeling is amazing and I just want to bask in it all day.</t>
        </is>
      </c>
      <c r="D4950" t="n">
        <v>18</v>
      </c>
      <c r="E4950" t="n">
        <v>6</v>
      </c>
      <c r="F4950">
        <f>HYPERLINK("https://www.reddit.com/r/cancer/comments/d87zjt/we_can_see_the_light_finally/")</f>
        <v/>
      </c>
      <c r="G4950" t="inlineStr">
        <is>
          <t>2019-09-23 08:22:48</t>
        </is>
      </c>
      <c r="H4950" t="inlineStr"/>
    </row>
    <row r="4951">
      <c r="A4951" t="inlineStr">
        <is>
          <t>d8avvq</t>
        </is>
      </c>
      <c r="B4951" t="inlineStr">
        <is>
          <t>Why why why just why this disease exists? How does it exist? Where does it come from? How is it so resistant and tricks our own bodies to work against us?</t>
        </is>
      </c>
      <c r="C4951" t="inlineStr">
        <is>
          <t>I know I don’t make any sense.
A close friend of mine just found out cancer is back in his lungs and liver... after surviving it twice and those are the questions he asked me and I couldn’t give an answer.
What should I say? What can I say?
He is so full of life and energy and so sure that he is going to beat it for the 3rd time! But nothing seems to work... from what I understand the cancer cells develop the ability protect themselves against the radiation therapy and build resistance to drugs. My friend got burns in his body due to the strength of the chemotherapy he was getting. I was told it was the strongest there is so I also believed he was gonna survive.
But doctors told us his chances are almost none and we should focus on making sure his finals days are peaceful.
It started in his lungs and spread later. Doctors told me it took control of his immune system and made it suppress its own functions.
I just cannot make any sense of it.
When doctors speak of cancer they talk of it like a different organism with its own minds and plans.. like it took over my friends body
. It feels like out of a scifi movie to me and I don’t understand it one bit. They talk of it like an alien entity,they told me cancer is very adaptable and changes so the body doesn’t attack it. How? Why? Where does it come from? How is it that our bodies create something separate from itself,against itself? And cancer dies when the body dies so what is the point? Is it just a parasite? Is it a sick cosmic joke?
I’m so angry and tired. And I don’t know what to say to him...</t>
        </is>
      </c>
      <c r="D4951" t="n">
        <v>17</v>
      </c>
      <c r="E4951" t="n">
        <v>14</v>
      </c>
      <c r="F4951">
        <f>HYPERLINK("https://www.reddit.com/r/cancer/comments/d8avvq/why_why_why_just_why_this_disease_exists_how_does/")</f>
        <v/>
      </c>
      <c r="G4951" t="inlineStr">
        <is>
          <t>2019-09-23 11:45:05</t>
        </is>
      </c>
      <c r="H4951" t="inlineStr"/>
    </row>
    <row r="4952">
      <c r="A4952" t="inlineStr">
        <is>
          <t>d8b3d8</t>
        </is>
      </c>
      <c r="B4952" t="inlineStr">
        <is>
          <t>My mum has been asked to come back to the breast clinic very quickly after biopsy</t>
        </is>
      </c>
      <c r="C4952" t="inlineStr">
        <is>
          <t>Basically my mum about 2 weeks ago went for a mammogram. She has a history of getting non lethal cysts in her breasts that just disappear over time but this time she got asked to come back a week later which has never happened before.  Over the past 4 months she’s went from  weighing about 10 stone to about 7 stone 10 pounds, she hasn’t been eating less and we just put it down to a change in her medications/potential stress
We thought that maybe because she’s new to this hospital as she just moved from Wales to England after over 2 years of trying to move, that maybe they didn’t know about her history so we just assumed it would just be a case of another mammogram and then having it confirmed it was just more non cancerous cysts just like every time before. 
Turns out they already had her history and unlike the fluidly cysts she normally gets, she has a cluster of solid calcified lumps in her breast. So she had 2 biopsies done and no more then 3 days later they’ve told her she has to come back to the breast clinic tomorrow, they won’t discuss results or why over the phone but I am terrified. We have had a really terrible last 10 years and it finally looked like it was about to get better for our family.
My mum is 61 years old, and although she says if it is cancer she’s going to fight it, she also has stage 3 COPD so I’m not even sure how much fight she has in her. I’m in my early 20s and 4 months pregnant with my second and I am just terrified of her having cancer or potentially losing her when I’ve only just got her back. If it is cancer, what is the best way for me to support her when I myself feel like I’m going to break if that’s what it is?</t>
        </is>
      </c>
      <c r="D4952" t="n">
        <v>1</v>
      </c>
      <c r="E4952" t="n">
        <v>2</v>
      </c>
      <c r="F4952">
        <f>HYPERLINK("https://www.reddit.com/r/cancer/comments/d8b3d8/my_mum_has_been_asked_to_come_back_to_the_breast/")</f>
        <v/>
      </c>
      <c r="G4952" t="inlineStr">
        <is>
          <t>2019-09-23 11:59:09</t>
        </is>
      </c>
      <c r="H4952" t="inlineStr"/>
    </row>
    <row r="4953">
      <c r="A4953" t="inlineStr">
        <is>
          <t>d8bhki</t>
        </is>
      </c>
      <c r="B4953" t="inlineStr">
        <is>
          <t>Constipation?</t>
        </is>
      </c>
      <c r="C4953" t="inlineStr">
        <is>
          <t>Okay so this is a bit of a NSFW topic. 
I have been suffering with constipation due to opioids &amp;amp; am about to start chemotherapy in the next few weeks which will no doubt cause the constipation to get worse.
Has anyone got any tips or tricks to help out a fellow bunged up friend? I have enough laxatives to take down a family of bears but they just don’t seem to be working, I drink stupid amounts of pure orange juice. I’m drinking lots of water and I’m doing as much walking around as my body allows me to currently.
What else can I try &amp;amp; what can I do to help the stomach cramps &amp;amp; the feeling of being literally full of shhh constantly. My doc just keeps telling me to increase the laxatives!</t>
        </is>
      </c>
      <c r="D4953" t="n">
        <v>2</v>
      </c>
      <c r="E4953" t="n">
        <v>29</v>
      </c>
      <c r="F4953">
        <f>HYPERLINK("https://www.reddit.com/r/cancer/comments/d8bhki/constipation/")</f>
        <v/>
      </c>
      <c r="G4953" t="inlineStr">
        <is>
          <t>2019-09-23 12:24:31</t>
        </is>
      </c>
      <c r="H4953" t="inlineStr"/>
    </row>
    <row r="4954">
      <c r="A4954" t="inlineStr">
        <is>
          <t>d8bw4q</t>
        </is>
      </c>
      <c r="B4954" t="inlineStr">
        <is>
          <t>Stomach cancer surgery after effects</t>
        </is>
      </c>
      <c r="C4954" t="inlineStr">
        <is>
          <t>My dad (90) was diagnosed with Stage 1 stomach cancer earlier this past summer.  He went through three rounds of chemo (mild) in hopes of shrinking the tumors, but that didn't work.  They did surgery almost a month ago and it was successful.  They ended up removing 55% of his stomach and further testing showed no more signs of cancer.  That's great news! However his stomach hasn't woken up.  They diagnosed him with gastroparesis.  It seems they will put a feeding tube in him tomorrow or Wednesday.  Will his stomach ever wake up?  Who knows.  It's possible it may start again when he has more freedom at home and can do more things.  He isn't under any non-dietary restrictions as he's pretty much good to go physically as much as he can tolerate.
My question is, does anyone here have any experience with this or have family members that went through this or currently going through this?  Any recommendations?   I am sure his age has something to do with the laziness of the stomach.</t>
        </is>
      </c>
      <c r="D4954" t="n">
        <v>1</v>
      </c>
      <c r="E4954" t="n">
        <v>6</v>
      </c>
      <c r="F4954">
        <f>HYPERLINK("https://www.reddit.com/r/cancer/comments/d8bw4q/stomach_cancer_surgery_after_effects/")</f>
        <v/>
      </c>
      <c r="G4954" t="inlineStr">
        <is>
          <t>2019-09-23 12:52:22</t>
        </is>
      </c>
      <c r="H4954" t="inlineStr"/>
    </row>
    <row r="4955">
      <c r="A4955" t="inlineStr">
        <is>
          <t>d8c8ga</t>
        </is>
      </c>
      <c r="B4955" t="inlineStr">
        <is>
          <t>Fear of cancer</t>
        </is>
      </c>
      <c r="C4955" t="inlineStr">
        <is>
          <t>My grandmothers have both died of cancer and my dad has survived it, does this guarantee I will soon experience cancer and die from it?</t>
        </is>
      </c>
      <c r="D4955" t="n">
        <v>4</v>
      </c>
      <c r="E4955" t="n">
        <v>5</v>
      </c>
      <c r="F4955">
        <f>HYPERLINK("https://www.reddit.com/r/cancer/comments/d8c8ga/fear_of_cancer/")</f>
        <v/>
      </c>
      <c r="G4955" t="inlineStr">
        <is>
          <t>2019-09-23 13:16:56</t>
        </is>
      </c>
      <c r="H4955" t="inlineStr"/>
    </row>
    <row r="4956">
      <c r="A4956" t="inlineStr">
        <is>
          <t>d8dldm</t>
        </is>
      </c>
      <c r="B4956" t="inlineStr">
        <is>
          <t>Research - We're Canadian researchers trying to understand the decision to use (or not use) cannabis after a cancer diagnosis</t>
        </is>
      </c>
      <c r="C4956" t="inlineStr">
        <is>
          <t>The study aims to understand the factors that influence cancer survivors’ decisions to use (*or not use*) cannabis as a complementary therapy to control or alleviate their cancer symptoms or treatment side effects, and whether medically approved or recreational cannabis is preferred.
If you are:
* a cancer survivor
* live in Canada
* 18 years of age or older
* interested in participating
... then follow this link (also includes additional information): https://cc-arcc.ca/cannabis-survivorship-study-2019/
Based on the survey results, we'll contact individuals for a 1-hour telephone interview for those that are interested.
(Moderators, apologies if this is inappropriate)</t>
        </is>
      </c>
      <c r="D4956" t="n">
        <v>1</v>
      </c>
      <c r="E4956" t="n">
        <v>0</v>
      </c>
      <c r="F4956">
        <f>HYPERLINK("https://www.reddit.com/r/cancer/comments/d8dldm/research_were_canadian_researchers_trying_to/")</f>
        <v/>
      </c>
      <c r="G4956" t="inlineStr">
        <is>
          <t>2019-09-23 14:57:05</t>
        </is>
      </c>
      <c r="H4956" t="inlineStr"/>
    </row>
    <row r="4957">
      <c r="A4957" t="inlineStr">
        <is>
          <t>d8dv9o</t>
        </is>
      </c>
      <c r="B4957" t="inlineStr">
        <is>
          <t>Pain Associated with Testicular Cancer</t>
        </is>
      </c>
      <c r="C4957" t="inlineStr">
        <is>
          <t>Hey y’all I’m a male, mid-twenties, who recently, as in this Saturday, found a lump on my left nut. Now I’m not going to ask, “is this cancer”, I’m already going to the doctor tomorrow afternoon.
My question is about pain, particularly pain in the groin area/nuts. Did y’all have any pain ranging from stabbing to dull?
I ask because I have pain in both the right and left sides of my groin that ranges from dull to sharp and I’ve felt a sharp sometimes dull tugging pain in my left nut. For example today after lunch the pain was so bad in my left nut area that I couldn’t walk without shuffling. 
Thanks in advance</t>
        </is>
      </c>
      <c r="D4957" t="n">
        <v>1</v>
      </c>
      <c r="E4957" t="n">
        <v>2</v>
      </c>
      <c r="F4957">
        <f>HYPERLINK("https://www.reddit.com/r/cancer/comments/d8dv9o/pain_associated_with_testicular_cancer/")</f>
        <v/>
      </c>
      <c r="G4957" t="inlineStr">
        <is>
          <t>2019-09-23 15:17:07</t>
        </is>
      </c>
      <c r="H4957" t="inlineStr"/>
    </row>
    <row r="4958">
      <c r="A4958" t="inlineStr">
        <is>
          <t>d8eoms</t>
        </is>
      </c>
      <c r="B4958" t="inlineStr">
        <is>
          <t>Medical Cannabis - does it make sense?</t>
        </is>
      </c>
      <c r="C4958" t="inlineStr">
        <is>
          <t>Hi gents,
I live in Germany and my mum has been diagnosed with "glioblastoma WHO IV" last week. I researched a lot about this topic and especially about the treatment.   
I found a very interesting presentation of a German Doctor of Naturopathy from the Tumor Centre in Munich, Germany. The presentation is in German. But because one of my friends, who does not speak Germany  and tried and translated it into English. My med English sucks totally I believe. But I did my best to translate those 30 slides for him. If you are interested also, you can have a look at the presentation and maybe it will help you also.
The Agenda of the presentation is: 
* Complementary medicine and Naturopathic treatment in oncology
* Cannabis in general
* Cannabis in oncology
* Legal/Costs
* Take home message
[https://frask.de/mittel-gegen-krebs/](https://frask.de/mittel-gegen-krebs/)  
There is only one paragraph in English which is about this presentation described above.
Good Luck!</t>
        </is>
      </c>
      <c r="D4958" t="n">
        <v>3</v>
      </c>
      <c r="E4958" t="n">
        <v>2</v>
      </c>
      <c r="F4958">
        <f>HYPERLINK("https://www.reddit.com/r/cancer/comments/d8eoms/medical_cannabis_does_it_make_sense/")</f>
        <v/>
      </c>
      <c r="G4958" t="inlineStr">
        <is>
          <t>2019-09-23 16:19:21</t>
        </is>
      </c>
      <c r="H4958" t="inlineStr"/>
    </row>
    <row r="4959">
      <c r="A4959" t="inlineStr">
        <is>
          <t>d8evh0</t>
        </is>
      </c>
      <c r="B4959" t="inlineStr">
        <is>
          <t>How is your experience with Biopsies?</t>
        </is>
      </c>
      <c r="C4959" t="inlineStr">
        <is>
          <t>Good evening,
I am yougn and, as someone who has never had a biopsy before, I am curious:
1. Is it difficult to get an appointment?
2. How long does it take?
3. Is it painful?
4. When can I expect to get my results?
I am curious about your experiences, whether it was yourself who experienced it or someone else... Thank you!</t>
        </is>
      </c>
      <c r="D4959" t="n">
        <v>1</v>
      </c>
      <c r="E4959" t="n">
        <v>9</v>
      </c>
      <c r="F4959">
        <f>HYPERLINK("https://www.reddit.com/r/cancer/comments/d8evh0/how_is_your_experience_with_biopsies/")</f>
        <v/>
      </c>
      <c r="G4959" t="inlineStr">
        <is>
          <t>2019-09-23 16:34:42</t>
        </is>
      </c>
      <c r="H4959" t="inlineStr"/>
    </row>
    <row r="4960">
      <c r="A4960" t="inlineStr">
        <is>
          <t>d8gdcw</t>
        </is>
      </c>
      <c r="B4960" t="inlineStr">
        <is>
          <t>My mom found out she has rectal cancer</t>
        </is>
      </c>
      <c r="C4960" t="inlineStr">
        <is>
          <t>...an hour ago. It’s a large mass obstructing her large intestine 12 cm past the rectum. CT scan is tomorrow and a surgery consultation will be on Thursday. After that, we’ll know the staging.
She’s 66. She had me and then my sister when she was just 22 and 26. Right now, we wrapped a call with our Gastroenterologist confirming that it’s cancer.
I don’t know what Medicare covers. My mom being a Korean immigrant, doesn’t have a full picture given that English isn’t her 1st language and I don’t have a clue either. Does anyone know?</t>
        </is>
      </c>
      <c r="D4960" t="n">
        <v>32</v>
      </c>
      <c r="E4960" t="n">
        <v>11</v>
      </c>
      <c r="F4960">
        <f>HYPERLINK("https://www.reddit.com/r/cancer/comments/d8gdcw/my_mom_found_out_she_has_rectal_cancer/")</f>
        <v/>
      </c>
      <c r="G4960" t="inlineStr">
        <is>
          <t>2019-09-23 18:38:24</t>
        </is>
      </c>
      <c r="H4960" t="inlineStr"/>
    </row>
    <row r="4961">
      <c r="A4961" t="inlineStr">
        <is>
          <t>d8h220</t>
        </is>
      </c>
      <c r="B4961" t="inlineStr">
        <is>
          <t>First oncologist appointment coming up on Friday</t>
        </is>
      </c>
      <c r="C4961" t="inlineStr">
        <is>
          <t>Hello everyone. I recently had a kidney stone and that put me in the emergency room three times in a week. I had a CT scan performed and the doctor discovered a tumor on my pelvis. The scan notes said it is likely an osteochondroma. It also said that there is thinning of the cortex with possible cortical breakthrough and possible malignant degeneration. The tumor is sessile, 17 mm x 14 mm. And it is painful. I know I won’t know anything until I see the doctor, but does anyone have any thoughts on the scan notes? I am a 47-year-old male. A 47-year-old male who is scared to death. LOL. Thanks!</t>
        </is>
      </c>
      <c r="D4961" t="n">
        <v>3</v>
      </c>
      <c r="E4961" t="n">
        <v>9</v>
      </c>
      <c r="F4961">
        <f>HYPERLINK("https://www.reddit.com/r/cancer/comments/d8h220/first_oncologist_appointment_coming_up_on_friday/")</f>
        <v/>
      </c>
      <c r="G4961" t="inlineStr">
        <is>
          <t>2019-09-23 19:37:46</t>
        </is>
      </c>
      <c r="H4961" t="inlineStr"/>
    </row>
    <row r="4962">
      <c r="A4962" t="inlineStr">
        <is>
          <t>d8h7h5</t>
        </is>
      </c>
      <c r="B4962" t="inlineStr">
        <is>
          <t>Thought I’d share this song by Kevin Hearn. I believe he wrote it while he was undergoing chemo for leukaemia.</t>
        </is>
      </c>
      <c r="C4962" t="inlineStr">
        <is>
          <t>So let’s unlock the secret 
Till the cause is found and shown
To every family that knows that painful road
And the impatient patients
Who want to get up and go home
At least we can pin some hope
On the map of the human genome
[map of the human genome ](https://youtu.be/XOhRo89yRbE)</t>
        </is>
      </c>
      <c r="D4962" t="n">
        <v>0</v>
      </c>
      <c r="E4962" t="n">
        <v>0</v>
      </c>
      <c r="F4962">
        <f>HYPERLINK("https://www.reddit.com/r/cancer/comments/d8h7h5/thought_id_share_this_song_by_kevin_hearn_i/")</f>
        <v/>
      </c>
      <c r="G4962" t="inlineStr">
        <is>
          <t>2019-09-23 19:51:42</t>
        </is>
      </c>
      <c r="H4962" t="inlineStr"/>
    </row>
    <row r="4963">
      <c r="A4963" t="inlineStr">
        <is>
          <t>d8h9j4</t>
        </is>
      </c>
      <c r="B4963" t="inlineStr">
        <is>
          <t>16-warning-signs-of-cancer-you-shouldnt-ignore</t>
        </is>
      </c>
      <c r="C4963" t="inlineStr">
        <is>
          <t>https://elbuzzfeed.com/health/16-warning-signs-of-cancer-you-shouldnt-ignore/</t>
        </is>
      </c>
      <c r="D4963" t="n">
        <v>0</v>
      </c>
      <c r="E4963" t="n">
        <v>0</v>
      </c>
      <c r="F4963">
        <f>HYPERLINK("https://www.reddit.com/r/cancer/comments/d8h9j4/16warningsignsofcanceryoushouldntignore/")</f>
        <v/>
      </c>
      <c r="G4963" t="inlineStr">
        <is>
          <t>2019-09-23 19:56:49</t>
        </is>
      </c>
      <c r="H4963" t="inlineStr"/>
    </row>
    <row r="4964">
      <c r="A4964" t="inlineStr">
        <is>
          <t>d8hiky</t>
        </is>
      </c>
      <c r="B4964" t="inlineStr">
        <is>
          <t>What's been your experience with Lupron?</t>
        </is>
      </c>
      <c r="C4964" t="inlineStr">
        <is>
          <t>Either as a patient or caregiver. My dad was diagnosed with prostate cancer last week. It has metsd to vertebrae and ribs and caused a compression fracture in L1/L2. He began hormone therapy, including casodex, last Thursday. 
He will be given Lupron this Wednesday. Please share your experience thanks so much!</t>
        </is>
      </c>
      <c r="D4964" t="n">
        <v>2</v>
      </c>
      <c r="E4964" t="n">
        <v>6</v>
      </c>
      <c r="F4964">
        <f>HYPERLINK("https://www.reddit.com/r/cancer/comments/d8hiky/whats_been_your_experience_with_lupron/")</f>
        <v/>
      </c>
      <c r="G4964" t="inlineStr">
        <is>
          <t>2019-09-23 20:19:42</t>
        </is>
      </c>
      <c r="H4964" t="inlineStr"/>
    </row>
    <row r="4965">
      <c r="A4965" t="inlineStr">
        <is>
          <t>d8hm61</t>
        </is>
      </c>
      <c r="B4965" t="inlineStr">
        <is>
          <t>Ughhhhhh.... Radiation Dermatitis</t>
        </is>
      </c>
      <c r="C4965" t="inlineStr">
        <is>
          <t>Yeah, so happiness was short lived.  Life here at the world's shittiest country club just got worse, and yo, with radiation dermatitis, I'm being denied a good stuff drink.
How did you handle radiation dermatitis?  It started last night, and now I'm sitting around with an icepack on. I've put on lotions, my diet is good, for all of this stupid time I've been pretty upbeat (well, except the last week of treatment when I was in pain).  Now this is just depressing me.  I'm back at work, and I just want to sleep. I'm supposed to go on a work related trip next week, but I look and feel like shit.   
Best cream?  Best treatment?  How long?</t>
        </is>
      </c>
      <c r="D4965" t="n">
        <v>3</v>
      </c>
      <c r="E4965" t="n">
        <v>29</v>
      </c>
      <c r="F4965">
        <f>HYPERLINK("https://www.reddit.com/r/cancer/comments/d8hm61/ughhhhhh_radiation_dermatitis/")</f>
        <v/>
      </c>
      <c r="G4965" t="inlineStr">
        <is>
          <t>2019-09-23 20:29:07</t>
        </is>
      </c>
      <c r="H4965" t="inlineStr"/>
    </row>
    <row r="4966">
      <c r="A4966" t="inlineStr">
        <is>
          <t>d8hvbf</t>
        </is>
      </c>
      <c r="B4966" t="inlineStr">
        <is>
          <t>Should I celebrate still?</t>
        </is>
      </c>
      <c r="C4966" t="inlineStr">
        <is>
          <t>I posted on here a couple days ago about finding out my mom may have cancer and advice on how to deal with our relationship going forward. Neither of us have apologized to each other but we are going forward and essentially letting it go it seems like. She told all of my family that she did in fact have cancer. My birthday is in 2 days and its my 18th. I wasn't planning on celebrating before i found out she had cancer anyway due to other reasons, (they're transphobic and I didn't want to celebrate my birthday being called the wrong name, pronouns, etc). But now I feel like my family kind of needs something to celebrate I guess. A part of me wants to do something for everyone else to kinda forget about the news we just learned. But I also would feel guilty cause we'd spend alot of money going somewhere (theres 7 of us) and now is not the time to be spending anything. I'm looking for some advice, if you were in the position my mom is in, would you still want to celebrate? I don't want to cause her too much stress and she looked really weak today even though she was just in bed.</t>
        </is>
      </c>
      <c r="D4966" t="n">
        <v>4</v>
      </c>
      <c r="E4966" t="n">
        <v>3</v>
      </c>
      <c r="F4966">
        <f>HYPERLINK("https://www.reddit.com/r/cancer/comments/d8hvbf/should_i_celebrate_still/")</f>
        <v/>
      </c>
      <c r="G4966" t="inlineStr">
        <is>
          <t>2019-09-23 20:53:28</t>
        </is>
      </c>
      <c r="H4966" t="inlineStr"/>
    </row>
    <row r="4967">
      <c r="A4967" t="inlineStr">
        <is>
          <t>d8iewe</t>
        </is>
      </c>
      <c r="B4967" t="inlineStr">
        <is>
          <t>Update on my mom from previous post.</t>
        </is>
      </c>
      <c r="C4967" t="inlineStr">
        <is>
          <t>I got a call early this morning from my hometown’s hospital. Nurse told me my mom was admitted to the ER last night after experiencing extreme fatigue and dizziness. She also told me she was very confused. They did a scan of her brain and found more tumors and transported her to a bigger hospital in the city. I wasn’t supposed to come visit home until tonight, but I called into work this morning and drove the 12 hours from Denver.
I just got in about 30 minutes ago. She was asleep when I got here. I haven’t seen her since May and she looks so different, so fragile laying there. She woke up and said, “Hi, baby” when I walked in and told me she wanted to sleep more. The nurse here told me she’s been depressed and wanted someone to be in the room with her until I got here, because no one else was here for her. I’m basically all she has to take care of her and be there for her during this process. 
We talk to the oncologist tomorrow and I’m scared. I’m scared that I’m a 24 year old lost in this world already while also trying to figure out the next steps from here. I’m scared trying to find the ways to cope with knowing that my mother may not be around much longer and will  likely have to suffer her last days. She’s the only parent I have because my dad is in prison for a long time. I’m scared and I don’t know what to do. Most of all I’m fucking angry. It’s a burning rage I’ve never felt before. I’m so god damn angry at this fucking world.</t>
        </is>
      </c>
      <c r="D4967" t="n">
        <v>17</v>
      </c>
      <c r="E4967" t="n">
        <v>6</v>
      </c>
      <c r="F4967">
        <f>HYPERLINK("https://www.reddit.com/r/cancer/comments/d8iewe/update_on_my_mom_from_previous_post/")</f>
        <v/>
      </c>
      <c r="G4967" t="inlineStr">
        <is>
          <t>2019-09-23 21:49:27</t>
        </is>
      </c>
      <c r="H4967" t="inlineStr"/>
    </row>
    <row r="4968">
      <c r="A4968" t="inlineStr">
        <is>
          <t>d8kbrj</t>
        </is>
      </c>
      <c r="B4968" t="inlineStr">
        <is>
          <t>Lost and unsure what to say or do</t>
        </is>
      </c>
      <c r="C4968" t="inlineStr">
        <is>
          <t>My mom is a 2 time survivor of breast cancer and was just diagnosed with breast cancer metastasis in her spine. I'm unsure exactly what it all means I was a teenager when she had cancer the last two times 12 years ago. Nothing I've read so far is looking good for a outcome and the life expectancy which seems 4 years max. Any advice or help on approaching this and not losing hope my mom is only 50 and I had my a son last december I cant imagine him growing up without his grandmother.</t>
        </is>
      </c>
      <c r="D4968" t="n">
        <v>3</v>
      </c>
      <c r="E4968" t="n">
        <v>1</v>
      </c>
      <c r="F4968">
        <f>HYPERLINK("https://www.reddit.com/r/cancer/comments/d8kbrj/lost_and_unsure_what_to_say_or_do/")</f>
        <v/>
      </c>
      <c r="G4968" t="inlineStr">
        <is>
          <t>2019-09-24 01:38:07</t>
        </is>
      </c>
      <c r="H4968" t="inlineStr"/>
    </row>
    <row r="4969">
      <c r="A4969" t="inlineStr">
        <is>
          <t>d8leey</t>
        </is>
      </c>
      <c r="B4969" t="inlineStr">
        <is>
          <t>ESMO2019 | CANKADO@ESMO</t>
        </is>
      </c>
      <c r="C4969" t="inlineStr">
        <is>
          <t>&amp;amp;#x200B;
https://i.redd.it/zmvzy3korio31.jpg
CANKADO is revolutionizing to meet the demanding needs of Chronic cancer patients . Next generation solutions of CANKADO is  developed out of our engagement together with patients ,physicians  and thereby analyzing their inputs and requirements in yielding a complete package beneficial for patients , physicians , pharma , CROs and Diagnostics usages. We are hereby committed to provide improved quality of life , incidents predictions , improved patient safety and improved treatment outcome for the betterment of chronic patients primarily focusing on Oncology.  
Meet CANKADO at ESMO 2019 to join hands with us to create Healthier tomorrow.</t>
        </is>
      </c>
      <c r="D4969" t="n">
        <v>2</v>
      </c>
      <c r="E4969" t="n">
        <v>0</v>
      </c>
      <c r="F4969">
        <f>HYPERLINK("https://www.reddit.com/r/cancer/comments/d8leey/esmo2019_cankadoesmo/")</f>
        <v/>
      </c>
      <c r="G4969" t="inlineStr">
        <is>
          <t>2019-09-24 03:43:38</t>
        </is>
      </c>
      <c r="H4969" t="inlineStr"/>
    </row>
    <row r="4970">
      <c r="A4970" t="inlineStr">
        <is>
          <t>d8mdv4</t>
        </is>
      </c>
      <c r="B4970" t="inlineStr">
        <is>
          <t>I think my mama is living out her last days... for those who have been through this with a loved one, how did you handle it?</t>
        </is>
      </c>
      <c r="C4970" t="inlineStr">
        <is>
          <t>My surrogate mom (woman who raised me and loved me unconditionally my whole life) is currently at stage 4 stomach cancer, and too weak to do chemo. I have this dreadful feeling she is living her last days. She’s lost a huge amount of weight recently, and can barely talk. Im not in the same country as her at the moment, and wont be able to be there for another week. 
The other day as I FaceTimed her, she kept saying her I love yous. I then proceeded to burst out crying telling her how sorry I was for not being able to do more, and thanking her for being my surrogate mom when my own mother never showed me love, never taught me to read, never sent me to school etc. I thanked her for loving me and teaching me how to love others. 
Later I realised how upsetting it must’ve been for her to hear. She is, above all else, a selfless person. Apart from being scared of dying, I know her main concern atm is whether I’ll be okay. I know she feels guilty not being able to see me grow up, get married, have kids. She always, always told me how she wanted to take care of my kids, and my grandkids too. To her, it counted as an honour to do so. I know she feels like she’s letting me down. Just last year she told me not to delay marriage til she was too old to be there. I feel like I have not lived up to our expectations. 
On the other hand, I don’t know what I’d do without her. She has always been an angel to me, and I count myself the luckiest person to be loved unconditionally by her. Nobody else’s love comes close. I am in need of support and help, and am crying every day. 
I don’t know what to say to her, to make her feel at peace passing away. I don’t know how to reassure her that it will be okay, without making it seem like I’m giving up on her. I know she wants to fight, she’s just not physically able to. 
Please allow yourself to share your stories here, and what you said/did that brought your loved one some peace.</t>
        </is>
      </c>
      <c r="D4970" t="n">
        <v>27</v>
      </c>
      <c r="E4970" t="n">
        <v>22</v>
      </c>
      <c r="F4970">
        <f>HYPERLINK("https://www.reddit.com/r/cancer/comments/d8mdv4/i_think_my_mama_is_living_out_her_last_days_for/")</f>
        <v/>
      </c>
      <c r="G4970" t="inlineStr">
        <is>
          <t>2019-09-24 05:21:48</t>
        </is>
      </c>
      <c r="H4970" t="inlineStr"/>
    </row>
    <row r="4971">
      <c r="A4971" t="inlineStr">
        <is>
          <t>d8nnyw</t>
        </is>
      </c>
      <c r="B4971" t="inlineStr">
        <is>
          <t>Issue with chemo staff</t>
        </is>
      </c>
      <c r="C4971" t="inlineStr">
        <is>
          <t>Hey guys, one of my parents have been going through chemo on and off. My mom is cancer free, but switched doctors. Now this doctor is making her go back on chemo, and  is taking a Golden standard called avastin. She was never given the golden standard by the previous chemo doctor, so he is making her go on it now. Ok so my problem is that, the doctor had her go on the chemo 3 times per secession. During the first session of the chemo, she’s suppose to take the avastin with the chemo. Then the other 2 days are just chemo. Well these nurses have recently messed up on the days of which the avastin is suppose to be administered on. Does anyone else have similar problems?</t>
        </is>
      </c>
      <c r="D4971" t="n">
        <v>6</v>
      </c>
      <c r="E4971" t="n">
        <v>2</v>
      </c>
      <c r="F4971">
        <f>HYPERLINK("https://www.reddit.com/r/cancer/comments/d8nnyw/issue_with_chemo_staff/")</f>
        <v/>
      </c>
      <c r="G4971" t="inlineStr">
        <is>
          <t>2019-09-24 07:05:48</t>
        </is>
      </c>
      <c r="H4971" t="inlineStr"/>
    </row>
    <row r="4972">
      <c r="A4972" t="inlineStr">
        <is>
          <t>d8ow6h</t>
        </is>
      </c>
      <c r="B4972" t="inlineStr">
        <is>
          <t>Just got my scans done</t>
        </is>
      </c>
      <c r="C4972" t="inlineStr">
        <is>
          <t>No more cancer! 😃</t>
        </is>
      </c>
      <c r="D4972" t="n">
        <v>191</v>
      </c>
      <c r="E4972" t="n">
        <v>39</v>
      </c>
      <c r="F4972">
        <f>HYPERLINK("https://www.reddit.com/r/cancer/comments/d8ow6h/just_got_my_scans_done/")</f>
        <v/>
      </c>
      <c r="G4972" t="inlineStr">
        <is>
          <t>2019-09-24 08:38:02</t>
        </is>
      </c>
      <c r="H4972" t="inlineStr"/>
    </row>
    <row r="4973">
      <c r="A4973" t="inlineStr">
        <is>
          <t>d8p992</t>
        </is>
      </c>
      <c r="B4973" t="inlineStr">
        <is>
          <t>LLLT Question</t>
        </is>
      </c>
      <c r="C4973" t="inlineStr">
        <is>
          <t>Hello. One week ago, I started using Low Level Laser Therapy for my hair loss (I have male pattern baldness). The more I think about, the more I ask myself: Is this red laser causing cancer? I use it 3 times a week, 5 minutes per time, so 15 minutes per week. Doesn’t it cause isolated cancer cells to grow? I’m a bit afraid now. 
Edit: the product is HairMax Lasercomb Prima 7.</t>
        </is>
      </c>
      <c r="D4973" t="n">
        <v>0</v>
      </c>
      <c r="E4973" t="n">
        <v>3</v>
      </c>
      <c r="F4973">
        <f>HYPERLINK("https://www.reddit.com/r/cancer/comments/d8p992/lllt_question/")</f>
        <v/>
      </c>
      <c r="G4973" t="inlineStr">
        <is>
          <t>2019-09-24 09:04:43</t>
        </is>
      </c>
      <c r="H4973" t="inlineStr"/>
    </row>
    <row r="4974">
      <c r="A4974" t="inlineStr">
        <is>
          <t>d8pgod</t>
        </is>
      </c>
      <c r="B4974" t="inlineStr">
        <is>
          <t>What are some things you could eat while going through chemo and radiation?</t>
        </is>
      </c>
      <c r="C4974" t="inlineStr">
        <is>
          <t>I have a friend who is being treated for tonsil/ lymph node cancer. A combination of his chemo and radiation treatment has made his mouth and throat too raw to eat most things. He'll probably have to have a feeding tube put in eventually, but he's trying to avoid that for as long as possible. For those of you who have gone through something similar or know of someone who has, is there anything you could manage to eat or drink more easily? I want to put together a care package for him, but I'm unsure what to get for him. He's been dehydrated lately so I'm going to get him some body armor sports drinks to help his electrolytes and he's been drinking protein shakes as well so I'm going to get some of those too. Is there anything else you would recommend? Or some non food items that might be useful? 
If it helps to know, he doesn't have any problems *keeping* food down, just *getting* food down due his mouth and throat being raw.</t>
        </is>
      </c>
      <c r="D4974" t="n">
        <v>3</v>
      </c>
      <c r="E4974" t="n">
        <v>2</v>
      </c>
      <c r="F4974">
        <f>HYPERLINK("https://www.reddit.com/r/cancer/comments/d8pgod/what_are_some_things_you_could_eat_while_going/")</f>
        <v/>
      </c>
      <c r="G4974" t="inlineStr">
        <is>
          <t>2019-09-24 09:19:40</t>
        </is>
      </c>
      <c r="H4974" t="inlineStr"/>
    </row>
    <row r="4975">
      <c r="A4975" t="inlineStr">
        <is>
          <t>d8pjyg</t>
        </is>
      </c>
      <c r="B4975" t="inlineStr">
        <is>
          <t>New to this- insurance questions?</t>
        </is>
      </c>
      <c r="C4975" t="inlineStr">
        <is>
          <t>Hi all. I recently found out my dad has lung cancer. I'm not exactly sure of stage because the oncologist isn't focusing on that. It seems to be late 3 or 4. I apologize if I don't use the correct terminology or omit important information. We only found out about 3 weeks ago, and it's all happened so fast. 
The oncologist is having him to 3 types of chemo every 3 months along with immunotherapy. The doctor tested his cells and said the immunotherapy would work. He has his first chemo Friday and was supposed to have the immunotherapy yesterday, however we were told early yesterday the insurance is refusing to cover it. Is this normal?? This is something that would help him. What can we do to get this covered? I tried all day yesterday finding out any information, but I am just so overwhelmed and not sure where to start. Any help would be so appreciated. I need my dad around so bad.</t>
        </is>
      </c>
      <c r="D4975" t="n">
        <v>3</v>
      </c>
      <c r="E4975" t="n">
        <v>6</v>
      </c>
      <c r="F4975">
        <f>HYPERLINK("https://www.reddit.com/r/cancer/comments/d8pjyg/new_to_this_insurance_questions/")</f>
        <v/>
      </c>
      <c r="G4975" t="inlineStr">
        <is>
          <t>2019-09-24 09:26:01</t>
        </is>
      </c>
      <c r="H4975" t="inlineStr"/>
    </row>
    <row r="4976">
      <c r="A4976" t="inlineStr">
        <is>
          <t>d8qb1f</t>
        </is>
      </c>
      <c r="B4976" t="inlineStr">
        <is>
          <t>Clinical staging vs pathological staging on breast cancer question</t>
        </is>
      </c>
      <c r="C4976" t="inlineStr">
        <is>
          <t>My mom recently got clinical diagnosis of breast cancer stage 0.
When I started doing my research, sources been telling me that pathological staging is what really matters, and occasionally stage 0 can be escalated to invasive cancer. I cannot seem to find any data on how much of these cases actually become stage &amp;gt;0 cancer. Should I not worry about any metastasis to lymph nodes and etc at this moment? Thank you.</t>
        </is>
      </c>
      <c r="D4976" t="n">
        <v>2</v>
      </c>
      <c r="E4976" t="n">
        <v>3</v>
      </c>
      <c r="F4976">
        <f>HYPERLINK("https://www.reddit.com/r/cancer/comments/d8qb1f/clinical_staging_vs_pathological_staging_on/")</f>
        <v/>
      </c>
      <c r="G4976" t="inlineStr">
        <is>
          <t>2019-09-24 10:19:56</t>
        </is>
      </c>
      <c r="H4976" t="inlineStr"/>
    </row>
    <row r="4977">
      <c r="A4977" t="inlineStr">
        <is>
          <t>d8qtl9</t>
        </is>
      </c>
      <c r="B4977" t="inlineStr">
        <is>
          <t>Fuckin depressed my dad is going to die.</t>
        </is>
      </c>
      <c r="C4977" t="inlineStr">
        <is>
          <t>I guess my Dad told my brother he doesnt think he's going to make it long enough to meet the baby I'm currently 7 months pregnant with and my heart is just aching. Dad was diagnosed with lung cancer 7 years ago, and up until about 6 months ago he was in really excellent health.. so it was easy to just go essentially into denial about his terminal illness. But things have taken a major turn in his health and he's grown weaker and has less and less energy. He's been in the ICU 3 times this summer from experimental chemo meds that spiked his blood sugars, which he got type 1 diabetes from another chemo the destroyed his pancreas. He's 72 and lived a long and wonderful life. He says he's at peace and that he's not depressed. But I am so depressed about it. And i know to enjoy the time we have, take lots of pictures and find out as much as i can about our family history. I do that, but I'm still so sad. I hate seeing him get weaker. I hate seeing him grow smaller. I hate seeing him in pain or unable to breathe. I hate the idea that my dad won't he here much longer. It fucking sucks. I have no idea how I'm going to manage telling the boys when that time comes. I know it's going to devastate my sons. They love him so much. Anyways.. idk why I'm even writing this other than it's heavy and I needed to get it out there, even if to a bunch of strangers online. I really hope my dad does get to meet this baby. I wish that there was some miracle magic that could cure him and give him the rest of his natural life instead of this stupid illness. I'm so greatful to have had my dad all this time. He's always been a dedicated father, and tried his hardest to make sure that us kids had/have good lives. I wouldn't be half the person I am today if not for him.</t>
        </is>
      </c>
      <c r="D4977" t="n">
        <v>3</v>
      </c>
      <c r="E4977" t="n">
        <v>5</v>
      </c>
      <c r="F4977">
        <f>HYPERLINK("https://www.reddit.com/r/cancer/comments/d8qtl9/fuckin_depressed_my_dad_is_going_to_die/")</f>
        <v/>
      </c>
      <c r="G4977" t="inlineStr">
        <is>
          <t>2019-09-24 10:57:28</t>
        </is>
      </c>
      <c r="H4977" t="inlineStr"/>
    </row>
    <row r="4978">
      <c r="A4978" t="inlineStr">
        <is>
          <t>d8qu88</t>
        </is>
      </c>
      <c r="B4978" t="inlineStr">
        <is>
          <t>Can anyone recommend hospitals that specialize in small cell lung cancer in the Midwest of the United States? I’m curious about clinical trials/new treatments.</t>
        </is>
      </c>
      <c r="C4978" t="inlineStr">
        <is>
          <t>My dad is in the advanced stages of small cell lung cancer. The hospital he is at has pretty much given up and are trying to put him in hospice. 
I’m not delusional, I understand that he’s in a really bad way but I’m wanting to know if anyone has any recommendations for hospitals that are testing new treatments for small cell lung cancer. We live in southern Indiana but are willing to travel a little ways. 
Also if anyone has any advice for pleural fluid build up or what you have experienced I would appreciate it. 
Thanks in advance for any advice.</t>
        </is>
      </c>
      <c r="D4978" t="n">
        <v>3</v>
      </c>
      <c r="E4978" t="n">
        <v>11</v>
      </c>
      <c r="F4978">
        <f>HYPERLINK("https://www.reddit.com/r/cancer/comments/d8qu88/can_anyone_recommend_hospitals_that_specialize_in/")</f>
        <v/>
      </c>
      <c r="G4978" t="inlineStr">
        <is>
          <t>2019-09-24 10:58:51</t>
        </is>
      </c>
      <c r="H4978" t="inlineStr"/>
    </row>
    <row r="4979">
      <c r="A4979" t="inlineStr">
        <is>
          <t>d8que6</t>
        </is>
      </c>
      <c r="B4979" t="inlineStr">
        <is>
          <t>Please help - transitional cell carcinoma lung cancer from stage 4 bladder cancer - chemo/ immunotherapy / keytruda?</t>
        </is>
      </c>
      <c r="C4979" t="inlineStr">
        <is>
          <t>Please help - any input would be much appreciated. needless to say obv. we are seeking medical input etc. but i'm loosing trust in our medical provider and our options are limited. We are in Jordan being treated at the KHCC - i'm getting second opinions from other regional hospitals and one in the uk. KHCC is giving us appointment weeeks and weeeks apart, if that. The care there is not too good anymore. One doctor gave a prognosis of "weeks maybe months and then said life is in god's hands - dno what to tell you" - another said, 6 months at best without treatement, but the second one also recommended we look at immunotherapy and keytruda.
Background:
My father is a 74 year old stage IV bladder cancer patient. He was diagnosed in October 2018 as a stage 3 bladder cancer patient, and underwent surgery in November 2018. The surgery was for the removal of his bladder because that’s where the tumour was. He had an ileostomy and a stoma created; he is now fitted with an ostomey bag. During surgery, the doctor found that the surrounding lymph nodes around his bladder were also infected, and these were removed. The doctors did not carry out a 3, 6 or 9 month scan after the surgery to check if the cancer had spread because they kept saying that his creatinine levels are too high for his body to process the radioactive injection. He had a scan last week, and there are dots on his lungs which we are told mean he has lung cancer and that he is now a stage 4 bladder cancer patient. I am not a doctor, so my apologies for any of the terminology used. His surgeon recommended that we look into immunotherapy and the drug called Keytruda. We are worried that chemotherapy may be too much for him to handle, and would do more harm than good.  My dad is a Canadian citizen but has been based in Jordan and has been receiving treatment at the King Hussein Cancer Foundation for the past year. He has lost some weight since mid last year - he was around 68/70 kg and is now hovering around 58/59 kgs (he’s about 165cm tall) and is more on the frail side.
Have you been through a similar diagnosis (i.e. transitional cell carcinoma lung cancer from stage 4 bladder cancer)?
Have you tried immunotherapy? Keytruda? any feedback ? (I swear I research for days (this subreddit and online) I still want to ask).
Please any input advice would be gratefully received.</t>
        </is>
      </c>
      <c r="D4979" t="n">
        <v>2</v>
      </c>
      <c r="E4979" t="n">
        <v>3</v>
      </c>
      <c r="F4979">
        <f>HYPERLINK("https://www.reddit.com/r/cancer/comments/d8que6/please_help_transitional_cell_carcinoma_lung/")</f>
        <v/>
      </c>
      <c r="G4979" t="inlineStr">
        <is>
          <t>2019-09-24 10:59:12</t>
        </is>
      </c>
      <c r="H4979" t="inlineStr"/>
    </row>
    <row r="4980">
      <c r="A4980" t="inlineStr">
        <is>
          <t>d8r9qk</t>
        </is>
      </c>
      <c r="B4980" t="inlineStr">
        <is>
          <t>Lung cancer</t>
        </is>
      </c>
      <c r="C4980" t="inlineStr">
        <is>
          <t>How are cell homeostasis and immune system related to lung cancer?</t>
        </is>
      </c>
      <c r="D4980" t="n">
        <v>1</v>
      </c>
      <c r="E4980" t="n">
        <v>0</v>
      </c>
      <c r="F4980">
        <f>HYPERLINK("https://www.reddit.com/r/cancer/comments/d8r9qk/lung_cancer/")</f>
        <v/>
      </c>
      <c r="G4980" t="inlineStr">
        <is>
          <t>2019-09-24 11:30:12</t>
        </is>
      </c>
      <c r="H4980" t="inlineStr"/>
    </row>
    <row r="4981">
      <c r="A4981" t="inlineStr">
        <is>
          <t>d8riot</t>
        </is>
      </c>
      <c r="B4981" t="inlineStr">
        <is>
          <t>3 days ago I was going to file immigration paperwork to be with my husband. 3 days ago he found out it's brain cancer.</t>
        </is>
      </c>
      <c r="C4981" t="inlineStr">
        <is>
          <t>I'm shattering into a million pieces. We met 10+ years ago online. He visits every six months for two weeks. We Skype every day. He's been with me through hell and back. He's supported me when I thought I couldn't go on. Everytime I have needed help he's been there. 
After nine years we decided enough was enough. We need to be together. I cannot fly due to PTSD - heck, I can't even leave my city without being sick. He hates my state, but was willing to come here for me. We got married last November.
 I filed the paperwork in April. We were so excited. Picking out houses, planning kids, deciding what career I could go into. We had grand plans. The government lost the paperwork. 
We put off refiling until after he visited. During his visit he wasn't himself. He had horrible headaches. He couldn't remember things. He was sick a lot. He normally runs very warm. He was cool to the touch. We thought it was stress - it had been a horrible year. 
He went home and it didn't get better. We thought it was stress still. His eyesight for worse. He went to the eye doctor. They found something behind his eye and sent him straight to the hospital. 
I got the notification as I was printing out the last of the paperwork to send out. It's brain cancer. It's spread to both sides. Everyone says there's no hope. He has maybe weeks. 
We were so, so close. Another year and we would have been together forever. We were so excited. We had plans to start a family. Instead I'm planning a funeral. 
The worst part? I don't know that I can fly out there to be with him. The thought of flying scares me so much I throw up. The Xanax they gave me isn't helping. My husband is going to die alone, and I won't get to see him. I won't be there for the funeral. I can't hug him one last time. I can't sleep next to him. I can't offer comfort. I can't do anything. And I'm going to regret it the rest of my life. 
I've known him since I was 15. We talk for hours a day. I don't know if I can survive without him. When I got the news all I could think was that when he died I would follow with. 
I have a 2nd grade education. I have anxiety so bad it cripples me. I can't drive. I can't stand crowds. Talking to people stresses me out. I act immature when o get nervous. Nobody else is going to want me. He was the only one. Even if I do find someone, I'll be 30+. Too late to do all the dreams I had. Too late to have the large family I wanted. 
I can't believe the universe is this cruel. We were so, so close. We won't even make it to our one year anniversary. 
Worst of all, all I can think about is "what about me?" He sends me random Amazon packages. He buys me whatever I need. He loves me even when I'm so depressed I can't be around for a week. He was my escape out of this hellhole of a house. I'm a horrible person. I can't think about him, I can't be there to support him.
All I can think of is when he goes I want to go with him. I'm 26. I'm going to be a widow. I can't survive without him. I don't want to be in a world without him. I don't know how. 
I don't want to be told "you'll be okay" or "it's gods plan" or "you need to get up and get focused on living" or even "you two need to support each other." I just want to be left alone. I want to sleep forever. 
I'm staying around people so I don't destroy myself with grief. But I can't believe the universe is this horrible. 
Brain cancer is always fatal. And it's on both sides of his brain. I'm utterly crushed. I don't want this to get better. I want him. I *need* him. I'm so scared.</t>
        </is>
      </c>
      <c r="D4981" t="n">
        <v>1</v>
      </c>
      <c r="E4981" t="n">
        <v>0</v>
      </c>
      <c r="F4981">
        <f>HYPERLINK("https://www.reddit.com/r/cancer/comments/d8riot/3_days_ago_i_was_going_to_file_immigration/")</f>
        <v/>
      </c>
      <c r="G4981" t="inlineStr">
        <is>
          <t>2019-09-24 11:48:43</t>
        </is>
      </c>
      <c r="H4981" t="inlineStr"/>
    </row>
    <row r="4982">
      <c r="A4982" t="inlineStr">
        <is>
          <t>d8rknx</t>
        </is>
      </c>
      <c r="B4982" t="inlineStr">
        <is>
          <t>How are you coping with the prospect of death?</t>
        </is>
      </c>
      <c r="C4982" t="inlineStr">
        <is>
          <t>So, I’m struggling right now.  I spoke to my psychiatrist about death. I explained that previously when someone I loved died, the grief was painful - having to saying goodbye forever to that person.  If I was lucky, there was an actual goodbye moment.  As opposed to other losses I’ve had by sudden death or suicide.  All horrible.  
But now, as the cancer patient I am faced with saying goodbye to not just one person ...but EVERYONE.  That prospect is mind numbing.  How do we say goodbye to everyone?  Forever.  
On top of that I reflect back on my life naturally.  I honestly try not to do that too much cuz it’s depressing as hell.  I look at my future and wonder if I can do things to make my life mmeeaaan something.   Or I say, F it.  I was never anyone special or memorable.  My life doesn’t need to have meaning.  I never had kids. I am leaving no notable mark on the planet.  I’m just going to be more dirt.  I’m trying to accept being dirt.  I think of how much I love trees and that helps.  I’ll be good dirt.   
Anyone else contemplating their dirthood?</t>
        </is>
      </c>
      <c r="D4982" t="n">
        <v>18</v>
      </c>
      <c r="E4982" t="n">
        <v>16</v>
      </c>
      <c r="F4982">
        <f>HYPERLINK("https://www.reddit.com/r/cancer/comments/d8rknx/how_are_you_coping_with_the_prospect_of_death/")</f>
        <v/>
      </c>
      <c r="G4982" t="inlineStr">
        <is>
          <t>2019-09-24 11:52:35</t>
        </is>
      </c>
      <c r="H4982" t="inlineStr"/>
    </row>
    <row r="4983">
      <c r="A4983" t="inlineStr">
        <is>
          <t>d8s5zx</t>
        </is>
      </c>
      <c r="B4983" t="inlineStr">
        <is>
          <t>How can I help my dad deal with the physical symptoms of mesothelioma?</t>
        </is>
      </c>
      <c r="C4983" t="inlineStr">
        <is>
          <t>My dad has mesothelioma in a pretty advanced stage. I no longer live in the same state as him nor can I move back home. Does anyone here have some ideas for things I can do to make life easier on him? This includes literally just outfitting his home with stuff that could help move him move around and keep his normal activity for as long as possible, and just to make him feel more comfortable and struggle less to breathe. I don’t know. Pillows? A riding mower? A clapper lamp? I’m talking about anything here. Or maybe some interesting for him to focus his mind on that doesn’t require getting winded. I am asking about ameliorating the *physical* symptoms.</t>
        </is>
      </c>
      <c r="D4983" t="n">
        <v>2</v>
      </c>
      <c r="E4983" t="n">
        <v>1</v>
      </c>
      <c r="F4983">
        <f>HYPERLINK("https://www.reddit.com/r/cancer/comments/d8s5zx/how_can_i_help_my_dad_deal_with_the_physical/")</f>
        <v/>
      </c>
      <c r="G4983" t="inlineStr">
        <is>
          <t>2019-09-24 12:34:24</t>
        </is>
      </c>
      <c r="H4983" t="inlineStr"/>
    </row>
    <row r="4984">
      <c r="A4984" t="inlineStr">
        <is>
          <t>d8sdwg</t>
        </is>
      </c>
      <c r="B4984" t="inlineStr">
        <is>
          <t>Rant - my mom's cancer has shown me just how broken the US medical system can be. (Orlando, FL)</t>
        </is>
      </c>
      <c r="C4984" t="inlineStr">
        <is>
          <t>What I have learned from this experience is that our health care system is fucked and when you grow up there is no one there to support you but you. I was naive thinking that doctors were there as a guiding light but you are just a number to most of them. Key issues are: how hospitals operate (different doctors making rounds), too many patients/people to care for which overwhelms offices, lack of communication which is probably a result of being overwhelmed, and of course the cost/process that governs insurance and direct expenses. 
My mom was diagnosed with acinic cell carcinoma late last year. This entire process started when my mom found a lump in her neck and I had to coerce her into seeing a physician about it. This is when problem number one arose.
Problem #1 - Insurance 
My mom was on some shit medicare insurance at the time, an HMO that needed approvals and referrals for everything. Also problematic was that the doctors in our area were shit. This was the only insurance she could afford at the time, however. My mom saw the physician who referred us to an ENT for a biopsy. Initially the ENT did not want to do a biopsy though scans showed a mass in her neck. I had to push for a biopsy which the doctor retroactively agreed with. I'll spare you the details but between the GP, ENT, and getting the biopsy scheduled, it took about 3 months from the first visit to the diagnosis because of all of the paperwork that had to go back and forth.
Problem #2 - You are your own advocate
Because things were taking so long, I was the one calling each office and figuring out what the problems were. These offices do not do a great job speaking to one another and so I had to be proactive. It sometimes also requested by the offices that you provide the information - for instance my mom needed to get a copy of the referral for the biopsy from her primary physician and provide this to the ENT. I can tell you that 10-15 years ago this stuff was automatically done by the offices themselves. That no longer seems to apply and you must be your own advocate. 
Problem #3 - Communication 
We were referred to a surgeon to have the parotid removed. The surgeon was fantastic but it started a with some chaos because we were told by the ENT that the cancer was metastatic and they'd have to figure out where the primary was (the biopsy was apparently of the parotid). When asked where the primary was, the surgeon said that the biopsy was probably of the lymph node and that the parotid was the primary. I took his word for this because he is the professional but maybe that was the wrong decision. 
Problem #4 - Conflicting ideologies
After surgery, we met with the radiation oncologist. Very nice guy and like the surgeon he seemed like he knew his shit. Started treatment right away for a period of 9 weeks. He mentioned the cancer was rare and slow growing. We asked if we should find a central oncologist as well and he said no, that he would serve as the main oncologist. After radiation, the surgeon mentioned that the radiation oncologist would do at PET scan to see if the cancer had spread. We relay this information to the RO and he mentions that a targeted CT scan of the head and neck would provide clearer results and that parotid cancers pretty much stay in that area. Again, we trusted that these people knew what they were talking about but it was confusing to have two specialists recommend different paths. 
Problem #5 - The system is broken
About two months after radiation my mom starts developing back pain. We spent three months trying to find out what the cause was. Of course, the first thought was that it was just a muscle pull but after it started to get severe we approached the RO as we were concerned it was cancer. A CT scan of the chest showed two small nodules that were too small to be biopsied at the time but the RO did not think the pain was cancer related. He mentioned there was a compound fracture that appeared to be old and perhaps it was a muscle issue. We saw a GP and DO who thought it could be heart issues, muscle spams, shingles. All tests came back negative. The only reprieve is when the DO adjusted a rib that seemed out of place which gave my mom tremendous relief...but only for three days. 
I get it - an insurance company is not just going to let you get a CT scan of every area in question or biopsy every mass to see if it's cancer. Facilities also could not handle this if it were allowed but it's a sign that we need to overhaul the system completely. 
Problem #6 - Hospitals are not the way they used to be
After three months of debilitating pain, the GP recommended sending my mom to the ER to ensure it was not heart related (she recommended a Cardiologist but it was Friday and because of the concern she wanted us to get immediate care). They run the tests and it's not a heart issue. Three weeks pass, pain is there so I bring her back to the hospital. This time they run a CT of the chest and now the lungs are showing many more spots that could be cancer. They transport us to a larger hospital with a pulminology and oncology team to investigate. My mom is there for one week. Biopsy is done, cancer confirmed spread to lungs. Oh, and it also looks like some in the spine. After discharge we follow up with the oncologist who saw her at the hospital. He wants more testing done before we develop a battle plan. During the time we are waiting to get PET and CT scans, my mom's pain is so bad we have to get her back to the hospital. This time I take her to the main campus where I believe they'll be able to get these tests done. I am right, vindication! We are able to get blood tests, scans, the works completed so we can get a battle plan. Unfortunately, treating one symptom starts to cause another. Sodium drops to dangerous levels, then potassium follows (which was a result of the prep for a colonoscopy). 
Actually, I've written so much and there is SO much more to write but I am exhausted. Basically we are back in the hospital and none of the doctors are talking to one another, the nurses are making mistakes regarding what my mom can/can't eat, and I am being told by the nurses and physicians to call the other physicians in question to figure out what is going on. THAT SHOULD NOT BE MY FUCKING JOB. We are in a hospital under your care... YOU are supposed to guide us. But I said fuck it and called the doctors myself and guess what? I got NOWHERE. They all say to call someone else - just passing the buck. My mom is dying, it's been 2 months and we still don't have a treatment plan, and my mom and family are here just thinking that this is the end because no one is acting on anything or giving us any indication of what should be happening. The neurologist said that treatment has to start NOW because the cancer is so bad in the spine that my mom could be paralyzed in two weeks. Of course, they won't work on her here at the hospital because our RO, while affiliated with the hospital, is not setup with this particular branch. So we have to wait until she is discharged, which can't happen until she has a bowel movement which has not happened despite numerous medications (she's on colonoscopy prep now). If the bowel issue is a spine/cancer issue then I have no fucking idea what we'll do. The doctors aren't leaving notes, I can't be here every minute to catch them, and when I try to contact them they are non-existent. 
It all makes me feel sad for people who have to suffer. I know this is a very self-centric post and while I realize that it's my mom who is suffering, I am also the one managing most of the affairs and it is extremely difficult to do. My mom and I are fortunate that we have a loving family (brother and my wife), but I feel bad for people who have no one and have to encounter this completely on their own. I feel isolated to begin with, I can't imagine being alone in this battle. Also, people in this process aren't kind. If you ask questions they get annoyed and have no patience for you (again, probably strain from too many patients). 
I am supposed to be the foundation of this family but after today I feel broken. I have been in therapy which has helped but honestly I just...I don't fucking know anymore. I can't trust the physicians, I can't rely on them, and I guess we are just here until life takes us away and that is what I need to come to terms with. 
Sorry.</t>
        </is>
      </c>
      <c r="D4984" t="n">
        <v>19</v>
      </c>
      <c r="E4984" t="n">
        <v>20</v>
      </c>
      <c r="F4984">
        <f>HYPERLINK("https://www.reddit.com/r/cancer/comments/d8sdwg/rant_my_moms_cancer_has_shown_me_just_how_broken/")</f>
        <v/>
      </c>
      <c r="G4984" t="inlineStr">
        <is>
          <t>2019-09-24 12:50:11</t>
        </is>
      </c>
      <c r="H4984" t="inlineStr"/>
    </row>
    <row r="4985">
      <c r="A4985" t="inlineStr">
        <is>
          <t>d8sjtw</t>
        </is>
      </c>
      <c r="B4985" t="inlineStr">
        <is>
          <t>Mums results came back</t>
        </is>
      </c>
      <c r="C4985" t="inlineStr">
        <is>
          <t>Following on from yesterday, the doctors have now confirmed that my mum has breast cancer. It’s a month until they operate and she’s opted to only have the lump removed and not the whole breast. Have many here had luck with getting cancer free by not losing the whole breast when treating breast cancer? 
I’m trying to be optimistic but it is really hard. I’m in my early 20s, four months pregnant with my second, and all I’ve got left is my mum. My father has been gone for 14 years and I just can’t really bare the thought of losing my mum too.</t>
        </is>
      </c>
      <c r="D4985" t="n">
        <v>2</v>
      </c>
      <c r="E4985" t="n">
        <v>3</v>
      </c>
      <c r="F4985">
        <f>HYPERLINK("https://www.reddit.com/r/cancer/comments/d8sjtw/mums_results_came_back/")</f>
        <v/>
      </c>
      <c r="G4985" t="inlineStr">
        <is>
          <t>2019-09-24 13:01:52</t>
        </is>
      </c>
      <c r="H4985" t="inlineStr"/>
    </row>
    <row r="4986">
      <c r="A4986" t="inlineStr">
        <is>
          <t>d8sox6</t>
        </is>
      </c>
      <c r="B4986" t="inlineStr">
        <is>
          <t>How long should it take to get results on ca 125 antigen bloodwork?</t>
        </is>
      </c>
      <c r="C4986" t="inlineStr">
        <is>
          <t>Not officially diagnosed yet, but they did find a mass. I'm terrible at waiting, but want to be reasonable with my expectations. Blood was taken yesterday morning, when should I start pushing for an answer?</t>
        </is>
      </c>
      <c r="D4986" t="n">
        <v>2</v>
      </c>
      <c r="E4986" t="n">
        <v>3</v>
      </c>
      <c r="F4986">
        <f>HYPERLINK("https://www.reddit.com/r/cancer/comments/d8sox6/how_long_should_it_take_to_get_results_on_ca_125/")</f>
        <v/>
      </c>
      <c r="G4986" t="inlineStr">
        <is>
          <t>2019-09-24 13:11:39</t>
        </is>
      </c>
      <c r="H4986" t="inlineStr"/>
    </row>
    <row r="4987">
      <c r="A4987" t="inlineStr">
        <is>
          <t>d8spzq</t>
        </is>
      </c>
      <c r="B4987" t="inlineStr">
        <is>
          <t>Writing a book. What's boring what's not?</t>
        </is>
      </c>
      <c r="C4987" t="inlineStr">
        <is>
          <t>So I feel like I need to fill pages, but I am not sure if what I am talking about is actually interesting. I'm trying to create a whole chapter about the crazy things people have done/ said and the experiences I've had being handicapped and having had cancer. I was talking about random people giving me gifts and even one family stopping us in a walmart parking lot and letting me pet their ferrets. Is this stuff boring or not?</t>
        </is>
      </c>
      <c r="D4987" t="n">
        <v>2</v>
      </c>
      <c r="E4987" t="n">
        <v>1</v>
      </c>
      <c r="F4987">
        <f>HYPERLINK("https://www.reddit.com/r/cancer/comments/d8spzq/writing_a_book_whats_boring_whats_not/")</f>
        <v/>
      </c>
      <c r="G4987" t="inlineStr">
        <is>
          <t>2019-09-24 13:13:38</t>
        </is>
      </c>
      <c r="H4987" t="inlineStr"/>
    </row>
    <row r="4988">
      <c r="A4988" t="inlineStr">
        <is>
          <t>d8u108</t>
        </is>
      </c>
      <c r="B4988" t="inlineStr">
        <is>
          <t>Cancer Survivors and Cannabis Use after its Legalization in Canada [Research]</t>
        </is>
      </c>
      <c r="C4988" t="inlineStr">
        <is>
          <t>This is research I'm currently working on to  understand the factors that influence cancer survivors’ decisions to use (*or not use*) cannabis as a complementary therapy to control or alleviate their cancer symptoms or treatment side effects, and whether medically approved or recreational cannabis is preferred.
If you are:
* a cancer survivor
* live in Canada
* 18 years of age or older
* interested in participating
... then follow this link (also includes additional information): https://cc-arcc.ca/cannabis-survivorship-study-2019/
Based on the survey results, we'll contact individuals for a 1-hour telephone interview for those that are interested.</t>
        </is>
      </c>
      <c r="D4988" t="n">
        <v>2</v>
      </c>
      <c r="E4988" t="n">
        <v>2</v>
      </c>
      <c r="F4988">
        <f>HYPERLINK("https://www.reddit.com/r/cancer/comments/d8u108/cancer_survivors_and_cannabis_use_after_its/")</f>
        <v/>
      </c>
      <c r="G4988" t="inlineStr">
        <is>
          <t>2019-09-24 14:49:27</t>
        </is>
      </c>
      <c r="H4988" t="inlineStr"/>
    </row>
    <row r="4989">
      <c r="A4989" t="inlineStr">
        <is>
          <t>d8u14l</t>
        </is>
      </c>
      <c r="B4989" t="inlineStr">
        <is>
          <t>40yo wife just had mammogram- I am just here crying and don't know what to do</t>
        </is>
      </c>
      <c r="C4989" t="inlineStr">
        <is>
          <t>Doctor found a large mass, saw something with her lymohnode and took a biopsy.
 We were told to wait for the results but the doctor is pretty sure it's cancer.
We have two happy, loving, smart little girls, one with a disability- I feel so bad for them and don't think I can look them in the eyes when I pick them up from school.
My wife said she doesn't want anything to change with our behavior.....but I just can't deal with this.</t>
        </is>
      </c>
      <c r="D4989" t="n">
        <v>3</v>
      </c>
      <c r="E4989" t="n">
        <v>4</v>
      </c>
      <c r="F4989">
        <f>HYPERLINK("https://www.reddit.com/r/cancer/comments/d8u14l/40yo_wife_just_had_mammogram_i_am_just_here/")</f>
        <v/>
      </c>
      <c r="G4989" t="inlineStr">
        <is>
          <t>2019-09-24 14:49:38</t>
        </is>
      </c>
      <c r="H4989" t="inlineStr"/>
    </row>
    <row r="4990">
      <c r="A4990" t="inlineStr">
        <is>
          <t>d8u32o</t>
        </is>
      </c>
      <c r="B4990" t="inlineStr">
        <is>
          <t>Can chemotherapy cause autism?</t>
        </is>
      </c>
      <c r="C4990" t="inlineStr">
        <is>
          <t>So as a kid I had leukemia (ALL). I went 2 years through chemo and all went better than expected (the docs literally said to my mom that I technically should die with those bad blood values, but I was playing on my PS2 which my dad brought from home whole sitting on my bed).
After the chemo I went to school, with 6 years, and I've been always the weird kid, no clue how to behave in social situations. I always thought it's because of those 2 years in which I was basically isolated. But all that didn't really got better. I still often have no clue for example what emotion a person is expressing and I've to play the good ol' guess, which is often wrong.
I'm currently being tested on AD(H)D because I've got that probably too.
So my question is still: Could the chemo made my brain go full potato?</t>
        </is>
      </c>
      <c r="D4990" t="n">
        <v>0</v>
      </c>
      <c r="E4990" t="n">
        <v>0</v>
      </c>
      <c r="F4990">
        <f>HYPERLINK("https://www.reddit.com/r/cancer/comments/d8u32o/can_chemotherapy_cause_autism/")</f>
        <v/>
      </c>
      <c r="G4990" t="inlineStr">
        <is>
          <t>2019-09-24 14:53:36</t>
        </is>
      </c>
      <c r="H4990" t="inlineStr"/>
    </row>
    <row r="4991">
      <c r="A4991" t="inlineStr">
        <is>
          <t>d8vmvm</t>
        </is>
      </c>
      <c r="B4991" t="inlineStr">
        <is>
          <t>Trying to figure out what is next</t>
        </is>
      </c>
      <c r="C4991" t="inlineStr">
        <is>
          <t>So long story short-had a cone biopsy on my cervix last month and is showing what appears to be invasive cancer (they sent my sample to John Hopkins for a second opinion). My regular gynecologist originally thought it was precancerous cells and localized but based on the biopsy results and all I’m gonna say it’s safe to say that’s not the case.
I am meeting an oncologist next week to talk things over further but cannot stop myself from stressing out about what’s next. My gynecologist already told me to prepare for him wanting to do a hysterectomy, which I think is what is stressing me out the most considering I’m still pretty young (28).
What should I be expecting to come with this appointment next week? Are there questions I need to be asking? What are the next steps? 
Sorry if this sounds like a crazy rant, my mind just likes to run through all the scenarios, especially since I have no idea how long this has been an issue (I haven’t seen a gyno in about 8 or 9 years :/ ). I know at the end of the day all should be fine but. Felt this would be a good place to vent out and ask these questions.</t>
        </is>
      </c>
      <c r="D4991" t="n">
        <v>1</v>
      </c>
      <c r="E4991" t="n">
        <v>2</v>
      </c>
      <c r="F4991">
        <f>HYPERLINK("https://www.reddit.com/r/cancer/comments/d8vmvm/trying_to_figure_out_what_is_next/")</f>
        <v/>
      </c>
      <c r="G4991" t="inlineStr">
        <is>
          <t>2019-09-24 17:01:26</t>
        </is>
      </c>
      <c r="H4991" t="inlineStr"/>
    </row>
    <row r="4992">
      <c r="A4992" t="inlineStr">
        <is>
          <t>d8w7dh</t>
        </is>
      </c>
      <c r="B4992" t="inlineStr">
        <is>
          <t>Partner has skin cancer, we don’t have insurance. Please help!</t>
        </is>
      </c>
      <c r="C4992" t="inlineStr">
        <is>
          <t>Milwaukee, Wisconsin 
I’m honestly not sure if this is the place to post this sort of thing, but things have gotten so bad I’m turning to strangers on the internet for help! 
Long story short: My boyfriend had what turned out to be a cancerous spot removed from his face by a dermatologist about 2 years ago. We didn’t have health care, and paid out of pocket. The doctor told us it was a more “aggressive” form of cancer than he thought, but basically wanted nothing more to do with us when he found out we had no coverage.
Now fast forward 2 years later and it it back with a vengeance! Unfortunately we are both self employed barbers and health care is beyond unaffordable for us.  Because he works full time he doesn’t qualify for Medicare. 
It seems we are financially in the in-between.
Does anybody have any ideas?
Medical schools? Health care plans that won’t completely devastate us?  
Any input would be helpful right now. 
Also, yes I know this is a hot button issue here. I’m not trying to start an argument with anyone about health care. Just  scared and looking for some advice. 
Thank you!</t>
        </is>
      </c>
      <c r="D4992" t="n">
        <v>4</v>
      </c>
      <c r="E4992" t="n">
        <v>9</v>
      </c>
      <c r="F4992">
        <f>HYPERLINK("https://www.reddit.com/r/cancer/comments/d8w7dh/partner_has_skin_cancer_we_dont_have_insurance/")</f>
        <v/>
      </c>
      <c r="G4992" t="inlineStr">
        <is>
          <t>2019-09-24 17:59:16</t>
        </is>
      </c>
      <c r="H4992" t="inlineStr"/>
    </row>
    <row r="4993">
      <c r="A4993" t="inlineStr">
        <is>
          <t>d8wg30</t>
        </is>
      </c>
      <c r="B4993" t="inlineStr">
        <is>
          <t>My mom has stage 4 stomach cancer</t>
        </is>
      </c>
      <c r="C4993" t="inlineStr">
        <is>
          <t>So last February my mother complained of stomach pains and no ability to eat or swallow. When her primary Doctor basically forced her to go to another Doctor he knows to do an exam of her stomach (she’s stubborn). He found a baseball size tumor in her stomach near the entrance to her intestines. After basically telling her that he knows a surgeon and an oncologist that he’s very much trusted she finally went after my siblings and me sat her down and told her she has to go. Fast forward, the surgeon did one of the most complex and most difficult surgery he could for her and removed her stomach and basically tried to reconstruct it just enough so she could still eat some food. It was a success and her oncologist at the time told her that he wanted her to do a minimum of 1 year of chemo and radiation because of how aggressive her cancer was. She lied to us and said he only said three months. Well jump to now. 3 weeks ago she had the same stomach pains and started building fluids in her stomach. After 1 week, her surgeon and oncologist came in and explained to her what was happening. She then lied to our family and said it was nothing. Until after the first week when we noticed that her Doctors wouldn’t comment on whether she’d be able to come home anytime soon. She finally admitted to us that her doctors told her that her cancer was back and this time it spread to almost her entire body. Stomach, skin, surrounding organs and now her brain. I cried for 3 days straight and barley held it together. Her final wish for me is to stay with my father and buy the house that they always wanted. Basically keep my dad company and help him maintain a home. I agreed to. What got me very upset was that she told us her doctors gave her 1-2 months to live. Well last Friday her oncologist decided to call my sister who he knows won’t BS him and was upfront with my mom’s health and all meetings prior to her surgery. He asked her if all of the arrangements were ready, funeral home, transfer of banks and funds and my mothers will and DNRs. Which my sister asked why is he asking this now when according to him she had at least 1 month left. He said, “I never said she had a month. I flat out told her that she’ll be lucky to survive the weekend.” To which we all got the call from my sister. Fast forward to today she’s survived the weekend. But, her oncologist is recommending she start a morphine drip soon because eventually the other pain meds won’t keep the pain at bay. The issue is that she’ll go into a coma when she starts it. Is it wrong I no longer have any tears left for my mother? Because now she’s starting to hallucinate and lose track of anything and everything happening. Her oncologist explained to me that because of the fact her cancer is now spread to her brain it’s basically like a battlefield in her head. Her mind is trying to piece things together now that make sense and her emotions are all reactionary now. Like today she was calling one of my sisters a fuck up and a disappointment. Then when my mom got up to use the bathroom my father said “Honey you have to have the nurse help you.” Which she ignored and walked over to use it. Then when she was going back to her bed her medical rack started beeping because one of the items needed to be plugged back in. When my father was asking which one she unplugged she started speaking in riddles to him to which got me so frustrated I jumped up from my chair and screamed “MA WHICH FUCKING PLUG IS IT!” To which she glanced at me and said “Excuse me?” To which she looked at my father and screamed “BRING THE FUCKING RACK BACK HERE!” He then grabbed his granddaughter’s hand because she started to cry and stormed out and left for the day. I told her I getting up to get some air. I left and told my sisters and the oldest said “We should’ve let her Doctor start the morphine drip. She’s basically running on what’s left of her brain and it’s not registering to her what she’s doing. From screaming at us for things that happened years ago to asking for fruit that she already has infront of her. To even refusing to transfer the trust fund that she set up for our niece that’s basically useless because she’s going to college for free when she’s 18 because of her mother’s state benefits.” After that I went to my mom and told her I’d be back in a few hours because I had to cook dinner for my dad and niece. She basically looked around and said “That fucker and my granddaughter left huh?” I explained to her yea and she kinda said they don’t need to comeback. I looked at her and left. I’m sitting next to her bed now and I came in to find her with her spit cup (basically her body keeps building up mucus) and a container of fruit in her lap while she was dead asleep. I feel guilty for not being her as much as I could but the other part of me which I don’t know if it’s normal but, I just want to this to be over so my last memories of my mother is this frail woman who can barley remember who’s in the room with her.</t>
        </is>
      </c>
      <c r="D4993" t="n">
        <v>6</v>
      </c>
      <c r="E4993" t="n">
        <v>2</v>
      </c>
      <c r="F4993">
        <f>HYPERLINK("https://www.reddit.com/r/cancer/comments/d8wg30/my_mom_has_stage_4_stomach_cancer/")</f>
        <v/>
      </c>
      <c r="G4993" t="inlineStr">
        <is>
          <t>2019-09-24 18:23:53</t>
        </is>
      </c>
      <c r="H4993" t="inlineStr"/>
    </row>
    <row r="4994">
      <c r="A4994" t="inlineStr">
        <is>
          <t>d8wgng</t>
        </is>
      </c>
      <c r="B4994" t="inlineStr">
        <is>
          <t>My Mom Hid Breast Cancer from Me and Everyone and Now I’m pretty Positive it’s Too Late</t>
        </is>
      </c>
      <c r="C4994" t="inlineStr">
        <is>
          <t>I’m not sure if this is the right place to post this, so correct me if I’m wrong. I’m just desperate for answers at this point. Some of what I say may be graphic, but I need to know what I’m up against.
My mom (47F) and I (27F) have always had a strained relationship, but regardless, she’s still my mom. Earlier this year, after some vague complaints about chest pain and such, and me always telling her she needs to see a doctor (She never did, constantly she gave excuses), she finally pulled me into the bathroom to show me what’s going on. It’s going to be graphic and I’m new to posting so don’t know how to censor it. Her left breast is just gone. No real nipple to be seen. Just a small lumpy mass with oozing sores and ulcers. It took literally everything to not just break down in that moment. I pleaded with her in that moment, her just giving excuse after excuse, including money which I said didn’t matter compared to her life. In the past few months, I’ve pleaded with her again and again. My father who has had major cataracts for years finally saw it first hand last week after finally got one eye fixed, he called me from his work and broke down on the phone. I contacted her again and said that’s she going to see someone. Period. A friend is supposed to take her this Saturday, but I’ve decided to find a way there before then (I’m 5 hours away with no transportation of my own really) to make sure she goes, but to also be there for her. Despite our shitty relationship, I know she’s scared and I don’t want to regret being there for her. So I’ve been dealing with the anticipatory grief, while also grieving the death of who I would say was also a constant rock in my life (my cousin 24 M), his death has been extremely difficult for me though it was almost 2 years ago. I’ve also lost a few other family members, including my uncle this February, the father of my cousin. This grieving has also been an immense stressor in my relationship with my fiancé and it’s within the realm of possibility that he’s ready to opt out, but even if that’s the case, I want to be there for my mom.
What I really want to know is what to expect from the visit, how to deal with the results, and how to be there for my family. I also have a little brother who is only 17. I’m not sure he even knows what’s going on. We’ve never been super close due to age difference, and I moved out a decade ago. I feel like I’m losing my mind at this point and any insight or help will be so much appreciated.
TLDR; My mom (47) has hidden possible stage 4 breast cancer from me (F27), my dad (49) and my little brother (17). She has refused treatment until finally agreeing to see a doctor this weekend. I plan on being there for her. How do I cope with her possible death while also helping my family, and dealing with the possible loss of a 5 year relationship with my SO (24 M) after much grieving from me after several family deaths.</t>
        </is>
      </c>
      <c r="D4994" t="n">
        <v>7</v>
      </c>
      <c r="E4994" t="n">
        <v>12</v>
      </c>
      <c r="F4994">
        <f>HYPERLINK("https://www.reddit.com/r/cancer/comments/d8wgng/my_mom_hid_breast_cancer_from_me_and_everyone_and/")</f>
        <v/>
      </c>
      <c r="G4994" t="inlineStr">
        <is>
          <t>2019-09-24 18:25:23</t>
        </is>
      </c>
      <c r="H4994" t="inlineStr"/>
    </row>
    <row r="4995">
      <c r="A4995" t="inlineStr">
        <is>
          <t>d8wkou</t>
        </is>
      </c>
      <c r="B4995" t="inlineStr">
        <is>
          <t>I have a bad feeling about today's scan</t>
        </is>
      </c>
      <c r="C4995" t="inlineStr">
        <is>
          <t>I am having symptoms that I had before diag, deep dry hack , night sweats , lymph nodes in neck swelling, low grade fever. I am super low on iron and hemoglobin thanks to eliquis so am hoping that has something to do with all of this, and there is sickness going around the office, so it could all be written off as effects of that. I'm also tapering off Prednisone and recently went down to 5mg, and I figure that would have some effects as well. I just feel like trash and don't see how this scan could possibly have good news. I hate this shit.</t>
        </is>
      </c>
      <c r="D4995" t="n">
        <v>5</v>
      </c>
      <c r="E4995" t="n">
        <v>4</v>
      </c>
      <c r="F4995">
        <f>HYPERLINK("https://www.reddit.com/r/cancer/comments/d8wkou/i_have_a_bad_feeling_about_todays_scan/")</f>
        <v/>
      </c>
      <c r="G4995" t="inlineStr">
        <is>
          <t>2019-09-24 18:35:34</t>
        </is>
      </c>
      <c r="H4995" t="inlineStr"/>
    </row>
    <row r="4996">
      <c r="A4996" t="inlineStr">
        <is>
          <t>d8xdqx</t>
        </is>
      </c>
      <c r="B4996" t="inlineStr">
        <is>
          <t>I dont even know. I just needed to let it out. I'm sorry for the length.</t>
        </is>
      </c>
      <c r="C4996" t="inlineStr">
        <is>
          <t xml:space="preserve">
I was diagnosed with Stage 4 PPC (Primary Peritoneal Cancer) and the BRCA 1 gene mutation on May 15th this year. It came out of the blue since I went into an urgent care for trouble breathing. I thought I had walking pneumonia or bronchitis. I was sent into the emergency room when they saw my whole right lung was completely collapsed. I went at least a week with only one lung. After a couple days of testing and other shenanigans. I finally had my answer. Which I weeped for joy just knowing what's going with me. My CA-125 was at 1910. He sent me to a specialist a couple hours away. 
(Skipping stuff) 
My game plan for beating this thing was 3 rounds of chemo, CT scan, 3 more rounds of chemo then major debulking surgery. My first 4 rounds of chemo I had barely any side effects. Round 5 sucked but it was manageable with pain meds and anti nausea and round 6 I couldn't walk for the roughest part my feet and legs hurt so bad. I have neuropathy in my feet and the tips of my fingers tingle every couple days. I can only eat a couple bites at a time. Its okay I make due. I know it could be worse.  I was more than extremely fortunate in the beginning. Last chemo I go talk back with the specialist. 
To the specialist! It wasn't the news I what I was hoping for. My tumors are shrinking a lot slower than they should be and they found a large one touching my colon and intestines. I'm apart of the 20% that chemo isnt very effective. Often times surgery isnt effective as well. The overall outcome with no type of cancer coming back in 5 years isnt very promising 
On October 7th, I am gonna have a bilateral salpingo-oophorectomy (removal of fallopian tubes and ovaries) hysterectomy (uterus), and possible some removal of the intestines and colon. It is what it is so I can live.  That's where I am for that part. I am 24 and have no children. (I won't be able to save my eggs.)
I also suffer from depression and had a pretty bad drug problem for several years(I don't do anything really for a couple years now) I have been depressed for the majority of the past 3 years. I have gotten suicidal several different times (tried twice). I have a couple months here and there that I was good. I am on zoloft  which helps for the most part cuts the suicidal tendencies out and makes life manageable. I actually took the news of the cancer pretty well. I became hopeful. An attitude of "I can do this". 
The past week I have been getting extremely bad. I have talked to my drs and counselor about it. 
It is taking everything I have to not stop the surgery and treatment. I believe in survival of the fittest. Without modern day treatment I wouldn't he here today. I wished I was never born.  I am not going to stop anything. I have taken the proper steps in that aspect. 
I have an extremely supportive and loving family. However my grandma is old and going to kick the bucket any day now and my aunt is dying of pancreatic cancer and is on the decline as well. I dont want my family to worry about me more while all of that is going on.
However I have lost most of my friends because of this. I dont know if it makes them feel uncomfortable or if they seeing death when they look at me. I dont talk about it unless it gets brought up. And I typically make it sound better than it is because if I actually tell the truth. They never know what to say. My ex fiancee (6ish years (broke up a couple weeks before I found out)) is the only one that would listen or hangout with me however it's an extremely toxic relationship. 
How do you cope when it just seems pointless? 
I'm just so lost. I know no one really knows what to say they hear it. Shit, if someone said that to me. I would have no clue what to say either.</t>
        </is>
      </c>
      <c r="D4996" t="n">
        <v>5</v>
      </c>
      <c r="E4996" t="n">
        <v>5</v>
      </c>
      <c r="F4996">
        <f>HYPERLINK("https://www.reddit.com/r/cancer/comments/d8xdqx/i_dont_even_know_i_just_needed_to_let_it_out_im/")</f>
        <v/>
      </c>
      <c r="G4996" t="inlineStr">
        <is>
          <t>2019-09-24 19:56:18</t>
        </is>
      </c>
      <c r="H4996" t="inlineStr"/>
    </row>
    <row r="4997">
      <c r="A4997" t="inlineStr">
        <is>
          <t>d8y7sl</t>
        </is>
      </c>
      <c r="B4997" t="inlineStr">
        <is>
          <t>A year on from the all clear, losing hair again?</t>
        </is>
      </c>
      <c r="C4997" t="inlineStr">
        <is>
          <t>Hey so the title says it all. I am a year on, and suddenly quite a few hairs have started falling out probably 10-15 a day...
I have no history of Male pattern baldness in my family my grandads died with hair and my dad at 72 has a great head of hair. Anyone experience this?</t>
        </is>
      </c>
      <c r="D4997" t="n">
        <v>1</v>
      </c>
      <c r="E4997" t="n">
        <v>3</v>
      </c>
      <c r="F4997">
        <f>HYPERLINK("https://www.reddit.com/r/cancer/comments/d8y7sl/a_year_on_from_the_all_clear_losing_hair_again/")</f>
        <v/>
      </c>
      <c r="G4997" t="inlineStr">
        <is>
          <t>2019-09-24 21:16:10</t>
        </is>
      </c>
      <c r="H4997" t="inlineStr"/>
    </row>
    <row r="4998">
      <c r="A4998" t="inlineStr">
        <is>
          <t>d8ye11</t>
        </is>
      </c>
      <c r="B4998" t="inlineStr">
        <is>
          <t>Recovering from radiation is going to kill me</t>
        </is>
      </c>
      <c r="C4998" t="inlineStr">
        <is>
          <t>Hello all. I’m very frustrated with how I’m feeling and was just wanting to vent. I haven’t slept through the night or had a meal in over a week. I’m suffering from dehydration, and my body is trying to kill me by poisoning me with mucus so I’ll keep throwing up. My tongue is burning and ulcers abound. I’m four days out from the last radiation treatment and just over a week out from my last chemo infusion. The worst part is knowing that things could keep getting worse for another 2 weeks and I have no idea when they will start getting better. I’m so tired and hungry and thirsty...</t>
        </is>
      </c>
      <c r="D4998" t="n">
        <v>1</v>
      </c>
      <c r="E4998" t="n">
        <v>13</v>
      </c>
      <c r="F4998">
        <f>HYPERLINK("https://www.reddit.com/r/cancer/comments/d8ye11/recovering_from_radiation_is_going_to_kill_me/")</f>
        <v/>
      </c>
      <c r="G4998" t="inlineStr">
        <is>
          <t>2019-09-24 21:34:22</t>
        </is>
      </c>
      <c r="H4998" t="inlineStr"/>
    </row>
    <row r="4999">
      <c r="A4999" t="inlineStr">
        <is>
          <t>d901yd</t>
        </is>
      </c>
      <c r="B4999" t="inlineStr">
        <is>
          <t>Dear cancer, and the results of my pet scan</t>
        </is>
      </c>
      <c r="C4999" t="inlineStr">
        <is>
          <t>I didn’t lose these eyebrows for nothing. I did my time poisoning you, now let me go. Release me from your grip, stop chewing on my bones. 
For once I eat to nourish me, not the monster that resides inside of me. 
For once I drink to hydrate, not to wash the taste of stomach acid from my throat.
For once I sleep when it is time to rest, not because my body cannot leave my bed.
For once let me eat, drink, and sleep in some goddamn peace.
I am done with how you’ve played with me. I am finished with your games. I still have a few cards up my sleeve if need be, but *please- I didn’t lose these eyebrows for nothing.*</t>
        </is>
      </c>
      <c r="D4999" t="n">
        <v>84</v>
      </c>
      <c r="E4999" t="n">
        <v>6</v>
      </c>
      <c r="F4999">
        <f>HYPERLINK("https://www.reddit.com/r/cancer/comments/d901yd/dear_cancer_and_the_results_of_my_pet_scan/")</f>
        <v/>
      </c>
      <c r="G4999" t="inlineStr">
        <is>
          <t>2019-09-25 00:43:25</t>
        </is>
      </c>
      <c r="H4999" t="inlineStr"/>
    </row>
    <row r="5000">
      <c r="A5000" t="inlineStr">
        <is>
          <t>d9032x</t>
        </is>
      </c>
      <c r="B5000" t="inlineStr">
        <is>
          <t>High necrosis infiltrating ductal carcinoma</t>
        </is>
      </c>
      <c r="C5000" t="inlineStr">
        <is>
          <t>Hi everyone,
My mom was diagnosed with triple negative breast cancer in late july. 
Her initial biopsy showed calcification and necrosis. She had surgery first, her second tumour analysis came today.
It shows no calcification and high necrosis. I read online and higher necrosis means more aggressive?
She is G2, stage 2A. Tumour was 2.8cm (hasnt grown a single mm from biopsy to surgery - a month), lymph nodes negative, surrounding tissue negative, skin negative.. 
She was and still is on a healthy low-fat diet. She eats loads of antioxidants, berries, C vitamin etc.
She lost 7kg in 3 months.
Could the necrosis just mean that the cancer cells arent getting enough food for growth and then die off?? 
Should we be scared of distant metastasis? 
She starts chemo soon.
Thank you!! ❤️</t>
        </is>
      </c>
      <c r="D5000" t="n">
        <v>5</v>
      </c>
      <c r="E5000" t="n">
        <v>1</v>
      </c>
      <c r="F5000">
        <f>HYPERLINK("https://www.reddit.com/r/cancer/comments/d9032x/high_necrosis_infiltrating_ductal_carcinoma/")</f>
        <v/>
      </c>
      <c r="G5000" t="inlineStr">
        <is>
          <t>2019-09-25 00:47:29</t>
        </is>
      </c>
      <c r="H5000" t="inlineStr"/>
    </row>
    <row r="5001">
      <c r="A5001" t="inlineStr">
        <is>
          <t>d90wtf</t>
        </is>
      </c>
      <c r="B5001" t="inlineStr">
        <is>
          <t>Lynch Syndrome</t>
        </is>
      </c>
      <c r="C5001" t="inlineStr">
        <is>
          <t>Is there any Lynchies on here?</t>
        </is>
      </c>
      <c r="D5001" t="n">
        <v>3</v>
      </c>
      <c r="E5001" t="n">
        <v>2</v>
      </c>
      <c r="F5001">
        <f>HYPERLINK("https://www.reddit.com/r/cancer/comments/d90wtf/lynch_syndrome/")</f>
        <v/>
      </c>
      <c r="G5001" t="inlineStr">
        <is>
          <t>2019-09-25 02:35:52</t>
        </is>
      </c>
      <c r="H5001" t="inlineStr"/>
    </row>
    <row r="5002">
      <c r="A5002" t="inlineStr">
        <is>
          <t>d92z3t</t>
        </is>
      </c>
      <c r="B5002" t="inlineStr">
        <is>
          <t>Dealing with insensitive idiots (rant)</t>
        </is>
      </c>
      <c r="C5002" t="inlineStr">
        <is>
          <t>I'm getting pretty sick of people giving my dad their 'expert medical' advice. An aquaintance/coworker told him (in my presence as well)that she was told she could receive chemo for her diverticulitis. She then said, "I rejected it! You can reject chemo too, you don't have to so it!" 
My dad has very aggressive form of lymphoma. If he doesn't do it, he'll die. To compare her nonfatal condition to my dad's cancer...what a fucking moron. I honestly just wanted to slap her. I want to slap all the people who are pushing their alternative 'cures' on him as well.</t>
        </is>
      </c>
      <c r="D5002" t="n">
        <v>80</v>
      </c>
      <c r="E5002" t="n">
        <v>41</v>
      </c>
      <c r="F5002">
        <f>HYPERLINK("https://www.reddit.com/r/cancer/comments/d92z3t/dealing_with_insensitive_idiots_rant/")</f>
        <v/>
      </c>
      <c r="G5002" t="inlineStr">
        <is>
          <t>2019-09-25 06:03:06</t>
        </is>
      </c>
      <c r="H5002" t="inlineStr"/>
    </row>
    <row r="5003">
      <c r="A5003" t="inlineStr">
        <is>
          <t>d935w1</t>
        </is>
      </c>
      <c r="B5003" t="inlineStr">
        <is>
          <t>College and Cancer</t>
        </is>
      </c>
      <c r="C5003" t="inlineStr">
        <is>
          <t>I was diagnosed with Lymphoma back in April (during finals). I had to withdraw from the spring semester despite being so close to finishing it.  Fast forward to now, I decided to return to school (i’m a senior marine biology student) because i’m fortunate enough that my treatments are every other week and i don’t typically get nauseous. I’ve noticed that I can’t focus and my grades have been relatively poor... I got a 66 on my first exam and I’m typically an A student. I have academic accommodations which seem to be helping with assignments but it’s exams and quizzes that I’m struggling with. I’m just looking for advice. If you have any I’d really appreciate it because I’m feeling frustrated and stupid.</t>
        </is>
      </c>
      <c r="D5003" t="n">
        <v>6</v>
      </c>
      <c r="E5003" t="n">
        <v>6</v>
      </c>
      <c r="F5003">
        <f>HYPERLINK("https://www.reddit.com/r/cancer/comments/d935w1/college_and_cancer/")</f>
        <v/>
      </c>
      <c r="G5003" t="inlineStr">
        <is>
          <t>2019-09-25 06:18:19</t>
        </is>
      </c>
      <c r="H5003" t="inlineStr"/>
    </row>
    <row r="5004">
      <c r="A5004" t="inlineStr">
        <is>
          <t>d95in3</t>
        </is>
      </c>
      <c r="B5004" t="inlineStr">
        <is>
          <t>How do you deal with fear for loved ones</t>
        </is>
      </c>
      <c r="C5004" t="inlineStr">
        <is>
          <t>My mother got diagnosed with breast cancer last Friday. She'll get a PET-scan tomorrow. I never knew how it really felt for people dealing with the disease, but it's the scariest fucking thing I could ever imagine.
I'm beyond horrified for that scan. I feel extremely guilty for the gut-wrenching fear she shows that I can't take away. 
I'm trying to stay positive but it's so hard to see. 
Any tips on how to stay sane and be supportive?</t>
        </is>
      </c>
      <c r="D5004" t="n">
        <v>6</v>
      </c>
      <c r="E5004" t="n">
        <v>6</v>
      </c>
      <c r="F5004">
        <f>HYPERLINK("https://www.reddit.com/r/cancer/comments/d95in3/how_do_you_deal_with_fear_for_loved_ones/")</f>
        <v/>
      </c>
      <c r="G5004" t="inlineStr">
        <is>
          <t>2019-09-25 09:14:56</t>
        </is>
      </c>
      <c r="H5004" t="inlineStr"/>
    </row>
    <row r="5005">
      <c r="A5005" t="inlineStr">
        <is>
          <t>d95mtp</t>
        </is>
      </c>
      <c r="B5005" t="inlineStr">
        <is>
          <t>My hero is dying</t>
        </is>
      </c>
      <c r="C5005" t="inlineStr">
        <is>
          <t>My dad was diagnosed with liver cancer maybe 4 years ago. Funny, he hadn’t drank or smoked since he was 18. He’s 60 now, been on hospice for 2 years. He tried to fight it but his age, health, diabetes and hepatitis, it was a death sentence.
Before he got sick he was the strongest man i knew. He was like Superman to me. Kids admire cops or firefighters or something, but i wanted to be like my dad. He’s from Mexico and started working at 8, laying brick. He came to America to start a family. He did. Worked in construction all of his life in the Texas heat. He’d come home dripping in sweat, looked like he went swimming but he was always smiling. We were broke so sometimes he couldn’t afford to eat. He was hungry but still worked without complainants. Most of my family has mental issues. He didn’t. He was calm and logical. When everyone was crazy, he was the voice of reason. Especially with me. I’m a fucking train wreck of emotion man. Suicidal, an addict, self harming, all that. He helped me. Motivated me to be like him. A fighter.
Lately with him closer to death, he’s different. He’s not head strong. Sometimes he’s just plain illogical. Almost reacting like a child, crying sometimes uncontrollably. It’s sucks seeing your hero die and seeing his personality die with him. I’m a piece of shit and react by being distant and numb. It’s like if he would of died in a car crash he would of died as him but cancer’s a bitch. It breaks you down. He didn’t deserve this. He was a good man. He did his best always and was handed the worst. I’ve made mistakes with the way I’ve treated him. I feel terrible. It’s just all bad all the time. I’m usually high or drunk because I don’t want to face this. Face him. I know I’m reacting wrong, but this situation is wrong too. I wanna be right but I hate seeing him throw tantrums. He was always who I looked to for strength and guidance. Who do I look to now? I wish i could trade places with him, he would of stayed as who we was and I would of died happy.</t>
        </is>
      </c>
      <c r="D5005" t="n">
        <v>10</v>
      </c>
      <c r="E5005" t="n">
        <v>6</v>
      </c>
      <c r="F5005">
        <f>HYPERLINK("https://www.reddit.com/r/cancer/comments/d95mtp/my_hero_is_dying/")</f>
        <v/>
      </c>
      <c r="G5005" t="inlineStr">
        <is>
          <t>2019-09-25 09:23:25</t>
        </is>
      </c>
      <c r="H5005" t="inlineStr"/>
    </row>
    <row r="5006">
      <c r="A5006" t="inlineStr">
        <is>
          <t>d97arb</t>
        </is>
      </c>
      <c r="B5006" t="inlineStr">
        <is>
          <t>My father had terrible colon cancer and almost died, should I change my diet?</t>
        </is>
      </c>
      <c r="C5006" t="inlineStr">
        <is>
          <t>I’m very healthy, I run and lift weights almost every day. I’ve always ate meat, but everyone’s been telling me that red meat causes cancer. I’m prepared to radically change my diet if it truly means I’ll be healthier, should I be vegetarian? Vegan? What’s the optimal diet for preventing cancer and promoting long term health? 22 M.</t>
        </is>
      </c>
      <c r="D5006" t="n">
        <v>0</v>
      </c>
      <c r="E5006" t="n">
        <v>8</v>
      </c>
      <c r="F5006">
        <f>HYPERLINK("https://www.reddit.com/r/cancer/comments/d97arb/my_father_had_terrible_colon_cancer_and_almost/")</f>
        <v/>
      </c>
      <c r="G5006" t="inlineStr">
        <is>
          <t>2019-09-25 11:22:20</t>
        </is>
      </c>
      <c r="H5006" t="inlineStr"/>
    </row>
    <row r="5007">
      <c r="A5007" t="inlineStr">
        <is>
          <t>d98sjw</t>
        </is>
      </c>
      <c r="B5007" t="inlineStr">
        <is>
          <t>My testicular ultrasound experience</t>
        </is>
      </c>
      <c r="C5007" t="inlineStr">
        <is>
          <t>Hello all!
I have recently had a testicular ultrasound, although nothing was suspected, it was done as a precaution due to a previous torsion.
I'm pleased to say I have the all clear but I wanted to write about my experience to put my fellow dudes at ease if they are awaiting one of these scans. 
 tl;dr: all clear, simple and quick, painless, dont hang about if you suspect somthing, just get it checked !
So the letter arrives following a gp referral, it mearly references that you may want to bring a gown and that the probe will be passed over the skin of the area. Simple. But no other details, no specifics, so I had quite a bit of apprehension about it. 
So fast forward a week or 2 and I turn up to the waiting room, bag with a gown in hand. Check in and ask where the changing room was, I'm told no need, just a case of drop em and scan so to speak. I would still advise you bring a gown just in case, those nhs hospital ones are thin and some places may have different processes. 
So I'm called in by the sonographer, female in this case, but it really is whoever calls you next by the looks of it, very professional, she went over the gp notes to make sure she had everything right and then I was asked to drop my pants to knee height and to lay on the bed with my legs together.
I'm quickly covered for privacy by a thin paper sheet while she boots up the machine, I'm then given another sheet and told to hold my penis against my belly and to spread a little, once done the main sheet was removed leaving me holding myself under the second, so literally just my balls showing. 
She applied quite allot of warm gel to my sack, told me which testicle she was going to start with and then placed the scanner gently on that teste, moved around the entire thing (under, above and each side). She then again told me before moving over to the other ball, so no surprises, same thing, she then moved the scanner to the centre between both and took above and below images. 
She tells me there and then both have healthy blood flow, normal size and texture and that no lumps were seen. So all clear, but quickly advised just because I have this all clear doesn't mean I shouldn't get checked if I notice anything in future. Sound advise there.
After the all clear she tells me to use the paper towels to clean up, dont be afraid to ask for more sheets, they really do lather it on ! Even then I had to shower and change at home after to clean the rest, so would advise you allow time for this if possible. Curtain pulled while I cleaned up and dressed so again complete privacy. 
The time taken was less than 20 minutes, not embarrassing, not painful at all and done very professionally. I know some people may be worried about getting an erection but honestly the sonographer will be concentrating more on your balls, your penis is covered 90% of the time and it's so professional that I think its actually less common than the internet would have you believe, even if you do get a stiffy these are professionals that see hundreds of penises and testes. They will probably ignore it and carry on.
That was way longer than expected, so thanks for sticking with me. Best wishes !
(fyi I'm a mobile user. Forgive me)</t>
        </is>
      </c>
      <c r="D5007" t="n">
        <v>7</v>
      </c>
      <c r="E5007" t="n">
        <v>3</v>
      </c>
      <c r="F5007">
        <f>HYPERLINK("https://www.reddit.com/r/cancer/comments/d98sjw/my_testicular_ultrasound_experience/")</f>
        <v/>
      </c>
      <c r="G5007" t="inlineStr">
        <is>
          <t>2019-09-25 13:07:56</t>
        </is>
      </c>
      <c r="H5007" t="inlineStr"/>
    </row>
    <row r="5008">
      <c r="A5008" t="inlineStr">
        <is>
          <t>d99fwh</t>
        </is>
      </c>
      <c r="B5008" t="inlineStr">
        <is>
          <t>Can you survive Stage 4?</t>
        </is>
      </c>
      <c r="C5008" t="inlineStr">
        <is>
          <t>My grandmother is 62 years old.
A few years ago, she was diagnosed with melanoma. After surgery on her lymph nodes and a course of interferon, the doctors tested her frequently afterwards and were sure that she was clear.
Now, it’s back with full-force. Her locations include the following:
- Large melanoma tumor in the left breast, with multiple smaller tumors in the right breast
- “Multiple” melanoma tumors in the lungs
- Multiple “spots” on the liver
- Tumors in her calf
- Melanoma tumors in the left axilla
- And, as of today, 7 tumors in her brain.
She’s everything to our family. She raised me like her own daughter. We’re hoping and praying that she can survive, but we are all so scared and lost. 
She’s my true mother. I can’t bear the thought of the crushing silence in this family without her.
Please...has anyone gone through something similar? Did they/you make it? Please...I feel like my hope is gone.</t>
        </is>
      </c>
      <c r="D5008" t="n">
        <v>6</v>
      </c>
      <c r="E5008" t="n">
        <v>3</v>
      </c>
      <c r="F5008">
        <f>HYPERLINK("https://www.reddit.com/r/cancer/comments/d99fwh/can_you_survive_stage_4/")</f>
        <v/>
      </c>
      <c r="G5008" t="inlineStr">
        <is>
          <t>2019-09-25 13:54:00</t>
        </is>
      </c>
      <c r="H5008" t="inlineStr"/>
    </row>
    <row r="5009">
      <c r="A5009" t="inlineStr">
        <is>
          <t>d99qim</t>
        </is>
      </c>
      <c r="B5009" t="inlineStr">
        <is>
          <t>Any patients take chemo/avastin after no longer having cancer?</t>
        </is>
      </c>
      <c r="C5009" t="inlineStr">
        <is>
          <t>Hey guys, my mom is cancer free!!!! She never took avastin during her chemos, because she switched doctors. Well she is no longer has cancer, and now is on avastin with a chemo. Is that weird?</t>
        </is>
      </c>
      <c r="D5009" t="n">
        <v>3</v>
      </c>
      <c r="E5009" t="n">
        <v>3</v>
      </c>
      <c r="F5009">
        <f>HYPERLINK("https://www.reddit.com/r/cancer/comments/d99qim/any_patients_take_chemoavastin_after_no_longer/")</f>
        <v/>
      </c>
      <c r="G5009" t="inlineStr">
        <is>
          <t>2019-09-25 14:17:24</t>
        </is>
      </c>
      <c r="H5009" t="inlineStr"/>
    </row>
    <row r="5010">
      <c r="A5010" t="inlineStr">
        <is>
          <t>d9a9xp</t>
        </is>
      </c>
      <c r="B5010" t="inlineStr">
        <is>
          <t>They told me my Leukimia was in remission, and now suddenly its not</t>
        </is>
      </c>
      <c r="C5010" t="inlineStr">
        <is>
          <t>I'm devastated. After months struggling in the hospital, I was supposed to be going home next week. Instead I'm being flown to Seattle for another 5 months of chemo and treatmant. FML.</t>
        </is>
      </c>
      <c r="D5010" t="n">
        <v>76</v>
      </c>
      <c r="E5010" t="n">
        <v>19</v>
      </c>
      <c r="F5010">
        <f>HYPERLINK("https://www.reddit.com/r/cancer/comments/d9a9xp/they_told_me_my_leukimia_was_in_remission_and_now/")</f>
        <v/>
      </c>
      <c r="G5010" t="inlineStr">
        <is>
          <t>2019-09-25 15:02:25</t>
        </is>
      </c>
      <c r="H5010" t="inlineStr"/>
    </row>
    <row r="5011">
      <c r="A5011" t="inlineStr">
        <is>
          <t>d9b6mo</t>
        </is>
      </c>
      <c r="B5011" t="inlineStr">
        <is>
          <t>My Wife/Partner of 11 years just got diagnosed with Glioblastoma and I'm lost.</t>
        </is>
      </c>
      <c r="C5011" t="inlineStr">
        <is>
          <t>After a fainting spell at work and subsequent hospitalization, surgery, and scans. In spite of all hope and prayer we received the diagnosis today. I know her spirit and she intends to fight tooth and nail for all the time she can get. But I'm crushed completely. She has been my whole world for the last 11 years. My source of inspiration, my port in the storm's of life, and my will to move past any and every obstacle. 
I don't have much for family or friends and she has been that for me. I have no one to really vent my feelings to and I don't want to dump them on her because she is the one who will be fighting for her life. I don't want to seem selfish but I'm terrified of losing her. We were just about to enter a new stage in our lives planning a family and buying a new house and now it seems like a bomb was dropped on that.
Now I don't know what to do or where to go from here. I'll always be her support and I'll do anything to keep her comfortable and happy. But, I have no idea how I am going to get past this pain and despair I feel in order to be a source of strength for her. Does anyone have any advice for me?</t>
        </is>
      </c>
      <c r="D5011" t="n">
        <v>11</v>
      </c>
      <c r="E5011" t="n">
        <v>13</v>
      </c>
      <c r="F5011">
        <f>HYPERLINK("https://www.reddit.com/r/cancer/comments/d9b6mo/my_wifepartner_of_11_years_just_got_diagnosed/")</f>
        <v/>
      </c>
      <c r="G5011" t="inlineStr">
        <is>
          <t>2019-09-25 16:18:09</t>
        </is>
      </c>
      <c r="H5011" t="inlineStr"/>
    </row>
    <row r="5012">
      <c r="A5012" t="inlineStr">
        <is>
          <t>d9bkcc</t>
        </is>
      </c>
      <c r="B5012" t="inlineStr">
        <is>
          <t>Question about being immunocompromised</t>
        </is>
      </c>
      <c r="C5012" t="inlineStr">
        <is>
          <t>I'm done with chemo. I'm still doing immunotherapy (Keytruda), and I've still got a port. I also don't have a spleen (I know that affects immunity.) My ANC is back to normal. I've been substitute teaching a bit to get back to normal, and I'm just wondering how worried about germs I have to be.  I will bring this up to my oncologist, but I don't see him for a while.</t>
        </is>
      </c>
      <c r="D5012" t="n">
        <v>3</v>
      </c>
      <c r="E5012" t="n">
        <v>2</v>
      </c>
      <c r="F5012">
        <f>HYPERLINK("https://www.reddit.com/r/cancer/comments/d9bkcc/question_about_being_immunocompromised/")</f>
        <v/>
      </c>
      <c r="G5012" t="inlineStr">
        <is>
          <t>2019-09-25 16:49:18</t>
        </is>
      </c>
      <c r="H5012" t="inlineStr"/>
    </row>
    <row r="5013">
      <c r="A5013" t="inlineStr">
        <is>
          <t>d9ckxj</t>
        </is>
      </c>
      <c r="B5013" t="inlineStr">
        <is>
          <t>Carbon Ion Radiotherapy</t>
        </is>
      </c>
      <c r="C5013" t="inlineStr">
        <is>
          <t>Hi there. Just wondering if anyone has undergone this therapy for cancer treatment? Any recommendations? Mother has stage 4 colorectal disease met to lungs and is inoperable, it’s complicated. Any help advice appreciated.</t>
        </is>
      </c>
      <c r="D5013" t="n">
        <v>1</v>
      </c>
      <c r="E5013" t="n">
        <v>2</v>
      </c>
      <c r="F5013">
        <f>HYPERLINK("https://www.reddit.com/r/cancer/comments/d9ckxj/carbon_ion_radiotherapy/")</f>
        <v/>
      </c>
      <c r="G5013" t="inlineStr">
        <is>
          <t>2019-09-25 18:15:01</t>
        </is>
      </c>
      <c r="H5013" t="inlineStr"/>
    </row>
    <row r="5014">
      <c r="A5014" t="inlineStr">
        <is>
          <t>d9crk2</t>
        </is>
      </c>
      <c r="B5014" t="inlineStr">
        <is>
          <t>Thank you, people of this subreddit</t>
        </is>
      </c>
      <c r="C5014" t="inlineStr">
        <is>
          <t>While my mother was going through her fight with cancer, I was asking a lot of questions before we even knew it was cancer and was met with constant support and encouragement from people going through the same thing. I can't thank everyone enough for the PM's and for the advice that led to helping my mother live just a little better. Sadly she lost her fight to a very aggressive lung cancer that chemo didn't have an effect on.
To any doctors who browse here, thank you most of all. Dedicating your life to this gave my mom a chance at life, and the workers at hospice helped her be pain free for the first time in so long. Thank you all, I hope that you have as much support as she did</t>
        </is>
      </c>
      <c r="D5014" t="n">
        <v>17</v>
      </c>
      <c r="E5014" t="n">
        <v>3</v>
      </c>
      <c r="F5014">
        <f>HYPERLINK("https://www.reddit.com/r/cancer/comments/d9crk2/thank_you_people_of_this_subreddit/")</f>
        <v/>
      </c>
      <c r="G5014" t="inlineStr">
        <is>
          <t>2019-09-25 18:30:41</t>
        </is>
      </c>
      <c r="H5014" t="inlineStr"/>
    </row>
    <row r="5015">
      <c r="A5015" t="inlineStr">
        <is>
          <t>d9cz4v</t>
        </is>
      </c>
      <c r="B5015" t="inlineStr">
        <is>
          <t>Question regarding second opinions</t>
        </is>
      </c>
      <c r="C5015" t="inlineStr">
        <is>
          <t>How often have people here gotten a different treatment plan from a second opinion or 3rd consultation?
I have follicular dendritic cell sarcoma. The tumor was removed from my neck. There is limited studies in the type of sarcoma but the oncologist is recommending radiation to the site. 
Curious about others experiences with second opinions?</t>
        </is>
      </c>
      <c r="D5015" t="n">
        <v>4</v>
      </c>
      <c r="E5015" t="n">
        <v>4</v>
      </c>
      <c r="F5015">
        <f>HYPERLINK("https://www.reddit.com/r/cancer/comments/d9cz4v/question_regarding_second_opinions/")</f>
        <v/>
      </c>
      <c r="G5015" t="inlineStr">
        <is>
          <t>2019-09-25 18:48:50</t>
        </is>
      </c>
      <c r="H5015" t="inlineStr"/>
    </row>
    <row r="5016">
      <c r="A5016" t="inlineStr">
        <is>
          <t>d9dxqj</t>
        </is>
      </c>
      <c r="B5016" t="inlineStr">
        <is>
          <t>Outed by others - can we share stories of times other people decided tell for you?</t>
        </is>
      </c>
      <c r="C5016" t="inlineStr">
        <is>
          <t>An incident at work yesterday got me to thinking about all the times someone decided to yap about my cancer, instead of letting me decide if I wanted others to know. In hindsight, a lot of it is funny, because it was so awkward. At the time, it was usually mortifying, again, because it was so awkward. So, anyone have stories about this and feel like sharing? I'll go first.
I was treated when I was fourteen. Everything went well, pretty textbook, actually. My family was weird about it - my mom's side was amazing, and my dad's brother's family was great. The rest of my dad's family made weird excuses to stay away from me until it was over, including my grandparents. When it was all over, and I went into remission, my grandmother showed up with a box of stuff from the ladies at her church - she'd been telling them I was sick and they'd sent gifts, which she sat on for months until she felt comfortable seeing me. And then she demanded I write them a thank-you letter on the spot, because they'd been waiting to hear from me for so long (until she showed up with the box, I had no idea any of this was going on). She'd been soliciting prayers and gifts on my behalf, from people I'd never met, for months, while she was refusing to see me. 
But there's more. My grandfather died years later, and we went to a church service in his memory a few months later (other than my grandmother, nobody in the family was church-going, so it was already weird that we;d been asked to come). After the service, she called me over to meet some of her friends. I looked at my mom and said, "Here we go again." She assured me that my grandmother probably just wanted to tell them about me recently getting accepted into a very competitive university program. Nope, she introduced me thus: "This is 131i, the girl with cancer you sent the gifts to." And then she stepped back, like I was supposed to know what to do next. I thanked them all again, and gave them an update on my remission status, since they asked. It remains one of the most profoundly awkward experiences of my life.</t>
        </is>
      </c>
      <c r="D5016" t="n">
        <v>5</v>
      </c>
      <c r="E5016" t="n">
        <v>4</v>
      </c>
      <c r="F5016">
        <f>HYPERLINK("https://www.reddit.com/r/cancer/comments/d9dxqj/outed_by_others_can_we_share_stories_of_times/")</f>
        <v/>
      </c>
      <c r="G5016" t="inlineStr">
        <is>
          <t>2019-09-25 20:13:43</t>
        </is>
      </c>
      <c r="H5016" t="inlineStr"/>
    </row>
    <row r="5017">
      <c r="A5017" t="inlineStr">
        <is>
          <t>d9e5ub</t>
        </is>
      </c>
      <c r="B5017" t="inlineStr">
        <is>
          <t>My Mom's results are in, but I'm confused as to the staging.</t>
        </is>
      </c>
      <c r="C5017" t="inlineStr">
        <is>
          <t>The Physician's Assistant in pulmonology said it's considered IV because it's spread to lymph nodes and that lymph nodes are "always Stage IV", but it hasn't spread so far to any kind of organs. I just don't understand how that's Stage IV - everything I've read about cancer staging makes it seem that only spreading to lymph nodes (not even the other lung) means it's only Stage II or III. She said it's treatable but not curable. I feel like the doc is trying to be pessimistic to prepare us for the worst. There's a couple spots in the right lung and two lymph nodes in the chest and on the same side of the clavicle as the lung.
She goes to oncology on tomorrow, so hopefully we'll at least get some clarity! The typing is Adenocarcinoma.</t>
        </is>
      </c>
      <c r="D5017" t="n">
        <v>1</v>
      </c>
      <c r="E5017" t="n">
        <v>19</v>
      </c>
      <c r="F5017">
        <f>HYPERLINK("https://www.reddit.com/r/cancer/comments/d9e5ub/my_moms_results_are_in_but_im_confused_as_to_the/")</f>
        <v/>
      </c>
      <c r="G5017" t="inlineStr">
        <is>
          <t>2019-09-25 20:34:59</t>
        </is>
      </c>
      <c r="H5017" t="inlineStr"/>
    </row>
    <row r="5018">
      <c r="A5018" t="inlineStr">
        <is>
          <t>d9e8mr</t>
        </is>
      </c>
      <c r="B5018" t="inlineStr">
        <is>
          <t>Suddenly experiencing uncontrollable flashbacks</t>
        </is>
      </c>
      <c r="C5018" t="inlineStr">
        <is>
          <t>I went through treatment for ALL a long time ago - my last chemo was about 10 years ago and I have been in remission since. Over the years I’ve had flashbacks when very stressed, but I have been having flashbacks nonstop for about a month now and I’m scared. 
They started for no discernible reason - I came back from vacation with my husband and I started having flashbacks/nightmares daily. Usually my flashbacks revolve around a botched spinal tap that I was conscious for, one of my absolute worst memories and literally the most pain I’ve ever felt. I’m used to that. But now it won’t stop, and I seem to be having flashbacks of other moments now too. 
The last 2 days I’ve been in and out of the hospital because of my husband. We were in the ER two days in a row and he had to have emergency surgery. Seeing him hooked up to the IV, the beeping monitors, pre-op room, etc. brought back a wave of memories I did not want to have and I had several panic attacks. 
We are home now and he is recovering, but I can’t seem to stop the thoughts/memories. I haven’t slept in 4 days because of sheer adrenaline and being afraid to have flashbacks/nightmares when I sleep. I don’t understand what’s suddenly brought all this to light. I feel like I’ve lost all progress of moving on. 
Has this happened to anyone else? I’m trying to get in to see a psychiatrist but it’s taking longer than I want. I’m scared.</t>
        </is>
      </c>
      <c r="D5018" t="n">
        <v>6</v>
      </c>
      <c r="E5018" t="n">
        <v>11</v>
      </c>
      <c r="F5018">
        <f>HYPERLINK("https://www.reddit.com/r/cancer/comments/d9e8mr/suddenly_experiencing_uncontrollable_flashbacks/")</f>
        <v/>
      </c>
      <c r="G5018" t="inlineStr">
        <is>
          <t>2019-09-25 20:42:39</t>
        </is>
      </c>
      <c r="H5018" t="inlineStr"/>
    </row>
    <row r="5019">
      <c r="A5019" t="inlineStr">
        <is>
          <t>d9f8oo</t>
        </is>
      </c>
      <c r="B5019" t="inlineStr">
        <is>
          <t>Possible Breast Cancer/Advice Needed!</t>
        </is>
      </c>
      <c r="C5019" t="inlineStr">
        <is>
          <t>My mom, 55, went for her yearly mammogram and everything was good. Doctor did a physical exam and found a lump. An ultrasound was scheduled.
Between the ultrasound techs and doctor who read the results, they said it was breast tissue that had congealed and clumped over time. And that it was harmless.
Mom still had to meet with a specialist/surgeon to get the final outcome. This is where it got scary.
Specialist agreed with the previous doctor but wants to remove due to size. I guess it's a 3 cm mass.
Gave 3 options:
1. Biopsy to confirm it's not cancer.
2. Remove it, cancerous or not. 
3. Do nothing
My initial thoughts were obviously just remove it but mom is stalling because the doctor won't put her under unless she gets an EKG. I know EKG's are no big deal but my mom has been traumatized because her mother had breast cancer AND she was with her at an appointment where the did an EKG once and immediately they found all kinds of heart problems and my grandmother had bypass surgery, etc. 
I guess I understand she's already under enough stress with this 3 cm mass and doesn't want other things being found. 
I think she'll do a biopsy and we can move forward from there but this has been **A LOT**.
I haven't been there for any of these appointments, so I'm a little unclear on what's going on. Why would the ultrasound doctor say it was a harmless mass and the surgeon say a biopsy is required to rule out cancer? Is the biopsy just a way of playing it super safe? 
I'm extremely irritated that the ultrasound doctor was like coast is clear and the surgeon was like pushing for removal. Mom has really good insurance and I'm starting to wonder if a removal or biopsy doesn't just add to what they can bill insurance for. 
Also, if someone can help jog my memory. When I first heard of the lump, I started researching the best breast cancer hospitals in the country and stumbled on a non-invasive treatment that heats the mass and removes it that way? I found one doctor in my city that did it but I can't remember what it was called.</t>
        </is>
      </c>
      <c r="D5019" t="n">
        <v>2</v>
      </c>
      <c r="E5019" t="n">
        <v>3</v>
      </c>
      <c r="F5019">
        <f>HYPERLINK("https://www.reddit.com/r/cancer/comments/d9f8oo/possible_breast_canceradvice_needed/")</f>
        <v/>
      </c>
      <c r="G5019" t="inlineStr">
        <is>
          <t>2019-09-25 22:24:59</t>
        </is>
      </c>
      <c r="H5019" t="inlineStr"/>
    </row>
    <row r="5020">
      <c r="A5020" t="inlineStr">
        <is>
          <t>d9hvpo</t>
        </is>
      </c>
      <c r="B5020" t="inlineStr">
        <is>
          <t>Could my mum have cancer?</t>
        </is>
      </c>
      <c r="C5020" t="inlineStr">
        <is>
          <t>I am soo worried right now. I don't think they know it or they do and they aren't telling us. My mum has recently been anaemic (she now takes iron tablets), as a result she has been tired a lot. Also my mum had a Helicobacter pylori infection so she takes tablets for that. Recently in a scan, rhey found some tissue growth in her stomach and the doctors are arranging an endoscopy or whatever to take a chunk for testing. 
 Now I went on the NHS website and these are the symptoms for stomach cancer. Which has a very low survival rate. I got very upset but haven't told them. I am off to university in a bit but still the thought of being told your mum has cancer through the phone will kill me. I hope it isn't but it looks like it is. 
 Any advice?</t>
        </is>
      </c>
      <c r="D5020" t="n">
        <v>0</v>
      </c>
      <c r="E5020" t="n">
        <v>0</v>
      </c>
      <c r="F5020">
        <f>HYPERLINK("https://www.reddit.com/r/cancer/comments/d9hvpo/could_my_mum_have_cancer/")</f>
        <v/>
      </c>
      <c r="G5020" t="inlineStr">
        <is>
          <t>2019-09-26 03:43:21</t>
        </is>
      </c>
      <c r="H5020" t="inlineStr"/>
    </row>
    <row r="5021">
      <c r="A5021" t="inlineStr">
        <is>
          <t>d9i4zy</t>
        </is>
      </c>
      <c r="B5021" t="inlineStr">
        <is>
          <t>I’ve been given the choice between radical surgery or chemotherapy</t>
        </is>
      </c>
      <c r="C5021" t="inlineStr">
        <is>
          <t>I’m sleep deprived so I’ll keep this short. I’ve been told I have the choice between radical surgery to remove L1 &amp;amp; L4 nerve sheath tumours. The surgery will leave me wheelchair bound for life. 
The other option is chemotherapy, intensive chemotherapy... I am going back to see the doctor in a few days with my parents but I wanted to know what people who have gone through radical surgeries or chemotherapy or both have to offer in terms of advice.
I’m leaning towards chemotherapy because I can’t imagine anything worse than being bound to a wheelchair.
Thank you for reading and take care</t>
        </is>
      </c>
      <c r="D5021" t="n">
        <v>7</v>
      </c>
      <c r="E5021" t="n">
        <v>11</v>
      </c>
      <c r="F5021">
        <f>HYPERLINK("https://www.reddit.com/r/cancer/comments/d9i4zy/ive_been_given_the_choice_between_radical_surgery/")</f>
        <v/>
      </c>
      <c r="G5021" t="inlineStr">
        <is>
          <t>2019-09-26 04:10:26</t>
        </is>
      </c>
      <c r="H5021" t="inlineStr"/>
    </row>
    <row r="5022">
      <c r="A5022" t="inlineStr">
        <is>
          <t>d9ik8f</t>
        </is>
      </c>
      <c r="B5022" t="inlineStr">
        <is>
          <t>A question for testicular cancer patients?</t>
        </is>
      </c>
      <c r="C5022" t="inlineStr">
        <is>
          <t>Next week I’m getting my left nut taken out from a cancer growth. Are you able to get a girl pregnant or will they also cut off where my sperm comes from?</t>
        </is>
      </c>
      <c r="D5022" t="n">
        <v>2</v>
      </c>
      <c r="E5022" t="n">
        <v>2</v>
      </c>
      <c r="F5022">
        <f>HYPERLINK("https://www.reddit.com/r/cancer/comments/d9ik8f/a_question_for_testicular_cancer_patients/")</f>
        <v/>
      </c>
      <c r="G5022" t="inlineStr">
        <is>
          <t>2019-09-26 04:52:49</t>
        </is>
      </c>
      <c r="H5022" t="inlineStr"/>
    </row>
    <row r="5023">
      <c r="A5023" t="inlineStr">
        <is>
          <t>d9iymm</t>
        </is>
      </c>
      <c r="B5023" t="inlineStr">
        <is>
          <t>I(21M) will not survive chemo and my oncologist doesn’t slow down</t>
        </is>
      </c>
      <c r="C5023" t="inlineStr">
        <is>
          <t>Hi, I got diagnosed with a very aggressive and uncommon subtype of DBLCL (lymphoma) 2-3 months ago. 
Because of where it is and the size of the tumour I almost lost consciousness from pain and was rushed to the hospital and hospitalized for almost 2 week. Leading to the huge depreciation of my body (couldn’t eat for a week, not moving, etc). 
While I was hospitalized I receive my first round of chemo (need to act fast) so I got weaker but my body could handle since I’m so young.. 
Now this Monday I’m about to receive round 5 of DA-EPOCH-R, which since treatment 3 is at maximum dose. 
All the cancer symptoms are gone but since treatment 3 my body is screaming to stop all of this and at first there was just amplified side effects from 1-2-3 but now it’s a whole new bunch like my body doesn’t know what to do anymore.. 
I have rashes everywhere, my throat is constantly burning, everything that goes in &amp;amp; out of my body is causing me atrocious pain even water, severe acne, insomnia, loss of memory, constantly shaking, sometimes my head fall because I’m about to just shut down, constant feeling of having 0 energy, headaches, back pain, can’t feel my fingers anymore and much less painful ones.. And it’s not only the week after the chemo anymore, it’s the whole time between the two treatment! 
I don’t think I’ll be able to go through all and I wonder if anyone experience the distress of receiving chemo and what helped.. 
I don’t want to receive the next one, because I know I’ll be in severe pain after and it’s scaring me.. what if I passed out somewhere randomly..</t>
        </is>
      </c>
      <c r="D5023" t="n">
        <v>17</v>
      </c>
      <c r="E5023" t="n">
        <v>8</v>
      </c>
      <c r="F5023">
        <f>HYPERLINK("https://www.reddit.com/r/cancer/comments/d9iymm/i21m_will_not_survive_chemo_and_my_oncologist/")</f>
        <v/>
      </c>
      <c r="G5023" t="inlineStr">
        <is>
          <t>2019-09-26 05:29:35</t>
        </is>
      </c>
      <c r="H5023" t="inlineStr"/>
    </row>
    <row r="5024">
      <c r="A5024" t="inlineStr">
        <is>
          <t>d9klku</t>
        </is>
      </c>
      <c r="B5024" t="inlineStr">
        <is>
          <t>I need help finding insurance to cover my mom that isn’t sky high in price!</t>
        </is>
      </c>
      <c r="C5024" t="inlineStr">
        <is>
          <t>Hi guys, long story short my mother was put on a new cancer treatment medicine that made her drug test come back positive and now her job is basically forcing her into retirement. Which is not so bad unless you have cancer. In order for her to stick with the one she currently has the price will go from $400 up to $4K because she will no longer be an employee. Needless to say that is above what her monthly retirement check will be.
Can anybody point me in the direction of insurance companies we can look into? 
Side note... 
My mom has never done illegal drugs in her life and has never had any blemishes at all in her 28 years at her job. She is so straight laced she once took a bag of ice back into the store because on the way to her car she realized they charged her for 2 and not 3 and went back to pay for it... $1.50
Thought and any feedback welcome</t>
        </is>
      </c>
      <c r="D5024" t="n">
        <v>3</v>
      </c>
      <c r="E5024" t="n">
        <v>8</v>
      </c>
      <c r="F5024">
        <f>HYPERLINK("https://www.reddit.com/r/cancer/comments/d9klku/i_need_help_finding_insurance_to_cover_my_mom/")</f>
        <v/>
      </c>
      <c r="G5024" t="inlineStr">
        <is>
          <t>2019-09-26 07:44:25</t>
        </is>
      </c>
      <c r="H5024" t="inlineStr"/>
    </row>
    <row r="5025">
      <c r="A5025" t="inlineStr">
        <is>
          <t>d9kvc4</t>
        </is>
      </c>
      <c r="B5025" t="inlineStr">
        <is>
          <t>Just diagnosed, do I quit my job?</t>
        </is>
      </c>
      <c r="C5025" t="inlineStr">
        <is>
          <t>I was just diagnosed with leukemia this week. I’m still in shock, but have begun to process the information and all of things about to happen to me. 
I’m 30, so relatively young. I work in a medical office. I’ve only been at this job for almost 4 months, after leaving a shitty job that I had for a few years. I thought it was going to be a nice change of pace, but I honestly hate this job and the people I work with. At my 90 days, I was changed from an hourly employee to a salaried employee, with just a minor bump in pay. 
Being just diagnosed with cancer, I feel like instead of taking FMLA, I should just quit. I’m on my husband’s insurance through his job so I don’t need the insurance. I’m lucky that my husband has an amazing career, and we have a lot of savings. My husband has been talking for a long time about starting a family and me being a SAHM. Except now we are talking about me being a SAHCP (stay at home cancer patient). So financially, we will be totally fine if I quit my job. 
Everything starts getting going pretty quickly, which means if I quit, I’ll only be giving a week notice and next week would be my last week. No one else in the office can do my job, so they’d have to interview and hire and train someone else. My boss knows something is up because I had a ton of doctors appointments the last 2 weeks, and he told me he hopes everything is okay. I haven’t told him yet.
Do I quit? I hate the job, it’s not what I want to do with my life. So do I quit and focus on getting better from the cancer? Or do I just take leave and return to work when I’m better. I was told I’ll be pretty much out of commission for the next 4-5 months. I just don’t know what to expect. I feel absolutely guilty leaving the job on a last minute notice, but should I feel guilty? I have cancer for Christ’s sake. Also, when I quit, do I tell them? I don’t really want to air my medical dirty laundry out to a ton of people I don’t really like (small office, word would get around quick). I’m at such a loss here, and it’s throwing anxiety into an already emotional and stressful situation. Anyone else face this issue??? Help :(
tl;dr: diagnosed with cancer, hate my job. Do I just quit?</t>
        </is>
      </c>
      <c r="D5025" t="n">
        <v>1</v>
      </c>
      <c r="E5025" t="n">
        <v>0</v>
      </c>
      <c r="F5025">
        <f>HYPERLINK("https://www.reddit.com/r/cancer/comments/d9kvc4/just_diagnosed_do_i_quit_my_job/")</f>
        <v/>
      </c>
      <c r="G5025" t="inlineStr">
        <is>
          <t>2019-09-26 08:05:26</t>
        </is>
      </c>
      <c r="H5025" t="inlineStr"/>
    </row>
    <row r="5026">
      <c r="A5026" t="inlineStr">
        <is>
          <t>d9kvft</t>
        </is>
      </c>
      <c r="B5026" t="inlineStr">
        <is>
          <t>Mom is losing her hair. How can I help?</t>
        </is>
      </c>
      <c r="C5026" t="inlineStr">
        <is>
          <t>My mom started chemo about two weeks ago. Her hair started thinning a few days ago but has now started falling out in clumps. She’s remaining strong but I know something like this can be emotionally taxing. 
What can I do to help her emotionally as she goes through this? What tips or advice do you have regarding hair loss during cancer treatment? 
Thank you in advance for any responses.</t>
        </is>
      </c>
      <c r="D5026" t="n">
        <v>3</v>
      </c>
      <c r="E5026" t="n">
        <v>11</v>
      </c>
      <c r="F5026">
        <f>HYPERLINK("https://www.reddit.com/r/cancer/comments/d9kvft/mom_is_losing_her_hair_how_can_i_help/")</f>
        <v/>
      </c>
      <c r="G5026" t="inlineStr">
        <is>
          <t>2019-09-26 08:05:39</t>
        </is>
      </c>
      <c r="H5026" t="inlineStr"/>
    </row>
    <row r="5027">
      <c r="A5027" t="inlineStr">
        <is>
          <t>d9mcnd</t>
        </is>
      </c>
      <c r="B5027" t="inlineStr">
        <is>
          <t>Question about cyst in brain</t>
        </is>
      </c>
      <c r="C5027" t="inlineStr">
        <is>
          <t>I'm not sure if this is against the rules, but my friend just recently had a CT scan and MRI for a 9mm cyst in her brain. I've tried researching online but cannot find anywhere whether 9mm is small or huge or medium or anything. I do not know what type of cyst it is, FYI. Any information you can give me will help. Thank you.
&amp;amp;#x200B;
If this post is against rules, y'all can go ahead and delete this, and apologies.</t>
        </is>
      </c>
      <c r="D5027" t="n">
        <v>1</v>
      </c>
      <c r="E5027" t="n">
        <v>4</v>
      </c>
      <c r="F5027">
        <f>HYPERLINK("https://www.reddit.com/r/cancer/comments/d9mcnd/question_about_cyst_in_brain/")</f>
        <v/>
      </c>
      <c r="G5027" t="inlineStr">
        <is>
          <t>2019-09-26 09:52:50</t>
        </is>
      </c>
      <c r="H5027" t="inlineStr"/>
    </row>
    <row r="5028">
      <c r="A5028" t="inlineStr">
        <is>
          <t>d9nbbn</t>
        </is>
      </c>
      <c r="B5028" t="inlineStr">
        <is>
          <t>I'm exhausting every avenue I can think of in order to pay for my friend's cancer treatment. He's on Medicaid. His particulat treatment is super effective and not very expensive. Does anyone have any advice on fundraising?</t>
        </is>
      </c>
      <c r="C5028" t="inlineStr">
        <is>
          <t>He has diffuse large B cell lymphoma. I've applied for the urgent need program from LLS.org, but I'm seeking feedback on what I can or should do next. 
He cant get social security disability until his first treatment fails. Apparently they just changed the rules. 
His GoFundMe has only generated 10% of his goal, and that's after media coverage by two local outlets. He does go to ASU, but has had conflicts with them over his two dogs and housing situation. That's since been resolved. 
TL;DR please give me advice on how to fundraise for my friend's cancer treatment gofundme.com/SaveASunDevil</t>
        </is>
      </c>
      <c r="D5028" t="n">
        <v>1</v>
      </c>
      <c r="E5028" t="n">
        <v>0</v>
      </c>
      <c r="F5028">
        <f>HYPERLINK("https://www.reddit.com/r/cancer/comments/d9nbbn/im_exhausting_every_avenue_i_can_think_of_in/")</f>
        <v/>
      </c>
      <c r="G5028" t="inlineStr">
        <is>
          <t>2019-09-26 11:01:16</t>
        </is>
      </c>
      <c r="H5028" t="inlineStr"/>
    </row>
    <row r="5029">
      <c r="A5029" t="inlineStr">
        <is>
          <t>d9o8nb</t>
        </is>
      </c>
      <c r="B5029" t="inlineStr">
        <is>
          <t>Today, on my 22nd birthday, they told me that it's very likely that my cancer is terminal.</t>
        </is>
      </c>
      <c r="C5029" t="inlineStr">
        <is>
          <t>It's leukemia, and it's aggressive. They still will be trying a couple of treatments, but they're so experimental, and only a handful of people in the world did it so far, without great results.
And the meeting was awkward. The doctors wished a happy birthday for me, but at the same time they had to tell me the truth.
I'm not necessarily scared, I just feel like I won't have time to wrap things up when the time comes.</t>
        </is>
      </c>
      <c r="D5029" t="n">
        <v>121</v>
      </c>
      <c r="E5029" t="n">
        <v>45</v>
      </c>
      <c r="F5029">
        <f>HYPERLINK("https://www.reddit.com/r/cancer/comments/d9o8nb/today_on_my_22nd_birthday_they_told_me_that_its/")</f>
        <v/>
      </c>
      <c r="G5029" t="inlineStr">
        <is>
          <t>2019-09-26 12:07:23</t>
        </is>
      </c>
      <c r="H5029" t="inlineStr"/>
    </row>
    <row r="5030">
      <c r="A5030" t="inlineStr">
        <is>
          <t>d9r0m7</t>
        </is>
      </c>
      <c r="B5030" t="inlineStr">
        <is>
          <t>Triple Negative IDC with metastasis in lymph nodes</t>
        </is>
      </c>
      <c r="C5030" t="inlineStr">
        <is>
          <t>Hello my fellow redditors. 
A month ago I was diagnosed with a Grade 3, triple negative, infiltrating Ductal Carcinoma. It’s a 5cm tumor in my left breast, and the cancer has spread to my lymph nodes and my pectoralis muscle. 
I am an active, and  healthy, 35 years old mom of 2. I rarely got sick,  never showed symptoms, just pain on the tumor but after a visit at the ER it was dismissed as just having a  clogged milk duct because “cancer doesn’t hurt”. 
I started chemo last Thursday. I’m on 4 cycles of AC “red devil” and 12 cycles of Taxol/Carboplatin. I am documenting my journey on instagram, if you relate to my story, you can DM me and I will gladly share it with you. 
Also, I’ve been lurking here for a month and finally got the courage to introduce myself. This community has been supportive without realizing it, I just want to say thank you.
Also, if you haven’t yet, get your boobs checked! Get to know them well so you spot any changes sooner. Get your mammogram, if you know that cancer runs in your family please take extra steps to make sure you’re still good and healthy. 
Much love!💕</t>
        </is>
      </c>
      <c r="D5030" t="n">
        <v>13</v>
      </c>
      <c r="E5030" t="n">
        <v>8</v>
      </c>
      <c r="F5030">
        <f>HYPERLINK("https://www.reddit.com/r/cancer/comments/d9r0m7/triple_negative_idc_with_metastasis_in_lymph_nodes/")</f>
        <v/>
      </c>
      <c r="G5030" t="inlineStr">
        <is>
          <t>2019-09-26 15:23:02</t>
        </is>
      </c>
      <c r="H5030" t="inlineStr"/>
    </row>
    <row r="5031">
      <c r="A5031" t="inlineStr">
        <is>
          <t>d9rafx</t>
        </is>
      </c>
      <c r="B5031" t="inlineStr">
        <is>
          <t>How to Help My Mom</t>
        </is>
      </c>
      <c r="C5031" t="inlineStr">
        <is>
          <t>My grandma was just diagnosed with a lung cancer that metastasized. My moms really shaken up, so what can I do?</t>
        </is>
      </c>
      <c r="D5031" t="n">
        <v>4</v>
      </c>
      <c r="E5031" t="n">
        <v>4</v>
      </c>
      <c r="F5031">
        <f>HYPERLINK("https://www.reddit.com/r/cancer/comments/d9rafx/how_to_help_my_mom/")</f>
        <v/>
      </c>
      <c r="G5031" t="inlineStr">
        <is>
          <t>2019-09-26 15:42:55</t>
        </is>
      </c>
      <c r="H5031" t="inlineStr"/>
    </row>
    <row r="5032">
      <c r="A5032" t="inlineStr">
        <is>
          <t>d9s55d</t>
        </is>
      </c>
      <c r="B5032" t="inlineStr">
        <is>
          <t>I need help</t>
        </is>
      </c>
      <c r="C5032" t="inlineStr">
        <is>
          <t>I just got the news that my father who has worked his entire life, who built a loving family and who is absolutly everything to me has skin cancer. Fuck. 
The worst part is that he didn't go to a doctor for 2-3 months because he brushed it off as a bruise he got somewhere from working around the house and the spot grew to 2.8mm. 
They cut it out but they need to operate on him once more to see whether it spread to the lymphnodes.
Doctor said there was a 75% he would be healed. However, looking up the stages 2.8mm seems really fucking horrorfying.
Please if anyone is knowledgleable about this please tell me if he has good chances or not to make it out healed... 
He never did drugs only drank a few beers in a month absolutly non alcoholic! He is the best man I know in the entire world and I can't stand it.</t>
        </is>
      </c>
      <c r="D5032" t="n">
        <v>1</v>
      </c>
      <c r="E5032" t="n">
        <v>0</v>
      </c>
      <c r="F5032">
        <f>HYPERLINK("https://www.reddit.com/r/cancer/comments/d9s55d/i_need_help/")</f>
        <v/>
      </c>
      <c r="G5032" t="inlineStr">
        <is>
          <t>2019-09-26 16:47:12</t>
        </is>
      </c>
      <c r="H5032" t="inlineStr"/>
    </row>
    <row r="5033">
      <c r="A5033" t="inlineStr">
        <is>
          <t>d9t3lj</t>
        </is>
      </c>
      <c r="B5033" t="inlineStr">
        <is>
          <t>I am afraid to take Tamoxifen</t>
        </is>
      </c>
      <c r="C5033" t="inlineStr">
        <is>
          <t>I am a 45 yr old female and I recently finished chemo for HER2 neg hormone positive stage 2 breast cancer. Then I had bi-lateral masectomy last month.
Now comes time for Tamoxifen a drug I have heard nothing but horror stories about . I have not even started it yet but because of chemopause I am already having hot flashes and sweats and they are pretty bad will the Tamoxifen make these worse? I can't imagine feeling worse than I already do. How bad is the nausea? Does taking it before bed help so you can sleep through side effects? Has anyone had luck with Black Cohosh?
I should also add my maternal aunt had uterine cancer at 47 but because of my age and family history I had genetic testing and no cancer gene. Still worries me to take a medication that increases chance of a cancer that actually runs in my family .
Thank you for any tips or suggestions to get through this.</t>
        </is>
      </c>
      <c r="D5033" t="n">
        <v>3</v>
      </c>
      <c r="E5033" t="n">
        <v>12</v>
      </c>
      <c r="F5033">
        <f>HYPERLINK("https://www.reddit.com/r/cancer/comments/d9t3lj/i_am_afraid_to_take_tamoxifen/")</f>
        <v/>
      </c>
      <c r="G5033" t="inlineStr">
        <is>
          <t>2019-09-26 18:06:50</t>
        </is>
      </c>
      <c r="H5033" t="inlineStr"/>
    </row>
    <row r="5034">
      <c r="A5034" t="inlineStr">
        <is>
          <t>d9y9f8</t>
        </is>
      </c>
      <c r="B5034" t="inlineStr">
        <is>
          <t>Am I losing my mind?</t>
        </is>
      </c>
      <c r="C5034" t="inlineStr">
        <is>
          <t>I signed up for a Pilates certification program, that starts today but on Monday I was diagnosed with breast cancer. I payed 5k for this certification, and they refuse to give me a refund.  The best offer they made was to waive their fee of $150 to delay my course by 3 years (that’s the amount of time they decided was appropriate for me to fight cancer and return to perfect health). My brother passed away suddenly last month, and one of my thoughts was: “I have to find a way to get through this grief by next month because I can’t get a refund on my certification program.”  Am I crazy to think that this is wrong? I’m looking for a lawyer to fight for my money back, but I want them to change their policy.</t>
        </is>
      </c>
      <c r="D5034" t="n">
        <v>33</v>
      </c>
      <c r="E5034" t="n">
        <v>40</v>
      </c>
      <c r="F5034">
        <f>HYPERLINK("https://www.reddit.com/r/cancer/comments/d9y9f8/am_i_losing_my_mind/")</f>
        <v/>
      </c>
      <c r="G5034" t="inlineStr">
        <is>
          <t>2019-09-27 03:08:58</t>
        </is>
      </c>
      <c r="H5034" t="inlineStr"/>
    </row>
    <row r="5035">
      <c r="A5035" t="inlineStr">
        <is>
          <t>da2ftd</t>
        </is>
      </c>
      <c r="B5035" t="inlineStr">
        <is>
          <t>Mouth cancer</t>
        </is>
      </c>
      <c r="C5035" t="inlineStr">
        <is>
          <t>I am getting pretty worried rn. I had something like a white patch in my mouth 2 weeks ago and the doctor said it might be viral or bacterial. After giving me antibiotics it didnt go away after a week. 
Then the doctor said it might be a fungal infection.  It is my 5th day using the antifungal medication he gave me and it still hasnt gone away. 
The doctor also said to come again if it doesnt go away after the antifungal treatment since it could be "something bad". 
I am 23 btw. How common is mouth cancer at such an age? 
Thank you all for the support.</t>
        </is>
      </c>
      <c r="D5035" t="n">
        <v>2</v>
      </c>
      <c r="E5035" t="n">
        <v>16</v>
      </c>
      <c r="F5035">
        <f>HYPERLINK("https://www.reddit.com/r/cancer/comments/da2ftd/mouth_cancer/")</f>
        <v/>
      </c>
      <c r="G5035" t="inlineStr">
        <is>
          <t>2019-09-27 08:59:50</t>
        </is>
      </c>
      <c r="H5035" t="inlineStr"/>
    </row>
    <row r="5036">
      <c r="A5036" t="inlineStr">
        <is>
          <t>da2oc8</t>
        </is>
      </c>
      <c r="B5036" t="inlineStr">
        <is>
          <t>I have questions about getting back physical strength after chemo and radiation</t>
        </is>
      </c>
      <c r="C5036" t="inlineStr">
        <is>
          <t>My dad has small cell lung cancer. They finished up his treatment normal treatment and was down to two more sessions of radiation on his brain to make sure it was gone. 
He ended up back in the hospital because pleural fluid build up. They can’t do anything else for him because he’s so weak. Is there anything I can change in his diet to make him stronger?
I understand that the situation isn’t in his favor but I want to at least try something.</t>
        </is>
      </c>
      <c r="D5036" t="n">
        <v>4</v>
      </c>
      <c r="E5036" t="n">
        <v>4</v>
      </c>
      <c r="F5036">
        <f>HYPERLINK("https://www.reddit.com/r/cancer/comments/da2oc8/i_have_questions_about_getting_back_physical/")</f>
        <v/>
      </c>
      <c r="G5036" t="inlineStr">
        <is>
          <t>2019-09-27 09:16:29</t>
        </is>
      </c>
      <c r="H5036" t="inlineStr"/>
    </row>
    <row r="5037">
      <c r="A5037" t="inlineStr">
        <is>
          <t>da2xza</t>
        </is>
      </c>
      <c r="B5037" t="inlineStr">
        <is>
          <t>Getting a job after being cleared from a transplant feels exhausting and scary.</t>
        </is>
      </c>
      <c r="C5037" t="inlineStr">
        <is>
          <t>I don't know where to post this and I don't where to talk about this with people who have been in this situation. But I feel this sub could help better than others. 
I had my last biopsy and I am cleared to get back into my regular ol' life, I'm currently waiting for vaccines and currently taking online classes. But there is one thing missing and it's finding a job. My SSI will soon stop and I don't want to depend on my gf or family for money anymore. I can't take physical jobs because of the post effects of radiation, my heart still pounds like crazy and I sweat excessively. I kind of have some form of PTSD from my ALL. I've had 2 years depending on my family and now I'm trying to become independent. I'm trying to keep a routine schedule waking up and sleeping early. The only independent thing I'm currently doing is going back to the gym by myself but in the back of my head I feel scared of getting sick from someone or fainting in public from exhaustion. I'm 23 and I don't want to work with younger people because of the past year of experience I've had with people being so mean to me when I had asked for help in stores. I was profiled twice for wearing a mask in public because I didn't want to get sick and the situation pissed me off. I'm no longer sick, but I still have the same mentality as I did having cancer which is being afraid of the public. I'm seeing my friend in the hospital who's still getting chemotherapy. He trys to help me, not to be afraid of it. I wish the best for this guy, and I always feel so guilty seeing him still having to get chemotherapy and I'm here cured and I can't do anything to help his health. 
I still feel scared and I don't know why.</t>
        </is>
      </c>
      <c r="D5037" t="n">
        <v>3</v>
      </c>
      <c r="E5037" t="n">
        <v>7</v>
      </c>
      <c r="F5037">
        <f>HYPERLINK("https://www.reddit.com/r/cancer/comments/da2xza/getting_a_job_after_being_cleared_from_a/")</f>
        <v/>
      </c>
      <c r="G5037" t="inlineStr">
        <is>
          <t>2019-09-27 09:35:54</t>
        </is>
      </c>
      <c r="H5037" t="inlineStr"/>
    </row>
    <row r="5038">
      <c r="A5038" t="inlineStr">
        <is>
          <t>da2zse</t>
        </is>
      </c>
      <c r="B5038" t="inlineStr">
        <is>
          <t>Is surgery on a brain tumor ever helpful?</t>
        </is>
      </c>
      <c r="C5038" t="inlineStr">
        <is>
          <t>My beloved was told a few days ago that it's brain cancer. All I know is it's aggressive, covers 1/5th of their brain, and can be seen with an eye exam. They've been having memory problems, headaches, vision problems. 
I know that's very bad and most likely fatal. I'm in a different state for a few days and cannot get all the details. 
I know it's stupid to ask if they'll survive - I've seen the statistics. Surgery is one of the options they gave us. Has it ever been a benefit? All I can find are horror stories. 
I'm scared, guys. I'm very scared. I can't ask if anyone has had it this bad and lived - I don't want to know the answer.</t>
        </is>
      </c>
      <c r="D5038" t="n">
        <v>5</v>
      </c>
      <c r="E5038" t="n">
        <v>8</v>
      </c>
      <c r="F5038">
        <f>HYPERLINK("https://www.reddit.com/r/cancer/comments/da2zse/is_surgery_on_a_brain_tumor_ever_helpful/")</f>
        <v/>
      </c>
      <c r="G5038" t="inlineStr">
        <is>
          <t>2019-09-27 09:39:28</t>
        </is>
      </c>
      <c r="H5038" t="inlineStr"/>
    </row>
    <row r="5039">
      <c r="A5039" t="inlineStr">
        <is>
          <t>da6yxt</t>
        </is>
      </c>
      <c r="B5039" t="inlineStr">
        <is>
          <t>Need a ‘hashtag’ to sell t-shirts for a friend who’s fighting breast cancer.</t>
        </is>
      </c>
      <c r="C5039" t="inlineStr">
        <is>
          <t>Hello r/cancer!
My co-worker/friend is fighting breast cancer. I’m looking for a cute saying or hashtag to put on t-shirts and sell in order to try to make some money for her. 
Her name is Amy, she’s 6th grade English teacher (so the saying/hashtag would need to be appropriate). 
It’s been a stressful week and although I’ve been trying to think of something creative to put on these shirts I can’t seem to come up with anything! 
Any help or suggestions would be appreciated :)</t>
        </is>
      </c>
      <c r="D5039" t="n">
        <v>3</v>
      </c>
      <c r="E5039" t="n">
        <v>4</v>
      </c>
      <c r="F5039">
        <f>HYPERLINK("https://www.reddit.com/r/cancer/comments/da6yxt/need_a_hashtag_to_sell_tshirts_for_a_friend_whos/")</f>
        <v/>
      </c>
      <c r="G5039" t="inlineStr">
        <is>
          <t>2019-09-27 14:37:57</t>
        </is>
      </c>
      <c r="H5039" t="inlineStr"/>
    </row>
    <row r="5040">
      <c r="A5040" t="inlineStr">
        <is>
          <t>da7acj</t>
        </is>
      </c>
      <c r="B5040" t="inlineStr">
        <is>
          <t>My father died yesterday</t>
        </is>
      </c>
      <c r="C5040" t="inlineStr">
        <is>
          <t>63 years old, double diagnosis of interstitial lung disease and stage 4 esophageal cancer.
Started in winter with what doctors thought was a stubborn bronchitis. In May we got lung disease diagnosis, July the cancer.
He started oxygen supplementation in June. Chemo started in August and he handled 5 weeks of it with no issue. After Labor Day weekend he was hospitalized with the flu and then pneumonia; he never made it home again.
We live halfway across the country from each other. He visited me in April before we knew diagnosis but I saw his lack of energy, slow walking, and told him he needed to start working out again. I was an idiot.
July I went home for a week before chemo. Then Sept 16th went home and stayed with him the last 10 days of his life. Those days were sad but amazing. We talked about everything, he shared so much love, it provided some peace in an otherwise horrible situation.
We aren’t sure how he contracted both. His doctors kept telling him he didn’t cause any of this. But my mother believes it was his acid reflux, a constant issue all his life. Doesn’t much matter now.
But he fought to the very end. Turning down comfort only measures just hours before he passed, looking at me asking if he was making the right decision. He said he was about to turn the corner towards recovery, he wasn’t going to give up now, he had too much to live for.
Today was the first day of my life without my dad. It’s absolutely devastating. Love you dad.</t>
        </is>
      </c>
      <c r="D5040" t="n">
        <v>31</v>
      </c>
      <c r="E5040" t="n">
        <v>10</v>
      </c>
      <c r="F5040">
        <f>HYPERLINK("https://www.reddit.com/r/cancer/comments/da7acj/my_father_died_yesterday/")</f>
        <v/>
      </c>
      <c r="G5040" t="inlineStr">
        <is>
          <t>2019-09-27 15:03:22</t>
        </is>
      </c>
      <c r="H5040" t="inlineStr"/>
    </row>
    <row r="5041">
      <c r="A5041" t="inlineStr">
        <is>
          <t>da7kmj</t>
        </is>
      </c>
      <c r="B5041" t="inlineStr">
        <is>
          <t>My Grandma got diagnosed with cancer of the stomach.</t>
        </is>
      </c>
      <c r="C5041" t="inlineStr">
        <is>
          <t>So, just an hour ago my Grandma told me that she has been diagnosed with cancer and I’m just in a state of shock. Does anyone have any tips to come to  terms with a loved one being diagnosed and any tips on how to help that loved one through it? I really want to be there for her and help her every step of the way.</t>
        </is>
      </c>
      <c r="D5041" t="n">
        <v>3</v>
      </c>
      <c r="E5041" t="n">
        <v>0</v>
      </c>
      <c r="F5041">
        <f>HYPERLINK("https://www.reddit.com/r/cancer/comments/da7kmj/my_grandma_got_diagnosed_with_cancer_of_the/")</f>
        <v/>
      </c>
      <c r="G5041" t="inlineStr">
        <is>
          <t>2019-09-27 15:26:35</t>
        </is>
      </c>
      <c r="H5041" t="inlineStr"/>
    </row>
    <row r="5042">
      <c r="A5042" t="inlineStr">
        <is>
          <t>da805i</t>
        </is>
      </c>
      <c r="B5042" t="inlineStr">
        <is>
          <t>Mother (56) just died - lung cancer</t>
        </is>
      </c>
      <c r="C5042" t="inlineStr">
        <is>
          <t>Hello
Diagnosed with stage IV lung cancer about 8 weeks ago my mom has been through a lot of shit. A chemo, radiation therapy, all kinds of psychological issues because it was unexpected, and now - death.
For the past few weeks ive been reading a lot of posts on this sub .. today it was "our big day". My mother, at the same time best friend and lifelong caretaker since i'm handicapped myself, died about an hour ago due to stage 4 lung cancer. The last week was quite horrible and all of us kind of agreed that a human being wouldn't want to live like that. It was also her wish to die at home, in a painless way. So she died at home. With morphine injections to ease the pain.
Lung cancer, no, any cancer is a bitch. Take care of yourselves. And im sorry. I guess i just needed to vent...</t>
        </is>
      </c>
      <c r="D5042" t="n">
        <v>12</v>
      </c>
      <c r="E5042" t="n">
        <v>8</v>
      </c>
      <c r="F5042">
        <f>HYPERLINK("https://www.reddit.com/r/cancer/comments/da805i/mother_56_just_died_lung_cancer/")</f>
        <v/>
      </c>
      <c r="G5042" t="inlineStr">
        <is>
          <t>2019-09-27 16:02:42</t>
        </is>
      </c>
      <c r="H5042" t="inlineStr"/>
    </row>
    <row r="5043">
      <c r="A5043" t="inlineStr">
        <is>
          <t>da8guu</t>
        </is>
      </c>
      <c r="B5043" t="inlineStr">
        <is>
          <t>Recurring bladder cancer tumors</t>
        </is>
      </c>
      <c r="C5043" t="inlineStr">
        <is>
          <t>I had a papillary stage 0 tumor removed from my bladder a year ago. The follow up was monitoring for blood in my urine and quarterly cystoscopes and a CT scan to rule out cancer higher up, like in my kidneys.  While that was negative, the cancer is back, we think. I have another cystoscope scheduled pursuant to another likely surgery on a second tumor, almost same area of my bladder as last time. Has anyone had this? Should I be worried that these tumors will spread or get worse?</t>
        </is>
      </c>
      <c r="D5043" t="n">
        <v>2</v>
      </c>
      <c r="E5043" t="n">
        <v>5</v>
      </c>
      <c r="F5043">
        <f>HYPERLINK("https://www.reddit.com/r/cancer/comments/da8guu/recurring_bladder_cancer_tumors/")</f>
        <v/>
      </c>
      <c r="G5043" t="inlineStr">
        <is>
          <t>2019-09-27 16:43:03</t>
        </is>
      </c>
      <c r="H5043" t="inlineStr"/>
    </row>
    <row r="5044">
      <c r="A5044" t="inlineStr">
        <is>
          <t>da8yib</t>
        </is>
      </c>
      <c r="B5044" t="inlineStr">
        <is>
          <t>I Won</t>
        </is>
      </c>
      <c r="C5044" t="inlineStr">
        <is>
          <t>At least for now. Stage IIIb vulvar cancer with bilateral lymph node involvement. After surgery, chemo, and radiation, my PET/CT came back with no detectable cancer. 
It’s been a hell of a year and there’s still a chance it can come back, but for now, I’ve won.</t>
        </is>
      </c>
      <c r="D5044" t="n">
        <v>126</v>
      </c>
      <c r="E5044" t="n">
        <v>18</v>
      </c>
      <c r="F5044">
        <f>HYPERLINK("https://www.reddit.com/r/cancer/comments/da8yib/i_won/")</f>
        <v/>
      </c>
      <c r="G5044" t="inlineStr">
        <is>
          <t>2019-09-27 17:26:37</t>
        </is>
      </c>
      <c r="H5044" t="inlineStr"/>
    </row>
    <row r="5045">
      <c r="A5045" t="inlineStr">
        <is>
          <t>da9jqk</t>
        </is>
      </c>
      <c r="B5045" t="inlineStr">
        <is>
          <t>Clarification</t>
        </is>
      </c>
      <c r="C5045" t="inlineStr">
        <is>
          <t>So my grandma had a growth in her lung and after an MRI two small growths were detected in the brain. They say it’s stage 4, but wouldn’t it be a lot more widespread in the abdomen?</t>
        </is>
      </c>
      <c r="D5045" t="n">
        <v>2</v>
      </c>
      <c r="E5045" t="n">
        <v>1</v>
      </c>
      <c r="F5045">
        <f>HYPERLINK("https://www.reddit.com/r/cancer/comments/da9jqk/clarification/")</f>
        <v/>
      </c>
      <c r="G5045" t="inlineStr">
        <is>
          <t>2019-09-27 18:20:14</t>
        </is>
      </c>
      <c r="H5045" t="inlineStr"/>
    </row>
    <row r="5046">
      <c r="A5046" t="inlineStr">
        <is>
          <t>dab5t3</t>
        </is>
      </c>
      <c r="B5046" t="inlineStr">
        <is>
          <t>Now I’m having seizures</t>
        </is>
      </c>
      <c r="C5046" t="inlineStr">
        <is>
          <t>I got taken To hospital this morning because of bad nausea and constantly being sick get moved from A&amp;amp;E to a ward and then start having seizures ( had 2 brain scans but no results yet.just can’t get a break fuck cancer please just give me a couple of days break from the endless side affects</t>
        </is>
      </c>
      <c r="D5046" t="n">
        <v>6</v>
      </c>
      <c r="E5046" t="n">
        <v>5</v>
      </c>
      <c r="F5046">
        <f>HYPERLINK("https://www.reddit.com/r/cancer/comments/dab5t3/now_im_having_seizures/")</f>
        <v/>
      </c>
      <c r="G5046" t="inlineStr">
        <is>
          <t>2019-09-27 20:58:11</t>
        </is>
      </c>
      <c r="H5046" t="inlineStr"/>
    </row>
    <row r="5047">
      <c r="A5047" t="inlineStr">
        <is>
          <t>dab9sd</t>
        </is>
      </c>
      <c r="B5047" t="inlineStr">
        <is>
          <t>Confusion a year after chemo?</t>
        </is>
      </c>
      <c r="C5047" t="inlineStr">
        <is>
          <t>Hey guys.
So I am currently 1 year into my remission for acute myeloid leukemia, and this October will be one year since chemo.
I had minimal long term side effects from chemo, and ended up just getting manageable high blood pressure. Nothing too serious, and I have been 100% healthy since.
However, one thing I noticed was I have really bad confusion. I work full time as a server, and I often forget sometimes what I'm saying to a customer, and end up having to repeat myself. I also have a hard time saying words sometimes, even though I know the word. It's like my brain refuses to let me say it. It makes me feel stupid in public, but also in private when I speak to mt boyfriend, or friends. Another thing, is I have very bad short term memory now. It sucks a lot.
Has anyone else had this problem? I know my main chemo I had, cytarabine, can cause brain problems. I'm gonna discuss this with my oncologist when I see him in November, but I figured I'd ask what others experiences were.
Thanks!</t>
        </is>
      </c>
      <c r="D5047" t="n">
        <v>6</v>
      </c>
      <c r="E5047" t="n">
        <v>9</v>
      </c>
      <c r="F5047">
        <f>HYPERLINK("https://www.reddit.com/r/cancer/comments/dab9sd/confusion_a_year_after_chemo/")</f>
        <v/>
      </c>
      <c r="G5047" t="inlineStr">
        <is>
          <t>2019-09-27 21:09:29</t>
        </is>
      </c>
      <c r="H5047" t="inlineStr"/>
    </row>
    <row r="5048">
      <c r="A5048" t="inlineStr">
        <is>
          <t>dabo3g</t>
        </is>
      </c>
      <c r="B5048" t="inlineStr">
        <is>
          <t>Cancer survivors/patients: if someone were to send you a care package full of things you would actually want/use while in the hospital, what would those things be?</t>
        </is>
      </c>
      <c r="C5048" t="inlineStr">
        <is>
          <t>Context: my cousin is 17 and she has been in remission for the last few years. This week she found our she relapsed. Over the next few weeks/months she’ll probably be spending a lot of time in hospitals and treatment centers and I want to send her a package to let her know I love her and am thinking about her, and I want to add some things that might make hospital life a little easier/more comfortable/less boring. As much as I want to help, I’m a little clueless as to what kinds of things a cancer patient might actually want while in the hospital. To those of you who have been there: any suggestions?</t>
        </is>
      </c>
      <c r="D5048" t="n">
        <v>3</v>
      </c>
      <c r="E5048" t="n">
        <v>10</v>
      </c>
      <c r="F5048">
        <f>HYPERLINK("https://www.reddit.com/r/cancer/comments/dabo3g/cancer_survivorspatients_if_someone_were_to_send/")</f>
        <v/>
      </c>
      <c r="G5048" t="inlineStr">
        <is>
          <t>2019-09-27 21:54:03</t>
        </is>
      </c>
      <c r="H5048" t="inlineStr"/>
    </row>
    <row r="5049">
      <c r="A5049" t="inlineStr">
        <is>
          <t>dabud4</t>
        </is>
      </c>
      <c r="B5049" t="inlineStr">
        <is>
          <t>Survivors guilt</t>
        </is>
      </c>
      <c r="C5049" t="inlineStr">
        <is>
          <t>I beat cancer a year ago now and I have just been thinking why me. I had 2 friends die in 1 year ago all in the same month there ages 16 and 9 and the nine year old was a good friend I saw him and hospice the night he died and it made me wonder why him and not me he inspired more people then I did he made national news and it has started to make me depressed he had a tumor that would keep coming over and over again I had a.l.l I am older then he was and I think he deserved to live more he had more of a life to live then I do I say that because he was younger then me.</t>
        </is>
      </c>
      <c r="D5049" t="n">
        <v>1</v>
      </c>
      <c r="E5049" t="n">
        <v>1</v>
      </c>
      <c r="F5049">
        <f>HYPERLINK("https://www.reddit.com/r/cancer/comments/dabud4/survivors_guilt/")</f>
        <v/>
      </c>
      <c r="G5049" t="inlineStr">
        <is>
          <t>2019-09-27 22:14:23</t>
        </is>
      </c>
      <c r="H5049" t="inlineStr"/>
    </row>
    <row r="5050">
      <c r="A5050" t="inlineStr">
        <is>
          <t>dac971</t>
        </is>
      </c>
      <c r="B5050" t="inlineStr">
        <is>
          <t>Hospice and terminal cancer</t>
        </is>
      </c>
      <c r="C5050" t="inlineStr">
        <is>
          <t>Its the single worst thing I have ever had to watch someone go through,  by far. Not to mention, my own father. 
I'm bedside with him at the hospice center.  Awful. But I'm talking to him and k know he can hear me</t>
        </is>
      </c>
      <c r="D5050" t="n">
        <v>3</v>
      </c>
      <c r="E5050" t="n">
        <v>2</v>
      </c>
      <c r="F5050">
        <f>HYPERLINK("https://www.reddit.com/r/cancer/comments/dac971/hospice_and_terminal_cancer/")</f>
        <v/>
      </c>
      <c r="G5050" t="inlineStr">
        <is>
          <t>2019-09-27 23:02:44</t>
        </is>
      </c>
      <c r="H5050" t="inlineStr"/>
    </row>
    <row r="5051">
      <c r="A5051" t="inlineStr">
        <is>
          <t>dae7ov</t>
        </is>
      </c>
      <c r="B5051" t="inlineStr">
        <is>
          <t>Is cancer really that common and should I be scared?</t>
        </is>
      </c>
      <c r="C5051" t="inlineStr">
        <is>
          <t>I'm 19 this year, and I love processed meat. Every week I consume burgers from fast food joint at least 2 to 4 times. Now I'm cutting down to once per week and had started drinking a lot of plain water. But I'm still afraid of cancer and don't want to contract it so early. 
&amp;amp;#x200B;
I still love red and processed meat a lot and can't stop eating them. Should I cut  those completely and go vegan (which will kind of be torturous for me)? How common is cancer and how do I decrease the risk of it?</t>
        </is>
      </c>
      <c r="D5051" t="n">
        <v>1</v>
      </c>
      <c r="E5051" t="n">
        <v>2</v>
      </c>
      <c r="F5051">
        <f>HYPERLINK("https://www.reddit.com/r/cancer/comments/dae7ov/is_cancer_really_that_common_and_should_i_be/")</f>
        <v/>
      </c>
      <c r="G5051" t="inlineStr">
        <is>
          <t>2019-09-28 03:12:43</t>
        </is>
      </c>
      <c r="H5051" t="inlineStr"/>
    </row>
    <row r="5052">
      <c r="A5052" t="inlineStr">
        <is>
          <t>daev3a</t>
        </is>
      </c>
      <c r="B5052" t="inlineStr">
        <is>
          <t>My daughter finished chemo today.</t>
        </is>
      </c>
      <c r="C5052" t="inlineStr">
        <is>
          <t>She was diagnosed with ATRT brain cancer in February and had a full resection. She’s been on intensive chemo since then which nearly killed her but it worked. All MRI scans have been clear so far and now the next step is 6 weeks of focal radiation therapy to make sure any remaining cancer cells go back to hell.  
I feel like I should be relieved, or jumping for joy that this chapter is coming to a close but I’m terrified. Chemo was horrible in every way but it was like a security blanket - I didn’t worry so much about her cancer coming back because the treatment was so aggressive I knew the chances of recurrence were slim. Now that it’s ended I’m shitting myself. What if the next MRI shows a new tumour and we have to go through this all over again? She’s only 4. This has been the worst year of our lives and I don’t know if I’m strong enough to do it all again. 
Idk where I’m going with this. I was expecting to feel so happy when chemo finished but I feel hollow, empty and scared. We’re entering uncharted territory now and I don’t really know how to feel. 
Just felt like shouting into the void. Thanks for reading 🙏</t>
        </is>
      </c>
      <c r="D5052" t="n">
        <v>105</v>
      </c>
      <c r="E5052" t="n">
        <v>15</v>
      </c>
      <c r="F5052">
        <f>HYPERLINK("https://www.reddit.com/r/cancer/comments/daev3a/my_daughter_finished_chemo_today/")</f>
        <v/>
      </c>
      <c r="G5052" t="inlineStr">
        <is>
          <t>2019-09-28 04:35:00</t>
        </is>
      </c>
      <c r="H5052" t="inlineStr"/>
    </row>
    <row r="5053">
      <c r="A5053" t="inlineStr">
        <is>
          <t>dafpi2</t>
        </is>
      </c>
      <c r="B5053" t="inlineStr">
        <is>
          <t>First bad seizure after surgery</t>
        </is>
      </c>
      <c r="C5053" t="inlineStr">
        <is>
          <t>Yesterday I had a really bad seizure. I'm 15 and have brain cancer, I'm on radiation treatment right now and I'm having an occupational therapist come to my house since surgery an everything stripped me of most of the strength in my left side, I was lucky she was there when I had the seizure,or else I would've hit my head on a hardwood floor and my mom was panicking too much to call 911 they upped the dosage of my seizure medication (keppra)  a bunch to control it but I'm scared that if I get another one in my sleep or something I won't even be able to call for help since my muscles all froze up. Ideally I'd feel safest in the hospital surrounded by medical staff, but when I went to the emergency room they took a blood test and then discharged me</t>
        </is>
      </c>
      <c r="D5053" t="n">
        <v>6</v>
      </c>
      <c r="E5053" t="n">
        <v>2</v>
      </c>
      <c r="F5053">
        <f>HYPERLINK("https://www.reddit.com/r/cancer/comments/dafpi2/first_bad_seizure_after_surgery/")</f>
        <v/>
      </c>
      <c r="G5053" t="inlineStr">
        <is>
          <t>2019-09-28 06:03:33</t>
        </is>
      </c>
      <c r="H5053" t="inlineStr"/>
    </row>
    <row r="5054">
      <c r="A5054" t="inlineStr">
        <is>
          <t>dag3md</t>
        </is>
      </c>
      <c r="B5054" t="inlineStr">
        <is>
          <t>Devastated.</t>
        </is>
      </c>
      <c r="C5054" t="inlineStr">
        <is>
          <t>My Uncle was diagnosed with NSCLC in 2015 for which he had successful surgery. We lost my aunt last year and since the beginning of this year he’s not been great. Recently admitted to the ED (I called the ambulance). Long story short he had an internal bleed somewhere. He’s now 8st 2lb and it looks as if the cancer is active and has progressed. He’s so unwell looking. Barely eating and drinking and very frail. I’m so worried that because his overall health is poor he won’t last long 💔</t>
        </is>
      </c>
      <c r="D5054" t="n">
        <v>7</v>
      </c>
      <c r="E5054" t="n">
        <v>0</v>
      </c>
      <c r="F5054">
        <f>HYPERLINK("https://www.reddit.com/r/cancer/comments/dag3md/devastated/")</f>
        <v/>
      </c>
      <c r="G5054" t="inlineStr">
        <is>
          <t>2019-09-28 06:39:31</t>
        </is>
      </c>
      <c r="H5054" t="inlineStr"/>
    </row>
    <row r="5055">
      <c r="A5055" t="inlineStr">
        <is>
          <t>dahh3x</t>
        </is>
      </c>
      <c r="B5055" t="inlineStr">
        <is>
          <t>Living As A Cancer Survivor - Dependability</t>
        </is>
      </c>
      <c r="C5055" t="inlineStr">
        <is>
          <t xml:space="preserve"> How many people in your life can you depend on?  Today's blog entry deals with dependability.  The fact is when you are dealing with a diagnosis of cancer, some people will run and some will stay.  The same goes for anything in life where comfortability is pressed.  Please share and comment.  God Bless</t>
        </is>
      </c>
      <c r="D5055" t="n">
        <v>1</v>
      </c>
      <c r="E5055" t="n">
        <v>0</v>
      </c>
      <c r="F5055">
        <f>HYPERLINK("https://www.reddit.com/r/cancer/comments/dahh3x/living_as_a_cancer_survivor_dependability/")</f>
        <v/>
      </c>
      <c r="G5055" t="inlineStr">
        <is>
          <t>2019-09-28 08:31:57</t>
        </is>
      </c>
      <c r="H5055" t="inlineStr"/>
    </row>
    <row r="5056">
      <c r="A5056" t="inlineStr">
        <is>
          <t>daif4w</t>
        </is>
      </c>
      <c r="B5056" t="inlineStr">
        <is>
          <t>It is possible to survive cancer!</t>
        </is>
      </c>
      <c r="C5056" t="inlineStr">
        <is>
          <t xml:space="preserve"> 
Join me in celebrating today. I am so grateful. Today is 15 years since I had #Stage IIIB #Stomach #Cancer. Beating the odds and continuing to share #life with my family after a brutal #battle (of which I had no control of the outcome) with cancer is the best #reward. Thank you to everyone in my life who continue to encourage and support me.
My good #deed this week is to #donate more items to a local #food/clothing #bank. I continue to be a #peer #mentor for #Hope&amp;amp;Cope. I hope you can all find a #charity to support. Share your good deeds here with us this week.
Love, Patricia</t>
        </is>
      </c>
      <c r="D5056" t="n">
        <v>23</v>
      </c>
      <c r="E5056" t="n">
        <v>20</v>
      </c>
      <c r="F5056">
        <f>HYPERLINK("https://www.reddit.com/r/cancer/comments/daif4w/it_is_possible_to_survive_cancer/")</f>
        <v/>
      </c>
      <c r="G5056" t="inlineStr">
        <is>
          <t>2019-09-28 09:44:44</t>
        </is>
      </c>
      <c r="H5056" t="inlineStr"/>
    </row>
    <row r="5057">
      <c r="A5057" t="inlineStr">
        <is>
          <t>dajspt</t>
        </is>
      </c>
      <c r="B5057" t="inlineStr">
        <is>
          <t>Peritoneal metastasis</t>
        </is>
      </c>
      <c r="C5057" t="inlineStr">
        <is>
          <t>I went in for surgery to remove my spleen, part of my liver and a 15cm tumor around my colon in January. They halted the operation due to my peritoneal being infected by cancer.
Now 9 months down the line, Oxaliplatin, Xeloda, FOLFOX, FOLFIRI, FU5, Erbitux, Avastin and pecaset treatments behind me and the tumors either grew and did not react to the treatments.
The oncologist said we need to explore surgery to remove the tumor as my CEA increased this week, having a lot more blood out my ass (I have a colostomy so nothing else passes) and the tumor round my colon is causing pain that it did not cause a few weeks ago.
Went to see the surgeon yesterday. The about 5 minute consult was cut short by a call from the ICU because a patient was bleeding out.
Before that he did say that if the peritoneal was infected to an extent he would not continue with the procedure to remove the tumors.
He will do an overview on my case and will let me know when he will do the laparoscopic view. Might be early November as I had a treatment of Avastin and they can’t do anything for a month.
So to be honest I wish I would just die at the moment, then all will be over. I am sick of living on drugs for the pain. I spent a week on holiday paid for by my uncle and could not enjoy any moment of it due to the pain and discomfort</t>
        </is>
      </c>
      <c r="D5057" t="n">
        <v>10</v>
      </c>
      <c r="E5057" t="n">
        <v>1</v>
      </c>
      <c r="F5057">
        <f>HYPERLINK("https://www.reddit.com/r/cancer/comments/dajspt/peritoneal_metastasis/")</f>
        <v/>
      </c>
      <c r="G5057" t="inlineStr">
        <is>
          <t>2019-09-28 11:27:54</t>
        </is>
      </c>
      <c r="H5057" t="inlineStr"/>
    </row>
    <row r="5058">
      <c r="A5058" t="inlineStr">
        <is>
          <t>danstm</t>
        </is>
      </c>
      <c r="B5058" t="inlineStr">
        <is>
          <t>Any trusted websites for hair donation?</t>
        </is>
      </c>
      <c r="C5058" t="inlineStr">
        <is>
          <t>I know a lot of websites use the hair sent to them to make into wigs to then sell it to people. Are there any websites that donate wigs to people?
I have a lot of hair from 2 different haircuts I've had. 100% virgin.
Also, if anyone in the Massachusetts area is interested I'm willing to donate.</t>
        </is>
      </c>
      <c r="D5058" t="n">
        <v>1</v>
      </c>
      <c r="E5058" t="n">
        <v>4</v>
      </c>
      <c r="F5058">
        <f>HYPERLINK("https://www.reddit.com/r/cancer/comments/danstm/any_trusted_websites_for_hair_donation/")</f>
        <v/>
      </c>
      <c r="G5058" t="inlineStr">
        <is>
          <t>2019-09-28 16:55:08</t>
        </is>
      </c>
      <c r="H5058" t="inlineStr"/>
    </row>
    <row r="5059">
      <c r="A5059" t="inlineStr">
        <is>
          <t>daog4y</t>
        </is>
      </c>
      <c r="B5059" t="inlineStr">
        <is>
          <t>She's gone</t>
        </is>
      </c>
      <c r="C5059" t="inlineStr">
        <is>
          <t>My mom passed today. I don't know what to do with myself. I feel lost and helpless. I know I'll feel better eventually, but I don't know how I'm going to get there.</t>
        </is>
      </c>
      <c r="D5059" t="n">
        <v>66</v>
      </c>
      <c r="E5059" t="n">
        <v>21</v>
      </c>
      <c r="F5059">
        <f>HYPERLINK("https://www.reddit.com/r/cancer/comments/daog4y/shes_gone/")</f>
        <v/>
      </c>
      <c r="G5059" t="inlineStr">
        <is>
          <t>2019-09-28 17:54:03</t>
        </is>
      </c>
      <c r="H5059" t="inlineStr"/>
    </row>
    <row r="5060">
      <c r="A5060" t="inlineStr">
        <is>
          <t>daphy0</t>
        </is>
      </c>
      <c r="B5060" t="inlineStr">
        <is>
          <t>I'm new here. Been lurking for a while. Chemo happening now, maybe surgery in November.</t>
        </is>
      </c>
      <c r="C5060" t="inlineStr">
        <is>
          <t>It took a while to get the diagnosis, despite everyone's best efforts. Back in early July, I started getting abdominal pain on my right side at night, but I only felt it if I rolled onto my left side. It was just enough to wake me up, not a big pain. I decided it was weird though, because I'm old enough to know my body's quirks and this was new, not going away.
My primary care doctor ordered a CT scan, and low and behold there was a 5.5 cm lesion on my liver. Got my in for a biopsy the next week. 10 days later the result were metastatic adenocarcinoma, likely upper GI or pancreobilitary. Long history of GERD and things sure were pointing to esophagus.
Met the oncologist in early August. Was told we weren't looking at surgery, or a cure. Chemo to keep me going. Went through a battery of tests - no results. Didn't find the primary. Referred to a surgeon and liver cancer specialist on strong suspicion of bile duct cancer.
Hi-res MRI revealed intrahepatic cholangiocarcinoma. The bile ducts involved and the tumor on the outside are bundled closely together way down at the bottom of the liver. The specialist said it was a "gold medal" location for surgery.
So now I'm going through 3, three-week cycles of chemo that will end November 1. Then surgery, I hope. I guess. It's hard to get pumped up for a major surgery. Probably followed by oral chemo.
But I am staying hopeful, and positive. Chemo not too bad so far. I walk a lot every day, still work, eat well, sleep okay. I have good insurance, a decent support system, and compared to what I often see here, I've had it pretty easy so far. I know it'll get a lot more real, soon.
So that's my introduction. Thanks for being here. If anyone has any knowledge experience with this type of cancer, I'd love to hear about.
I'll be around more in the future. I wish you all the best. This is one crazy ride.
Thanks</t>
        </is>
      </c>
      <c r="D5060" t="n">
        <v>12</v>
      </c>
      <c r="E5060" t="n">
        <v>4</v>
      </c>
      <c r="F5060">
        <f>HYPERLINK("https://www.reddit.com/r/cancer/comments/daphy0/im_new_here_been_lurking_for_a_while_chemo/")</f>
        <v/>
      </c>
      <c r="G5060" t="inlineStr">
        <is>
          <t>2019-09-28 19:34:30</t>
        </is>
      </c>
      <c r="H5060" t="inlineStr"/>
    </row>
    <row r="5061">
      <c r="A5061" t="inlineStr">
        <is>
          <t>dapm2v</t>
        </is>
      </c>
      <c r="B5061" t="inlineStr">
        <is>
          <t>Terrified.. mother recently diagnosed with colon cancer, and I am having difficulty coping</t>
        </is>
      </c>
      <c r="C5061" t="inlineStr">
        <is>
          <t>I can’t believe I am typing this out. It all seems so surreal. I have been browsing through many posts but figured I’d make a post to share what’s been going on because I don’t know really know what else to do at this point. 
My mom is 70, an active and otherwise healthy woman, never ate junk food, and no history of colon cancers in her family. She has never even been on any medication. She got diagnosed about a month ago but only told me last week, although i suspected something was seriously wrong (she accidentally gave the hospital my cell number and they called me - i googled the doctor). She told me she had been having symptoms for a while but did not want to disclose how long - this was upsetting to her. Symptoms I think, were blood in the stool.
The MD performing the colonoscopy said it was still a large polyp but he was certain it was cancerous prior to even getting biopsy results. He told my mom he thinks she has a good prognosis. 
Being a healthcare professional myself, I see the effects that colon cancers in its various severities can have on people. I’ve had several patients pass from it recently. I see the havoc the treatments and surgeries have on the body. Im terrified about my mom going through any of those things I’ve seen. 
I am so, so anxious about all this. My head is swirling with worst case scenarios. She should be completing all her tests by next Monday (CT MRI) so hopefully we’ll know more soon. 
I know, I know, one step at a time. We don’t have all the answers yet. But I feel i am nearly unable to cope. I am married with a toddler and feel I am just lashing out, angry and crying. My mom is certainly coping with this so far better than I am - her hope and positivity are inspiring and amazing. But I know she’s so scared too. 
My husband has suggested I contact my workplace employee assistance program, which i will do. My colleague suggested a sick leave - but I don’t think it’ll do me any good to sit at home and ruminating. I seem to be unable to fully function at home, nor at work. 
Any advice, support, anything would be appreciated!</t>
        </is>
      </c>
      <c r="D5061" t="n">
        <v>1</v>
      </c>
      <c r="E5061" t="n">
        <v>0</v>
      </c>
      <c r="F5061">
        <f>HYPERLINK("https://www.reddit.com/r/cancer/comments/dapm2v/terrified_mother_recently_diagnosed_with_colon/")</f>
        <v/>
      </c>
      <c r="G5061" t="inlineStr">
        <is>
          <t>2019-09-28 19:45:40</t>
        </is>
      </c>
      <c r="H5061" t="inlineStr"/>
    </row>
    <row r="5062">
      <c r="A5062" t="inlineStr">
        <is>
          <t>daq0g9</t>
        </is>
      </c>
      <c r="B5062" t="inlineStr">
        <is>
          <t>Cancer</t>
        </is>
      </c>
      <c r="C5062" t="inlineStr">
        <is>
          <t>I am not quite sure yet as to how reddit works, but I really want to be apart of this community. I need a lot of advice. My Mom (F50) was diagnosed with stage 3-4 breast cancer (it was in between). She had decided to do Chemo, radiation, and then surgery. I was 16 years old at the time. It has always been me and her against the world. She wanted to go to Disney world again in October on her cancevesary, which my husband and I were going to do our best to help make that happen, because she’s the most amazing person in the whole world. She had been having some serious pain in her hip at the end of spring, but didn’t have health insurance ( she’s a sign language interpreter for an elementary school). Her MRI had to wait. She finally had her appointment yesterday, and they only did the MRI on her right hip.  It was not good news. They saw that the cancer had metastasized in her femur. We don’t know yet what stage it is, or how far it spread. I am an esthetician, and my job told me I had to finish my shift that ended at almost 9:00 at night. My momma is my best friend, and my rock. I can’t lose her. I need some survival stories. I know the prognosis isn’t good, but I was told miracles happen every day. I need to quit working but I cannot afford to. I want to try to rent a salon room, but there isn’t any available. I just want to take her to Disney. I want her cancer to be gone, but I know it wont. She promised to live to be 90,  we won’t know the severity of it until October. What do i do?</t>
        </is>
      </c>
      <c r="D5062" t="n">
        <v>14</v>
      </c>
      <c r="E5062" t="n">
        <v>12</v>
      </c>
      <c r="F5062">
        <f>HYPERLINK("https://www.reddit.com/r/cancer/comments/daq0g9/cancer/")</f>
        <v/>
      </c>
      <c r="G5062" t="inlineStr">
        <is>
          <t>2019-09-28 20:25:58</t>
        </is>
      </c>
      <c r="H5062" t="inlineStr"/>
    </row>
    <row r="5063">
      <c r="A5063" t="inlineStr">
        <is>
          <t>daqrxk</t>
        </is>
      </c>
      <c r="B5063" t="inlineStr">
        <is>
          <t>Mouth Cancer?</t>
        </is>
      </c>
      <c r="C5063" t="inlineStr">
        <is>
          <t>Has anyone ever had cancer of the mouth? I received a biopsy on the back of my tongue and I should get the results in a few weeks. I’m praying it’s not cancer. If you have mouth cancer, how did you find out? 
TIA</t>
        </is>
      </c>
      <c r="D5063" t="n">
        <v>0</v>
      </c>
      <c r="E5063" t="n">
        <v>1</v>
      </c>
      <c r="F5063">
        <f>HYPERLINK("https://www.reddit.com/r/cancer/comments/daqrxk/mouth_cancer/")</f>
        <v/>
      </c>
      <c r="G5063" t="inlineStr">
        <is>
          <t>2019-09-28 21:47:05</t>
        </is>
      </c>
      <c r="H5063" t="inlineStr"/>
    </row>
    <row r="5064">
      <c r="A5064" t="inlineStr">
        <is>
          <t>daqsvq</t>
        </is>
      </c>
      <c r="B5064" t="inlineStr">
        <is>
          <t>How to deal with family members playing the victim with cancer?</t>
        </is>
      </c>
      <c r="C5064" t="inlineStr">
        <is>
          <t>I’m probably going to get a lot of hate for this, but I need to get this off my chest. My father, who was diagnosed with leukemia a couple months ago, has been non stop playing the victim card with his cancer. I get it, it’s a very serious illness and I won’t ever understand what he’s going through unless I get it too, and it’s depressing hearing him talking about how much he’s going to die soon and a “why me” and “pity me” attitude. His girlfriend seems tired of hearing it too, and I don’t blame her, I don’t want to hear him talking about him dying, because I want him to fight to keep his life. I just want him to be strong, to fight this thing and to not give up so he can actually win this battle over his cancer. I just want him to be a strong fighter and battle for his life instead of giving up immediately and making us believe he will die soon. Anyone know how to deal with this?</t>
        </is>
      </c>
      <c r="D5064" t="n">
        <v>0</v>
      </c>
      <c r="E5064" t="n">
        <v>12</v>
      </c>
      <c r="F5064">
        <f>HYPERLINK("https://www.reddit.com/r/cancer/comments/daqsvq/how_to_deal_with_family_members_playing_the/")</f>
        <v/>
      </c>
      <c r="G5064" t="inlineStr">
        <is>
          <t>2019-09-28 21:50:06</t>
        </is>
      </c>
      <c r="H5064" t="inlineStr"/>
    </row>
    <row r="5065">
      <c r="A5065" t="inlineStr">
        <is>
          <t>daqttu</t>
        </is>
      </c>
      <c r="B5065" t="inlineStr">
        <is>
          <t>Any luck transferring radiation treatments to a different location?</t>
        </is>
      </c>
      <c r="C5065" t="inlineStr">
        <is>
          <t>Long story short, my mom has cancer in her spine. She was hospitalized for the last week due to bowel issues that have now been resolved. Now the issue is extreme pain associated with either the bone biopsy or kyphoplasty that they did on Friday morning. They won't discharge her, and the neurologist said she has to start radiation treatment within two weeks or run the risk of paralysis. We are now on the second week but the hospital won't perform the radiation because it is already setup with my mom's main radiation oncologist for when we are discharged. What I don't get is that the RO is only two miles away and is part of the same hospital so why can't they do radiation here? No one has given me a clear explanation.</t>
        </is>
      </c>
      <c r="D5065" t="n">
        <v>2</v>
      </c>
      <c r="E5065" t="n">
        <v>1</v>
      </c>
      <c r="F5065">
        <f>HYPERLINK("https://www.reddit.com/r/cancer/comments/daqttu/any_luck_transferring_radiation_treatments_to_a/")</f>
        <v/>
      </c>
      <c r="G5065" t="inlineStr">
        <is>
          <t>2019-09-28 21:53:11</t>
        </is>
      </c>
      <c r="H5065" t="inlineStr"/>
    </row>
    <row r="5066">
      <c r="A5066" t="inlineStr">
        <is>
          <t>daqwn3</t>
        </is>
      </c>
      <c r="B5066" t="inlineStr">
        <is>
          <t>Is it routine to explain in detail the pain a patient experiences while passing?</t>
        </is>
      </c>
      <c r="C5066" t="inlineStr">
        <is>
          <t>Please delete if this doesn't fit the sub.
A family friend was recently placed on hospice after months of battling an aggressive melenoma that quickly spead to her brain, when the nurse checked her temperature this evening she had a fever of 100.7°F, she then explained that she has a temperature because she is in the process of dying. She proceeded to go into great detail about the amount of pain she would be feeling, going so far as to say "like breaking a bone in every molecule of your body." This was done while her visably shaken 89 year old mother was present, my mother had to escort her out as she was afraid she would faint.
I guess I'm asking if anyone else has heard the same thing about the pain? Or had a similar experience with a nurse? This entire thing happened so fast, it really doesn't feel real.</t>
        </is>
      </c>
      <c r="D5066" t="n">
        <v>4</v>
      </c>
      <c r="E5066" t="n">
        <v>6</v>
      </c>
      <c r="F5066">
        <f>HYPERLINK("https://www.reddit.com/r/cancer/comments/daqwn3/is_it_routine_to_explain_in_detail_the_pain_a/")</f>
        <v/>
      </c>
      <c r="G5066" t="inlineStr">
        <is>
          <t>2019-09-28 22:01:51</t>
        </is>
      </c>
      <c r="H5066" t="inlineStr"/>
    </row>
    <row r="5067">
      <c r="A5067" t="inlineStr">
        <is>
          <t>dauu0l</t>
        </is>
      </c>
      <c r="B5067" t="inlineStr">
        <is>
          <t>Not looking after myself at all</t>
        </is>
      </c>
      <c r="C5067" t="inlineStr">
        <is>
          <t>I have reacuring testicular cancer in the abdomin and have gone through all of my chemotherapy. I'm due to have an operation at the end of October.
I have been out of hospital for roughly 3 weeks now and I haven't brushed my teeth, bathed, or showerd. I have no desire to do anything accept sit and get through the day. Part of the reason maybe because the tumor in the abdomin is squashing my kidney making it really painful to walk.
I don't complain about my illness at all or think why me I just sit here like a zombie all day in my own stench but I am fed up. I use to not be able to function without a shower in the morning and now I can't even stand straight without intense pain. I see posts here about people who are dying and it makes me feel like shit even posting this but just needed a rant</t>
        </is>
      </c>
      <c r="D5067" t="n">
        <v>20</v>
      </c>
      <c r="E5067" t="n">
        <v>12</v>
      </c>
      <c r="F5067">
        <f>HYPERLINK("https://www.reddit.com/r/cancer/comments/dauu0l/not_looking_after_myself_at_all/")</f>
        <v/>
      </c>
      <c r="G5067" t="inlineStr">
        <is>
          <t>2019-09-29 06:02:24</t>
        </is>
      </c>
      <c r="H5067" t="inlineStr"/>
    </row>
    <row r="5068">
      <c r="A5068" t="inlineStr">
        <is>
          <t>davmki</t>
        </is>
      </c>
      <c r="B5068" t="inlineStr">
        <is>
          <t>Doxorubicin Cardiotox Risk Long Term</t>
        </is>
      </c>
      <c r="C5068" t="inlineStr">
        <is>
          <t>Hi All! Just for my own curiosity, does anyone know a bit of the long term risk of cardiotoxcity following doxorubicin treatment? I got 6 rounds of R-CHOP for a 1 inch tumor above my heart and 5 inch in between the lungs. Before starting radiation, I was cleared by a cardiologist that my heart was in good shape following chemotherapy but I was doing some reading for school and it was talking about long term risks of cardiotox from doxorubicin treatment. It looks like it is dose dependent but like are there things I should not be doing to prevent future heart issues? Or is this kinda like a very low risk thing? Anyone have experience with this?</t>
        </is>
      </c>
      <c r="D5068" t="n">
        <v>2</v>
      </c>
      <c r="E5068" t="n">
        <v>6</v>
      </c>
      <c r="F5068">
        <f>HYPERLINK("https://www.reddit.com/r/cancer/comments/davmki/doxorubicin_cardiotox_risk_long_term/")</f>
        <v/>
      </c>
      <c r="G5068" t="inlineStr">
        <is>
          <t>2019-09-29 07:13:06</t>
        </is>
      </c>
      <c r="H5068" t="inlineStr"/>
    </row>
    <row r="5069">
      <c r="A5069" t="inlineStr">
        <is>
          <t>daw0oc</t>
        </is>
      </c>
      <c r="B5069" t="inlineStr">
        <is>
          <t>Pink isnt the onky damn color</t>
        </is>
      </c>
      <c r="C5069" t="inlineStr">
        <is>
          <t>Not all cancer is pink! I get October is breast cancer awarenss month.. Everyone knows. But who knew that SEPTEMBER was ovarian cancer awareness month?? Or that ARPIL is testicular cancer awareness month?? Or even NOVEMBER being pancreatic cancet awareness month! I feel like all i see is funding and events based on pink. Everytime youre in a store its fight like a girl or think pink. Well damn my ribbon is TEAL and ovarian cancer along with many others need more research and funding and recognition. P.s there is no real definitive screening for ovarian cancer! When there is option for early detection of breast cancer. We need more information</t>
        </is>
      </c>
      <c r="D5069" t="n">
        <v>125</v>
      </c>
      <c r="E5069" t="n">
        <v>104</v>
      </c>
      <c r="F5069">
        <f>HYPERLINK("https://www.reddit.com/r/cancer/comments/daw0oc/pink_isnt_the_onky_damn_color/")</f>
        <v/>
      </c>
      <c r="G5069" t="inlineStr">
        <is>
          <t>2019-09-29 07:44:25</t>
        </is>
      </c>
      <c r="H5069" t="inlineStr"/>
    </row>
    <row r="5070">
      <c r="A5070" t="inlineStr">
        <is>
          <t>dawd6d</t>
        </is>
      </c>
      <c r="B5070" t="inlineStr">
        <is>
          <t>I’m devastated</t>
        </is>
      </c>
      <c r="C5070" t="inlineStr">
        <is>
          <t>My sister has passed away from gastric cancer,and I cannot help but feel guilty because I could’ve done something to help her and she’d survive it even though I did everything that I could,I’m 18 and she’s 36 (my only sister)
Me and my mom had high hopes that she’d fight it and I’m so heartbroken 
what she had wasn’t a tumor it was more of like a liquid in her stomach and it reached all her body 
I can’t help but think about how if she went to another hospital,or another good doctor maybe could’ve helped 
They said that she only had 2 chemo shots left but then they stopped because her body couldn’t fight it anymore</t>
        </is>
      </c>
      <c r="D5070" t="n">
        <v>6</v>
      </c>
      <c r="E5070" t="n">
        <v>3</v>
      </c>
      <c r="F5070">
        <f>HYPERLINK("https://www.reddit.com/r/cancer/comments/dawd6d/im_devastated/")</f>
        <v/>
      </c>
      <c r="G5070" t="inlineStr">
        <is>
          <t>2019-09-29 08:10:43</t>
        </is>
      </c>
      <c r="H5070" t="inlineStr"/>
    </row>
    <row r="5071">
      <c r="A5071" t="inlineStr">
        <is>
          <t>dax4px</t>
        </is>
      </c>
      <c r="B5071" t="inlineStr">
        <is>
          <t>Dry flakey skin post chemo (in remission)</t>
        </is>
      </c>
      <c r="C5071" t="inlineStr">
        <is>
          <t>Hello everyone I hope all is going well for you. I have a question in regards to post chemo care. I had my final and fifth round last month. My skin since then has been very dry and flakey for the most part my scalp and face. I was treated with bendumustine and rituxan . Are there any of you out there in a similar situation like mine? and what can  i do to remedy this problem? it's driving me crazy! much appreciated.
&amp;amp;#x200B;
Side note my skin was never like this before starting chemo in general .</t>
        </is>
      </c>
      <c r="D5071" t="n">
        <v>8</v>
      </c>
      <c r="E5071" t="n">
        <v>7</v>
      </c>
      <c r="F5071">
        <f>HYPERLINK("https://www.reddit.com/r/cancer/comments/dax4px/dry_flakey_skin_post_chemo_in_remission/")</f>
        <v/>
      </c>
      <c r="G5071" t="inlineStr">
        <is>
          <t>2019-09-29 09:07:21</t>
        </is>
      </c>
      <c r="H5071" t="inlineStr"/>
    </row>
    <row r="5072">
      <c r="A5072" t="inlineStr">
        <is>
          <t>daxkx8</t>
        </is>
      </c>
      <c r="B5072" t="inlineStr">
        <is>
          <t>Concerned about lymphoma or cancer in-general</t>
        </is>
      </c>
      <c r="C5072" t="inlineStr">
        <is>
          <t>I have had two swollen lymphnodes around my abdomen area (been there since July, I believe, or that's when I started to feel them), about five on the left side of my neck and I think they're going down finally, but I don't know. I've been feeling really tired lately to the point of where I absolutely have to sleep. I've been doing everything to remain positive and I'm going to try to get an appointment here soon. Had the doctor check out my lumps last time and he thinks they're benign tumors, but that was in the neck and I forgot to ask him about the lumps down in the abdomen area somehow. Sometimes I can feel them, sometimes I can't. I have severe depression and anxiety, can these all cause lympnodes to swell? I had a swollen lump in my breast area about a year ago but that went down eventually. I also have a lump that is unmoveable right in front of my ear and the back (the back one has been there forever). I don't know. I'm just worried.</t>
        </is>
      </c>
      <c r="D5072" t="n">
        <v>2</v>
      </c>
      <c r="E5072" t="n">
        <v>6</v>
      </c>
      <c r="F5072">
        <f>HYPERLINK("https://www.reddit.com/r/cancer/comments/daxkx8/concerned_about_lymphoma_or_cancer_ingeneral/")</f>
        <v/>
      </c>
      <c r="G5072" t="inlineStr">
        <is>
          <t>2019-09-29 09:40:48</t>
        </is>
      </c>
      <c r="H5072" t="inlineStr"/>
    </row>
    <row r="5073">
      <c r="A5073" t="inlineStr">
        <is>
          <t>daygxt</t>
        </is>
      </c>
      <c r="B5073" t="inlineStr">
        <is>
          <t>I was sailing through my bone marrow transplant until last month. (8 months) I’m starting to get scared.</t>
        </is>
      </c>
      <c r="C5073" t="inlineStr">
        <is>
          <t>I had almost no side effects from my transplant except for severe nausea. But even that went away in June. 
June July and August I felt very close to how I felt pre cancer. It was fantastic. I thought it was over. 
Towards the end of Aug I got sick. Cough fatigue etc nothing major. Except it just kept getting slowly worse. The last week or so I’ve been confined to my bed. If I get up and move around my oxygen drops to low 80’s and I have to stop and rest. Even going to the bathroom sucks. 
I’m swelling all over, especially in the mornings in my face. 
My mouth is swollen numb and full of sores. My cough has gotten bad enough I can’t stop coughing until I throw up sometimes. 
My hearts pumping normally, so I know it’s not heart failure. Thankfully. 
They found some spots on my lungs which could be infection, they did a test to spray stuff into my lungs then suck it out to culture it and see. That’ll take a week for results. 
I’ve tested positive for several viruses. EBV, BK, Rhinovirus. Maybe because since I’m fighting something else the dormant EBV and BK woke up? 
Anyway, I just needed to get this all out. It’s the first time I’ve had problems and I know how super lucky I am to be able to say that but just when it seemed over and done I got dragged back to a point that’s worse than day 20 post transplant. I’m really worried it’s all just going wrong and I’ll die.</t>
        </is>
      </c>
      <c r="D5073" t="n">
        <v>13</v>
      </c>
      <c r="E5073" t="n">
        <v>4</v>
      </c>
      <c r="F5073">
        <f>HYPERLINK("https://www.reddit.com/r/cancer/comments/daygxt/i_was_sailing_through_my_bone_marrow_transplant/")</f>
        <v/>
      </c>
      <c r="G5073" t="inlineStr">
        <is>
          <t>2019-09-29 10:45:46</t>
        </is>
      </c>
      <c r="H5073" t="inlineStr"/>
    </row>
    <row r="5074">
      <c r="A5074" t="inlineStr">
        <is>
          <t>db0j1q</t>
        </is>
      </c>
      <c r="B5074" t="inlineStr">
        <is>
          <t>My 27 year old sister has stage 4 ovarian cancer and is refusing treatment because it’s “too expensive.” What should we do?</t>
        </is>
      </c>
      <c r="C5074" t="inlineStr">
        <is>
          <t>The oncologist is saying it’s treatable despite it being stage 4, but she will have to get a total hysterectomy and probably several rounds of chemotherapy. 
We told her about social workers, GoFundMe, said she can speak to the oncologist, etc, but she’s refusing treatment due to cost. And she won’t budge.
I also know not being able to have kids isn’t a part of it, she’s never wanted kids, even when was a toddler. She was saving up for a tubal ligation (or getting your tubes tied).</t>
        </is>
      </c>
      <c r="D5074" t="n">
        <v>1</v>
      </c>
      <c r="E5074" t="n">
        <v>0</v>
      </c>
      <c r="F5074">
        <f>HYPERLINK("https://www.reddit.com/r/cancer/comments/db0j1q/my_27_year_old_sister_has_stage_4_ovarian_cancer/")</f>
        <v/>
      </c>
      <c r="G5074" t="inlineStr">
        <is>
          <t>2019-09-29 13:13:57</t>
        </is>
      </c>
      <c r="H5074" t="inlineStr"/>
    </row>
    <row r="5075">
      <c r="A5075" t="inlineStr">
        <is>
          <t>db2w6y</t>
        </is>
      </c>
      <c r="B5075" t="inlineStr">
        <is>
          <t>Need help understanding my Grandma's paperwork and results</t>
        </is>
      </c>
      <c r="C5075" t="inlineStr">
        <is>
          <t>Hey reddit,
My grandma just informed us that she has "Invasive Ductal Carcinoma".
She lives in another state and she has sent us photos of her lab reports.  We are trying to get some funds together to go up and see her and actually meet the Dr's etc but in the mean time, could anyone help us understand the test results?  My grandma hates being a burden to the family so she is not giving us a lot of details unfortunately.   She is a 77 Year old female who has chain smoked most of her life (We have tried to stop her but she is very set in her ways.)
Apparently, she had some of it removed (for testing) and it has already grown back with a higher/larger growth.  We did not know about any of this.  We are a close family but I feel she is dealing with this in her own way/the burden of getting family involved was not something she wanted to do until she got more info.
Thank you everyone,
D Family</t>
        </is>
      </c>
      <c r="D5075" t="n">
        <v>2</v>
      </c>
      <c r="E5075" t="n">
        <v>6</v>
      </c>
      <c r="F5075">
        <f>HYPERLINK("https://www.reddit.com/r/cancer/comments/db2w6y/need_help_understanding_my_grandmas_paperwork_and/")</f>
        <v/>
      </c>
      <c r="G5075" t="inlineStr">
        <is>
          <t>2019-09-29 16:18:14</t>
        </is>
      </c>
      <c r="H5075" t="inlineStr"/>
    </row>
    <row r="5076">
      <c r="A5076" t="inlineStr">
        <is>
          <t>db3il1</t>
        </is>
      </c>
      <c r="B5076" t="inlineStr">
        <is>
          <t>Father with cancer, I'm a college student.. Help</t>
        </is>
      </c>
      <c r="C5076" t="inlineStr">
        <is>
          <t>It's my sophomore year at college and during my first year I did not do so well because of adjusting to college life. I really did not have my priorities straight and I was gonna try to improve my grades this year. But just a week before college started, my father was diagnosed with multiple myeloma. It's a cancer that creates plasma cells and these cells build up in bone marrows which clogs up the room for blood cells. My father is currently an out patient and goes back to the hospital for chemotherapy. This month at college has really been hard for me and my family. I thought I could handle  classes and hw and everything, but now with exams coming up I find it hard to stay focused. In class I take notes, but I'm constantly thinking about my father. The same thing happens when I'm with people or doing hw. Moments when I'm not thinking of him are rare and idk. I dont know what to do. My first exam is on tuesday, then friday, and I have two more next week. I want to talk to my professors, but it's so close I don't know if they will push my exams to a later date. I've never really talked about my feelings, but lately I've been opening up to friends and family. No one really understands though. They all say that they are there for me, but there's nothing they can say or do that will help. The worst thing is that there's nothing I can do either. Really I don't know what to do and need some help</t>
        </is>
      </c>
      <c r="D5076" t="n">
        <v>5</v>
      </c>
      <c r="E5076" t="n">
        <v>17</v>
      </c>
      <c r="F5076">
        <f>HYPERLINK("https://www.reddit.com/r/cancer/comments/db3il1/father_with_cancer_im_a_college_student_help/")</f>
        <v/>
      </c>
      <c r="G5076" t="inlineStr">
        <is>
          <t>2019-09-29 17:11:23</t>
        </is>
      </c>
      <c r="H5076" t="inlineStr"/>
    </row>
    <row r="5077">
      <c r="A5077" t="inlineStr">
        <is>
          <t>db4cdb</t>
        </is>
      </c>
      <c r="B5077" t="inlineStr">
        <is>
          <t>Angiogram in my mid 20s</t>
        </is>
      </c>
      <c r="C5077" t="inlineStr">
        <is>
          <t>Hello, at age 25 I had an angiogram to rule out chronic chest pains being heart problems. The doctor never mentioned that the radiation from it was not something to scoff at and through my research Im reading that people who receive this in their 20s will have a significant risk of developing cancer. I basically can't find any direct research or correlation to people that have been in my situation. It is causing massive anxiety for me. This happened a year ago by the way. Can anyone offer insight as to are my fears warranted? Is there anything I can do?</t>
        </is>
      </c>
      <c r="D5077" t="n">
        <v>2</v>
      </c>
      <c r="E5077" t="n">
        <v>2</v>
      </c>
      <c r="F5077">
        <f>HYPERLINK("https://www.reddit.com/r/cancer/comments/db4cdb/angiogram_in_my_mid_20s/")</f>
        <v/>
      </c>
      <c r="G5077" t="inlineStr">
        <is>
          <t>2019-09-29 18:22:58</t>
        </is>
      </c>
      <c r="H5077" t="inlineStr"/>
    </row>
    <row r="5078">
      <c r="A5078" t="inlineStr">
        <is>
          <t>db4jyh</t>
        </is>
      </c>
      <c r="B5078" t="inlineStr">
        <is>
          <t>Wife was diagnosed with breast cancer last week over the phone after biopsy- now what?</t>
        </is>
      </c>
      <c r="C5078" t="inlineStr">
        <is>
          <t>She's 42- doctor said large mass and a lymoh node looked inflamed.
She had an abdominal CT scan in the ER the day after the phone call because she was convinced she had tumors in her gut as shes been having constipation/IBS issues for months. The scan came back clear for any masses.  She's now convinced it's in her brain or lungs.
Our first appointment is tomorrow and we are terrified and do not know what to expect.</t>
        </is>
      </c>
      <c r="D5078" t="n">
        <v>3</v>
      </c>
      <c r="E5078" t="n">
        <v>7</v>
      </c>
      <c r="F5078">
        <f>HYPERLINK("https://www.reddit.com/r/cancer/comments/db4jyh/wife_was_diagnosed_with_breast_cancer_last_week/")</f>
        <v/>
      </c>
      <c r="G5078" t="inlineStr">
        <is>
          <t>2019-09-29 18:41:11</t>
        </is>
      </c>
      <c r="H5078" t="inlineStr"/>
    </row>
    <row r="5079">
      <c r="A5079" t="inlineStr">
        <is>
          <t>db4tmy</t>
        </is>
      </c>
      <c r="B5079" t="inlineStr">
        <is>
          <t>Just found out I have leukemia.</t>
        </is>
      </c>
      <c r="C5079" t="inlineStr">
        <is>
          <t>I only found out because I had to go the hospitable from complications caused my alcoholism. My family has cut me off and refuse to beleive me or the doctor. It hurts to ask but I need support and I dont know where to go...</t>
        </is>
      </c>
      <c r="D5079" t="n">
        <v>39</v>
      </c>
      <c r="E5079" t="n">
        <v>12</v>
      </c>
      <c r="F5079">
        <f>HYPERLINK("https://www.reddit.com/r/cancer/comments/db4tmy/just_found_out_i_have_leukemia/")</f>
        <v/>
      </c>
      <c r="G5079" t="inlineStr">
        <is>
          <t>2019-09-29 19:04:06</t>
        </is>
      </c>
      <c r="H5079" t="inlineStr"/>
    </row>
    <row r="5080">
      <c r="A5080" t="inlineStr">
        <is>
          <t>db4u03</t>
        </is>
      </c>
      <c r="B5080" t="inlineStr">
        <is>
          <t>My father has cancer &amp;amp; I feel guilty</t>
        </is>
      </c>
      <c r="C5080" t="inlineStr">
        <is>
          <t>My father was diagnosed with cancer about 3 weeks ago. At first I could not even believe it. It’s like something you see in a movie. I never thought it would happen to my family. I guess no one does. The first week I found out, I couldn’t sleep and I didn’t eat. I really did not even understand it. All I knew that my father had cancer. Everything seemed so pointless. Like I was stressing about such stupid things like boys or school. I remember how upset I was because of a break up, but now who cares. I wasted so much time going out and not being there with my dad. My dad would always ask me if I wanted to watch a movie with him or go out to eat with him and my mom, but I wouldn't because I was such a stupid kid that just wanted hang out at my friends basement. God I wish I could go back and do things with my dad that I will probably never be able to do now. 
Lately, I’ve been more upset than ever because I haven’t seen my dad in person since the start of college. I was already nervous enough going to college, but now it’s so hard. I wish I chose a college closer to home, but now it’s too late. I haven't told my roommates about my dad yet too. Mostly because I like how normal it is, but it's hard because I'm spending most of time in my room. I feel like I should tell them because it would explain why I'm in such a bad mood and never go out with them anymore. Honestly I’m scared to let my father down and it’s the only thing keeping me together. 
My dad really wants me to graduate but the work is piling on and exams are close. I really wish all of this can just go away and everything can return to normal, but that will never happen. I don’t know if anything I said is even cohesive but I just needed to get this off my chest. I talk to my friends about this but they all say the same thing and really doesn't help. I think it's because they really don't know what to say and I understand why they wouldn't, but it'd be nice to relate to someone. Thanks for reading this and it would be nice to talk to someone going through a similar situation.
Sorry if none of this made sense</t>
        </is>
      </c>
      <c r="D5080" t="n">
        <v>1</v>
      </c>
      <c r="E5080" t="n">
        <v>0</v>
      </c>
      <c r="F5080">
        <f>HYPERLINK("https://www.reddit.com/r/cancer/comments/db4u03/my_father_has_cancer_i_feel_guilty/")</f>
        <v/>
      </c>
      <c r="G5080" t="inlineStr">
        <is>
          <t>2019-09-29 19:05:01</t>
        </is>
      </c>
      <c r="H5080" t="inlineStr"/>
    </row>
    <row r="5081">
      <c r="A5081" t="inlineStr">
        <is>
          <t>db7nqw</t>
        </is>
      </c>
      <c r="B5081" t="inlineStr">
        <is>
          <t>12 and on my second diagnose of cancer</t>
        </is>
      </c>
      <c r="C5081" t="inlineStr">
        <is>
          <t>Was originally diagnosed with cancer in 2016, beat it in 2018. But recently been re diagnosed with it after it came back, and is inside my bone this time. Hope to beat it this time.</t>
        </is>
      </c>
      <c r="D5081" t="n">
        <v>49</v>
      </c>
      <c r="E5081" t="n">
        <v>33</v>
      </c>
      <c r="F5081">
        <f>HYPERLINK("https://www.reddit.com/r/cancer/comments/db7nqw/12_and_on_my_second_diagnose_of_cancer/")</f>
        <v/>
      </c>
      <c r="G5081" t="inlineStr">
        <is>
          <t>2019-09-29 23:44:29</t>
        </is>
      </c>
      <c r="H5081" t="inlineStr"/>
    </row>
    <row r="5082">
      <c r="A5082" t="inlineStr">
        <is>
          <t>db8we3</t>
        </is>
      </c>
      <c r="B5082" t="inlineStr">
        <is>
          <t>Roommate just found out they have a mass on one of their kidneys. Anyone here dealt with this?</t>
        </is>
      </c>
      <c r="C5082" t="inlineStr">
        <is>
          <t>They have been having lower back pain for many months to the point that they often walk hunched over but it was chalked up to an injury at work. Then came a kidney infection.
&amp;amp;#x200B;
Just looking for others to share their thoughts or knowledge. Thanks.</t>
        </is>
      </c>
      <c r="D5082" t="n">
        <v>1</v>
      </c>
      <c r="E5082" t="n">
        <v>0</v>
      </c>
      <c r="F5082">
        <f>HYPERLINK("https://www.reddit.com/r/cancer/comments/db8we3/roommate_just_found_out_they_have_a_mass_on_one/")</f>
        <v/>
      </c>
      <c r="G5082" t="inlineStr">
        <is>
          <t>2019-09-30 02:18:30</t>
        </is>
      </c>
      <c r="H5082" t="inlineStr"/>
    </row>
    <row r="5083">
      <c r="A5083" t="inlineStr">
        <is>
          <t>db9r4i</t>
        </is>
      </c>
      <c r="B5083" t="inlineStr">
        <is>
          <t>i could see him dying before my eyes.</t>
        </is>
      </c>
      <c r="C5083" t="inlineStr">
        <is>
          <t>sorry if my terminology isn’t correct, i’m not very knowledgeable 
my grandpa was coming home from his vacation early because he didn’t feel well. we were just brushing it away as a common cold, but we found out that he could have cancer. a week later, he had a first and second opinion, and he had liver cancer (stage 4 grade 3) and neuroendocrinal cancer (stage 4 grade 3). 
it wasn’t great, but at least we had chemo as a last resort. but, he would have to have chemo for the rest of his life.
and then we found out that his liver was so messed up that they could not do chemo. everyone was heartbroken and i left school early to visit him. 
he looked really frail and it was almost like who i was looking at wasn’t really him. it’s like he was dying slowly in front of my eyes. my dad was heartbroken, and seeing my dad in this much pain brought me to tears as well.
we were going to have an estimate on Saturday. when the nurse arrived, she took vitals and we found out that he would have a week or less to live. 
that saturday was his last saturday.
that sunday was his last NFL sunday.
45 minutes ago, i just saw my grandpa alive for the last time.</t>
        </is>
      </c>
      <c r="D5083" t="n">
        <v>9</v>
      </c>
      <c r="E5083" t="n">
        <v>10</v>
      </c>
      <c r="F5083">
        <f>HYPERLINK("https://www.reddit.com/r/cancer/comments/db9r4i/i_could_see_him_dying_before_my_eyes/")</f>
        <v/>
      </c>
      <c r="G5083" t="inlineStr">
        <is>
          <t>2019-09-30 03:50:16</t>
        </is>
      </c>
      <c r="H5083" t="inlineStr"/>
    </row>
    <row r="5084">
      <c r="A5084" t="inlineStr">
        <is>
          <t>dba8rx</t>
        </is>
      </c>
      <c r="B5084" t="inlineStr">
        <is>
          <t>A second medical opinion is very important and sometimes saves lives</t>
        </is>
      </c>
      <c r="C5084" t="inlineStr">
        <is>
          <t>Very often I come across posts here that a person went to a doctor and he/she makes a diagnosis - cancer. One day, my mother noticed a tightening in her chest in the evening after a shower and the next day she went to the doctor for a consultation. The doctor suggested that it was cancer and sent for a biopsy. Mom was terrified.
After a few hours of discussions, we decided to visit another doctor. We had hope. And you know what? She paid off. After the examination, the breast doctor make an another diagnosis - a mastopathy, which often occurs in middle-aged women and has nothing in common with breast cancer. A biopsy was not needed. That is why it is important to be examined by several doctors, get a few medical opinions and only then make a decision. Stay safe!</t>
        </is>
      </c>
      <c r="D5084" t="n">
        <v>1</v>
      </c>
      <c r="E5084" t="n">
        <v>0</v>
      </c>
      <c r="F5084">
        <f>HYPERLINK("https://www.reddit.com/r/cancer/comments/dba8rx/a_second_medical_opinion_is_very_important_and/")</f>
        <v/>
      </c>
      <c r="G5084" t="inlineStr">
        <is>
          <t>2019-09-30 04:38:06</t>
        </is>
      </c>
      <c r="H5084" t="inlineStr"/>
    </row>
    <row r="5085">
      <c r="A5085" t="inlineStr">
        <is>
          <t>dbcwmj</t>
        </is>
      </c>
      <c r="B5085" t="inlineStr">
        <is>
          <t>Is non metastatic breast cancer treatable with just mastectomy?</t>
        </is>
      </c>
      <c r="C5085" t="inlineStr">
        <is>
          <t>Title.</t>
        </is>
      </c>
      <c r="D5085" t="n">
        <v>1</v>
      </c>
      <c r="E5085" t="n">
        <v>7</v>
      </c>
      <c r="F5085">
        <f>HYPERLINK("https://www.reddit.com/r/cancer/comments/dbcwmj/is_non_metastatic_breast_cancer_treatable_with/")</f>
        <v/>
      </c>
      <c r="G5085" t="inlineStr">
        <is>
          <t>2019-09-30 08:06:31</t>
        </is>
      </c>
      <c r="H5085" t="inlineStr"/>
    </row>
    <row r="5086">
      <c r="A5086" t="inlineStr">
        <is>
          <t>dbcx6f</t>
        </is>
      </c>
      <c r="B5086" t="inlineStr">
        <is>
          <t>Looking for others with Signet Ring Cell diagnosis</t>
        </is>
      </c>
      <c r="C5086" t="inlineStr">
        <is>
          <t>Tumor found in april of this year. In may i was on the table. I was given a hopeless bit of news after my gyn onc did a tumor debulking. The lab confirmed SRC features on every sample. I was told its very rare and worse, unresponsive to chemotherapy due to its mucousy structure. I was already full of ascites (something seen more at the end of a patients battle) within 2 weeks of initially finding the massive tumor that had metastisized throughout my abdomen. Onc said "give me something i can treat!" to my gyn onc, right in front of me. Pronosis was 6weeks to 6 months because it was already on my peritenium.
Still, they did 4 rounds of FOLFOX on me. 1st one was brutal- 9 days in the hospital. I took the 2nd and 3rd rounds like a champ, but this 4th round seems to have whooped my ass. I have new pain which i fear is due to further mets in new organs and im full of ascites again. 
How rare is this? Im looking for others with SRC....</t>
        </is>
      </c>
      <c r="D5086" t="n">
        <v>2</v>
      </c>
      <c r="E5086" t="n">
        <v>1</v>
      </c>
      <c r="F5086">
        <f>HYPERLINK("https://www.reddit.com/r/cancer/comments/dbcx6f/looking_for_others_with_signet_ring_cell_diagnosis/")</f>
        <v/>
      </c>
      <c r="G5086" t="inlineStr">
        <is>
          <t>2019-09-30 08:07:35</t>
        </is>
      </c>
      <c r="H5086" t="inlineStr"/>
    </row>
    <row r="5087">
      <c r="A5087" t="inlineStr">
        <is>
          <t>dbdwsc</t>
        </is>
      </c>
      <c r="B5087" t="inlineStr">
        <is>
          <t>Thanks for being there, Reddit</t>
        </is>
      </c>
      <c r="C5087" t="inlineStr">
        <is>
          <t>It sucks we’re all a part of this shitty club. But it’s nice having strangers to talk/vent to. 
I’ve been in remission for a few months for Hodgkin’s Lymphoma. I found a few swollen lymph nodes in my neck this weekend. I called my oncologist and they’d like to see me ASAP. It’s about time things take a turn for the worse again, seeing as how everything been so great lately (up for a promotion at work, been seeing a great girl). It’s just like when I was diagnosed. Everything was going SUSPICIOUSLY amazing, before it came crashing down. It was just like a movie. 
I know it may be nothing to worry about. Lymph nodes can swell up for a number of things. It’s just a little concerning and it’s tough not to be alarmed by every little thing happening in my body, as I’m sure you all know. 
I’d hate to alarm my parents, or drag my new friend into something like this, especially if it’s not something to worry about. 
So, once again, thanks for being there when I just need to type it out 🙃
Much love!</t>
        </is>
      </c>
      <c r="D5087" t="n">
        <v>68</v>
      </c>
      <c r="E5087" t="n">
        <v>17</v>
      </c>
      <c r="F5087">
        <f>HYPERLINK("https://www.reddit.com/r/cancer/comments/dbdwsc/thanks_for_being_there_reddit/")</f>
        <v/>
      </c>
      <c r="G5087" t="inlineStr">
        <is>
          <t>2019-09-30 09:14:56</t>
        </is>
      </c>
      <c r="H5087" t="inlineStr"/>
    </row>
    <row r="5088">
      <c r="A5088" t="inlineStr">
        <is>
          <t>dbefft</t>
        </is>
      </c>
      <c r="B5088" t="inlineStr">
        <is>
          <t>Is a brain cancer lump on both sides of the brain worse than one? + a few other questions</t>
        </is>
      </c>
      <c r="C5088" t="inlineStr">
        <is>
          <t>We just found out husband has brain cancer. It covers 1/5th the size of his brain - which I CANNOT find out how big that is in terms of 'you dead' vs 'aw it's a tiny thing' - it's dead center in the back of his head, covering both sides of his brain. His mother keeps repeating that it's on both sides, along with the size. 
I'm in another country currently. I've no idea what this means. Does anyone - anyone - have an idea if both sides is worse than one? If the size is huge? I'm working on flying out there ASAP, of course. But my info is so limited with everyone focused on him.
The only other things I know are that he had massive headaches, his memory was terrible, and his vision was going weird. I assume that's advanced cancer, right? 
Is there a source where I can find out what to expect as it gets worse? Like how fast he will decline, or what I can expect? (Will he still remember me at the end? Will he be able to talk?) 
All I can do is pace. Or I would if I didn't feel so tired. But I'm too restless to sleep. *sigh* So I'm trying to do research to keep myself busy. 
This is frustratingly hard, everyone. I know he might have 'weeks' or he might have 'a few months' but nobody can say what that means. Somewhere between "six days" and "You have until Christmas" I assume. I have *serious* anxiety regarding travel. I'm struggling to figure out how to get a passport, get the strength to travel over there, and be strong for him. I don't know how people manage this.</t>
        </is>
      </c>
      <c r="D5088" t="n">
        <v>8</v>
      </c>
      <c r="E5088" t="n">
        <v>6</v>
      </c>
      <c r="F5088">
        <f>HYPERLINK("https://www.reddit.com/r/cancer/comments/dbefft/is_a_brain_cancer_lump_on_both_sides_of_the_brain/")</f>
        <v/>
      </c>
      <c r="G5088" t="inlineStr">
        <is>
          <t>2019-09-30 09:50:22</t>
        </is>
      </c>
      <c r="H5088" t="inlineStr"/>
    </row>
    <row r="5089">
      <c r="A5089" t="inlineStr">
        <is>
          <t>dbhvx3</t>
        </is>
      </c>
      <c r="B5089" t="inlineStr">
        <is>
          <t>Feel worse with every treatment</t>
        </is>
      </c>
      <c r="C5089" t="inlineStr">
        <is>
          <t>I just finished 7 months, 20 treatments, of chemo. I have 4 treatments left. Each time I feel worse. So weak and can't really eat till the 3rd or 4th day. I am at work right now and I am going to just pack it in and go home. I have never felt this bad in my life. I feel like I'm going to croak. I know it is the chemo but fer fucks sake!</t>
        </is>
      </c>
      <c r="D5089" t="n">
        <v>12</v>
      </c>
      <c r="E5089" t="n">
        <v>10</v>
      </c>
      <c r="F5089">
        <f>HYPERLINK("https://www.reddit.com/r/cancer/comments/dbhvx3/feel_worse_with_every_treatment/")</f>
        <v/>
      </c>
      <c r="G5089" t="inlineStr">
        <is>
          <t>2019-09-30 13:38:46</t>
        </is>
      </c>
      <c r="H5089" t="inlineStr"/>
    </row>
    <row r="5090">
      <c r="A5090" t="inlineStr">
        <is>
          <t>dbi2z9</t>
        </is>
      </c>
      <c r="B5090" t="inlineStr">
        <is>
          <t>Watching my mom wither away and die in front of my eyes</t>
        </is>
      </c>
      <c r="C5090" t="inlineStr">
        <is>
          <t>My mom has been in remission from stage 3b breast cancer since ‘98, up until it metastasized to the bone this year. Hip surgery, radiation, she still couldn’t walk. At the rehab center she’d be incapable of doing PT because of the pain. They said once she starts Taxol chemo, she’ll be able to recover- it’s probably the bone cancer preventing her from making any progress. Possible light at the end of the tunnel! I go visit her every day at the rehab center. Couple weeks ago, things started declining even more. She can’t even get up to go to the bathroom. Pain increases. Then she starts saying things that don’t make sense. Forgetting things. Pain meds, we all thought. She’d never done anything like that, even an Ibuprofen would knock her out. Now they’ve got her on Oxy and Dilaudid. They dial back the meds. She keeps getting more confused. Talk with my dad, this is getting serious. We need to admit her. Rehab home begrudgingly complies with us insisting,  to advise oncologist to admit her. She becomes furious at my dad and I. How could we betray her like this! We are conspirators working against her. Nothing’s wrong with her. Every time she sees us she gets upset. She’s been a teacher all her life and is insulted that we think something is wrong with her brain. She cries and yells at us. That’s the last time she was really coherent. 
Hospital runs tests. Mass found on CT scan, MRI confirms no lesion on brain itself, signs of old mini strokes. Good! Thank god. Maybe it’s just from the strokes and it won’t get any worse. She could still form quasi-sentences and thoughts at this point. But every day she gets worse, starts making less and less sense. Sleeping more. Getting more agitated. Doctors become more concerned. This might be leptomeningeal disease- cancer in fluid of brain. They do spinal tap. Find white blood cells. Sent to lab for cytology. Mom gets worse. Every day she’s less coherent. Now her mental capacity is that of a toddler.  In her brief moments of clarity, she’s asking nurses if she’ll ever walk again. She’s telling me she’s going to die.  I tell her I love her and she can’t say it back. She starts to talk and gets upset that she can’t finish her thoughts. She says “i can’t talk, I can’t walk, I can’t do this anymore.” 
Neither can I. Ive always felt like I’ve had some modicum of maturity being in my late 20s. But every day I see her I feel like I am going to just break. I’ve never in my life experienced something so heartbreaking. In the next couple days, it’s likely that the test results will say that my mom has leptomeningeal disease. And this means weeks to live. I feel like I am living in a dream right now. Or a nightmare I guess.
I’m here in the cancer wing of the hospital and I see distraught family everywhere and sick dying patients. Cancer is fucking evil. I’m so so sorry for anyone that is going through it or has a loved one going through it. And going through it with my mom I see how fucking rampant it is. It’s EVERYWHERE.
I’m sorry for the rambling I just wanted to get this out on paper. Or internet paper. I am in hell right now. Thanks for reading guys.</t>
        </is>
      </c>
      <c r="D5090" t="n">
        <v>10</v>
      </c>
      <c r="E5090" t="n">
        <v>10</v>
      </c>
      <c r="F5090">
        <f>HYPERLINK("https://www.reddit.com/r/cancer/comments/dbi2z9/watching_my_mom_wither_away_and_die_in_front_of/")</f>
        <v/>
      </c>
      <c r="G5090" t="inlineStr">
        <is>
          <t>2019-09-30 13:51:59</t>
        </is>
      </c>
      <c r="H5090" t="inlineStr"/>
    </row>
    <row r="5091">
      <c r="A5091" t="inlineStr">
        <is>
          <t>dbiomf</t>
        </is>
      </c>
      <c r="B5091" t="inlineStr">
        <is>
          <t>How do I cheer someone up after treatment?</t>
        </is>
      </c>
      <c r="C5091" t="inlineStr">
        <is>
          <t>Hey guys. My aunt went in for surgery a year ago to remover lymph nodes? the cancer? whatever it was she was cancer free. 
Her cancer is back now, it is adenocarcinoma of unknown origin but it seems to be behaving as a local gynecologic cancer.
I’m visiting her in a month and when I am there she will have undergone 28 radiation treatments.
She might have to do chemo after radiation.
I have never been around someone who has cancer, let alone gotten radiation treatments. What can I do to make her life easier?
I’m already planning on cleaning her house, chores, etc., but emotionally and physically, do you think she’d be up for some cookies, a movie, or some board games?
I really want to cheer her up but I’m lost on how to cheer someone up who has cancer, that isn’t just flowers and a hug you know?
She’s my role model, someone I have looked up to my whole life, and I just want to make her feel nice and special because she’ll probably feel like crap at the time I see her :(</t>
        </is>
      </c>
      <c r="D5091" t="n">
        <v>2</v>
      </c>
      <c r="E5091" t="n">
        <v>4</v>
      </c>
      <c r="F5091">
        <f>HYPERLINK("https://www.reddit.com/r/cancer/comments/dbiomf/how_do_i_cheer_someone_up_after_treatment/")</f>
        <v/>
      </c>
      <c r="G5091" t="inlineStr">
        <is>
          <t>2019-09-30 14:32:32</t>
        </is>
      </c>
      <c r="H5091" t="inlineStr"/>
    </row>
    <row r="5092">
      <c r="A5092" t="inlineStr">
        <is>
          <t>dbis05</t>
        </is>
      </c>
      <c r="B5092" t="inlineStr">
        <is>
          <t>Grandfather (83) going through radiation for stomach cancer, is there anything we can do to help his pain?</t>
        </is>
      </c>
      <c r="C5092" t="inlineStr">
        <is>
          <t>Hi all, my grandfather was diagnosed with stage 2 stomach cancer about a month and a half ago. After meeting with multiple doctors, they determined that surgery wouldn’t be worth it because it had spread to the small intestines a little bit and would require a “whipple procedure” which apparently is devastating and he might die on the operating table and quality of life after would be terrible. They also advised against chemotherapy since they said it would make him terribly weak, and at his age he might not be able to recover from it.
So they opted for the last option which is just radiation therapy. They said this is the least effective but may be able to control the cancer for now.
My questions are, 1) does anyone have any kind of information they can give me about this situation? I just want to know what I’m dealing with
2) is there anything we can do or feed him to help with the pain from radiation? He says his stomach area hurts.
Thank you so much.</t>
        </is>
      </c>
      <c r="D5092" t="n">
        <v>2</v>
      </c>
      <c r="E5092" t="n">
        <v>3</v>
      </c>
      <c r="F5092">
        <f>HYPERLINK("https://www.reddit.com/r/cancer/comments/dbis05/grandfather_83_going_through_radiation_for/")</f>
        <v/>
      </c>
      <c r="G5092" t="inlineStr">
        <is>
          <t>2019-09-30 14:39:04</t>
        </is>
      </c>
      <c r="H5092" t="inlineStr"/>
    </row>
    <row r="5093">
      <c r="A5093" t="inlineStr">
        <is>
          <t>dbj4f3</t>
        </is>
      </c>
      <c r="B5093" t="inlineStr">
        <is>
          <t>Is cancer of aorta treatable?</t>
        </is>
      </c>
      <c r="C5093" t="inlineStr">
        <is>
          <t>Hi! 
My dad has gastric cancer that spread to lymph nodes and aorta, is this even treatable? I was trying to find answers on the internet but I can’t find anything. Aorta seems like a really sensitive organ and to me it seems almost impossible to treat cancer there. Anyone who has some experience or had someone who has it can tell me something? I cant really ask the doctor because my mom is the one usually asking things and she won’t really tell me a lot of info just vague stuff</t>
        </is>
      </c>
      <c r="D5093" t="n">
        <v>6</v>
      </c>
      <c r="E5093" t="n">
        <v>5</v>
      </c>
      <c r="F5093">
        <f>HYPERLINK("https://www.reddit.com/r/cancer/comments/dbj4f3/is_cancer_of_aorta_treatable/")</f>
        <v/>
      </c>
      <c r="G5093" t="inlineStr">
        <is>
          <t>2019-09-30 15:03:15</t>
        </is>
      </c>
      <c r="H5093" t="inlineStr"/>
    </row>
    <row r="5094">
      <c r="A5094" t="inlineStr">
        <is>
          <t>dbjhkh</t>
        </is>
      </c>
      <c r="B5094" t="inlineStr">
        <is>
          <t>My Mom is Bumming me out</t>
        </is>
      </c>
      <c r="C5094" t="inlineStr">
        <is>
          <t>I'm 15 and was diagnosed with brain cancer about a month ago I also had ALL in 2012, 
My mother's always had a bit of a temper an I guess this new diagnosis is just stressing her out more than usual especially since the tumors I have made it so I can't use my left side and need help going to the bathroom or whatever. Anyways she keeps yelling at me and gets annoyed whenever I ask for help with something since I literally can't do it myself, and says that if I had been more physically active and played less video games then I wouldn't have gotten cancer which is total BS obviously but there's no explaining that to her</t>
        </is>
      </c>
      <c r="D5094" t="n">
        <v>15</v>
      </c>
      <c r="E5094" t="n">
        <v>9</v>
      </c>
      <c r="F5094">
        <f>HYPERLINK("https://www.reddit.com/r/cancer/comments/dbjhkh/my_mom_is_bumming_me_out/")</f>
        <v/>
      </c>
      <c r="G5094" t="inlineStr">
        <is>
          <t>2019-09-30 15:29:44</t>
        </is>
      </c>
      <c r="H5094" t="inlineStr"/>
    </row>
    <row r="5095">
      <c r="A5095" t="inlineStr">
        <is>
          <t>dbk3my</t>
        </is>
      </c>
      <c r="B5095" t="inlineStr">
        <is>
          <t>Prophylactic whole brain radiation?</t>
        </is>
      </c>
      <c r="C5095" t="inlineStr">
        <is>
          <t>I'm looking for personal experiences (yours or someone you care about) with preventive/prophylactic whole brain radiation treatment?  I'd -really- like to hear about all experiences, positive, negative, and any that you might feel are in between!  
My father is contemplating whole brain radiation and he/we would like to have as much info on what to potentially expect as is possible.  
Background-my father was diagnosed with extensive stage small cell lung cancer in June after a low dose screening CT revealed spots on lungs, adrenal gland, lymph nodes, and spine.  He has responded well to chemo+immunotherapy since then and is thankfully still symptom free and has been told his PET scan looks great.  Brain MRI was also clear.</t>
        </is>
      </c>
      <c r="D5095" t="n">
        <v>1</v>
      </c>
      <c r="E5095" t="n">
        <v>2</v>
      </c>
      <c r="F5095">
        <f>HYPERLINK("https://www.reddit.com/r/cancer/comments/dbk3my/prophylactic_whole_brain_radiation/")</f>
        <v/>
      </c>
      <c r="G5095" t="inlineStr">
        <is>
          <t>2019-09-30 16:14:33</t>
        </is>
      </c>
      <c r="H5095" t="inlineStr"/>
    </row>
    <row r="5096">
      <c r="A5096" t="inlineStr">
        <is>
          <t>dbk894</t>
        </is>
      </c>
      <c r="B5096" t="inlineStr">
        <is>
          <t>I want more information on my parents' illness than they do.</t>
        </is>
      </c>
      <c r="C5096" t="inlineStr">
        <is>
          <t>Within two months of each other, both parents were diagnosed with different, advanced cancers. Mom is Stage 3 with gallbladder cancer and Dad is Stage 4 esophageal. 
With both parents, they've put me and my siblings on their list of people allowed access to their medical information, and we are always allowed to go to medical appointments with them.  My dad coughed so hard that he ruptured his esophagus, went septic, and nearly died in August. That complication happened really fast (literally less than two weeks) and we went from "wtf, how does he have cancer, too" to "he's not making it to November."  Thankfully, he's recovered really well from the ruptured esophagus and has started chemo. 
I'm going to a medical appointment with my dad tomorrow, and I think it is the first time I will want answers to questions he doesn't want asked. I've noticed since he got home from the hospital and has become more and more recovered that he and my mother (and my sister who lives with them) are acting as if he will completely recover. 
He won't. Feeling better from his complication doesn't mean anything in terms of his cancer progression. It's great, yes, but he's got 7+ lymphnodes involved and the tumor is inoperable. Before the hospitalization, there wasn't a treatment plan past 2 years, and in the hospital they had us talk with hospice and we were told in the best case, he has a year. Very likely less. 
At tomorrow's appointment, I want to ask about long-term prognosis and a timeline and what to expect. I'm fine if my dad doesn't want to hear it, but I do. Has anyone else been in a situation where the patient doesn't want the information?</t>
        </is>
      </c>
      <c r="D5096" t="n">
        <v>5</v>
      </c>
      <c r="E5096" t="n">
        <v>8</v>
      </c>
      <c r="F5096">
        <f>HYPERLINK("https://www.reddit.com/r/cancer/comments/dbk894/i_want_more_information_on_my_parents_illness/")</f>
        <v/>
      </c>
      <c r="G5096" t="inlineStr">
        <is>
          <t>2019-09-30 16:24:26</t>
        </is>
      </c>
      <c r="H5096" t="inlineStr"/>
    </row>
    <row r="5097">
      <c r="A5097" t="inlineStr">
        <is>
          <t>dbl02b</t>
        </is>
      </c>
      <c r="B5097" t="inlineStr">
        <is>
          <t>My doctor doesn't believe in mamograms</t>
        </is>
      </c>
      <c r="C5097" t="inlineStr">
        <is>
          <t>Hi all, I hope this message finds everyone in good spirits and health ❤.
Just came back from my yearly physical (I'm 48 yr old female) and my doctor does not recommend mamogram.  He said that they do more harm than good, meaning that what the machine uses to look into your breast will cause damage to the breast (sorry I'm not versed in mamogram - So I'm not sure if radiation is used).
My mom passed away from cancer 4 years ago, a rare form of cancer derived from celiac disease.
My doctor did write up the requisition and left it up to me if I wanred to get the teat or not (I'm in Canada) .
I have had 2 mamograms in the past 15 years and everything came back clear.
What are your thoughts please</t>
        </is>
      </c>
      <c r="D5097" t="n">
        <v>1</v>
      </c>
      <c r="E5097" t="n">
        <v>14</v>
      </c>
      <c r="F5097">
        <f>HYPERLINK("https://www.reddit.com/r/cancer/comments/dbl02b/my_doctor_doesnt_believe_in_mamograms/")</f>
        <v/>
      </c>
      <c r="G5097" t="inlineStr">
        <is>
          <t>2019-09-30 17:22:27</t>
        </is>
      </c>
      <c r="H5097" t="inlineStr"/>
    </row>
    <row r="5098">
      <c r="A5098" t="inlineStr">
        <is>
          <t>dbl8tw</t>
        </is>
      </c>
      <c r="B5098" t="inlineStr">
        <is>
          <t>I lost my only sibling today</t>
        </is>
      </c>
      <c r="C5098" t="inlineStr">
        <is>
          <t>I despise you cancer, you took away my best friend.  I lost him today after a two year battle.  He was 49.  He said he wasn’t ready.  I despise that the tumor couldn’t be cut out because it was too close to his aorta.  He couldn’t get a new esophagus like the 80 year old man who came to talk to him.  God bless that man because he deserves a life too, stupid rotten cancer.  I pray for each and every one of you because I witnessed first hand the grief and pain and suffering.  I’m so sorry.  I’m so very sorry.</t>
        </is>
      </c>
      <c r="D5098" t="n">
        <v>78</v>
      </c>
      <c r="E5098" t="n">
        <v>32</v>
      </c>
      <c r="F5098">
        <f>HYPERLINK("https://www.reddit.com/r/cancer/comments/dbl8tw/i_lost_my_only_sibling_today/")</f>
        <v/>
      </c>
      <c r="G5098" t="inlineStr">
        <is>
          <t>2019-09-30 17:40:44</t>
        </is>
      </c>
      <c r="H5098" t="inlineStr"/>
    </row>
    <row r="5099">
      <c r="A5099" t="inlineStr">
        <is>
          <t>dbnbgw</t>
        </is>
      </c>
      <c r="B5099" t="inlineStr">
        <is>
          <t>Father In Law Cancer</t>
        </is>
      </c>
      <c r="C5099" t="inlineStr">
        <is>
          <t>Diagnosed with stage 4 prostate cancer that metasized to bones in late 2018.
Chemo doesn’t seem to be working, HT therapy doesn’t work, PSA keeps rising. He has to go for a liver biopsy on Wednesday.
Take care of your yourself and go for regular checks, my FIL never went for wellness visits and when he first felt off it was way to late.
I would be surprised if he lived 6 more months?
Cancer is sad...</t>
        </is>
      </c>
      <c r="D5099" t="n">
        <v>6</v>
      </c>
      <c r="E5099" t="n">
        <v>0</v>
      </c>
      <c r="F5099">
        <f>HYPERLINK("https://www.reddit.com/r/cancer/comments/dbnbgw/father_in_law_cancer/")</f>
        <v/>
      </c>
      <c r="G5099" t="inlineStr">
        <is>
          <t>2019-09-30 20:23:59</t>
        </is>
      </c>
      <c r="H5099" t="inlineStr"/>
    </row>
    <row r="5100">
      <c r="A5100" t="inlineStr">
        <is>
          <t>dbnlei</t>
        </is>
      </c>
      <c r="B5100" t="inlineStr">
        <is>
          <t>I don't know what to do.</t>
        </is>
      </c>
      <c r="C5100" t="inlineStr">
        <is>
          <t xml:space="preserve">     So i think i have cancer. Not sure what kind because i am afraid to go to a doctor. I am afraid because i feel like me being diagnosed with cancer will not only be bad for me but i am afraid of ending up a financial burden on my family. I barely get by on my own, i have an 18 month old son and a girlfriend that doesnt work and is going to college fulltime while raising our son. 
     I have terrible insurance. Like really bad. And that is my main fear with going to a Dr and getting checked for cancer. I feel like once its said that i have it i will be on a downhill track straight to bankruptcy and death. I can deal with the death. But I cannot deal with financially ruining my family and dying anyways. My main concern is that if i get the cancer diagnoses and it comes back posative, im afraid that right then my insurance is locked in. Ill never be able to get better health insurance or change my coverages on my life insurance (currently only 100k) im fucking scared. But cancer makes sense considering some things ive dealt with in recent years.</t>
        </is>
      </c>
      <c r="D5100" t="n">
        <v>0</v>
      </c>
      <c r="E5100" t="n">
        <v>2</v>
      </c>
      <c r="F5100">
        <f>HYPERLINK("https://www.reddit.com/r/cancer/comments/dbnlei/i_dont_know_what_to_do/")</f>
        <v/>
      </c>
      <c r="G5100" t="inlineStr">
        <is>
          <t>2019-09-30 20:46:03</t>
        </is>
      </c>
      <c r="H5100" t="inlineStr"/>
    </row>
    <row r="5101">
      <c r="A5101" t="inlineStr">
        <is>
          <t>dbnq0u</t>
        </is>
      </c>
      <c r="B5101" t="inlineStr">
        <is>
          <t>Receive treatments every 3 weeks and have difficult veins, worried about collapsing veins</t>
        </is>
      </c>
      <c r="C5101" t="inlineStr">
        <is>
          <t>I have iMCD which is Idiopathic Multicentric Castleman's Disease. It is best described as a mix between cancer and an autoimmune disorder. I have been receiving  siltuximab  (immunotheraphy) every 3 weeks since the end of February. My veins are already naturally difficult to find, the nurses say they are hiding or thin and use a small needle. They were using a vein under my right arm for a few months till I guess it developed scarring and pushed the needle back out, then they started using the vein on the top of hand on the right arm. I get bloodwork drawn first then treatment so it's generally two spots. I try to get them to take the blood from my left arm and do the infusion on the right so the same vein isn't overwhelmed but today they used the same damn vein. I asked the nurse to try the original vein that was used since it hasn't been used for a few months, nothing came out, nurse couldn't find it. 
I'm now having hand/wrist pain around the vein they poked twice. I've been trying really hard to give certain veins breaks and have them find new ones but for the most part the nurses can't find them (except for a few good ones). The thought of a possible collapsed vein is worrying me, I'm not sure how to prevent this other than insisting that they find a new one. Anything else I can do?</t>
        </is>
      </c>
      <c r="D5101" t="n">
        <v>4</v>
      </c>
      <c r="E5101" t="n">
        <v>6</v>
      </c>
      <c r="F5101">
        <f>HYPERLINK("https://www.reddit.com/r/cancer/comments/dbnq0u/receive_treatments_every_3_weeks_and_have/")</f>
        <v/>
      </c>
      <c r="G5101" t="inlineStr">
        <is>
          <t>2019-09-30 20:57:34</t>
        </is>
      </c>
      <c r="H5101" t="inlineStr"/>
    </row>
    <row r="5102">
      <c r="A5102" t="inlineStr">
        <is>
          <t>dbnu9b</t>
        </is>
      </c>
      <c r="B5102" t="inlineStr">
        <is>
          <t>Mother-in-law Stage 4</t>
        </is>
      </c>
      <c r="C5102" t="inlineStr">
        <is>
          <t>Hey everyone -
I don’t know where else to ask this but last week my mother-in-law but most importantly my wife’s mother was diagnosed with stage 4 kidney cancer. She has lesions on her lungs, a tumor in her kidney and another one outside it. Doctors give her 2-4 years to live. 
Good news her first day of chemo was today and it seemed okay and her bone scan came back negative. 
Here’s where I’m having a tough time. Yes this is impacting me emotionally I love her so much and do everything to help.. but my wife is in a hole. She says she’s emotionally numb and doesn’t even know what to feel. She goes to work, comes home and sleeps, and says she has no desire to even move. She’s given up and doesn’t want to fight with her mother. I have no idea what to do. 
Has anyone else has this happen? How did you help everyone? I’ve tried giving space and tried smothering. I’ve tried pretending like it’s a normal day.</t>
        </is>
      </c>
      <c r="D5102" t="n">
        <v>4</v>
      </c>
      <c r="E5102" t="n">
        <v>4</v>
      </c>
      <c r="F5102">
        <f>HYPERLINK("https://www.reddit.com/r/cancer/comments/dbnu9b/motherinlaw_stage_4/")</f>
        <v/>
      </c>
      <c r="G5102" t="inlineStr">
        <is>
          <t>2019-09-30 21:08:09</t>
        </is>
      </c>
      <c r="H5102" t="inlineStr"/>
    </row>
    <row r="5103">
      <c r="A5103" t="inlineStr">
        <is>
          <t>dbp8b0</t>
        </is>
      </c>
      <c r="B5103" t="inlineStr">
        <is>
          <t>Remission possible with stage 4 breast cancer?</t>
        </is>
      </c>
      <c r="C5103" t="inlineStr">
        <is>
          <t>My mother was diagnosed with stage 4 breast cancer with mets to her liver and spine today. She is ER/PR positive, HER2 negative. She is 52 years old and a runner. I'm just reaching out to see if anyone has a story of someone they know who may have been in a similar situation and was able to achieve remission. I know everyone story is unique but it would be comforting to know it's possible.</t>
        </is>
      </c>
      <c r="D5103" t="n">
        <v>3</v>
      </c>
      <c r="E5103" t="n">
        <v>2</v>
      </c>
      <c r="F5103">
        <f>HYPERLINK("https://www.reddit.com/r/cancer/comments/dbp8b0/remission_possible_with_stage_4_breast_cancer/")</f>
        <v/>
      </c>
      <c r="G5103" t="inlineStr">
        <is>
          <t>2019-09-30 23:26:29</t>
        </is>
      </c>
      <c r="H5103" t="inlineStr"/>
    </row>
    <row r="5104">
      <c r="A5104" t="inlineStr">
        <is>
          <t>dbpgbs</t>
        </is>
      </c>
      <c r="B5104" t="inlineStr">
        <is>
          <t>I can't eat anymore</t>
        </is>
      </c>
      <c r="C5104" t="inlineStr">
        <is>
          <t>Can someone suggest the best meal replacement shakes that don't have a ton of sugar? Something that's actually nutritious?
Thank you</t>
        </is>
      </c>
      <c r="D5104" t="n">
        <v>7</v>
      </c>
      <c r="E5104" t="n">
        <v>15</v>
      </c>
      <c r="F5104">
        <f>HYPERLINK("https://www.reddit.com/r/cancer/comments/dbpgbs/i_cant_eat_anymore/")</f>
        <v/>
      </c>
      <c r="G5104" t="inlineStr">
        <is>
          <t>2019-09-30 23:50:59</t>
        </is>
      </c>
      <c r="H5104" t="inlineStr"/>
    </row>
    <row r="5105">
      <c r="A5105" t="inlineStr">
        <is>
          <t>dbs7vi</t>
        </is>
      </c>
      <c r="B5105" t="inlineStr">
        <is>
          <t>Symptoms of bone cancer | Early Detection</t>
        </is>
      </c>
      <c r="C5105" t="inlineStr">
        <is>
          <t>Bone cancer is cancer that begins in the bone marrow. It’s a very rare cancer. Cancer that extends from another part of the body into the surrounding bones is known as secondary bone cancer. Here are some of the symptoms of Bone cancer:
* Pain in bones
* Swelling or Stiffness in bones
* Fatigue
* Weight loss
* Easily broken bones
Early detection is very important to cure the disease as if cancer is diagnosed at a late stage then the treatment is very difficult and sometimes even impossible. These symptoms can help to detect bone cancer at an early stage.</t>
        </is>
      </c>
      <c r="D5105" t="n">
        <v>4</v>
      </c>
      <c r="E5105" t="n">
        <v>5</v>
      </c>
      <c r="F5105">
        <f>HYPERLINK("https://www.reddit.com/r/cancer/comments/dbs7vi/symptoms_of_bone_cancer_early_detection/")</f>
        <v/>
      </c>
      <c r="G5105" t="inlineStr">
        <is>
          <t>2019-10-01 04:49:56</t>
        </is>
      </c>
      <c r="H5105" t="inlineStr"/>
    </row>
    <row r="5106">
      <c r="A5106" t="inlineStr">
        <is>
          <t>dbtb0x</t>
        </is>
      </c>
      <c r="B5106" t="inlineStr">
        <is>
          <t>Newb Post – a few things that help me with my new cancer</t>
        </is>
      </c>
      <c r="C5106" t="inlineStr">
        <is>
          <t>I’m no expert, but I’ll still try to help fellow patients here.
Here are a few practical, real-world “hard” tips for dealing with health care, especially in the U.S.
**Sign up for your provider’s “Patient Portal”**
Most large hospitals offer a patient website. Get online onto that portal. You can see your schedule, review test prep instructions, review your test results and more. On my portal, there are even detailed doctor’s notes for every visit. The notes are so detailed I no longer bother trying to take my own. Make sure you spend an hour or so clicking every last little link, because some of the most valuable information but be hidden behind menu picks with really vague labels.
**Challenge your insurance company and health care provider on financials before every visit.**
Don’t get caught by a financial trap. Learn the “rules,” and make sure that you understand how to get the most out of your benefits.
Oh, the “surprise billing” that awaits us here in the U.S. Typical examples are contract workers who are out-of-network: anesthesia, “assistant surgeons,” etc. 
Tell the provider you want to know the person’s name and/or contractor name of every last person in the room. The billing office is often more than a little familiar with who will be there. Then call insurance to see if they’re in network. For every last procedure, ask if it needs a pre-authorization, and if so make sure you get confirmation from insurance and provider that authorization is in *before* you show up.
**Ask your provider if they have a “Patient Navigator.”**
This is a relatively new thing, or at least a new name. They might call it “omsbudsman” office. These are people whose job it is to make health care less complex for you. They are your single point-of-contact or SPOC to put it in corporate-speak. Hospitals have a lot of moving parts, and us patients don’t just walk in knowing everything about how the system works. 
At one point, I had four major (expensive) diagnostics scheduled plus a port placement procedure, in the space of 10 days, at three different sites. I got completely confused about what I needed to do for each prep (fasting, meds, etc.), whether insurance was straightened out, and so on. I was overwhelmed. These folks took over and got me cleared up on all of it in about 24 hours. If they exist, get connected to them and keep their phone number handy.
As a side commentary, I’ve always tried to avoid getting dragged into two systems: the health care system and the criminal justice system. Either one can swallow perfectly nice people whole, just because those people encountered some bad luck.
I hope you can find some of these resources, and I hope they help you. 
If I get time, I’ll later write about some of the “soft” tips that have helped me: thoughts that I try to keep in my own head, dealing with family/friends/neighbors, that type of stuff. There are quite a few posts on these topcis here already, but hey I'll chime in anyways.
I wish you all the very best.</t>
        </is>
      </c>
      <c r="D5106" t="n">
        <v>39</v>
      </c>
      <c r="E5106" t="n">
        <v>9</v>
      </c>
      <c r="F5106">
        <f>HYPERLINK("https://www.reddit.com/r/cancer/comments/dbtb0x/newb_post_a_few_things_that_help_me_with_my_new/")</f>
        <v/>
      </c>
      <c r="G5106" t="inlineStr">
        <is>
          <t>2019-10-01 06:21:19</t>
        </is>
      </c>
      <c r="H5106" t="inlineStr"/>
    </row>
    <row r="5107">
      <c r="A5107" t="inlineStr">
        <is>
          <t>dbu9us</t>
        </is>
      </c>
      <c r="B5107" t="inlineStr">
        <is>
          <t>Liver / Pancreas Cancer - Advice and Experience Sharing</t>
        </is>
      </c>
      <c r="C5107" t="inlineStr">
        <is>
          <t>My mother (60, F) had an ultrasound a month ago, which showed a 7cm x 7 cm liver lesion. She had a biopsy last Friday and her radiologist yesterday morning told her she has cancer and they suspect it came from her pancreas. Yesterday afternoon, a hematologist visited her and told her not to believe anything other doctors tell her, since he has not received anything from the biopsy pathology report. Hematologist requested 9 blood tests to further investigate her case. We're waiting for official diagnosis today, which hopefully provide us with the definite answer.
I know we just need to take it a day at a time, but I had a talk with her and told her we should hope for the best and prepare for the worst. I would like to hear some thoughts and experience from people who are/were in same situation as my mom and also seek advice on how to traverse this tough road ahead of us. 
\-Can you share how the treatment plan looks for a patient with liver cancer (which likely started from pancreas)? 
\-I know prognosis does not look good when pancreas is involved, are we looking at having months left up to 2 years? What was your experience?
\-How many oncologist did you consult before you made a decision on the best treatment path?
\-What is the 1 piece of advice you'd like to share for patients  and their family who are going through this?
\-She has a good insurance, but she is unemployed right now. Her primary concern is not going to be able to afford copays and deductible. Will they refuse treatment if she can't pay?
\-My mother really wants to go to Israel before anything happens to her. Do you recommend doing this trip before or after 1st treatment? 
\-Her 61st birthday is coming up in two weeks. I know this may likely be her last. Any suggestions on how to celebrate this as best as possible? 
Any thoughts, experience-sharing, and guidance will be greatly valued. I just want to make sure I do everything I can to give her the best and not regret anything.</t>
        </is>
      </c>
      <c r="D5107" t="n">
        <v>5</v>
      </c>
      <c r="E5107" t="n">
        <v>10</v>
      </c>
      <c r="F5107">
        <f>HYPERLINK("https://www.reddit.com/r/cancer/comments/dbu9us/liver_pancreas_cancer_advice_and_experience/")</f>
        <v/>
      </c>
      <c r="G5107" t="inlineStr">
        <is>
          <t>2019-10-01 07:35:26</t>
        </is>
      </c>
      <c r="H5107" t="inlineStr"/>
    </row>
    <row r="5108">
      <c r="A5108" t="inlineStr">
        <is>
          <t>dbv028</t>
        </is>
      </c>
      <c r="B5108" t="inlineStr">
        <is>
          <t>my best friends dad is going to die soon. how can i make her feel better?</t>
        </is>
      </c>
      <c r="C5108" t="inlineStr">
        <is>
          <t>my friend and i are both 18 and just started our first years of college. he was diagnosed with stage 3b lung cancer not even a year ago. he decided to stop chemo and radiation because his tumor has not shrunk and he feels very sick all the time. he continues to get worse every day and probably does not have a lot of time left with his family. 
my friend is not taking the news well at all. she is smoking a lot of weed and has been distant from me and overall just acting different (crying when ive never see. her cry before in 6 years of friendship, not wanting to hang out ever, being either really nice or really mean). she also already wants to drop out of college and i dont want her to ruin her life. i dont know what to say to her to make her feel better. i feel guilty saying literally anything. for example, last night i sent her a stupid gif that was like two fingers hugging and it said “together forever, i love you” and the together forever part made me feel like crap because she wont have her father forever. i cant tell if i am being too sensitive with her or if i should be more careful with the words i say. its been hard for her and i just want to make her feel better, and i dont know how :( what is something i can do or say to make her feel like im there for her and that i care about her?</t>
        </is>
      </c>
      <c r="D5108" t="n">
        <v>7</v>
      </c>
      <c r="E5108" t="n">
        <v>2</v>
      </c>
      <c r="F5108">
        <f>HYPERLINK("https://www.reddit.com/r/cancer/comments/dbv028/my_best_friends_dad_is_going_to_die_soon_how_can/")</f>
        <v/>
      </c>
      <c r="G5108" t="inlineStr">
        <is>
          <t>2019-10-01 08:27:40</t>
        </is>
      </c>
      <c r="H5108" t="inlineStr"/>
    </row>
    <row r="5109">
      <c r="A5109" t="inlineStr">
        <is>
          <t>dbv88g</t>
        </is>
      </c>
      <c r="B5109" t="inlineStr">
        <is>
          <t>I need help figuring out my girlfriend’s tumor situation</t>
        </is>
      </c>
      <c r="C5109" t="inlineStr">
        <is>
          <t>So my girlfriend got a tumor back in March. She doesn’t really say much about her tumor or what type of treatment she’s getting. She just doesn’t like talking about it. Anyways, everything was fine with the tumor, she told me she took meds for it ( I don’t know what the meds are ). However, lately she said she’s feeling tired. She went to check up the tumor and apparently she did what she calls a micro-surgery. I don’t know what the surgery was. A week later ( yesterday ). She went to the doctor again and I’m guessing he told her some bad news ( she doesn’t want to tell me). So my questions is, What can possibly happen to her? I believe her tumor is in her colon ( she didn’t confirm this ) and I read online that a tumor in a colon can turn cancerous.
So my question is, what is possibly happening to her ? What’s the worst case scenario? What’s that probability of something really bad happening ? I understand that you guys are not doctors but you know better than me and I’m just trying to calm myself down and make sense of everything.</t>
        </is>
      </c>
      <c r="D5109" t="n">
        <v>2</v>
      </c>
      <c r="E5109" t="n">
        <v>6</v>
      </c>
      <c r="F5109">
        <f>HYPERLINK("https://www.reddit.com/r/cancer/comments/dbv88g/i_need_help_figuring_out_my_girlfriends_tumor/")</f>
        <v/>
      </c>
      <c r="G5109" t="inlineStr">
        <is>
          <t>2019-10-01 08:43:55</t>
        </is>
      </c>
      <c r="H5109" t="inlineStr"/>
    </row>
    <row r="5110">
      <c r="A5110" t="inlineStr">
        <is>
          <t>dbwmae</t>
        </is>
      </c>
      <c r="B5110" t="inlineStr">
        <is>
          <t>Breast cancer...A happy tale.</t>
        </is>
      </c>
      <c r="C5110" t="inlineStr">
        <is>
          <t>About three months ago my wife went in for her yearly mammogram. Several days later she got a call alerting her that there was an abnormal spot on it. She had to go in for a follow up. They decided to do a biopsy just in case. Anyway, a week or so later they informed her that she in fact had breast cancer. Needless to say we were shocked and scared. Luckily, they said they caught it in the earliest stages. The local Dr. recommend a course of surgery and either chemo or radiation depending on what further tests showed. We took in the information and decided to get a second opinion. We went to UCSF and met with their cancer team. They concurred and ran some further tests. It turns out that the tumor was very small and the tests determined that it wasn’t the kind likely to spread. They also did a test to determine how aggressive it was. On a scale of 1-5, over three would be chemo and then surgery under three was surgery and then radiation. The test came back under three. Great news. They scheduled surgery for about six weeks out. They were in no hurry which was a blessing and a curse. Fast forward to this past Wednesday. She went in, had a lumpectomy.  It was an outpatient procedure and took about four hours. She woke up and was a little groggy. That was about it. She went home had some dinner and went to bed. When she woke up the next morning she was a little uncomfortable, but that was about it. They gave her some ibuprofen (and a couple of other meds). Over the next couple of days she started feeling better and better. She even wanted to go to the SF Giants game on Sunday, which we did. Anyway, on Monday we met with the surgeon to discuss the results of the tests they ran. They took out some lymph nodes to see if it had spread. They also checked tissue samples and did further blood work.  The labs came back, blood was clean, tissue sample clean and lymph nodes clean. The surgeon said she was basically good as new. In about a month, when she fully heals, she will need about three weeks of radiation. Very mild and about 10 minutes a day, five times a week. Anyway, I just wanted to post this to say that a breast cancer diagnosis isn’t a death sentence. A week ago I could imagine a lot of terrible things could happen. Luckily, for us it was the best possible scenario. So if you or someone you know gets this diagnosis, it isn’t the end of the world. Also, make sure the women in your lives get their yearly mammogram.</t>
        </is>
      </c>
      <c r="D5110" t="n">
        <v>11</v>
      </c>
      <c r="E5110" t="n">
        <v>2</v>
      </c>
      <c r="F5110">
        <f>HYPERLINK("https://www.reddit.com/r/cancer/comments/dbwmae/breast_cancera_happy_tale/")</f>
        <v/>
      </c>
      <c r="G5110" t="inlineStr">
        <is>
          <t>2019-10-01 10:21:14</t>
        </is>
      </c>
      <c r="H5110" t="inlineStr"/>
    </row>
    <row r="5111">
      <c r="A5111" t="inlineStr">
        <is>
          <t>dbws7o</t>
        </is>
      </c>
      <c r="B5111" t="inlineStr">
        <is>
          <t>Help me meal prep for chemo</t>
        </is>
      </c>
      <c r="C5111" t="inlineStr">
        <is>
          <t>My nan has started chemo this week and I've offered to batch cook her and my grandad some meals to help out. They've requested simple food as their appetite may be off.
Any suggestions please? I was thinking maybe pasta dishes, grilled chicken and veg?</t>
        </is>
      </c>
      <c r="D5111" t="n">
        <v>1</v>
      </c>
      <c r="E5111" t="n">
        <v>5</v>
      </c>
      <c r="F5111">
        <f>HYPERLINK("https://www.reddit.com/r/cancer/comments/dbws7o/help_me_meal_prep_for_chemo/")</f>
        <v/>
      </c>
      <c r="G5111" t="inlineStr">
        <is>
          <t>2019-10-01 10:36:07</t>
        </is>
      </c>
      <c r="H5111" t="inlineStr"/>
    </row>
    <row r="5112">
      <c r="A5112" t="inlineStr">
        <is>
          <t>dbxawn</t>
        </is>
      </c>
      <c r="B5112" t="inlineStr">
        <is>
          <t>To those who've lost a loved one to cancer, how long did the pain of loss have its affect over you?</t>
        </is>
      </c>
      <c r="C5112" t="inlineStr">
        <is>
          <t>my mom was diagnosed with stage 4 peritoneal carcinomatosis  2 months ago, we thought with chemo it'd extend her estimated 4month timespan to 9 months, but after her 1st chemo appointment, by the end of the 2nd week, her white blood cell count was too low, blood pressure was too low, and it was determined to stop chemo, she passed away last night, 2 months after the diagnosis and 3weeks after the 1st chemo appointment
I just want to vent, I want to cry but I also don't want to sink into this deep dark abyss known as depression and be drowned in it, she was content with her time left, she was ready to die before we were ready for her to go, her pain was finally put to an end
but fuck, It just feels like its too soon</t>
        </is>
      </c>
      <c r="D5112" t="n">
        <v>7</v>
      </c>
      <c r="E5112" t="n">
        <v>11</v>
      </c>
      <c r="F5112">
        <f>HYPERLINK("https://www.reddit.com/r/cancer/comments/dbxawn/to_those_whove_lost_a_loved_one_to_cancer_how/")</f>
        <v/>
      </c>
      <c r="G5112" t="inlineStr">
        <is>
          <t>2019-10-01 11:21:11</t>
        </is>
      </c>
      <c r="H5112" t="inlineStr"/>
    </row>
    <row r="5113">
      <c r="A5113" t="inlineStr">
        <is>
          <t>dby4h6</t>
        </is>
      </c>
      <c r="B5113" t="inlineStr">
        <is>
          <t>Step Father has Bladder Cancer, alcoholism and depression making everything harder to deal with</t>
        </is>
      </c>
      <c r="C5113" t="inlineStr">
        <is>
          <t>My step father is an alcoholic and clinically depressed man with T2 muscle invasive bladder cancer.  He was diagnosed about a year ago after getting kidney stones and refusing to go to the doctor until he ended up in the ER.  He has an excellent doctor and team treating him.  He's about to go through another round of BCG to treat the tumors and if it does not work this time they will remove his bladder.  This is a lot for anyone I know, the part that makes it harder is that his alcoholism and depression (along with his refusal to treat them) make dealing with him and his treatment unbearable.  He told the entire family last year he had 12 months to live (which was a lie he told when he was drunk) and now is convinced he has 18 months to live even though thats not what the doctors have said.  He continues to drink, smoke and refuses to eat for days at a time.  He refused any mental or group help and has become impossible to be around.  He was a tough person to deal with before this but the situation makes his issues even more pronounced.  I want to love him but cannot deal with him anymore, he lashes out and is angry at everyone.
I'm pregnant with my first child and have had to cut contact because of the stress this situation has caused, it has directly effected my health and especially my mother who is his care taker.  I feel like he has given up and doesn't want to get better (even though there's a good chance he can).  I don't know how to love or support him anymore without putting my own health and sanity at risk.</t>
        </is>
      </c>
      <c r="D5113" t="n">
        <v>1</v>
      </c>
      <c r="E5113" t="n">
        <v>1</v>
      </c>
      <c r="F5113">
        <f>HYPERLINK("https://www.reddit.com/r/cancer/comments/dby4h6/step_father_has_bladder_cancer_alcoholism_and/")</f>
        <v/>
      </c>
      <c r="G5113" t="inlineStr">
        <is>
          <t>2019-10-01 12:09:09</t>
        </is>
      </c>
      <c r="H5113" t="inlineStr"/>
    </row>
    <row r="5114">
      <c r="A5114" t="inlineStr">
        <is>
          <t>dbym3i</t>
        </is>
      </c>
      <c r="B5114" t="inlineStr">
        <is>
          <t>Folfox round 2 is a bit rough for me. Any advice?</t>
        </is>
      </c>
      <c r="C5114" t="inlineStr">
        <is>
          <t>So I am on the 46 hr pump right now after the main infusion, and while round 1 had some side effects, this round is a bit rougher.   My diabetes is going nuts.
Minor issues:  
The cold sensitivity as we head into colder months.  This ones going to suck,but I can prepare for it.  I have gloves for my fridge, I bought a dr who scarf, and a nice warm hat my main gf made for me.  Going to buy some warm comfy slippers.
I have a rare side effect of hiccups.  This one I find absolutely hilarious.  Just one, out of the blue a couple times a day.
Pain when I start eating in the jaw muscles.  Seems tolerable as after a few bites it goes away.
Major issue:
The nausea.   Omg.  Mornings are especially bad.  I have drugs to take, and I have bought these ginger based quesy drops that are sugar free.  But really anytime I move much its nausea city.  Any suggestions here from folks?  It's making me miss work every now and then.  1 day last round, and today this round.  
My blood sugar levels are insane.  The first round was really bad because of the steroids.  My oncologist removed them this round, but my numbers are still really jumpy.    To put it in perspective I'm pretty militant about keeping my numbers in a good range.  I have a freestyle libre system installed that can provide me with data on my levels in 5 minute samples throughout my day.  I rarely hit 200 even after eating, and my baseline is around 100.  Recently my baseline was around 200 and I was hitting as high as 400.    Drs are adjusting my meds.  
This round I'm also just beginning to feel the slightest amount of neuropathy.   I suspect that will only grow.
I presume this is only going to get worse as I continue.  It's still the logical choice to make even if it does.  But am I one of the unlucky ones where the side effects are worse, or is this par for the course?</t>
        </is>
      </c>
      <c r="D5114" t="n">
        <v>1</v>
      </c>
      <c r="E5114" t="n">
        <v>3</v>
      </c>
      <c r="F5114">
        <f>HYPERLINK("https://www.reddit.com/r/cancer/comments/dbym3i/folfox_round_2_is_a_bit_rough_for_me_any_advice/")</f>
        <v/>
      </c>
      <c r="G5114" t="inlineStr">
        <is>
          <t>2019-10-01 12:42:23</t>
        </is>
      </c>
      <c r="H5114" t="inlineStr"/>
    </row>
    <row r="5115">
      <c r="A5115" t="inlineStr">
        <is>
          <t>dbyy3p</t>
        </is>
      </c>
      <c r="B5115" t="inlineStr">
        <is>
          <t>Existential crisis</t>
        </is>
      </c>
      <c r="C5115" t="inlineStr">
        <is>
          <t>This is a rant to get this off of my chest to a group of people who understand. My support system is wonderful but they don’t really get it. I am at the (hopefully) tail end of my treatment for stage 4b Hodgekins Lymphoma. I have almost died several times due to complications (pulmonary embolisms, heart issues etc.). I used to be an extremely ambitious person with a strong work ethic (preparing for law school) before my cancer diagnosis. I was in a really solid mental state for months into my treatment, but when things started to get really bad, so did my will to live. It looks almost positive that I will make a somewhat full recovery after having to relearn how to walk, write, and use my hands and feet. My chances of getting cancer again are significant and I feel like we are all going to die anyways, what’s the point of doing anything. Life is extremely short and pointless. I was always thankful that my kind of cancer has a high cure rate, but now I feel like this cancer has broken me as a person. No one really understands, and I feel like I’m mourning the person I used to be.</t>
        </is>
      </c>
      <c r="D5115" t="n">
        <v>53</v>
      </c>
      <c r="E5115" t="n">
        <v>61</v>
      </c>
      <c r="F5115">
        <f>HYPERLINK("https://www.reddit.com/r/cancer/comments/dbyy3p/existential_crisis/")</f>
        <v/>
      </c>
      <c r="G5115" t="inlineStr">
        <is>
          <t>2019-10-01 13:05:00</t>
        </is>
      </c>
      <c r="H5115" t="inlineStr"/>
    </row>
    <row r="5116">
      <c r="A5116" t="inlineStr">
        <is>
          <t>dbzit9</t>
        </is>
      </c>
      <c r="B5116" t="inlineStr">
        <is>
          <t>What else to say besides "I'm sorry"?</t>
        </is>
      </c>
      <c r="C5116" t="inlineStr">
        <is>
          <t>My father in law was diagnosed with stage IV stomach cancer about a month and a half ago. He's done with his second round of chemo, but the prognosis is bleak and today, he was admitted because of a high white blood cell count. He has an infection because of all of the paracenteses. 
&amp;amp;#x200B;
My wife is only 24, and she and her dad are very close. But I feel like my support doesn't go beyond saying "I'm sorry," "Everything will be okay", and "we'll get through this." 
&amp;amp;#x200B;
I feel like I'm failing in my role as a husband. What support can I really give? What more can I say and do? He's not getting better; the prognosis looks bleaker and bleaker with each day</t>
        </is>
      </c>
      <c r="D5116" t="n">
        <v>6</v>
      </c>
      <c r="E5116" t="n">
        <v>5</v>
      </c>
      <c r="F5116">
        <f>HYPERLINK("https://www.reddit.com/r/cancer/comments/dbzit9/what_else_to_say_besides_im_sorry/")</f>
        <v/>
      </c>
      <c r="G5116" t="inlineStr">
        <is>
          <t>2019-10-01 13:44:40</t>
        </is>
      </c>
      <c r="H5116" t="inlineStr"/>
    </row>
    <row r="5117">
      <c r="A5117" t="inlineStr">
        <is>
          <t>dc360a</t>
        </is>
      </c>
      <c r="B5117" t="inlineStr">
        <is>
          <t>Looking for Suggestions</t>
        </is>
      </c>
      <c r="C5117" t="inlineStr">
        <is>
          <t>My wife has metastatic breast cancer which has spread to her lungs, her tibia and just recently, a few lesions were spotted on her brain. So far, the only symptom she's having is migraines. We saw a radiologist who gave us some treatment options and I just want to know that the advice we're getting is cutting edge as far as the field of Radiology/Oncology is concerned. We're probably going to Northwestern, but beyond that we're not entirely sure. I'm just hoping some one could either lend us some helpful advice, or perhaps point me in the direction of another sub-reddit that's a little more focused. Thanks all!</t>
        </is>
      </c>
      <c r="D5117" t="n">
        <v>1</v>
      </c>
      <c r="E5117" t="n">
        <v>3</v>
      </c>
      <c r="F5117">
        <f>HYPERLINK("https://www.reddit.com/r/cancer/comments/dc360a/looking_for_suggestions/")</f>
        <v/>
      </c>
      <c r="G5117" t="inlineStr">
        <is>
          <t>2019-10-01 18:14:46</t>
        </is>
      </c>
      <c r="H5117" t="inlineStr"/>
    </row>
    <row r="5118">
      <c r="A5118" t="inlineStr">
        <is>
          <t>dc38c8</t>
        </is>
      </c>
      <c r="B5118" t="inlineStr">
        <is>
          <t>28 yr old male with possible breast cancer?</t>
        </is>
      </c>
      <c r="C5118" t="inlineStr">
        <is>
          <t>Found lump in my left breast and went to the doctor to have it checked out. Because of how rare it would be, they advised there shouldn't be anything to worry about but scheduled a mam and US to be sure. Both came back concerning.  Next, was sent for MRI, and received the news yesterday that they believe it may be cancer.  Going for a biopsy tomorrow morning to confirm and have an opointment next week with an oncologist.  
Trying to stay optimistic but damn this waiting game is tough.</t>
        </is>
      </c>
      <c r="D5118" t="n">
        <v>13</v>
      </c>
      <c r="E5118" t="n">
        <v>9</v>
      </c>
      <c r="F5118">
        <f>HYPERLINK("https://www.reddit.com/r/cancer/comments/dc38c8/28_yr_old_male_with_possible_breast_cancer/")</f>
        <v/>
      </c>
      <c r="G5118" t="inlineStr">
        <is>
          <t>2019-10-01 18:20:17</t>
        </is>
      </c>
      <c r="H5118" t="inlineStr"/>
    </row>
    <row r="5119">
      <c r="A5119" t="inlineStr">
        <is>
          <t>dc3ofi</t>
        </is>
      </c>
      <c r="B5119" t="inlineStr">
        <is>
          <t>Brain tumor has stressed me out to no end.</t>
        </is>
      </c>
      <c r="C5119" t="inlineStr">
        <is>
          <t>6 months ago a central neurocytoma (grade 2) was found in my brain. I (20, F) underwent surgery and had a total resection. I just have to have MRIs every 6 months for a little bit until it’s determined that it’s not going back. I had my first post-op MRI yesterday and have been worried sick waiting for the results. For the last month or so I’ve been having really bad headaches again which also makes me worry. I love my parents and friends but anytime I mention I even have a headache (even if it’s just a normal headache) they sort of freak out which makes me even more anxious. Any idea to take my mind off of the anxiety this whole thing is causing me?</t>
        </is>
      </c>
      <c r="D5119" t="n">
        <v>1</v>
      </c>
      <c r="E5119" t="n">
        <v>0</v>
      </c>
      <c r="F5119">
        <f>HYPERLINK("https://www.reddit.com/r/cancer/comments/dc3ofi/brain_tumor_has_stressed_me_out_to_no_end/")</f>
        <v/>
      </c>
      <c r="G5119" t="inlineStr">
        <is>
          <t>2019-10-01 18:56:38</t>
        </is>
      </c>
      <c r="H5119" t="inlineStr"/>
    </row>
    <row r="5120">
      <c r="A5120" t="inlineStr">
        <is>
          <t>dc4fn4</t>
        </is>
      </c>
      <c r="B5120" t="inlineStr">
        <is>
          <t>my heart goes out to all of you</t>
        </is>
      </c>
      <c r="C5120" t="inlineStr">
        <is>
          <t>This is the only subreddit I care about at this point. I don’t have cancer. I haven’t even lost anyone close to me with cancer. I am fortunate. 
Thank you for allowing yourselves to be vulnerable with your posts. Thank you for commenting and reaching out to each other on others’ posts. I can’t imagine what any of you went/are going through. 
I’m hopefully going to be volunteering at a hospice next month, and next year transferring schools to major in nursing so that I can become a hospice nurse.
I just wanted to say that you all have impacted me greatly and significantly with your posts and interactions with one another. I feel like I’m learning from it and hope to go on and help others with this fucked up disease and their families.
I am so so so so so so sorry that me learning more is at everyone here’s expense and I truly wish everyone the best where ever they are at. 
If I worded anything offensively, let me know and I apologize. I wish there was more I could do for all of you.</t>
        </is>
      </c>
      <c r="D5120" t="n">
        <v>48</v>
      </c>
      <c r="E5120" t="n">
        <v>15</v>
      </c>
      <c r="F5120">
        <f>HYPERLINK("https://www.reddit.com/r/cancer/comments/dc4fn4/my_heart_goes_out_to_all_of_you/")</f>
        <v/>
      </c>
      <c r="G5120" t="inlineStr">
        <is>
          <t>2019-10-01 20:01:27</t>
        </is>
      </c>
      <c r="H5120" t="inlineStr"/>
    </row>
    <row r="5121">
      <c r="A5121" t="inlineStr">
        <is>
          <t>dc7ugw</t>
        </is>
      </c>
      <c r="B5121" t="inlineStr">
        <is>
          <t>Anticipatory Grief</t>
        </is>
      </c>
      <c r="C5121" t="inlineStr">
        <is>
          <t>Hey everyone,
I found out yesterday that my mom cancer is terminal, and that she too weak for chemo. They predicted a life span of maximum 6 months, but with how fast she deteriorated I dont know if she can even last that long. I been trying to read things online about starting the griefing process, maybe it will get better. So far nothing really helped me, I wanted to ask you guys what can I do to make this pain just a bit more bearable? I dont know what's worst, knowing she going to die or having to be here and watching her slowly die everyday.</t>
        </is>
      </c>
      <c r="D5121" t="n">
        <v>19</v>
      </c>
      <c r="E5121" t="n">
        <v>10</v>
      </c>
      <c r="F5121">
        <f>HYPERLINK("https://www.reddit.com/r/cancer/comments/dc7ugw/anticipatory_grief/")</f>
        <v/>
      </c>
      <c r="G5121" t="inlineStr">
        <is>
          <t>2019-10-02 02:30:48</t>
        </is>
      </c>
      <c r="H5121" t="inlineStr"/>
    </row>
    <row r="5122">
      <c r="A5122" t="inlineStr">
        <is>
          <t>dc8au0</t>
        </is>
      </c>
      <c r="B5122" t="inlineStr">
        <is>
          <t>Disulfiram (Antabuse) as last resort?</t>
        </is>
      </c>
      <c r="C5122" t="inlineStr">
        <is>
          <t>Hi everyone, I am currently researching all  alternative treatment opportunities in case my mom’s chemo is not successful or if we run out of traditional options. In the process I came across some articles about the drug disulfiram, which traditionally has been used for management of alcoholism. 
Does anyone have any experiences with using this drug in relation to cancer? There seems to be some success stories but obviously as there are few studies on this I do not really know what to believe and I also don’t know how we should potentially discuss this with my moms doctors. I don’t want them to judge us for wanting to try this, but obviously don’t want to use it behind their backs. Also, if you considered using disulfiram, what made you decide against it?
Any tips or experiences would be much appreciated!</t>
        </is>
      </c>
      <c r="D5122" t="n">
        <v>0</v>
      </c>
      <c r="E5122" t="n">
        <v>0</v>
      </c>
      <c r="F5122">
        <f>HYPERLINK("https://www.reddit.com/r/cancer/comments/dc8au0/disulfiram_antabuse_as_last_resort/")</f>
        <v/>
      </c>
      <c r="G5122" t="inlineStr">
        <is>
          <t>2019-10-02 03:25:05</t>
        </is>
      </c>
      <c r="H5122" t="inlineStr"/>
    </row>
    <row r="5123">
      <c r="A5123" t="inlineStr">
        <is>
          <t>dc8rtt</t>
        </is>
      </c>
      <c r="B5123" t="inlineStr">
        <is>
          <t>Having a dinner with other young people with cancer tonight ❤️</t>
        </is>
      </c>
      <c r="C5123" t="inlineStr">
        <is>
          <t>I was diagnosed with Chronic Myeloid Leukaemia about two years ago when I was 18, my results have been going up and down and so was my mental and physical state. It was rough, I had to repeat modules as I had to either drop off and pay 500£ each month for my treatment (or 4,000£ if I want the least painful non generic form), or continue my studies abroad far from my family and friends in exchange for my insurance that covers my treatments. It was the hardest part but I got through it eventually, now I’m second year. Back on track with my course and actually able to spend 2 hours of revision without exhaustion and pain distractions. I haven’t attended any of the young cancer support group (supported by charity) dinners for over a year, but I figured it would be helpful to see others I can relate to without feeling like a kid who’s looked at with sympathy, or having to hide it n just pretend I’m a full functioning human being when I’m not. I will be thankful FOR LIFE to those who donated and made all this possible, no words can describe how much this helped me go through it! I promised myself if I can get through it and get a job after my studies, I’ll spend every spare penny I get on these charities because I KNOW NOW how much impact it can make on those suffering! Good luck to all of you! I know many of us might not be able to control it physically, but I truly believe when we can treat the psychological aspect of it, we practically win 💙</t>
        </is>
      </c>
      <c r="D5123" t="n">
        <v>45</v>
      </c>
      <c r="E5123" t="n">
        <v>4</v>
      </c>
      <c r="F5123">
        <f>HYPERLINK("https://www.reddit.com/r/cancer/comments/dc8rtt/having_a_dinner_with_other_young_people_with/")</f>
        <v/>
      </c>
      <c r="G5123" t="inlineStr">
        <is>
          <t>2019-10-02 04:17:19</t>
        </is>
      </c>
      <c r="H5123" t="inlineStr"/>
    </row>
    <row r="5124">
      <c r="A5124" t="inlineStr">
        <is>
          <t>dc9d6d</t>
        </is>
      </c>
      <c r="B5124" t="inlineStr">
        <is>
          <t>Hey.</t>
        </is>
      </c>
      <c r="C5124" t="inlineStr">
        <is>
          <t>So I was diagnosed 11 years ago with stage IV triple negative inflammatory breast cancer.
I’ve been lucky. I survived sepsis where I spent 3 months in a coma and the family all flew in from overseas to say goodbye. I taught myself to walk again and got myself a job.
I’ve powered my way through each and every chemo I was offered. Through all that I supported my two daughters and kicked my abusive narcissistic husband to the kerb. It’s been 2 years since the divorce and my girls and I have formed a tight loving unit. ( not all the time they are teenage girls after all but we are doing pretty good).
So the hammer has come down. I’ve Mets in  my lymph nodes which are wrapped around my jugular and carotid. My chemo isn’t working anymore. 
So after all this inspiration to those around me for being “unkillable” I have come to the terrifying realisation that I’m not, after all, going to beat this.
I’m terrified. I’m screaming into my pillow at 4am so the girls don’t hear, I don’t want to die; I’m terrified. 
I’m angry. My oncologist dropped the ball and could have radiated the two nodes that were cancerous but now there’s no way — I’ve got 13 of the fuckers.
I’m not sleeping.
I’m crying in the shower and in my car.
My daughters are the bomb and I’m so fucking sad and angry that after all the bullshit I went thru with their dad (police, abuse etc) I’m going to not see what women they become.
So advice.
How do I get through the next while without being medicated off my tits (or the lack thereof)?
How do I tell them that Supermum is going to let them down?
How do I equip a 16 year old and a 19 year old to take on the world when I’m all they have?
And finally, how do I get past being so damn sad for not only the things I’ll miss but the life I’ll never see?</t>
        </is>
      </c>
      <c r="D5124" t="n">
        <v>24</v>
      </c>
      <c r="E5124" t="n">
        <v>21</v>
      </c>
      <c r="F5124">
        <f>HYPERLINK("https://www.reddit.com/r/cancer/comments/dc9d6d/hey/")</f>
        <v/>
      </c>
      <c r="G5124" t="inlineStr">
        <is>
          <t>2019-10-02 05:15:40</t>
        </is>
      </c>
      <c r="H5124" t="inlineStr"/>
    </row>
    <row r="5125">
      <c r="A5125" t="inlineStr">
        <is>
          <t>dc9qk6</t>
        </is>
      </c>
      <c r="B5125" t="inlineStr">
        <is>
          <t>Stage 4 lung cancer - prognosis ?</t>
        </is>
      </c>
      <c r="C5125" t="inlineStr">
        <is>
          <t>My father was first diagnosed with head and neck cancer caused by HPV back in October 2017. He had surgery, which was successful. A year later, it was back. Within five months of it being diagnosed again, it had spread to more lymph nodes than he could count and a golf ball sized tumour on his tongue. After chemo and radiation this past spring, he went in a few months after treatment finished and found that the cancer in his neck was gone, but a 9mm spot on his lung had formed. 
What he told me, was that it was just the one 9mm spot and that he was going to do immunotherapy. He made it out to be no big deal. That was two months ago. 
Last night, he made a Facebook post saying that it’s now stage 4 lung cancer and that it has spread to his lung and a lymph node in his chest. He said the doctor is talking about a control now, no longer a cure. 
Other than the aftermath of chemo and radiation, he is in really good health. He’s only 59 and has a very good diet and was originally 165 pounds (now down to 120s). 
He’s always had trouble being completely open and honest with me, so it’s tough to really know what’s going on. But I’m wondering what the next months (or years?) will look like from here. He started immunotherapy yesterday. How long can they control this? What is he going to be going through? 
Any advice, thoughts, or recommendations would be helpful. I don’t need anything sugarcoated, I appreciate the honesty. Thanks everyone.</t>
        </is>
      </c>
      <c r="D5125" t="n">
        <v>1</v>
      </c>
      <c r="E5125" t="n">
        <v>0</v>
      </c>
      <c r="F5125">
        <f>HYPERLINK("https://www.reddit.com/r/cancer/comments/dc9qk6/stage_4_lung_cancer_prognosis/")</f>
        <v/>
      </c>
      <c r="G5125" t="inlineStr">
        <is>
          <t>2019-10-02 05:49:05</t>
        </is>
      </c>
      <c r="H5125" t="inlineStr"/>
    </row>
    <row r="5126">
      <c r="A5126" t="inlineStr">
        <is>
          <t>dc9rxm</t>
        </is>
      </c>
      <c r="B5126" t="inlineStr">
        <is>
          <t>So beyond frustrated...</t>
        </is>
      </c>
      <c r="C5126" t="inlineStr">
        <is>
          <t>Excuse me for this rant...
I feel like this community might be my only hope at someone understanding me right now. 
So let me just start by saying that I am so effing angry with so many people right now. My husband has been battling testicular cancer for about a year and a half now. He is two days out from completing his very last treatment. He had to do back to back autologous stem cell/bone marrow transplants. So that means long periods of the time in the hospital. I have to commute to work, so my typical work day is at least 11 hours (assuming traffic isn’t absolutely horrendous) and I also am getting my masters right now. So I’m busy. Yet I make sure to be at the hospital as much as I can. I’ve stayed there almost every single night through every treatment and spent whatever weekend days I can with him. 
I WANT to be there 24/7 but I know I can’t be and I understand after being here through multiple treatments that I do need to take care of myself as well. So this is where the angry rant is going to come in. It would be so goddamn nice if people actually went and visited him so that I could feel ok not showing up every day and actually have a break at home after a long day. His sister lives five minutes away and hasn’t shown up once this second time around. His brother didn’t show up to either. He has buddies that live a few minutes away and they haven’t shown up. Literally no one besides me and his mom a few times have stopped by. People constantly have excuses. TRUST ME I KNOW that life is busy, but we make time for those we care about and those that need us. 
The worst part is that my husband doesn’t care if people don’t come visit him. He thinks that I should just drop it but I truly can’t. It’s beyond infuriating. And I can guarantee that everyone is going to want to come around AFTER all this is done and celebrate, and I’m just not having it. If you didn’t show your face during this struggle, don’t show your face after. 
Please tell me someone else out there hears me and that I’m not just a raging, emotional wreck right now...</t>
        </is>
      </c>
      <c r="D5126" t="n">
        <v>18</v>
      </c>
      <c r="E5126" t="n">
        <v>18</v>
      </c>
      <c r="F5126">
        <f>HYPERLINK("https://www.reddit.com/r/cancer/comments/dc9rxm/so_beyond_frustrated/")</f>
        <v/>
      </c>
      <c r="G5126" t="inlineStr">
        <is>
          <t>2019-10-02 05:52:23</t>
        </is>
      </c>
      <c r="H5126" t="inlineStr"/>
    </row>
    <row r="5127">
      <c r="A5127" t="inlineStr">
        <is>
          <t>dcc54b</t>
        </is>
      </c>
      <c r="B5127" t="inlineStr">
        <is>
          <t>Study on Cannabis Oil to kill cancer cells.</t>
        </is>
      </c>
      <c r="C5127" t="inlineStr">
        <is>
          <t>I'm good enough in English therefore im watching a lot of documentaries on the internet. So across the years, ive seen a fair amount of American people testifying that cannabis oil saved them from cancer. 
Unfortunately, in Europe and in France, cannabis still has a bad reputation, and (almost) no one speaks English. To some poeple, if you smoke weed, you're the same as a heroin addict. At best, it is accepted that cannabis can give you the munchies which can help during chemo. 
But according to the testimonies ive seen, they clearly state that cannabis oil acts specifically on cancer cells and kills them... which is HUUGE if you think about it for 1 second, like the most important medical discovery since the invention of the sterilization, or the penicillin. But, as 99.99% of french people don't speak English, this information never reaches the doctors, the politicians, or the patients ... Cannabis being illegal and taboo doesn't help.
I cannot find any official study on the matter to prove once and for all if yes or no, the cannabis oil kills cancer cells. 
Does someone know if such an official scientific study has ever been done ?
And if not, what would it take to make one happen ?</t>
        </is>
      </c>
      <c r="D5127" t="n">
        <v>15</v>
      </c>
      <c r="E5127" t="n">
        <v>51</v>
      </c>
      <c r="F5127">
        <f>HYPERLINK("https://www.reddit.com/r/cancer/comments/dcc54b/study_on_cannabis_oil_to_kill_cancer_cells/")</f>
        <v/>
      </c>
      <c r="G5127" t="inlineStr">
        <is>
          <t>2019-10-02 08:55:21</t>
        </is>
      </c>
      <c r="H5127" t="inlineStr"/>
    </row>
    <row r="5128">
      <c r="A5128" t="inlineStr">
        <is>
          <t>dccn6u</t>
        </is>
      </c>
      <c r="B5128" t="inlineStr">
        <is>
          <t>Best advice for Mental Health/Emotional Coping</t>
        </is>
      </c>
      <c r="C5128" t="inlineStr">
        <is>
          <t>I never thought I’d have to write this (as most in this group probably feel), but last week my mum got diagnosed with multiple myeloma. I’m 22 and never thought I would have to deal with the frightening prospect of my mum not being here anymore. The first few days were obviously tough, but this week I’m finding myself being very irritable and emotional. It’s like I can’t pinpoint an exact “reason” for feeling this way, but generally just feel off. We’ve heard back from the radiologist and oncologist and both were upbeat about her prognosis and my family as a whole are all about being positive, but I find it difficult to deal with the whiplash of hearing the news last week that my mum has cancer and then trying to be positive a week later. I also work a full time job and am finding it difficult to focus on my daily tasks.
All this rambling is to say, I know a lot of this is me not being able to fully process everything going on. I’m overwhelmed with the huge changes in our lives that are about to come and with having to become essentially a second parent for my younger sister during all of this. 
For those of you that are in a similar situation and have dealt with a parent/loved one with cancer, what’s your best advice for staying emotionally and physically healthy during the journey? I want to be proactive about my mental health and my ability to cope in amongst all the things coming ahead. Thank you in advance! :)</t>
        </is>
      </c>
      <c r="D5128" t="n">
        <v>5</v>
      </c>
      <c r="E5128" t="n">
        <v>5</v>
      </c>
      <c r="F5128">
        <f>HYPERLINK("https://www.reddit.com/r/cancer/comments/dccn6u/best_advice_for_mental_healthemotional_coping/")</f>
        <v/>
      </c>
      <c r="G5128" t="inlineStr">
        <is>
          <t>2019-10-02 09:31:17</t>
        </is>
      </c>
      <c r="H5128" t="inlineStr"/>
    </row>
    <row r="5129">
      <c r="A5129" t="inlineStr">
        <is>
          <t>dcfgc6</t>
        </is>
      </c>
      <c r="B5129" t="inlineStr">
        <is>
          <t>Sad</t>
        </is>
      </c>
      <c r="C5129" t="inlineStr">
        <is>
          <t>https://youtu.be/dQw4w9WgXcQ</t>
        </is>
      </c>
      <c r="D5129" t="n">
        <v>0</v>
      </c>
      <c r="E5129" t="n">
        <v>1</v>
      </c>
      <c r="F5129">
        <f>HYPERLINK("https://www.reddit.com/r/cancer/comments/dcfgc6/sad/")</f>
        <v/>
      </c>
      <c r="G5129" t="inlineStr">
        <is>
          <t>2019-10-02 12:51:56</t>
        </is>
      </c>
      <c r="H5129" t="inlineStr"/>
    </row>
    <row r="5130">
      <c r="A5130" t="inlineStr">
        <is>
          <t>dcgfkc</t>
        </is>
      </c>
      <c r="B5130" t="inlineStr">
        <is>
          <t>Second parent (mom) diagnosed with breast cancer</t>
        </is>
      </c>
      <c r="C5130" t="inlineStr">
        <is>
          <t>My dad passed way from pretty aggressive stage 4 colon cancer in 2016 when I was 23 after 9 months, and I still don't feel as though I've processed that. We had a dysfunctional, but loving, relationship. 
My parents have been divorced for 20 some years and yesterday my mom, who practically raised me as a single mom &amp;amp; already has been managing progressive MS for 20 years, was diagnosed with breast cancer. They're waiting on more tests to come back to see if it's spread anywhere else, but I think they preliminarily told her its stage 3. She's really positive, has had no symptoms besides the lump,  and is open to different treatment options as long as her quality of life is the priority (she goes back to the doctor on Monday for the other test results &amp;amp; to talk through treatment plans)
She lived with me for the summer but lives in another country full time, where she's around more family &amp;amp; has a great support structure. I think I'm in shell shock...I'm trying to have hope and not assume the worst but I can't help but imagine the worse case scenarios. I'm sitting here struggling to even process that this is happening and worried that I'm going to spiral into a dark place. 
I'm also angry-angry this is happening to her, angry this is happening again. And I don't have any close friends or family that have lost a parent as a young adult, nor any one my age with a parent who has cancer. 
There's no real point to this post, other than to maybe hear from folks who have felt and gone through something similar. Thanks for reading even this far</t>
        </is>
      </c>
      <c r="D5130" t="n">
        <v>12</v>
      </c>
      <c r="E5130" t="n">
        <v>2</v>
      </c>
      <c r="F5130">
        <f>HYPERLINK("https://www.reddit.com/r/cancer/comments/dcgfkc/second_parent_mom_diagnosed_with_breast_cancer/")</f>
        <v/>
      </c>
      <c r="G5130" t="inlineStr">
        <is>
          <t>2019-10-02 13:58:40</t>
        </is>
      </c>
      <c r="H5130" t="inlineStr"/>
    </row>
    <row r="5131">
      <c r="A5131" t="inlineStr">
        <is>
          <t>dck44g</t>
        </is>
      </c>
      <c r="B5131" t="inlineStr">
        <is>
          <t>Hair after chemo</t>
        </is>
      </c>
      <c r="C5131" t="inlineStr">
        <is>
          <t>So I was stage 4 after testicular cancer spread to my stomach because I was too much of a baby to go to the dr when I first noticed a lump, anywho, I went through what they considered very intense chemo, lost every bit of hair, kidneys shut down, all kinds of problems, I finished, my hair is growing back, but it’s very very different, they mentioned this but I never believed it as I’m 30 and was already thinning on the sides and receding on the front, my shit is curly as hell all around the sides then somewhat straight on the top, I have never ever have a curl in my life, I do not know what to do. Also, my beard grew back very very full right after chemo, I shaved it, now it’s not as full, does ending chemo boost hair growth significantly for a period of time then drop off? I also have side effects such as purple pinkie I call it my hands get cold randomly and it’s only my outer two fingers and my pinky usually is visably purple, my feet are somewhat sensitive but at the same time numb, and when I was on very heavy drugs during the worst of my chemo delotid and morphine, I scratched myself a lot and those marks are still visible all over me no matter how much I tan, those scratches are always darker, dm for pics. Just hoping some1 has had similar experiences.</t>
        </is>
      </c>
      <c r="D5131" t="n">
        <v>25</v>
      </c>
      <c r="E5131" t="n">
        <v>33</v>
      </c>
      <c r="F5131">
        <f>HYPERLINK("https://www.reddit.com/r/cancer/comments/dck44g/hair_after_chemo/")</f>
        <v/>
      </c>
      <c r="G5131" t="inlineStr">
        <is>
          <t>2019-10-02 18:38:24</t>
        </is>
      </c>
      <c r="H5131" t="inlineStr"/>
    </row>
    <row r="5132">
      <c r="A5132" t="inlineStr">
        <is>
          <t>dckmzz</t>
        </is>
      </c>
      <c r="B5132" t="inlineStr">
        <is>
          <t>The first 30 seconds in the morning are the hardest</t>
        </is>
      </c>
      <c r="C5132" t="inlineStr">
        <is>
          <t>My family is dealing with the news the our Mother has Cancer. To be specific its kidney cancer that has metastasized to the skull. 
She showed signs for the past year but it's only after the diagnosis that we realized they were connected to this fu*king disease. 
We have some many questions but little answers as we are waiting for results from tests. My god the waiting sucks. 
Since this happened last weekend I wake up in the mornings thinking that I just had the worst nightmare imaginable. I get a quick sense of relief and then it all come crashing down on me when I realize that it wasn't a dream. It feels like you're starting a marathon over again after you just finished one. 
I am just wondering if anyone has any coping tools that may help. Also if someone has experience with metastasized kidney cancer that can share some helping tips or insights I would greatly appreciated it. 
Thanks</t>
        </is>
      </c>
      <c r="D5132" t="n">
        <v>20</v>
      </c>
      <c r="E5132" t="n">
        <v>14</v>
      </c>
      <c r="F5132">
        <f>HYPERLINK("https://www.reddit.com/r/cancer/comments/dckmzz/the_first_30_seconds_in_the_morning_are_the/")</f>
        <v/>
      </c>
      <c r="G5132" t="inlineStr">
        <is>
          <t>2019-10-02 19:23:21</t>
        </is>
      </c>
      <c r="H5132" t="inlineStr"/>
    </row>
    <row r="5133">
      <c r="A5133" t="inlineStr">
        <is>
          <t>dckujj</t>
        </is>
      </c>
      <c r="B5133" t="inlineStr">
        <is>
          <t>U[date on my mom/wig question</t>
        </is>
      </c>
      <c r="C5133" t="inlineStr">
        <is>
          <t>Well, from what my Mom said, her oncologist seems optimistic that since it's small spots, chemo and radiation could possibly cure her! So that's great news, she was terrified she was going to learn she had, like, a month to live and now it seems like there's hope! Thank you everyone who responded to my last post, I appreciate every one of you.
&amp;amp;#x200B;
Also, is there a good online shop to get human hair wigs? I know it's going to kill her to lose her hair and I'd like to get her a nice wig close to her hair color.</t>
        </is>
      </c>
      <c r="D5133" t="n">
        <v>5</v>
      </c>
      <c r="E5133" t="n">
        <v>5</v>
      </c>
      <c r="F5133">
        <f>HYPERLINK("https://www.reddit.com/r/cancer/comments/dckujj/udate_on_my_momwig_question/")</f>
        <v/>
      </c>
      <c r="G5133" t="inlineStr">
        <is>
          <t>2019-10-02 19:41:43</t>
        </is>
      </c>
      <c r="H5133" t="inlineStr"/>
    </row>
    <row r="5134">
      <c r="A5134" t="inlineStr">
        <is>
          <t>dcltlx</t>
        </is>
      </c>
      <c r="B5134" t="inlineStr">
        <is>
          <t>The feeling of having to miss out.</t>
        </is>
      </c>
      <c r="C5134" t="inlineStr">
        <is>
          <t>The feeling of having to focus more time to myself. Having to remove myself from things that I was once capable of, things I once had the energy to do that I can't do anymore. The feeling of being unable to push myself as I once could. It's all getting to me lately. 
How do you manage this? Knowing that in your weakest time, that you are missing out on things that you once could do.</t>
        </is>
      </c>
      <c r="D5134" t="n">
        <v>8</v>
      </c>
      <c r="E5134" t="n">
        <v>8</v>
      </c>
      <c r="F5134">
        <f>HYPERLINK("https://www.reddit.com/r/cancer/comments/dcltlx/the_feeling_of_having_to_miss_out/")</f>
        <v/>
      </c>
      <c r="G5134" t="inlineStr">
        <is>
          <t>2019-10-02 21:13:55</t>
        </is>
      </c>
      <c r="H5134" t="inlineStr"/>
    </row>
    <row r="5135">
      <c r="A5135" t="inlineStr">
        <is>
          <t>dcm6ce</t>
        </is>
      </c>
      <c r="B5135" t="inlineStr">
        <is>
          <t>Has anyone known anyone diagnosed with or who passed from, Granulosa Cell Tumor Ovarian cancer?</t>
        </is>
      </c>
      <c r="C5135" t="inlineStr">
        <is>
          <t>Hello, I have been living with it untreated for nearly 2 years. I still have one ovary and my uterus, but I wonder how long it takes to become terminal? It was stage II in early 2018. I apologize if this brings back any uncomfortable feelings. I just kind of want to know, but not know. It is said to be slow growing, and very little is known.
Thank you.</t>
        </is>
      </c>
      <c r="D5135" t="n">
        <v>3</v>
      </c>
      <c r="E5135" t="n">
        <v>3</v>
      </c>
      <c r="F5135">
        <f>HYPERLINK("https://www.reddit.com/r/cancer/comments/dcm6ce/has_anyone_known_anyone_diagnosed_with_or_who/")</f>
        <v/>
      </c>
      <c r="G5135" t="inlineStr">
        <is>
          <t>2019-10-02 21:50:44</t>
        </is>
      </c>
      <c r="H5135" t="inlineStr"/>
    </row>
    <row r="5136">
      <c r="A5136" t="inlineStr">
        <is>
          <t>dcmxfe</t>
        </is>
      </c>
      <c r="B5136" t="inlineStr">
        <is>
          <t>I am confused and terrified. Any experts on liver cancer and treatment (with Stutent)?</t>
        </is>
      </c>
      <c r="C5136" t="inlineStr">
        <is>
          <t>Reading the below, you will think that I am an idiot, but I cannot make sense of what the doctors are saying and cannot work out what to do.
My mom (67 years old) has been diagnosed with liver cancer (60*55mm), with metastasis to her lung. We found it out as her bone broke (without any external impact) – might be caused to metastasis (not yet confirmed). The doctor is recommending removing her liver and start taking Stutent. From what I gather, Stutent can slow down (regress??) the cancer, but it all depends on how it reacts to it. No chemo, no other treatment is recommended. What does this mean?
She looks ok, in fact, she is back to work today. What does this mean? Can someone make any sense of this – and what should we expect? My sister and my dad are with her, but I live in a different continent. What should I do?
Sorry again for the messy post with lots of questions.</t>
        </is>
      </c>
      <c r="D5136" t="n">
        <v>4</v>
      </c>
      <c r="E5136" t="n">
        <v>10</v>
      </c>
      <c r="F5136">
        <f>HYPERLINK("https://www.reddit.com/r/cancer/comments/dcmxfe/i_am_confused_and_terrified_any_experts_on_liver/")</f>
        <v/>
      </c>
      <c r="G5136" t="inlineStr">
        <is>
          <t>2019-10-02 23:16:41</t>
        </is>
      </c>
      <c r="H5136" t="inlineStr"/>
    </row>
    <row r="5137">
      <c r="A5137" t="inlineStr">
        <is>
          <t>dcp4ni</t>
        </is>
      </c>
      <c r="B5137" t="inlineStr">
        <is>
          <t>Anaphylaxis shock to chemo</t>
        </is>
      </c>
      <c r="C5137" t="inlineStr">
        <is>
          <t>My daughter is an 8 month old retinoblastoma patient, she was diagnosed at 3 weeks old and began chemo treatments immediately.  Her chemo was a two day cycle every three weeks. day one: carboplatin, vincristine, and etoposide. Day two: carboplatin and etoposide. During her second chemo cycle on day one (carboplatin, etoposide, and vincristine) she had an anaphylaxis shock but her symptoms were dismissed by the infusion nurse(the nurse didn’t believe me when I told her something is wrong with my baby) causing her to go into shock and hypoxic. My daughter was red, swollen, blotchy, warm, and throwing up, crying in pain, her back was arched. Thirty minutes later another nurse came in to disconnect her IV and I told that nurse something is wrong. That nurse took her vitals and coded her. Heart rate 235bpm she was in SVT, oxygen sats 64. She was ice bagged in infusion and rushed to trauma. All is well and the doctors explained to me it was from dehydration. I insisted it was the chemo and I was extremely uncomfortable going forward with treatment. The next day she received carboplatin and etoposide with no issues. Three weeks later they admitted us to Peds Oncology as a precaution and began chemo cycle 3 day 1 carboplatin, vincristine, and etoposide. She went into full blown anaphylaxis shock. She was code blue once again but it was so severe. I almost lost her, my little baby almost died.  Once the code team stabilized her we moved to PICU, she started crashing in the elevator. I love epi, they gave her more epi and it worked perfectly. Kids bounce back fast. Day 2 of cycle 3 she received etoposide phosphate and carboplatin no issues. I told the doctors it has to be the vincristine, by process of elimination it’s vincristine. Her doctors insist it’s the etoposide because it’s more common to have a reaction due to the solvent. Has anyone had a reaction to either??  They make me feel like I’m a crazy mom for even suggesting vincristine.</t>
        </is>
      </c>
      <c r="D5137" t="n">
        <v>13</v>
      </c>
      <c r="E5137" t="n">
        <v>8</v>
      </c>
      <c r="F5137">
        <f>HYPERLINK("https://www.reddit.com/r/cancer/comments/dcp4ni/anaphylaxis_shock_to_chemo/")</f>
        <v/>
      </c>
      <c r="G5137" t="inlineStr">
        <is>
          <t>2019-10-03 03:44:54</t>
        </is>
      </c>
      <c r="H5137" t="inlineStr"/>
    </row>
    <row r="5138">
      <c r="A5138" t="inlineStr">
        <is>
          <t>dcs77c</t>
        </is>
      </c>
      <c r="B5138" t="inlineStr">
        <is>
          <t>15 Weeks Post Treatment Surgery Timeline???</t>
        </is>
      </c>
      <c r="C5138" t="inlineStr">
        <is>
          <t>I have a bit of concern currently about my wife's upcoming surgery for stage 3 cancer tumor and two lymph nodes removed for colon/rectal cancer.  She had radiation and chemo which ended Aug 1st.  Initially we were told 6-8 weeks until surgery as that's the sweet spot and she will end up with a hopefully temporary Ileostomy bag.  However we are now being told mid November which is 15 weeks after the treatment ended.  Obviously this is rather concerning as that's double the time, will it spread  if this gives extra time, will the tumor start to grow back as it did shrink some?  She is 38 and mother passed away from colon cancer also.  Is this something we should be voicing our concerns over and pushing for?  No explanation has been given for why the wait from the surgeon and staff.</t>
        </is>
      </c>
      <c r="D5138" t="n">
        <v>1</v>
      </c>
      <c r="E5138" t="n">
        <v>3</v>
      </c>
      <c r="F5138">
        <f>HYPERLINK("https://www.reddit.com/r/cancer/comments/dcs77c/15_weeks_post_treatment_surgery_timeline/")</f>
        <v/>
      </c>
      <c r="G5138" t="inlineStr">
        <is>
          <t>2019-10-03 08:09:05</t>
        </is>
      </c>
      <c r="H5138" t="inlineStr"/>
    </row>
    <row r="5139">
      <c r="A5139" t="inlineStr">
        <is>
          <t>dctr2w</t>
        </is>
      </c>
      <c r="B5139" t="inlineStr">
        <is>
          <t>Recurrence of breast cancer</t>
        </is>
      </c>
      <c r="C5139" t="inlineStr">
        <is>
          <t>I was diagnosed with a recurrence of breast cancer on Tuesday. I had it 3 years ago, had a lumpectomy and radiation and clear mammograms for the last 2.5 years, til last month. My oncologist said I'm most likely looking at a mastectomy and chemo. I'm seeing her and the surgeon this coming Monday. 
Are there questions I should ask besides the usual ones, like how long is recovery, how shitty am I going to feel on chemo, can I work etc? 
I'm also wondering if the fact that I've felt like shit for a couple of months is related to the cancer or not. Has anyone experienced general not exactly sick but feeling on the verge of getting something before getting a diagnosis? I've had swollen lymph nodes and a sore throat off and on for months. Also a pretty constant headache and general exhaustion.</t>
        </is>
      </c>
      <c r="D5139" t="n">
        <v>13</v>
      </c>
      <c r="E5139" t="n">
        <v>14</v>
      </c>
      <c r="F5139">
        <f>HYPERLINK("https://www.reddit.com/r/cancer/comments/dctr2w/recurrence_of_breast_cancer/")</f>
        <v/>
      </c>
      <c r="G5139" t="inlineStr">
        <is>
          <t>2019-10-03 10:02:31</t>
        </is>
      </c>
      <c r="H5139" t="inlineStr"/>
    </row>
    <row r="5140">
      <c r="A5140" t="inlineStr">
        <is>
          <t>dcuko9</t>
        </is>
      </c>
      <c r="B5140" t="inlineStr">
        <is>
          <t>Lost my mum last night</t>
        </is>
      </c>
      <c r="C5140" t="inlineStr">
        <is>
          <t>My mum was only diagnosed 4 weeks ago and she passed away last night age 62. I’ll miss her so much. Cancer is such a horrible illness.</t>
        </is>
      </c>
      <c r="D5140" t="n">
        <v>89</v>
      </c>
      <c r="E5140" t="n">
        <v>19</v>
      </c>
      <c r="F5140">
        <f>HYPERLINK("https://www.reddit.com/r/cancer/comments/dcuko9/lost_my_mum_last_night/")</f>
        <v/>
      </c>
      <c r="G5140" t="inlineStr">
        <is>
          <t>2019-10-03 11:01:50</t>
        </is>
      </c>
      <c r="H5140" t="inlineStr"/>
    </row>
    <row r="5141">
      <c r="A5141" t="inlineStr">
        <is>
          <t>dcvnph</t>
        </is>
      </c>
      <c r="B5141" t="inlineStr">
        <is>
          <t>Thinking about something my friend had said</t>
        </is>
      </c>
      <c r="C5141" t="inlineStr">
        <is>
          <t>Hello, I am looking for some answer to something my friend Brady said during the summer that I found quite mind boggling. I'm also looking for an enlightened understanding because I've never been affected by cancer in any way. My friends girlfriend was diagnosed with brain cancer in fall 2018 and luckily she went to seek help in the early stages so she is still with us today. In the past summer I was talking to my friend about his girlfriend at a party when he brought her up. He had said that "you know they say its actually harder for the people around them than the people who actually have it". Me feeling quite awkward about what he just said weirdly agreed with him and then walked away. He also visited her about 4-5 times during the summer and when I addressed that to him he got belligerent and said that I don't know what I am talking about. We are not friends anymore over a different issue and I recently found out that his girlfriend dumped him. He's got to be wrong here right?????????</t>
        </is>
      </c>
      <c r="D5141" t="n">
        <v>7</v>
      </c>
      <c r="E5141" t="n">
        <v>6</v>
      </c>
      <c r="F5141">
        <f>HYPERLINK("https://www.reddit.com/r/cancer/comments/dcvnph/thinking_about_something_my_friend_had_said/")</f>
        <v/>
      </c>
      <c r="G5141" t="inlineStr">
        <is>
          <t>2019-10-03 12:20:09</t>
        </is>
      </c>
      <c r="H5141" t="inlineStr"/>
    </row>
    <row r="5142">
      <c r="A5142" t="inlineStr">
        <is>
          <t>dcwmra</t>
        </is>
      </c>
      <c r="B5142" t="inlineStr">
        <is>
          <t>Struggling with horrible taste in my mouth</t>
        </is>
      </c>
      <c r="C5142" t="inlineStr">
        <is>
          <t>I've been done with chemo for about 8 weeks but I still am getting Keytruda infusions. I have had this awful taste in my mouth that will not go away despite brushing, mouthwash, and strongly flavored food. It's worse than the chemo tastebud thing.
I don't think I have thrush because my mom said my tongue would hurt. However, with all the pain I've been through with cancer it's possible my tongue hurts and my body is conditioned to ignore it. I do have a white film on my tongue that I can't brush off.
My blood work is mostly normal but: my eosinophils are high, my tumor markers are going up but there's no evidence of cancer on my ct and my anion gap is low. Everything else is normal. I've also been to the dentist in the last month!
What can I do to get rid of this awful taste? I see my palliative care doctor on Monday and I'm going to ask her but...yuck. I need to do something.</t>
        </is>
      </c>
      <c r="D5142" t="n">
        <v>3</v>
      </c>
      <c r="E5142" t="n">
        <v>16</v>
      </c>
      <c r="F5142">
        <f>HYPERLINK("https://www.reddit.com/r/cancer/comments/dcwmra/struggling_with_horrible_taste_in_my_mouth/")</f>
        <v/>
      </c>
      <c r="G5142" t="inlineStr">
        <is>
          <t>2019-10-03 13:26:33</t>
        </is>
      </c>
      <c r="H5142" t="inlineStr"/>
    </row>
    <row r="5143">
      <c r="A5143" t="inlineStr">
        <is>
          <t>dcx3zj</t>
        </is>
      </c>
      <c r="B5143" t="inlineStr">
        <is>
          <t>My mother was just diagnosed</t>
        </is>
      </c>
      <c r="C5143" t="inlineStr">
        <is>
          <t>I have been struggling with suicidal ideations from PTSD and my own health.
I’ve lost my job.
Worst of all, today, 15 minutes ago, I went to the doctor with my mother. She has Pagets Disease/Vulvar Cancer.
We don’t know much more than that. Why? Why now? Life is cruel.</t>
        </is>
      </c>
      <c r="D5143" t="n">
        <v>11</v>
      </c>
      <c r="E5143" t="n">
        <v>1</v>
      </c>
      <c r="F5143">
        <f>HYPERLINK("https://www.reddit.com/r/cancer/comments/dcx3zj/my_mother_was_just_diagnosed/")</f>
        <v/>
      </c>
      <c r="G5143" t="inlineStr">
        <is>
          <t>2019-10-03 13:59:05</t>
        </is>
      </c>
      <c r="H5143" t="inlineStr"/>
    </row>
    <row r="5144">
      <c r="A5144" t="inlineStr">
        <is>
          <t>dcy9fd</t>
        </is>
      </c>
      <c r="B5144" t="inlineStr">
        <is>
          <t>BF diagnosed with B-ALL and is pushing me away.</t>
        </is>
      </c>
      <c r="C5144" t="inlineStr">
        <is>
          <t>I would like some people’s advice and perspective of why he is doing this. I am not going to push him and ask him why Bc he is already going through enough stress.  If I had cancer I would want my S.O. with me. It is hard for me to comprehend why he doesn’t want me there.   We have been together for a year. Got dx early last month and is doing chemo.   He doesn’t want to see me until he is out of the induction phase (4 weeks total). I just can’t wrap my head around he doesn’t want me there. Maybe he doesn’t want me to see him “sick.”   ? We have been rough patches before his diagnoses and since his diagnoses my feelings has grown stronger and it seems his is the opposite.  Not being able to see him is really hard on me (sleep, no eating well, emotionally).  We have talked in the phone and text occasionally. He went to a large hospital and is like 4 hours away. 
Side note: I am aware it isn’t about me but i am trying to cope with his diagnosis as well. 
Thanks in advance.</t>
        </is>
      </c>
      <c r="D5144" t="n">
        <v>2</v>
      </c>
      <c r="E5144" t="n">
        <v>16</v>
      </c>
      <c r="F5144">
        <f>HYPERLINK("https://www.reddit.com/r/cancer/comments/dcy9fd/bf_diagnosed_with_ball_and_is_pushing_me_away/")</f>
        <v/>
      </c>
      <c r="G5144" t="inlineStr">
        <is>
          <t>2019-10-03 15:22:33</t>
        </is>
      </c>
      <c r="H5144" t="inlineStr"/>
    </row>
    <row r="5145">
      <c r="A5145" t="inlineStr">
        <is>
          <t>dcyjwb</t>
        </is>
      </c>
      <c r="B5145" t="inlineStr">
        <is>
          <t>About to lose someone special soon</t>
        </is>
      </c>
      <c r="C5145" t="inlineStr">
        <is>
          <t>My aunt (55) just recently finished her last treatment for her stage 5 colon cancer. Now she's on painkiller. I thought I was prepared because both of my grandparents in the past had died suddenly. My grandfather died of lung cancer when I was in elementary school, that time it did hit me hard. My grandmother died ten years after that, but did not really hit me, I was not too close to her because of language barrier. I am now in college across the country and close to my aunt's home, those past years I have gotten closer to my aunt. She is so weird in the way it really makes me laugh. She treated me like one of my own and taught me how to love and forgive others, even those who really hurt me, specifically my dad and my uncle (her brothers). Coming home for thanksgiving was impractical, the flight tickets are expensive and I would be going home for Christmas anyway, so my aunt decided to take me in and spend Thanksgiving with them. Sometimes, she would make me lunch and drop it off at my school  with a little note saying, "You are a good college student and I am proud of you, you deserve two eggs in your fried rice!" About two years ago, I learned that she was diagnosed with stage 5 colon cancer, but my cousins told me there was still time. Whenever I visited her, she was still in good spirit. She cooked for us like her cancer was no big deal. She even went out a lot and would send me pictures of her trying out cat filter on snapchat or send me a picture of a dead moose hanging in the back of the car by the gas station. Just last week, my mom called me and told me it was her last chemotherapy. Now there is not a lot of time, my emotions fluctuated a lot, mostly because I do not know how to feel. I kept telling myself, at least its not my mom, but at the same time she is like my second mom. I thought I was prepared for all of this, but I guess no one can ever be prepared for that. It is just a matter of time and it is hitting me really hard. The last time I saw her was over the weekend, I was heartbroken to see her laying in bed in such a weak condition. I laid by her side trying to hold back my tears. She whispered in my ears, "You be good, I am tired of being the funniest person in the room." I laughed a little, then when I got back into my apartment, I broke down and cried. I kept thinking about my cousins and myself. It is so not fair for me.... First my dad left, then my uncle, then soon will be my aunt. I still have my mom, now I cannot imagine my mom going through that. It is so hard, I felt like a bit of me died. It is also hard to tell my friends as well, I even distance from them. I know there is still a little bit of time, but it is still hard!</t>
        </is>
      </c>
      <c r="D5145" t="n">
        <v>5</v>
      </c>
      <c r="E5145" t="n">
        <v>2</v>
      </c>
      <c r="F5145">
        <f>HYPERLINK("https://www.reddit.com/r/cancer/comments/dcyjwb/about_to_lose_someone_special_soon/")</f>
        <v/>
      </c>
      <c r="G5145" t="inlineStr">
        <is>
          <t>2019-10-03 15:44:08</t>
        </is>
      </c>
      <c r="H5145" t="inlineStr"/>
    </row>
    <row r="5146">
      <c r="A5146" t="inlineStr">
        <is>
          <t>dczq70</t>
        </is>
      </c>
      <c r="B5146" t="inlineStr">
        <is>
          <t>What are the chances of survival?</t>
        </is>
      </c>
      <c r="C5146" t="inlineStr">
        <is>
          <t>Not sure if this is the right place to ask this question. My best friend was diagnosed with lymphoma two months ago and underwent chemo and radiation. He was responding to the treatments well however today we were informed that the cancer spread to his pancreas. From what I read  cancer of the pancreas is the most aggressive and has the lowest survival rate. Given his conditions from lymphoma is there any chance he can come back from this? I’m terrified of losing my best friend and what sucks the most is he’s up in NH and I’m down in FL. I’d give anything to be there next to him just to tell him we’ll go out for drinks soon. This is a terrifying feeling.</t>
        </is>
      </c>
      <c r="D5146" t="n">
        <v>5</v>
      </c>
      <c r="E5146" t="n">
        <v>4</v>
      </c>
      <c r="F5146">
        <f>HYPERLINK("https://www.reddit.com/r/cancer/comments/dczq70/what_are_the_chances_of_survival/")</f>
        <v/>
      </c>
      <c r="G5146" t="inlineStr">
        <is>
          <t>2019-10-03 17:19:56</t>
        </is>
      </c>
      <c r="H5146" t="inlineStr"/>
    </row>
    <row r="5147">
      <c r="A5147" t="inlineStr">
        <is>
          <t>dd1tmt</t>
        </is>
      </c>
      <c r="B5147" t="inlineStr">
        <is>
          <t>Chances of survival after it metastasizes? Now forced to consider palliative care. 77yr old man.</t>
        </is>
      </c>
      <c r="C5147" t="inlineStr">
        <is>
          <t>My dad has squamous cell carcinoma in his neck/throat.  3cm tumor is attached to his carotid artery and partially blocking his trachea.  Today they confirmed more cancer in a lymph node in his chest.  Surgery of his neck is now off the table, his options are chemo/radiation or receive palliative care.  For decades he has made it clear he doesn't want to die sick and miserable.  Does he have a chance of a normal life after the treatment, at that age?  I'm new to this... but what I gather is he may not survive the treatment, and if he does, he may not live very long and he may be miserably sick the entire time before he passes away.  Am I answering my own question, or are there other studies that suggest he could survive and live normally again?  Please give it to me straight.  TIA</t>
        </is>
      </c>
      <c r="D5147" t="n">
        <v>1</v>
      </c>
      <c r="E5147" t="n">
        <v>0</v>
      </c>
      <c r="F5147">
        <f>HYPERLINK("https://www.reddit.com/r/cancer/comments/dd1tmt/chances_of_survival_after_it_metastasizes_now/")</f>
        <v/>
      </c>
      <c r="G5147" t="inlineStr">
        <is>
          <t>2019-10-03 20:25:53</t>
        </is>
      </c>
      <c r="H5147" t="inlineStr"/>
    </row>
    <row r="5148">
      <c r="A5148" t="inlineStr">
        <is>
          <t>dd1vi5</t>
        </is>
      </c>
      <c r="B5148" t="inlineStr">
        <is>
          <t>My mother was diagnosed Monday</t>
        </is>
      </c>
      <c r="C5148" t="inlineStr">
        <is>
          <t>Monday morning I went to the oncologist with my mom to find out the results of her biopsy. I was hopeful it would be a cancer with a good prognosis, but the doctor frowned and then informed us that she had small cell neuroindecrine carcinoma on her on one of her ovaries it is very rare and aggressive. That’s all I heard. I was in a haze the rest of the day. I’m not sure where to go from here. She starts chemo Monday and I feel very ill prepared for everything and have no idea how to help her.</t>
        </is>
      </c>
      <c r="D5148" t="n">
        <v>9</v>
      </c>
      <c r="E5148" t="n">
        <v>4</v>
      </c>
      <c r="F5148">
        <f>HYPERLINK("https://www.reddit.com/r/cancer/comments/dd1vi5/my_mother_was_diagnosed_monday/")</f>
        <v/>
      </c>
      <c r="G5148" t="inlineStr">
        <is>
          <t>2019-10-03 20:30:56</t>
        </is>
      </c>
      <c r="H5148" t="inlineStr"/>
    </row>
    <row r="5149">
      <c r="A5149" t="inlineStr">
        <is>
          <t>dd28aw</t>
        </is>
      </c>
      <c r="B5149" t="inlineStr">
        <is>
          <t>Feeling a little more optimistic</t>
        </is>
      </c>
      <c r="C5149" t="inlineStr">
        <is>
          <t>I've been a bit unnerved by this whole cancer thing.  I never expected to have to deal with it, and going through the surgery and chemo really showed me how much of my feeling of self worth was tied into my ability to work.  
I've been wanting to prove to myself that I can still perform like I used to, so I signed up for and passed four of my ASE tests today.  I am still having a lot of trouble with even getting close to the physical pace I used to do, but getting better.</t>
        </is>
      </c>
      <c r="D5149" t="n">
        <v>13</v>
      </c>
      <c r="E5149" t="n">
        <v>2</v>
      </c>
      <c r="F5149">
        <f>HYPERLINK("https://www.reddit.com/r/cancer/comments/dd28aw/feeling_a_little_more_optimistic/")</f>
        <v/>
      </c>
      <c r="G5149" t="inlineStr">
        <is>
          <t>2019-10-03 21:05:29</t>
        </is>
      </c>
      <c r="H5149" t="inlineStr"/>
    </row>
    <row r="5150">
      <c r="A5150" t="inlineStr">
        <is>
          <t>dd3voc</t>
        </is>
      </c>
      <c r="B5150" t="inlineStr">
        <is>
          <t>A question for those with incurable disease</t>
        </is>
      </c>
      <c r="C5150" t="inlineStr">
        <is>
          <t>Sorry to be blunt but how do you feel about the fact you’re going to die? 
So many groups I’m apart of on the internet desperately scramble to avoid the elephant in the room. I suffer from low grade ovarian cancer and am currently stable after surgery and six months of chemotherapy, but will almost definitely never be cancer free. I am likely to die within the next 2 to 8 years.  
When I was in the midst of treatment, I felt so close to death and was scared, but also very weak. My sickness felt like a stroke of fate. I was abandoned by my mother as a young child and consequently had severe anxiety and depression growing up. An illness that rendered me infertile didn’t really come as any surprise. As a teenager I used to prey for death as I didn’t have the resolve to kill myself. I felt like everything made sense in this perverse logic I had constructed to make sense of how messed up everything is.
Now I am healthy again, the knowledge of my impending death feels so complicated. I’m going to return to school next year to finish my degree and hopefully travel. I have no desire to work ever again. To me working was something I had to do in order to save for my future family, something I will never have.
In some ways I try to reason with myself that this is just the narrative of my life, tricking myself that I’m important to make my early, sad death more meaningful. All these ways I try to conceptualise death to make it less daunting so I can accept it beyond an unfair sickness taking my life before I even really got to live it.
I feel like there’s rarely space for these stories. Maybe it is rare that someone gets the experience of being healthy with the knowledge of their death. Before I got sick I didn’t realise you could be weeks away from dying for cancer whilst being completely fine in every other way. I would love to hear some of your stories and feelings about knowing your death will come way sooner than you ever expected. 
If you’ve gotten to the bottom of this long post, thanks for reading. It felt good typing this out to people who might understand.</t>
        </is>
      </c>
      <c r="D5150" t="n">
        <v>66</v>
      </c>
      <c r="E5150" t="n">
        <v>34</v>
      </c>
      <c r="F5150">
        <f>HYPERLINK("https://www.reddit.com/r/cancer/comments/dd3voc/a_question_for_those_with_incurable_disease/")</f>
        <v/>
      </c>
      <c r="G5150" t="inlineStr">
        <is>
          <t>2019-10-04 00:06:05</t>
        </is>
      </c>
      <c r="H5150" t="inlineStr"/>
    </row>
    <row r="5151">
      <c r="A5151" t="inlineStr">
        <is>
          <t>dd48kv</t>
        </is>
      </c>
      <c r="B5151" t="inlineStr">
        <is>
          <t>Just started chemo. How long did it take for your or your loved ones to feel the effects?</t>
        </is>
      </c>
      <c r="C5151" t="inlineStr">
        <is>
          <t>I ask this because I’ve had the first dose of Cycle 1 and I feel alright so far and I am wondering how long it takes from case to case of genuine people telling me their stories.</t>
        </is>
      </c>
      <c r="D5151" t="n">
        <v>10</v>
      </c>
      <c r="E5151" t="n">
        <v>23</v>
      </c>
      <c r="F5151">
        <f>HYPERLINK("https://www.reddit.com/r/cancer/comments/dd48kv/just_started_chemo_how_long_did_it_take_for_your/")</f>
        <v/>
      </c>
      <c r="G5151" t="inlineStr">
        <is>
          <t>2019-10-04 00:50:13</t>
        </is>
      </c>
      <c r="H5151" t="inlineStr"/>
    </row>
    <row r="5152">
      <c r="A5152" t="inlineStr">
        <is>
          <t>dd4v5s</t>
        </is>
      </c>
      <c r="B5152" t="inlineStr">
        <is>
          <t>A second medical opinion is very important and sometimes saves lives</t>
        </is>
      </c>
      <c r="C5152" t="inlineStr">
        <is>
          <t>Very often I come across posts here that a person went to a doctor and he/she makes a diagnosis - cancer. One day, my mother noticed a tightening in her chest in the evening after a shower and the next day she went to the doctor for a consultation. The doctor suggested that it was cancer and sent for a biopsy. Mom was terrified.
After a few hours of discussions, we decided to visit another doctor. We had hope. And you know what? She paid off. After the examination, the breast doctor make an another diagnosis - a breast mastopathy, which often occurs in middle-aged women and has nothing in common with breast cancer. A biopsy was not needed. That is why it is important to be examined by several doctors, get a few medical opinions and only then make a decision. Stay safe!</t>
        </is>
      </c>
      <c r="D5152" t="n">
        <v>6</v>
      </c>
      <c r="E5152" t="n">
        <v>6</v>
      </c>
      <c r="F5152">
        <f>HYPERLINK("https://www.reddit.com/r/cancer/comments/dd4v5s/a_second_medical_opinion_is_very_important_and/")</f>
        <v/>
      </c>
      <c r="G5152" t="inlineStr">
        <is>
          <t>2019-10-04 02:11:35</t>
        </is>
      </c>
      <c r="H5152" t="inlineStr"/>
    </row>
    <row r="5153">
      <c r="A5153" t="inlineStr">
        <is>
          <t>dd4xvq</t>
        </is>
      </c>
      <c r="B5153" t="inlineStr">
        <is>
          <t>Partner's grandfather was suddenly discovered to have end stage cancer and I want to know what helped or is fun for people who are mostly bedridden with a lot of pain.</t>
        </is>
      </c>
      <c r="C5153" t="inlineStr">
        <is>
          <t>It was a very sudden decline from him being fully active to becoming lethargic and in pain now. I know he hates being a burden on people so I'm sure he had it worse earlier than we knew. I also know that when I have a constant pain I like to be  distracted from it by talking to someone, being caressed or watching or reading. I obviously don't want to tire him out too much but any ideas for things to do or things to bring him would be very much appreciated. 
He's not got much motility in his hands anymore so things like colouring books might be a bit hard for him.</t>
        </is>
      </c>
      <c r="D5153" t="n">
        <v>6</v>
      </c>
      <c r="E5153" t="n">
        <v>0</v>
      </c>
      <c r="F5153">
        <f>HYPERLINK("https://www.reddit.com/r/cancer/comments/dd4xvq/partners_grandfather_was_suddenly_discovered_to/")</f>
        <v/>
      </c>
      <c r="G5153" t="inlineStr">
        <is>
          <t>2019-10-04 02:20:52</t>
        </is>
      </c>
      <c r="H5153" t="inlineStr"/>
    </row>
    <row r="5154">
      <c r="A5154" t="inlineStr">
        <is>
          <t>dd637t</t>
        </is>
      </c>
      <c r="B5154" t="inlineStr">
        <is>
          <t>Imatinib</t>
        </is>
      </c>
      <c r="C5154" t="inlineStr">
        <is>
          <t>Hi, I'm not a frequent redditer, I'll try and make this blunt.
I am due to start treatment on imatinib in a few weeks, I have a tumor in my ankle, benign, but still wedging interruption to my life, causing me pain nearly every day. 
I just want to see if I can get any anecdotal words from anyone who's on imatinib, and find out what I can expect when I'm on this drug... 
Any possible side effects of this drug..? 
Tia, and god bless all of you</t>
        </is>
      </c>
      <c r="D5154" t="n">
        <v>1</v>
      </c>
      <c r="E5154" t="n">
        <v>1</v>
      </c>
      <c r="F5154">
        <f>HYPERLINK("https://www.reddit.com/r/cancer/comments/dd637t/imatinib/")</f>
        <v/>
      </c>
      <c r="G5154" t="inlineStr">
        <is>
          <t>2019-10-04 04:30:50</t>
        </is>
      </c>
      <c r="H5154" t="inlineStr"/>
    </row>
    <row r="5155">
      <c r="A5155" t="inlineStr">
        <is>
          <t>dd637v</t>
        </is>
      </c>
      <c r="B5155" t="inlineStr">
        <is>
          <t>Imatinib</t>
        </is>
      </c>
      <c r="C5155" t="inlineStr">
        <is>
          <t>Hi, I'm not a frequent redditer, I'll try and make this blunt.
I am due to start treatment on imatinib in a few weeks, I have a tumor in my ankle, benign, but still wedging interruption to my life, causing me pain nearly every day. 
I just want to see if I can get any anecdotal words from anyone who's on imatinib, and find out what I can expect when I'm on this drug... 
Any possible side effects of this drug..? 
Tia, and god bless all of you</t>
        </is>
      </c>
      <c r="D5155" t="n">
        <v>1</v>
      </c>
      <c r="E5155" t="n">
        <v>1</v>
      </c>
      <c r="F5155">
        <f>HYPERLINK("https://www.reddit.com/r/cancer/comments/dd637v/imatinib/")</f>
        <v/>
      </c>
      <c r="G5155" t="inlineStr">
        <is>
          <t>2019-10-04 04:30:50</t>
        </is>
      </c>
      <c r="H5155" t="inlineStr"/>
    </row>
    <row r="5156">
      <c r="A5156" t="inlineStr">
        <is>
          <t>dd657w</t>
        </is>
      </c>
      <c r="B5156" t="inlineStr">
        <is>
          <t>Post treatment chemo day sickness</t>
        </is>
      </c>
      <c r="C5156" t="inlineStr">
        <is>
          <t>Bekahnd2m
I’m 4 months out from treatment for stage 3B HL, 2 cycles of ABVD and 4 of AVD. 6 months of chemo total with chemo every other Friday. I finished in June with all clear scans. I’m now getting sick every other Friday. I feel fine on Thursdays but wake up in the early morning hours on Friday with nausea, vomiting and stomach pain. The symptoms last for most of the day Friday but I wake up feeling fine on Saturday. Has anyone else dealt with this?</t>
        </is>
      </c>
      <c r="D5156" t="n">
        <v>1</v>
      </c>
      <c r="E5156" t="n">
        <v>0</v>
      </c>
      <c r="F5156">
        <f>HYPERLINK("https://www.reddit.com/r/cancer/comments/dd657w/post_treatment_chemo_day_sickness/")</f>
        <v/>
      </c>
      <c r="G5156" t="inlineStr">
        <is>
          <t>2019-10-04 04:36:18</t>
        </is>
      </c>
      <c r="H5156" t="inlineStr"/>
    </row>
    <row r="5157">
      <c r="A5157" t="inlineStr">
        <is>
          <t>dd68ps</t>
        </is>
      </c>
      <c r="B5157" t="inlineStr">
        <is>
          <t>my dad has terminal lung cancer, he just said he wanted to kill himself</t>
        </is>
      </c>
      <c r="C5157" t="inlineStr">
        <is>
          <t>he's on medication, but it has many side effects, causing his immune system drastically weakened, having different kinds of diseases and pain all over his body. he has become a different person, changed so much throughout these 2 years, cranky, irrational, saying mean things to us, and we need to explain simple things to him a thousand times before he could understand. to be honest, i dont really care if he dies, because he used to physically abuse me when i was a child, i still hold strong resentment towards him. i never like his personality, and now he's gotten even worse as a human being. he threatened to kill my mom and me several times, just now i eavesdropped on him telling my mom, " i'm gonna kill myself on the rooftop, or jump in front of a car, get killed then earn you compensation" OMG, what a terrible person he is. feel so sorry for my mom to even marry him in the first place. i really wish him die, but not from this. i hope cancer can take his life soon. maybe its the cancer that make him so extreme, but i don't even wanna try to "give him love" or something like that to make him feel better :/</t>
        </is>
      </c>
      <c r="D5157" t="n">
        <v>3</v>
      </c>
      <c r="E5157" t="n">
        <v>4</v>
      </c>
      <c r="F5157">
        <f>HYPERLINK("https://www.reddit.com/r/cancer/comments/dd68ps/my_dad_has_terminal_lung_cancer_he_just_said_he/")</f>
        <v/>
      </c>
      <c r="G5157" t="inlineStr">
        <is>
          <t>2019-10-04 04:46:17</t>
        </is>
      </c>
      <c r="H5157" t="inlineStr"/>
    </row>
    <row r="5158">
      <c r="A5158" t="inlineStr">
        <is>
          <t>dd78xc</t>
        </is>
      </c>
      <c r="B5158" t="inlineStr">
        <is>
          <t>Last day of chemo today!</t>
        </is>
      </c>
      <c r="C5158" t="inlineStr">
        <is>
          <t>12 weeks, 4 cycles, and 19 sessions. I just gotta sit in that chair once more and then I’m done. I had a panic attack yesterday and threw up for the first time during my entire treatment. I want to finish strong.</t>
        </is>
      </c>
      <c r="D5158" t="n">
        <v>89</v>
      </c>
      <c r="E5158" t="n">
        <v>10</v>
      </c>
      <c r="F5158">
        <f>HYPERLINK("https://www.reddit.com/r/cancer/comments/dd78xc/last_day_of_chemo_today/")</f>
        <v/>
      </c>
      <c r="G5158" t="inlineStr">
        <is>
          <t>2019-10-04 06:17:55</t>
        </is>
      </c>
      <c r="H5158" t="inlineStr"/>
    </row>
    <row r="5159">
      <c r="A5159" t="inlineStr">
        <is>
          <t>dd7pw9</t>
        </is>
      </c>
      <c r="B5159" t="inlineStr">
        <is>
          <t>Sorry if this is the wrong place to post but</t>
        </is>
      </c>
      <c r="C5159" t="inlineStr">
        <is>
          <t>I've just been referred to a urologist urgently to get checked for testicular cancer, I know this isn't like I have been told I've got it. But I'm still starting to freak out already as I don't want to tell anyone I know in person about it in case it's not cancer. How long does it normally take from tests to diagnosis to treatment? How long will I need to take off work? And honestly how do I just take my mind off it when I've got no one to open up to in person?</t>
        </is>
      </c>
      <c r="D5159" t="n">
        <v>1</v>
      </c>
      <c r="E5159" t="n">
        <v>3</v>
      </c>
      <c r="F5159">
        <f>HYPERLINK("https://www.reddit.com/r/cancer/comments/dd7pw9/sorry_if_this_is_the_wrong_place_to_post_but/")</f>
        <v/>
      </c>
      <c r="G5159" t="inlineStr">
        <is>
          <t>2019-10-04 06:57:48</t>
        </is>
      </c>
      <c r="H5159" t="inlineStr"/>
    </row>
    <row r="5160">
      <c r="A5160" t="inlineStr">
        <is>
          <t>dd7wu1</t>
        </is>
      </c>
      <c r="B5160" t="inlineStr">
        <is>
          <t>Metastatic cancer. Regional or Distant?</t>
        </is>
      </c>
      <c r="C5160" t="inlineStr">
        <is>
          <t>My dad has cancer in his neck.  Now they found another involvement in a lymph node in his chest.  Is that considered distant or regional?</t>
        </is>
      </c>
      <c r="D5160" t="n">
        <v>3</v>
      </c>
      <c r="E5160" t="n">
        <v>0</v>
      </c>
      <c r="F5160">
        <f>HYPERLINK("https://www.reddit.com/r/cancer/comments/dd7wu1/metastatic_cancer_regional_or_distant/")</f>
        <v/>
      </c>
      <c r="G5160" t="inlineStr">
        <is>
          <t>2019-10-04 07:13:07</t>
        </is>
      </c>
      <c r="H5160" t="inlineStr"/>
    </row>
    <row r="5161">
      <c r="A5161" t="inlineStr">
        <is>
          <t>dd9am5</t>
        </is>
      </c>
      <c r="B5161" t="inlineStr">
        <is>
          <t>It's OK</t>
        </is>
      </c>
      <c r="C5161" t="inlineStr">
        <is>
          <t>Cancer.  Those who have first hand experience know its evils.  They know its tricks and mind games and understand its underlying desire to destroy not only the physical 'you', but the existential 'you' that walks next to us whispering in our ears about whether we deserve to still be here.  Of course, it isn't about deserves...it's ultimately about two days, when you boil it all down.  It's about the day you get the results of the first scan that decides how serious the diagnosis is, and it's about the day you get the results from your status scan after months of treatment when you see whether all those days and nights of not quite feeling yourself (or feeling downright horrible) have been worth it.  Those two days.  The existential you is awash with the fears, the anguish, and the outright rage at having been blatantly betrayed by your physical self and drowns in self pity upon the initial diagnosis.  Some handle this better than others, but I believe it to be a universal truth that this betrayal is at the heart of cancer's attack on the existential.  How those days, weeks, and months are handled until our status scan, I believe, define who we are and what we are capable of more so than just about any other event in our lives.  You could bury your head in the sand and retreat to your comforts (I don't blame you if you do).  You could start unabashedly knocking items off your bucket list.  You could simply change...change into something or someone completely different from who you were before.  Cancer is this powerful.  It can make a person embrace themselves whole-heartedly, or it can make them run toward a completely new version of themselves...an upgrade, if you will.  My point, I suppose, is simple.  Whether you are in the trenches fighting it, living with someone who is in the battle, or on the periphery watching a family member or friend go through it...just remember...it's OK to change.  It's OK to embrace it.  It's OK to let yourself be new.  In my case, I'm trying to let myself be old...the 'old me', if I may.  I liked that guy.  I apologize for the wall of text, but I know there are quite a few out there who are in the trenches.  I thought I would share a little.  It's good to know you aren't alone.</t>
        </is>
      </c>
      <c r="D5161" t="n">
        <v>14</v>
      </c>
      <c r="E5161" t="n">
        <v>6</v>
      </c>
      <c r="F5161">
        <f>HYPERLINK("https://www.reddit.com/r/cancer/comments/dd9am5/its_ok/")</f>
        <v/>
      </c>
      <c r="G5161" t="inlineStr">
        <is>
          <t>2019-10-04 08:58:14</t>
        </is>
      </c>
      <c r="H5161" t="inlineStr"/>
    </row>
    <row r="5162">
      <c r="A5162" t="inlineStr">
        <is>
          <t>dd9njc</t>
        </is>
      </c>
      <c r="B5162" t="inlineStr">
        <is>
          <t>Advice for handling chemo/post-chemo Neuropathy?</t>
        </is>
      </c>
      <c r="C5162" t="inlineStr">
        <is>
          <t>Hi all. 
Chemo wrapped up about two and a half months ago, and the numbness all over (especially hands/feet, legs below the knees) keeps getting worse.
Oncologist prescribed me Gabapentin late last week, but it doesn't seem to have any effect (was told it would take time).
I'm not "in pain", but the numbness is getting pretty bad. Falling down daily because my knees will give out. Dropping things all the time. The feel of clothing against my skin and showers are horrible.
I have been taking CBD and RSO daily since diagnosed and chemo began -- and will continue to until I get an all clear -- but those have no effect on this. 
I realize that what I'm suffering from is kid's play compared to what most of you are going through. And it breaks my heart. I also realize that it's common for Neuropathy to hang around for months if not years. I'm just looking for advice since if my feet/legs get any worse, I won't be able to walk or drive. 
Thx in advance.</t>
        </is>
      </c>
      <c r="D5162" t="n">
        <v>6</v>
      </c>
      <c r="E5162" t="n">
        <v>14</v>
      </c>
      <c r="F5162">
        <f>HYPERLINK("https://www.reddit.com/r/cancer/comments/dd9njc/advice_for_handling_chemopostchemo_neuropathy/")</f>
        <v/>
      </c>
      <c r="G5162" t="inlineStr">
        <is>
          <t>2019-10-04 09:24:37</t>
        </is>
      </c>
      <c r="H5162" t="inlineStr"/>
    </row>
    <row r="5163">
      <c r="A5163" t="inlineStr">
        <is>
          <t>ddaol1</t>
        </is>
      </c>
      <c r="B5163" t="inlineStr">
        <is>
          <t>Horrible Mouth Tastes During Chemo</t>
        </is>
      </c>
      <c r="C5163" t="inlineStr">
        <is>
          <t>Hello!
Currently on round 5/6 of Doxil, Ifosfamide and Mesna. Last round starting getting a horrible clay taste in my mouth down to my stomach. Thought it was acid reflux so taking Pepcid every day with little effect. Talked with my oncologist, he's not sure what it could be besides acid problems.
Anyone else have this issue or tips for it? Makes anything I eat or drink taste disgusting (the only thing I want to do, ha).</t>
        </is>
      </c>
      <c r="D5163" t="n">
        <v>4</v>
      </c>
      <c r="E5163" t="n">
        <v>6</v>
      </c>
      <c r="F5163">
        <f>HYPERLINK("https://www.reddit.com/r/cancer/comments/ddaol1/horrible_mouth_tastes_during_chemo/")</f>
        <v/>
      </c>
      <c r="G5163" t="inlineStr">
        <is>
          <t>2019-10-04 10:40:36</t>
        </is>
      </c>
      <c r="H5163" t="inlineStr"/>
    </row>
    <row r="5164">
      <c r="A5164" t="inlineStr">
        <is>
          <t>ddavjg</t>
        </is>
      </c>
      <c r="B5164" t="inlineStr">
        <is>
          <t>Cancer diagnosis not adding up</t>
        </is>
      </c>
      <c r="C5164" t="inlineStr">
        <is>
          <t>My best friend found out yesterday that her father has kidney cancer. Apparently he has known for two weeks and just now got the strength to tell her. From what I've gathered they "dont know" how bad it is until his surgery...which is scheduled for November 4th.. That seems like a long time to wait to find out how bad his cancer is...am I mistaken? Is (at the time of diagnosis) 6 weeks a normal waiting time for surgery to remove his kidney and see how bad the cancer is?</t>
        </is>
      </c>
      <c r="D5164" t="n">
        <v>2</v>
      </c>
      <c r="E5164" t="n">
        <v>12</v>
      </c>
      <c r="F5164">
        <f>HYPERLINK("https://www.reddit.com/r/cancer/comments/ddavjg/cancer_diagnosis_not_adding_up/")</f>
        <v/>
      </c>
      <c r="G5164" t="inlineStr">
        <is>
          <t>2019-10-04 10:55:06</t>
        </is>
      </c>
      <c r="H5164" t="inlineStr"/>
    </row>
    <row r="5165">
      <c r="A5165" t="inlineStr">
        <is>
          <t>ddayb6</t>
        </is>
      </c>
      <c r="B5165" t="inlineStr">
        <is>
          <t>How safe is it for me to smoke some pot between two cycles of chemo?</t>
        </is>
      </c>
      <c r="C5165" t="inlineStr">
        <is>
          <t>Currently on Ifosfamide and Adriamycin. How safe is it for me to smoke a tiny joint to alleviate the symptoms of chemo once between each cycle? I won't over do it, and I don't mix any tobacco in my js. 
Thanks :))</t>
        </is>
      </c>
      <c r="D5165" t="n">
        <v>2</v>
      </c>
      <c r="E5165" t="n">
        <v>11</v>
      </c>
      <c r="F5165">
        <f>HYPERLINK("https://www.reddit.com/r/cancer/comments/ddayb6/how_safe_is_it_for_me_to_smoke_some_pot_between/")</f>
        <v/>
      </c>
      <c r="G5165" t="inlineStr">
        <is>
          <t>2019-10-04 11:00:53</t>
        </is>
      </c>
      <c r="H5165" t="inlineStr"/>
    </row>
    <row r="5166">
      <c r="A5166" t="inlineStr">
        <is>
          <t>ddb1fc</t>
        </is>
      </c>
      <c r="B5166" t="inlineStr">
        <is>
          <t>I suppose I'll stop lurking. Leukemia sucks...</t>
        </is>
      </c>
      <c r="C5166" t="inlineStr">
        <is>
          <t>So much to say and so little to say at the same time.
Being diagnosed with Acute Myeloid Leukemia is not pleasant.
Why me? Why Leukemia?  Why now? Why me? Why? Why? Why? Why? Why?
Quit drinking over a year ago...quit smoking over a year ago...started eating healthier...started pursing a dream of completing an Ironman one day...
Then this. I went into the emergency room for chest pains and didn't leave the hospital for 2 months. The chest pains was due to something called pleurisy, an inflammation of the lining of the lungs. Absolutely nothing to do with leukemia, but it got me diagnosed. So, maybe someone or something was watching over me and that was the not so gentle nudge to get me into a hospital. The ER doctors told me I was the epitome of health, "we're waiting on a couple more test results to come back then you'll be free to go." \*5 minutes later\* "Ummm, we're going to be admitting you to the hospital for some more tests you'll probably be here for a couple of days. You'll be speaking with a hematologist up in your room."
My immediate thought was "oh, okay. I might have blood poisoning or some kind of infection." Then I heard the ER doctor mention to another doctor about "an oncologist." That was the second that I questioned absolutely everything in life. "Why me? I was doing everything right! I cleaned up! I got healthy! I was making serious progress! WTF?!?!"
And now I'm gearing up for a stem cell transplant later this month. I am equally excited and terrified.</t>
        </is>
      </c>
      <c r="D5166" t="n">
        <v>46</v>
      </c>
      <c r="E5166" t="n">
        <v>21</v>
      </c>
      <c r="F5166">
        <f>HYPERLINK("https://www.reddit.com/r/cancer/comments/ddb1fc/i_suppose_ill_stop_lurking_leukemia_sucks/")</f>
        <v/>
      </c>
      <c r="G5166" t="inlineStr">
        <is>
          <t>2019-10-04 11:07:11</t>
        </is>
      </c>
      <c r="H5166" t="inlineStr"/>
    </row>
    <row r="5167">
      <c r="A5167" t="inlineStr">
        <is>
          <t>ddca2o</t>
        </is>
      </c>
      <c r="B5167" t="inlineStr">
        <is>
          <t>Almost a whole year without you dad</t>
        </is>
      </c>
      <c r="C5167" t="inlineStr">
        <is>
          <t>So much has happened. I know you’re up there watching me. My entire life goal is to make you proud of me. I promise I will! I’m sorry for making some dumb decisions this year. You don’t have anything to worry about dad. My brother and I have it under control.</t>
        </is>
      </c>
      <c r="D5167" t="n">
        <v>4</v>
      </c>
      <c r="E5167" t="n">
        <v>2</v>
      </c>
      <c r="F5167">
        <f>HYPERLINK("https://www.reddit.com/r/cancer/comments/ddca2o/almost_a_whole_year_without_you_dad/")</f>
        <v/>
      </c>
      <c r="G5167" t="inlineStr">
        <is>
          <t>2019-10-04 12:36:26</t>
        </is>
      </c>
      <c r="H5167" t="inlineStr"/>
    </row>
    <row r="5168">
      <c r="A5168" t="inlineStr">
        <is>
          <t>ddd26q</t>
        </is>
      </c>
      <c r="B5168" t="inlineStr">
        <is>
          <t>Med school vs real life vs family</t>
        </is>
      </c>
      <c r="C5168" t="inlineStr">
        <is>
          <t>I am not sure if this is where I should post this, just want to be heard I guess. So I just finished writing my licensing exam to become a registered practical nurse (Canada). Im really young to basically get my license (hoping for a pass). I have worked in hospitals and LTC. I have seen people die and symptoms very similar to what my grandpa is having. He had liver cancer and it has spread a lot. Stopped doing chemo 6m ago I would say since it isn’t doing anything anymore. Anyways, there is fluid building up in his legs and abdomen as a result of the liver not being able to filter properly. I went to palliative care dr apt. with him and my grandma and she is having such a hard time coping. Wont look at him when the dr doing her assessment, ignoring what they have to say etc. I seen him in the light today. Last month we went together skin was normal and now he is completely yellow because of the liver failure. I am a very emotional person, can feel other peoples pain. Its really hard to see all of this and knowing the pathophysiology and being able to predict basically whats going to happen makes me want to throw up. Its really hard. Like the stages of “death” basically and approximately how long each stage is, and he is going through it exactly how I was taught. I am dreading when he gets to the point where he is completely still, eyes stuck open and jaw hanging, fast laboured shallow breathes etc. He is almost there, sleeping for majority of the day. He can barely talk anymore it takes too much energy out of him and it does not feel as if he is at peace anymore. Just very frustrated. And he knows what is happening he is alert. Its really hard. My grandparents are european immigrants, do not understand a lot of english just pretend they do when talking with the healthcare team. They are very paranoid about healthcare they think doctors and nurses dont care about patients, that they do all of these treatments etc. for money and there are cameras in the hospital rooms watching them for evil reasons basically. On top of this he is doing naturopathic medicine which physically does nothing about the end stages of his cancer. I know it does not work but he believed it does and it does make him emotionally feel better so I go with it. The guy who is doing it for him is doing it for free but I think he is telling them about how “sinister” healthcare is. It makes me really mad on the inside since I am going to be a nurse and the sole reason I went into nursing is to care for people and make sure they get the best care they can and to make them smile hopefully. Just so many thoughts going through my head about it. I am frustrated but cannot do anything about it and will not. Do not want to ruin his spirit or hers. But its deteriorating so fast.</t>
        </is>
      </c>
      <c r="D5168" t="n">
        <v>0</v>
      </c>
      <c r="E5168" t="n">
        <v>0</v>
      </c>
      <c r="F5168">
        <f>HYPERLINK("https://www.reddit.com/r/cancer/comments/ddd26q/med_school_vs_real_life_vs_family/")</f>
        <v/>
      </c>
      <c r="G5168" t="inlineStr">
        <is>
          <t>2019-10-04 13:31:41</t>
        </is>
      </c>
      <c r="H5168" t="inlineStr"/>
    </row>
    <row r="5169">
      <c r="A5169" t="inlineStr">
        <is>
          <t>ddgjdo</t>
        </is>
      </c>
      <c r="B5169" t="inlineStr">
        <is>
          <t>I’m scared it’s back</t>
        </is>
      </c>
      <c r="C5169" t="inlineStr">
        <is>
          <t>As the title describes, I’m scared senseless that my cancer is back. I had Hodgkins Lymphoma 2A on my left side of my neck and heart chamber. 
I am currently in complete remission, but I’ve found a lump in my armpit, albeit small in size under/about 1cm, it feels weird - squishy, but hurts slightly when pressed, but not hard at all. I’m really unsure if it’s anything and I have a control next week. It hasn’t even been a year since my first diagnosis. 
Maybe it’s nothing, maybe I’m fine. I’m just so fucking scared.</t>
        </is>
      </c>
      <c r="D5169" t="n">
        <v>4</v>
      </c>
      <c r="E5169" t="n">
        <v>2</v>
      </c>
      <c r="F5169">
        <f>HYPERLINK("https://www.reddit.com/r/cancer/comments/ddgjdo/im_scared_its_back/")</f>
        <v/>
      </c>
      <c r="G5169" t="inlineStr">
        <is>
          <t>2019-10-04 18:07:42</t>
        </is>
      </c>
      <c r="H5169" t="inlineStr"/>
    </row>
    <row r="5170">
      <c r="A5170" t="inlineStr">
        <is>
          <t>ddguvf</t>
        </is>
      </c>
      <c r="B5170" t="inlineStr">
        <is>
          <t>After the cancerous tumor was removed from his colon, now we found out that dad has lung cancer too</t>
        </is>
      </c>
      <c r="C5170" t="inlineStr">
        <is>
          <t>This year has already been so awful, but I'm feeling more lost than I ever had. Dad got his surgery today for his chemo port, and now all we can do is wait and see what happens. He's not even 60 yet. I'm scared he won't make it to see my wedding, or my first kid. He didn't even get to retire. I am trying to stay as hopeful as possible, but we don't know what stage its at or what will happen in the end. Waiting is the worst game in the world. Fuck cancer.</t>
        </is>
      </c>
      <c r="D5170" t="n">
        <v>2</v>
      </c>
      <c r="E5170" t="n">
        <v>2</v>
      </c>
      <c r="F5170">
        <f>HYPERLINK("https://www.reddit.com/r/cancer/comments/ddguvf/after_the_cancerous_tumor_was_removed_from_his/")</f>
        <v/>
      </c>
      <c r="G5170" t="inlineStr">
        <is>
          <t>2019-10-04 18:38:45</t>
        </is>
      </c>
      <c r="H5170" t="inlineStr"/>
    </row>
    <row r="5171">
      <c r="A5171" t="inlineStr">
        <is>
          <t>ddkepq</t>
        </is>
      </c>
      <c r="B5171" t="inlineStr">
        <is>
          <t>My father scold me in the clinic when I finished chemo</t>
        </is>
      </c>
      <c r="C5171" t="inlineStr">
        <is>
          <t>He keep asking me my blood result paper and I take away the paper he’s holding. Then he yelled at me in front of the nurse. Lucky no one there doc was leave in the clinic. I just finished 5th chemo that time. I have lymphoma. I am already so stressful about the numbers. Numbers are dropping but need to be zero.  
I know my dad is caring but he’s causing me stress too much. I am now crying alone.</t>
        </is>
      </c>
      <c r="D5171" t="n">
        <v>1</v>
      </c>
      <c r="E5171" t="n">
        <v>3</v>
      </c>
      <c r="F5171">
        <f>HYPERLINK("https://www.reddit.com/r/cancer/comments/ddkepq/my_father_scold_me_in_the_clinic_when_i_finished/")</f>
        <v/>
      </c>
      <c r="G5171" t="inlineStr">
        <is>
          <t>2019-10-05 01:12:10</t>
        </is>
      </c>
      <c r="H5171" t="inlineStr"/>
    </row>
    <row r="5172">
      <c r="A5172" t="inlineStr">
        <is>
          <t>ddkvj7</t>
        </is>
      </c>
      <c r="B5172" t="inlineStr">
        <is>
          <t>Nov 2018 - stage 4 terminal cancer, Sept 2019 remission. It can be done.</t>
        </is>
      </c>
      <c r="C5172" t="inlineStr">
        <is>
          <t>I was diagnosed with stage 4 bowel cancer in Nov 2018 shortly after my 37th birthday. The cancer was in my bowel and pushing into my spleen, pancreas and abdominal wall.
Throughout my treatment I have chemo and used thc oils as well, I had major surgery in May this year to remove my bowel, spleen, top of pancreas and abdominal wall followed by more chemo.
The only advise I can offer is:
Listen to your Dr's!! They actually want to cure you so do as you're told.
Research cannabis oils, expecially Thc,  I can't say if these help remove the cancer but for the quality of life they have given me and the help. With sleep, anxiety, food has been amazing! Use them!
Make getting better your No1 priority!   This is before your husband/wife/children/career /social life absolutely everything.  You need to be relaxing, de stressing and recovering, all of the above will be there when you're better.
Oxandrolone-   this is a product given to patients with aids/cancer or other diseases that cause muscle wastage.  I lost 8 stone during my treatment this product helped massively in holding onto some weight and building myself back up again. 
And stay positive, don't fear cancer, mock it, don't ever let yourself think that cancer will beat you as this is when it will! You need to fight and dig deep and make beating cancer your priority! It can be done!</t>
        </is>
      </c>
      <c r="D5172" t="n">
        <v>125</v>
      </c>
      <c r="E5172" t="n">
        <v>29</v>
      </c>
      <c r="F5172">
        <f>HYPERLINK("https://www.reddit.com/r/cancer/comments/ddkvj7/nov_2018_stage_4_terminal_cancer_sept_2019/")</f>
        <v/>
      </c>
      <c r="G5172" t="inlineStr">
        <is>
          <t>2019-10-05 02:07:37</t>
        </is>
      </c>
      <c r="H5172" t="inlineStr"/>
    </row>
    <row r="5173">
      <c r="A5173" t="inlineStr">
        <is>
          <t>ddl58i</t>
        </is>
      </c>
      <c r="B5173" t="inlineStr">
        <is>
          <t>Oropharyngeal Cancer</t>
        </is>
      </c>
      <c r="C5173" t="inlineStr">
        <is>
          <t>44M In the past four months, my body went haywire. First, started to get mucus in my stool. Had a colonoscopy, it showed nothing unusual. Then extreme acid reflux And sore throat. Had an endoscopy with a gastroenterologist. Once again, nothing unusual, nothing in the biopsy. My throat is still sore, now I‘ve got jaw pain, neck pain, sinus pain, groin pain, arm pain, and fatigue. Should I have seen an ENT first? Is their endoscopy that different from a gastroenterologist? My throat hurts like it’s laryngitis, but I’m not sick like a cold. My doctor is telling me it’s anxiety. But this sore throat isn’t imaginary, and it’s not going away. If I’m feeling pain in my jaw and elsewhere in my body, is it spreading? It took months just to get negative results on my colonoscopy and endoscopy. How much longer will it take to diagnose this problem? Is there even a point to try and treat it now? I‘m having foggy thinking, and my muscle memory feels like it is going away. Can someone help with some useful advice. I don’t care how bad it is at this point, I’d just like to know what’s going on and what I should do.</t>
        </is>
      </c>
      <c r="D5173" t="n">
        <v>1</v>
      </c>
      <c r="E5173" t="n">
        <v>11</v>
      </c>
      <c r="F5173">
        <f>HYPERLINK("https://www.reddit.com/r/cancer/comments/ddl58i/oropharyngeal_cancer/")</f>
        <v/>
      </c>
      <c r="G5173" t="inlineStr">
        <is>
          <t>2019-10-05 02:42:47</t>
        </is>
      </c>
      <c r="H5173" t="inlineStr"/>
    </row>
    <row r="5174">
      <c r="A5174" t="inlineStr">
        <is>
          <t>ddlkcc</t>
        </is>
      </c>
      <c r="B5174" t="inlineStr">
        <is>
          <t>So uhm my mom is doing chemo and I am tottaly clueless.</t>
        </is>
      </c>
      <c r="C5174" t="inlineStr">
        <is>
          <t>Last month my mom had pain in the stomach area, now she is doing chemo cause this thing went all over the pancreas, liver and stomach.. Things are not good and I am all over the place between things to do and the chemo. What can I do?!</t>
        </is>
      </c>
      <c r="D5174" t="n">
        <v>2</v>
      </c>
      <c r="E5174" t="n">
        <v>4</v>
      </c>
      <c r="F5174">
        <f>HYPERLINK("https://www.reddit.com/r/cancer/comments/ddlkcc/so_uhm_my_mom_is_doing_chemo_and_i_am_tottaly/")</f>
        <v/>
      </c>
      <c r="G5174" t="inlineStr">
        <is>
          <t>2019-10-05 03:36:26</t>
        </is>
      </c>
      <c r="H5174" t="inlineStr"/>
    </row>
    <row r="5175">
      <c r="A5175" t="inlineStr">
        <is>
          <t>ddmgk6</t>
        </is>
      </c>
      <c r="B5175" t="inlineStr">
        <is>
          <t>Just curious if a soft squishy lump could be cancerous?</t>
        </is>
      </c>
      <c r="C5175" t="inlineStr">
        <is>
          <t>I’ve had a soft lump kinda squishy, in the right side of my neck, idk if it’s moveable other than I can push it down with my finger and kinda make it move from left to right. It’s been there for 4 years.</t>
        </is>
      </c>
      <c r="D5175" t="n">
        <v>1</v>
      </c>
      <c r="E5175" t="n">
        <v>4</v>
      </c>
      <c r="F5175">
        <f>HYPERLINK("https://www.reddit.com/r/cancer/comments/ddmgk6/just_curious_if_a_soft_squishy_lump_could_be/")</f>
        <v/>
      </c>
      <c r="G5175" t="inlineStr">
        <is>
          <t>2019-10-05 05:12:00</t>
        </is>
      </c>
      <c r="H5175" t="inlineStr"/>
    </row>
    <row r="5176">
      <c r="A5176" t="inlineStr">
        <is>
          <t>ddmooc</t>
        </is>
      </c>
      <c r="B5176" t="inlineStr">
        <is>
          <t>Not a solicitation, or donation request. A vent. Request for information. But seriously; Where is the help (grants) for the over 40 cancer survivors?</t>
        </is>
      </c>
      <c r="C5176" t="inlineStr">
        <is>
          <t>Frustrated. Cancer, as a single mom of 3, really put me in a bad place financially. Researching, I see a lot of grants and scholarships for young adults (typically referring to teens), and childhood cancers *Which Is Awesome!!*
I also see a lot of grants designed for those under 40? Argh. 
I have looked and looked. My situation is not dire, yet...
I am 4 yrs out. Still feeling the financial repercussions, frustrations.
Suggestions? Resources?</t>
        </is>
      </c>
      <c r="D5176" t="n">
        <v>8</v>
      </c>
      <c r="E5176" t="n">
        <v>8</v>
      </c>
      <c r="F5176">
        <f>HYPERLINK("https://www.reddit.com/r/cancer/comments/ddmooc/not_a_solicitation_or_donation_request_a_vent/")</f>
        <v/>
      </c>
      <c r="G5176" t="inlineStr">
        <is>
          <t>2019-10-05 05:34:36</t>
        </is>
      </c>
      <c r="H5176" t="inlineStr"/>
    </row>
    <row r="5177">
      <c r="A5177" t="inlineStr">
        <is>
          <t>ddn0jg</t>
        </is>
      </c>
      <c r="B5177" t="inlineStr">
        <is>
          <t>Buzzing off the rest of my hair and talking in circles with a hairdresser</t>
        </is>
      </c>
      <c r="C5177" t="inlineStr">
        <is>
          <t>Just over two weeks since my first infusion and my hair finally decided to call it quits. It's weird, right? Like that dream where your teeth fall out, only it's real life and giant clumps of hair just come right out. So I decided it was time to buzz it off. It's getting everywhere, it's itchy and I swear my cat thinks the hair that's escaping the garbage can is the best new toy (sigh). I don't own any trimmers to do it off myself so I called a local salon to check on prices.
Me: Can you give me a cost estimate of what you charge to give a close buzz all over? My hair is coming out from chemo and I'd like to just get it short enough to not have hair get everywhere.  
Hairdresser: A haircut and style starts at $65. 
Me: For buzzing it off? It would not need to be styled or trimmed.
Hairdresser: Our prices start at $65 and vary depending on the difficulty of the styling and product used. 
Me: No style or product. Just a close buzz. 
Hairdresser: The prices start at $65. 
I was pretty much laughing on the other end. I wasn't expecting it to be free (I would be taking time and a seat in the salon, so of course they should charge me something), but I can go to the store and buy myself a set of trimmers for 25 bucks and do it myself. $65! I'm not even mad, just wanted to share because it made me laugh. I should have just realized I can go to great clips and pay them $15 plus tip and get the same result without the price. You live, you learn.</t>
        </is>
      </c>
      <c r="D5177" t="n">
        <v>9</v>
      </c>
      <c r="E5177" t="n">
        <v>21</v>
      </c>
      <c r="F5177">
        <f>HYPERLINK("https://www.reddit.com/r/cancer/comments/ddn0jg/buzzing_off_the_rest_of_my_hair_and_talking_in/")</f>
        <v/>
      </c>
      <c r="G5177" t="inlineStr">
        <is>
          <t>2019-10-05 06:05:43</t>
        </is>
      </c>
      <c r="H5177" t="inlineStr"/>
    </row>
    <row r="5178">
      <c r="A5178" t="inlineStr">
        <is>
          <t>ddn8ln</t>
        </is>
      </c>
      <c r="B5178" t="inlineStr">
        <is>
          <t>Childhood cancer</t>
        </is>
      </c>
      <c r="C5178" t="inlineStr">
        <is>
          <t>Someone should make a subreddit about being having childhood cancer (all the way to 21 can be considered). I feel like we approach it differently because our minds weren't diny developing when we had it. Is this a good idea?</t>
        </is>
      </c>
      <c r="D5178" t="n">
        <v>9</v>
      </c>
      <c r="E5178" t="n">
        <v>8</v>
      </c>
      <c r="F5178">
        <f>HYPERLINK("https://www.reddit.com/r/cancer/comments/ddn8ln/childhood_cancer/")</f>
        <v/>
      </c>
      <c r="G5178" t="inlineStr">
        <is>
          <t>2019-10-05 06:26:50</t>
        </is>
      </c>
      <c r="H5178" t="inlineStr"/>
    </row>
    <row r="5179">
      <c r="A5179" t="inlineStr">
        <is>
          <t>ddn8ql</t>
        </is>
      </c>
      <c r="B5179" t="inlineStr">
        <is>
          <t>Cancer has been a lot harder on my young kids than I've realized.</t>
        </is>
      </c>
      <c r="C5179" t="inlineStr">
        <is>
          <t>I just took my 16 year old for an emergency mental health evaluation. Per the schools request. The diagnosis? She has raging anxiety and PTSD. Because of me. Because of my health. After 4 years, it's finally broke her down, and she's a mess. I don't know what to do? I've scheduled her with a therapist, us as a family with another therapist, and other than me being cured, I don't know what else I can do to help her? I feel awful. 
She's got a birthday coming up that I hope I can make nice for her. (The last 3 I've been hospitalized and broke, so they've been pretty sad affairs) I spend as much time with her as I can, but honestly I usually get sick or tired and have to cut things short. 
I'm just. .. At a loss. I don't know what to even say. Anyone else have this? Anything you do help? Idc what happens to me, but I cannot watch my children suffer. Its killing me faster than cancer. 
All advice appreciated.</t>
        </is>
      </c>
      <c r="D5179" t="n">
        <v>25</v>
      </c>
      <c r="E5179" t="n">
        <v>18</v>
      </c>
      <c r="F5179">
        <f>HYPERLINK("https://www.reddit.com/r/cancer/comments/ddn8ql/cancer_has_been_a_lot_harder_on_my_young_kids/")</f>
        <v/>
      </c>
      <c r="G5179" t="inlineStr">
        <is>
          <t>2019-10-05 06:27:15</t>
        </is>
      </c>
      <c r="H5179" t="inlineStr"/>
    </row>
    <row r="5180">
      <c r="A5180" t="inlineStr">
        <is>
          <t>ddnkxd</t>
        </is>
      </c>
      <c r="B5180" t="inlineStr">
        <is>
          <t>[Story and Advice] My mom is an infusion nurse who survived breast cancer. I wanted to share her story</t>
        </is>
      </c>
      <c r="C5180" t="inlineStr">
        <is>
          <t>[Here's a link to the video where I talked to her about her triumph and what we call her "survivor mentality".](https://www.youtube.com/watch?v=ymK6e7QLl04)
Last January, my mom started a new career as an infusion nurse. Less than four months later, she was diagnosed with breast cancer, which caught us completely off guard. Luckily for her (and me who was 100 miles south of her at college), she had a wonderful support system at work - she kept working throughout the ordeal and was even doing her treatments at the same place she worked.
The absolute biggest thing that got her through it all was her unbreakable mentality. From the very start, she showed no sign of giving up, breaking down, or anything other than surviving. Knowing the family she came from, it's absolutely incredible that she possesses such strength, and I can honestly say that she's my hero.
I made the video linked above to share her story and her advice (both as a survivor and as an infusion nurse) for people who are going through their own battle in hopes of helping them through.
I love you, mom - and I'm thankful I still have you.</t>
        </is>
      </c>
      <c r="D5180" t="n">
        <v>1</v>
      </c>
      <c r="E5180" t="n">
        <v>0</v>
      </c>
      <c r="F5180">
        <f>HYPERLINK("https://www.reddit.com/r/cancer/comments/ddnkxd/story_and_advice_my_mom_is_an_infusion_nurse_who/")</f>
        <v/>
      </c>
      <c r="G5180" t="inlineStr">
        <is>
          <t>2019-10-05 06:58:51</t>
        </is>
      </c>
      <c r="H5180" t="inlineStr"/>
    </row>
    <row r="5181">
      <c r="A5181" t="inlineStr">
        <is>
          <t>ddo2wg</t>
        </is>
      </c>
      <c r="B5181" t="inlineStr">
        <is>
          <t>What are some active subs for people with benign tumors?</t>
        </is>
      </c>
      <c r="C5181" t="inlineStr">
        <is>
          <t>I was diagnosed with a grade II Astrocytoma about 3 years ago, which was pretty large but only took one surgery to get rid of with no radiation/chemo therapy afterwards. That means I technically didn't have cancer and my exlerience was nothing compared to the people here.
So I was wondering, what are some bigger subs for people like me?</t>
        </is>
      </c>
      <c r="D5181" t="n">
        <v>0</v>
      </c>
      <c r="E5181" t="n">
        <v>1</v>
      </c>
      <c r="F5181">
        <f>HYPERLINK("https://www.reddit.com/r/cancer/comments/ddo2wg/what_are_some_active_subs_for_people_with_benign/")</f>
        <v/>
      </c>
      <c r="G5181" t="inlineStr">
        <is>
          <t>2019-10-05 07:41:54</t>
        </is>
      </c>
      <c r="H5181" t="inlineStr"/>
    </row>
    <row r="5182">
      <c r="A5182" t="inlineStr">
        <is>
          <t>ddol4k</t>
        </is>
      </c>
      <c r="B5182" t="inlineStr">
        <is>
          <t>Update on my mother’s high grade uterine cancer - reduction of disease, but still present. Headed into chemo #7 - not sure how optimistic we should be...</t>
        </is>
      </c>
      <c r="C5182" t="inlineStr">
        <is>
          <t>I posted here... oh... a long time back and think I since deleted that post. 
Anyway, brief history is my mother was diagnosed with clear cell and endometrioid uterine cancer back in Nov 2017. Radical hysterectomy. Stage 1. 
Then Nov 2018, they picked up a lung node on her scan, and she had a lobectomy and turned out it was adenocarcinoma. 
Both surgeries were botched horribly. But, she was presumed cured of both given the low stage, but in April 2019 the clear cell cancer had returned throughout her pelvis, rectum, and peritoneal lining. Her oncologist said it was presumed terminal and she had maybe 3 years. My mother disqualified for all trials because she had a second primary cancer (the lung cancer). 
She went looking for options, and all cancer centers told her basically the same thing - they would give her carboplatinin (sp?) and taxol chemo, maybe with avastin, and then that would be it. Most women with clear cell don’t have a good response. My mother decided on an integrative center in Chicago because it was the only place that offered her anything different. They also have nutritional protocols, etc, and she’s been getting her chemo there since May/June. Some of you may roll your eyes, but they have her on a regimen of supplements and give her nutritional infusions with her chemo. They also do something called “chronomodulated” chemo, which is administered based on your chronotype or something.
Anyway, she’s had a great response so far. A big reduction in disease. Some of the largest tumors are gone. 
She’s also tolerating it really well. Aside from a bit of a low period and some nausea for 2 days after chemo, she’s then up and moving around. She works out. She eats well. She looks fantastic - albeit bald. No pain. It’s pretty remarkable. She’s known other people who have had the same chemo and they’re all shocked at how well she’s doing. She just got back from a weeklong chi gong retreat! Her bloodwork comes back excellent and her tumor markers keep dropping. I have no idea if the integrative center is what’s making the difference, or if she’s just a champ, but it’s been impressive. 
So, we’ve been pretty optimistic and hoped that six rounds of chemo would be all she needed. But alas, her last scan showed that while the disease continues to shrink, some of it is still there, and they want to do at least three more rounds of chemo. My understanding is that chemo is less effective with each subsequent round. And I’m starting to wonder if this is a fools errand anyway. I mean, I can find no literature on remission rates after clear cell uterine cancer recurrence. Is it even possible for remission to happen once clear cell comes back? Has anyone heard of recurrent clear cell going into remission? 
My mother has signed up for the additional three rounds... but, I have to admit... I’m worried that while the disease is decreasing we may never get it gone. I’m just hoping she continues to tolerate it well. Has anyone gone on beyond the 6 rounds and had an ultimately good outcome?</t>
        </is>
      </c>
      <c r="D5182" t="n">
        <v>3</v>
      </c>
      <c r="E5182" t="n">
        <v>2</v>
      </c>
      <c r="F5182">
        <f>HYPERLINK("https://www.reddit.com/r/cancer/comments/ddol4k/update_on_my_mothers_high_grade_uterine_cancer/")</f>
        <v/>
      </c>
      <c r="G5182" t="inlineStr">
        <is>
          <t>2019-10-05 08:22:28</t>
        </is>
      </c>
      <c r="H5182" t="inlineStr"/>
    </row>
    <row r="5183">
      <c r="A5183" t="inlineStr">
        <is>
          <t>ddpkkt</t>
        </is>
      </c>
      <c r="B5183" t="inlineStr">
        <is>
          <t>I want to give up when 5th chemo</t>
        </is>
      </c>
      <c r="C5183" t="inlineStr">
        <is>
          <t>39/F Lymphoma, stage 4. Bad Number is dropping but haven’t reach the target. I am stress out. Either died or alive. Only 1 more chemo cycle next month 
What is the meaning of fighting against? I am tired.</t>
        </is>
      </c>
      <c r="D5183" t="n">
        <v>1</v>
      </c>
      <c r="E5183" t="n">
        <v>5</v>
      </c>
      <c r="F5183">
        <f>HYPERLINK("https://www.reddit.com/r/cancer/comments/ddpkkt/i_want_to_give_up_when_5th_chemo/")</f>
        <v/>
      </c>
      <c r="G5183" t="inlineStr">
        <is>
          <t>2019-10-05 09:35:51</t>
        </is>
      </c>
      <c r="H5183" t="inlineStr"/>
    </row>
    <row r="5184">
      <c r="A5184" t="inlineStr">
        <is>
          <t>ddqvj5</t>
        </is>
      </c>
      <c r="B5184" t="inlineStr">
        <is>
          <t>My mums just been diagnosed with stage 3 cancer.</t>
        </is>
      </c>
      <c r="C5184" t="inlineStr">
        <is>
          <t>My mum just got diagnosed with stage 3 breast cancer.  She has further testing on Tuesday and to decide what treatment they will start with. The doctors said it hasn’t spread to the lymph nodes yet but when I look online stage three has spread to the lymph nodes. I’m a little confused because my sister went whos a nurse, can stage 3 be without spreading to them? 
I know she will hopefully be okay. She’s strong and she will do any treatment possible.</t>
        </is>
      </c>
      <c r="D5184" t="n">
        <v>2</v>
      </c>
      <c r="E5184" t="n">
        <v>1</v>
      </c>
      <c r="F5184">
        <f>HYPERLINK("https://www.reddit.com/r/cancer/comments/ddqvj5/my_mums_just_been_diagnosed_with_stage_3_cancer/")</f>
        <v/>
      </c>
      <c r="G5184" t="inlineStr">
        <is>
          <t>2019-10-05 11:09:28</t>
        </is>
      </c>
      <c r="H5184" t="inlineStr"/>
    </row>
    <row r="5185">
      <c r="A5185" t="inlineStr">
        <is>
          <t>ddudd4</t>
        </is>
      </c>
      <c r="B5185" t="inlineStr">
        <is>
          <t>My Return to work</t>
        </is>
      </c>
      <c r="C5185" t="inlineStr">
        <is>
          <t>Not sure if this is the right place to post.
 My mum died almost 2 weeks ago, after a few months of pain and illness post lung cancer diagnosis. We had the funeral yesterday. Now people are asking me if I am going back to work now. One family friend was amazed that I have had a couple of weeks off and not a couple of days. Another friend was like , oh the funeral is over, so you’re going back to work then? My sisters &amp;amp; other family expect me to be going back to work. I have just lost the person who I loved most in the whole world. I am broken, I am struggling to look after myself, to get out of bed, wash or do household chores. How they are expecting me to go back to work as a nursing sister  and be in charge of people’s lives is beyond me. Especially to see people dying on a hospital bed so soon after I saw my lovely mum lying dead there.Now I am feeling so guilty for being off work. I have the added stress now of caring for dad as mum was his main career , and trying to sort things out for him long term and helping him with administration etc. 
Feeling so bad but am being made to feel worse by others. Thanks for reading.</t>
        </is>
      </c>
      <c r="D5185" t="n">
        <v>39</v>
      </c>
      <c r="E5185" t="n">
        <v>19</v>
      </c>
      <c r="F5185">
        <f>HYPERLINK("https://www.reddit.com/r/cancer/comments/ddudd4/my_return_to_work/")</f>
        <v/>
      </c>
      <c r="G5185" t="inlineStr">
        <is>
          <t>2019-10-05 15:28:14</t>
        </is>
      </c>
      <c r="H5185" t="inlineStr"/>
    </row>
    <row r="5186">
      <c r="A5186" t="inlineStr">
        <is>
          <t>ddv0m8</t>
        </is>
      </c>
      <c r="B5186" t="inlineStr">
        <is>
          <t>New cancer treatments</t>
        </is>
      </c>
      <c r="C5186" t="inlineStr">
        <is>
          <t>I’m not sure if this is the subreddit for this question but I wanted to see if anyone has been looking at any therapies that don’t involve chemo or radiation. 
I’m a med student doing research into cancer therapies, it’s for a poster. I’m researching new therapies like Nanoparticles and my partner is going to discuss traditional methods.</t>
        </is>
      </c>
      <c r="D5186" t="n">
        <v>6</v>
      </c>
      <c r="E5186" t="n">
        <v>16</v>
      </c>
      <c r="F5186">
        <f>HYPERLINK("https://www.reddit.com/r/cancer/comments/ddv0m8/new_cancer_treatments/")</f>
        <v/>
      </c>
      <c r="G5186" t="inlineStr">
        <is>
          <t>2019-10-05 16:15:13</t>
        </is>
      </c>
      <c r="H5186" t="inlineStr"/>
    </row>
    <row r="5187">
      <c r="A5187" t="inlineStr">
        <is>
          <t>ddv0qp</t>
        </is>
      </c>
      <c r="B5187" t="inlineStr">
        <is>
          <t>How serious is this?</t>
        </is>
      </c>
      <c r="C5187" t="inlineStr">
        <is>
          <t>My very good friend got diagnosed with ovarian cancer that has now spread to her liver and stomach lining. I believe this is stage 3. She is super young (27) and its shocking, but she won't tell me much more. How serious is this? Is this survivable?</t>
        </is>
      </c>
      <c r="D5187" t="n">
        <v>3</v>
      </c>
      <c r="E5187" t="n">
        <v>6</v>
      </c>
      <c r="F5187">
        <f>HYPERLINK("https://www.reddit.com/r/cancer/comments/ddv0qp/how_serious_is_this/")</f>
        <v/>
      </c>
      <c r="G5187" t="inlineStr">
        <is>
          <t>2019-10-05 16:15:31</t>
        </is>
      </c>
      <c r="H5187" t="inlineStr"/>
    </row>
    <row r="5188">
      <c r="A5188" t="inlineStr">
        <is>
          <t>ddvcz4</t>
        </is>
      </c>
      <c r="B5188" t="inlineStr">
        <is>
          <t>Cancer made me stronger and more confident</t>
        </is>
      </c>
      <c r="C5188" t="inlineStr">
        <is>
          <t>I just got home after relieving inside a  hot 24 yr old. I have doubled the amount of girls I’ve slept with in the past year.
What’s this got to do with cancer you might ask?
Having cancer has made all other “problems” trivial and not worth the worry. I don’t whine I don’t complain. I don’t give a fuck basically.
And this is very attractive to women.
I lift and I work out. I have the odd set backs. I try to keep moving.
I feel so alive</t>
        </is>
      </c>
      <c r="D5188" t="n">
        <v>0</v>
      </c>
      <c r="E5188" t="n">
        <v>0</v>
      </c>
      <c r="F5188">
        <f>HYPERLINK("https://www.reddit.com/r/cancer/comments/ddvcz4/cancer_made_me_stronger_and_more_confident/")</f>
        <v/>
      </c>
      <c r="G5188" t="inlineStr">
        <is>
          <t>2019-10-05 16:42:12</t>
        </is>
      </c>
      <c r="H5188" t="inlineStr"/>
    </row>
    <row r="5189">
      <c r="A5189" t="inlineStr">
        <is>
          <t>ddvhsz</t>
        </is>
      </c>
      <c r="B5189" t="inlineStr">
        <is>
          <t>Advice on my father's lung &amp;amp; prostate cancer</t>
        </is>
      </c>
      <c r="C5189" t="inlineStr">
        <is>
          <t>Over 10 years ago, my father was diagnosed with prostate cancer. It was removed and everything was fine. Fast forward to about a month ago he found out that his prostate cancer is back, stage 2, and he has stage 4 non-small cell lung cancer that has spread to 3 different bones in his body. He just had surgery to put a rod in his leg to prevent his bone from breaking and he’s going for his first radiation appointment next week. They told him he has a 44mm mass in his right lung and they can't remove his lung as he would not survive with the damage that smoking has done over the years. He still smokes about 2 packs of cigarettes per day and has made up his mind that he wants to go for treatment, but he will not stop smoking. He started receiving a shot that is given once every 6 months to slow the prostate cancer down and I think improve the overall condition? He is completely under the impression that this can all be cured and he will be back to normal within a few months of receiving radiation no matter what anyone says. Does anyone have any information on what to really expect going forward over the next few months - years? What options does he really have? Are the doctors just trying to make him more comfortable and they know that treatment really isn't going to help?</t>
        </is>
      </c>
      <c r="D5189" t="n">
        <v>3</v>
      </c>
      <c r="E5189" t="n">
        <v>3</v>
      </c>
      <c r="F5189">
        <f>HYPERLINK("https://www.reddit.com/r/cancer/comments/ddvhsz/advice_on_my_fathers_lung_prostate_cancer/")</f>
        <v/>
      </c>
      <c r="G5189" t="inlineStr">
        <is>
          <t>2019-10-05 16:53:17</t>
        </is>
      </c>
      <c r="H5189" t="inlineStr"/>
    </row>
    <row r="5190">
      <c r="A5190" t="inlineStr">
        <is>
          <t>ddvoxm</t>
        </is>
      </c>
      <c r="B5190" t="inlineStr">
        <is>
          <t>Done with chemo, awaiting news</t>
        </is>
      </c>
      <c r="C5190" t="inlineStr">
        <is>
          <t>On September 9th I had my last treatment of 3 cycles of carboplatin, bleomycin, and etoposide. I have more energy, I’m basically permanently back in school, and my hair is slowly but surely growing back. On Monday I find out if the chemo worked or if I need it surgically removed. Good news is, no more chemo for good. Bad news is, providing I need surgery, I could lose my fertility, or worse, come out with erectile dysfunction. I am a senior in high school. The last thing I want is ED when I have my whole life ahead of me. I am so nervous to hear the results of my scan. If anyone has any advice or thoughts on my situation, type it below. I’m really just looking for anything here to reassure me</t>
        </is>
      </c>
      <c r="D5190" t="n">
        <v>9</v>
      </c>
      <c r="E5190" t="n">
        <v>1</v>
      </c>
      <c r="F5190">
        <f>HYPERLINK("https://www.reddit.com/r/cancer/comments/ddvoxm/done_with_chemo_awaiting_news/")</f>
        <v/>
      </c>
      <c r="G5190" t="inlineStr">
        <is>
          <t>2019-10-05 17:08:10</t>
        </is>
      </c>
      <c r="H5190" t="inlineStr"/>
    </row>
    <row r="5191">
      <c r="A5191" t="inlineStr">
        <is>
          <t>ddwt12</t>
        </is>
      </c>
      <c r="B5191" t="inlineStr">
        <is>
          <t>On the last possible one</t>
        </is>
      </c>
      <c r="C5191" t="inlineStr">
        <is>
          <t>Onto to the end of step one and a scan is upcoming to see the progress. For four rounds, it has been a roller coaster but I’m happy it has gotten to the point where it is better to go through life than before but step two I’m hoping it is the end but maybe not the case however closer to the end than before</t>
        </is>
      </c>
      <c r="D5191" t="n">
        <v>2</v>
      </c>
      <c r="E5191" t="n">
        <v>1</v>
      </c>
      <c r="F5191">
        <f>HYPERLINK("https://www.reddit.com/r/cancer/comments/ddwt12/on_the_last_possible_one/")</f>
        <v/>
      </c>
      <c r="G5191" t="inlineStr">
        <is>
          <t>2019-10-05 18:40:10</t>
        </is>
      </c>
      <c r="H5191" t="inlineStr"/>
    </row>
    <row r="5192">
      <c r="A5192" t="inlineStr">
        <is>
          <t>ddwv8z</t>
        </is>
      </c>
      <c r="B5192" t="inlineStr">
        <is>
          <t>Why is this so hard?</t>
        </is>
      </c>
      <c r="C5192" t="inlineStr">
        <is>
          <t>I'll probably be kicked off this this as well but I am OVERWHELMED I don't know where to turn and  I am having a panic attack. 45 with terminal cancer, my family hate  me why should I stay around?</t>
        </is>
      </c>
      <c r="D5192" t="n">
        <v>38</v>
      </c>
      <c r="E5192" t="n">
        <v>28</v>
      </c>
      <c r="F5192">
        <f>HYPERLINK("https://www.reddit.com/r/cancer/comments/ddwv8z/why_is_this_so_hard/")</f>
        <v/>
      </c>
      <c r="G5192" t="inlineStr">
        <is>
          <t>2019-10-05 18:45:24</t>
        </is>
      </c>
      <c r="H5192" t="inlineStr"/>
    </row>
    <row r="5193">
      <c r="A5193" t="inlineStr">
        <is>
          <t>ddyhyv</t>
        </is>
      </c>
      <c r="B5193" t="inlineStr">
        <is>
          <t>Parents being diagnosed with brain cancer</t>
        </is>
      </c>
      <c r="C5193" t="inlineStr">
        <is>
          <t>My mom is getting her final testing to diagnose her brain cancer. She’s a breast cancer survivor. 
My fear is the changes she’ll have to her personality. What is your experience with having parents with brain cancer?</t>
        </is>
      </c>
      <c r="D5193" t="n">
        <v>4</v>
      </c>
      <c r="E5193" t="n">
        <v>6</v>
      </c>
      <c r="F5193">
        <f>HYPERLINK("https://www.reddit.com/r/cancer/comments/ddyhyv/parents_being_diagnosed_with_brain_cancer/")</f>
        <v/>
      </c>
      <c r="G5193" t="inlineStr">
        <is>
          <t>2019-10-05 21:19:46</t>
        </is>
      </c>
      <c r="H5193" t="inlineStr"/>
    </row>
    <row r="5194">
      <c r="A5194" t="inlineStr">
        <is>
          <t>ddzx7a</t>
        </is>
      </c>
      <c r="B5194" t="inlineStr">
        <is>
          <t>Stage four lung cancer</t>
        </is>
      </c>
      <c r="C5194" t="inlineStr">
        <is>
          <t>Mom has been diagnosed with aggressive lung cancer.  Based on the prognosis, she is not seeking treatment.   Skope of a couple weeks to a couple months.
What can I expect in the next few weeks?  What does the end look like?
We are concentrating on pain management.   But want to do more.  Beyond having friends and family hang out, what should I do?</t>
        </is>
      </c>
      <c r="D5194" t="n">
        <v>9</v>
      </c>
      <c r="E5194" t="n">
        <v>9</v>
      </c>
      <c r="F5194">
        <f>HYPERLINK("https://www.reddit.com/r/cancer/comments/ddzx7a/stage_four_lung_cancer/")</f>
        <v/>
      </c>
      <c r="G5194" t="inlineStr">
        <is>
          <t>2019-10-06 00:13:28</t>
        </is>
      </c>
      <c r="H5194" t="inlineStr"/>
    </row>
    <row r="5195">
      <c r="A5195" t="inlineStr">
        <is>
          <t>de0qdx</t>
        </is>
      </c>
      <c r="B5195" t="inlineStr">
        <is>
          <t>PET scan to determine GBM progression for starting bevacizumab and irinotecan injections ?</t>
        </is>
      </c>
      <c r="C5195" t="inlineStr">
        <is>
          <t>How effective is taking a PET scan to determine progression when MRI is inconclusive to determine progression.
&amp;amp;#x200B;
(To make a long story short)
Our 2nd opinion Dr has asked to get  PET scan before starting bevacizumab and irinotecan injections instead of the current 5/23 Temodar as suggested by our primary Dr.</t>
        </is>
      </c>
      <c r="D5195" t="n">
        <v>3</v>
      </c>
      <c r="E5195" t="n">
        <v>3</v>
      </c>
      <c r="F5195">
        <f>HYPERLINK("https://www.reddit.com/r/cancer/comments/de0qdx/pet_scan_to_determine_gbm_progression_for/")</f>
        <v/>
      </c>
      <c r="G5195" t="inlineStr">
        <is>
          <t>2019-10-06 01:51:37</t>
        </is>
      </c>
      <c r="H5195" t="inlineStr"/>
    </row>
    <row r="5196">
      <c r="A5196" t="inlineStr">
        <is>
          <t>de12nl</t>
        </is>
      </c>
      <c r="B5196" t="inlineStr">
        <is>
          <t>When to go home?</t>
        </is>
      </c>
      <c r="C5196" t="inlineStr">
        <is>
          <t>I know the obvious answer is ‘asap’ but I don’t know what to do. My father has terminal cancer. I live hours away from him. I’m here at the moment, but he’s clearly deteriorating and most of the time is spent just sitting with minimal conversation or leaving him while he sleeps. I don’t think he’ll have the full 2 months the doctors have given him. 
I’ve tried to stay as long as I can but it’s time to go back to work. Paying for accomodation is hard too. I plan on coming again closer to the end, if possible. We’ve had a difficult relationship and I know anything now isn’t going to change lost time. I don’t want to bring up difficult conversations, he doesn’t need it. Just want him to know I care. Am I making a mistake if I don’t stay? I just don’t know how I can.</t>
        </is>
      </c>
      <c r="D5196" t="n">
        <v>8</v>
      </c>
      <c r="E5196" t="n">
        <v>4</v>
      </c>
      <c r="F5196">
        <f>HYPERLINK("https://www.reddit.com/r/cancer/comments/de12nl/when_to_go_home/")</f>
        <v/>
      </c>
      <c r="G5196" t="inlineStr">
        <is>
          <t>2019-10-06 02:31:49</t>
        </is>
      </c>
      <c r="H5196" t="inlineStr"/>
    </row>
    <row r="5197">
      <c r="A5197" t="inlineStr">
        <is>
          <t>de1qhp</t>
        </is>
      </c>
      <c r="B5197" t="inlineStr">
        <is>
          <t>Shall we begin?</t>
        </is>
      </c>
      <c r="C5197" t="inlineStr">
        <is>
          <t>So I was recently diagnosed with cancer. It's germ cell tumors, very similar to testicular cancer. Luckily, there is no tumors on my testicles, so no removal required. But the tumors have spread to my lymph nodes.
So now I have tumors spread throughout my chest and stomach areas. The tumors themselves aren't painful, but when they press on the organs, the pain is horrendous. Sorry, this is just me venting.
What I really want to talk about is chemotherapy. I start tomorrow. I am honestly nervous and excited. I'm just glad my treatment is finally starting.
I went over a few guides on how to prepare and what to take, so I think I'm ready on that front. But I'm curious about how I'm going to feel afterwards. Is the nausea going to hit me right away? Will I be able to function? If anyone is willing to share their post chemo experience, I would really appreciate it.</t>
        </is>
      </c>
      <c r="D5197" t="n">
        <v>31</v>
      </c>
      <c r="E5197" t="n">
        <v>29</v>
      </c>
      <c r="F5197">
        <f>HYPERLINK("https://www.reddit.com/r/cancer/comments/de1qhp/shall_we_begin/")</f>
        <v/>
      </c>
      <c r="G5197" t="inlineStr">
        <is>
          <t>2019-10-06 03:51:02</t>
        </is>
      </c>
      <c r="H5197" t="inlineStr"/>
    </row>
    <row r="5198">
      <c r="A5198" t="inlineStr">
        <is>
          <t>de4gf0</t>
        </is>
      </c>
      <c r="B5198" t="inlineStr">
        <is>
          <t>Positive ColoGuard, now seeing symptoms everywhere</t>
        </is>
      </c>
      <c r="C5198" t="inlineStr">
        <is>
          <t>Just need to talk about it. I was recently told a cologuard came back positive and now every time something happens, I assume its cancer. stomach ache? cancer. cramp? cancer. Not hungry? cancer. Back pain? cancer. It'll be 2 weeks before I get the colonoscopy, this is going to drive me crazy.  They really need the screenings sooner.</t>
        </is>
      </c>
      <c r="D5198" t="n">
        <v>0</v>
      </c>
      <c r="E5198" t="n">
        <v>5</v>
      </c>
      <c r="F5198">
        <f>HYPERLINK("https://www.reddit.com/r/cancer/comments/de4gf0/positive_cologuard_now_seeing_symptoms_everywhere/")</f>
        <v/>
      </c>
      <c r="G5198" t="inlineStr">
        <is>
          <t>2019-10-06 08:10:10</t>
        </is>
      </c>
      <c r="H5198" t="inlineStr"/>
    </row>
    <row r="5199">
      <c r="A5199" t="inlineStr">
        <is>
          <t>de549v</t>
        </is>
      </c>
      <c r="B5199" t="inlineStr">
        <is>
          <t>Temodar</t>
        </is>
      </c>
      <c r="C5199" t="inlineStr">
        <is>
          <t>Has anyone dealt with insomnia while taking temodar? If so, have you found anything that lets you sleep?</t>
        </is>
      </c>
      <c r="D5199" t="n">
        <v>5</v>
      </c>
      <c r="E5199" t="n">
        <v>2</v>
      </c>
      <c r="F5199">
        <f>HYPERLINK("https://www.reddit.com/r/cancer/comments/de549v/temodar/")</f>
        <v/>
      </c>
      <c r="G5199" t="inlineStr">
        <is>
          <t>2019-10-06 09:01:02</t>
        </is>
      </c>
      <c r="H5199" t="inlineStr"/>
    </row>
    <row r="5200">
      <c r="A5200" t="inlineStr">
        <is>
          <t>de5ap7</t>
        </is>
      </c>
      <c r="B5200" t="inlineStr">
        <is>
          <t>my neighbour just got diagnosed with kidney cancer</t>
        </is>
      </c>
      <c r="C5200" t="inlineStr">
        <is>
          <t>hey, my neighbor who lives alone, told my husband that he just recently got diagnosed with kidney cancer and that his one kidney is going to be removed. we really like him and have a good relationship with him. I want to do something for him. Maybe make him some food or provide a care package. any advice on what is appropriate would be appreciated?</t>
        </is>
      </c>
      <c r="D5200" t="n">
        <v>12</v>
      </c>
      <c r="E5200" t="n">
        <v>6</v>
      </c>
      <c r="F5200">
        <f>HYPERLINK("https://www.reddit.com/r/cancer/comments/de5ap7/my_neighbour_just_got_diagnosed_with_kidney_cancer/")</f>
        <v/>
      </c>
      <c r="G5200" t="inlineStr">
        <is>
          <t>2019-10-06 09:14:03</t>
        </is>
      </c>
      <c r="H5200" t="inlineStr"/>
    </row>
    <row r="5201">
      <c r="A5201" t="inlineStr">
        <is>
          <t>de66kp</t>
        </is>
      </c>
      <c r="B5201" t="inlineStr">
        <is>
          <t>Hair not coming back</t>
        </is>
      </c>
      <c r="C5201" t="inlineStr">
        <is>
          <t>It’s been 2 months or so since my last chemo treatment and my facial hair and even pubic hair seems to slowly be coming back. The hair on my head, though, hasn’t changed since my last chemo. I’ve seen people have huge progress just a couple weeks after their last chemo. Is this normal?</t>
        </is>
      </c>
      <c r="D5201" t="n">
        <v>1</v>
      </c>
      <c r="E5201" t="n">
        <v>14</v>
      </c>
      <c r="F5201">
        <f>HYPERLINK("https://www.reddit.com/r/cancer/comments/de66kp/hair_not_coming_back/")</f>
        <v/>
      </c>
      <c r="G5201" t="inlineStr">
        <is>
          <t>2019-10-06 10:18:20</t>
        </is>
      </c>
      <c r="H5201" t="inlineStr"/>
    </row>
    <row r="5202">
      <c r="A5202" t="inlineStr">
        <is>
          <t>de9z65</t>
        </is>
      </c>
      <c r="B5202" t="inlineStr">
        <is>
          <t>6 weeks post op bladder pain and discomfort</t>
        </is>
      </c>
      <c r="C5202" t="inlineStr">
        <is>
          <t>Had partial nephrectomy via robotic laproscopic surgery that halfway through turned full open incision and radical nephrectomy.  I'm 6.5 weeks out from surgery and I still have pain, especially in my bladder.  It fills to painful pressure quickly and often.  I pee so many times per day it's crazy.  Feel like there is pressure on that area, even when I don't have to pee.  Will this continue to feel better or is this an issue?</t>
        </is>
      </c>
      <c r="D5202" t="n">
        <v>8</v>
      </c>
      <c r="E5202" t="n">
        <v>5</v>
      </c>
      <c r="F5202">
        <f>HYPERLINK("https://www.reddit.com/r/cancer/comments/de9z65/6_weeks_post_op_bladder_pain_and_discomfort/")</f>
        <v/>
      </c>
      <c r="G5202" t="inlineStr">
        <is>
          <t>2019-10-06 14:49:15</t>
        </is>
      </c>
      <c r="H5202" t="inlineStr"/>
    </row>
    <row r="5203">
      <c r="A5203" t="inlineStr">
        <is>
          <t>ded7zf</t>
        </is>
      </c>
      <c r="B5203" t="inlineStr">
        <is>
          <t>What to expect?</t>
        </is>
      </c>
      <c r="C5203" t="inlineStr">
        <is>
          <t>My dad was recently diagnosed with stage 4 cancer. The cancer started in his colon, and spread to his liver. He’s 51, and first found out about it when he got a colonoscopy. 
What should I be expecting? Is there a good chance he won’t make it? My only other experience with cancer is when my uncle died of lung cancer, so I don’t know very much about it.
Thank you.</t>
        </is>
      </c>
      <c r="D5203" t="n">
        <v>2</v>
      </c>
      <c r="E5203" t="n">
        <v>9</v>
      </c>
      <c r="F5203">
        <f>HYPERLINK("https://www.reddit.com/r/cancer/comments/ded7zf/what_to_expect/")</f>
        <v/>
      </c>
      <c r="G5203" t="inlineStr">
        <is>
          <t>2019-10-06 19:20:09</t>
        </is>
      </c>
      <c r="H5203" t="inlineStr"/>
    </row>
    <row r="5204">
      <c r="A5204" t="inlineStr">
        <is>
          <t>dedrt0</t>
        </is>
      </c>
      <c r="B5204" t="inlineStr">
        <is>
          <t>Breast reconstruction this week, 5 months after mastectomy. Did you find reconstruction helped with the emotional side?</t>
        </is>
      </c>
      <c r="C5204" t="inlineStr">
        <is>
          <t>I hope it’s ok for me to post here. My bilateral mastectomy in May was prophylactic after I had a couple of (thankfully benign) biopsies this year and received a BRCA2+ genetics result. I chose to have the mastectomy and had a lot of complications including an emergency surgery 5 weeks later to remove one of the expanders. Please tel me if I’m out of line posting here and I will remove this. 
So it’s Sunday, and on Tuesday morning I finally go in for my, “permanent” implants with fat grafting. Plus I’m doing a salpingectomy at the same time. I’m wondering if anyone has had reconstruction after a mastectomy and had any thoughts to share on the emotional part. 
Did you find it easier emotionally once you had reconstruction? Did you ever get used to your new breasts? I feel so damaged and mutilated and different with these big scars and no nipples and temporary expander/implants. Did your reconstruction help you start to fee more comfortable in your own skin again? Does it get easier?
Thank you so much.</t>
        </is>
      </c>
      <c r="D5204" t="n">
        <v>22</v>
      </c>
      <c r="E5204" t="n">
        <v>8</v>
      </c>
      <c r="F5204">
        <f>HYPERLINK("https://www.reddit.com/r/cancer/comments/dedrt0/breast_reconstruction_this_week_5_months_after/")</f>
        <v/>
      </c>
      <c r="G5204" t="inlineStr">
        <is>
          <t>2019-10-06 20:10:11</t>
        </is>
      </c>
      <c r="H5204" t="inlineStr"/>
    </row>
    <row r="5205">
      <c r="A5205" t="inlineStr">
        <is>
          <t>dee1ji</t>
        </is>
      </c>
      <c r="B5205" t="inlineStr">
        <is>
          <t>Don’t have cancer, but wanted to tell those with it to stay strong</t>
        </is>
      </c>
      <c r="C5205" t="inlineStr">
        <is>
          <t>Many of my family members are currently fighting cancer and I can’t imagine how tough it is. Out of no where your life completely changes.  Just wanted to pass on words of encouragement and hopefully sometime soon we can find a cure to all this bullshit. Also if you’re feeling down and you need someone to talk to you can message me.</t>
        </is>
      </c>
      <c r="D5205" t="n">
        <v>1</v>
      </c>
      <c r="E5205" t="n">
        <v>0</v>
      </c>
      <c r="F5205">
        <f>HYPERLINK("https://www.reddit.com/r/cancer/comments/dee1ji/dont_have_cancer_but_wanted_to_tell_those_with_it/")</f>
        <v/>
      </c>
      <c r="G5205" t="inlineStr">
        <is>
          <t>2019-10-06 20:35:34</t>
        </is>
      </c>
      <c r="H5205" t="inlineStr"/>
    </row>
    <row r="5206">
      <c r="A5206" t="inlineStr">
        <is>
          <t>deejq4</t>
        </is>
      </c>
      <c r="B5206" t="inlineStr">
        <is>
          <t>Question: Lung cancer is a major killer in the US, and survival rates are very low, in part due to late detection. The Japanese have much higher survival rates due to much earlier detection. How do they do it?</t>
        </is>
      </c>
      <c r="C5206" t="inlineStr">
        <is>
          <t>First off, I don't have cancer and don't think I'm at much risk of it at the moment. I am interested in the topic and would like to help when and where possible. One thing that I came across in my research that surprised me was the survival rate on lung cancer is way different from the US (\~20%) to Japan (over 50%). I think this is likely due to earlier detection, but it isn't clear to me how they do it. Does anyone know?
Here's the evidence I have:
[Based on this](https://www.ncbi.nlm.nih.gov/pmc/articles/PMC5350589/), the majority of lung cancers were detected in stage 1 in Japan from 2003-2008
Not surprisingly, survival rates were over 50% (women had a survival rate of almost 75%, men were around 50%). An older secondary study from 2004 confirms this number. A [British medical study](https://mainichi.jp/english/articles/20180305/p2a/00m/0na/006000c) has a lower figure, about 33%, but I can't see if they matched cancer stages. Given their study my guess would be yes. 
Does anyone know how Japan does so well with their detection?</t>
        </is>
      </c>
      <c r="D5206" t="n">
        <v>6</v>
      </c>
      <c r="E5206" t="n">
        <v>26</v>
      </c>
      <c r="F5206">
        <f>HYPERLINK("https://www.reddit.com/r/cancer/comments/deejq4/question_lung_cancer_is_a_major_killer_in_the_us/")</f>
        <v/>
      </c>
      <c r="G5206" t="inlineStr">
        <is>
          <t>2019-10-06 21:24:35</t>
        </is>
      </c>
      <c r="H5206" t="inlineStr"/>
    </row>
    <row r="5207">
      <c r="A5207" t="inlineStr">
        <is>
          <t>deh8rt</t>
        </is>
      </c>
      <c r="B5207" t="inlineStr">
        <is>
          <t>Lost Bone Marrow Donor and Dumped Over Text</t>
        </is>
      </c>
      <c r="C5207" t="inlineStr">
        <is>
          <t>I am 18 (F). We have been waiting for a few months and were told I was found a donor. Dates were set and my family got prepared to move 3 and a half hours away to the city I will be getting my transplant in. I will reside in the hospital / nearby hospital living quarters while going through transplant and will be in isolation for a majority of it.  As the day to leave came up we were called and told of a change in date. No problem? Only a few days. Okay, a few days later we make the drive the day before and get there so we have plenty of time for our early morning appointment and surgery to get a central line placed. We wait and my doctor comes in and tells us that the donor’s hospital called and said they didn’t pass a medical exam. The explanation wasn’t clear as to if it was a permanent “did not pass” or “can take medicine” and will be okay to donate in a week or two. So here I am, back home again. Awaiting to find out if I even have a donor. I keep getting promises of new dates they are “aiming” for. I’m not receiving communication from the hospital that’s supposed to be the best in my state. They are known for doing over 10 times more BMT a year, and yet they keep us at arms length with information. It’s stressful being a sitting duck and waiting for my condition to get better or worse. On top of this my ex boyfriend of a year and a half dumped me over text for last minute visiting my female best friend in college for the weekend. I fear facing transplant without someone there and I fear that transplant may never even come. My life is on hold as I wait for a donor to be available and as I wait to recover after the treatment. I am unable to work, go to college, or live my normal life. I feel purposeless and all I can do is sit and wallow. I take steroids to keep symptoms at bay and I sit and wait until I eventually get sicker or get some other symptoms during the process of waiting. I feel physically weaker as days go by and my joints all become weak and achy. I don’t feel like I have anything anymore, and I hate feeling like a burden to my friends and family. I just want my life back and I want to be able to begin my life.</t>
        </is>
      </c>
      <c r="D5207" t="n">
        <v>51</v>
      </c>
      <c r="E5207" t="n">
        <v>25</v>
      </c>
      <c r="F5207">
        <f>HYPERLINK("https://www.reddit.com/r/cancer/comments/deh8rt/lost_bone_marrow_donor_and_dumped_over_text/")</f>
        <v/>
      </c>
      <c r="G5207" t="inlineStr">
        <is>
          <t>2019-10-07 02:47:21</t>
        </is>
      </c>
      <c r="H5207" t="inlineStr"/>
    </row>
    <row r="5208">
      <c r="A5208" t="inlineStr">
        <is>
          <t>deizk5</t>
        </is>
      </c>
      <c r="B5208" t="inlineStr">
        <is>
          <t>Doctors told my mum they can't help her any further. (Stage 4 Colon cancer with mets to liver and lung)</t>
        </is>
      </c>
      <c r="C5208" t="inlineStr">
        <is>
          <t>Hey guys,
First of all I am genuinely proud of everyone in this subreddit for sharing their stories and trying to help one other! Thanks for that.  
The reason I am here, is because of my mother ( born in may 1951) 
She was diagnosed with colon cancer in 2014. She got radiotherapy, followed by (oral: tablets) chemotherapy. After reducing the tumor to a smaller size, she got an operation. During this process, the doctors saw an abnormality in her liver. She then got a second operation in which they also removed the (metastasized) tumor in her liver. So that was that, and they declared her to be "cured" from cancer.
Fast forward to 2017. 
She got a heavy cough for almost a month, when we went to the doctors for her semi-annual controls, they diagnosed her with stage 4 colon cancer with metastasis in her left lung, and some small dots in her liver. The colon was clear of cancer.
The doctors said curing was not possible anymore, so they started the traject of palliative therapy.   
\- She first got 5-FU, it didn't help.  
\- Then she got irinotecan from 26/2/19 till end of may 2019. She reacted VERY heavily, lots of diarrhea. The CT-scans showed no significant difference. So the doctors said they wanted to try something different  
\- They tried Panitumumab. It's an EGFR- inhibitor and not regular chemo. She got intense rash on her face, but the first CT-scan (after 4 treatments) showed enormous differences. The tumor in her liver and lung shrunk significantly and we were all happy something finally seemed to work.
Up until they made a second CT-scan (again after 4 treatments with panitumumab). The tumor markers were higher in her blood and the tumor in her liver showed some growth (the lung is stable).  Here comes the reason why I'm here.
According to this second CT-scan the doctors told us that there is nothing left that they can do. They basically cancelled ALL future appointments and told us they won't make any new scans or do anything, unless my mom gets new complaints, like heavy pain. They will then ONLY help reducing the pain, but nothing more than that. 
I think this is insane. 
My mom is 68, she has a stable weight, is not underweight , nor super overweight (161 cm long and weighs around 72 kg), she can walk, she can talk, she can basically still do a lot of things. Yes she is tired faster than before and has bellyaches everyday. But from the outside you would not say that my mom is a stage 4 cancer patient.  I don't get how the doctors are giving up on her, while she is still so fit? I mean i understand she is not curable, but why don't they try something else?
She has rheumatoid arthritis, they can't treat her with immunotherapy. But I've searched the web and research articles and I've found out about combination therapy where they give an EGFR- inhibitor combined with chemo (like cetuximab + irinotecan; it happens to help with patients who are not responding to irinotecan alone). Or they could give her a VEFG-inhibitor like Bevacuzimab (in combination with chemotherapy).   
There is also a new study about metastasized colon cancer (BEACON STUDY (in Dutch) ([https://www.avl.nl/nieuwsberichten/2019/nieuwe-combitherapie-biedt-darmkankerpati%C3%ABnt-extra-behandelkeuze/](https://www.avl.nl/nieuwsberichten/2019/nieuwe-combitherapie-biedt-darmkankerpati%C3%ABnt-extra-behandelkeuze/)) done recently which resulted in a combination therapy of a BRAF-inhibitor and EGFR-inhibitor or a  BRAF-inhibitor, MEK-inhibitor and a EGFR-inhibitor. I'm wondering why don't they try something like that?   
So now I have a phone-appointment with her doctor tomorrow. I really want to convince her in not giving up on treatment for my mom. All I could find is written above, so now I'm asking you guys. Do you know anything else (like therapy or something else), which I can discuss with and suggest to the doctor?  Are there any people who recognize themselves in this trajectory and found something else that helped them?
I feel so desperate and anxious at the same time. I really don't want to accept that this is the end of everything.
Thanks for reading this, and I wish you all the best!</t>
        </is>
      </c>
      <c r="D5208" t="n">
        <v>3</v>
      </c>
      <c r="E5208" t="n">
        <v>15</v>
      </c>
      <c r="F5208">
        <f>HYPERLINK("https://www.reddit.com/r/cancer/comments/deizk5/doctors_told_my_mum_they_cant_help_her_any/")</f>
        <v/>
      </c>
      <c r="G5208" t="inlineStr">
        <is>
          <t>2019-10-07 05:49:28</t>
        </is>
      </c>
      <c r="H5208" t="inlineStr"/>
    </row>
    <row r="5209">
      <c r="A5209" t="inlineStr">
        <is>
          <t>dekffu</t>
        </is>
      </c>
      <c r="B5209" t="inlineStr">
        <is>
          <t>Careers post/living with cancer... any advice?</t>
        </is>
      </c>
      <c r="C5209" t="inlineStr">
        <is>
          <t>I’ve been pretty successful in a media career but now, at 43, 3 years post my diagnosis with my cancer under control (no cure... a rare lymphoma/on ibrutinib forever) two kids 7 and 4 at home and the sole breadwinner for the family, I’m so disenchanted. 
I finally feel great health wise... back to my old self, but I just don’t have the same drive I once did for my career. It all seems so empty with no real endpoint to achieve. Moving further into management (as I have in the past) results in more stress and hours away from the family, something I don’t want. But, staying at the same level is truly beneath my experience level... albeit appreciated by any/all of my managers because it results in them not needing to manage me much. I do have a lot of freedom at my job. It’s just incredibly stressful. That’s the nature of the movie career even at its best.
It’s all FINE for now, but I guess I’m just looking for how other people handle these range of emotions? I truly have a love-hate relationship with my job and can’t see doing the same thing a decade from now. 
Nobody seems to have any realistic answers for me on how to proceed. 
Leaving this job means putting my health insurance in question (something I can’t do... medication is extremely expensive and will be FOREVER).
I guess I just need advice. How can I keep my head up and keep pushing forward with no end to my unhappiness/this extreme stress in sight?</t>
        </is>
      </c>
      <c r="D5209" t="n">
        <v>14</v>
      </c>
      <c r="E5209" t="n">
        <v>10</v>
      </c>
      <c r="F5209">
        <f>HYPERLINK("https://www.reddit.com/r/cancer/comments/dekffu/careers_postliving_with_cancer_any_advice/")</f>
        <v/>
      </c>
      <c r="G5209" t="inlineStr">
        <is>
          <t>2019-10-07 07:46:49</t>
        </is>
      </c>
      <c r="H5209" t="inlineStr"/>
    </row>
    <row r="5210">
      <c r="A5210" t="inlineStr">
        <is>
          <t>deksdr</t>
        </is>
      </c>
      <c r="B5210" t="inlineStr">
        <is>
          <t>I just found out my dad was diagnosed with cancer. Again.</t>
        </is>
      </c>
      <c r="C5210" t="inlineStr">
        <is>
          <t>I got a call from him yesterday and before I even answered I knew something was wrong. There had been something nagging at the back of my brain all week, but I couldn't place it. I actually started googling early symptoms of Alzheimer's because I was convinced my dad was sick again. 
When I was about 10, he was diagnosed with colon cancer. He was in treatment for about a year, maybe two. It's hard to say since I was young at the time and my memory is a little fuzzy. He beat the cancer through chemotherapy and radiation. We were so excited--until he started showing symptoms of complications from the chemo. His skin was constantly this gross yellow hue, he started getting liver spots, and fluid would flood into his lungs. What's more is that they botched the surgery, so his abdomen won't fuse back together and he got a bit of a gut, effecting his self-esteem. Eventually he was diagnosed with cirrhosis. He managed by cutting out drinking completely, and I tried my best to get him to adopt a healthier lifestyle. He improved his health a bit through medications and some lifestyle changes, but he was never as disciplined as he should've been.
Around the end of my senior year of high school, my mom was diagnosed with breast cancer. She had to get a double mastectomy. Chemo. Radiation. The whole *shi-bang*. She tried to get reconstructive surgery, but she got a chronic infection from that, so they had to take out her new implants. And then the chemo caused her to lose all of her hair, of course. I remember my family holding her hands on our back porch while my sister shaved her head. She went into remission, but then we found out what her complications would be (there's always something). She had permanent hair loss. Her hair would never come back. She does literally everything to help her hair--takes every vitamin under the sun, every super expensive hair product, you name it. But it's gone.
Eventually, the high cost of health care and my dad continuously losing his job sent our family into the red. Not to mention the fact that they had three kids, all of whom were in college at this point. It took an irreversible toll on their relationship, and they finalized their divorce in April of this year.
My dad called me last month. Said he needed a liver transplant, said the cirrhosis had finally done its job. He's on the list and is waiting.
Then he called me at the end of September. He lost his job--but no worries! He has ANOTHER one lined up! yay...
And then the call yesterday: he told me he had Hodgkin's lymphoma, stage II. Easily treatable, he says. All he basically has to do is take a pill. 
But I can't help the anxiety that has completely taken over my body. I feel totally numb. I'm at the library. I'm supposed to be studying right now (started graduate school a month ago). But I can't focus. Illness, cancer, money, all of it, is permeating my every thought and it feels like it's taking over my existence. I'm so scared I'm going to end up like my parents. I feel like it's unavoidable that I'm going to also end up sick and alone. 
And I'm terrified for my dad. He says it's going to be okay, but I'm not so sure. I'm worried about his mental health, too. And while his lymphoma is curable, he also has the liver transplant to worry about. One disease is manageable (arguably). But two? Diagnosed within weeks of each other??
I know there's nothing I can do but to be there for him. I just feel helpless in the situation--for my parents and for my own unknown future.
I turn to the reddit cancer community to ask questions on the best way to compartmentalize my thoughts, the best way to keep my focus... if anyone else has had experience with cirrhosis or lymphoma...
What are the preventative measures, if any, that I can take so that I can avoid a similar fate? Is it avoidable or am I screwed? My parents' adult life has been filled with so much anxiety over health care that I don't want to end up that way. I do know that if I'm ever diagnosed with cancer I will refuse chemo treatment. It isn't worth it.
**TLDR; Dad had colon cancer, got cirrhosis from complications. Mom had breast cancer, got chronic infection and permanently lost hair from chemo complications. Parents got divorced from subsequent debt. Dad needs liver transplant. Dad lost job. Dad diagnosed with lymphoma.**</t>
        </is>
      </c>
      <c r="D5210" t="n">
        <v>29</v>
      </c>
      <c r="E5210" t="n">
        <v>12</v>
      </c>
      <c r="F5210">
        <f>HYPERLINK("https://www.reddit.com/r/cancer/comments/deksdr/i_just_found_out_my_dad_was_diagnosed_with_cancer/")</f>
        <v/>
      </c>
      <c r="G5210" t="inlineStr">
        <is>
          <t>2019-10-07 08:12:57</t>
        </is>
      </c>
      <c r="H5210" t="inlineStr"/>
    </row>
    <row r="5211">
      <c r="A5211" t="inlineStr">
        <is>
          <t>delfl8</t>
        </is>
      </c>
      <c r="B5211" t="inlineStr">
        <is>
          <t>Drinking after stem cell transplant</t>
        </is>
      </c>
      <c r="C5211" t="inlineStr">
        <is>
          <t>I’m 5 months and a bit out of my stem cell transplant for testicular cancer and for my birthday I drank 3 wines and a beer which is much less than before but it was my first time drinking since everything and I woke up feeling terrible, and puked a few times.  I went to a concert that next night and felt fine.  But then I woke up at 4 am that night lightheaded and my heart rate momentarily spiked to 140 and immediately went down.  I fell asleep after and was fine but now I’m super anxious I’ve irreparably damaged myself.  Is that a stupid concern?</t>
        </is>
      </c>
      <c r="D5211" t="n">
        <v>6</v>
      </c>
      <c r="E5211" t="n">
        <v>2</v>
      </c>
      <c r="F5211">
        <f>HYPERLINK("https://www.reddit.com/r/cancer/comments/delfl8/drinking_after_stem_cell_transplant/")</f>
        <v/>
      </c>
      <c r="G5211" t="inlineStr">
        <is>
          <t>2019-10-07 09:00:18</t>
        </is>
      </c>
      <c r="H5211" t="inlineStr"/>
    </row>
    <row r="5212">
      <c r="A5212" t="inlineStr">
        <is>
          <t>den4ee</t>
        </is>
      </c>
      <c r="B5212" t="inlineStr">
        <is>
          <t>Kidney cancer diagnosis</t>
        </is>
      </c>
      <c r="C5212" t="inlineStr">
        <is>
          <t>Was just diagnosed with stage 1 papillary renal cell carcinoma type 1a. Does anyone else have experience with this type of cancer? They want to do an arterial embolization to cut off blood flow to it. I guess I'm just not sure how to feel and would like to talk to someone who has been through something similar.</t>
        </is>
      </c>
      <c r="D5212" t="n">
        <v>6</v>
      </c>
      <c r="E5212" t="n">
        <v>3</v>
      </c>
      <c r="F5212">
        <f>HYPERLINK("https://www.reddit.com/r/cancer/comments/den4ee/kidney_cancer_diagnosis/")</f>
        <v/>
      </c>
      <c r="G5212" t="inlineStr">
        <is>
          <t>2019-10-07 11:00:08</t>
        </is>
      </c>
      <c r="H5212" t="inlineStr"/>
    </row>
    <row r="5213">
      <c r="A5213" t="inlineStr">
        <is>
          <t>deochj</t>
        </is>
      </c>
      <c r="B5213" t="inlineStr">
        <is>
          <t>Good news! There is an solution to one of man’s biggest problems.... death. 10/10 people die, and I don’t want you to die in your sins (Hell), this message reveals how we can be saved as an free gift from God through Christ, (with some evidence, the problem and the solution). Thank you.</t>
        </is>
      </c>
      <c r="C5213" t="inlineStr">
        <is>
          <t>Good news! 
Thank you for taking the time to read this message, I appreciate it!            -           I’d love to share this amazing news with you, but first, there is some bad news, here, take a test.
Where are you going when you die? Do you think your a good person?  If so...
* How many lies have you told? * Have you ever stolen anything despite its value?
* Have you fornicated or entertained lustful thoughts (aka. committed adultery-of-the-heart)?
* Maybe you’ve never gone so far as to murder someone, but have you simply harboured hatred for another human being (aka. committed murder-of-the-heart)?
* Have you desperately longed for something you do not own, or that someone else possesses? (covet)
* Have you taken God’s holy and awesome name in vain, using it as a swear-word? (blasphemy), Have you remembered the sabbath day? There are some of the Ten Commandments.
Now, if God were to Judge you on the Ten Commandments, would you be innocent or guilty? 
--------------------------------------------- The Results-------------------------------------------
You and me, we have both broke God’s laws, we would be guilty, none are good but God. Since the fall of man, it is now embedded into our very nature to be dreadfully sinful, utterly disobedient, and outrageous rebels. Romans 3:23 says, “for all have sinned and fall short of the glory of God”. God is Holy and Just and will condemn guilty sinners, just as a Just Judge must condemn someone guilty of a crime. 
------------------------------------------The Consequence----------------------------------------
God’s law clearly displays our wickedness and the problem we have with sin. His standard of the Ten Commandments (Exodus 20:3-17) expose our sinfulness. Romans 6:23 informs us of the wages of sin — death. By disobeying God who is Holy, Righteous, Just, Perfect, Sovereign, Eternal, by breaking His laws, we have earned death for ourselves (spiritually, physically, and perpetually for eternity). That was the bad news; Now we know nothing can create intelligent design, order, conscience, morality, but an external greater force, (Almighty God) can. Romans 1:20 For the invisible things of him from the creation of the world are clearly seen, being understood by the things that are made, even his eternal power and Godhead; so that they are without excuse: People know God exists, but suppress the truth in unrighteousness, John 3:19 And this is the condemnation, that light is come into the world, and men loved darkness rather than light, because their deeds were evil. Some sources for Jesus: 500+ witnesses, 24000+ manuscripts, fulfillment of Biblical Prophecies, historical, archeological, scientific data, 9 ancient sources, Holy Scripture, etc. The Lord Jesus Christ's resurrection shows that the Lord Jesus Christ is the one and only way, truth, and the life.    HERE IS THE    +         GOOD NEWS!      +
---------------------------------The Ultimate Sacrifice and Victory-------------------------------
Though we’ve lied, stolen, blasphemed, lusted, and broke all God’s laws, and will be justly condemned to Hell if we remain in our sins, God is the God of Love whose mercy endureth forever, God does not want any to perish but for all to come to repentance, so God sent His Son, the Lord Jesus Christ, (God manifested in the flesh), to suffer the wrath of God we deserved, then Christ died for our sins, was buried, and rose again on the third day conquering sin death and the grave! God offers salvation as a free gift, amazing Grace!
------------------------------------------- Our Response------------------------------------------
When we repent of our sins and trust fully in the Saviour to rescue us from our own sinfulness, we become new creations! “The old has gone, the new has come” (2 Corinthians 5:17)! Along with inheriting our new identity as a Christian, a child of God, an ambassador for the Lord, we are assured a place in Heaven and gain the desire and power to battle sin. Whereas before, we were held captive to sin, utterly powerless and given zero reason even to fight against it, now, we are slaves to Christ and His righteousness (Romans 6:18). This is where true freedom begins!
But, what exactly does repentance mean? And what does it look like to trust Christ exclusively.
Repentance is to reject your old sinful ways of living and make a 180-turn towards God and His good, righteous character/statutes. It means we feel the weight of our guilt before God and respond by sincerely apologizing for our wickedness, thanking Him for His pardon through the blood of Jesus, and living the rest of our lives to please Him — and Him alone.
To trust Christ is to understand that only He has the power and authority to rescue you from your sin. No amount of good deeds will save you; only His redeeming blood-sacrifice will. Not one person will make it to Heaven because of something they did. The credit for our salvation belongs entirely to the Lord. So, love Him! “Love the Lord your God with all your heart and with all your soul and with all your mind and with all your strength” (Mark 12:30) because of Who He is and what He has done for you!
--------------------------------------------- Summary---------------------------------------------
To sum it up, here is a brief message of the Gospel: You’ve sinned; I’ve sinned; we’ve all sinned. Every single one of us needs saving and we can’t save ourselves; there is no possibility of earning our way to Heaven. Jesus Christ, the blameless Messiah, — truly God &amp;amp; truly man — humbled Himself as a servant on Earth and died a horrible death, paying the penalty we rightfully deserved for our own sin. Three days later, He conquered sin/death once-and-for-all by resurrecting from the grave. Now, through Christ’s death and victory, we can be made alive (no longer spiritually dead). He paid our ransom, our fine, and triumphed over the power of sin so that we could do the same, following after Him. 
What do you need to do to receive this precious, totally undeserved gift of salvation? Repent and believe (Mark 1:15). Turn away from sin, reject your old way of life and place the entirety of your trust in Jesus Christ. Humble yourself. Quit being prideful, relying upon your own good deeds to get you through. Understand that He is the only way to Heaven and put your faith in Him alone to save you. Thank you for taking the time to read it, the person reading this, I care about you so much and there is nothing more important than your salvation,  and God wants you to come to salvation. Peace be with you. Love you!</t>
        </is>
      </c>
      <c r="D5213" t="n">
        <v>0</v>
      </c>
      <c r="E5213" t="n">
        <v>0</v>
      </c>
      <c r="F5213">
        <f>HYPERLINK("https://www.reddit.com/r/cancer/comments/deochj/good_news_there_is_an_solution_to_one_of_mans/")</f>
        <v/>
      </c>
      <c r="G5213" t="inlineStr">
        <is>
          <t>2019-10-07 12:26:59</t>
        </is>
      </c>
      <c r="H5213" t="inlineStr"/>
    </row>
    <row r="5214">
      <c r="A5214" t="inlineStr">
        <is>
          <t>depfqa</t>
        </is>
      </c>
      <c r="B5214" t="inlineStr">
        <is>
          <t>PSA: If you have federal student loans, you can now apply to defer them for the duration of treatment.</t>
        </is>
      </c>
      <c r="C5214" t="inlineStr">
        <is>
          <t>[See the notice and find the form here.](https://studentaid.ed.gov/sa/repay-loans/deferment-forbearance#deferment-eligibility)
From my understanding, it defers payments and subsides the interest on eligible loans for the duration of treatment AND six months after. This program technically passed last year, but there weren't forms to apply for it until recently. I was trying to learn about this program in July, but couldn't move forward. In case anyone else didn't know it was finally available, I wanted to share the news.</t>
        </is>
      </c>
      <c r="D5214" t="n">
        <v>42</v>
      </c>
      <c r="E5214" t="n">
        <v>9</v>
      </c>
      <c r="F5214">
        <f>HYPERLINK("https://www.reddit.com/r/cancer/comments/depfqa/psa_if_you_have_federal_student_loans_you_can_now/")</f>
        <v/>
      </c>
      <c r="G5214" t="inlineStr">
        <is>
          <t>2019-10-07 13:42:26</t>
        </is>
      </c>
      <c r="H5214" t="inlineStr"/>
    </row>
    <row r="5215">
      <c r="A5215" t="inlineStr">
        <is>
          <t>derskl</t>
        </is>
      </c>
      <c r="B5215" t="inlineStr">
        <is>
          <t>What's your quick way to increase white blood cell count with foods?</t>
        </is>
      </c>
      <c r="C5215" t="inlineStr">
        <is>
          <t>It's kinda hard getting white blood cells count to go up what do you do for your diet to get it up?</t>
        </is>
      </c>
      <c r="D5215" t="n">
        <v>15</v>
      </c>
      <c r="E5215" t="n">
        <v>15</v>
      </c>
      <c r="F5215">
        <f>HYPERLINK("https://www.reddit.com/r/cancer/comments/derskl/whats_your_quick_way_to_increase_white_blood_cell/")</f>
        <v/>
      </c>
      <c r="G5215" t="inlineStr">
        <is>
          <t>2019-10-07 16:37:41</t>
        </is>
      </c>
      <c r="H5215" t="inlineStr"/>
    </row>
    <row r="5216">
      <c r="A5216" t="inlineStr">
        <is>
          <t>deslhp</t>
        </is>
      </c>
      <c r="B5216" t="inlineStr">
        <is>
          <t>Husband has stage IV bladder cancer and says that he has lost his heart...</t>
        </is>
      </c>
      <c r="C5216" t="inlineStr">
        <is>
          <t>Hi, I am reaching for a life line. My husband of 21 years has stage IV bladder cancer. Did chemotherapy and radiation. Cancer progressed through treatment and landed in right side groin lymph nodes. Luckily (?), he was typed to keytruda... He has constant pain. Fears that every day is his last. I am trying desperately to get his spirit back...</t>
        </is>
      </c>
      <c r="D5216" t="n">
        <v>9</v>
      </c>
      <c r="E5216" t="n">
        <v>10</v>
      </c>
      <c r="F5216">
        <f>HYPERLINK("https://www.reddit.com/r/cancer/comments/deslhp/husband_has_stage_iv_bladder_cancer_and_says_that/")</f>
        <v/>
      </c>
      <c r="G5216" t="inlineStr">
        <is>
          <t>2019-10-07 17:45:05</t>
        </is>
      </c>
      <c r="H5216" t="inlineStr"/>
    </row>
    <row r="5217">
      <c r="A5217" t="inlineStr">
        <is>
          <t>detbpd</t>
        </is>
      </c>
      <c r="B5217" t="inlineStr">
        <is>
          <t>Being spousal support.</t>
        </is>
      </c>
      <c r="C5217" t="inlineStr">
        <is>
          <t>It is so difficult to be the spouse of a cancer patient. My wife is going through her second round. We have a 7 month old. We found it after she gave birth. First breast, now metastatic brain spine and lung. We are currently “beating” it.  But with this you never stop fighting. It feels at times I’m pushing a rock up hill while ice skating. It’s lonely, isolated, and it down right sucks. 
I’ve gone to therapists (3), I’ve gone to pastors. I haven’t tried groups yet but it seems like they would be as depressing as my current status is. 
Does anyone have good coping mechanisms they use or have used? I’m not grasping as straws here because we maintain an extremely positive attitude no matter what. It’s just becoming difficult to feel second fiddle to this. 
I know this is scattered thought, but I am reaching a silent breaking point.</t>
        </is>
      </c>
      <c r="D5217" t="n">
        <v>13</v>
      </c>
      <c r="E5217" t="n">
        <v>9</v>
      </c>
      <c r="F5217">
        <f>HYPERLINK("https://www.reddit.com/r/cancer/comments/detbpd/being_spousal_support/")</f>
        <v/>
      </c>
      <c r="G5217" t="inlineStr">
        <is>
          <t>2019-10-07 18:44:38</t>
        </is>
      </c>
      <c r="H5217" t="inlineStr"/>
    </row>
    <row r="5218">
      <c r="A5218" t="inlineStr">
        <is>
          <t>devis1</t>
        </is>
      </c>
      <c r="B5218" t="inlineStr">
        <is>
          <t>Nearly lost my husband tonight</t>
        </is>
      </c>
      <c r="C5218" t="inlineStr">
        <is>
          <t>Over a bladder blood clot excavation. 
His BP tanked in the surgery, and doctor told us that he wasn’t sure he would’ve made it through the night without the surgery. 
I just want to cry but I can’t. I’m scared this is really happening now. I’m so scared he’s going to die soon. 
I know what’s coming but like damn, the reality of this is hitting me hard. I’m not ready to be without him. Lol I’ll never be ready. 
Fuck dude, he’s not even 30. Like what will my life look like without him in it? A widow at 26? 27? My birthday is next month. Sheesh. 
I’m so tired. I don’t want him to die.
I just want to cry but I’m sleeping in the ICU and have no privacy.</t>
        </is>
      </c>
      <c r="D5218" t="n">
        <v>48</v>
      </c>
      <c r="E5218" t="n">
        <v>16</v>
      </c>
      <c r="F5218">
        <f>HYPERLINK("https://www.reddit.com/r/cancer/comments/devis1/nearly_lost_my_husband_tonight/")</f>
        <v/>
      </c>
      <c r="G5218" t="inlineStr">
        <is>
          <t>2019-10-07 22:11:45</t>
        </is>
      </c>
      <c r="H5218" t="inlineStr"/>
    </row>
    <row r="5219">
      <c r="A5219" t="inlineStr">
        <is>
          <t>devw61</t>
        </is>
      </c>
      <c r="B5219" t="inlineStr">
        <is>
          <t>I lost my friend on Saturday</t>
        </is>
      </c>
      <c r="C5219" t="inlineStr">
        <is>
          <t>Cancer took her after nearly 2 years. She was supposed to be back at school after winter break. And suddenly she passed away.</t>
        </is>
      </c>
      <c r="D5219" t="n">
        <v>15</v>
      </c>
      <c r="E5219" t="n">
        <v>3</v>
      </c>
      <c r="F5219">
        <f>HYPERLINK("https://www.reddit.com/r/cancer/comments/devw61/i_lost_my_friend_on_saturday/")</f>
        <v/>
      </c>
      <c r="G5219" t="inlineStr">
        <is>
          <t>2019-10-07 22:55:32</t>
        </is>
      </c>
      <c r="H5219" t="inlineStr"/>
    </row>
    <row r="5220">
      <c r="A5220" t="inlineStr">
        <is>
          <t>devwlu</t>
        </is>
      </c>
      <c r="B5220" t="inlineStr">
        <is>
          <t>The craziness of prednisone</t>
        </is>
      </c>
      <c r="C5220" t="inlineStr">
        <is>
          <t>Finished up radiation treatment for breast cancer, and then got put on a 2 week dose of prednisone after breaking out in a nasty systemic radiation dermatitis. All over my damned body. They put me on prednisone and I swear the next day I was out chopping down a BUSH. I mean, hacked that thing away even though I'd lost weight. I even chopped it up small enough to put in the greenwaste bin and hauled it down to the curb.  I've been cleaning like a crazy person, and hardly sleeping. Yesterday, I started going down on the dose and my stomach feels like a rock. I'm tired, and now they say,  at least the rash is going all away and damned my house is clean!</t>
        </is>
      </c>
      <c r="D5220" t="n">
        <v>21</v>
      </c>
      <c r="E5220" t="n">
        <v>21</v>
      </c>
      <c r="F5220">
        <f>HYPERLINK("https://www.reddit.com/r/cancer/comments/devwlu/the_craziness_of_prednisone/")</f>
        <v/>
      </c>
      <c r="G5220" t="inlineStr">
        <is>
          <t>2019-10-07 22:57:11</t>
        </is>
      </c>
      <c r="H5220" t="inlineStr"/>
    </row>
    <row r="5221">
      <c r="A5221" t="inlineStr">
        <is>
          <t>dex51k</t>
        </is>
      </c>
      <c r="B5221" t="inlineStr">
        <is>
          <t>Is it a brain tumor or just anxiety? Please I’m freaking out I don’t want to die</t>
        </is>
      </c>
      <c r="C5221" t="inlineStr">
        <is>
          <t>Please I’m very scared. I’m just fifteen years old and I’m freaking out because I think that I might have a brain tumor. My parents just get angry when I tell them about it and say that I don’t have it. Below are my symptoms and the symptoms that I don’t have 
Symptoms:
-Sometimes I get this weird feeling of slight pressure in my brain,
-Sometimes (it’s hard to explain) I get this weird feeling like I’m in a movie or something like I’m just watching myself do things but I can like control myself when I notice that I have this feeling,
-Yesterday a pain in my left temple has started (I can only feel it when I press on a specific spot like I hit my head but I don’t remember anything like that and if I hit my head during sleep I guess that I would wake up),
-Mood changes
-Anxiety attacks (might be a cause of all of this)
-weird bump on top of my skull. It feels like the skull because it’s as hard as a bone so I guess that it’s just the shape of the skull but I don’t know if it might be caused by a tumor (I think I always had the bump),
Symptoms I don’t have:
-morning headaches,
-nausea,
-vomiting,
-speaking problems,
-walking problems,
- I don’t know any other symptoms
I’m very scared that I might have a tumor but all of these symptoms might be caused by anxiety and hypochondria ( I self diagnosed myself with it because I always tell my self that I have a disease and get very sad and think about death. Might be anxiety). Could you tell me if this might be a brain tumor? I would be grateful because I’m really freaking out. Thanks!
P.S. If you want you can ask me anything.</t>
        </is>
      </c>
      <c r="D5221" t="n">
        <v>0</v>
      </c>
      <c r="E5221" t="n">
        <v>22</v>
      </c>
      <c r="F5221">
        <f>HYPERLINK("https://www.reddit.com/r/cancer/comments/dex51k/is_it_a_brain_tumor_or_just_anxiety_please_im/")</f>
        <v/>
      </c>
      <c r="G5221" t="inlineStr">
        <is>
          <t>2019-10-08 01:30:02</t>
        </is>
      </c>
      <c r="H5221" t="inlineStr"/>
    </row>
    <row r="5222">
      <c r="A5222" t="inlineStr">
        <is>
          <t>dexhw8</t>
        </is>
      </c>
      <c r="B5222" t="inlineStr">
        <is>
          <t>It’s weird the way the brain works</t>
        </is>
      </c>
      <c r="C5222" t="inlineStr">
        <is>
          <t>My grandad past away on the 16th of last month and it was definitely the worst nights of my life but also one of the nicest, it was the worst because I lost a best friend and someone who I believe was one of the best men on the planet (he never drank, never smoked, was a firefighter, saved peoples lives and also volunteered to be Santa at one of my old schools) it was one of the nicest nights because for the first time in months we saw him in no pain and in such peace. 
After his death I was thinking why for me atleast would it be easier for me to get told that I was going to die than hearing that a loved one was going to pass, it may sound as if I don’t care about dying but even at the age of 18 and joining the army I already feel like that when my time is up I would be content. 
I don’t wish to die or anything but it just made me think that as much as humans are selfish it hurts more to hear that someone you love’s time is up more than your own.</t>
        </is>
      </c>
      <c r="D5222" t="n">
        <v>8</v>
      </c>
      <c r="E5222" t="n">
        <v>1</v>
      </c>
      <c r="F5222">
        <f>HYPERLINK("https://www.reddit.com/r/cancer/comments/dexhw8/its_weird_the_way_the_brain_works/")</f>
        <v/>
      </c>
      <c r="G5222" t="inlineStr">
        <is>
          <t>2019-10-08 02:16:57</t>
        </is>
      </c>
      <c r="H5222" t="inlineStr"/>
    </row>
    <row r="5223">
      <c r="A5223" t="inlineStr">
        <is>
          <t>dexozz</t>
        </is>
      </c>
      <c r="B5223" t="inlineStr">
        <is>
          <t>Going back to work</t>
        </is>
      </c>
      <c r="C5223" t="inlineStr">
        <is>
          <t>Hello,
I have a stage IV diagnosis. It's being well managed with bouts of treatment and lots of meds for pain and nausea which work well. Blood products and pamidronate about every three weeks. I had some more intensive treatment earlier this year and spent a few months recovering and now I'm getting back into working. I'm enjoying it and certainly don't want to stop but just wondered if anyone had any experience with managing energy levels. I'm three weeks in and starting to feel really exhausted, had a really really rough go of it on Friday and Saturday (couldn't even stand up properly) and now I'm afraid that that's where I'm gonna end up every week. I don't have time for that! I love my work and my clients and don't want to be letting anyone down or missing out on anything. I know some letting down and missing out is expected but would like to minimise as much as possible.</t>
        </is>
      </c>
      <c r="D5223" t="n">
        <v>4</v>
      </c>
      <c r="E5223" t="n">
        <v>3</v>
      </c>
      <c r="F5223">
        <f>HYPERLINK("https://www.reddit.com/r/cancer/comments/dexozz/going_back_to_work/")</f>
        <v/>
      </c>
      <c r="G5223" t="inlineStr">
        <is>
          <t>2019-10-08 02:41:49</t>
        </is>
      </c>
      <c r="H5223" t="inlineStr"/>
    </row>
    <row r="5224">
      <c r="A5224" t="inlineStr">
        <is>
          <t>dey9kj</t>
        </is>
      </c>
      <c r="B5224" t="inlineStr">
        <is>
          <t>Timing of pet scan after colonoscopy?</t>
        </is>
      </c>
      <c r="C5224" t="inlineStr">
        <is>
          <t>My dad is a double-hit DLBCL Lymphoma patient who had a benign polyp removed during a colonoscopy on the 28th of August (so just over a month ago), it was a flat polyp and the area needed to be closed together with small metal pins post procedure which should fall out on their own. It's coming to the time that we should think about another PET scan to see how he is, but I wanted to know if we needed to wait a certain amount of time post procedure to avoid any false positive results? The lastest we could schedule for is the 28th of October, so 2 months since polyp removal. I know that there is a time that they like you to wait post chemotherapy/radiotherapy/surgery, but I wasnt sure if his situation fit into those time frames exactly? Would you have any advice?
&amp;amp;#x200B;
Very best,
Tranadex</t>
        </is>
      </c>
      <c r="D5224" t="n">
        <v>2</v>
      </c>
      <c r="E5224" t="n">
        <v>0</v>
      </c>
      <c r="F5224">
        <f>HYPERLINK("https://www.reddit.com/r/cancer/comments/dey9kj/timing_of_pet_scan_after_colonoscopy/")</f>
        <v/>
      </c>
      <c r="G5224" t="inlineStr">
        <is>
          <t>2019-10-08 03:49:11</t>
        </is>
      </c>
      <c r="H5224" t="inlineStr"/>
    </row>
    <row r="5225">
      <c r="A5225" t="inlineStr">
        <is>
          <t>deysft</t>
        </is>
      </c>
      <c r="B5225" t="inlineStr">
        <is>
          <t>Flavonoid Derivative of Cannabis Demonstrates Therapeutic Potential in Preclinical Models of Metastatic Pancreatic Cancer</t>
        </is>
      </c>
      <c r="C5225" t="inlineStr">
        <is>
          <t>Harvard researches have recently published their findings in the journal *Frontiers of Oncology* focusing on the potential of flavonoides found in the cannabis plant as an effective treatment for pancreatic cancer. The researchers were successfull in killing 70% of cancer cells in mice with pancreatic cancer. The mice who were given the treatment not only saw inhibition of tumor growth in the pancreas, but also in other parts of the body. 
 [https://www.ncbi.nlm.nih.gov/pmc/articles/PMC6663976/](https://www.ncbi.nlm.nih.gov/pmc/articles/PMC6663976/)</t>
        </is>
      </c>
      <c r="D5225" t="n">
        <v>8</v>
      </c>
      <c r="E5225" t="n">
        <v>0</v>
      </c>
      <c r="F5225">
        <f>HYPERLINK("https://www.reddit.com/r/cancer/comments/deysft/flavonoid_derivative_of_cannabis_demonstrates/")</f>
        <v/>
      </c>
      <c r="G5225" t="inlineStr">
        <is>
          <t>2019-10-08 04:43:49</t>
        </is>
      </c>
      <c r="H5225" t="inlineStr"/>
    </row>
    <row r="5226">
      <c r="A5226" t="inlineStr">
        <is>
          <t>dezekh</t>
        </is>
      </c>
      <c r="B5226" t="inlineStr">
        <is>
          <t>Today i recieved a call. My father has lung cancer.</t>
        </is>
      </c>
      <c r="C5226" t="inlineStr">
        <is>
          <t>I feel like shit atm</t>
        </is>
      </c>
      <c r="D5226" t="n">
        <v>13</v>
      </c>
      <c r="E5226" t="n">
        <v>7</v>
      </c>
      <c r="F5226">
        <f>HYPERLINK("https://www.reddit.com/r/cancer/comments/dezekh/today_i_recieved_a_call_my_father_has_lung_cancer/")</f>
        <v/>
      </c>
      <c r="G5226" t="inlineStr">
        <is>
          <t>2019-10-08 05:41:18</t>
        </is>
      </c>
      <c r="H5226" t="inlineStr"/>
    </row>
    <row r="5227">
      <c r="A5227" t="inlineStr">
        <is>
          <t>df059n</t>
        </is>
      </c>
      <c r="B5227" t="inlineStr">
        <is>
          <t>Trial for canine cancer vaccine</t>
        </is>
      </c>
      <c r="C5227" t="inlineStr">
        <is>
          <t xml:space="preserve"> The Vaccination Against Canine Cancer study -  “This vaccine shows the immune system some stuff that might be present on tumors that develop in the future, and if the immune system sees those things, they can rev up quickly and efficiently.”  
Was found to be successful in mice. Hopefully will work in dogs, then possibly in humans. Small trial with 150 dogs, half selected to receive placebo.</t>
        </is>
      </c>
      <c r="D5227" t="n">
        <v>4</v>
      </c>
      <c r="E5227" t="n">
        <v>1</v>
      </c>
      <c r="F5227">
        <f>HYPERLINK("https://www.reddit.com/r/cancer/comments/df059n/trial_for_canine_cancer_vaccine/")</f>
        <v/>
      </c>
      <c r="G5227" t="inlineStr">
        <is>
          <t>2019-10-08 06:43:40</t>
        </is>
      </c>
      <c r="H5227" t="inlineStr"/>
    </row>
    <row r="5228">
      <c r="A5228" t="inlineStr">
        <is>
          <t>df0bc1</t>
        </is>
      </c>
      <c r="B5228" t="inlineStr">
        <is>
          <t>How legit are Breast Cancer Now, is my money better elsewhere?</t>
        </is>
      </c>
      <c r="C5228" t="inlineStr">
        <is>
          <t>I've been seeing posts about avoiding the pink ribbon charities but they all seem to relate to the US based charity.
I'm wondering where I can find information on where to donate and where to tell others to donate to make the most of the money raised.
I'm based in the UK and I can't find any information on the newly merged charity Breast Cancer Now. They're doing a big push for donations this month but I don't know how legit they are or if they're the best use of my donation.</t>
        </is>
      </c>
      <c r="D5228" t="n">
        <v>6</v>
      </c>
      <c r="E5228" t="n">
        <v>5</v>
      </c>
      <c r="F5228">
        <f>HYPERLINK("https://www.reddit.com/r/cancer/comments/df0bc1/how_legit_are_breast_cancer_now_is_my_money/")</f>
        <v/>
      </c>
      <c r="G5228" t="inlineStr">
        <is>
          <t>2019-10-08 06:57:30</t>
        </is>
      </c>
      <c r="H5228" t="inlineStr"/>
    </row>
    <row r="5229">
      <c r="A5229" t="inlineStr">
        <is>
          <t>df19jk</t>
        </is>
      </c>
      <c r="B5229" t="inlineStr">
        <is>
          <t>NFL</t>
        </is>
      </c>
      <c r="C5229" t="inlineStr">
        <is>
          <t>Dear NFL,
It was hard to miss all of the pink once October started. Breast Cancer Awareness Month has prompted the NFL to add pink ribbons to the fields, honor survivors and has encouraged players to wear pink cleats, gloves and towels. Every person who has been affected by Breast Cancer is grateful. It is so incredible to see the support.
Did you know that September is Pediatric Cancer Awareness Month? Did you know that it is also Leukemia Awareness Month, the most common pediatric cancer? You must not have, because there wasn’t one single gold ribbon-not on a field, not on a player, not anywhere. Did you know that pediatric cancer is one of the least funded cancers? Did you know, with the influence of the NFL, that could change? Did you know that team owners, who are already loved and respected in their local communities, would be promoted to sainthood if they provided assistance to small charities, in their greater communities, where volunteers spend endless hours working to support patients and families struggling through a pediatric cancer diagnosis? Did you know that there is nothing more horrific than watching your child struggle, watching the chemo drip into their small, delicate bodies, knowing that the poison is the only hope you and they have, and be absolutely helpless? 
There are more questions….
Did you know that October is also Liver Cancer Awareness month? Or that November is Pancreatic Cancer, Lung Cancer, Stomach Cancer and Carcinoid Cancer Awareness month? It seems that every month, sadly, has to have an awareness for multiple cancers. Is there a reason you focus on Breast Cancer Awareness, and not all the others? 
We are grateful for the money, and publicity the NFL has raised for Breast Cancer Research. You know the old adage, “Women and children should be the first ones saved"? It seems as though you are doing a great job saving the women. It is commendable. Breast cancer has affected countless women and research is crucial to survival and cures. One last question. Can you, the NFL, put as much time, money and resources into saving children? Next September, perhaps the fields and the players will shine with gold and the survivors of pediatric cancer will decorate the sidelines.</t>
        </is>
      </c>
      <c r="D5229" t="n">
        <v>45</v>
      </c>
      <c r="E5229" t="n">
        <v>23</v>
      </c>
      <c r="F5229">
        <f>HYPERLINK("https://www.reddit.com/r/cancer/comments/df19jk/nfl/")</f>
        <v/>
      </c>
      <c r="G5229" t="inlineStr">
        <is>
          <t>2019-10-08 08:08:30</t>
        </is>
      </c>
      <c r="H5229" t="inlineStr"/>
    </row>
    <row r="5230">
      <c r="A5230" t="inlineStr">
        <is>
          <t>df1bzr</t>
        </is>
      </c>
      <c r="B5230" t="inlineStr">
        <is>
          <t>Chemo brain?</t>
        </is>
      </c>
      <c r="C5230" t="inlineStr">
        <is>
          <t>I don't know is this is related to chemo brain at all. But I'm nearly 4 yrs out of treatment so I don't know if I can technically still have it. But I find I struggle with dance movements and self defence techniques. I just can't process doing certain things with my hands and then with my legs and feet. I just completely freeze up because I can't picture it in my head. It probably sounds really stupid maybe I'm just terrible at dancing etc. But the movements confuse me so much. My brain can't process what I'm supposed to do lol</t>
        </is>
      </c>
      <c r="D5230" t="n">
        <v>12</v>
      </c>
      <c r="E5230" t="n">
        <v>11</v>
      </c>
      <c r="F5230">
        <f>HYPERLINK("https://www.reddit.com/r/cancer/comments/df1bzr/chemo_brain/")</f>
        <v/>
      </c>
      <c r="G5230" t="inlineStr">
        <is>
          <t>2019-10-08 08:13:36</t>
        </is>
      </c>
      <c r="H5230" t="inlineStr"/>
    </row>
    <row r="5231">
      <c r="A5231" t="inlineStr">
        <is>
          <t>df3fcx</t>
        </is>
      </c>
      <c r="B5231" t="inlineStr">
        <is>
          <t>Halloween Costume Ideas</t>
        </is>
      </c>
      <c r="C5231" t="inlineStr">
        <is>
          <t>Halloween is just around the corner.  Thought it might be fun to share any costume ideas.  Some way you might be able to use your bald head, wheelchair, facemask, or whatever have you.  Many of us deal with looking "different" while undergoing treatment, so any ideas on how to use that to our advantage for a night?</t>
        </is>
      </c>
      <c r="D5231" t="n">
        <v>4</v>
      </c>
      <c r="E5231" t="n">
        <v>14</v>
      </c>
      <c r="F5231">
        <f>HYPERLINK("https://www.reddit.com/r/cancer/comments/df3fcx/halloween_costume_ideas/")</f>
        <v/>
      </c>
      <c r="G5231" t="inlineStr">
        <is>
          <t>2019-10-08 10:43:18</t>
        </is>
      </c>
      <c r="H5231" t="inlineStr"/>
    </row>
    <row r="5232">
      <c r="A5232" t="inlineStr">
        <is>
          <t>df3pya</t>
        </is>
      </c>
      <c r="B5232" t="inlineStr">
        <is>
          <t>Anyone experienced another cancer after the first one?</t>
        </is>
      </c>
      <c r="C5232" t="inlineStr">
        <is>
          <t>I was diagnosed with NHL 3 months ago and now I have signs of Melanoma growing on my toe. 
I was told that after treatment my life would come back to like it was before but obviously life is not done with me.. 
I’m just wondering what are your experiences?</t>
        </is>
      </c>
      <c r="D5232" t="n">
        <v>5</v>
      </c>
      <c r="E5232" t="n">
        <v>3</v>
      </c>
      <c r="F5232">
        <f>HYPERLINK("https://www.reddit.com/r/cancer/comments/df3pya/anyone_experienced_another_cancer_after_the_first/")</f>
        <v/>
      </c>
      <c r="G5232" t="inlineStr">
        <is>
          <t>2019-10-08 11:04:50</t>
        </is>
      </c>
      <c r="H5232" t="inlineStr"/>
    </row>
    <row r="5233">
      <c r="A5233" t="inlineStr">
        <is>
          <t>df4bd8</t>
        </is>
      </c>
      <c r="B5233" t="inlineStr">
        <is>
          <t>Cold Cap treatment - Chemotherapy.</t>
        </is>
      </c>
      <c r="C5233" t="inlineStr">
        <is>
          <t>Has anyone used a cold cap? If so did it first off work &amp;amp; secondly how bad is it really. I want to make an informed choice on wether to bother with it or just to let my hair go &amp;amp; wig it up.
Tell me the good, the bad &amp;amp; the ugly guys!</t>
        </is>
      </c>
      <c r="D5233" t="n">
        <v>2</v>
      </c>
      <c r="E5233" t="n">
        <v>5</v>
      </c>
      <c r="F5233">
        <f>HYPERLINK("https://www.reddit.com/r/cancer/comments/df4bd8/cold_cap_treatment_chemotherapy/")</f>
        <v/>
      </c>
      <c r="G5233" t="inlineStr">
        <is>
          <t>2019-10-08 11:48:23</t>
        </is>
      </c>
      <c r="H5233" t="inlineStr"/>
    </row>
    <row r="5234">
      <c r="A5234" t="inlineStr">
        <is>
          <t>df5a3o</t>
        </is>
      </c>
      <c r="B5234" t="inlineStr">
        <is>
          <t>Fighting Cancer for the Second Time...</t>
        </is>
      </c>
      <c r="C5234" t="inlineStr">
        <is>
          <t>You can never be prepared for the diagnosis of stage 4 cancer the first time. But when it comes back as metastatic, that’s even harder. For me there is a battle between the kind, heart, and spirit as to whether or not to fight to just quit. It continues to be a battle... but God!</t>
        </is>
      </c>
      <c r="D5234" t="n">
        <v>10</v>
      </c>
      <c r="E5234" t="n">
        <v>3</v>
      </c>
      <c r="F5234">
        <f>HYPERLINK("https://www.reddit.com/r/cancer/comments/df5a3o/fighting_cancer_for_the_second_time/")</f>
        <v/>
      </c>
      <c r="G5234" t="inlineStr">
        <is>
          <t>2019-10-08 12:57:52</t>
        </is>
      </c>
      <c r="H5234" t="inlineStr"/>
    </row>
    <row r="5235">
      <c r="A5235" t="inlineStr">
        <is>
          <t>df5u98</t>
        </is>
      </c>
      <c r="B5235" t="inlineStr">
        <is>
          <t>Expectations on follow up</t>
        </is>
      </c>
      <c r="C5235" t="inlineStr">
        <is>
          <t>What should I expect in my follow up appointments. I'm a survivor of stage 2 TNBC  and had neoadjuvant treatment which included a full double mastectomy. Should I expect to have an MRI, CT scan or sonogram every 6 months. What procedures will I undergo to insure that I don't have a relapse? Thanks for any advice.</t>
        </is>
      </c>
      <c r="D5235" t="n">
        <v>1</v>
      </c>
      <c r="E5235" t="n">
        <v>0</v>
      </c>
      <c r="F5235">
        <f>HYPERLINK("https://www.reddit.com/r/cancer/comments/df5u98/expectations_on_follow_up/")</f>
        <v/>
      </c>
      <c r="G5235" t="inlineStr">
        <is>
          <t>2019-10-08 13:37:15</t>
        </is>
      </c>
      <c r="H5235" t="inlineStr"/>
    </row>
    <row r="5236">
      <c r="A5236" t="inlineStr">
        <is>
          <t>df5wis</t>
        </is>
      </c>
      <c r="B5236" t="inlineStr">
        <is>
          <t>Would bowel cancer that’s spread to the liver be classed as stage 4?</t>
        </is>
      </c>
      <c r="C5236" t="inlineStr">
        <is>
          <t>Hi all,
Sorry if I’m posting in the wrong place!
My mum was recently diagnosed liver cancer, yesterday we found out that she also has bowel cancer - which they have said passed on to the liver. 
Would the Bowel cancer be considered stage 4 as it’s now passed to the liver?
Thanks</t>
        </is>
      </c>
      <c r="D5236" t="n">
        <v>2</v>
      </c>
      <c r="E5236" t="n">
        <v>4</v>
      </c>
      <c r="F5236">
        <f>HYPERLINK("https://www.reddit.com/r/cancer/comments/df5wis/would_bowel_cancer_thats_spread_to_the_liver_be/")</f>
        <v/>
      </c>
      <c r="G5236" t="inlineStr">
        <is>
          <t>2019-10-08 13:41:42</t>
        </is>
      </c>
      <c r="H5236" t="inlineStr"/>
    </row>
    <row r="5237">
      <c r="A5237" t="inlineStr">
        <is>
          <t>df6bwn</t>
        </is>
      </c>
      <c r="B5237" t="inlineStr">
        <is>
          <t>Lost a friend</t>
        </is>
      </c>
      <c r="C5237" t="inlineStr">
        <is>
          <t>Last week, on the day I started my pre-testing for stem cell transplant (treatment related AML) I learned one of my old friends from college died from a brain tumor. He was one of the most kind, genuine, generous and intelligent people I had the honor to know. It took less than a year for this disease to take him.
FUCK CANCER</t>
        </is>
      </c>
      <c r="D5237" t="n">
        <v>2</v>
      </c>
      <c r="E5237" t="n">
        <v>0</v>
      </c>
      <c r="F5237">
        <f>HYPERLINK("https://www.reddit.com/r/cancer/comments/df6bwn/lost_a_friend/")</f>
        <v/>
      </c>
      <c r="G5237" t="inlineStr">
        <is>
          <t>2019-10-08 14:09:50</t>
        </is>
      </c>
      <c r="H5237" t="inlineStr"/>
    </row>
    <row r="5238">
      <c r="A5238" t="inlineStr">
        <is>
          <t>df6wlx</t>
        </is>
      </c>
      <c r="B5238" t="inlineStr">
        <is>
          <t>I'm Scared</t>
        </is>
      </c>
      <c r="C5238" t="inlineStr">
        <is>
          <t>My mom has metastatic breast cancer and she has been in remission for three years now and we all thought she was doing good, but she started having pain in her stomach like gas lately. My dad took her to the ER last night and they found cancer again, but it spread more. It was metastatic before because it was in her bones as well as her breasts, but it has come back worse and also in her liver. I don't know what to do or how to feel right now. I'm terrified because I don't want to lose my mom, I love my mom so much. Has anyone been through her situation before and how does it usually get treated?</t>
        </is>
      </c>
      <c r="D5238" t="n">
        <v>14</v>
      </c>
      <c r="E5238" t="n">
        <v>11</v>
      </c>
      <c r="F5238">
        <f>HYPERLINK("https://www.reddit.com/r/cancer/comments/df6wlx/im_scared/")</f>
        <v/>
      </c>
      <c r="G5238" t="inlineStr">
        <is>
          <t>2019-10-08 14:48:39</t>
        </is>
      </c>
      <c r="H5238" t="inlineStr"/>
    </row>
    <row r="5239">
      <c r="A5239" t="inlineStr">
        <is>
          <t>df76ff</t>
        </is>
      </c>
      <c r="B5239" t="inlineStr">
        <is>
          <t>It's a weird question but..</t>
        </is>
      </c>
      <c r="C5239" t="inlineStr">
        <is>
          <t>What would be worst than cancer?</t>
        </is>
      </c>
      <c r="D5239" t="n">
        <v>0</v>
      </c>
      <c r="E5239" t="n">
        <v>9</v>
      </c>
      <c r="F5239">
        <f>HYPERLINK("https://www.reddit.com/r/cancer/comments/df76ff/its_a_weird_question_but/")</f>
        <v/>
      </c>
      <c r="G5239" t="inlineStr">
        <is>
          <t>2019-10-08 15:06:58</t>
        </is>
      </c>
      <c r="H5239" t="inlineStr"/>
    </row>
    <row r="5240">
      <c r="A5240" t="inlineStr">
        <is>
          <t>df9ou4</t>
        </is>
      </c>
      <c r="B5240" t="inlineStr">
        <is>
          <t>A good friend of mine is terminal and I’d really like to make a care package for her. She’s vegan, into yoga, and generally just an all around positive, wonderful person. Suggestions?</t>
        </is>
      </c>
      <c r="C5240" t="inlineStr">
        <is>
          <t>A very good friend of mine has been diagnosed with terminal breast cancer. That being said, she is an overwhelmingly positive, amazing person and I would like to put together a care package for her to enjoy while she is going through such a difficult, important life event.
She’s into yoga, she eats vegan and generally tries to take the best care she can of herself to give herself the best quality of life for whatever time she has left. She’s planning a ‘bucket list’ trip next year that I’m hoping to join for at least a leg of the trip. It’s a train trip across the country to see landmarks and major cities.
What are some things I could get for her that she can either enjoy now, while she is reasonably healthy, or that will help her through her journey when things get rough to keep her comfortable or to make her feel like she is not defined/confined by her illness?
She’s very open about her time being finite, and while it seems far away because she appears to be in perfect health, I know that it’s limited and I want her to feel as much joy and love and comfort in her final days, in whatever way I am able to provide for her.
What can I do?
Tl;dr - a good friend has been diagnosed with terminal cancer. What are some things I can do/put together to help make her final months/days as comfortable, happy and enjoyable as possible?</t>
        </is>
      </c>
      <c r="D5240" t="n">
        <v>26</v>
      </c>
      <c r="E5240" t="n">
        <v>21</v>
      </c>
      <c r="F5240">
        <f>HYPERLINK("https://www.reddit.com/r/cancer/comments/df9ou4/a_good_friend_of_mine_is_terminal_and_id_really/")</f>
        <v/>
      </c>
      <c r="G5240" t="inlineStr">
        <is>
          <t>2019-10-08 18:09:54</t>
        </is>
      </c>
      <c r="H5240" t="inlineStr"/>
    </row>
    <row r="5241">
      <c r="A5241" t="inlineStr">
        <is>
          <t>dfbi98</t>
        </is>
      </c>
      <c r="B5241" t="inlineStr">
        <is>
          <t>Seeking advice for helping childhood cancer survivor</t>
        </is>
      </c>
      <c r="C5241" t="inlineStr">
        <is>
          <t>I hope this fits here! I am a volunteer tutor with a cancer support organization and I have been working with a student in Grade 7 for the past year. He survived a childhood brain cancer (age 1 or 2) and is now in remission. He is very athletic but has a few cognitive difficulties. I was told before that his current reading level is 3-4 grades below and works with an aid at school. During our sessions he has a very hard time focusing and clearly expresses he dislikes school work, homework, anything to do with school. 
He has difficulties with printing (sometimes mixing up letters) and gets frustrated with the tasks very easily. Unfortunately, I only work with him once a week for an hour but I try to begin with a fun warm up activity, engage in conversation leading up to paragraphs, and really try to make him enjoy what we’re doing. I used to set up a countdown and we would take a few 2-3 minute breaks in between but it seems as though he still remains unfocused. I’ve tried music but it seems to distract him more. I try my best to incorporate his interests such as spelling words surrounding sports, animals, etc. He really enjoys art and most of our activities revolve around drawing a picture and then writing a couple sentences or taking turns completing a picture and creating a story. 
I’m writing here to see if anyone has experienced this themselves or knows of any tips to help my student. I really want to see him succeed but I’m afraid I’m just a college student and I’m struggling with finding out what helps in these scenarios. 
Thanks so much in advance :)</t>
        </is>
      </c>
      <c r="D5241" t="n">
        <v>3</v>
      </c>
      <c r="E5241" t="n">
        <v>0</v>
      </c>
      <c r="F5241">
        <f>HYPERLINK("https://www.reddit.com/r/cancer/comments/dfbi98/seeking_advice_for_helping_childhood_cancer/")</f>
        <v/>
      </c>
      <c r="G5241" t="inlineStr">
        <is>
          <t>2019-10-08 20:45:03</t>
        </is>
      </c>
      <c r="H5241" t="inlineStr"/>
    </row>
    <row r="5242">
      <c r="A5242" t="inlineStr">
        <is>
          <t>dfbkux</t>
        </is>
      </c>
      <c r="B5242" t="inlineStr">
        <is>
          <t>Might be terminal, won’t know for a while.</t>
        </is>
      </c>
      <c r="C5242" t="inlineStr">
        <is>
          <t>I've been struggling with this recently. I may be terminal.  
I mean the big scary, "you're not going to survive this" kind of thing.
Chemotherapy seems to slowly push the cancer down but not enough because I keep bottoming out on counts. 
Terminal.
There are some hail Mary treatments. I have a rare cancer so there is no guarantee that they will work or make me worse. 
There are two trials I could enter, one at Fred Hutch and one at MD Anderson.  I could also try immunotherapy. 
How do I navigate this shitstorm of bad options while still dealing with the thought that there may not be a way for me to be cured?</t>
        </is>
      </c>
      <c r="D5242" t="n">
        <v>2</v>
      </c>
      <c r="E5242" t="n">
        <v>11</v>
      </c>
      <c r="F5242">
        <f>HYPERLINK("https://www.reddit.com/r/cancer/comments/dfbkux/might_be_terminal_wont_know_for_a_while/")</f>
        <v/>
      </c>
      <c r="G5242" t="inlineStr">
        <is>
          <t>2019-10-08 20:52:12</t>
        </is>
      </c>
      <c r="H5242" t="inlineStr"/>
    </row>
    <row r="5243">
      <c r="A5243" t="inlineStr">
        <is>
          <t>dfcfa4</t>
        </is>
      </c>
      <c r="B5243" t="inlineStr">
        <is>
          <t>Tribute to my Grama</t>
        </is>
      </c>
      <c r="C5243" t="inlineStr">
        <is>
          <t>She was only 69, but last week she would have turned 78. I always wonder how someone so good and kind, who made the world so bright and happy, should get taken away. Someone who planted flowers and rescued kitties and tracked each bird she saw in her bird-watching book. Someone who loved disabled people so much she made a career out of being a careworker. She’d let people go ahead of her in line at the grocery store if they seemed in a rush. She kept scrapbook after scrapbook of all my drawings and hung them everywhere around her place. She’d squeeze me super tight goodnight while I was wrapped up in a blanket and call me “grandmas golden girl”, even though I’m brunette. She even loved bugs, although she’d vacuum up every single moth in the room so that I could fall asleep because I was really scared of moths. She’d make brownies with me at 1 am. We went into every thrift store there was in Calgary. Man, I’m grateful I had 20 years with her. I don’t know why she wanted to go so quickly but I could tell that she did. Once esophagus cancer hit her it was less than 3 months. She smoked. Like I said, I really think she wanted to go. But I still hate cancer so, so, much. Thanks for listening. I’m almost 30 and laying in bed some nights with tears streaming down my face still.</t>
        </is>
      </c>
      <c r="D5243" t="n">
        <v>4</v>
      </c>
      <c r="E5243" t="n">
        <v>1</v>
      </c>
      <c r="F5243">
        <f>HYPERLINK("https://www.reddit.com/r/cancer/comments/dfcfa4/tribute_to_my_grama/")</f>
        <v/>
      </c>
      <c r="G5243" t="inlineStr">
        <is>
          <t>2019-10-08 22:16:58</t>
        </is>
      </c>
      <c r="H5243" t="inlineStr"/>
    </row>
    <row r="5244">
      <c r="A5244" t="inlineStr">
        <is>
          <t>dfdi0m</t>
        </is>
      </c>
      <c r="B5244" t="inlineStr">
        <is>
          <t>Advice on how to deal with emotions? My grandma has cancer.</t>
        </is>
      </c>
      <c r="C5244" t="inlineStr">
        <is>
          <t>She's had cancer for a little over a year now I think. Her condition is so bad that it's obvious she's going to die in a couple days. She got chemo and radiation therapy and she's constantly drugged up on pain meds and stuff to just make her comfortable. It's heartbreaking. She can't walk and nothing she says makes sense. She can't walk from pain from her cervix tumor and her not making sense with anything she says might be from all the pills or the brain tumor. I don't really know or remember. Recently the reality of everything has just set in. She can die at any moment.
On top of the emotional issues I already have this isn't helping at all. The fact I feel so so sad and hopeless makes me feel selfish as well since she's going through the issues. Not me. Anyway, any advice on how to deal with all of this? If it helps to know, I'm 12. Please don't report me..</t>
        </is>
      </c>
      <c r="D5244" t="n">
        <v>9</v>
      </c>
      <c r="E5244" t="n">
        <v>10</v>
      </c>
      <c r="F5244">
        <f>HYPERLINK("https://www.reddit.com/r/cancer/comments/dfdi0m/advice_on_how_to_deal_with_emotions_my_grandma/")</f>
        <v/>
      </c>
      <c r="G5244" t="inlineStr">
        <is>
          <t>2019-10-09 00:11:34</t>
        </is>
      </c>
      <c r="H5244" t="inlineStr"/>
    </row>
    <row r="5245">
      <c r="A5245" t="inlineStr">
        <is>
          <t>dfe10l</t>
        </is>
      </c>
      <c r="B5245" t="inlineStr">
        <is>
          <t>I think my dad has colon cancer</t>
        </is>
      </c>
      <c r="C5245" t="inlineStr">
        <is>
          <t>My dad (76m) has been in slightly failing health for several months. He has had a fainting spell, recently had a pacemaker placed, has very mild kidney issues. I feel like he’s just not doing well where he has never really had major health issues. I recently found out he’s had a lot of constipation issues recently and black stools (which could indicate blood). He says he told his doctor this a year ago and they did the test for hidden blood in the stool and they told him the results were negative but he was recently reviewing his chart online and the result says it was positive. And no one ever followed up with him. So he has some abdominal tenderness and the constipation, blood in stools, and he’s lost about 10-12 pounds without trying in the last couple months. He’s of average weight and now he’s starting to look a little gaunt. He has a quickly scheduled colonoscopy (with a new GI doc) due to all of this tomorrow. Well I guess it’s today now. I’m awake with anxiety about the whole thing. I’m a nurse so I recognize the s/s of colon cancer but also realize maybe this isn’t it. But I also realize if it is cancer and he’s has symptoms for over a year, it’s likely spread everywhere. 
Can anyone shed some light on their own persona experiences or the experiences of friends/family with colon cancer? Im honestly kind of in a panic and I want to feel prepared for bad news.</t>
        </is>
      </c>
      <c r="D5245" t="n">
        <v>2</v>
      </c>
      <c r="E5245" t="n">
        <v>29</v>
      </c>
      <c r="F5245">
        <f>HYPERLINK("https://www.reddit.com/r/cancer/comments/dfe10l/i_think_my_dad_has_colon_cancer/")</f>
        <v/>
      </c>
      <c r="G5245" t="inlineStr">
        <is>
          <t>2019-10-09 01:14:47</t>
        </is>
      </c>
      <c r="H5245" t="inlineStr"/>
    </row>
    <row r="5246">
      <c r="A5246" t="inlineStr">
        <is>
          <t>dfe5jo</t>
        </is>
      </c>
      <c r="B5246" t="inlineStr">
        <is>
          <t>My mom is about to pass, but she's still fighting tooth and nail and it's breaking my heart</t>
        </is>
      </c>
      <c r="C5246" t="inlineStr">
        <is>
          <t>Everything was fine two weeks ago, when she suddenly got extremely sick, got taken to the ER and when they did an emergency surgery, they could only close her up again as her entire stomach was full of tumors. She was diagnosed with cancer before that, and the treatment had been going well. It grew to that size in the span of 2-3 weeks, her doctors were stunned and everyone is saying that no one could have predicted this. 
She doesn't know, or doesn't want to know. She doesn't want to be confronted with the knowledge that she'll die, and is still making plans and looking forward to trips and the likes. She's fighting tooth and nail. She's forcing herself to eat, she's still doing physical therapy and is constantly doing small exercises to keep her muscles from withering away, as she's putting it. It's tearing me apart. She's getting weaker each day, she's losing weight, struggling with just moving her arms and sleeps more and more, but she still wants to live. 
Why did it have to hit her, someone who's such a great person with a big heart for everyone else? She had..has so many plans. The Injustice of it all is killing me</t>
        </is>
      </c>
      <c r="D5246" t="n">
        <v>81</v>
      </c>
      <c r="E5246" t="n">
        <v>20</v>
      </c>
      <c r="F5246">
        <f>HYPERLINK("https://www.reddit.com/r/cancer/comments/dfe5jo/my_mom_is_about_to_pass_but_shes_still_fighting/")</f>
        <v/>
      </c>
      <c r="G5246" t="inlineStr">
        <is>
          <t>2019-10-09 01:30:51</t>
        </is>
      </c>
      <c r="H5246" t="inlineStr"/>
    </row>
    <row r="5247">
      <c r="A5247" t="inlineStr">
        <is>
          <t>dfge8d</t>
        </is>
      </c>
      <c r="B5247" t="inlineStr">
        <is>
          <t>The end of the road</t>
        </is>
      </c>
      <c r="C5247" t="inlineStr">
        <is>
          <t>So I've been a lurked here since my mum was diagnosed just over a month ago with larynx  cancer and seeing people keeping up hope gave us hope of our own as I'd often share stories with her from this sub to settle her worries and woes.
She couldn't keep fighting forever and sadly she passed not too long ago but I just wanted to thank you all for sharing your stories with us. We felt alone with this problem but just reading that people out there were keeping up hope regardless inspired us to make the most of what precious time remained. 
Thank you all so much and I hope that you all keep up the fight and inspire the few that struggle in silence. You all are heroes in my eyes</t>
        </is>
      </c>
      <c r="D5247" t="n">
        <v>32</v>
      </c>
      <c r="E5247" t="n">
        <v>5</v>
      </c>
      <c r="F5247">
        <f>HYPERLINK("https://www.reddit.com/r/cancer/comments/dfge8d/the_end_of_the_road/")</f>
        <v/>
      </c>
      <c r="G5247" t="inlineStr">
        <is>
          <t>2019-10-09 05:35:27</t>
        </is>
      </c>
      <c r="H5247" t="inlineStr"/>
    </row>
    <row r="5248">
      <c r="A5248" t="inlineStr">
        <is>
          <t>dfgw85</t>
        </is>
      </c>
      <c r="B5248" t="inlineStr">
        <is>
          <t>Uterine Cancer</t>
        </is>
      </c>
      <c r="C5248" t="inlineStr">
        <is>
          <t>I got the call last night. I've been diagnosed with uterine cancer. 
I've been suffering really heavy, like, transfusion nearly necessary on two occasions kind of heavy bleeding for a year, month in, month out, with sometimes a day or two of reprieve.  
Finally got a doctor to do something about it. Got a D&amp;amp;C done, and they biopsied a sample of my endometrial lining 'just in case'.  
The results came back.
&amp;amp;#x200B;
I
have cancer.
I don't know anything more than that, other than that i've had these symptoms for almost a year.  
Guys? I'm afraid. I'm really, really scared. I meet with the oncologist on Tuesday afternoon. That's so soon, but also forever away.  
I don't know what stage I have. I don't even know how that's determined. I don't know anything at all about what's going on from here.  
But I am so scared. The word just keeps echoing in my mind.  
What the hell do I do? How do I make this work? What happens next?</t>
        </is>
      </c>
      <c r="D5248" t="n">
        <v>10</v>
      </c>
      <c r="E5248" t="n">
        <v>4</v>
      </c>
      <c r="F5248">
        <f>HYPERLINK("https://www.reddit.com/r/cancer/comments/dfgw85/uterine_cancer/")</f>
        <v/>
      </c>
      <c r="G5248" t="inlineStr">
        <is>
          <t>2019-10-09 06:16:30</t>
        </is>
      </c>
      <c r="H5248" t="inlineStr"/>
    </row>
    <row r="5249">
      <c r="A5249" t="inlineStr">
        <is>
          <t>dfhkgm</t>
        </is>
      </c>
      <c r="B5249" t="inlineStr">
        <is>
          <t>Being sent to the oncologist without a diagnosis.</t>
        </is>
      </c>
      <c r="C5249" t="inlineStr">
        <is>
          <t>Hello! As this says I’m being sent to the oncologist on Monday without a diagnosis. My doctor said it was to do with my blood but he isn’t positive on what the root cause of my deficiencies are. I’ve been anemic a long time and have been trying to correct it with vitamins and such but now other levels are very low. The doctor said it was a miracle I get out of bed every morning. 
I don’t have much more information. I’m really just reaching out to see if anyone has had a similar story or experience they could share with me. I’m feeling nervous and alone in this.</t>
        </is>
      </c>
      <c r="D5249" t="n">
        <v>6</v>
      </c>
      <c r="E5249" t="n">
        <v>14</v>
      </c>
      <c r="F5249">
        <f>HYPERLINK("https://www.reddit.com/r/cancer/comments/dfhkgm/being_sent_to_the_oncologist_without_a_diagnosis/")</f>
        <v/>
      </c>
      <c r="G5249" t="inlineStr">
        <is>
          <t>2019-10-09 07:09:37</t>
        </is>
      </c>
      <c r="H5249" t="inlineStr"/>
    </row>
    <row r="5250">
      <c r="A5250" t="inlineStr">
        <is>
          <t>dfiwp6</t>
        </is>
      </c>
      <c r="B5250" t="inlineStr">
        <is>
          <t>I Beat Ovarian Cancer</t>
        </is>
      </c>
      <c r="C5250" t="inlineStr">
        <is>
          <t>Hey everyone I posted awhile ago about a complex ovarian cyst on my ovary. I ended up having stage 1A  with an adult granulosa cell tumor which is a slow growing less common ovarian cancer. I want to add that the size of a tumor doesnt always mean anything, mine was small and ended up malignant. I was very lucky that I 
it was slow growing because the doctors kept an eye on it for months until it became bothersome. I was also fortunante and thankful that i had my fallopian tubes removed a few years ago because of my family hystory. So please advocate for yourself no matter if it ends up being nothing.I had a complete hysterectomy,  bilateral oophorectomy, removal of my appendix, a few lymph nodes. I will not be needing chemo, because they were able to remove it all.  But, I will have a gynocological visit every 6 months and will be going back to the gynocological onocologist for more follow ups. Havent talked about it much because honestly Im very angry and honestly trying to understand and cope with it even though I am now cancer free. Im angry because I already deal with chronic pancreatitis, and IBD which already causes a world of pain. But, Im upset because I know it sounds stupid but I feel like less of a woman. I am unsure if its from the hormone replacement therapy and a shift of hormones which is making me a mad woman or if Im just spent from the constant fighting for my health the last 5 years. How do you guys deal with the unknown about your health, and if your dealing with pain how do you cope with it?</t>
        </is>
      </c>
      <c r="D5250" t="n">
        <v>44</v>
      </c>
      <c r="E5250" t="n">
        <v>9</v>
      </c>
      <c r="F5250">
        <f>HYPERLINK("https://www.reddit.com/r/cancer/comments/dfiwp6/i_beat_ovarian_cancer/")</f>
        <v/>
      </c>
      <c r="G5250" t="inlineStr">
        <is>
          <t>2019-10-09 08:47:35</t>
        </is>
      </c>
      <c r="H5250" t="inlineStr"/>
    </row>
    <row r="5251">
      <c r="A5251" t="inlineStr">
        <is>
          <t>dfj83m</t>
        </is>
      </c>
      <c r="B5251" t="inlineStr">
        <is>
          <t>I’m dating a doctor who has Leukemia and he’s 48. He seems to avoid the sun at all costs . I’d like to understand his condition better because I’m starting to care deeply for him. Can someone tell me what he goes through since I do not want to ask him and make him feel awkward .</t>
        </is>
      </c>
      <c r="C5251" t="inlineStr">
        <is>
          <t>What food should he be eating ? 
He says he’s always in pain and has lost weight.</t>
        </is>
      </c>
      <c r="D5251" t="n">
        <v>2</v>
      </c>
      <c r="E5251" t="n">
        <v>15</v>
      </c>
      <c r="F5251">
        <f>HYPERLINK("https://www.reddit.com/r/cancer/comments/dfj83m/im_dating_a_doctor_who_has_leukemia_and_hes_48_he/")</f>
        <v/>
      </c>
      <c r="G5251" t="inlineStr">
        <is>
          <t>2019-10-09 09:09:43</t>
        </is>
      </c>
      <c r="H5251" t="inlineStr"/>
    </row>
    <row r="5252">
      <c r="A5252" t="inlineStr">
        <is>
          <t>dfjdm1</t>
        </is>
      </c>
      <c r="B5252" t="inlineStr">
        <is>
          <t>Looking for some sort of answers.</t>
        </is>
      </c>
      <c r="C5252" t="inlineStr">
        <is>
          <t>My dad was diagnosed with prostate cancer nearly two years ago. He got a radical prostatectomy but unfortunately his psa levels went back up and they discovered they hadn't gotten all of it. He was due to start radiation recently but his scan showed something of concern in his bladder. Turns out it has spread and there microscopic traces in his bladder. They did however say that cheno is not necessary and they're going to give him the normal radiation. Basically I'm wondering how good of news this is. I understand that is bad it spread, but is the outlook still good? The doctors and nurses don't really give answers, it's just the usual "we're optimistic" Google has given me mixed results, I'm not smart enough to really make sense of it. I just want to know what I should expect at this point.</t>
        </is>
      </c>
      <c r="D5252" t="n">
        <v>1</v>
      </c>
      <c r="E5252" t="n">
        <v>0</v>
      </c>
      <c r="F5252">
        <f>HYPERLINK("https://www.reddit.com/r/cancer/comments/dfjdm1/looking_for_some_sort_of_answers/")</f>
        <v/>
      </c>
      <c r="G5252" t="inlineStr">
        <is>
          <t>2019-10-09 09:20:25</t>
        </is>
      </c>
      <c r="H5252" t="inlineStr"/>
    </row>
    <row r="5253">
      <c r="A5253" t="inlineStr">
        <is>
          <t>dfjwey</t>
        </is>
      </c>
      <c r="B5253" t="inlineStr">
        <is>
          <t>Dad Has AML</t>
        </is>
      </c>
      <c r="C5253" t="inlineStr">
        <is>
          <t>So about three months ago my dad was put in the hospital for about 2 months straight. He was diagnosed with AML. He got through his chemo and thank god he is now in remission!! Its been a hard time as I'm sure it is for anyone in this situation. I do see light at the end of this tunnel! Now the next step is a Stem Cell Transplant. The Doctor scared my by telling me there is a 15% chance he could die of complications. Now I'm back to square one with worrying that things will work out. My dad is only 59 years old and has my little brother and sister to take care of. I am 22 years of age and I just want him well by December. This may sound selfish but I am leaving in January to go to bootcamp for the United States Marine Corps. I was enlisted prior to finding out he has cancer. It's been a goal of mine for quite some time to do so. My father does have a great support system of my aunts and uncles with me included. However I cant help but feel guilty for leaving as if I'm turning my back on him. I hope his Transplant goes well so I can be away with some peace of mind.</t>
        </is>
      </c>
      <c r="D5253" t="n">
        <v>3</v>
      </c>
      <c r="E5253" t="n">
        <v>3</v>
      </c>
      <c r="F5253">
        <f>HYPERLINK("https://www.reddit.com/r/cancer/comments/dfjwey/dad_has_aml/")</f>
        <v/>
      </c>
      <c r="G5253" t="inlineStr">
        <is>
          <t>2019-10-09 09:57:28</t>
        </is>
      </c>
      <c r="H5253" t="inlineStr"/>
    </row>
    <row r="5254">
      <c r="A5254" t="inlineStr">
        <is>
          <t>dfle0a</t>
        </is>
      </c>
      <c r="B5254" t="inlineStr">
        <is>
          <t>Prostate cancer spreading to bone?</t>
        </is>
      </c>
      <c r="C5254" t="inlineStr">
        <is>
          <t>My father was diagnosed with prostate cancer a year ago. They said it was aggressive, so they started radiation. 
We found out a few months ago that it has spread to a lymph node in his chest. So he was put on medication. 
We just found out yesterday that it has spread further to his skull. So they've put him on more medication. 
I did some googling which suggested that once it's spread to the bone that it's no longer curable? Is that correct? 
I'm sorry I don't have more information. I'm getting everything second hand and both of my parents are a bit confused about everything as well.</t>
        </is>
      </c>
      <c r="D5254" t="n">
        <v>1</v>
      </c>
      <c r="E5254" t="n">
        <v>0</v>
      </c>
      <c r="F5254">
        <f>HYPERLINK("https://www.reddit.com/r/cancer/comments/dfle0a/prostate_cancer_spreading_to_bone/")</f>
        <v/>
      </c>
      <c r="G5254" t="inlineStr">
        <is>
          <t>2019-10-09 11:42:37</t>
        </is>
      </c>
      <c r="H5254" t="inlineStr"/>
    </row>
    <row r="5255">
      <c r="A5255" t="inlineStr">
        <is>
          <t>dfmkfm</t>
        </is>
      </c>
      <c r="B5255" t="inlineStr">
        <is>
          <t>What Stage am I goddammit?</t>
        </is>
      </c>
      <c r="C5255" t="inlineStr">
        <is>
          <t>They said they wouldn’t know until they did surgery, which has been pushed back because I have mets in my thoracic lymph nodes, but the rest of my organs are totally fine? I know its either 3 or 4 because its spread, but is it stage 4 if its only spread to lymph nodes, not organs?
Do i even want to know? Cause I’m kind of just operating under the assumption that I’m going to be able to beat this, and is it even worth it to find out if thats not the case, wouldn’t i rather be happy and fighting?
Why am I asking a question I don’t want the answer to? Just shouting into the void I guess; what is this subreddit but the designated void we can all shout nonsense into?
Second round of chemo tomorrow, they’re starting me on the 25k/bag avastin; getting that good rich shit. Gonna grab coffee and donuts before hand. 
Here’s a question evetyone CAN answer; what’s your favorite kind of donut?</t>
        </is>
      </c>
      <c r="D5255" t="n">
        <v>7</v>
      </c>
      <c r="E5255" t="n">
        <v>28</v>
      </c>
      <c r="F5255">
        <f>HYPERLINK("https://www.reddit.com/r/cancer/comments/dfmkfm/what_stage_am_i_goddammit/")</f>
        <v/>
      </c>
      <c r="G5255" t="inlineStr">
        <is>
          <t>2019-10-09 13:06:28</t>
        </is>
      </c>
      <c r="H5255" t="inlineStr"/>
    </row>
    <row r="5256">
      <c r="A5256" t="inlineStr">
        <is>
          <t>dfn0rs</t>
        </is>
      </c>
      <c r="B5256" t="inlineStr">
        <is>
          <t>Well...it’s happening now</t>
        </is>
      </c>
      <c r="C5256" t="inlineStr">
        <is>
          <t>Maybe some of you have seen my posts on here. My husband (29) has very advanced osteosarcoma. He’s been in the hospital for a month now. 
We just saw the ICU lung team, Palliative care, and oncology team. 
They laid out the options he’s got. We’re now at the end of life phase. 
This is actually terrible. I hate this. I hate thinking that soon he just won’t be in the world anymore. 
I’ve spent 7 years of my life with him. I met him when I was 19. He literally changed the trajectory of my entire life, and now what? 
I have to live without him? 
That’s so fucked up.</t>
        </is>
      </c>
      <c r="D5256" t="n">
        <v>87</v>
      </c>
      <c r="E5256" t="n">
        <v>27</v>
      </c>
      <c r="F5256">
        <f>HYPERLINK("https://www.reddit.com/r/cancer/comments/dfn0rs/wellits_happening_now/")</f>
        <v/>
      </c>
      <c r="G5256" t="inlineStr">
        <is>
          <t>2019-10-09 13:39:03</t>
        </is>
      </c>
      <c r="H5256" t="inlineStr"/>
    </row>
    <row r="5257">
      <c r="A5257" t="inlineStr">
        <is>
          <t>dfn71q</t>
        </is>
      </c>
      <c r="B5257" t="inlineStr">
        <is>
          <t>Opioids or that time I had lunch with Princess Margaret, Gandhi and Donald Trump</t>
        </is>
      </c>
      <c r="C5257" t="inlineStr">
        <is>
          <t>Holy Cow I have never been so high in my life and it wasn't a fun 1980s sort of a high.
I went in for my Liver Resection and had managed up to this point not to be on heavy opioids. The first surgery I just used gummies and not Tramadol, my second surgery the nurse explained pressing the blue button meant a longer time in hospital so I didn't press the blue button.
Then they did the liver and pumped me so full of opioids it wasn't even funny. I was hallucinating, having scary nightmares and complete memory loss. I had to keep texting the SO to see if I had had visitors that were more than in my head.
They took me off of auto-drip and put me on the blue button. But that was still too much. I had to be stepped down from that to a couple of 12-hour pills.
I was not expecting the side effects I experienced. I am curious if anyone else experienced bad side effects on opioids during surgery and recovery.</t>
        </is>
      </c>
      <c r="D5257" t="n">
        <v>7</v>
      </c>
      <c r="E5257" t="n">
        <v>12</v>
      </c>
      <c r="F5257">
        <f>HYPERLINK("https://www.reddit.com/r/cancer/comments/dfn71q/opioids_or_that_time_i_had_lunch_with_princess/")</f>
        <v/>
      </c>
      <c r="G5257" t="inlineStr">
        <is>
          <t>2019-10-09 13:51:09</t>
        </is>
      </c>
      <c r="H5257" t="inlineStr"/>
    </row>
    <row r="5258">
      <c r="A5258" t="inlineStr">
        <is>
          <t>dfo2ip</t>
        </is>
      </c>
      <c r="B5258" t="inlineStr">
        <is>
          <t>Working and paying bills after cancer</t>
        </is>
      </c>
      <c r="C5258" t="inlineStr">
        <is>
          <t>I need advice. Last year I was diagnosed with pancreatic cancer. I had whipple which removed all of the cancer. I haven't had a recurrence yet. I'm on social security disability and medicaid right now. I thought that would solve my financial problems but sadly I'm stuck in a Catch 22. Disability pays $859 per month. That's money I didn't have to earn so I'm not complaining. My trouble is that in order to stay on Medicaid, I cannot earn more than $577 per month in addition to the $859 per month. I use two different types of insulin, and creon. Those cost over $1700 a month without insurance. I'm afraid that even with employer insurance or marketplace insurance, it might still be pretty expensive.  
I just started renting an apartment in a city so I have a 1 year lease and no room mates allowed. I'm a single female, age 37. I live alone with no kids. Just two cats. So, I can't move or get a roomie.   
I would like to try to work full time again but I'm afraid because anyone who knows about whipple knows it can really screw you up because it's such a major change to the digestive system. I'm afraid I would not be able to adhere to a strict attendance policy.   
I'm sure there are plenty of you in this predicament, or was. I'd like to hear from you! What resources helped you the most?</t>
        </is>
      </c>
      <c r="D5258" t="n">
        <v>10</v>
      </c>
      <c r="E5258" t="n">
        <v>6</v>
      </c>
      <c r="F5258">
        <f>HYPERLINK("https://www.reddit.com/r/cancer/comments/dfo2ip/working_and_paying_bills_after_cancer/")</f>
        <v/>
      </c>
      <c r="G5258" t="inlineStr">
        <is>
          <t>2019-10-09 14:52:57</t>
        </is>
      </c>
      <c r="H5258" t="inlineStr"/>
    </row>
    <row r="5259">
      <c r="A5259" t="inlineStr">
        <is>
          <t>dfp4cd</t>
        </is>
      </c>
      <c r="B5259" t="inlineStr">
        <is>
          <t>My dad passed away this morning</t>
        </is>
      </c>
      <c r="C5259" t="inlineStr">
        <is>
          <t>I've only ever lurked here since he was diagnosed 2 years ago with pancreatic cancer. He's not my biological dad, but he was my dad nonetheless. He taught me how to drive, and he taught my mom how to trust again. 
My grandma provided perspective that at least now the cancer isn't in control of our lives anymore. I can't help but to think that she's right, until it comes back and kills another person I love.
Fuck cancer.</t>
        </is>
      </c>
      <c r="D5259" t="n">
        <v>13</v>
      </c>
      <c r="E5259" t="n">
        <v>4</v>
      </c>
      <c r="F5259">
        <f>HYPERLINK("https://www.reddit.com/r/cancer/comments/dfp4cd/my_dad_passed_away_this_morning/")</f>
        <v/>
      </c>
      <c r="G5259" t="inlineStr">
        <is>
          <t>2019-10-09 16:09:54</t>
        </is>
      </c>
      <c r="H5259" t="inlineStr"/>
    </row>
    <row r="5260">
      <c r="A5260" t="inlineStr">
        <is>
          <t>dfpc28</t>
        </is>
      </c>
      <c r="B5260" t="inlineStr">
        <is>
          <t>Confused about my rare cancer diagnosis.</t>
        </is>
      </c>
      <c r="C5260" t="inlineStr">
        <is>
          <t>Hi all. 
A few weeks ago I had a tumor removed from my abdomen. It was a golf ball sized tumor. The first two layers were cancer-free when tested. However all of the results Cate back and it is positive for spindle cell sarcoma. 
I just made an appointment with a oncology surgeon at Dana Farber in Boston. He’s going to go in and remove all of the tissue surrounding where the tumor was. 
I’m meeting with an oncologist and someone from radiation in two weeks. I’m assuming to discuss my options. 
I was too nervous to ask questions on the phone, especially since the person I talked to only scheduled appointments. 
If the first few layers of a tumor are negative for cancer, but deeper layers have cancer, does that mean the cancer was likely contained in just the tumor? Or is that not how cancer works?
I’m trying to find info on spindle cell sarcoma, but because it’s so rare, I’m really having a tough time finding information. I know googling is bad and cancer is different for everyone, but I’m scared and I just want more info. 
Thank you if you offer any advice or information.</t>
        </is>
      </c>
      <c r="D5260" t="n">
        <v>1</v>
      </c>
      <c r="E5260" t="n">
        <v>6</v>
      </c>
      <c r="F5260">
        <f>HYPERLINK("https://www.reddit.com/r/cancer/comments/dfpc28/confused_about_my_rare_cancer_diagnosis/")</f>
        <v/>
      </c>
      <c r="G5260" t="inlineStr">
        <is>
          <t>2019-10-09 16:27:09</t>
        </is>
      </c>
      <c r="H5260" t="inlineStr"/>
    </row>
    <row r="5261">
      <c r="A5261" t="inlineStr">
        <is>
          <t>dfpdha</t>
        </is>
      </c>
      <c r="B5261" t="inlineStr">
        <is>
          <t>I [F34] feel so alone, I have no one to talk to anymore, it’s been excepted I’m going though it but feels like I’m expected to just get on with it now.</t>
        </is>
      </c>
      <c r="C5261" t="inlineStr">
        <is>
          <t>I’m 34 years old and have two children, my daughter is 16 my son is 7.
I was diagnosed with Metastatic bowel cancer stage 4 liver, 2 lymph nodes, peritoneum on may 3rd 2017.
I started chemo in the August, long story short ,infections, change in chemo, hair loss, some shrinkage but seems to just be not doing anything right now am due a scan next week (fingers crossed).
I don’t know how to stop feeling like I’m a burden and so alone.
My dad, sister and brother live 17 miles away but I never see them, I don’t drive but no one really visits me.
The kids dad isn’t on the scene at all.
I have a boyfriend of whom I love so much (the love of my life) but we are in a long distance relationship (another long story) of 3 years, we met 6 months before I was diagnosed and it’s hard but it works, the kids love him very much and he loves them.
He has stuck by me through everything, I couldn’t begin to describe how thankful I am to him and how much I love him!
I don’t have a single friend, it’s really just me, the kids and my partner.
I feel a burden all the time. I suffer through the chemo and mostly try not to say anything I think it’s been excepted that this is how life is now, on my weeks off I have good days too but I never feel like me anymore.
Sometimes when I’m feeling bad, I don’t won’t to just say ‘I’m feeling like shit and alone, please talk to me’
Sometimes I wish someone would ask me and talk to me about it, just listen while I cry, tell me it’s ok!
I know it’s hard to bring up and it’s one of “those” conversations but I feel so alone in this sometimes. Sitting waiting for the sickness to pass, to stop hurting for a bit or just to get some sleep.
How do you cope?
I’m trying so hard but always feel I’m on the edge I’m so sad.
Sorry if it’s not very well put together, it’s late and I’m tied but can’t sleep,I’m on my second week of chemo and been trying to hold it together as my partner was on a work exhibition for 3 days I’ve been trying not to worry him at work.</t>
        </is>
      </c>
      <c r="D5261" t="n">
        <v>21</v>
      </c>
      <c r="E5261" t="n">
        <v>8</v>
      </c>
      <c r="F5261">
        <f>HYPERLINK("https://www.reddit.com/r/cancer/comments/dfpdha/i_f34_feel_so_alone_i_have_no_one_to_talk_to/")</f>
        <v/>
      </c>
      <c r="G5261" t="inlineStr">
        <is>
          <t>2019-10-09 16:30:03</t>
        </is>
      </c>
      <c r="H5261" t="inlineStr"/>
    </row>
    <row r="5262">
      <c r="A5262" t="inlineStr">
        <is>
          <t>dfpg5n</t>
        </is>
      </c>
      <c r="B5262" t="inlineStr">
        <is>
          <t>So the paper says they're not trying to cure the cancer anymore</t>
        </is>
      </c>
      <c r="C5262" t="inlineStr">
        <is>
          <t>Just to prevent growth and treat symptoms. So this is just to extend her life as long as possible or what? Why didn't the doctor state this more clearly?
He said it was stage 3, possibly stage 4 due to unidentified nodules in her fat. I'm at a loss for words. Do i keep this info to myself? My mom is focusing on the stage 3 confirmed part and I don't want to rain on her parade and make her sad. But she is not telling anyone about the possible stage 4 part. 
My brother said he wanted to know the truth etc but when I tell him the negative reality he twists it into a think positive. At first I was ok with this but he isn't spending time with our mom as if she is on borrowed time. He's spending time with her as if this is a passing disease. 
I don't want to tell my dad the truth. He'd freak out in a bad way. Do I tell my bro or my moms siblings? If I did the real prognosis would spread like wildfire.</t>
        </is>
      </c>
      <c r="D5262" t="n">
        <v>1</v>
      </c>
      <c r="E5262" t="n">
        <v>3</v>
      </c>
      <c r="F5262">
        <f>HYPERLINK("https://www.reddit.com/r/cancer/comments/dfpg5n/so_the_paper_says_theyre_not_trying_to_cure_the/")</f>
        <v/>
      </c>
      <c r="G5262" t="inlineStr">
        <is>
          <t>2019-10-09 16:35:59</t>
        </is>
      </c>
      <c r="H5262" t="inlineStr"/>
    </row>
    <row r="5263">
      <c r="A5263" t="inlineStr">
        <is>
          <t>dfr6sp</t>
        </is>
      </c>
      <c r="B5263" t="inlineStr">
        <is>
          <t>Is anybody else still struggling while in remission?</t>
        </is>
      </c>
      <c r="C5263" t="inlineStr">
        <is>
          <t>I found my tumour when I was 19, and it took three years and a misdiagnosis before I learned I had stage ll Hodgkins lymphoma. I am now 23 and have been in remission for almost a year, but am still struggling. I forget everything all the time, which I find infuriating. I hate to look at myself in the mirror because of the way my hair is growing back and how rampant my coldsores are since chemo blasted away my immune system. I am struggling with depression to such an extent that suicide crosses my mind almost every day. I have recently reached out to my family doc and a have taken steps to join group therapy, for those worried about the suicidal thoughts. But I feel very alienated because I don't know anybody my own age who can relate to my experiences. Does anybody have any advice on how to feel some normalcy again?</t>
        </is>
      </c>
      <c r="D5263" t="n">
        <v>5</v>
      </c>
      <c r="E5263" t="n">
        <v>5</v>
      </c>
      <c r="F5263">
        <f>HYPERLINK("https://www.reddit.com/r/cancer/comments/dfr6sp/is_anybody_else_still_struggling_while_in/")</f>
        <v/>
      </c>
      <c r="G5263" t="inlineStr">
        <is>
          <t>2019-10-09 18:58:27</t>
        </is>
      </c>
      <c r="H5263" t="inlineStr"/>
    </row>
    <row r="5264">
      <c r="A5264" t="inlineStr">
        <is>
          <t>dfry9a</t>
        </is>
      </c>
      <c r="B5264" t="inlineStr">
        <is>
          <t>I’m 25 years old and just got told that I have cancer.</t>
        </is>
      </c>
      <c r="C5264" t="inlineStr">
        <is>
          <t>I went to my university health center this morning because I had a fever and swollen lymph nodes. Thought maybe I had mono. Five blood tests later, it’s now 9pm and I’m in the emergency room about to be flown through a snowstorm to Utah for treatment. The oncologist in the ER told me that I’m having a “cancer emergency” (literally WHAT-that sounds 100% made up). I likely either have lymphoma or leukemia. Luckily my boyfriend is here, my family is coming with but... What. The fuck. I’m supposed to graduate from college in May. Supposed to marry my best friend and start my career. Start my life. I’m still so stunned, waiting for the emergency flight team to get here, waiting for a diagnosis. I don’t feel sick really at all. I feel fine. But this is the most bizarre experience of my entire life. Does anyone out there have any words of wisdom? Any books I should read? Any stories of overcoming blood cancer?? People are already looking at me like I’m on my deathbed and I really need some positivity. Thank you.</t>
        </is>
      </c>
      <c r="D5264" t="n">
        <v>22</v>
      </c>
      <c r="E5264" t="n">
        <v>40</v>
      </c>
      <c r="F5264">
        <f>HYPERLINK("https://www.reddit.com/r/cancer/comments/dfry9a/im_25_years_old_and_just_got_told_that_i_have/")</f>
        <v/>
      </c>
      <c r="G5264" t="inlineStr">
        <is>
          <t>2019-10-09 20:05:26</t>
        </is>
      </c>
      <c r="H5264" t="inlineStr"/>
    </row>
    <row r="5265">
      <c r="A5265" t="inlineStr">
        <is>
          <t>dfsw57</t>
        </is>
      </c>
      <c r="B5265" t="inlineStr">
        <is>
          <t>Going down this rabbit hole sucks.</t>
        </is>
      </c>
      <c r="C5265" t="inlineStr">
        <is>
          <t>Dear friend, 26 told me she has cancer. I think it's
Epithelioid Hemangioendothelioma
Looking for places outside of the US for a cure. She's currently hurting 😢. 
Any known cure anywhere in the world. I don't care about the cost, I care about her life.
If you know, please help.
Thank you.</t>
        </is>
      </c>
      <c r="D5265" t="n">
        <v>8</v>
      </c>
      <c r="E5265" t="n">
        <v>2</v>
      </c>
      <c r="F5265">
        <f>HYPERLINK("https://www.reddit.com/r/cancer/comments/dfsw57/going_down_this_rabbit_hole_sucks/")</f>
        <v/>
      </c>
      <c r="G5265" t="inlineStr">
        <is>
          <t>2019-10-09 21:35:16</t>
        </is>
      </c>
      <c r="H5265" t="inlineStr"/>
    </row>
    <row r="5266">
      <c r="A5266" t="inlineStr">
        <is>
          <t>dfszns</t>
        </is>
      </c>
      <c r="B5266" t="inlineStr">
        <is>
          <t>New Diagnosis (Vent)</t>
        </is>
      </c>
      <c r="C5266" t="inlineStr">
        <is>
          <t>Hey everyone. My Grandma was just diagnosed with Leiomyosarcoma a few weeks ago. She has had heavy post-menopausal bleeding which led her to the emergency room. ER doctor told her to go see her OB/GYN immediately. They did a biopsy and ultrasound.
I'm traumatized by the way I found out.
My Mom and I were sitting in a parking lot about to go into an eye appointment, when she saw my Grandma had called. We were expecting her results from the doctor. She listened to the voicemail she left and it was a bunch of crackling as if she had butt dialed us. (I now realize it was her crying and trying to speak. I've been meaning to try and delete it off of her phone so she doesn't listen to it.) My Mom called her back and said "Hello?" and my Grandma couldn't even reply. She then asked if she had cancer and my Grandma started crying. My Mom started sobbing hystericially, saying "Momma! I can't lose my Momma!" over and over. I really didn't know what to do and was in a state of shock. I called my Grandma's neighbor to go sit with her as she was by herself at home. Our family drove to her house (about 40 mins away) and just sat there speechless. It's a day I'll never forget.
It's just really fucked up that this is happening because my Grandpa had literally passed away 3 weeks before. She didn't even have time to grieve before all of this! I'm so angry at God or whoever is up there. It's not fair.
Thank you for listening if you got this far. I just needed to get everything off of my chest.</t>
        </is>
      </c>
      <c r="D5266" t="n">
        <v>5</v>
      </c>
      <c r="E5266" t="n">
        <v>2</v>
      </c>
      <c r="F5266">
        <f>HYPERLINK("https://www.reddit.com/r/cancer/comments/dfszns/new_diagnosis_vent/")</f>
        <v/>
      </c>
      <c r="G5266" t="inlineStr">
        <is>
          <t>2019-10-09 21:45:01</t>
        </is>
      </c>
      <c r="H5266" t="inlineStr"/>
    </row>
    <row r="5267">
      <c r="A5267" t="inlineStr">
        <is>
          <t>dft0nu</t>
        </is>
      </c>
      <c r="B5267" t="inlineStr">
        <is>
          <t>Does anyone else feel guilty for being happy?</t>
        </is>
      </c>
      <c r="C5267" t="inlineStr">
        <is>
          <t>After my dad passed, these waves of guilt wash over me in the most ugliest ways. I know I shouldn’t feel this way but, i just do. 
Anytime I catch my self in a moment of joy, happiness, or just having fun these thoughts of my dad surface. For some reason I feel like I always need to be in a constant state of mourning, and if not I subconsciously think I’m disrespecting his death.
I feel bad my dad is not here to enjoy the things that I’m doing. I feel bad that I’m doing the stuff he and I used to do together, I miss that a lot. Is that unhealthy, to be hanging on like that?  To be doing the things I know he loved just so I can remember him even more?
Is this normal? How do I stop?</t>
        </is>
      </c>
      <c r="D5267" t="n">
        <v>6</v>
      </c>
      <c r="E5267" t="n">
        <v>6</v>
      </c>
      <c r="F5267">
        <f>HYPERLINK("https://www.reddit.com/r/cancer/comments/dft0nu/does_anyone_else_feel_guilty_for_being_happy/")</f>
        <v/>
      </c>
      <c r="G5267" t="inlineStr">
        <is>
          <t>2019-10-09 21:47:54</t>
        </is>
      </c>
      <c r="H5267" t="inlineStr"/>
    </row>
    <row r="5268">
      <c r="A5268" t="inlineStr">
        <is>
          <t>dftsb7</t>
        </is>
      </c>
      <c r="B5268" t="inlineStr">
        <is>
          <t>Mom has cancer, she was fine 6 months ago</t>
        </is>
      </c>
      <c r="C5268" t="inlineStr">
        <is>
          <t>My mom was diagnosed with a rare bile duct cancer back in February 2018. They immediately did surgery (whipple) and after chemo and radiation they said she was healthy enough to come back every three months for a checkup. 
Then they said six months. When we went back in six months, they saw that the cancer spread to her liver. Two weeks later, her lymph nodes by her neck. Now they're saying she's stage 4 and that most people at this stage live for 10 months. 
What is 10 months? What does this mean?
She started chemo again, 6 months once a week. Does that mean she'll live longer? 
I don't know what I'm supposed to be doing apart from making sure she gets through chemo without getting too weak. 
Can anyone advise? She's only 55 years old.</t>
        </is>
      </c>
      <c r="D5268" t="n">
        <v>3</v>
      </c>
      <c r="E5268" t="n">
        <v>3</v>
      </c>
      <c r="F5268">
        <f>HYPERLINK("https://www.reddit.com/r/cancer/comments/dftsb7/mom_has_cancer_she_was_fine_6_months_ago/")</f>
        <v/>
      </c>
      <c r="G5268" t="inlineStr">
        <is>
          <t>2019-10-09 23:08:42</t>
        </is>
      </c>
      <c r="H5268" t="inlineStr"/>
    </row>
    <row r="5269">
      <c r="A5269" t="inlineStr">
        <is>
          <t>dfu8zx</t>
        </is>
      </c>
      <c r="B5269" t="inlineStr">
        <is>
          <t>First chemo session done</t>
        </is>
      </c>
      <c r="C5269" t="inlineStr">
        <is>
          <t>So I did my first chemo session yesterday. It was supposed to be on Monday, but complications set in (as usual 😒)
First of all, the hospital I had chosen didn't accept my health insurance. So I was fully covered for all cancer related treatment, but no admittance or any other procedures would be covered. This would be fine, except my doctor was concerned about my kidney health, since there's a tumor pressing against my left kidney.
So after ridiculous waiting, I finally got to another hospital that my health insurance will cover fully. So on Monday I had stents put into both my kidneys. The after effect of this is ridiculous pain when you pee, and you pee blood too. But now that it's done, I finally started chemo.
Session 1 went pretty well. I feel a lot better, more myself than I did in weeks, to be honest. I can eat a bit more and I feel more alive, with way less pain than before.</t>
        </is>
      </c>
      <c r="D5269" t="n">
        <v>7</v>
      </c>
      <c r="E5269" t="n">
        <v>3</v>
      </c>
      <c r="F5269">
        <f>HYPERLINK("https://www.reddit.com/r/cancer/comments/dfu8zx/first_chemo_session_done/")</f>
        <v/>
      </c>
      <c r="G5269" t="inlineStr">
        <is>
          <t>2019-10-10 00:00:19</t>
        </is>
      </c>
      <c r="H5269" t="inlineStr"/>
    </row>
    <row r="5270">
      <c r="A5270" t="inlineStr">
        <is>
          <t>dfuiv5</t>
        </is>
      </c>
      <c r="B5270" t="inlineStr">
        <is>
          <t>Do you think it’s possible to get trauma at 22 months old?</t>
        </is>
      </c>
      <c r="C5270" t="inlineStr">
        <is>
          <t>It’s gotta be my imagination right?
A little over two weeks ago I was having trouble breathing and things went south. We were in bed, my wife and 22 month old. I said go and pointed to the door and we piled into the car for the ER. 
I ended up hospitalized for the next 8 days, and thankfully recovered. 
While I was in the hospital my wife would wake up and ask her “you wanna go” and they would come visit. 
Now I’m home 2 nights ago for the first time in the middle of the night our daughter jumped up and said go go and was scared then wouldn’t sleep another 2-3 hours, only cuddling with me or playing with me. 
I thought it was sweet she missed me. But again tonight at 1am (right now) she jumped up and yelled “go go” it looked like a nightmare. We calmed her down, and let her watch a cartoon which we wouldn’t normally do at night. 
So am I trying to make this all fit together as an adult would when it’s really nothing like that at all. And children just have nightmares?</t>
        </is>
      </c>
      <c r="D5270" t="n">
        <v>2</v>
      </c>
      <c r="E5270" t="n">
        <v>4</v>
      </c>
      <c r="F5270">
        <f>HYPERLINK("https://www.reddit.com/r/cancer/comments/dfuiv5/do_you_think_its_possible_to_get_trauma_at_22/")</f>
        <v/>
      </c>
      <c r="G5270" t="inlineStr">
        <is>
          <t>2019-10-10 00:30:40</t>
        </is>
      </c>
      <c r="H5270" t="inlineStr"/>
    </row>
    <row r="5271">
      <c r="A5271" t="inlineStr">
        <is>
          <t>dfwlvk</t>
        </is>
      </c>
      <c r="B5271" t="inlineStr">
        <is>
          <t>22 and Concerned that I may have Colon Cancer</t>
        </is>
      </c>
      <c r="C5271" t="inlineStr">
        <is>
          <t>Hello Everyone!,   
I'm currently quite concerned that I have a form of bowel cancer and would love to hear some advice from others! I really hope that I'm just overreacting; but, to me, it really appears that its a good possibility that I could be suffering from cancer and wanted to hear everyone else's opinions. I'm well aware that people in my age group account for only 1.1% of all colon/rectal cancer diagnosis, and my chances of it turning out to be cancer are roughly 4 out of 100,000; but, I'm honestly really scared and could use some thoughts from others.  
Backstory: I'm 22 years old, Obese (I'd say close to 300lbs at only about 5'11), have eaten for a long time only what I can describe as "extremely poorly" Cheeseburgers, lots of cheeseburgers, pizzas, and other fast food, sugary drinks, etc, and always way too much eating. I got married and moved from the USA to Germany and since then have really made strides in my diet and eat far more vegetables and fresh, home cooked meals, and drink far more water than I used to, as well as getting more physical activity and I am trying to lose weight and turn my life around. I also smoked pot with my friends habitually, daily, for about 3 years, with the occasional night of drinking. That is to say, its obvious that I'm giving colon cancer a great place to nest in, and I realize that my lifestyle choices in the past have put me at a greater risk now, even if I'm now living a better lifestyle, the damage is done and I've put myself at greater risk.
&amp;amp;#x200B;
Reasons for concern: Late at night on the 27th of September (2 weeks ago now) I started having some trouble getting enough oxygen, which seemed to progressively get worse over the course of several days. After babying myself for some time and hoping things would get better naturally. I was having a real feeling of indigestion/heartburn and on the 1st of October I forced myself to vomit strongly and threw up what appeared to me to be blood with the stereotypical "coffee grounds" appearance that accompanies a stomach Ulcer and decided to go to the doctor on the 2nd after throwing up some more (although, much much less than the day before) that morning. Over the course of this whole incident, my stools went from being their normal, relatively sticky and soft consistency, to what seemed to be really hard the 2 days before I went to the doctor, without any kind of bleeding or change in color from my perspective, it was hard to expel but wanted to be expelled and came out with effort. 
My doctor thought my symptoms were flu-like and gave me some antibiotics and some decongestants and sent me for an X-ray to rule out my Lungs being the cause. X-rays of my lungs came back all clear, which I was happy about after having smoked pot for 3 years habitually. I went home and settled in to relax and get better; but, when I went to make stool I realized something terrible-I was bleeding from my rectum! The blood was bright red and surrounding the outside of the stool; but, was not mixed inside of it. I decided that there must be something else wrong, and figured that the coffee grounds vomit in combination with the anal bleeding might be related to a bleeding stomach ulcer and I went to go see my after-hours clinic, and received some acid reducing pills and was sent home with instructions to return if I didn't improve in 2 days.   
Over the course of the next few days, things seemed to be improving. My wife made me a special high fiber, low acidity, diet with lots of fresh vegetables and fruits, oatmeal, and whole grain breads, etc. My bowel movements were really easy and seemed to come quickly after eating (much more quickly than with my traditional meats and cheeses and white bread diet), and best of all, no bleeding! By then it also seemed like my breathing was returning to normal, and I was really happy with it by the end of the night. It seemed like my bleeding from the rectum was healing, and then we were at the zoo all day and I decided to eat Falafal with French Fries as it was about the healthiest option available, and it seemed like my body wasn't too happy with it, as when I defecated at home later, there was just a small amount of blood on the toilet paper when I wiped and I thought it was just some mild irritation again and continued with my new wife enforced diet. The next morning I ate my usual oatmeal, but, it was made with really fatty coconut milk instead of the oat milk I had been using before, and it seemed my stomach really didn't like it, because I threw just a little bit of it up (almost like burping it up) at church and thought maybe my ulcer was acting up.  My stool that day was a little bloody, but still only like it was the day I had the fried food. After eating lunch for the day I felt really tired and like my feet were freezing and I decided to take a nap-I was feeling distinctly unwell.  
Monday and Tuesday my wife was staying with her parents to get some work done for University, so I reverted to cooking for myself. Monday I was eating toast with honey and cheese and rice filled grapeleaves and felt great, minimal bleeding again, and for dinner I made myself some homemade calzones, unfortunately I think my gut really didn't like this, as this is when the bleeding became what I consider severe, and it seems like I started to develop some really bad constipation, I also just vomited up a tiny bit of what I believed was the coffee ground blood and was convinced it must be a bleeding ulcer.  
On Wednesday the 9th, I decided to go back into my doctor and told him and he sent me for an endoscopy. The endoscopy turned up a completely healthy stomach with no ulcers whatsoever, so now I'm really confused about the source of the "coffee grounds" vomit. Is it possible that it is somehow being pulled back up from my lower GI track and thats where the bleeding is coming from? Or was it simply some kind of fluke that I simply thought was blood? I have some photographs and I'm still almost positive it contains blood.  
Either way, the man source of concern now is that I'm still bleeding heavily from my rectum without any kind of idea why, its still bright red with long, thick, darker, clots. I feel a little constipated and don't seem to be producing the same stool I was before my symptoms began. With my first symptoms starting with trouble breathing, which I believe could be related to anemia, and then the rest of my symptoms coming after my stool was very hard for 2 days, I wonder if I could be walking into a kind of bowel cancer and would love to hear what everyone here thinks.   
I'm aware that getting a real medical diagnosis as fast as possible is the real solution, and I'm working towards it, I'll get the results of the biopsy of my (completely healthy) stomach tissue today, and next week i should receive information regarding a blood draw they did today; but, I would like to hear some opinions form others, good or bad.  
Thanks for your time and keep on fighting! I really hope to God that I don't have to fight the same fight!
Alex</t>
        </is>
      </c>
      <c r="D5271" t="n">
        <v>2</v>
      </c>
      <c r="E5271" t="n">
        <v>3</v>
      </c>
      <c r="F5271">
        <f>HYPERLINK("https://www.reddit.com/r/cancer/comments/dfwlvk/22_and_concerned_that_i_may_have_colon_cancer/")</f>
        <v/>
      </c>
      <c r="G5271" t="inlineStr">
        <is>
          <t>2019-10-10 04:26:37</t>
        </is>
      </c>
      <c r="H5271" t="inlineStr"/>
    </row>
    <row r="5272">
      <c r="A5272" t="inlineStr">
        <is>
          <t>dfwwl7</t>
        </is>
      </c>
      <c r="B5272" t="inlineStr">
        <is>
          <t>My mom was just diagnosed with colon cancer</t>
        </is>
      </c>
      <c r="C5272" t="inlineStr">
        <is>
          <t>Hi. As the title says, my mom (still in her mid 50's) just got a diagnosis of colon cancer. She says there is metastases in her lymph nodes as well.
This honestly scares the hell out of me. I am transgender and deal with mental illness and my mom has been my biggest supporter in my family ever since I came out? She's always listened to me when I've needed it and I don't know what I would do without her in my life. I'm trying to be optimistic as possible for her but am finding it hard with my mental struggles. I love my mom and I just want to know how to cope with her diagnosis better.</t>
        </is>
      </c>
      <c r="D5272" t="n">
        <v>8</v>
      </c>
      <c r="E5272" t="n">
        <v>6</v>
      </c>
      <c r="F5272">
        <f>HYPERLINK("https://www.reddit.com/r/cancer/comments/dfwwl7/my_mom_was_just_diagnosed_with_colon_cancer/")</f>
        <v/>
      </c>
      <c r="G5272" t="inlineStr">
        <is>
          <t>2019-10-10 04:54:34</t>
        </is>
      </c>
      <c r="H5272" t="inlineStr"/>
    </row>
    <row r="5273">
      <c r="A5273" t="inlineStr">
        <is>
          <t>dfxjv3</t>
        </is>
      </c>
      <c r="B5273" t="inlineStr">
        <is>
          <t>My mom was diagnosed with a super aggressive cholangiocarcinoma. No treatments available. Need some help or advice on what to do next.</t>
        </is>
      </c>
      <c r="C5273" t="inlineStr">
        <is>
          <t>Hi everyone. It really hurts to write this but we are in need of some help.
My 53 year old mom was diagnosed with metastatic cholangiocarcinoma and primary sclerosing cholangitis about one month ago. We found out the cancer had spread to her lungs, sternum, and lymph nodes about a week ago. 
Her oncologist which we saw 2 weeks ago was not able to offer any treatments due to cirrhosis from her autoimmune disease.
Her palliative physician sent her to the emergency room and she got admitted to the hospital for 5 days last week because her bilirubin and liver function had drastically risen.
We were told she now has multi-focal blockages throughout her biliary tree secondary to the cancer and PSC and there is nothing they can do including ERCP or external drain. Endoscopy, interventional radiology, and surgery were all consulted.
She was discharged home on hospice and we were told she may only have a couple weeks left with us as her liver begins to fail. 
This came on suddenly and out of nowhere and we are devastated by the news. My mom has battled chronic diseases her whole life. She was diagnosed with autoimmune hepatitis at 18, ulcerative colitis at 40, and cirrhosis and portal hypertension secondary to her autoimmune hepatitis at 51. She underwent a total colectomy in April 2018 and TIPS in August 2018. Her health has been stable since the shunt was placed last year.
Due to the above diseases she had annual CT’s/MRI’s, ultrasounds every 3 months, and labs every 3 months. She had a small lesion in her liver that they have been watching for the past 2 years but that is all. Her labs up until late July when she developed severe abdominal pain were normal. Her labs and ultrasound in June were normal for the exception of biliary sludge which her hepatologist said he would just monitor.
This has been a whole lot of information to process in such a short amount of time. We are not ready to let her go and she is not ready to go.
She has been receiving care at Oregon Health &amp;amp; Science University in Portland, Oregon but we are planning to seek a second opinion. I have narrowed down a few physicians in the area through the Cholangiocarcinoma Foundation webpage and I am planning to make some phone calls first thing this morning. I am also planning to call MD Anderson.  Is this a good idea?
Are there any novel treatments for biliary blockages or cholangiocarcinoma that she would be a candidate for? I am not sure what her oncologists had considered. She will not be a candidate for any clinical trials. What has worked for pain control? This has been most difficult. She is currently on a fentanyl patch, using either hydrocodone or morphine for break through pain, and they are now considering methadone too.
Thank you everyone for your input and sorry for the long post.</t>
        </is>
      </c>
      <c r="D5273" t="n">
        <v>15</v>
      </c>
      <c r="E5273" t="n">
        <v>16</v>
      </c>
      <c r="F5273">
        <f>HYPERLINK("https://www.reddit.com/r/cancer/comments/dfxjv3/my_mom_was_diagnosed_with_a_super_aggressive/")</f>
        <v/>
      </c>
      <c r="G5273" t="inlineStr">
        <is>
          <t>2019-10-10 05:50:08</t>
        </is>
      </c>
      <c r="H5273" t="inlineStr"/>
    </row>
    <row r="5274">
      <c r="A5274" t="inlineStr">
        <is>
          <t>dfxlwy</t>
        </is>
      </c>
      <c r="B5274" t="inlineStr">
        <is>
          <t>Arguing for 5 hours for no reason.</t>
        </is>
      </c>
      <c r="C5274" t="inlineStr">
        <is>
          <t>My dad has stage 4 cancer (getting chemo every week) and he and my mom love arguing for no reason (my failures in life, their regrets in life, the hatred they feel in life).
I just keep out of it.
My dad is weak but still love/hates getting fired up in very negative arguing for 5 hours straight almost every other day.
I'm not sure how this is going to help heal his cancer.
My parents have always lived a very negative/stressful life (moving more than 35 times for no reason), plus major arguments that don't help anyone out.
They keep stressing to the point of feeling sick.</t>
        </is>
      </c>
      <c r="D5274" t="n">
        <v>28</v>
      </c>
      <c r="E5274" t="n">
        <v>17</v>
      </c>
      <c r="F5274">
        <f>HYPERLINK("https://www.reddit.com/r/cancer/comments/dfxlwy/arguing_for_5_hours_for_no_reason/")</f>
        <v/>
      </c>
      <c r="G5274" t="inlineStr">
        <is>
          <t>2019-10-10 05:55:11</t>
        </is>
      </c>
      <c r="H5274" t="inlineStr"/>
    </row>
    <row r="5275">
      <c r="A5275" t="inlineStr">
        <is>
          <t>dfyuft</t>
        </is>
      </c>
      <c r="B5275" t="inlineStr">
        <is>
          <t>Mom has Stage 4 Colon Cancer, Folfox did nothing</t>
        </is>
      </c>
      <c r="C5275" t="inlineStr">
        <is>
          <t>Guess I'm just writing this because we just found out Folfox isn't working after 5 treatments. She has polyps on her colon but her liver is covered in mass's. She hasn't even been able to get out of bed in the last 3 months because of Chemo. They quit Folfox and we have another appointment tomorrow to see the next plan of action.
She's just beat, the next treatment is almost guaranteed to be a more harsher treatment and she just said "I don't think I can do something harsher". She was supposed to do another Chemo cycle yet but went into the ER yesterday because nothing felt right and had constant pain for the last month, they ended up doing her scans early and quit the Folfox.
She's scared as she should be, she's not even 60 and as everyone says this just isn't fair. The hardest part of this roller coaster so far has been yesterday when she said, "If i cant do the harsher treatment, then what I just die"...I couldn't hold it in and we lost it. How do you come to terms with that. 
Has anyone had better results from something besides Folfox? Of course this is America and healthcare sucks so she's limited to where she can go. Guess I just needed a place to vent as I'm 31 with two kids and can't imagine them growing up without Grandma.</t>
        </is>
      </c>
      <c r="D5275" t="n">
        <v>2</v>
      </c>
      <c r="E5275" t="n">
        <v>2</v>
      </c>
      <c r="F5275">
        <f>HYPERLINK("https://www.reddit.com/r/cancer/comments/dfyuft/mom_has_stage_4_colon_cancer_folfox_did_nothing/")</f>
        <v/>
      </c>
      <c r="G5275" t="inlineStr">
        <is>
          <t>2019-10-10 07:31:43</t>
        </is>
      </c>
      <c r="H5275" t="inlineStr"/>
    </row>
    <row r="5276">
      <c r="A5276" t="inlineStr">
        <is>
          <t>dfzflz</t>
        </is>
      </c>
      <c r="B5276" t="inlineStr">
        <is>
          <t>My Cancer story so far.</t>
        </is>
      </c>
      <c r="C5276" t="inlineStr">
        <is>
          <t xml:space="preserve">
I am so sorry I didn't realize this post would go on to be this long. I have a TLDR version at the end . I would totally understand if u don't want to read the whole thing, or this post. 
I moved to the US in the year of 2016 ,at the age of 23, to purse my MS in Electrical Engineering. I've always been passionate about Industrial Automation and wanted to learn more about industrial controls. I started working in Feb 2018 (After applying for 300+ companies, it's hard to be an international student. Lol) to gain some real industrial experience. 
In a way I can say that things started to get messed up starting Oct 2018. First I got ditched I had been waiting to see my girlfriend since July 2018. I was in Germany for training and was gonna return to the US in oct2018 and 2 weeks before my arrival I got ditched .
 I was really in love so I was barely able to get over her, even by April 2019. In early May I got a job offer in a city which is always Sunny(or so they say) in the east coast. This was it..! this was the big break that I was looking for. I could not wait to move to a big city, meet new people and make friends but then I guess life had different plans for me. On the second day at my new job I got a call from my doctor's office saying 'Joe2pu2008 I'm sorry you have Diffuse Large B-Cell Lymphoma'. 
It all started in May2019 when I spotted a large lump under my left armpit. I was healthy otherwise, I use to workout close to 1.5 hrs everyday, lost about 25lbs (which was finally determined healthy and not a B symptom) and followed a healthy diet. I had rarely ever been ill  so when my doctor said "you might  have cancer " I was shocked. After a CT scan it was determined that I have several swollen lymphnodes with the biggest one measuring 5.2 cm. Needle biopsy came out clean but my doctor still referred me to an oncologist who suggested that they perform an excisional biopsy. 15 days later (mid July 2019) I got the results which said Diffused Large B-Cell Lymphoma arrisinng in the back ground of Nodular Lymphocyte Predominant Hodgkin's Lymphoma. 
The toughest part of all this was to tell my parents that I have cancer. My family doesn't have a cancer history so naturally they were shocked. I had spent all my savings to move to east coast and I still didn't have a good insurance. With my life  a mess and dreams of gaining professional exposure in the field of automation shattered I decided to fly back to my country. 
After getting a PET scan done it was determined that I have stage 3 diffused large B cell lymphoma. So far I have finished 3 cycles of the 6 cycles of R-CHOP chemo and have an appointment for PET scan tomorrow. My doctors are expecting to see full recovery if not very little activity in the scan. 
In the span of 8 months I lost my gf, kinda lost my job, savings and got cancer. I'm still trying to stay positive and hoping things will getter better in the future. I would like to wish the best of luck to all those who are battling cancer. Stay strong. 
Oh and one more thing, if u have a swollen lymphnode, losing weight without trying, consistent fever, an extra limb or any other symptoms that you cannot explain
STOP LOOKING IT UP ON THE INTERNET AND GO SEE A DOCTOR. 
I cannot stress more on this. Thank you for your time it means a lot to me if you have read the whole thing. 
-------------------------------TLDR-----------------------------------------
I was diagnosed with Diffused Large B-Cell Lymphoma, stage 3 which was a shocker because no one in my family has cancer. The only symptom i had was swollen lymphnodes. I also lead a pretty active and almost healthy lifestyle. Also, I want to wish all the very best to those who are fighting cancer. Also, if you have symptoms of cancer or anything that's happening to you that you cannot explain 
GO SEE A DOCTOR AND STOP LOOKING IT UP ON THE INTERNET.</t>
        </is>
      </c>
      <c r="D5276" t="n">
        <v>1</v>
      </c>
      <c r="E5276" t="n">
        <v>0</v>
      </c>
      <c r="F5276">
        <f>HYPERLINK("https://www.reddit.com/r/cancer/comments/dfzflz/my_cancer_story_so_far/")</f>
        <v/>
      </c>
      <c r="G5276" t="inlineStr">
        <is>
          <t>2019-10-10 08:13:09</t>
        </is>
      </c>
      <c r="H5276" t="inlineStr"/>
    </row>
    <row r="5277">
      <c r="A5277" t="inlineStr">
        <is>
          <t>dfznig</t>
        </is>
      </c>
      <c r="B5277" t="inlineStr">
        <is>
          <t>I think my mother is lying about having cancer</t>
        </is>
      </c>
      <c r="C5277" t="inlineStr">
        <is>
          <t>I’m posting this here to see if anyone could help me find out if what she’s saying is true. I’m all over the place and don’t know what to believe. My mother is a compulsive liar and a narcissist, her story doesn’t add up but if she really is sick and I don’t believe her I could never live with myself 
She says that a lump was found in her breast but that she doesn’t have full blown cancer and received chemo as a precaution
She drives herself to and from appointments which are an hour away but makes up excuses whenever any of us offer to drive her or go with her 
She doesn’t have any sort of permanent port in her arm or neck 
She hasn’t lost hair</t>
        </is>
      </c>
      <c r="D5277" t="n">
        <v>7</v>
      </c>
      <c r="E5277" t="n">
        <v>26</v>
      </c>
      <c r="F5277">
        <f>HYPERLINK("https://www.reddit.com/r/cancer/comments/dfznig/i_think_my_mother_is_lying_about_having_cancer/")</f>
        <v/>
      </c>
      <c r="G5277" t="inlineStr">
        <is>
          <t>2019-10-10 08:28:10</t>
        </is>
      </c>
      <c r="H5277" t="inlineStr"/>
    </row>
    <row r="5278">
      <c r="A5278" t="inlineStr">
        <is>
          <t>dg20in</t>
        </is>
      </c>
      <c r="B5278" t="inlineStr">
        <is>
          <t>I am scared and I need advice</t>
        </is>
      </c>
      <c r="C5278" t="inlineStr">
        <is>
          <t>Hello :) I'm a 26 year old male.
I have a dilemma. I have found 2-3 lumps on my body. One right in my center on the front, just below my chest. The other two are on either side, on the sides sorta back by my lower ribs. These are small lumps with no pain, but maybe the size of small, flat marbles. Theyre under the skin and can move around semi-freely.
I don't know anything yet.
What I'm scared of is money. I've heard horror stories about what cancer treatment can cost.
It is October 10th. I have a full time job with benefits. I have health insurance and some free long term disability. But open enrollment is next month, and 2020 benefits would start January first. I can specifically enroll in a cancer plan for the 2020 year, and other types of supplemental coverage that I'm not enrolled in for 2019.
My fear is: do I go get scanned now? If it shows I have something wrong with me, doesn't that make it a pre existing condition? And insurance won't cover it?
Should I wait for January 1st and go in for a screening, after being enrolled in all the disability and cancer plans available? 
Or do I go in immediately?</t>
        </is>
      </c>
      <c r="D5278" t="n">
        <v>2</v>
      </c>
      <c r="E5278" t="n">
        <v>4</v>
      </c>
      <c r="F5278">
        <f>HYPERLINK("https://www.reddit.com/r/cancer/comments/dg20in/i_am_scared_and_i_need_advice/")</f>
        <v/>
      </c>
      <c r="G5278" t="inlineStr">
        <is>
          <t>2019-10-10 11:13:18</t>
        </is>
      </c>
      <c r="H5278" t="inlineStr"/>
    </row>
    <row r="5279">
      <c r="A5279" t="inlineStr">
        <is>
          <t>dg44ub</t>
        </is>
      </c>
      <c r="B5279" t="inlineStr">
        <is>
          <t>A Fathers Story Please Share</t>
        </is>
      </c>
      <c r="C5279" t="inlineStr">
        <is>
          <t>A year ago almost to the day the doctor confirmed that my daughter has breast cancer. Cancer was never something I thought about. My great Uncle died from colon cancer in the 90's but I never really talked to him all that much only seeing him once a year at  family reunions. Other than that no cancer in my or my wifes family. So when they found a lump in  my daughters breast I knew it would be nothing just like any other time someone in my family had to get checked out. Have we just been lucky? This time we weren't. At first it was just a lumpectomy that was needed. Then they found out that she had an aggressive form of cancer. Then finally the news came that it had spread. It was stage 4. Now the conversation turned from timeframe to get her into remission to how long we can hold off the spread. I now think of life in two parts, life before cancer and life after cancer. I continue to go about my day do my job pay my bills and wonder if anything I do is enough. I used to feel I had a firm grasp on life but ever since last October I can honestly say I'm no longer on solid ground. This is my story, a Father that was attacked at his weakest point. 
Read my daughters story below and please share with anyone who will listen.
https://www.gofundme.com/f/jenna039s-medical-expenses?utm_source=customer&amp;amp;utm_medium=copy_link&amp;amp;utm_campaign=p_cp+share-sheet</t>
        </is>
      </c>
      <c r="D5279" t="n">
        <v>1</v>
      </c>
      <c r="E5279" t="n">
        <v>0</v>
      </c>
      <c r="F5279">
        <f>HYPERLINK("https://www.reddit.com/r/cancer/comments/dg44ub/a_fathers_story_please_share/")</f>
        <v/>
      </c>
      <c r="G5279" t="inlineStr">
        <is>
          <t>2019-10-10 13:36:19</t>
        </is>
      </c>
      <c r="H5279" t="inlineStr"/>
    </row>
    <row r="5280">
      <c r="A5280" t="inlineStr">
        <is>
          <t>dg4a01</t>
        </is>
      </c>
      <c r="B5280" t="inlineStr">
        <is>
          <t>Completed my first ever Chemo today!</t>
        </is>
      </c>
      <c r="C5280" t="inlineStr">
        <is>
          <t>I’m feeling proud of myself for making the decision to go ahead. I’m feeling on top of the world for getting through the first lot of drugs with minimal issues. I’m feeling rather tired now from all the drugs and the fact I didn’t sleep good last night due to the insane amount of steroids and the anxiety.
I bonded with some of the people on the unit, I felt great for some &amp;amp; my heart broke for others who’s day didn’t go great and their plans have to change.
I am grateful that the drugs didn’t give me any adverse reactions or bad side effects, so far, touch wood.
I’m thankful for the Chemotherapy nurses and the Sisters who have worked short staffed and tirelessly. They broke their backs to make sure all the patients were happy &amp;amp; comfortable &amp;amp; seen to as quickly as possible when needed. They are true hero’s, even working hours and hours overtime so that we patients didn’t suffer as they were understaffed to begin with!
Things I will carry forward to next time are:
Wear comfier clothes, leggings just aren’t comfy enough and not warm enough.
Take some slippers or at the very least some very warm, cozy slipper socks.
Take a blankey, it’s a little something extra to feel more at home &amp;amp; warm in a very clinical setting.
More snacks, the steroids made me ravenous, I would of liked to have had a few of my favourites.
I would like to get to know some of the other patients a bit better next time, everyone seems to be so friendly and lovely!!
Good luck and I wish you all the best to any person out there who is battling this awful disease! Sending love and positivity to all of you!</t>
        </is>
      </c>
      <c r="D5280" t="n">
        <v>79</v>
      </c>
      <c r="E5280" t="n">
        <v>46</v>
      </c>
      <c r="F5280">
        <f>HYPERLINK("https://www.reddit.com/r/cancer/comments/dg4a01/completed_my_first_ever_chemo_today/")</f>
        <v/>
      </c>
      <c r="G5280" t="inlineStr">
        <is>
          <t>2019-10-10 13:46:25</t>
        </is>
      </c>
      <c r="H5280" t="inlineStr"/>
    </row>
    <row r="5281">
      <c r="A5281" t="inlineStr">
        <is>
          <t>dg4jg1</t>
        </is>
      </c>
      <c r="B5281" t="inlineStr">
        <is>
          <t>Mom diagnosed with cancer. What to ask to doctor?</t>
        </is>
      </c>
      <c r="C5281" t="inlineStr">
        <is>
          <t>Mom's doctor had found a growth on her liver through an U/S last year in May. She had an MRI done in January as she was consulted to a GI doctor.  The GI doctor said that it's a benign growth and stated it is not a cancer. Six months later in July this year, the lump became bigger and doctor stated that it looks like an abcess and referred my mom to a surgeon. Surgeon stated that since mom is not sick or has fever, it cannot be abcess and wanted to take out the part of the liver. He said that he didn't want to poke around for biopsy because if it was cancer it can spread. My mom went for her surgery today and they found metastasis to diaphragm and the surgeon didn't go through with the surgery to take out the part of the liver. My mom is currently in the hospital and we are expecting doctors to come tomorrow to see my mom in the morning. I'm just lost of what to ask. I'm going to ask about prognosis, treatment options, and maybe getting a second opinion. The surgeon had told me briefly that prognosis doesn't look good when he came out to briefly talk to me today.
If you may please tell me what to expect and how to go about it. Thank you very much!</t>
        </is>
      </c>
      <c r="D5281" t="n">
        <v>7</v>
      </c>
      <c r="E5281" t="n">
        <v>2</v>
      </c>
      <c r="F5281">
        <f>HYPERLINK("https://www.reddit.com/r/cancer/comments/dg4jg1/mom_diagnosed_with_cancer_what_to_ask_to_doctor/")</f>
        <v/>
      </c>
      <c r="G5281" t="inlineStr">
        <is>
          <t>2019-10-10 14:05:16</t>
        </is>
      </c>
      <c r="H5281" t="inlineStr"/>
    </row>
    <row r="5282">
      <c r="A5282" t="inlineStr">
        <is>
          <t>dg5hn6</t>
        </is>
      </c>
      <c r="B5282" t="inlineStr">
        <is>
          <t>I don’t think the docs are being honest with my mom</t>
        </is>
      </c>
      <c r="C5282" t="inlineStr">
        <is>
          <t>My mom was diagnosed January 2017 with metastatic breast cancer that has spread to her bones. She has a destroyed hip, femur fracture that healed on its own and several compressed disks. She literally shrunk like 7 inches from what she was years ago. Barely gets around with a cane/walker. She turned 55 this year. Her doctor told me that my mom must have known that she had cancer for a long time as the lump on her left breast/chest is large and visible from the outside. And obviously the bone pain was excruciating. That’s what ultimately brought her to the hospital. To make a long story short, fear of doctors and being consumed taking care of my addict brother led to her being diagnosed only after the disease had progressed that far that she couldn’t avoid it any longer. 
Side note: She was also diagnosed with cirrhosis in 2015. 
She did a few rounds of radiation and had a double mastectomy. They said she was too fragile to operate on any bone related issues. She started taking ibrance and letrozole. Ibrance made her blood counts tank so almost immediately they knocked her down to 75mg (lowest dose) one week on and one week off instead of the normal every two weeks. 
Long story short the blood counts just kept tanking. In the last 3 or 4 months we couldn’t  get them back up, so no more ibrance. She got a blood transfusion mid sept. She would never survive traditional chemo so the new plan is to have her start Faslodex next week in place of the letrozole. That’s it. 
My problem is my mom is rapidly declining and despite my attempts, no one is acknowledging this. She has lost 20lbs since that transfusion a month ago. Doesn’t eat. Sleeps the majority of the day. Every task is exhausting and she cannot do things (like her make up) that she could a month ago. Everything is difficult for her.  She can’t remember things and is confused by things in simple conversations. She looks awful. I have explained to the nurse and the doctor I don’t understand how we are not at the hospice point. The decline in the last month...even in the last 2...before all the blood transfusion stuff is sharp. They are all obviously very attached to her and an amazing team of doctors and nurses at a very reputable cancer center. Is it normal for them to continue to give hope until it’s undeniable that no meds will help? She seriously thinks she will get better. I’m not sure how a hormone Med will improve where we are at and her having it in her head that this is temporary makes her even more difficult to care for. She is a difficult patient. I am trying to enjoy our time together as I sleep on her couch several states away from where I live but it’s hard. It’s especially difficult when I don’t know what to expect and what the doctors are saying and what I am seeing in no way line up. I read a hospice nurses thoughts somewhere here on reddit that said “when the decline is week to week, you can expect days to weeks that may turn in to months”. This seems realistic to me. Is it? I finally convinced mom to see a palliative care doc (the paperwork makes it clear this is separate from hospice which is the only reason she will go). We go on Monday. Are they the ones expected to break this kind of news? Any thoughts appreciated. I don’t know how any of us can continue living like this.</t>
        </is>
      </c>
      <c r="D5282" t="n">
        <v>1</v>
      </c>
      <c r="E5282" t="n">
        <v>6</v>
      </c>
      <c r="F5282">
        <f>HYPERLINK("https://www.reddit.com/r/cancer/comments/dg5hn6/i_dont_think_the_docs_are_being_honest_with_my_mom/")</f>
        <v/>
      </c>
      <c r="G5282" t="inlineStr">
        <is>
          <t>2019-10-10 15:16:08</t>
        </is>
      </c>
      <c r="H5282" t="inlineStr"/>
    </row>
    <row r="5283">
      <c r="A5283" t="inlineStr">
        <is>
          <t>dg5psf</t>
        </is>
      </c>
      <c r="B5283" t="inlineStr">
        <is>
          <t>Confused</t>
        </is>
      </c>
      <c r="C5283" t="inlineStr">
        <is>
          <t>Have any of you, or the ones you love, checked out of the hospital AMA? (Against Medical Advice). Why did you/they do that?  Do you/they refuse to go to the ER? If you/they want to live what are the reasons for these things? 
My brother (Sarcoma METS to lungs-"stable/functioning very normaily" before clot) checked himself out the day after being admitted to the ICU AMA for a blood clot that went to his chest. He is still alive. Still swears he wants to live. However, he refuses to go to the ER when we think he should. He made his girlfriend promise not to put him in the ER. And he promised me he would call an ambulance if it was needed. I'm trying to advocate for him but stuck on what the right thing to do is. 
Just trying to get some help understanding him and what he might actually be thinking.</t>
        </is>
      </c>
      <c r="D5283" t="n">
        <v>1</v>
      </c>
      <c r="E5283" t="n">
        <v>0</v>
      </c>
      <c r="F5283">
        <f>HYPERLINK("https://www.reddit.com/r/cancer/comments/dg5psf/confused/")</f>
        <v/>
      </c>
      <c r="G5283" t="inlineStr">
        <is>
          <t>2019-10-10 15:33:18</t>
        </is>
      </c>
      <c r="H5283" t="inlineStr"/>
    </row>
    <row r="5284">
      <c r="A5284" t="inlineStr">
        <is>
          <t>dg5vs2</t>
        </is>
      </c>
      <c r="B5284" t="inlineStr">
        <is>
          <t>Got told today I have signs of cancer</t>
        </is>
      </c>
      <c r="C5284" t="inlineStr">
        <is>
          <t>So today I had a flight physical in the Military. I'm currently active duty Coast Guard. I went for my second part of my flight physical to talk to the flight surgeon. My tests came back from my part 1 and they found I have scarring of some sort of something inside my chest, which they said could come from my wife being exposed to tuberculosis as a kid. They also told me they found red blood cells in my urine sample I gave. So I was tested again and now I'm waiting to find out. From what my wife looked up, it's possible of kidney, bladder or prostate cancer. 
&amp;amp;#x200B;
I guess I've never expected this. I know I haven't been diagnosed with it yet but I'm still in shock that I even have signs of it.</t>
        </is>
      </c>
      <c r="D5284" t="n">
        <v>3</v>
      </c>
      <c r="E5284" t="n">
        <v>3</v>
      </c>
      <c r="F5284">
        <f>HYPERLINK("https://www.reddit.com/r/cancer/comments/dg5vs2/got_told_today_i_have_signs_of_cancer/")</f>
        <v/>
      </c>
      <c r="G5284" t="inlineStr">
        <is>
          <t>2019-10-10 15:45:50</t>
        </is>
      </c>
      <c r="H5284" t="inlineStr"/>
    </row>
    <row r="5285">
      <c r="A5285" t="inlineStr">
        <is>
          <t>dg6p44</t>
        </is>
      </c>
      <c r="B5285" t="inlineStr">
        <is>
          <t>And now blood clots........</t>
        </is>
      </c>
      <c r="C5285" t="inlineStr">
        <is>
          <t>Talked to my infusion nurse yesterday about being short of breath since my last round  3 weeks ago. She sent a note to my oncologist who said I should go to the Clinical Decision Unit of Kaiser.
3 hours, 2 sets of blood work, and a CT later and I'm the proud owner of 3 clots. Left upper lobe, right upper lobe, and right lower lobe. Time to find a hospital bed somewhere.
My CDU consulted with the both pulmonologist and attending at the hospital I would be going to and they decided that since the clots are in the periphery and not central there was no need to admit. I was kept overnight for observation.
I'm now on 2x daily 150mg lovenox for the foreseeable future.</t>
        </is>
      </c>
      <c r="D5285" t="n">
        <v>12</v>
      </c>
      <c r="E5285" t="n">
        <v>7</v>
      </c>
      <c r="F5285">
        <f>HYPERLINK("https://www.reddit.com/r/cancer/comments/dg6p44/and_now_blood_clots/")</f>
        <v/>
      </c>
      <c r="G5285" t="inlineStr">
        <is>
          <t>2019-10-10 16:49:29</t>
        </is>
      </c>
      <c r="H5285" t="inlineStr"/>
    </row>
    <row r="5286">
      <c r="A5286" t="inlineStr">
        <is>
          <t>dg6s7m</t>
        </is>
      </c>
      <c r="B5286" t="inlineStr">
        <is>
          <t>Desmoid Tumor Patient Roll-Call</t>
        </is>
      </c>
      <c r="C5286" t="inlineStr">
        <is>
          <t>*I thought I'd start a new desmoid tumor "cover-all" post due to every other desmoid related post being archived.* 
*I know there aren't many of us but there SHOULD be a desmoid community on reddit. I also know this post will more than likely sink to the bottom but* ***if ANYONE ELSE is dealing with a desmoid tumor, I'd love to talk/bitch/share/connect with you.*** 
&amp;amp;#x200B;
Hi. I'm a 35 year old male and was diagnosed with a desmoid tumor under my right clavicle in February of 2019.
I've been on oral chemo (Nexavar) since March and after one scan, the tumor is slowly shrinking. 
&amp;amp;#x200B;
Are there any other desmoid patients out there looking for support?</t>
        </is>
      </c>
      <c r="D5286" t="n">
        <v>5</v>
      </c>
      <c r="E5286" t="n">
        <v>14</v>
      </c>
      <c r="F5286">
        <f>HYPERLINK("https://www.reddit.com/r/cancer/comments/dg6s7m/desmoid_tumor_patient_rollcall/")</f>
        <v/>
      </c>
      <c r="G5286" t="inlineStr">
        <is>
          <t>2019-10-10 16:56:20</t>
        </is>
      </c>
      <c r="H5286" t="inlineStr"/>
    </row>
    <row r="5287">
      <c r="A5287" t="inlineStr">
        <is>
          <t>dg81cj</t>
        </is>
      </c>
      <c r="B5287" t="inlineStr">
        <is>
          <t>Am I being crazy?</t>
        </is>
      </c>
      <c r="C5287" t="inlineStr">
        <is>
          <t>Hi.
I hate that I am here and writing this because I feel like I'm feeding my paranoia but I need to talk about what I'm experiencing so I dont go mad. In case it matters, I'm a 23yo Female. 
Almost 2 weeks ago I noticed a small lump on my forearm and said if it hadn't gone within 2 weeks I'd get it checked. The lump was squishy and with pressure disappeared. It is now a bit harder but still the same size. 
About 5 days ago, I started to get intermittent pain in my right arm, through both the upper and lower parts and my elbow joint - which has also been quite stiff. I thought not much of it, but it has steadily got worse over time, especially night when it burns through my entire arm. I've had near to no appetite over the past week as well as pretty bad fatigue and feeling a bit nauseated sometimes. My neck glands are swollen and I've had intermittent armpit pain in both arms. 
My problem is this: I have fibromyalgia which causes me chronic pain and chronic fatigue. I've had it for 3 years, and throughout that time my symptoms have never changed. My pain has always been in my back, neck and legs which is heightened by any activity. This mixed with my fatigue leads me to generally be active every second day unless I feel well enough. Basically, take each day as it comes. 
Because of my fibro, I have been very reluctant and scared to visit Drs as I'm always told any ailment I have is related to my Fibromyalgia. I have been made to feel like a liar, like I'm imagining things and have such anxiety about being embarrassed to be told it's just fibro yet again. I've even been taken to hospital by ambulance with chest pain, to then be ridiculed by a DR for wasting time. I understand this fear may sound completely irrational to some, but my anxiety and depression really make it hard for me to get over the fear of being shot down again. 
So I guess my question is: is what I'm describing something to be concerned about? My fatigue is so bad I've been in bed for 5 days, and the lump combined with the pain in my arm has raised alarms for me but I dont want to feed into what is obviously paranoia considering how often I've been turned away by Drs. I realise 'better safe than sorry' probably applies, but I dont want to go to drs if there is the probability this is nothing to worry about.
I have literally no one to talk about to this. I live far from my parents who already criticise me for not going to Drs &amp;amp;my bf whom I do live with had his last gf die from bone cancer at 16. I dont want to worry him. 
Please let me know if I'm being crazy. 
Thanks reddit.</t>
        </is>
      </c>
      <c r="D5287" t="n">
        <v>1</v>
      </c>
      <c r="E5287" t="n">
        <v>0</v>
      </c>
      <c r="F5287">
        <f>HYPERLINK("https://www.reddit.com/r/cancer/comments/dg81cj/am_i_being_crazy/")</f>
        <v/>
      </c>
      <c r="G5287" t="inlineStr">
        <is>
          <t>2019-10-10 18:36:55</t>
        </is>
      </c>
      <c r="H5287" t="inlineStr"/>
    </row>
    <row r="5288">
      <c r="A5288" t="inlineStr">
        <is>
          <t>dg8f54</t>
        </is>
      </c>
      <c r="B5288" t="inlineStr">
        <is>
          <t>My mom just got diagnosed and I will be her primary caregiver... what do I do?</t>
        </is>
      </c>
      <c r="C5288" t="inlineStr">
        <is>
          <t>Hi everyone, today has been a rough day because the doctor called this morning to tell us that my mom’s biopsy came back positive for uterine cancer. We have her first appointment with the oncologist on the 22nd of October and then surgery will be following that and then we will know stage and grade of her cancer. I am an only child and she is my only parent and I am heartbroken. I will of course be going with her to every appointment and procedure, because how could I possibly let her go alone??? 
My question for you all is this: how do you go to work with all of this on your shoulders? I am a teacher and have no idea how I am going to put on a smiling face on Monday morning and do my job. I am also worried about all the time I will be taking off of work. I looked into the FMLA but I haven’t been at my current school for 12 months so I would not be covered by that. What have some of you done in a caregiver situation? 
Thanks for the help and advice</t>
        </is>
      </c>
      <c r="D5288" t="n">
        <v>5</v>
      </c>
      <c r="E5288" t="n">
        <v>12</v>
      </c>
      <c r="F5288">
        <f>HYPERLINK("https://www.reddit.com/r/cancer/comments/dg8f54/my_mom_just_got_diagnosed_and_i_will_be_her/")</f>
        <v/>
      </c>
      <c r="G5288" t="inlineStr">
        <is>
          <t>2019-10-10 19:08:37</t>
        </is>
      </c>
      <c r="H5288" t="inlineStr"/>
    </row>
    <row r="5289">
      <c r="A5289" t="inlineStr">
        <is>
          <t>dg8ikp</t>
        </is>
      </c>
      <c r="B5289" t="inlineStr">
        <is>
          <t>Just started my first "after I am gone" letter</t>
        </is>
      </c>
      <c r="C5289" t="inlineStr">
        <is>
          <t>I'm a baby. I'm the youngest in my family. I haven't done anything. When people said to write letters for your loved ones to read after you're gone I didn't know what the fuck to write. What could I contribute. What can I offer. But sometimes late at night I start writing them in my head and tonight I sat down and started typing it out. A letter to my dad, who loves me so much. And I can't stop crying. It's barely legible. It's weird and goes all over the place. I'll break my family's hearts and all I can offer them is a letter which won't bring me back and won't make it okay again. Why does love hurt so much. Why am I inflicting this on my dad.</t>
        </is>
      </c>
      <c r="D5289" t="n">
        <v>80</v>
      </c>
      <c r="E5289" t="n">
        <v>19</v>
      </c>
      <c r="F5289">
        <f>HYPERLINK("https://www.reddit.com/r/cancer/comments/dg8ikp/just_started_my_first_after_i_am_gone_letter/")</f>
        <v/>
      </c>
      <c r="G5289" t="inlineStr">
        <is>
          <t>2019-10-10 19:16:40</t>
        </is>
      </c>
      <c r="H5289" t="inlineStr"/>
    </row>
    <row r="5290">
      <c r="A5290" t="inlineStr">
        <is>
          <t>dg8pmp</t>
        </is>
      </c>
      <c r="B5290" t="inlineStr">
        <is>
          <t>How will I know when there’s no cancer activity yet?</t>
        </is>
      </c>
      <c r="C5290" t="inlineStr">
        <is>
          <t>I’m sorry if this is a dumb question. I’m 19, diagnosed with PMBCL (non-Hodgkins lymphoma). I had a PET scan done after the fourth cycle, my mass hasn’t shrunk much from a previous CT scan but the results came back as minimal activity. There’s no plan to do another PET scan after my last cycle (just finished 5 of 6) so how will I know if there’s no live cancer cells left? My oncologist said he plans on doing another CT scan to gauge the size after my last cycle but my mom is concerned that they’ll just be taking a guess whether or not the cancer is gone. Thank you cancer comrades, keep fighting</t>
        </is>
      </c>
      <c r="D5290" t="n">
        <v>4</v>
      </c>
      <c r="E5290" t="n">
        <v>1</v>
      </c>
      <c r="F5290">
        <f>HYPERLINK("https://www.reddit.com/r/cancer/comments/dg8pmp/how_will_i_know_when_theres_no_cancer_activity_yet/")</f>
        <v/>
      </c>
      <c r="G5290" t="inlineStr">
        <is>
          <t>2019-10-10 19:33:07</t>
        </is>
      </c>
      <c r="H5290" t="inlineStr"/>
    </row>
    <row r="5291">
      <c r="A5291" t="inlineStr">
        <is>
          <t>dgaagl</t>
        </is>
      </c>
      <c r="B5291" t="inlineStr">
        <is>
          <t>Is it common to have toes numbness and fingers due to chemo side effects?</t>
        </is>
      </c>
      <c r="C5291" t="inlineStr">
        <is>
          <t>My mom was having a numb toes and fingers but didn't let her oncologists knows about it till it's alittle worst. Her oncologist told me it can last for the rest of her life or months to s year before it gets better because the nerves got damage from chemo.she gonna have to skip her chemo this week and have a 2 weeks break. Is there any relief for it?</t>
        </is>
      </c>
      <c r="D5291" t="n">
        <v>10</v>
      </c>
      <c r="E5291" t="n">
        <v>17</v>
      </c>
      <c r="F5291">
        <f>HYPERLINK("https://www.reddit.com/r/cancer/comments/dgaagl/is_it_common_to_have_toes_numbness_and_fingers/")</f>
        <v/>
      </c>
      <c r="G5291" t="inlineStr">
        <is>
          <t>2019-10-10 22:03:12</t>
        </is>
      </c>
      <c r="H5291" t="inlineStr"/>
    </row>
    <row r="5292">
      <c r="A5292" t="inlineStr">
        <is>
          <t>dgale7</t>
        </is>
      </c>
      <c r="B5292" t="inlineStr">
        <is>
          <t>I realized my friends' comforting phrases are all cliches, so I started writing my own comforting words to myself</t>
        </is>
      </c>
      <c r="C5292" t="inlineStr">
        <is>
          <t>My dad has cancer, it's pretty bad, and I've been finding it difficult to confide in friends because I feel like no one is saying anything besides shit like "I'm *so* sorry this is happening" or  "Let me know if there's anything I can do to help." Before going into it, I don't blame my friends for their shitty cliches. I know they love me, and I know I'm pretty emotionally fragile these days, so I get it - they're afraid of saying anything that could be taken the wrong way or might unintentionally hurt me. But when I started thinking about what I wish people would say, I realized it all sounds pretty freaking blunt, so of course they'd never say these things to me. I guess I am uncomfortably comforted. But in doing this, I realized this exercise has been pretty helpful to myself, so I hope it might be a helpful exercise for someone else to try.  
So here we go. Comforting words that actually calm me down to hear.  
You'll make it through this, because it's inevitable. You are from a long, long lineage of dead people. You will become one of them, too. We as a species have evolved to be resilient, even to dealing with death, because we have to be to have survived. So, I've literally evolved to be capable of handling this. 
Cancer is also not a unique situation. I am not alone in this feeling. I have my family, who happen to know exactly how I am feeling, and we can all lean on each other. But outside of that, cancer affects millions of people. I am not experiencing the absolute worst single thing to ever have happened to a person, even if it feels like that sometimes. I am experiencing a horrible thing, but a very universal thing. I am not alone.  
It's okay to not want to give yourself false hope. You don't have to believe he'll get better. It's also okay to start processing what it might feel like when my dad does actually die, because it will happen eventually, whether to this disease or to something else. Just don't get too far into that thought, because it's unproductive. I can't change or control what will happen, so there's no point in jumping into that overwhelming pit of sadness. All I can do is acknowledge these feelings, process, make sure that process part concludes somewhere before the unproductive pit of sadness, and then keep on living life.
The only other option to my dad dying before me is me dying before my dad, and I would never, ever wish for that pain to be on him. So really, this is the way it should be. And death could have, and still could, come in so many different ways. Sometimes, it feels almost like the faintest silver lining that we are able to see that death is on it's way, instead of being suddenly surprised out of the blue. I've had time to say so many I love you's that my family has never traditionally said, ever. So I am grateful I was able to say any at all. 
That's it for now, but I think I am going to start keeping a journal to keep writing these things to myself so I can read these back when I do fall into my pits of sadness. Thank you for coming to my ted talk. No but seriously, thanks for reading/listening, it helps to write this all out and not feel alone.</t>
        </is>
      </c>
      <c r="D5292" t="n">
        <v>21</v>
      </c>
      <c r="E5292" t="n">
        <v>14</v>
      </c>
      <c r="F5292">
        <f>HYPERLINK("https://www.reddit.com/r/cancer/comments/dgale7/i_realized_my_friends_comforting_phrases_are_all/")</f>
        <v/>
      </c>
      <c r="G5292" t="inlineStr">
        <is>
          <t>2019-10-10 22:35:09</t>
        </is>
      </c>
      <c r="H5292" t="inlineStr"/>
    </row>
    <row r="5293">
      <c r="A5293" t="inlineStr">
        <is>
          <t>dgb8xc</t>
        </is>
      </c>
      <c r="B5293" t="inlineStr">
        <is>
          <t>Father was diagnosed with Bile duct cancer 2 months ago and was just told chemo isn't working</t>
        </is>
      </c>
      <c r="C5293" t="inlineStr">
        <is>
          <t>My father (65) is in the hospital right now battling an infection caused by bile duct cancer. This is the 3rd time hes been diagnosed with sepsis since is cancer diagnosis and each time has been more difficult than the last. Hes had to deal with jaundice and acities. He was apparently fine 2 months ago and now hes in the ICU and can barely lift his arms. His liver is failing and the cancer has spread to the area between his heart and lungs. The chemo isn't working and they haven't offered other treatment options - radiation, transplants, t-cell therapy all appear to be off the table. When I talk to him I can tell hes not quite all there and he seems to be angry and depressed - hes not the same guy and understandably so. I've not been in the room for a prognosis but I'd guess hes got days maybe weeks left. Even if he recovers from the current infection, the way the cancer is attacking his liver, it sounds like it's just a matter of time before he suffers another one. 
I feel so bad for him and my mother... they just started a new phase of their life- they became grandparents and moved closer to their grandson so they could spend more time with him. He just reached retirement...
I'm struggling to face him directly and tell him how much he means to me - our relationship isn't like that and I'm afraid he would think I was giving up on him. I don't know what to say and I feel like I'm having trouble accepting/processing the situation. Any advice on what to do to help him in this end time would be appreciated.</t>
        </is>
      </c>
      <c r="D5293" t="n">
        <v>4</v>
      </c>
      <c r="E5293" t="n">
        <v>3</v>
      </c>
      <c r="F5293">
        <f>HYPERLINK("https://www.reddit.com/r/cancer/comments/dgb8xc/father_was_diagnosed_with_bile_duct_cancer_2/")</f>
        <v/>
      </c>
      <c r="G5293" t="inlineStr">
        <is>
          <t>2019-10-10 23:44:26</t>
        </is>
      </c>
      <c r="H5293" t="inlineStr"/>
    </row>
    <row r="5294">
      <c r="A5294" t="inlineStr">
        <is>
          <t>dgbv5v</t>
        </is>
      </c>
      <c r="B5294" t="inlineStr">
        <is>
          <t>My stepmother has late stage cancer and it doesn’t look good. I was wondering if anyone here could advise me on the best way to support my Dad?</t>
        </is>
      </c>
      <c r="C5294" t="inlineStr">
        <is>
          <t>Hi everyone.
My stepmother has been going through treatment for pancreatic cancer for the past two years or so.  The prognosis is terminal. 
She’s only 57, and it’s obviously rocked everyone’s world.  The past few days though she has taken a turn for the worst, she’s been admitted into hospital and it was found that she suffered a small brain haemorrhage.
She’s now on a syringe driver and I believe it’s come down to a waiting game.  However, I’ve never experienced a close family member being ill like this and while I know I can’t do anything for her, I want to support my Dad in the best way possible but I’m honestly struggling with even what to say or do for him.  He’s the kind of man who would never ask for anything and doesn’t want to inconvenience me or my sister but I know he needs help and support.  We both live an hour or so drive away so can’t be there at all times,  but is there any advice on what we can do to make this easier on him? 
Many thanks for your help in advance and sorry if this seems like a silly question.</t>
        </is>
      </c>
      <c r="D5294" t="n">
        <v>17</v>
      </c>
      <c r="E5294" t="n">
        <v>6</v>
      </c>
      <c r="F5294">
        <f>HYPERLINK("https://www.reddit.com/r/cancer/comments/dgbv5v/my_stepmother_has_late_stage_cancer_and_it_doesnt/")</f>
        <v/>
      </c>
      <c r="G5294" t="inlineStr">
        <is>
          <t>2019-10-11 00:54:31</t>
        </is>
      </c>
      <c r="H5294" t="inlineStr"/>
    </row>
    <row r="5295">
      <c r="A5295" t="inlineStr">
        <is>
          <t>dge1qd</t>
        </is>
      </c>
      <c r="B5295" t="inlineStr">
        <is>
          <t>Is fainting associated with tumours? GIST</t>
        </is>
      </c>
      <c r="C5295" t="inlineStr">
        <is>
          <t>Hi in 2014 my mum fainted on holiday in Portugal, we went into the hospital and everything was normal, a year later she fainted alone in the house and delirious and was vomiting and excreting blood. She was tested and they found a benign Gastrointestinal stromal tumour. It was removed and all scans since have been clear and her last scan is scheduled in 9 months time. Last night she fainted again and hospital tests showed everything was normal except a minor infection showed up in the urine test, today she is constantly feeling faint even when sitting and having to lie on the floor. She has had no history of fainting before the tumour. Is fainting something associated with the condition?</t>
        </is>
      </c>
      <c r="D5295" t="n">
        <v>2</v>
      </c>
      <c r="E5295" t="n">
        <v>0</v>
      </c>
      <c r="F5295">
        <f>HYPERLINK("https://www.reddit.com/r/cancer/comments/dge1qd/is_fainting_associated_with_tumours_gist/")</f>
        <v/>
      </c>
      <c r="G5295" t="inlineStr">
        <is>
          <t>2019-10-11 04:53:00</t>
        </is>
      </c>
      <c r="H5295" t="inlineStr"/>
    </row>
    <row r="5296">
      <c r="A5296" t="inlineStr">
        <is>
          <t>dghfvt</t>
        </is>
      </c>
      <c r="B5296" t="inlineStr">
        <is>
          <t>Were you provided any services for mental health?</t>
        </is>
      </c>
      <c r="C5296" t="inlineStr">
        <is>
          <t>I was diagnosed with leukemia at 14. I finished treatment a few months later. It was aggressive so I missed all of school during that time. I’m now 18. I suffer from anxiety. I was just wondering when people were in treatment , were they provided any services or even given names of places? I was never given anything, and this is my final year of school. My mental health is taking it’s toll.</t>
        </is>
      </c>
      <c r="D5296" t="n">
        <v>14</v>
      </c>
      <c r="E5296" t="n">
        <v>15</v>
      </c>
      <c r="F5296">
        <f>HYPERLINK("https://www.reddit.com/r/cancer/comments/dghfvt/were_you_provided_any_services_for_mental_health/")</f>
        <v/>
      </c>
      <c r="G5296" t="inlineStr">
        <is>
          <t>2019-10-11 09:17:01</t>
        </is>
      </c>
      <c r="H5296" t="inlineStr"/>
    </row>
    <row r="5297">
      <c r="A5297" t="inlineStr">
        <is>
          <t>dgi3ad</t>
        </is>
      </c>
      <c r="B5297" t="inlineStr">
        <is>
          <t>It's over.</t>
        </is>
      </c>
      <c r="C5297" t="inlineStr">
        <is>
          <t>Two nights ago, my mom passed away after a 5 year battle with bladder cancer - spread to liver, lungs, lymph nodes, and eventually brain. In the end, she couldn't walk, and told me the nurses were trying to kill her.
&amp;amp;#x200B;
I would give anything to go on another walk with her, to lay in bed next to her, to watch our shows together. I would give anything to receive an "I love you, goodnight!" text every night. In this case, any night.
&amp;amp;#x200B;
I am comforted that she is no longer in the constant, unbearable pain but - all hope is gone now. I'll never have the love of a parent again.</t>
        </is>
      </c>
      <c r="D5297" t="n">
        <v>102</v>
      </c>
      <c r="E5297" t="n">
        <v>18</v>
      </c>
      <c r="F5297">
        <f>HYPERLINK("https://www.reddit.com/r/cancer/comments/dgi3ad/its_over/")</f>
        <v/>
      </c>
      <c r="G5297" t="inlineStr">
        <is>
          <t>2019-10-11 10:05:51</t>
        </is>
      </c>
      <c r="H5297" t="inlineStr"/>
    </row>
    <row r="5298">
      <c r="A5298" t="inlineStr">
        <is>
          <t>dgjtwf</t>
        </is>
      </c>
      <c r="B5298" t="inlineStr">
        <is>
          <t>I made it!</t>
        </is>
      </c>
      <c r="C5298" t="inlineStr">
        <is>
          <t>Hello again everyone! I completed my chemo and radiation treatments almost a month ago and am FINALLY feeling better. My radiation cough has abated and I can sleep again, my mucus and secretions have thinned and are no longer choking me. The best part is that I’m able to eat again! Cold things still hurt to swallow and sweet things still don’t taste right but I am so grateful to be able to taste things that are savory and enjoy things that are warm again. Herbal teas are my jam now that heat has finally given us Texans a reprieve. 
I received so much encouragement from the people on this sub and cannot say how much I appreciate all of the kindness I have been shown. Please feel free to dm me if you find yourself in need of encouragement or just need someone to listen while you vent about your disease or difficulties with treatment. I would be so happy to give back to the community that helped me during one of the hardest times of my life. 
Blessings to all!</t>
        </is>
      </c>
      <c r="D5298" t="n">
        <v>64</v>
      </c>
      <c r="E5298" t="n">
        <v>16</v>
      </c>
      <c r="F5298">
        <f>HYPERLINK("https://www.reddit.com/r/cancer/comments/dgjtwf/i_made_it/")</f>
        <v/>
      </c>
      <c r="G5298" t="inlineStr">
        <is>
          <t>2019-10-11 12:15:59</t>
        </is>
      </c>
      <c r="H5298" t="inlineStr"/>
    </row>
    <row r="5299">
      <c r="A5299" t="inlineStr">
        <is>
          <t>dgkhl5</t>
        </is>
      </c>
      <c r="B5299" t="inlineStr">
        <is>
          <t>Health anxiety Cancer</t>
        </is>
      </c>
      <c r="C5299" t="inlineStr">
        <is>
          <t>So I have some health anxiety, and think I have cancer I’m scared. I recently went to my doctor bcz my sternocleidomastoid muscle has been swollen no pain nothing just swollen since like June, anyways my dr referred me to an ultrasound which will be in a couple of days. When I google it says cancer and ik I shouldn’t google, but can’t help it.</t>
        </is>
      </c>
      <c r="D5299" t="n">
        <v>1</v>
      </c>
      <c r="E5299" t="n">
        <v>0</v>
      </c>
      <c r="F5299">
        <f>HYPERLINK("https://www.reddit.com/r/cancer/comments/dgkhl5/health_anxiety_cancer/")</f>
        <v/>
      </c>
      <c r="G5299" t="inlineStr">
        <is>
          <t>2019-10-11 13:04:46</t>
        </is>
      </c>
      <c r="H5299" t="inlineStr"/>
    </row>
    <row r="5300">
      <c r="A5300" t="inlineStr">
        <is>
          <t>dgm1x2</t>
        </is>
      </c>
      <c r="B5300" t="inlineStr">
        <is>
          <t>Is this throat cancer?</t>
        </is>
      </c>
      <c r="C5300" t="inlineStr">
        <is>
          <t>I am a 20 year old male.
I had a lot of sex over the summer and did not use protection once. All were tinder hookups. I'd say around 10. We never discussed anything about STDs. We all did oral, 69, made out, fucked, etc, you get the point. About a month ago my throat started to look like this (photos below). I have no irritation or discomfort at all. My scrotum had a tiny blister appear maybe 2 months ago as well. Last time I had sex was one month ago.
Photos:
[https://imgur.com/KiVnE6A](https://imgur.com/KiVnE6A)
[https://imgur.com/V6UYbPt](https://imgur.com/V6UYbPt)
[https://imgur.com/T2UNDmC](https://imgur.com/T2UNDmC)
[https://imgur.com/8nBkCqD](https://imgur.com/8nBkCqD)
1. My throat clearly does not look normal. See pictures. You can see where everything is located in the pics.
2. My throat has seemed to have gotten worse overtime (I think). It seems like more sores have been appearing but I'm not entirely sure.
3. I have zero symptoms (to my knowledge). No headaches. No flu like symptoms. No cold sores.
I know I should see a doctor. I'm just wondering what you guys think. My throat obv looks pretty fucked. Like it could be cancer or something. I also have 1 wart on my 2nd biggest toe on both my left and right feet. They appeared 3 months ago and have not gone away or gotten better. Any responses are appreciated. Hopefully you guys don't think I have cancer. Have a good day
**worried about those 2 congruent red sploches on the outter part(s) of my throat, the white sac (looks like filled with liquid) the white spots in pic 2 in the center of the pic, and the other white spots on my throat. any explanations appreciated**</t>
        </is>
      </c>
      <c r="D5300" t="n">
        <v>1</v>
      </c>
      <c r="E5300" t="n">
        <v>0</v>
      </c>
      <c r="F5300">
        <f>HYPERLINK("https://www.reddit.com/r/cancer/comments/dgm1x2/is_this_throat_cancer/")</f>
        <v/>
      </c>
      <c r="G5300" t="inlineStr">
        <is>
          <t>2019-10-11 15:04:52</t>
        </is>
      </c>
      <c r="H5300" t="inlineStr"/>
    </row>
    <row r="5301">
      <c r="A5301" t="inlineStr">
        <is>
          <t>dgm6rr</t>
        </is>
      </c>
      <c r="B5301" t="inlineStr">
        <is>
          <t>Groin lymph node removal op wound hasn't healed in 7 months: is this normal?</t>
        </is>
      </c>
      <c r="C5301" t="inlineStr">
        <is>
          <t>Hi all,
My mother had 5 lymph nodes removed on her left side back in mid-March. The wound still hasn't healed. Is this normal?
She had infection after about a month, but that healed with antibiotics. It took a while to stop leaking fluid, too, about 3/4 months. But the wound still isn't healed and it's been 7 months. Is this normal?  
I'm kinda anxious as to *why* it's taking so long. Doctors don't have answers. Some district nurses even said it may never heal, but I don't know if that's okay. 
&amp;amp;#x200B;
Thank you for any replies.</t>
        </is>
      </c>
      <c r="D5301" t="n">
        <v>3</v>
      </c>
      <c r="E5301" t="n">
        <v>8</v>
      </c>
      <c r="F5301">
        <f>HYPERLINK("https://www.reddit.com/r/cancer/comments/dgm6rr/groin_lymph_node_removal_op_wound_hasnt_healed_in/")</f>
        <v/>
      </c>
      <c r="G5301" t="inlineStr">
        <is>
          <t>2019-10-11 15:16:07</t>
        </is>
      </c>
      <c r="H5301" t="inlineStr"/>
    </row>
    <row r="5302">
      <c r="A5302" t="inlineStr">
        <is>
          <t>dgnpc3</t>
        </is>
      </c>
      <c r="B5302" t="inlineStr">
        <is>
          <t>Anyone familiar with liver ultrasounds?</t>
        </is>
      </c>
      <c r="C5302" t="inlineStr">
        <is>
          <t>Hi guys, I went for an ultrasound scan of my abdomen today after having episodes of acute, extreme pain in my upper right abdomen, and my gallbladder has already been removed a year ago.  
The technician told me they found some worrying "inconsistencies" on my liver, but wouldn't dive further into if this was something benign or not.  Was told I was going to get prioritized scheduling for an MR scan  (whatever that means, days or weeks??)   
I already suffer from anxiety, and having to wait to see if this is cancer or not like this is actually excruciating for me right now.   
So I guess this is a half rant, half asking if someone has experience with liver ultrasound and can tell me what they think of my pictures.   
[Ultrasound picture 1](https://imgur.com/bT8ETYx?fbclid=IwAR28QpdGje-hc-cMF2DRzJETbe8LcvinmzObswrltrH8SZyeDxvT-XA8d9M)  
[Ultrasound picture 2](https://imgur.com/Uv3Iy2s?fbclid=IwAR1kFqvzDyi0C_N6SM0KFWX8Hl311H_AN2WQl28-P34jeUMU_5IsW3zWKdk)</t>
        </is>
      </c>
      <c r="D5302" t="n">
        <v>0</v>
      </c>
      <c r="E5302" t="n">
        <v>6</v>
      </c>
      <c r="F5302">
        <f>HYPERLINK("https://www.reddit.com/r/cancer/comments/dgnpc3/anyone_familiar_with_liver_ultrasounds/")</f>
        <v/>
      </c>
      <c r="G5302" t="inlineStr">
        <is>
          <t>2019-10-11 17:20:40</t>
        </is>
      </c>
      <c r="H5302" t="inlineStr"/>
    </row>
    <row r="5303">
      <c r="A5303" t="inlineStr">
        <is>
          <t>dgoxlf</t>
        </is>
      </c>
      <c r="B5303" t="inlineStr">
        <is>
          <t>I'm so tired of my dad being lazy</t>
        </is>
      </c>
      <c r="C5303" t="inlineStr">
        <is>
          <t>My mom was recently diagnosed with Stage IV lung cancer. We live in a very rural area, so my parents are traveling to a larger hospital next week to get a second opinion. I have been living at home for a few months as I've been unemployed, so I've been able to go to all of my mom's appointments and help out around the house. I just got offered a job and will be starting next week. The town I'm moving to is about an hour away and I need to be moved in by Monday. My mom and I just got home tonight because we stayed in town for her chemo treatments this week, so I'll have to spend all weekend getting my stuff ready to move.
My dad informed me tonight that I need to help clean house tomorrow since they'll be gone for awhile (it'll only be about a week at most). I informed him that I have my own things to do but he didn't care. What really pisses me off is that I know he's not going to help with anything. He could have cleaned while we were gone getting her treatments, but no. I know he's not going to do anything tomorrow either. He doesn't cook, clean, or do anything to help. My parents are retired so he hardly has any other responsibilities. He is also an alcoholic so his day basically consists of getting drunk and watching tv. He also has been drinking more since her diagnosis, which is causing my mom and me more stress. I know I shouldn't be surprised that he does this, but it still infuriates me. Of course I want to help my mom as much as possible, but I also still have my own life and responsibilities. The job I took isn't even something remotely close to what I want, but since I know my dad won't help her with anything, I decided I need to stay close to home. I am just so fed up with his narcissistic, shitty behavior. 
Thanks to anyone who reads this, I just needed to rant.</t>
        </is>
      </c>
      <c r="D5303" t="n">
        <v>16</v>
      </c>
      <c r="E5303" t="n">
        <v>10</v>
      </c>
      <c r="F5303">
        <f>HYPERLINK("https://www.reddit.com/r/cancer/comments/dgoxlf/im_so_tired_of_my_dad_being_lazy/")</f>
        <v/>
      </c>
      <c r="G5303" t="inlineStr">
        <is>
          <t>2019-10-11 19:10:12</t>
        </is>
      </c>
      <c r="H5303" t="inlineStr"/>
    </row>
    <row r="5304">
      <c r="A5304" t="inlineStr">
        <is>
          <t>dgpcyf</t>
        </is>
      </c>
      <c r="B5304" t="inlineStr">
        <is>
          <t>Is there a resource for reliable "charity" organizations that can help with financial burdens during and after treatment?</t>
        </is>
      </c>
      <c r="C5304" t="inlineStr">
        <is>
          <t>Every little bit counts when you're completely broke and going through treatment. I've been fortunate enough to apply for and receive help from one or two local organizations for help with rent or a bill. It kind of sucks that after treatment a lot of people just assume you're all good an life is peachy. Truth is, many still struggle like crazy. 
Do you know of any resources for local or national organizations that a post-cancer/treatment person can utilize to help with financial obligations?</t>
        </is>
      </c>
      <c r="D5304" t="n">
        <v>7</v>
      </c>
      <c r="E5304" t="n">
        <v>1</v>
      </c>
      <c r="F5304">
        <f>HYPERLINK("https://www.reddit.com/r/cancer/comments/dgpcyf/is_there_a_resource_for_reliable_charity/")</f>
        <v/>
      </c>
      <c r="G5304" t="inlineStr">
        <is>
          <t>2019-10-11 19:48:35</t>
        </is>
      </c>
      <c r="H5304" t="inlineStr"/>
    </row>
    <row r="5305">
      <c r="A5305" t="inlineStr">
        <is>
          <t>dgq0vk</t>
        </is>
      </c>
      <c r="B5305" t="inlineStr">
        <is>
          <t>I'm feeling paranoid</t>
        </is>
      </c>
      <c r="C5305" t="inlineStr">
        <is>
          <t>My doctor gave me the option to do radiation only so I decided to do that for treatment.  I finished treatment almost a month ago.  Also had the tumor removed before radiation. 
I don't know if I'm paranoid or my cancer is still there. I still feel a lump on my bikini line but it could just be scar tissue but I feel like it's getting bigger but once again I don't know if I'm just paranoid. I'm having weird feelings in that area  and my butt cheek, shich could just be the effects of radiation.  Now I have to wait til the end of next month for a pet scan. I haven't told my doctor yet because I feel all she will say is wait next month or I can start chemo if I want. But I'm not going to start chemo unless I feel real pain or my tumor does really get bigger.</t>
        </is>
      </c>
      <c r="D5305" t="n">
        <v>10</v>
      </c>
      <c r="E5305" t="n">
        <v>4</v>
      </c>
      <c r="F5305">
        <f>HYPERLINK("https://www.reddit.com/r/cancer/comments/dgq0vk/im_feeling_paranoid/")</f>
        <v/>
      </c>
      <c r="G5305" t="inlineStr">
        <is>
          <t>2019-10-11 20:51:47</t>
        </is>
      </c>
      <c r="H5305" t="inlineStr"/>
    </row>
    <row r="5306">
      <c r="A5306" t="inlineStr">
        <is>
          <t>dgr3p1</t>
        </is>
      </c>
      <c r="B5306" t="inlineStr">
        <is>
          <t>Cancer, or anxiety?</t>
        </is>
      </c>
      <c r="C5306" t="inlineStr">
        <is>
          <t>Hello, to begin, I am a nineteen year old male, in July of this year I “experimented” with dipping tobacco. I only got through with one can over about a month. Since stopping, I have had constant intrusive thoughts about getting cancer from the tobacco- I don’t know what triggered these thoughts and it’s something that isn’t usual behavior, though, I have had a few panic attacks over the last year. I also have OCD, so I am constantly checking for symptoms of cancer or the like. I’ve gone to my dentist twice this month- he said he didn’t see anything abnormal. What is the likelihood I am developing cancer? Is this all just my mind playing a peculiar trick on me? 
This is something that has really been consuming my life. It’s been haunting me.</t>
        </is>
      </c>
      <c r="D5306" t="n">
        <v>2</v>
      </c>
      <c r="E5306" t="n">
        <v>9</v>
      </c>
      <c r="F5306">
        <f>HYPERLINK("https://www.reddit.com/r/cancer/comments/dgr3p1/cancer_or_anxiety/")</f>
        <v/>
      </c>
      <c r="G5306" t="inlineStr">
        <is>
          <t>2019-10-11 22:46:19</t>
        </is>
      </c>
      <c r="H5306" t="inlineStr"/>
    </row>
    <row r="5307">
      <c r="A5307" t="inlineStr">
        <is>
          <t>dgtqbv</t>
        </is>
      </c>
      <c r="B5307" t="inlineStr">
        <is>
          <t>Inoperable Cervical Cancer Advice Please</t>
        </is>
      </c>
      <c r="C5307" t="inlineStr">
        <is>
          <t xml:space="preserve">
I tried cross posting from r/CervicalCancer but couldn’t so I’m just posting a copy of the post from there. 
My mom has recently been diagnosed with inoperable cervical cancer. There’s a lot I don’t know and there are a lot of questions I’m trying to find the answers to. 
Biopsy and scans (don’t know if MRI or CT) we’re done today. The biopsy results won’t be ready or known for two weeks but could be less. However somehow they know from the scans that this is inoperable. The fact that they are telling her this scares the sh*+ out of me. I feel as though she’s got little time left. They informed her that she needs to do radiation and chemo. I’m guessing that will start sometime after the biopsy results arrive. 
Regarding the tumor, she feels pain when sitting down and she has some kind of swelling in her right ankle. I fear the worst right now as she’s never held doctors in high regard, never been in for checkups (she’s 66), smoked all her life, and I think this could basically be it for her. I still lover her no matter what lifestyle she’s lived. 
If my worst fears are correct:
- what should I expect from radiation and chemo?
- will she need constant care?
- what type of quality of life will/can she expect?
- she still works, when should she stop?
I currently live in another country, halfway around the world, and am making plans to go home but am not sure if I’m thinking rationally right now. I’d be leaving my wife with two kids (3 year old twins) to go and help my mom in what I currently think are her dying days. 
Please post any advice you can offer.</t>
        </is>
      </c>
      <c r="D5307" t="n">
        <v>4</v>
      </c>
      <c r="E5307" t="n">
        <v>9</v>
      </c>
      <c r="F5307">
        <f>HYPERLINK("https://www.reddit.com/r/cancer/comments/dgtqbv/inoperable_cervical_cancer_advice_please/")</f>
        <v/>
      </c>
      <c r="G5307" t="inlineStr">
        <is>
          <t>2019-10-12 04:06:02</t>
        </is>
      </c>
      <c r="H5307" t="inlineStr"/>
    </row>
    <row r="5308">
      <c r="A5308" t="inlineStr">
        <is>
          <t>dgue5i</t>
        </is>
      </c>
      <c r="B5308" t="inlineStr">
        <is>
          <t>My mom just got diagnosed</t>
        </is>
      </c>
      <c r="C5308" t="inlineStr">
        <is>
          <t>So exactly as the title says, my mom just got diagnosed as having cancer after having a pleural effusion drained. They release her from the hospital with a follow up appointment for Tuesday. They do not yet know where the cancer started and if it’s spread. 
Obviously I’m a nervous wreck but I’m trying to hold it together at least in front of her. 
What can I expect because I have no clue..
Thanks guys.</t>
        </is>
      </c>
      <c r="D5308" t="n">
        <v>23</v>
      </c>
      <c r="E5308" t="n">
        <v>18</v>
      </c>
      <c r="F5308">
        <f>HYPERLINK("https://www.reddit.com/r/cancer/comments/dgue5i/my_mom_just_got_diagnosed/")</f>
        <v/>
      </c>
      <c r="G5308" t="inlineStr">
        <is>
          <t>2019-10-12 05:16:27</t>
        </is>
      </c>
      <c r="H5308" t="inlineStr"/>
    </row>
    <row r="5309">
      <c r="A5309" t="inlineStr">
        <is>
          <t>dgv1ph</t>
        </is>
      </c>
      <c r="B5309" t="inlineStr">
        <is>
          <t>My story of being my mothers caregiver.</t>
        </is>
      </c>
      <c r="C5309" t="inlineStr">
        <is>
          <t>My mom has had various forms of cancer since 2012. I moved home from out of state in 2015 with my fiancee. I took over the yard work and the house work, because I was unemployed and recovering from injuries. My mentally handicapped older brother was living at home, until he assaulted my mom and had to be removed. He has his own place now, with a caregiver, and still comes home for holidays. 
I got a job from a good friend as a helper at his auto shop. He was bad into drugs, like everything he could find, he even quit showing up to his own business. The owner of the building died one day and his kids shut the place down and stole all my friends equipment and supplies. 6 weeks later my friend then got in a horrible car accident, that he thinks was intentional. He spent many months in the hospital, I took his fiancee and their newborn to see him weekly. He is now out but he is no where near the same due to the brain injury, but we are still friends. 
In 2016 my fiancee and I started a business that lets us work from my parents garage. This was after getting in trouble at the job I was working for taking her to a cancer screening. 
2017 mom gets lung cancer and had to have a lower lobectomy, it didn't go as planned and she spent 2 weeks in the ICU. Dad got really bad, the common areas of the house were trashed, bathroom was horrifying. I guess I didn't notice because I had taken on my moms babysitting duties while she was sick, so I had to clean everything every morning. Then the lung cancer came back that winter. Mom stopped agreeing to babysit. We also live in a rural area, its a hour or so one way to go to her treatments, so he took her for the quick radiation appointments and I took her for the chemo cuz it took hours. She just said it was hard for everyone and to keep helping. I convinced her to get her medical marijuana card around then. I mostly made her edibles, she actually gained weight during her treatments. She didn't like putting on weight, but her docs were very happy. 
I cleaned piss off the floor and shit off the toilet seat daily, there was even shit in the damn shower a few times, but luckily the shower nonsense stopped. The toilet is still an ongoing thing, I've tried to push them to get an elongated toilet to help with the issue, but still haven't gotten one. Luckily there is a second half bath for us to use. 
Then 2018 she got brain cancer, that was a 3 hour trip one way to have it treated, it was treated successfully. They found new tumors 6 months later, got them treated as well.  She goes for more testing this month. Dad also has health problems, blown out knees, diabetes, and a few other things. His siblings are also having health issues, I know he's depressed, but he won't seek help, he views it as a weakness. 
I'm struggling with it all, but trying to hold it together. I want to move out so bad, but I don't think they will last. The house is way too big for them to take care of, I fear that they will deteriorate so quickly. When I was away they paid a good friend of mine to do the yard work, but he killed himself about a year ago. They talked about getting a smaller place when she first got cancer in 2012. That was one reason I moved back, to take over the rent on the place. Its a huge place with a big yard that has a bunch of wildlife, and its very cheap. I don't want to push them out of the house they have been in for almost 20 years, but they are not able to so the upkeep. My fiancee is actively looking for a place for us because she cannot stand the insanity of my family.</t>
        </is>
      </c>
      <c r="D5309" t="n">
        <v>10</v>
      </c>
      <c r="E5309" t="n">
        <v>7</v>
      </c>
      <c r="F5309">
        <f>HYPERLINK("https://www.reddit.com/r/cancer/comments/dgv1ph/my_story_of_being_my_mothers_caregiver/")</f>
        <v/>
      </c>
      <c r="G5309" t="inlineStr">
        <is>
          <t>2019-10-12 06:18:22</t>
        </is>
      </c>
      <c r="H5309" t="inlineStr"/>
    </row>
    <row r="5310">
      <c r="A5310" t="inlineStr">
        <is>
          <t>dgvwt7</t>
        </is>
      </c>
      <c r="B5310" t="inlineStr">
        <is>
          <t>What can I read to my terminally ill mother?</t>
        </is>
      </c>
      <c r="C5310" t="inlineStr">
        <is>
          <t>Hey guys, so my mum was diagnosed with an anaplastic thyroid carcinoma, it's extremely aggressive and (at least in her case) incurable. The doctors have given us a year at best. She'll soon start chemo and radiation therapy and whilst I'll visit her every day in hospital I decided to basically record some personal audio books for her and send her a chapter every day so she can listen to it whenever she wants to hear my voice and I can't be there. We can't just call by the way because she's unable speak due to her tracheal cannula. 
However I'm a bit at loss as to what to pick. I don't want to ask her yet because I want the first one to be a surprise. 
My ideas would be: 
1) cheesy romance novel by one of her favorite authors because she loves those
2) something funny to cheer her up 
3) she planned to travel to Norway which now she can't do anymore, so perhaps something related to that so she can "travel there in her head" (however I'm afraid to remind her of what she won't get to experience and make her sad)
4) stories she used to read to me when I was a child
5) one of my favorite books 
6) something related to her illness/dying (bit afraid that this one could massively backfire)
7) something else entirely (I'd be happy about suggestions)
I'd love to get some input from people who have a better perspective on the topic and I'd really appreciate to hear some opinions on this. 
Obligatory apology for the long text and my bad English, it's not my native language and thanks to all the lovely people reading this. :)</t>
        </is>
      </c>
      <c r="D5310" t="n">
        <v>14</v>
      </c>
      <c r="E5310" t="n">
        <v>20</v>
      </c>
      <c r="F5310">
        <f>HYPERLINK("https://www.reddit.com/r/cancer/comments/dgvwt7/what_can_i_read_to_my_terminally_ill_mother/")</f>
        <v/>
      </c>
      <c r="G5310" t="inlineStr">
        <is>
          <t>2019-10-12 07:34:24</t>
        </is>
      </c>
      <c r="H5310" t="inlineStr"/>
    </row>
    <row r="5311">
      <c r="A5311" t="inlineStr">
        <is>
          <t>dgy87r</t>
        </is>
      </c>
      <c r="B5311" t="inlineStr">
        <is>
          <t>liver cancer</t>
        </is>
      </c>
      <c r="C5311" t="inlineStr">
        <is>
          <t>Anyone here know about stage 4 liver cancer?</t>
        </is>
      </c>
      <c r="D5311" t="n">
        <v>3</v>
      </c>
      <c r="E5311" t="n">
        <v>0</v>
      </c>
      <c r="F5311">
        <f>HYPERLINK("https://www.reddit.com/r/cancer/comments/dgy87r/liver_cancer/")</f>
        <v/>
      </c>
      <c r="G5311" t="inlineStr">
        <is>
          <t>2019-10-12 10:35:37</t>
        </is>
      </c>
      <c r="H5311" t="inlineStr"/>
    </row>
    <row r="5312">
      <c r="A5312" t="inlineStr">
        <is>
          <t>dgyk5t</t>
        </is>
      </c>
      <c r="B5312" t="inlineStr">
        <is>
          <t>Worst side effect I never heard of</t>
        </is>
      </c>
      <c r="C5312" t="inlineStr">
        <is>
          <t>My mouth is in constant pain. I’ve got these sores as a consequence of the chemo, so I hear. I can barley swallow without cringing. I can’t taste anything. Can’t tell when I’m burning my tongue or not. Lost all most of my appetite for fear of tormenting myself with attempting to just chew. I was prescribed a “magic mouthwash”, helps for about a half hour. 
I’m into my 5th week of chemo, this has been more challenging than losing my hair. Sucks.</t>
        </is>
      </c>
      <c r="D5312" t="n">
        <v>15</v>
      </c>
      <c r="E5312" t="n">
        <v>10</v>
      </c>
      <c r="F5312">
        <f>HYPERLINK("https://www.reddit.com/r/cancer/comments/dgyk5t/worst_side_effect_i_never_heard_of/")</f>
        <v/>
      </c>
      <c r="G5312" t="inlineStr">
        <is>
          <t>2019-10-12 11:01:15</t>
        </is>
      </c>
      <c r="H5312" t="inlineStr"/>
    </row>
    <row r="5313">
      <c r="A5313" t="inlineStr">
        <is>
          <t>dgz0ay</t>
        </is>
      </c>
      <c r="B5313" t="inlineStr">
        <is>
          <t>My friend passed away</t>
        </is>
      </c>
      <c r="C5313" t="inlineStr">
        <is>
          <t>I have a group of friends who I hang out with in hospital when we are admitted after surgery, treatment, etc. We get hot chocolate together, we play board games and play Mario kart tour together. One of my best friends in the group was Colin who had Acute lymphoblastic leukaemia. We told each other everything, all of our secrets and stuff about our lives. I went to see him at least once or twice a week, whenever I could. Colin passed away a couple of hours ago in his sleep. He was my best friend and was the most supportive person to me. The worst thing is, he was only 18 and a couple of days before he passed we made posters to put around his room to congratulate him on his last round of chemotherapy. I'm so sorry Colin. Thank you for being my friend through this journey and I wish it was me instead of you because you deserve life more than anyone else. I'll see you later.</t>
        </is>
      </c>
      <c r="D5313" t="n">
        <v>90</v>
      </c>
      <c r="E5313" t="n">
        <v>14</v>
      </c>
      <c r="F5313">
        <f>HYPERLINK("https://www.reddit.com/r/cancer/comments/dgz0ay/my_friend_passed_away/")</f>
        <v/>
      </c>
      <c r="G5313" t="inlineStr">
        <is>
          <t>2019-10-12 11:35:45</t>
        </is>
      </c>
      <c r="H5313" t="inlineStr"/>
    </row>
    <row r="5314">
      <c r="A5314" t="inlineStr">
        <is>
          <t>dh08h5</t>
        </is>
      </c>
      <c r="B5314" t="inlineStr">
        <is>
          <t>Care package suggestions for girlfriend and her best friend</t>
        </is>
      </c>
      <c r="C5314" t="inlineStr">
        <is>
          <t>Hi all, my girlfriend's best friend recently found a lump in her throat.. they're still doing the analysis and we don't know if it's cancerous yet or not, but it's been growing fairly quickly, and has already made it more difficult for her to swallow.  She's already getting run down from the poking and prodding, and emotional turmoil of not knowing what's going on.
My girlfriend is the type of person to put her own needs aside and take care of everyone around her first, and I can really tell this experience is taking a toll on her as well.  Her friend is much older than we are (~70) and doesn't really have anyone else in her life to care for her, so my girlfriend has been taking her to her medical appointments and spending a lot of time with her.
I'd like to put together care packages for each of them, are there any suggestions?
I'm thinking both things for at the hospital, and self-care for at home.  Maybe colouring books &amp;amp; crayons (I have depression and anxiety and have found colouring to be really helpful), something soothing for the throat (???), I saw suggestions of blankets on other posts here, etc?
Thanks in advance.</t>
        </is>
      </c>
      <c r="D5314" t="n">
        <v>3</v>
      </c>
      <c r="E5314" t="n">
        <v>2</v>
      </c>
      <c r="F5314">
        <f>HYPERLINK("https://www.reddit.com/r/cancer/comments/dh08h5/care_package_suggestions_for_girlfriend_and_her/")</f>
        <v/>
      </c>
      <c r="G5314" t="inlineStr">
        <is>
          <t>2019-10-12 13:12:15</t>
        </is>
      </c>
      <c r="H5314" t="inlineStr"/>
    </row>
    <row r="5315">
      <c r="A5315" t="inlineStr">
        <is>
          <t>dh1sam</t>
        </is>
      </c>
      <c r="B5315" t="inlineStr">
        <is>
          <t>I think I may have a tumor</t>
        </is>
      </c>
      <c r="C5315" t="inlineStr">
        <is>
          <t>I’m not sure if this is the right place to ask. But I’m 14. And I have some food allergies so about a week ago when I was having some trouble breathing I figured it was an allergic reaction and got some Benadryl to take. But there have been times constantly in this past week and maybe before that I can’t remember where I’ve been struggling to breathe a little bit. Not as much breathing as it is swallowing. I’ve been a little freaked out because as of today I had a thought that it would be esophageal cancer. I know it seems extreme but anyone with/anyone who had esophageal cancer explain the symptoms and what it feels like to me? I don’t want to freak my mom out and tell her that I want to go to get it checked out but I’d feel much better about doing it if I understood it better.</t>
        </is>
      </c>
      <c r="D5315" t="n">
        <v>1</v>
      </c>
      <c r="E5315" t="n">
        <v>0</v>
      </c>
      <c r="F5315">
        <f>HYPERLINK("https://www.reddit.com/r/cancer/comments/dh1sam/i_think_i_may_have_a_tumor/")</f>
        <v/>
      </c>
      <c r="G5315" t="inlineStr">
        <is>
          <t>2019-10-12 15:15:16</t>
        </is>
      </c>
      <c r="H5315" t="inlineStr"/>
    </row>
    <row r="5316">
      <c r="A5316" t="inlineStr">
        <is>
          <t>dh2tzu</t>
        </is>
      </c>
      <c r="B5316" t="inlineStr">
        <is>
          <t>Grandfather died of lung cancer, do I have a bigger chance of getting it as well?</t>
        </is>
      </c>
      <c r="C5316" t="inlineStr">
        <is>
          <t>He had no background with smoking or anything like that. I'm wondering whether I should stop smoking weed because I might have a bigger chance of getting lung cancer than others? Or does it not work like that</t>
        </is>
      </c>
      <c r="D5316" t="n">
        <v>4</v>
      </c>
      <c r="E5316" t="n">
        <v>7</v>
      </c>
      <c r="F5316">
        <f>HYPERLINK("https://www.reddit.com/r/cancer/comments/dh2tzu/grandfather_died_of_lung_cancer_do_i_have_a/")</f>
        <v/>
      </c>
      <c r="G5316" t="inlineStr">
        <is>
          <t>2019-10-12 16:40:37</t>
        </is>
      </c>
      <c r="H5316" t="inlineStr"/>
    </row>
    <row r="5317">
      <c r="A5317" t="inlineStr">
        <is>
          <t>dh41xb</t>
        </is>
      </c>
      <c r="B5317" t="inlineStr">
        <is>
          <t>Incurable/terminal/inoperable community</t>
        </is>
      </c>
      <c r="C5317" t="inlineStr">
        <is>
          <t>Hi
I’m just wondering if there is a community for those of us who won’t be cured or who are facing a distinct ending of our timeline. While I find this community really wonderful (tho I mostly lurk) I do find it somewhat confronting to read the “I’m free at last” type posts. NOT because I’m not thrilled someone has beaten this awful disease but because I’m a selfish horrible person who hates being reminded that it’s not going to be me. I’d welcome tips and tricks on how to cope with my remaining time; questions I should be asking and how to make things more bearable for when I die. It’s seems crass to put this kind of post in amongst posts from people who have been recently diagnosed and are scared - it will make things worse for them. I don’t want to put this kind of post amongst the posts of the ‘yeah last chemo” posts either as I don’t want to diminish another person’s joy.
Can anyone point me to the right place for the kind of posts I need to read and write?
Thank you.</t>
        </is>
      </c>
      <c r="D5317" t="n">
        <v>54</v>
      </c>
      <c r="E5317" t="n">
        <v>49</v>
      </c>
      <c r="F5317">
        <f>HYPERLINK("https://www.reddit.com/r/cancer/comments/dh41xb/incurableterminalinoperable_community/")</f>
        <v/>
      </c>
      <c r="G5317" t="inlineStr">
        <is>
          <t>2019-10-12 18:28:16</t>
        </is>
      </c>
      <c r="H5317" t="inlineStr"/>
    </row>
    <row r="5318">
      <c r="A5318" t="inlineStr">
        <is>
          <t>dh48nm</t>
        </is>
      </c>
      <c r="B5318" t="inlineStr">
        <is>
          <t>I don’t know much about cancer. My dad has been diagnosed.</t>
        </is>
      </c>
      <c r="C5318" t="inlineStr">
        <is>
          <t>“Metastatic” stage 4 pancreatic cancer/tumor that’s apparently bigger than a golf ball, possible tumor in right lung, possible tumor in liver and mesothelioma in his upper lungs. 
I don’t know what most of this means, but I asked the doc how severe it was and he basically said it couldn’t get much worse. My dad has started chemo and will be doing it every two weeks. He’s 61. 
My best friend lost his dad to the same pancreatic cancer. I don’t want to believe what I fear will happen</t>
        </is>
      </c>
      <c r="D5318" t="n">
        <v>7</v>
      </c>
      <c r="E5318" t="n">
        <v>7</v>
      </c>
      <c r="F5318">
        <f>HYPERLINK("https://www.reddit.com/r/cancer/comments/dh48nm/i_dont_know_much_about_cancer_my_dad_has_been/")</f>
        <v/>
      </c>
      <c r="G5318" t="inlineStr">
        <is>
          <t>2019-10-12 18:45:34</t>
        </is>
      </c>
      <c r="H5318" t="inlineStr"/>
    </row>
    <row r="5319">
      <c r="A5319" t="inlineStr">
        <is>
          <t>dh4z5m</t>
        </is>
      </c>
      <c r="B5319" t="inlineStr">
        <is>
          <t>loss of appetite</t>
        </is>
      </c>
      <c r="C5319" t="inlineStr">
        <is>
          <t>hello i was wondering if someone could relate and maybe give me some tips/info about loss of appetite after chemo treatment, my mom hasnt been eating much, she barely eats and she is really weak. we had to take her to the hospital today as she wasnt eating and we feared something could happen to her, she couldnt even hold a bottle of water without her hands shaking :(. im not sure what to do anymore, we talked to her many times, all of my family but cant get her to eat. she usually gets a little bit of food in her mouth and just keeps chewing it for awhile until she swallows it. but she barely eats anything, we always give her what she asks for like sometimes she would ask for fries but would only eat like 2 or 3 of them. please if anyone can relate and give me some advice to help her i would really appreciate it and also would like to know how long can this symptom last for.</t>
        </is>
      </c>
      <c r="D5319" t="n">
        <v>5</v>
      </c>
      <c r="E5319" t="n">
        <v>22</v>
      </c>
      <c r="F5319">
        <f>HYPERLINK("https://www.reddit.com/r/cancer/comments/dh4z5m/loss_of_appetite/")</f>
        <v/>
      </c>
      <c r="G5319" t="inlineStr">
        <is>
          <t>2019-10-12 19:53:57</t>
        </is>
      </c>
      <c r="H5319" t="inlineStr"/>
    </row>
    <row r="5320">
      <c r="A5320" t="inlineStr">
        <is>
          <t>dh550e</t>
        </is>
      </c>
      <c r="B5320" t="inlineStr">
        <is>
          <t>Friend saying cancer 100,00 times to raise money for his parents</t>
        </is>
      </c>
      <c r="C5320" t="inlineStr">
        <is>
          <t>Hey guys, My name is Eli. My friend has just started to stream on twitch to raise money for his parents (His dad has  Non-Hodgkin's t cell lymphoma) even if anyone just views it would be greatly appreciated Thank you all :)   
 [https://www.twitch.tv/bmachime](https://www.twitch.tv/bmachime) 
If this is not allowed to be posted here. Please mods remove it.</t>
        </is>
      </c>
      <c r="D5320" t="n">
        <v>3</v>
      </c>
      <c r="E5320" t="n">
        <v>0</v>
      </c>
      <c r="F5320">
        <f>HYPERLINK("https://www.reddit.com/r/cancer/comments/dh550e/friend_saying_cancer_10000_times_to_raise_money/")</f>
        <v/>
      </c>
      <c r="G5320" t="inlineStr">
        <is>
          <t>2019-10-12 20:09:13</t>
        </is>
      </c>
      <c r="H5320" t="inlineStr"/>
    </row>
    <row r="5321">
      <c r="A5321" t="inlineStr">
        <is>
          <t>dh59oz</t>
        </is>
      </c>
      <c r="B5321" t="inlineStr">
        <is>
          <t>Recommendation choice - chemo and radiation or radiation without thyroid medication?</t>
        </is>
      </c>
      <c r="C5321" t="inlineStr">
        <is>
          <t>My dad had a 3 pound tumor and his thyroid taken out and there’s two treatment options that they are considering, plan a one is radiation but no thyroid medication for two weeks or plan b with two shots of chemo and radiation. If anyone has information on what they experienced it would be greatly appreciated. What is better chemo or radiation that’s most effective for his body? Will not taking the thyroid medication make him severely sick with the radiation? What’s the best option?</t>
        </is>
      </c>
      <c r="D5321" t="n">
        <v>2</v>
      </c>
      <c r="E5321" t="n">
        <v>3</v>
      </c>
      <c r="F5321">
        <f>HYPERLINK("https://www.reddit.com/r/cancer/comments/dh59oz/recommendation_choice_chemo_and_radiation_or/")</f>
        <v/>
      </c>
      <c r="G5321" t="inlineStr">
        <is>
          <t>2019-10-12 20:21:39</t>
        </is>
      </c>
      <c r="H5321" t="inlineStr"/>
    </row>
    <row r="5322">
      <c r="A5322" t="inlineStr">
        <is>
          <t>dh5als</t>
        </is>
      </c>
      <c r="B5322" t="inlineStr">
        <is>
          <t>A dark anniversary</t>
        </is>
      </c>
      <c r="C5322" t="inlineStr">
        <is>
          <t>Hey. I hope I'm not breaking any rules, I didn't read em yet. I just saw that there's a support element to this sub, and I need to talk. Today hurts.
Today marks 3 years exactly since pancreatic and liver cancer took my dad away from my family and me. I'm hanging in there, but it hit me harder than I anticipated it doing.
I don't even know what to do but drink the highest-gravity beer I can find and cry myself to sleep. I know it isn't healthy, I know it isn't productive, and I know it isn't even what he would have wanted for me, but. It's what I think I need to do today. October 12 is a day that is forever tainted for me, I can't help but feel compared to not want to be conscious for it ever again.
Thanks for listening to this barely-coherent rant. God I hope there's a cure someday. But for me, it will always be too late.</t>
        </is>
      </c>
      <c r="D5322" t="n">
        <v>22</v>
      </c>
      <c r="E5322" t="n">
        <v>14</v>
      </c>
      <c r="F5322">
        <f>HYPERLINK("https://www.reddit.com/r/cancer/comments/dh5als/a_dark_anniversary/")</f>
        <v/>
      </c>
      <c r="G5322" t="inlineStr">
        <is>
          <t>2019-10-12 20:24:16</t>
        </is>
      </c>
      <c r="H5322" t="inlineStr"/>
    </row>
    <row r="5323">
      <c r="A5323" t="inlineStr">
        <is>
          <t>dh5lep</t>
        </is>
      </c>
      <c r="B5323" t="inlineStr">
        <is>
          <t>Is it normal that ulceration occurs after skin cancer removal?</t>
        </is>
      </c>
      <c r="C5323" t="inlineStr">
        <is>
          <t>A week ago a skin cancer that appeared as a non healing wound was removed from the arm. It's ulcerating now, is that an usual complication? I am going to contact a doctor again, but I wondered if it was a normal part of the healing process.</t>
        </is>
      </c>
      <c r="D5323" t="n">
        <v>2</v>
      </c>
      <c r="E5323" t="n">
        <v>1</v>
      </c>
      <c r="F5323">
        <f>HYPERLINK("https://www.reddit.com/r/cancer/comments/dh5lep/is_it_normal_that_ulceration_occurs_after_skin/")</f>
        <v/>
      </c>
      <c r="G5323" t="inlineStr">
        <is>
          <t>2019-10-12 20:53:24</t>
        </is>
      </c>
      <c r="H5323" t="inlineStr"/>
    </row>
    <row r="5324">
      <c r="A5324" t="inlineStr">
        <is>
          <t>dh5pzf</t>
        </is>
      </c>
      <c r="B5324" t="inlineStr">
        <is>
          <t>Keeping my port as a trophy</t>
        </is>
      </c>
      <c r="C5324" t="inlineStr">
        <is>
          <t>I'm having my port removed soon. I asked the surgeon removing it if they'd let me keep it. According to them, this is the first time anyone's ever asked for it.  
I'd like to keep it as a souvenir for two years' pain and doubt.  
Anyone else ask to keep it after getting it removed?</t>
        </is>
      </c>
      <c r="D5324" t="n">
        <v>21</v>
      </c>
      <c r="E5324" t="n">
        <v>13</v>
      </c>
      <c r="F5324">
        <f>HYPERLINK("https://www.reddit.com/r/cancer/comments/dh5pzf/keeping_my_port_as_a_trophy/")</f>
        <v/>
      </c>
      <c r="G5324" t="inlineStr">
        <is>
          <t>2019-10-12 21:06:06</t>
        </is>
      </c>
      <c r="H5324" t="inlineStr"/>
    </row>
    <row r="5325">
      <c r="A5325" t="inlineStr">
        <is>
          <t>dh5vp9</t>
        </is>
      </c>
      <c r="B5325" t="inlineStr">
        <is>
          <t>I don’t know where to turn to</t>
        </is>
      </c>
      <c r="C5325" t="inlineStr">
        <is>
          <t>I ended up at this sub because the mods at r/advice never messaged me back about rules, I hope I don’t break any here.
A year and a half ago I was diagnosed with thyroid cancer a couple weeks after my 18th birthday and it wasn’t that bad treatment wise but that doesn’t matter. About 5 days ago I noticed I had a painful lump in my neck under my chin on my left side, but a little bit above where the thyroid is, where a lymph node would be. I thought it was a pulled muscle because it felt like one and hurt like one, but today and yesterday it didn’t hurt, and now when I tilt my head back I can see a lump. 
And now I am starting to worry. So I’m not asking if this is cancer, but more what should I do. How do I tell my PCP, and what do I say? I feel like I call my medical office a lot, and I am embarrassed, so I haven’t called yet. I also still go to my childhood medical office so I feel stupid as well. Should I call my endocrinologist first? The thought of it being nothing to worry about is more embarrassing than anything, and I dont know what to do and everything is embarrassing, having cancer was embarrassing I hate the attention I hate when people say stuff about it and again, I don’t know what to do.</t>
        </is>
      </c>
      <c r="D5325" t="n">
        <v>4</v>
      </c>
      <c r="E5325" t="n">
        <v>5</v>
      </c>
      <c r="F5325">
        <f>HYPERLINK("https://www.reddit.com/r/cancer/comments/dh5vp9/i_dont_know_where_to_turn_to/")</f>
        <v/>
      </c>
      <c r="G5325" t="inlineStr">
        <is>
          <t>2019-10-12 21:21:57</t>
        </is>
      </c>
      <c r="H5325" t="inlineStr"/>
    </row>
    <row r="5326">
      <c r="A5326" t="inlineStr">
        <is>
          <t>dh6ypr</t>
        </is>
      </c>
      <c r="B5326" t="inlineStr">
        <is>
          <t>What do I do?</t>
        </is>
      </c>
      <c r="C5326" t="inlineStr">
        <is>
          <t>My mom has stage 4 bladder cancer - it was very aggressive but the chemo sounds like it’s working. It’s in a few places (or was) but she’s been in and out of the hospital for most of the past year. I left grad school to take care of her and don’t know if or when I’ll ever be able to go back which is ok but how can I help financially? She’s had a small upswing in energy and some good news from the chemo since it’s shrunk the tumors but it’s been so rough this past year. What do I do? People always say ‘take care of yourself’ but do people really know how hard that is when you have a dying parent?</t>
        </is>
      </c>
      <c r="D5326" t="n">
        <v>6</v>
      </c>
      <c r="E5326" t="n">
        <v>2</v>
      </c>
      <c r="F5326">
        <f>HYPERLINK("https://www.reddit.com/r/cancer/comments/dh6ypr/what_do_i_do/")</f>
        <v/>
      </c>
      <c r="G5326" t="inlineStr">
        <is>
          <t>2019-10-12 23:23:53</t>
        </is>
      </c>
      <c r="H5326" t="inlineStr"/>
    </row>
    <row r="5327">
      <c r="A5327" t="inlineStr">
        <is>
          <t>dh94fh</t>
        </is>
      </c>
      <c r="B5327" t="inlineStr">
        <is>
          <t>My Dad(66) has brain cancer and I(25F) don't know what to do or how to behave</t>
        </is>
      </c>
      <c r="C5327" t="inlineStr">
        <is>
          <t>Hi everyone! So, I'll try to keep it as short as possible - two weeks ago we found out that my dad has a  malignant brain tumor. Little recap - three months ago my dad had to amputate one of his toes due to his diabetes and even tho it was a hard time, it all went somehow good but then the last two months we all noticed that his memory has been really bad which is reeeally unusual for him because he is a buisness guy and always well organized in his head. He spoke to me and said that he himself isn't sure whats goin on with him so I made a few calls and got us an apointment at a neurologist in the hospital. After some check ups and a CT scan we got the diagnosis - brain cancer and everything else just went blank in my head. I felt as if the doc just told me a bad joke but I looked at my dad and his expression and I knew that this shit just happened.
They took him immediately in the hospital as a patient and a week after that he had the operation. Considering that the tumor grew already a bit inside his brain they coulnd't remove the whole thing but 99% is gone and his recovery is going ok I think... it is very scary to see a parent so drugged up, with some bandages around his head and not knowing whats going on. It frightened me, but I kept it cool as long as I was visiting him, after that I would break in tears. Now it's been 5 days since his operation and he even called me this morning and even tho i can't fully understand what he's trying to tell me we somehow firgured it out. 
I would kindly ask you guys if you have some advice for whats waiting for us once he's alowed to go home (we don't know yet what kind of therapy he will have to undergo). He is very emotional which he has never been. it's hard to keep it cool in front of him even tho he is behaving like a child which I know, he has no fault in that but its ugh. I hate myself for even writing that. Like yesterday, we came to visit him and as soon as we walked in he just asked DID YOU BRING MY PHONE AND MY NOTEBOOK (not laptop, like actually book idk) and he started crying and complaining that he needs his phone and notebook and that we should go get it. I just said dad, thats not so easy, it takes me an hour to get home by car and another to get back (the hospital is a bit away from my home) and he simply said THAT'S NOT MY PROBLEM and kept on whining. I just went outside his room and my mom came up to me to calm me because she knows my temper is shitty. after calming down we went home to get his stuff and brought it to him and he was as happy as a little kid who just got ice cream.
I read everything about how patients react and behave after such operation but I'm scared. I'm 25 and my mom keeps telling me how I'm the one who has to keep this family together as well as financially and that they all rely on me. I keep quite but I'm scared AF. I never had any big responsibilities and I know that I have to grow up now but I'm scared that I'll ruin everything.
thank you for reading this long ass nonsence and I wish you a nice week!</t>
        </is>
      </c>
      <c r="D5327" t="n">
        <v>14</v>
      </c>
      <c r="E5327" t="n">
        <v>11</v>
      </c>
      <c r="F5327">
        <f>HYPERLINK("https://www.reddit.com/r/cancer/comments/dh94fh/my_dad66_has_brain_cancer_and_i25f_dont_know_what/")</f>
        <v/>
      </c>
      <c r="G5327" t="inlineStr">
        <is>
          <t>2019-10-13 03:57:20</t>
        </is>
      </c>
      <c r="H5327" t="inlineStr"/>
    </row>
    <row r="5328">
      <c r="A5328" t="inlineStr">
        <is>
          <t>dhb60c</t>
        </is>
      </c>
      <c r="B5328" t="inlineStr">
        <is>
          <t>Facebook Group for Multiple Myeloma patients in India</t>
        </is>
      </c>
      <c r="C5328" t="inlineStr">
        <is>
          <t>Hey guys,  
Cancer is a global condition but treatments and support for the same vary across countries. I am creating a facebook group for Multiple Myeloma (a cancer of the plasma cells) in India so that we can navigate the Indian healthcare system together.   
[https://www.facebook.com/groups/529345504497617/members/](https://www.facebook.com/groups/529345504497617/members/)  
If you're from outside India, there are many global groups available on Facebook that would be better suited to you. Good luck and god speed!</t>
        </is>
      </c>
      <c r="D5328" t="n">
        <v>1</v>
      </c>
      <c r="E5328" t="n">
        <v>0</v>
      </c>
      <c r="F5328">
        <f>HYPERLINK("https://www.reddit.com/r/cancer/comments/dhb60c/facebook_group_for_multiple_myeloma_patients_in/")</f>
        <v/>
      </c>
      <c r="G5328" t="inlineStr">
        <is>
          <t>2019-10-13 07:20:49</t>
        </is>
      </c>
      <c r="H5328" t="inlineStr"/>
    </row>
    <row r="5329">
      <c r="A5329" t="inlineStr">
        <is>
          <t>dhbbv1</t>
        </is>
      </c>
      <c r="B5329" t="inlineStr">
        <is>
          <t>Finished radiation treatment;</t>
        </is>
      </c>
      <c r="C5329" t="inlineStr">
        <is>
          <t>I got my last dose of radiation on Wednesday and the people there all chipped in and got me a Nintendo switch as a gift which was really nice of them and totally unexpected tbh starting oral chemotherapy soon too  so that's good I guess, the sooner I beat this thing the sooner I can sort of get back to my normal life. Sucks I can't go trick-or-treating this year though. Guess I'll just stay home an order a pizza an have some cake instead or something</t>
        </is>
      </c>
      <c r="D5329" t="n">
        <v>75</v>
      </c>
      <c r="E5329" t="n">
        <v>15</v>
      </c>
      <c r="F5329">
        <f>HYPERLINK("https://www.reddit.com/r/cancer/comments/dhbbv1/finished_radiation_treatment/")</f>
        <v/>
      </c>
      <c r="G5329" t="inlineStr">
        <is>
          <t>2019-10-13 07:34:37</t>
        </is>
      </c>
      <c r="H5329" t="inlineStr"/>
    </row>
    <row r="5330">
      <c r="A5330" t="inlineStr">
        <is>
          <t>dhgwhf</t>
        </is>
      </c>
      <c r="B5330" t="inlineStr">
        <is>
          <t>Nut Midline.</t>
        </is>
      </c>
      <c r="C5330" t="inlineStr">
        <is>
          <t>My brother recently had scans done after having his chest consumed with cancer. It was  stage 4, and now there is nothing. I know the data is small, but it’s given us hope for a complete remission. Obviously we are cautiously optimistic in feeling completely free of cancer. Being that the data is so minimal, I was wondering if anyone out there has had any recent success with Nut Midline. We were told 7-9months, now we’re being told it’s kind of a crap shoot. They’ve been treating him with an aggressive Ewing sarcoma treatment, running chemo and radiation concurrently, and it seems to be working. Two scans came back negative l, but we’re aware it is an aggressive cancer. Is anyone out there able to tell me if it’s possible to obliterate it? I know the stats will say no, but I’m sure there are people out there currently treating it, and I’m curious if they’re having similar results. 
Thank you, and sorry if I’m rambling.</t>
        </is>
      </c>
      <c r="D5330" t="n">
        <v>3</v>
      </c>
      <c r="E5330" t="n">
        <v>0</v>
      </c>
      <c r="F5330">
        <f>HYPERLINK("https://www.reddit.com/r/cancer/comments/dhgwhf/nut_midline/")</f>
        <v/>
      </c>
      <c r="G5330" t="inlineStr">
        <is>
          <t>2019-10-13 14:31:22</t>
        </is>
      </c>
      <c r="H5330" t="inlineStr"/>
    </row>
    <row r="5331">
      <c r="A5331" t="inlineStr">
        <is>
          <t>dhhkr2</t>
        </is>
      </c>
      <c r="B5331" t="inlineStr">
        <is>
          <t>Cigna denied my PET scan</t>
        </is>
      </c>
      <c r="C5331" t="inlineStr">
        <is>
          <t>Dr and I are having trouble getting a peer-to-peer for scan approval. I think insurance is dragging their feet because ive met my deductible. New plan year starts soon. How do I light a fire under these people to get scheduled ASAP! (already had an inconclusive and painful biopsy done, hence scan. But the reason i need the scan (inconclusive biopsy) is the same reason Cigna is denying me). WTF??! I can only get a PET scan to diagnose cancer if ive had a positive biopsy?</t>
        </is>
      </c>
      <c r="D5331" t="n">
        <v>8</v>
      </c>
      <c r="E5331" t="n">
        <v>11</v>
      </c>
      <c r="F5331">
        <f>HYPERLINK("https://www.reddit.com/r/cancer/comments/dhhkr2/cigna_denied_my_pet_scan/")</f>
        <v/>
      </c>
      <c r="G5331" t="inlineStr">
        <is>
          <t>2019-10-13 15:26:54</t>
        </is>
      </c>
      <c r="H5331" t="inlineStr"/>
    </row>
    <row r="5332">
      <c r="A5332" t="inlineStr">
        <is>
          <t>dhikud</t>
        </is>
      </c>
      <c r="B5332" t="inlineStr">
        <is>
          <t>I can't keep anything down</t>
        </is>
      </c>
      <c r="C5332" t="inlineStr">
        <is>
          <t>I am going through a second round of treatment for leukemia and even though I'm done with chemo I cant keep anything down. I'm an outpatient right bow but i  keep getting sent back bc of this. I'm naseous all the time with 0 appetite and I'm usisng everything they perscribed to ease it, even a patch behind my ear, but nothing is working. Any tips?
(Ive tried ginger ale, losenges, and peppermint gum too)</t>
        </is>
      </c>
      <c r="D5332" t="n">
        <v>6</v>
      </c>
      <c r="E5332" t="n">
        <v>11</v>
      </c>
      <c r="F5332">
        <f>HYPERLINK("https://www.reddit.com/r/cancer/comments/dhikud/i_cant_keep_anything_down/")</f>
        <v/>
      </c>
      <c r="G5332" t="inlineStr">
        <is>
          <t>2019-10-13 16:54:14</t>
        </is>
      </c>
      <c r="H5332" t="inlineStr"/>
    </row>
    <row r="5333">
      <c r="A5333" t="inlineStr">
        <is>
          <t>dhjixr</t>
        </is>
      </c>
      <c r="B5333" t="inlineStr">
        <is>
          <t>How to forget and live normal?</t>
        </is>
      </c>
      <c r="C5333" t="inlineStr">
        <is>
          <t>Last year I began peeing blood out and clottage and what I thought was just a kidney stoned ended up being a cancerous tumor growing in my bladder. So last November at age 18 I had it removed and since then my scopes every 3 months have been fine and good. But the fact that it could (and in my mind it will) come back eats me away daily, whether it is somewhere else building up or just laying inside of me dorment. Whether it be in 6 months, 5 years, or 30 I just know or feel it has to come back. 
I haven't really been good at coping with this and haven't really found anything to give me hope or anything. Anything I read online floods my mind with doubt and worry, and every anecdotal case I've known of someone with cancer it just always seems to come back and much worse. I guess I'm just really not lsu with dying young; which I think is fair. Just wondering if anyone else maybe at a young age that has had success since or anything could shed some light.</t>
        </is>
      </c>
      <c r="D5333" t="n">
        <v>6</v>
      </c>
      <c r="E5333" t="n">
        <v>8</v>
      </c>
      <c r="F5333">
        <f>HYPERLINK("https://www.reddit.com/r/cancer/comments/dhjixr/how_to_forget_and_live_normal/")</f>
        <v/>
      </c>
      <c r="G5333" t="inlineStr">
        <is>
          <t>2019-10-13 18:19:10</t>
        </is>
      </c>
      <c r="H5333" t="inlineStr"/>
    </row>
    <row r="5334">
      <c r="A5334" t="inlineStr">
        <is>
          <t>dhkg9b</t>
        </is>
      </c>
      <c r="B5334" t="inlineStr">
        <is>
          <t>When The Cancer Funding Odds Are Against You</t>
        </is>
      </c>
      <c r="C5334" t="inlineStr">
        <is>
          <t>An essay I wrote:
A cure for cancer. These four words are the Hail Mary of modern medicine. But how close are we to defeating mankind’s Achilles’ heel? At our snail’s pace, this is a dream. However, this dream could be a reality if the National Cancer Institute re-allocated its funding. While all cancers are worthy of research and funding, there is a large discrepancy between the deadliest with the least funding, compared to the top-funded cancers with high survival rates. Therefore, it is imperative that the NCI devotes more money to these lesser-known diseases.
A young mother, your child’s soccer coach, the active woman who runs every morning; that woman’s world could be turned upside down in one diagnosis. She could have stage four non-smoker’s lung cancer, which is often asymptomatic until late stages, and with today’s cocktail of therapies, has eight months to live. Tragically, this prognosis is not far-fetched. Studies suggest that lung cancer has an incidence of between 14.4 and 20.8 percent in non-smoking women, kills twice as many women as breast, accounts for 25% of cancer deaths, yet receives 5.7% of the National Cancer Institute’s budget. 
This “neglect” is not unique to lung cancer. Pancreatic cancer, a notoriously deadly cancer, has a survival rate of 8%. Yet, it is budgeted for just 3.2% of the NCI’s funding. Similarly, while melanoma incidence is increasing at an alarming rate (by 7.7% in 2019), it receives a mere 2.7% of the NCI’s monies. Comparatively, breast cancer, the poster child for early detection and cancer therapy, was allocated 10% of the NCI’s budget in 2017, excluding its enormous pool of private funding. And our dedication to this disease specifically has been largely successful: the once deadly diagnosis now has a 5-year survival rate of 90% thanks to mammography, clinical trials, and cutting-edge immunotherapies. Thus, it is evident that when the National Cancer Institute pours money into the disease, it pays off. In order to defeat cancer, lies the NCI must initiate research and proper funding across the spectrum of diseases.
 Furthermore, think about the prominence of the pink ribbon; particularly in October, everything from toothpaste to cereal is packaged with a ribbon, NFL fields turn pink, and thousands walk and run marathons. However, do you know the color of lung (white), bone (yellow), melanoma (black), or neuroendocrine tumors (zebra stripe)? Heck, have you ever heard the words neuroendocrine tumors strung together? Because many of these cancers have neither the corporate nor the private funding and nonprofit support of breast cancer, it is the duty of the National Cancer Institute to heighten awareness and thereby increase funding for these challenging cancers that necessitate much more funding.</t>
        </is>
      </c>
      <c r="D5334" t="n">
        <v>1</v>
      </c>
      <c r="E5334" t="n">
        <v>3</v>
      </c>
      <c r="F5334">
        <f>HYPERLINK("https://www.reddit.com/r/cancer/comments/dhkg9b/when_the_cancer_funding_odds_are_against_you/")</f>
        <v/>
      </c>
      <c r="G5334" t="inlineStr">
        <is>
          <t>2019-10-13 19:43:18</t>
        </is>
      </c>
      <c r="H5334" t="inlineStr"/>
    </row>
    <row r="5335">
      <c r="A5335" t="inlineStr">
        <is>
          <t>dhkgcp</t>
        </is>
      </c>
      <c r="B5335" t="inlineStr">
        <is>
          <t>A Dumb Question, Still Searching for Hope.</t>
        </is>
      </c>
      <c r="C5335" t="inlineStr">
        <is>
          <t>Doctors say this person has approximately 2 months to live, it means it's terminal right?
Are there any sliver of hope that this person can recover?</t>
        </is>
      </c>
      <c r="D5335" t="n">
        <v>1</v>
      </c>
      <c r="E5335" t="n">
        <v>0</v>
      </c>
      <c r="F5335">
        <f>HYPERLINK("https://www.reddit.com/r/cancer/comments/dhkgcp/a_dumb_question_still_searching_for_hope/")</f>
        <v/>
      </c>
      <c r="G5335" t="inlineStr">
        <is>
          <t>2019-10-13 19:43:33</t>
        </is>
      </c>
      <c r="H5335" t="inlineStr"/>
    </row>
    <row r="5336">
      <c r="A5336" t="inlineStr">
        <is>
          <t>dhnodn</t>
        </is>
      </c>
      <c r="B5336" t="inlineStr">
        <is>
          <t>Throwaway, because people know me, and I don't want it known. Prognosis is terminal, prostate, bladder, kidney and liver. 6 months at the outside.</t>
        </is>
      </c>
      <c r="C5336" t="inlineStr">
        <is>
          <t>I'm fucked.  Just want to spend as much time with my kids (9 and 4) before I go.  Suggestions?  I'm already finding it hard to remain physically active.  How do I tell my SO and my (two adult kids, and my) two young kids?  That dad is gonna be gone in 6 mo time?</t>
        </is>
      </c>
      <c r="D5336" t="n">
        <v>1</v>
      </c>
      <c r="E5336" t="n">
        <v>1</v>
      </c>
      <c r="F5336">
        <f>HYPERLINK("https://www.reddit.com/r/cancer/comments/dhnodn/throwaway_because_people_know_me_and_i_dont_want/")</f>
        <v/>
      </c>
      <c r="G5336" t="inlineStr">
        <is>
          <t>2019-10-14 01:27:43</t>
        </is>
      </c>
      <c r="H5336" t="inlineStr"/>
    </row>
    <row r="5337">
      <c r="A5337" t="inlineStr">
        <is>
          <t>dhnyv3</t>
        </is>
      </c>
      <c r="B5337" t="inlineStr">
        <is>
          <t>My dad diagnosed stage 4 prostate cancer anger issues</t>
        </is>
      </c>
      <c r="C5337" t="inlineStr">
        <is>
          <t>My dad got prostate cancer and he then got it removed. Fast forward 2 years, it's now metatisized. His doctor said hes stage four. Problem is that he drinks and gets drunk everynight. sometimes he falls down and my mom has to lift him up. the biggest issue though is that he gets mean and says hurtful things to everyone around him when drunk. iknow anger is part of the grief process but hes been angry for months now. so im wondering if this is average behaviour ?   thank you</t>
        </is>
      </c>
      <c r="D5337" t="n">
        <v>2</v>
      </c>
      <c r="E5337" t="n">
        <v>1</v>
      </c>
      <c r="F5337">
        <f>HYPERLINK("https://www.reddit.com/r/cancer/comments/dhnyv3/my_dad_diagnosed_stage_4_prostate_cancer_anger/")</f>
        <v/>
      </c>
      <c r="G5337" t="inlineStr">
        <is>
          <t>2019-10-14 02:05:03</t>
        </is>
      </c>
      <c r="H5337" t="inlineStr"/>
    </row>
    <row r="5338">
      <c r="A5338" t="inlineStr">
        <is>
          <t>dhqwg8</t>
        </is>
      </c>
      <c r="B5338" t="inlineStr">
        <is>
          <t>Petition to Mods to have r/stage4cancer added to side bar.</t>
        </is>
      </c>
      <c r="C5338" t="inlineStr">
        <is>
          <t>It needs the visibility.  It may cycle through a good many members, but it needs to grown</t>
        </is>
      </c>
      <c r="D5338" t="n">
        <v>118</v>
      </c>
      <c r="E5338" t="n">
        <v>15</v>
      </c>
      <c r="F5338">
        <f>HYPERLINK("https://www.reddit.com/r/cancer/comments/dhqwg8/petition_to_mods_to_have_rstage4cancer_added_to/")</f>
        <v/>
      </c>
      <c r="G5338" t="inlineStr">
        <is>
          <t>2019-10-14 06:55:59</t>
        </is>
      </c>
      <c r="H5338" t="inlineStr"/>
    </row>
    <row r="5339">
      <c r="A5339" t="inlineStr">
        <is>
          <t>dhr1oa</t>
        </is>
      </c>
      <c r="B5339" t="inlineStr">
        <is>
          <t>Feeling low</t>
        </is>
      </c>
      <c r="C5339" t="inlineStr">
        <is>
          <t>I'm  feeling really low. I had 11 cm of cancer removed, both lobular and invasive ductal, double mastectomy.
A body scan revealed three suspicious lumps in my liver, i was told to prepare for the worst, but they turned out to be benign.
In the meantime i prepared myself for death, wrote my will, funeral plan etc. Now i am feeling lost. I should be delighted and i am, but the shock of the first diagnosis has shaken me. I still feel I'm about to die. I can't believe that the cancer hasn't spread. 
I don't know how to get over myself. I keep thinking something else will happen, like I'm waiting for another horrible thing to happen. 
I'm still in the middle of treatment but i feel like I'm giving up. 
Is this a mid treatment thing? If so, any ideas how to get out of these doldrums?</t>
        </is>
      </c>
      <c r="D5339" t="n">
        <v>12</v>
      </c>
      <c r="E5339" t="n">
        <v>9</v>
      </c>
      <c r="F5339">
        <f>HYPERLINK("https://www.reddit.com/r/cancer/comments/dhr1oa/feeling_low/")</f>
        <v/>
      </c>
      <c r="G5339" t="inlineStr">
        <is>
          <t>2019-10-14 07:07:05</t>
        </is>
      </c>
      <c r="H5339" t="inlineStr"/>
    </row>
    <row r="5340">
      <c r="A5340" t="inlineStr">
        <is>
          <t>dhr8bo</t>
        </is>
      </c>
      <c r="B5340" t="inlineStr">
        <is>
          <t>Peeing in bottles. (Not super serious, but real.)</t>
        </is>
      </c>
      <c r="C5340" t="inlineStr">
        <is>
          <t>I have been peeing in bottles instead of going to the bathroom at night. 
So it started with cancer, I had a bottle while in the hospital and grew accustomed to it. When I went home for recovery it was too ill to really move around and used them at home too. 
As I got stronger and capable I didn’t stop. Now I’m fully capable of getting to the restroom but I REALLY don’t want to to back to that lifestyle. 
is this too disgusting of a habit? Do I need to change back or are piss bottles ok?</t>
        </is>
      </c>
      <c r="D5340" t="n">
        <v>7</v>
      </c>
      <c r="E5340" t="n">
        <v>15</v>
      </c>
      <c r="F5340">
        <f>HYPERLINK("https://www.reddit.com/r/cancer/comments/dhr8bo/peeing_in_bottles_not_super_serious_but_real/")</f>
        <v/>
      </c>
      <c r="G5340" t="inlineStr">
        <is>
          <t>2019-10-14 07:21:19</t>
        </is>
      </c>
      <c r="H5340" t="inlineStr"/>
    </row>
    <row r="5341">
      <c r="A5341" t="inlineStr">
        <is>
          <t>dhrew9</t>
        </is>
      </c>
      <c r="B5341" t="inlineStr">
        <is>
          <t>4 months and 13 days</t>
        </is>
      </c>
      <c r="C5341" t="inlineStr">
        <is>
          <t>I've posted here before about my Mom. I don't even know why I'm posting I guess I just need to get this off my chest and I hope it's allowed here.
 She was diagnosed on June 22nd with stage IV metastatic esophageal cancer. She passed October 5th at age 59. In the span of 4 months and 13 days she underwent chemo, a handful of blood transfusions, a PEG tube insertion, and a colostomy before catching pneumonia during her surgical recovery. They couldn't successfully treat the pneumonia. 
On the 4th we were given the hardest choice I think we as a family have ever had to make. We had to take her off the bipap machine as it stopped being helpful, or leave it on and watch her struggle trapped in a full face mask until she passed. We chose to make her comfortable. All 7 of us were gathered and able to say our goodbyes before the morphine gave her over to sleep. A short 23h later and she had passed. 
 I hope that I can convey to my daughter when she's older how much she was loved by my Mom as well as how much she helped us through the last few days of my Mom's life, and even when my Mom wasn't lucid she still smiled and held my baby girls hands. I hope I get to have more time with my daughter than I got with my Mom. I hope my Mom's last breath was a breath of relief, free from this awful fucking disease that took her too soon.</t>
        </is>
      </c>
      <c r="D5341" t="n">
        <v>9</v>
      </c>
      <c r="E5341" t="n">
        <v>2</v>
      </c>
      <c r="F5341">
        <f>HYPERLINK("https://www.reddit.com/r/cancer/comments/dhrew9/4_months_and_13_days/")</f>
        <v/>
      </c>
      <c r="G5341" t="inlineStr">
        <is>
          <t>2019-10-14 07:35:15</t>
        </is>
      </c>
      <c r="H5341" t="inlineStr"/>
    </row>
    <row r="5342">
      <c r="A5342" t="inlineStr">
        <is>
          <t>dhrhsy</t>
        </is>
      </c>
      <c r="B5342" t="inlineStr">
        <is>
          <t>Mom Recently Diagnosed- feel like im drowning</t>
        </is>
      </c>
      <c r="C5342" t="inlineStr">
        <is>
          <t>hi im 18F and my mom got diagnosed with breast cancer a week before I left for college and how we found out was she was having eye trouble and it looked as though she had a lazy eye so she went to the optometrist and then got a biopsy along with a mammogram (which came back to being a false "all good!"). the biopsy came back cancerous and then she got a 3-d mammogram X-ray and we found out she has cancer in her milk ducts. she went through radiation for her eye and just had a hysterectomy along with taking chemo pills. im so scared for her and I've just been really struggling lately. my brothers are 9 and 16.</t>
        </is>
      </c>
      <c r="D5342" t="n">
        <v>1</v>
      </c>
      <c r="E5342" t="n">
        <v>0</v>
      </c>
      <c r="F5342">
        <f>HYPERLINK("https://www.reddit.com/r/cancer/comments/dhrhsy/mom_recently_diagnosed_feel_like_im_drowning/")</f>
        <v/>
      </c>
      <c r="G5342" t="inlineStr">
        <is>
          <t>2019-10-14 07:41:23</t>
        </is>
      </c>
      <c r="H5342" t="inlineStr"/>
    </row>
    <row r="5343">
      <c r="A5343" t="inlineStr">
        <is>
          <t>dhrr5s</t>
        </is>
      </c>
      <c r="B5343" t="inlineStr">
        <is>
          <t>Stomach Caner how long left</t>
        </is>
      </c>
      <c r="C5343" t="inlineStr">
        <is>
          <t>my father just got bad news, I would like to know if this is terminated or how many time left</t>
        </is>
      </c>
      <c r="D5343" t="n">
        <v>0</v>
      </c>
      <c r="E5343" t="n">
        <v>3</v>
      </c>
      <c r="F5343">
        <f>HYPERLINK("https://www.reddit.com/r/cancer/comments/dhrr5s/stomach_caner_how_long_left/")</f>
        <v/>
      </c>
      <c r="G5343" t="inlineStr">
        <is>
          <t>2019-10-14 08:00:40</t>
        </is>
      </c>
      <c r="H5343" t="inlineStr"/>
    </row>
    <row r="5344">
      <c r="A5344" t="inlineStr">
        <is>
          <t>dhrsnn</t>
        </is>
      </c>
      <c r="B5344" t="inlineStr">
        <is>
          <t>You don't have to do this alone [OC]</t>
        </is>
      </c>
      <c r="C5344" t="inlineStr">
        <is>
          <t>&amp;amp;#x200B;
https://i.redd.it/6qdyexbosis31.jpg</t>
        </is>
      </c>
      <c r="D5344" t="n">
        <v>1</v>
      </c>
      <c r="E5344" t="n">
        <v>0</v>
      </c>
      <c r="F5344">
        <f>HYPERLINK("https://www.reddit.com/r/cancer/comments/dhrsnn/you_dont_have_to_do_this_alone_oc/")</f>
        <v/>
      </c>
      <c r="G5344" t="inlineStr">
        <is>
          <t>2019-10-14 08:03:18</t>
        </is>
      </c>
      <c r="H5344" t="inlineStr"/>
    </row>
    <row r="5345">
      <c r="A5345" t="inlineStr">
        <is>
          <t>dhs66e</t>
        </is>
      </c>
      <c r="B5345" t="inlineStr">
        <is>
          <t>My Mom finally left this world</t>
        </is>
      </c>
      <c r="C5345" t="inlineStr">
        <is>
          <t>After battling cancer for almost 3 year, she finally passed away this morning. She was fighting stage 4 lung cancer, and it just feel surreal. I can't believe it, I thought anticipatory griefing might help, but it didnt. The doctors said she had maybe 6 month, that turned into 2 weeks. I been searching frantically for my old phone to find my moms song she sang to me. I just cant believe it happened so fast. She couldn't even say her goodbyes.</t>
        </is>
      </c>
      <c r="D5345" t="n">
        <v>15</v>
      </c>
      <c r="E5345" t="n">
        <v>6</v>
      </c>
      <c r="F5345">
        <f>HYPERLINK("https://www.reddit.com/r/cancer/comments/dhs66e/my_mom_finally_left_this_world/")</f>
        <v/>
      </c>
      <c r="G5345" t="inlineStr">
        <is>
          <t>2019-10-14 08:30:12</t>
        </is>
      </c>
      <c r="H5345" t="inlineStr"/>
    </row>
    <row r="5346">
      <c r="A5346" t="inlineStr">
        <is>
          <t>dhsrnv</t>
        </is>
      </c>
      <c r="B5346" t="inlineStr">
        <is>
          <t>Experiences with (Possible) Malignant Pleural Effusion?</t>
        </is>
      </c>
      <c r="C5346" t="inlineStr">
        <is>
          <t>First off, I know you guys aren't doctors. I'm sorry, but I just feel like I have to post this here because no one else understands the emotions and everything. I just need to shout into the void for a minute because I am over flippant comments from friends, family, and acquaintances.
My 66 year old dad has incurable metastatic kidney cancer. He had his kidney taken out in May 2018 when they found a met on his body wall which they also removed. They told us he would probably live for another year or two. He's started having reoccurring pleural effusions. They've tested the fluid twice already and it's come out negative each time but my dad has a LONG history of cancer - he's had four different types of unrelated cancer since I was 3 years old. I'm now 26.
Now the fluid is back for a third time and they want to do Video Assisted Thoracic Surgery with Pleurodesis as well as look around and take some biopsies while they're in there next week. This will be his 16th surgery. His pulmonologist has a close relationship with him and admitted that they think cancer could be the cause and his surgeon alluded to something similar. I am an only child and my dad doesn't have anyone to take care of him, so I'm staying with him for now to be his caregiver, should he need it.
Most of the studies I find online about Malignant Pleural Effusions have a short, bad prognosis. I know you guys aren't psychics, but I guess my question that I desperately want to shout into the void is, is this the beginning of the end? Has anyone experienced something similar?</t>
        </is>
      </c>
      <c r="D5346" t="n">
        <v>4</v>
      </c>
      <c r="E5346" t="n">
        <v>9</v>
      </c>
      <c r="F5346">
        <f>HYPERLINK("https://www.reddit.com/r/cancer/comments/dhsrnv/experiences_with_possible_malignant_pleural/")</f>
        <v/>
      </c>
      <c r="G5346" t="inlineStr">
        <is>
          <t>2019-10-14 09:11:34</t>
        </is>
      </c>
      <c r="H5346" t="inlineStr"/>
    </row>
    <row r="5347">
      <c r="A5347" t="inlineStr">
        <is>
          <t>dhsvcf</t>
        </is>
      </c>
      <c r="B5347" t="inlineStr">
        <is>
          <t>Should check with another doctor?</t>
        </is>
      </c>
      <c r="C5347" t="inlineStr">
        <is>
          <t>should wait and look another doctor before chem?</t>
        </is>
      </c>
      <c r="D5347" t="n">
        <v>2</v>
      </c>
      <c r="E5347" t="n">
        <v>3</v>
      </c>
      <c r="F5347">
        <f>HYPERLINK("https://www.reddit.com/r/cancer/comments/dhsvcf/should_check_with_another_doctor/")</f>
        <v/>
      </c>
      <c r="G5347" t="inlineStr">
        <is>
          <t>2019-10-14 09:18:36</t>
        </is>
      </c>
      <c r="H5347" t="inlineStr"/>
    </row>
    <row r="5348">
      <c r="A5348" t="inlineStr">
        <is>
          <t>dhtarn</t>
        </is>
      </c>
      <c r="B5348" t="inlineStr">
        <is>
          <t>best hospital for stomach cancer</t>
        </is>
      </c>
      <c r="C5348" t="inlineStr">
        <is>
          <t>I need your help.
what is the best hospital for stomach cancer, we are living in NYC, Memorial sloan Kettering mint be the best one, My father's insurance is out of network, they need authorization. do you know what the chance they got approved.
Now he is in NY-Presbyterian, he would like to look for second option.</t>
        </is>
      </c>
      <c r="D5348" t="n">
        <v>5</v>
      </c>
      <c r="E5348" t="n">
        <v>17</v>
      </c>
      <c r="F5348">
        <f>HYPERLINK("https://www.reddit.com/r/cancer/comments/dhtarn/best_hospital_for_stomach_cancer/")</f>
        <v/>
      </c>
      <c r="G5348" t="inlineStr">
        <is>
          <t>2019-10-14 09:48:24</t>
        </is>
      </c>
      <c r="H5348" t="inlineStr"/>
    </row>
    <row r="5349">
      <c r="A5349" t="inlineStr">
        <is>
          <t>dhu3eq</t>
        </is>
      </c>
      <c r="B5349" t="inlineStr">
        <is>
          <t>Switch hospital urgent question</t>
        </is>
      </c>
      <c r="C5349" t="inlineStr">
        <is>
          <t>My father is thinking about go to other hospital to look for second option, he already did biospy , pet scan, ct scan. 
Do he need do all those again in the other hospital when he decide to be treated there? Thanks</t>
        </is>
      </c>
      <c r="D5349" t="n">
        <v>5</v>
      </c>
      <c r="E5349" t="n">
        <v>6</v>
      </c>
      <c r="F5349">
        <f>HYPERLINK("https://www.reddit.com/r/cancer/comments/dhu3eq/switch_hospital_urgent_question/")</f>
        <v/>
      </c>
      <c r="G5349" t="inlineStr">
        <is>
          <t>2019-10-14 10:42:15</t>
        </is>
      </c>
      <c r="H5349" t="inlineStr"/>
    </row>
    <row r="5350">
      <c r="A5350" t="inlineStr">
        <is>
          <t>dhw34o</t>
        </is>
      </c>
      <c r="B5350" t="inlineStr">
        <is>
          <t>Cancer with Normal Blood Work</t>
        </is>
      </c>
      <c r="C5350" t="inlineStr">
        <is>
          <t>Hello All,
I apologize for the question, but I couldn't find an answer searching around. A family member has been diagnosed with cancer. They need to run additional tests to find out where it is so we don't have many details on that front. However, his blood test game back normal. Nothing high and nothing low. That seems weird to me. Is that normal for a cancer patient? Is there any information that can be gleamed from that?</t>
        </is>
      </c>
      <c r="D5350" t="n">
        <v>2</v>
      </c>
      <c r="E5350" t="n">
        <v>21</v>
      </c>
      <c r="F5350">
        <f>HYPERLINK("https://www.reddit.com/r/cancer/comments/dhw34o/cancer_with_normal_blood_work/")</f>
        <v/>
      </c>
      <c r="G5350" t="inlineStr">
        <is>
          <t>2019-10-14 12:58:03</t>
        </is>
      </c>
      <c r="H5350" t="inlineStr"/>
    </row>
    <row r="5351">
      <c r="A5351" t="inlineStr">
        <is>
          <t>dhwvtj</t>
        </is>
      </c>
      <c r="B5351" t="inlineStr">
        <is>
          <t>Number 3</t>
        </is>
      </c>
      <c r="C5351" t="inlineStr">
        <is>
          <t>Surgery #3 under my belt. Ive never been super sick, no er visits no broken bones lol now been in and outta hospitals for about a year now. But it was preventive so hormone therapy starts soon!</t>
        </is>
      </c>
      <c r="D5351" t="n">
        <v>9</v>
      </c>
      <c r="E5351" t="n">
        <v>3</v>
      </c>
      <c r="F5351">
        <f>HYPERLINK("https://www.reddit.com/r/cancer/comments/dhwvtj/number_3/")</f>
        <v/>
      </c>
      <c r="G5351" t="inlineStr">
        <is>
          <t>2019-10-14 13:51:44</t>
        </is>
      </c>
      <c r="H5351" t="inlineStr"/>
    </row>
    <row r="5352">
      <c r="A5352" t="inlineStr">
        <is>
          <t>dhxsgn</t>
        </is>
      </c>
      <c r="B5352" t="inlineStr">
        <is>
          <t>Help</t>
        </is>
      </c>
      <c r="C5352" t="inlineStr">
        <is>
          <t>I don’t know what to do, I found hard nodules on my cervix because of adult related things. I’ve also realized for the past few months I’ve had odd cramping. I have no insurance and am thousands of miles away from home until March and I have no idea what to do. I don’t want to go get looked at at the er or planned parenthood because if I get a diagnosis I won’t be able to get insurance. I’ve also been on nexplanon birth control for 5 years 2 different implants and no period in that time. Idk what to do I’m so scared, I’m not sure if it’s endometriosis or hpv or cancer.. cancer is my biggest fear even bigger than dying.</t>
        </is>
      </c>
      <c r="D5352" t="n">
        <v>1</v>
      </c>
      <c r="E5352" t="n">
        <v>4</v>
      </c>
      <c r="F5352">
        <f>HYPERLINK("https://www.reddit.com/r/cancer/comments/dhxsgn/help/")</f>
        <v/>
      </c>
      <c r="G5352" t="inlineStr">
        <is>
          <t>2019-10-14 14:54:26</t>
        </is>
      </c>
      <c r="H5352" t="inlineStr"/>
    </row>
    <row r="5353">
      <c r="A5353" t="inlineStr">
        <is>
          <t>dhyzb5</t>
        </is>
      </c>
      <c r="B5353" t="inlineStr">
        <is>
          <t>Mom was diagnosed with cancer. It’s all brand new so we don’t know how far along. Rare cancer.</t>
        </is>
      </c>
      <c r="C5353" t="inlineStr">
        <is>
          <t>She was diagnosed with Vulvar Paget’s Disease/Cancer.
It is apparently rare. The doctor said that most likely, since it is rare, it probably spread from somewhere else.
Does anyone know anything about this particular cancer? Prognosis? It doesn’t appear to be cure-able. 
She is not even 60 :’(</t>
        </is>
      </c>
      <c r="D5353" t="n">
        <v>4</v>
      </c>
      <c r="E5353" t="n">
        <v>2</v>
      </c>
      <c r="F5353">
        <f>HYPERLINK("https://www.reddit.com/r/cancer/comments/dhyzb5/mom_was_diagnosed_with_cancer_its_all_brand_new/")</f>
        <v/>
      </c>
      <c r="G5353" t="inlineStr">
        <is>
          <t>2019-10-14 16:21:02</t>
        </is>
      </c>
      <c r="H5353" t="inlineStr"/>
    </row>
    <row r="5354">
      <c r="A5354" t="inlineStr">
        <is>
          <t>dhzfwh</t>
        </is>
      </c>
      <c r="B5354" t="inlineStr">
        <is>
          <t>My father in law has little time left</t>
        </is>
      </c>
      <c r="C5354" t="inlineStr">
        <is>
          <t>Hello everyone,
My father in law is currently in a very bad state at the hospital. He's been fighting against cancer for almost two years, and the doctors told my fiancee that there is not much time left... He can pass away at any moment. My fiancee asked me to not go to the hospital, because he doesn't want me to see his father at that state. I respect his decision and I'm comforted to know that his family is with him... 
However, I wanted to know from people that have, unfortunately, been in my position. What can I do to help my fiancee and his family during this sad and difficult time?</t>
        </is>
      </c>
      <c r="D5354" t="n">
        <v>3</v>
      </c>
      <c r="E5354" t="n">
        <v>3</v>
      </c>
      <c r="F5354">
        <f>HYPERLINK("https://www.reddit.com/r/cancer/comments/dhzfwh/my_father_in_law_has_little_time_left/")</f>
        <v/>
      </c>
      <c r="G5354" t="inlineStr">
        <is>
          <t>2019-10-14 16:55:59</t>
        </is>
      </c>
      <c r="H5354" t="inlineStr"/>
    </row>
    <row r="5355">
      <c r="A5355" t="inlineStr">
        <is>
          <t>di04fq</t>
        </is>
      </c>
      <c r="B5355" t="inlineStr">
        <is>
          <t>My Mom Passed Away</t>
        </is>
      </c>
      <c r="C5355" t="inlineStr">
        <is>
          <t>After a 7 years in remission, my mother's breast cancer came back. She spent 3 days at the hospital and on the 2nd day home my sister found her. She was passed out and unresponsive. She did not make it. I am having a hard time processing her death.</t>
        </is>
      </c>
      <c r="D5355" t="n">
        <v>7</v>
      </c>
      <c r="E5355" t="n">
        <v>7</v>
      </c>
      <c r="F5355">
        <f>HYPERLINK("https://www.reddit.com/r/cancer/comments/di04fq/my_mom_passed_away/")</f>
        <v/>
      </c>
      <c r="G5355" t="inlineStr">
        <is>
          <t>2019-10-14 17:52:00</t>
        </is>
      </c>
      <c r="H5355" t="inlineStr"/>
    </row>
    <row r="5356">
      <c r="A5356" t="inlineStr">
        <is>
          <t>di0w78</t>
        </is>
      </c>
      <c r="B5356" t="inlineStr">
        <is>
          <t>Hope this is allowed, I don’t know how to title it</t>
        </is>
      </c>
      <c r="C5356" t="inlineStr">
        <is>
          <t>I’ve noticed that Cancer isn’t commonly talked about in music, especially from first hand experience. I am currently making an album talking about my treatment and how it’s going. And was wondering if there was anything you guys experienced during your diagnosis, treatment and even after remission. Would love to have a more broad approach to it. Also, if there is anyone who does music producing/songwriting and was doing it during treatment, would you have any tips for focusing on it during chemo brain? 
Thank you so much
(If the Grammar is bad, my apologise currently on painkillers)</t>
        </is>
      </c>
      <c r="D5356" t="n">
        <v>19</v>
      </c>
      <c r="E5356" t="n">
        <v>4</v>
      </c>
      <c r="F5356">
        <f>HYPERLINK("https://www.reddit.com/r/cancer/comments/di0w78/hope_this_is_allowed_i_dont_know_how_to_title_it/")</f>
        <v/>
      </c>
      <c r="G5356" t="inlineStr">
        <is>
          <t>2019-10-14 18:57:58</t>
        </is>
      </c>
      <c r="H5356" t="inlineStr"/>
    </row>
    <row r="5357">
      <c r="A5357" t="inlineStr">
        <is>
          <t>di25u1</t>
        </is>
      </c>
      <c r="B5357" t="inlineStr">
        <is>
          <t>Feeling stressed</t>
        </is>
      </c>
      <c r="C5357" t="inlineStr">
        <is>
          <t>Going to the doctors tomorrow to see if my symptoms are worthy of a CT scan. Praying that there’s a reasonable explanation behind all of my symptoms, but my mind always assumes the worst</t>
        </is>
      </c>
      <c r="D5357" t="n">
        <v>2</v>
      </c>
      <c r="E5357" t="n">
        <v>3</v>
      </c>
      <c r="F5357">
        <f>HYPERLINK("https://www.reddit.com/r/cancer/comments/di25u1/feeling_stressed/")</f>
        <v/>
      </c>
      <c r="G5357" t="inlineStr">
        <is>
          <t>2019-10-14 20:45:24</t>
        </is>
      </c>
      <c r="H5357" t="inlineStr"/>
    </row>
    <row r="5358">
      <c r="A5358" t="inlineStr">
        <is>
          <t>di2a1m</t>
        </is>
      </c>
      <c r="B5358" t="inlineStr">
        <is>
          <t>Mums (68F) LDH levels 1600.</t>
        </is>
      </c>
      <c r="C5358" t="inlineStr">
        <is>
          <t>So my mother had Stage 4 GOT(primary) with secondaries in lung liver and spine.  Ok. Not great.  She’s been doing ok with Chemo and a few comp therapies ( CBD, tumeric, Gumby Gumby ect.) today her bloods showed an LDH level of 1600 ( up from her last 3 weeks ago of 800).  
Has anyone here ever experienced this kind of increase and could provide some info as to the implications?</t>
        </is>
      </c>
      <c r="D5358" t="n">
        <v>3</v>
      </c>
      <c r="E5358" t="n">
        <v>0</v>
      </c>
      <c r="F5358">
        <f>HYPERLINK("https://www.reddit.com/r/cancer/comments/di2a1m/mums_68f_ldh_levels_1600/")</f>
        <v/>
      </c>
      <c r="G5358" t="inlineStr">
        <is>
          <t>2019-10-14 20:55:51</t>
        </is>
      </c>
      <c r="H5358" t="inlineStr"/>
    </row>
    <row r="5359">
      <c r="A5359" t="inlineStr">
        <is>
          <t>di6x3p</t>
        </is>
      </c>
      <c r="B5359" t="inlineStr">
        <is>
          <t>Confused about my mental health after recovering. I would love some advice or input.</t>
        </is>
      </c>
      <c r="C5359" t="inlineStr">
        <is>
          <t>I was diagnosed with cancer last year, 15% of making it 6 months, and after 2 near death moments I have started to recover and things are finally looking good for me long term. 
As I recovered I never felt suicidal, or even sad. Very stoic, and not motivated. Hygiene declined, activity was very limited, and I had constant panic attacks that there was something wrong and I’m dying. 
I wasn’t sure how much had changed until I was given a very small dose of lexapro (5mg day) for the panic. It helped a little, and no side effects. 
Then I got a fungal infection, part of that treatment was a rarely used antifungal that has the side effect of raising the blood concentration of lexapro. 
That was 2 weeks ago. While on both my motivation has steadily gone up and up, and it made me realize how complacent and lazy I had become. This is the good part. 
The bad part is that I am thinking a lot more philosophical, I’m overly worried I’m not being a good husband. And I am ruminating really bad when I do something wrong. I have also noticed I am a bit more emotional, both sad and happy wise. It’s like the stoicism has started to fade and I can feel a little again. 
I think the motivation and drive seem to outweigh the bad stuff, but I’m afraid if the bad stuff gets worse it’ll spiral. I have to start thinking of going back to work. There is a lot I owe my wife for the sheer support and care she’s provided to me while I was at deaths door. 
I guess it boils down to, does this sound at all relatable to anyone? And should I try increasing my lexapro to a normal dose and see how it goes? (I am going to talk to my doctor about this one for sure, but I’d like advice from others as well.)</t>
        </is>
      </c>
      <c r="D5359" t="n">
        <v>7</v>
      </c>
      <c r="E5359" t="n">
        <v>7</v>
      </c>
      <c r="F5359">
        <f>HYPERLINK("https://www.reddit.com/r/cancer/comments/di6x3p/confused_about_my_mental_health_after_recovering/")</f>
        <v/>
      </c>
      <c r="G5359" t="inlineStr">
        <is>
          <t>2019-10-15 05:04:31</t>
        </is>
      </c>
      <c r="H5359" t="inlineStr"/>
    </row>
    <row r="5360">
      <c r="A5360" t="inlineStr">
        <is>
          <t>di709g</t>
        </is>
      </c>
      <c r="B5360" t="inlineStr">
        <is>
          <t>I design monuments, and one hit me hard this morning.</t>
        </is>
      </c>
      <c r="C5360" t="inlineStr">
        <is>
          <t>I am terribly sorry to share such a sad story, but I felt it was necessary to share his battle.
I've been a monument/headstone designers for the last decade. Mostly I'm terribly stoic and unsympathetic, which is an embarrassing character flaw to have. Today is a different story.
I am designing a monument for a young man who passed away from cancer. There is a collage of photos on the monument. Hunting, fishing, funny photos, but there is also a photo of him with his daughter. He has deeply content smile with pride in his eyes. I rarely see such a beautiful spark.
One day he found an unusual mole. Doctor removed it. Cancer, but marked all clear. A couple years it returned as a goose egg on his arm. BlueCross BlueShield denied him treatments.
He passed away at 31 years old.
What he could have done to fight BCBS, I don't know. But to all who are struggling, fight fight fight. You have warriors fighting for you all over whether it is direct support or donations to cancer organizations world wide. You guys and gals are the strongest of the bunch in this world.  May your stories of survival give strength and hope to others, and may the stories of loss be remembered with the joy and laughter of life rather than the depletion.
Thank you for letting me share this gentleman's story.</t>
        </is>
      </c>
      <c r="D5360" t="n">
        <v>56</v>
      </c>
      <c r="E5360" t="n">
        <v>14</v>
      </c>
      <c r="F5360">
        <f>HYPERLINK("https://www.reddit.com/r/cancer/comments/di709g/i_design_monuments_and_one_hit_me_hard_this/")</f>
        <v/>
      </c>
      <c r="G5360" t="inlineStr">
        <is>
          <t>2019-10-15 05:12:46</t>
        </is>
      </c>
      <c r="H5360" t="inlineStr"/>
    </row>
    <row r="5361">
      <c r="A5361" t="inlineStr">
        <is>
          <t>di8jmq</t>
        </is>
      </c>
      <c r="B5361" t="inlineStr">
        <is>
          <t>Can stomach cancer occur at a young age ?</t>
        </is>
      </c>
      <c r="C5361" t="inlineStr">
        <is>
          <t>I’m a M24 and I have this intense pain for a couple weeks at my solar plexus, I went to the doctor and she prescribed me 20mg omeprazole pills. I was searching some information about the pain I have and I came to stomach cancer, I read that most of the patients are above the 50s, is it possible that I have cancer ? Help would be really appreciated.
Thank you</t>
        </is>
      </c>
      <c r="D5361" t="n">
        <v>1</v>
      </c>
      <c r="E5361" t="n">
        <v>2</v>
      </c>
      <c r="F5361">
        <f>HYPERLINK("https://www.reddit.com/r/cancer/comments/di8jmq/can_stomach_cancer_occur_at_a_young_age/")</f>
        <v/>
      </c>
      <c r="G5361" t="inlineStr">
        <is>
          <t>2019-10-15 07:17:48</t>
        </is>
      </c>
      <c r="H5361" t="inlineStr"/>
    </row>
    <row r="5362">
      <c r="A5362" t="inlineStr">
        <is>
          <t>di9oqn</t>
        </is>
      </c>
      <c r="B5362" t="inlineStr">
        <is>
          <t>How to cope with my mom dying?</t>
        </is>
      </c>
      <c r="C5362" t="inlineStr">
        <is>
          <t>I don’t know if this is the right place to post this but I don’t know where else to go also this is very long so sorry I just need to find a way to cope. My mom was diagnosed with melanoma in 2008 and had it all removed. They told her that she is completely clear and they took a large chunk around it and it will not return. Well in 2012 it did... but this time it was stage 4 metastatic melanoma. I was 13 at the time but she told me she would not stop fighting and everything was going to be ok. I was terrified... she has tried every chemo available, had 8 surgeries, and her health is really bad.  She has to be on oxygen, the steroids made her gain over 100 pounds and has had many near death experiences and is constantly in and out of the hospital. Well the last time she was in the hospital was last Wednesday and had scans done to see if she had pneumonia but’s he didn’t but did have a UTI. She was brought home that night with more meds and the very next day her oncologist called and said they need to se her ASAP so I know it’s not going to be good. Her appointment is this Wednesday and I am terrified knowing it’s not going to be good. They already mentioned hospice. She has been exhausted and has not eaten in a week and has been maybe awake for an hour? It’s been really bad. I am currently attending university and cannot focus at all on my classes and don’t know how I am passing but at this rate I probably won’t considering I’m taking orgo 2, physics, and other BMS classes. I have 5 other siblings with a set of triplets, I’m a twin, and my older brother. I feel like I am the only one who understands how serious this is. My mom is my BEST friend, we have always been really close. We dressed the same and were inseparable. I have seen my mom cry from pain, and confusion. She even cry’s and says sorry for putting us all through this. But she knows her life is coming to an end and just looks empty and scared. She wants to go to India or California before she goes but unfortunately will all these bills building up on my dad and her and them being in debt they can’t. I just wish there was a way I could take off the financial struggle to take that stress off but I am also in debt with school. Sorry this was so long and I probably jumped around a lot. Does anyone have any recommendations on how to cope with all this? Thanks in advance.</t>
        </is>
      </c>
      <c r="D5362" t="n">
        <v>3</v>
      </c>
      <c r="E5362" t="n">
        <v>5</v>
      </c>
      <c r="F5362">
        <f>HYPERLINK("https://www.reddit.com/r/cancer/comments/di9oqn/how_to_cope_with_my_mom_dying/")</f>
        <v/>
      </c>
      <c r="G5362" t="inlineStr">
        <is>
          <t>2019-10-15 08:42:14</t>
        </is>
      </c>
      <c r="H5362" t="inlineStr"/>
    </row>
    <row r="5363">
      <c r="A5363" t="inlineStr">
        <is>
          <t>di9w5u</t>
        </is>
      </c>
      <c r="B5363" t="inlineStr">
        <is>
          <t>My baby is dying of cancer</t>
        </is>
      </c>
      <c r="C5363" t="inlineStr">
        <is>
          <t>I'm so lost. He's fought for almost a year but the cancer has spread. There's nothing more to do. I don't understand how this can really be happening. He's the most amazing person I've ever met and he probably won't make it to his 4th birthday.</t>
        </is>
      </c>
      <c r="D5363" t="n">
        <v>138</v>
      </c>
      <c r="E5363" t="n">
        <v>32</v>
      </c>
      <c r="F5363">
        <f>HYPERLINK("https://www.reddit.com/r/cancer/comments/di9w5u/my_baby_is_dying_of_cancer/")</f>
        <v/>
      </c>
      <c r="G5363" t="inlineStr">
        <is>
          <t>2019-10-15 08:57:04</t>
        </is>
      </c>
      <c r="H5363" t="inlineStr"/>
    </row>
    <row r="5364">
      <c r="A5364" t="inlineStr">
        <is>
          <t>di9zmv</t>
        </is>
      </c>
      <c r="B5364" t="inlineStr">
        <is>
          <t>Do i have cancer?</t>
        </is>
      </c>
      <c r="C5364" t="inlineStr">
        <is>
          <t>I often have short fevers, have hard to swallow and my stomach hurts. Sould I be worried?</t>
        </is>
      </c>
      <c r="D5364" t="n">
        <v>0</v>
      </c>
      <c r="E5364" t="n">
        <v>5</v>
      </c>
      <c r="F5364">
        <f>HYPERLINK("https://www.reddit.com/r/cancer/comments/di9zmv/do_i_have_cancer/")</f>
        <v/>
      </c>
      <c r="G5364" t="inlineStr">
        <is>
          <t>2019-10-15 09:03:39</t>
        </is>
      </c>
      <c r="H5364" t="inlineStr"/>
    </row>
    <row r="5365">
      <c r="A5365" t="inlineStr">
        <is>
          <t>diahgq</t>
        </is>
      </c>
      <c r="B5365" t="inlineStr">
        <is>
          <t>3 weeks into chemotherapy and now im bald</t>
        </is>
      </c>
      <c r="C5365" t="inlineStr">
        <is>
          <t>my head is cold</t>
        </is>
      </c>
      <c r="D5365" t="n">
        <v>17</v>
      </c>
      <c r="E5365" t="n">
        <v>29</v>
      </c>
      <c r="F5365">
        <f>HYPERLINK("https://www.reddit.com/r/cancer/comments/diahgq/3_weeks_into_chemotherapy_and_now_im_bald/")</f>
        <v/>
      </c>
      <c r="G5365" t="inlineStr">
        <is>
          <t>2019-10-15 09:38:22</t>
        </is>
      </c>
      <c r="H5365" t="inlineStr"/>
    </row>
    <row r="5366">
      <c r="A5366" t="inlineStr">
        <is>
          <t>dib90v</t>
        </is>
      </c>
      <c r="B5366" t="inlineStr">
        <is>
          <t>Something to consider if you are using cannabis for cancer</t>
        </is>
      </c>
      <c r="C5366" t="inlineStr">
        <is>
          <t>They are talking about the entourage effect. Go to the section on " 
### cMD: I’m putting you on the spot here, but is there a specific example you can give us?"
That's where the doc (pretty big guy in cannabis) explains the findings in a study. 
 [https://cannabismd.com/basics/cannabis/exploring-the-entourage-effect-with-dr-ethan-russo/](https://cannabismd.com/basics/cannabis/exploring-the-entourage-effect-with-dr-ethan-russo/)</t>
        </is>
      </c>
      <c r="D5366" t="n">
        <v>3</v>
      </c>
      <c r="E5366" t="n">
        <v>0</v>
      </c>
      <c r="F5366">
        <f>HYPERLINK("https://www.reddit.com/r/cancer/comments/dib90v/something_to_consider_if_you_are_using_cannabis/")</f>
        <v/>
      </c>
      <c r="G5366" t="inlineStr">
        <is>
          <t>2019-10-15 10:30:09</t>
        </is>
      </c>
      <c r="H5366" t="inlineStr"/>
    </row>
    <row r="5367">
      <c r="A5367" t="inlineStr">
        <is>
          <t>dibqrf</t>
        </is>
      </c>
      <c r="B5367" t="inlineStr">
        <is>
          <t>Relationships / cancer</t>
        </is>
      </c>
      <c r="C5367" t="inlineStr">
        <is>
          <t>Has anyone here let the person they love the most go bc you felt they no longer loved you. Cancer changes people and its changed me. I feel like I had to let the love of my life go because it's been eating her up inside of how its changing me. Has anyone here with terminal cancer had to do this? Please respond.  This is making me suicidal and I've never experienced this.</t>
        </is>
      </c>
      <c r="D5367" t="n">
        <v>4</v>
      </c>
      <c r="E5367" t="n">
        <v>18</v>
      </c>
      <c r="F5367">
        <f>HYPERLINK("https://www.reddit.com/r/cancer/comments/dibqrf/relationships_cancer/")</f>
        <v/>
      </c>
      <c r="G5367" t="inlineStr">
        <is>
          <t>2019-10-15 11:03:30</t>
        </is>
      </c>
      <c r="H5367" t="inlineStr"/>
    </row>
    <row r="5368">
      <c r="A5368" t="inlineStr">
        <is>
          <t>didfqu</t>
        </is>
      </c>
      <c r="B5368" t="inlineStr">
        <is>
          <t>I don't know where to post this, but I'm really anxious/scared of being diagnosed with cancer</t>
        </is>
      </c>
      <c r="C5368" t="inlineStr">
        <is>
          <t>Just want to say I'm not asking for a diagnosis, that isn't what this post is about
For the past year I've being getting blood in my stool every time I use the bathroom, it started small, but its slowly being getting worse, tonight has been the worst yet and I can't ignore it anymore. I kept passing it off before, because I thought I was too young to have cancer or anything like that (I'm 18, 17 when it first started)
I'm so scared of going to the doctor, I have diagnosed social anxiety and most days I find it hard to even go outside, the thought of going to a doctor and having to let them inspect and test me is extremely scary, its even worse than the thought of me having cancer.
To anyone who has gone through those sort of tests, how bad was it? Do you remember how long it took? Were you scared? How long did it take to receive a diagnosis?</t>
        </is>
      </c>
      <c r="D5368" t="n">
        <v>1</v>
      </c>
      <c r="E5368" t="n">
        <v>3</v>
      </c>
      <c r="F5368">
        <f>HYPERLINK("https://www.reddit.com/r/cancer/comments/didfqu/i_dont_know_where_to_post_this_but_im_really/")</f>
        <v/>
      </c>
      <c r="G5368" t="inlineStr">
        <is>
          <t>2019-10-15 12:58:09</t>
        </is>
      </c>
      <c r="H5368" t="inlineStr"/>
    </row>
    <row r="5369">
      <c r="A5369" t="inlineStr">
        <is>
          <t>diegdu</t>
        </is>
      </c>
      <c r="B5369" t="inlineStr">
        <is>
          <t>Sis passed away</t>
        </is>
      </c>
      <c r="C5369" t="inlineStr">
        <is>
          <t>My sister passed away 2 months ago after a 9 month battle. After a month in the hospital she was diagnosed with a verry rare terminal brain tumor. Only 7 other people are known with the same type. After that its been going downhill. So many questions and no answers. Seeing her battle a fight she could never win was the hardest thing ever in my life. But she was so proud she could do something more than the day before. Anyway... we knew it was coming. I tought i could prepare but everyone knows when the time is there, nothing prepared me enough. I try to stay strong for our mother and her children. But it seems to get harder every day. I could really use some advice on how other people got through or are still going through. Thanks</t>
        </is>
      </c>
      <c r="D5369" t="n">
        <v>10</v>
      </c>
      <c r="E5369" t="n">
        <v>9</v>
      </c>
      <c r="F5369">
        <f>HYPERLINK("https://www.reddit.com/r/cancer/comments/diegdu/sis_passed_away/")</f>
        <v/>
      </c>
      <c r="G5369" t="inlineStr">
        <is>
          <t>2019-10-15 14:05:36</t>
        </is>
      </c>
      <c r="H5369" t="inlineStr"/>
    </row>
    <row r="5370">
      <c r="A5370" t="inlineStr">
        <is>
          <t>diffkd</t>
        </is>
      </c>
      <c r="B5370" t="inlineStr">
        <is>
          <t>Mother has uterine cancer.</t>
        </is>
      </c>
      <c r="C5370" t="inlineStr">
        <is>
          <t>So my mom's had some heavy bleeding and then had some bad pelvic pain and so decided to go the doctors. And after a few weeks she was diagnosed with uterine cancer, we don't know what stage it is but she has to get an abdominal hysterectomy and I'm just scared that it might've spread. 
I just wanted to post this here to here about other people's stories to to just talk.</t>
        </is>
      </c>
      <c r="D5370" t="n">
        <v>1</v>
      </c>
      <c r="E5370" t="n">
        <v>0</v>
      </c>
      <c r="F5370">
        <f>HYPERLINK("https://www.reddit.com/r/cancer/comments/diffkd/mother_has_uterine_cancer/")</f>
        <v/>
      </c>
      <c r="G5370" t="inlineStr">
        <is>
          <t>2019-10-15 15:13:25</t>
        </is>
      </c>
      <c r="H5370" t="inlineStr"/>
    </row>
    <row r="5371">
      <c r="A5371" t="inlineStr">
        <is>
          <t>difv0k</t>
        </is>
      </c>
      <c r="B5371" t="inlineStr">
        <is>
          <t>My MIL diagnosed with 3A breast cancer, looking for any tips TY</t>
        </is>
      </c>
      <c r="C5371" t="inlineStr">
        <is>
          <t>Hello all. Interesting situation so we are looking for best ideas. My mother in law (approx 60 years old) noticed something with her breast and we had the mammogram done which showed a 1cm issue and the doc recommended further testing. She only has medi-cal here in the states so we sent her back to her country (eastern europe) where they said it was a 5cm tumor and removed her breast, also some nodes and have diagnosed her with stage 3A breast cancer. All in the matter of a couple weeks. They want to start chemo next week over there.
So heres the question... does she stay and do chemo there or do we bring her back to the states to one of top cancer facilities here in the US? We contacted the place here and they said they accept medi-cal.
We just dont know quality of treatment over there compared to here. Should we wait a couple weeks and then fly her back and begin chemo here? Should she do at least one round of chemo there?
Thoughts? Thank you.</t>
        </is>
      </c>
      <c r="D5371" t="n">
        <v>1</v>
      </c>
      <c r="E5371" t="n">
        <v>3</v>
      </c>
      <c r="F5371">
        <f>HYPERLINK("https://www.reddit.com/r/cancer/comments/difv0k/my_mil_diagnosed_with_3a_breast_cancer_looking/")</f>
        <v/>
      </c>
      <c r="G5371" t="inlineStr">
        <is>
          <t>2019-10-15 15:44:23</t>
        </is>
      </c>
      <c r="H5371" t="inlineStr"/>
    </row>
    <row r="5372">
      <c r="A5372" t="inlineStr">
        <is>
          <t>dihc96</t>
        </is>
      </c>
      <c r="B5372" t="inlineStr">
        <is>
          <t>My mum has her first round of chemotherapy today</t>
        </is>
      </c>
      <c r="C5372" t="inlineStr">
        <is>
          <t>It’s currently 1:30am and all I’ve heard tonight is her rushing to the bathroom to vomit. She hasn’t slept at all. 
I can’t sleep because I’m just so angry that this happened. I really cannot believe this is my life. It still doesn’t feel real that cancer came into my life. This is all because she had stage 1 breast cancer but was sort of borderline for recurrence chances so they put her on chemo. 
I don’t really know how long she’s having it for but my birthday is in 2 weeks and it’s going to be miserable because by then her hair will have started falling out, she’s gonna be exhausted all the time and not able to work her dream job. 
And as selfish as it sounds I know it’s basically certain that this is going to be my future too and I’m absolutely terrified. Maybe in 40 years it’ll be different but it’s still going to be horrible.
Life is so unfair. I really can’t stop crying.</t>
        </is>
      </c>
      <c r="D5372" t="n">
        <v>1</v>
      </c>
      <c r="E5372" t="n">
        <v>7</v>
      </c>
      <c r="F5372">
        <f>HYPERLINK("https://www.reddit.com/r/cancer/comments/dihc96/my_mum_has_her_first_round_of_chemotherapy_today/")</f>
        <v/>
      </c>
      <c r="G5372" t="inlineStr">
        <is>
          <t>2019-10-15 17:37:54</t>
        </is>
      </c>
      <c r="H5372" t="inlineStr"/>
    </row>
    <row r="5373">
      <c r="A5373" t="inlineStr">
        <is>
          <t>dihhvm</t>
        </is>
      </c>
      <c r="B5373" t="inlineStr">
        <is>
          <t>I never thought I'd be making another one of these posts, this time it is my sister.</t>
        </is>
      </c>
      <c r="C5373" t="inlineStr">
        <is>
          <t>4 years ago I came here as a young 23 year old who's mom was diagnosed with stage 4b cervical cancer, by the time she was diagnosed... it was too late. All the surgeries, chemo, and radiation were just palliative care. She made it 69 days. During that time my sister was diagnosed with renal cancer, they removed a kidney... done, right? Nah.
2 Christmases ago she announced that the cancer was back but it had spread to her ribs this time. They removed a rib shortly thereafter.  Today she started Keytruda and Inlynta because 4 months ago it came back in her ribs, hips, spine, and shoulders.
My sister literally raised me as much as my mother as her oldest child is 7 months younger than me. I'm losing my shit and my nephews are indifferent.
Does anyone have any experience like this? I am doing my absolute best to be hopeful but dang, man. Is it weird to ask my boss if I could attend treatment with her some days? My mom was basically comatose, and my sister is the very definition of a fighter. I'm the weak one right now and she tells me I'm not allowed to cry about it, I don't get to be sad but when you hear there is an 8% remission rate... your heart drops.
Words of advice? Things I can bring up to her attention or her doctors attention?</t>
        </is>
      </c>
      <c r="D5373" t="n">
        <v>10</v>
      </c>
      <c r="E5373" t="n">
        <v>8</v>
      </c>
      <c r="F5373">
        <f>HYPERLINK("https://www.reddit.com/r/cancer/comments/dihhvm/i_never_thought_id_be_making_another_one_of_these/")</f>
        <v/>
      </c>
      <c r="G5373" t="inlineStr">
        <is>
          <t>2019-10-15 17:50:37</t>
        </is>
      </c>
      <c r="H5373" t="inlineStr"/>
    </row>
    <row r="5374">
      <c r="A5374" t="inlineStr">
        <is>
          <t>diisxl</t>
        </is>
      </c>
      <c r="B5374" t="inlineStr">
        <is>
          <t>A high school classmate was diagnosed with AML a month ago, what would be helpful?</t>
        </is>
      </c>
      <c r="C5374" t="inlineStr">
        <is>
          <t>A high school classmate was diagnosed with AML a month ago. We’re only 23, so my heart is breaking for her. We weren’t close, but have kept up with each other’s lives from afar. She’s undergone a round of chemo already, and has a marrow transplant and 6 more months of chemo planned. 
What would be helpful in a gift basket?</t>
        </is>
      </c>
      <c r="D5374" t="n">
        <v>1</v>
      </c>
      <c r="E5374" t="n">
        <v>14</v>
      </c>
      <c r="F5374">
        <f>HYPERLINK("https://www.reddit.com/r/cancer/comments/diisxl/a_high_school_classmate_was_diagnosed_with_aml_a/")</f>
        <v/>
      </c>
      <c r="G5374" t="inlineStr">
        <is>
          <t>2019-10-15 19:36:06</t>
        </is>
      </c>
      <c r="H5374" t="inlineStr"/>
    </row>
    <row r="5375">
      <c r="A5375" t="inlineStr">
        <is>
          <t>dijf69</t>
        </is>
      </c>
      <c r="B5375" t="inlineStr">
        <is>
          <t>Bladder Cancer Diagnosis?</t>
        </is>
      </c>
      <c r="C5375" t="inlineStr">
        <is>
          <t>So my dad previously had kidney stones which caused issues with bladder.  This went on for awhile. However, he had an X-ray and kidney stones were no longer detected. He continues to have frequent/painful/sometimes bloody urination. They referred him to urology where they did a series of tests. The first cytology detected “suspicious for high-grade urethral carcinoma” and was done “urine, voided” (whatever that means). They did another one, one week later and it was a bladder wash (again not sure if it’s relevant to this) and the value was a  “Positive, High-Grade Urothelial Carcinoma” result. He did a biopsy of the bladder a week ago and was supposed to get more results. What does this mean? Does he have cancer? Or was it just a cluster of abnormal cells? Is it definitely malignant? Is this test result a diagnosis/official? (I do know biopsy will obviously provide more concrete answers). I just am having a hard time waiting and feel like my mom and family (who all are in the medical field) are not telling me everything.</t>
        </is>
      </c>
      <c r="D5375" t="n">
        <v>1</v>
      </c>
      <c r="E5375" t="n">
        <v>0</v>
      </c>
      <c r="F5375">
        <f>HYPERLINK("https://www.reddit.com/r/cancer/comments/dijf69/bladder_cancer_diagnosis/")</f>
        <v/>
      </c>
      <c r="G5375" t="inlineStr">
        <is>
          <t>2019-10-15 20:27:37</t>
        </is>
      </c>
      <c r="H5375" t="inlineStr"/>
    </row>
    <row r="5376">
      <c r="A5376" t="inlineStr">
        <is>
          <t>dik2mo</t>
        </is>
      </c>
      <c r="B5376" t="inlineStr">
        <is>
          <t>(Sad) I lost my mother to cancer at the age of 60, and I (21-M) would like to share my story and hear from others.</t>
        </is>
      </c>
      <c r="C5376" t="inlineStr">
        <is>
          <t>My mother was a beautiful soul, a perfectly imperfect woman. She was diagnosed with renal cell carcinoma in March, got her kidney removed, but unfortunately it spread to her brain and eventually got the best of her within a few months. I miss her so much, I made it very clear how much I loved her on a regular basis because the bond we shared was unlike any other. The only regret I have is that I didn't spend as much time</t>
        </is>
      </c>
      <c r="D5376" t="n">
        <v>12</v>
      </c>
      <c r="E5376" t="n">
        <v>19</v>
      </c>
      <c r="F5376">
        <f>HYPERLINK("https://www.reddit.com/r/cancer/comments/dik2mo/sad_i_lost_my_mother_to_cancer_at_the_age_of_60/")</f>
        <v/>
      </c>
      <c r="G5376" t="inlineStr">
        <is>
          <t>2019-10-15 21:25:51</t>
        </is>
      </c>
      <c r="H5376" t="inlineStr"/>
    </row>
    <row r="5377">
      <c r="A5377" t="inlineStr">
        <is>
          <t>diktdh</t>
        </is>
      </c>
      <c r="B5377" t="inlineStr">
        <is>
          <t>Sitting up in the hospital, waiting to be diagnosed</t>
        </is>
      </c>
      <c r="C5377" t="inlineStr">
        <is>
          <t>Mind is racing, tomorrow/today I’m supposed to get a biopsy to confirm their suspicions. 
They found a mass on or near my liver, and some spots on my lymphs via ct scan and admitted me overnight. I’m doing my best to stay positive but my mind keeps racing. I need to be there for my family. 
Iv morphine isn’t making me sleepy, but the pain in my stomach is gone for the moment.
Anyone have any advice?
Point me in the direction of resources?
For my, my wife or my kids?
Kind words?
A distraction?
I know I’m being slightly selfish, so I preemptively want to say thank you. And if you’re going through this, I know you’re going to make it through too. We got this, right.</t>
        </is>
      </c>
      <c r="D5377" t="n">
        <v>1</v>
      </c>
      <c r="E5377" t="n">
        <v>4</v>
      </c>
      <c r="F5377">
        <f>HYPERLINK("https://www.reddit.com/r/cancer/comments/diktdh/sitting_up_in_the_hospital_waiting_to_be_diagnosed/")</f>
        <v/>
      </c>
      <c r="G5377" t="inlineStr">
        <is>
          <t>2019-10-15 22:38:49</t>
        </is>
      </c>
      <c r="H5377" t="inlineStr"/>
    </row>
    <row r="5378">
      <c r="A5378" t="inlineStr">
        <is>
          <t>dimpat</t>
        </is>
      </c>
      <c r="B5378" t="inlineStr">
        <is>
          <t>How do I sleep on my stomach with my port and access in place?</t>
        </is>
      </c>
      <c r="C5378" t="inlineStr">
        <is>
          <t>Underwent major abdominal surgery to remove a tumor that was supposed to be benign and was not. It's been 2 months since I've slept on my stomach, which is most comfortable for me. How do I do it? I've been told to experiment with pillow placement but I don't even know where to start. Even on my side can be uncomfortable. Any advice would be greatly appreciated!</t>
        </is>
      </c>
      <c r="D5378" t="n">
        <v>3</v>
      </c>
      <c r="E5378" t="n">
        <v>11</v>
      </c>
      <c r="F5378">
        <f>HYPERLINK("https://www.reddit.com/r/cancer/comments/dimpat/how_do_i_sleep_on_my_stomach_with_my_port_and/")</f>
        <v/>
      </c>
      <c r="G5378" t="inlineStr">
        <is>
          <t>2019-10-16 02:15:08</t>
        </is>
      </c>
      <c r="H5378" t="inlineStr"/>
    </row>
    <row r="5379">
      <c r="A5379" t="inlineStr">
        <is>
          <t>din9un</t>
        </is>
      </c>
      <c r="B5379" t="inlineStr">
        <is>
          <t>I'm (21F) new to this and looking for advice for my mum (60sF)</t>
        </is>
      </c>
      <c r="C5379" t="inlineStr">
        <is>
          <t>I made a panicked post last night so if you commented on that, I really appreciate you.
Basically in June my mum told me she found a lump in her breast, and then later we found out my aunt also had a (much smaller) lump. Both were confirmed to be stage 1 breast cancer, the one caused by excessive estrogen, and both had lumpectomy's. Their mother died of breast cancer about 35 years ago, and my aunt was tested and it said it wasn't genetic and my mum would tell me if it was. But then they both have it... so I'm not sure what I believe.
I'm not sure what the technical term is, but my mum's recurrence levels were borderline so she's ended up having to have chemotherapy. In preparation she chopped off all her hair a few weeks ago, and honestly after that I was like okay, the hard stuff is over. 
Yesterday was her first round of chemotherapy, and as far as I know my aunt also has had some kind of radiation but I'm not sure if it's chemotherapy. My mum said she hoped she wouldn't "be a sickie"... but she was throwing up all night long, and stuff was coming out the other end too... basically it was like she had the flu really badly. And it was all night long. I think I slept for about 2 hours.
I only know one person who's had cancer in their life before, except he was quite young so he doesn't really remember it. Ironically the only other person I know who's dealt with it is a manipulative ex so I'm not going to go ask him lol.
Basically I'm looking for advice, reassurance and support. I know I'm not the one suffering, but I'm really scared for my mum. I don't know how chemotherapy is supposed to be because I'm sure TV and movies aren't the most realistic. 
I know I'm unsure on a lot of facts here, but my mum isn't he most sharing person. Our family rarely share personal things with each other. I find it quite hard to ask her about any of it because of this.</t>
        </is>
      </c>
      <c r="D5379" t="n">
        <v>9</v>
      </c>
      <c r="E5379" t="n">
        <v>13</v>
      </c>
      <c r="F5379">
        <f>HYPERLINK("https://www.reddit.com/r/cancer/comments/din9un/im_21f_new_to_this_and_looking_for_advice_for_my/")</f>
        <v/>
      </c>
      <c r="G5379" t="inlineStr">
        <is>
          <t>2019-10-16 03:19:14</t>
        </is>
      </c>
      <c r="H5379" t="inlineStr"/>
    </row>
    <row r="5380">
      <c r="A5380" t="inlineStr">
        <is>
          <t>dincko</t>
        </is>
      </c>
      <c r="B5380" t="inlineStr">
        <is>
          <t>Drain in lung</t>
        </is>
      </c>
      <c r="C5380" t="inlineStr">
        <is>
          <t>Hi guys, so we still don’t know what kind of cancer my mom has as she hasn’t gotten approval for the pet scan yet, but yesterday we saw the oncologist who sent her for a chest X-ray. The X-ray showed that the fluid around her lung is already building back up so the doc wants she to go into the hospital Thursday to have a more permanent drain placed (sorry I forgot the name of it). Has anyone ever had an experience like this?</t>
        </is>
      </c>
      <c r="D5380" t="n">
        <v>3</v>
      </c>
      <c r="E5380" t="n">
        <v>2</v>
      </c>
      <c r="F5380">
        <f>HYPERLINK("https://www.reddit.com/r/cancer/comments/dincko/drain_in_lung/")</f>
        <v/>
      </c>
      <c r="G5380" t="inlineStr">
        <is>
          <t>2019-10-16 03:27:39</t>
        </is>
      </c>
      <c r="H5380" t="inlineStr"/>
    </row>
    <row r="5381">
      <c r="A5381" t="inlineStr">
        <is>
          <t>dipl3f</t>
        </is>
      </c>
      <c r="B5381" t="inlineStr">
        <is>
          <t>Today is my cancer day - in 1980</t>
        </is>
      </c>
      <c r="C5381" t="inlineStr">
        <is>
          <t>I'm a long-time ALL survivor. About an hour ago back in '80 I woke up unable to move my hips or legs due to inflammation from the masses in my bone marrow causing pain.
Was taken to Pierre (SD) regional, where I almost bled out from a  finger prick, then Sioux Falls, then Mayo Rochester for diagnosis.
Relapsed in '82, got another cancer in '90 from the treatment during the relapse, but I've been cancer free since May '91. 
I was 7 when I got it, 11 when done with ALL and I know not everyone is going to have that luck or long-term, but I'm here writing this to let people know that sometimes things work out.</t>
        </is>
      </c>
      <c r="D5381" t="n">
        <v>128</v>
      </c>
      <c r="E5381" t="n">
        <v>10</v>
      </c>
      <c r="F5381">
        <f>HYPERLINK("https://www.reddit.com/r/cancer/comments/dipl3f/today_is_my_cancer_day_in_1980/")</f>
        <v/>
      </c>
      <c r="G5381" t="inlineStr">
        <is>
          <t>2019-10-16 06:50:01</t>
        </is>
      </c>
      <c r="H5381" t="inlineStr"/>
    </row>
    <row r="5382">
      <c r="A5382" t="inlineStr">
        <is>
          <t>dir16c</t>
        </is>
      </c>
      <c r="B5382" t="inlineStr">
        <is>
          <t>What was your experience with chemo nuerophathy?</t>
        </is>
      </c>
      <c r="C5382" t="inlineStr">
        <is>
          <t>I had 8 treatments of folfox and generally tolerated it very well. I had mild nuerophathy after each treatment that went away before the next infusion. What's so strange is that 2 months post treatment the peripheral nuerophathy is much worse than during treatment! It's not painfull but it's pretty much 24/7 of numb feet and fingertips. It's called "coasting" and it sucks! I hope it goes away. Any insights?</t>
        </is>
      </c>
      <c r="D5382" t="n">
        <v>4</v>
      </c>
      <c r="E5382" t="n">
        <v>6</v>
      </c>
      <c r="F5382">
        <f>HYPERLINK("https://www.reddit.com/r/cancer/comments/dir16c/what_was_your_experience_with_chemo_nuerophathy/")</f>
        <v/>
      </c>
      <c r="G5382" t="inlineStr">
        <is>
          <t>2019-10-16 08:38:49</t>
        </is>
      </c>
      <c r="H5382" t="inlineStr"/>
    </row>
    <row r="5383">
      <c r="A5383" t="inlineStr">
        <is>
          <t>dirlmo</t>
        </is>
      </c>
      <c r="B5383" t="inlineStr">
        <is>
          <t>Dear people who have lost or are losing loved ones to cancer: HANG IN THERE, you are not alone.</t>
        </is>
      </c>
      <c r="C5383" t="inlineStr">
        <is>
          <t>I know it feels like you are. Nobody else, no matter how much they love you, can fill the void in your heart.
You miss your mom, you miss your dad, you miss your partner, you miss your child, you miss your sibling, you miss your friend. You'd give your own life so they could come back, but without the pain and suffering cancer brought.
You probably have very painful and traumatizing memories of the last days/months/years that come to your mind when you least expect it and make you sad or angry or scared. You probably feel overwhelmed with the many responsibilities you have now that your loved one is dying or has died. You probably don't want to live without them and have asked to go or be with them. You probably find it difficult to be around others. You probably find it difficult to function. You probably are facing many financial and practical difficulties. You probably can't sleep very well and can't eat very well. You probably are eating too much or drinking too much or smoking to much. You probably feel numb or devastated or terrified or so very lost. Some of you have probably considered suicide.
We know, we understand, we feel you. We've been there, some of us are there right now.
HANG IN THERE. 
You are beautiful, brave, strong, resilient. 
You can do this. We can do this. You're not alone. Come here, reach out and be with us and let's survive this together.</t>
        </is>
      </c>
      <c r="D5383" t="n">
        <v>83</v>
      </c>
      <c r="E5383" t="n">
        <v>18</v>
      </c>
      <c r="F5383">
        <f>HYPERLINK("https://www.reddit.com/r/cancer/comments/dirlmo/dear_people_who_have_lost_or_are_losing_loved/")</f>
        <v/>
      </c>
      <c r="G5383" t="inlineStr">
        <is>
          <t>2019-10-16 09:18:46</t>
        </is>
      </c>
      <c r="H5383" t="inlineStr"/>
    </row>
    <row r="5384">
      <c r="A5384" t="inlineStr">
        <is>
          <t>dis38g</t>
        </is>
      </c>
      <c r="B5384" t="inlineStr">
        <is>
          <t>Radiation for Breast Cancer (left breast)</t>
        </is>
      </c>
      <c r="C5384" t="inlineStr">
        <is>
          <t>What are everyone's thoughts? Does it cause more harm than good? Is there ever a situation where you think Radiation is not necessary? 
Standard protocol says Lumpectomy plus radiation and tamoxifin is the only way. No doctor will say, "You don't need radiation." They will just tell me to get a mastectomy. I'm 30 years old and feel cancer free since surgery (no lymph, cleared margins). 
I feel stuck, I'm scared this is going to do more harm than good.</t>
        </is>
      </c>
      <c r="D5384" t="n">
        <v>2</v>
      </c>
      <c r="E5384" t="n">
        <v>11</v>
      </c>
      <c r="F5384">
        <f>HYPERLINK("https://www.reddit.com/r/cancer/comments/dis38g/radiation_for_breast_cancer_left_breast/")</f>
        <v/>
      </c>
      <c r="G5384" t="inlineStr">
        <is>
          <t>2019-10-16 09:52:12</t>
        </is>
      </c>
      <c r="H5384" t="inlineStr"/>
    </row>
    <row r="5385">
      <c r="A5385" t="inlineStr">
        <is>
          <t>disfv9</t>
        </is>
      </c>
      <c r="B5385" t="inlineStr">
        <is>
          <t>Biggest lesson learned after losing my mom under the Canadian healthcare system</t>
        </is>
      </c>
      <c r="C5385" t="inlineStr">
        <is>
          <t>Yesterday my mom passed away due to complications from lymphoma. 
Thankfully she passed peacefully with me (her only son) by her bed side along with her three sisters. 
She was well loved and well cared for and I’m relieved she will no longer be suffering.
I wanted to post here to share the most important lesson I learned on this near 2 year journey to hopefully help others facing a similar situation. 
Despite how proud we as Canadians are of our healthcare system, it has many holes and many inefficiencies. And in my opinion it was this system that let my mother down and eventually caused her death. 
In Canada we have what many people call “free public healthcare”.  But the truth is that not only is it not free (we pay for it via taxes) it also comes with additional costs most Canadians are not aware of.
The thing you need to understand if you or a family member becomes seriously ill is that you absolutely must take on a mindset of advocating for yourself or said family member.
The system is relatively good at treating short term medical emergencies but it is seriously lacking when it comes to helping people with more complex problems.
My mom’s diagnosis took 8 months. To me this seemed insane. The snails pace the system moved at in my opinion is what lead to my mother’s death.
Similar to her diagnosis, her treatment involved multiple doctors and specialists, a board of oncologists and hematologists, two different hospitals and even three different surgeons and a host of nurses (both at the hospitals mentioned and nurses who helped mom at home).
The single most important piece of the puzzle the system does not provide you with, is one qualified person who is responsible for overseeing your care and who can understand your health history and advocate for you to receive the treatment you may desperately need. 
You would think this would be your family doctor but in the province of Nova Scotia, you’d be wrong.
Unfortunately, the reality is that dealing with something like cancer, you will instead get shuffled from doctor to doctor, specialist to specialist, each person quite unaware of the other pieces of the puzzle so to speak.
Each time you get shuffled the new doctor you deal with becomes your go to physician. The problem is that it is not easy for them to pick up where the last doctor left off. There is no unifying system and there is even a lot of miscommunication and misunderstanding by doctors and nurses of how the system works or is supposed to work.
Once I realized this I was able to step in and advocate for my mom. I took notes at meetings. I tracked appointments and medications. And I explained to each person we dealt with her medical history as well as what I had learned in my own research into her condition online.
The technology and knowhow and medication existed to save my mom. Her Lymphoma was treatable. But our medical system was not up to the task.
 There are several things I would do differently if I could go back in time two years.
If you find yourself at the start of your cancer journey, be proactive or enrol a family member in helping you to proactively advocate for your right to treatment.  Spend time researching your condition and treatment options and ask each expert questions based on that research and don’t take their word as being the only answer.
There are a great many people that gave my mom a high degree of care and service and expertise, but the system is broken. Understand that going in so you know what you’re up against.</t>
        </is>
      </c>
      <c r="D5385" t="n">
        <v>12</v>
      </c>
      <c r="E5385" t="n">
        <v>21</v>
      </c>
      <c r="F5385">
        <f>HYPERLINK("https://www.reddit.com/r/cancer/comments/disfv9/biggest_lesson_learned_after_losing_my_mom_under/")</f>
        <v/>
      </c>
      <c r="G5385" t="inlineStr">
        <is>
          <t>2019-10-16 10:15:20</t>
        </is>
      </c>
      <c r="H5385" t="inlineStr"/>
    </row>
    <row r="5386">
      <c r="A5386" t="inlineStr">
        <is>
          <t>ditdcj</t>
        </is>
      </c>
      <c r="B5386" t="inlineStr">
        <is>
          <t>How to report a potential safety hazard?</t>
        </is>
      </c>
      <c r="C5386" t="inlineStr">
        <is>
          <t>So right off the bat I'm not sure exactly if this is the right place to put this, and I apologize if it isn't but I'm not sure what to do 
I've come across a borderline delusional "doctor" claiming cancer is caused by negative emotions and cannabis can reverse it's effects. I tried to engage respectfully, asking for evidence and stateing this information can be harmful.
All she comes back with (for everyone not just myself) is "oh you're too closed minded" "THIS IS TRUTH" and "enjoy your pharmaceuticals" blah blah blah...
As someone going forward into a scientific field of study this is really frustrating for me to see misinformation being spread , and people eating it up because it's a "better cure to their illness" :( 
If anyone knows how to report her to somewhere that takes this stuff seriously, I'm all ears 
Also not sure if I'm allowed to name drop her but if it's not against the subs rules</t>
        </is>
      </c>
      <c r="D5386" t="n">
        <v>8</v>
      </c>
      <c r="E5386" t="n">
        <v>11</v>
      </c>
      <c r="F5386">
        <f>HYPERLINK("https://www.reddit.com/r/cancer/comments/ditdcj/how_to_report_a_potential_safety_hazard/")</f>
        <v/>
      </c>
      <c r="G5386" t="inlineStr">
        <is>
          <t>2019-10-16 11:19:40</t>
        </is>
      </c>
      <c r="H5386" t="inlineStr"/>
    </row>
    <row r="5387">
      <c r="A5387" t="inlineStr">
        <is>
          <t>diyxuu</t>
        </is>
      </c>
      <c r="B5387" t="inlineStr">
        <is>
          <t>Going back to work after cancer</t>
        </is>
      </c>
      <c r="C5387" t="inlineStr">
        <is>
          <t>Last November I (26F) was diagnosed with Triple Negative Breast cancer. I am also BRCA 1+.  I was working full time as a registered nurse. 
Due to the physicality of my career and exposure to antibiotic resistant organisms, I was immediately taken off work after my diagnosis. I haven’t worked in almost a year.  
After chemo, double mastectomy with DIEP flap reconstruction and radiation I am now ready to return to work. I will be starting next week on a gradual return to work program, starting with four hour shifts. 
I am so anxious to return to work. It’s been so long. I work at the same hospital my surgery was at, and my last two visits were particularly horrible. As a patient all the hospital sounds reminded me of work at first - now they remind me of being sick. Just the thought of hanging IV antibiotics (something I do literally 10 times a day at work) makes me want to throw up because it reminds me of chemo. My brain is muddled now compared to how sharp I used to be, and I’m scared of making a major med error. 
Mostly I’m afraid of my patients. I have now been there. I’m afraid they will share something with me, or I will see their pain and think about my own and I will not be able to contain my emotions. I’m afraid I’m going to cry at work because the environment is literally the same as some of the worst moments of my life. 
I know I can do it. I’m just so anxious. 
Any others in a similar situation?</t>
        </is>
      </c>
      <c r="D5387" t="n">
        <v>16</v>
      </c>
      <c r="E5387" t="n">
        <v>11</v>
      </c>
      <c r="F5387">
        <f>HYPERLINK("https://www.reddit.com/r/cancer/comments/diyxuu/going_back_to_work_after_cancer/")</f>
        <v/>
      </c>
      <c r="G5387" t="inlineStr">
        <is>
          <t>2019-10-16 18:05:07</t>
        </is>
      </c>
      <c r="H5387" t="inlineStr"/>
    </row>
    <row r="5388">
      <c r="A5388" t="inlineStr">
        <is>
          <t>diz4cc</t>
        </is>
      </c>
      <c r="B5388" t="inlineStr">
        <is>
          <t>Insatiable appetite and eating everything in sight</t>
        </is>
      </c>
      <c r="C5388" t="inlineStr">
        <is>
          <t>I’m about 8 months post bone marrow transplant and finally feeling like a normal human being again. I’ve gone back to work part time, walking a ton all over the city, going out to eat, drinking wine and going to yoga. I’m also eating every damn thing in sight. My appetite is insatiable. I could always put away some food pre-cancer and was a little chubby but this is really extreme. I cannot stop eating. Has anyone experienced this? Is it possible my metabolism is in overdrive?</t>
        </is>
      </c>
      <c r="D5388" t="n">
        <v>9</v>
      </c>
      <c r="E5388" t="n">
        <v>13</v>
      </c>
      <c r="F5388">
        <f>HYPERLINK("https://www.reddit.com/r/cancer/comments/diz4cc/insatiable_appetite_and_eating_everything_in_sight/")</f>
        <v/>
      </c>
      <c r="G5388" t="inlineStr">
        <is>
          <t>2019-10-16 18:20:08</t>
        </is>
      </c>
      <c r="H5388" t="inlineStr"/>
    </row>
    <row r="5389">
      <c r="A5389" t="inlineStr">
        <is>
          <t>dizcge</t>
        </is>
      </c>
      <c r="B5389" t="inlineStr">
        <is>
          <t>Firefly Sisterhood (MN)</t>
        </is>
      </c>
      <c r="C5389" t="inlineStr">
        <is>
          <t>I saw on our local news about a organization called Firefly Sisterhood and I am wondering if anyone has used their services.  I am looking to sign up as a mentor and would love to know if anyone has any insight to offer?</t>
        </is>
      </c>
      <c r="D5389" t="n">
        <v>3</v>
      </c>
      <c r="E5389" t="n">
        <v>0</v>
      </c>
      <c r="F5389">
        <f>HYPERLINK("https://www.reddit.com/r/cancer/comments/dizcge/firefly_sisterhood_mn/")</f>
        <v/>
      </c>
      <c r="G5389" t="inlineStr">
        <is>
          <t>2019-10-16 18:39:21</t>
        </is>
      </c>
      <c r="H5389" t="inlineStr"/>
    </row>
    <row r="5390">
      <c r="A5390" t="inlineStr">
        <is>
          <t>dizg2c</t>
        </is>
      </c>
      <c r="B5390" t="inlineStr">
        <is>
          <t>How to Help an Acquaintance Dealing with Serious Cancer?</t>
        </is>
      </c>
      <c r="C5390" t="inlineStr">
        <is>
          <t>Hey Reddit, my co-worker recently found out this his wife has some particularly heinous cancer.
I know them both, and I enjoy their company, but I've only hung out with them in group situations. We don't have a deep social relationship.
I wanted to reach out and ask what I can do to help them out in an appropriate way. I realize that I'm not their family, I'm not a best friend, but I want to find ways to pitch in and ease their burdens.</t>
        </is>
      </c>
      <c r="D5390" t="n">
        <v>9</v>
      </c>
      <c r="E5390" t="n">
        <v>8</v>
      </c>
      <c r="F5390">
        <f>HYPERLINK("https://www.reddit.com/r/cancer/comments/dizg2c/how_to_help_an_acquaintance_dealing_with_serious/")</f>
        <v/>
      </c>
      <c r="G5390" t="inlineStr">
        <is>
          <t>2019-10-16 18:47:42</t>
        </is>
      </c>
      <c r="H5390" t="inlineStr"/>
    </row>
    <row r="5391">
      <c r="A5391" t="inlineStr">
        <is>
          <t>dj1019</t>
        </is>
      </c>
      <c r="B5391" t="inlineStr">
        <is>
          <t>Helping my girlfriend cope</t>
        </is>
      </c>
      <c r="C5391" t="inlineStr">
        <is>
          <t>My girlfriend and I have been together for about 9 months. Two months before we met her mom was diagnosed with stage IV SCLC. She has a tumor in her lung, on her liver, on her pelvis, and on her spleen. The one-year-anniversary of her diagnosis is coming up...the day after thanksgiving. She has started declining rapidly, though she doesn’t want to admit it, and my girlfriend is struggling. Big time.
It has always been her and her mom. Always. Her mom got pregnant with a man she loved, but turns out he was married. As soon as he found out he admitted everything and left her to her own devices. She moved states and re-created her own life with her daughter (my girlfriend). For 30 years it has only been GF and Mom. They are very private people with a few very close friends, but there is no bond like theirs. Both of them are very prideful and try not to show any sort of weakness, so this is difficult for them to deal with as a team. They are both trying to hold each other up.
My girlfriend is watching the only person who has been there die before her eyes. The only one who raised her, taught her solid life lessons, and loved her unconditionally. There’s a very high chance that she will lose the only family she knows in the next few weeks. Her mom is still going to work sometimes, she is still able to get out of bed and leave the house sometimes. Most of the time, though, she sleeps. She has lost 30 pounds in a month and has had 3 blood transfusions in 3 weeks. She can’t remember anything at all. She won’t admit it, but she is starting to deal with fecal incontinence as well.
All of those details were just to give you guys and idea of what she is dealing with. She and I are polar opposites. I’m emotional, reactive, and soft. She is prideful and reserved. I have, somehow, found it in me to be strong for her and she admits to needing my love and support. I’m starting to feel at a loss, though. In this situation I’m the one to think things through, rationalize, and ask important questions. I’m the one to hold her when she breaks down. I have never dealt with a death like this, though. I took care of my grandmother on her death bed, I’ve have plenty of family members pass...but I’ve never had the only constant being in my life whither away. 
I want to help her. I want to be capable of being her rock at the end, just as I have been at the beginning and middle. I don’t know how. The end is near and she is terrified and I am trying to help her put the pieces together for end-of-life care.
Those of you living with terminal cancer, in your own body or someone else’s, what do you need? What is the best way someone could help you deal with this process?</t>
        </is>
      </c>
      <c r="D5391" t="n">
        <v>11</v>
      </c>
      <c r="E5391" t="n">
        <v>7</v>
      </c>
      <c r="F5391">
        <f>HYPERLINK("https://www.reddit.com/r/cancer/comments/dj1019/helping_my_girlfriend_cope/")</f>
        <v/>
      </c>
      <c r="G5391" t="inlineStr">
        <is>
          <t>2019-10-16 21:03:20</t>
        </is>
      </c>
      <c r="H5391" t="inlineStr"/>
    </row>
    <row r="5392">
      <c r="A5392" t="inlineStr">
        <is>
          <t>dj1ekh</t>
        </is>
      </c>
      <c r="B5392" t="inlineStr">
        <is>
          <t>Almost finishing my battle with cancer :)</t>
        </is>
      </c>
      <c r="C5392" t="inlineStr">
        <is>
          <t>Hi! My first post here and sorry if my English is too bad &amp;gt;&amp;lt;
So the first time I had Cancer I was 14 yo. It was a mouth tumor located at the left side of the palate, had to take ou a few teeths but it was ok. I was afraid of telling people of the disease I had.
 Then in 2011, I was 21 planning to do a mouth reconstruction, I went to some doctors in search for what they could do in my case, as I didn't have a part of the bone at the left side of my mouth. But, when I was doing some exams for this reconstruction surgery, they noticed something strange. The cancer was back :/ I felt very bad because I had just been admitted at a good University in another city. I had to give up on this course and go back to Sao Paulo to treat this.
I had a surgery that took half of my palate, it was very hard at that time because there was an opening between my mouth and nose. But I kept going, I have to thank my family and gf for supporting me, they are my reason to keep going! I had a lot of trouble eating at the beginning but they've always helped me :)! 
And now, I finally got out of my last reconstruction surgery, I am feeling great. I got used to having these kind of problems, but it feels great to almost returning to a normal life, not using prothesis anymore! Please, all of you, don't give up. The road may seem harsh, but at the end everything will be good :)! 
Sorry, I always wished to get this weight of my mind, so I decided to post here. I hope everyone have a great day</t>
        </is>
      </c>
      <c r="D5392" t="n">
        <v>59</v>
      </c>
      <c r="E5392" t="n">
        <v>8</v>
      </c>
      <c r="F5392">
        <f>HYPERLINK("https://www.reddit.com/r/cancer/comments/dj1ekh/almost_finishing_my_battle_with_cancer/")</f>
        <v/>
      </c>
      <c r="G5392" t="inlineStr">
        <is>
          <t>2019-10-16 21:43:10</t>
        </is>
      </c>
      <c r="H5392" t="inlineStr"/>
    </row>
    <row r="5393">
      <c r="A5393" t="inlineStr">
        <is>
          <t>dj1ubs</t>
        </is>
      </c>
      <c r="B5393" t="inlineStr">
        <is>
          <t>The Best Foods That Fight breast cancer</t>
        </is>
      </c>
      <c r="C5393" t="inlineStr">
        <is>
          <t>&amp;amp;#x200B;
[Foods That Fight breast cancer ](https://i.redd.it/20ib00d5e1t31.jpg)
**The Best Foods That Fight breast cancer** 
Breast cancer affects millions of patients across the world annually. there's mounting proof that shows that healthy feeding habits can forestall the condition from spreading. Here square measure the foremost powerful foods that fight carcinoma.
To read the full article [click here](https://www.weirdbutamazing.info/2019/09/The-Best-Foods-That-Fight-breast-cancer.html)</t>
        </is>
      </c>
      <c r="D5393" t="n">
        <v>1</v>
      </c>
      <c r="E5393" t="n">
        <v>0</v>
      </c>
      <c r="F5393">
        <f>HYPERLINK("https://www.reddit.com/r/cancer/comments/dj1ubs/the_best_foods_that_fight_breast_cancer/")</f>
        <v/>
      </c>
      <c r="G5393" t="inlineStr">
        <is>
          <t>2019-10-16 22:28:30</t>
        </is>
      </c>
      <c r="H5393" t="inlineStr"/>
    </row>
    <row r="5394">
      <c r="A5394" t="inlineStr">
        <is>
          <t>dj2oww</t>
        </is>
      </c>
      <c r="B5394" t="inlineStr">
        <is>
          <t>Waiting...</t>
        </is>
      </c>
      <c r="C5394" t="inlineStr">
        <is>
          <t>So my father has been battling lung cancer for over a year now, and from day one they told us that because we caught it so late, the chance for long term survival was next to impossible. It was hard, but my dad is such a strong and stoic person that for a long time it really didn't feel this way. But now, his lung has partially collapsed, he struggles to breathe and the doctor has told he could pass in less that 6 months. 
Part of me knew it was coming, his health has declined so fast in the last 3 weeks. But I find myself feeling like I'm frozen in time - like I can't do anything but wait. I was already battling depression and anxiety which made it hard to motivate myself, but now I just feel completely paralyzed. 
Does anyone have any advice? I've never had anyone in my life in this situation so I'm at a complete loss... 
Thanks and Love x</t>
        </is>
      </c>
      <c r="D5394" t="n">
        <v>9</v>
      </c>
      <c r="E5394" t="n">
        <v>3</v>
      </c>
      <c r="F5394">
        <f>HYPERLINK("https://www.reddit.com/r/cancer/comments/dj2oww/waiting/")</f>
        <v/>
      </c>
      <c r="G5394" t="inlineStr">
        <is>
          <t>2019-10-17 00:02:58</t>
        </is>
      </c>
      <c r="H5394" t="inlineStr"/>
    </row>
    <row r="5395">
      <c r="A5395" t="inlineStr">
        <is>
          <t>dj47xz</t>
        </is>
      </c>
      <c r="B5395" t="inlineStr">
        <is>
          <t>For someone who has done his research; how can someone cure his lung cancer with essential cannabis oil</t>
        </is>
      </c>
      <c r="C5395" t="inlineStr">
        <is>
          <t>Someone I know well and is not the type to lie says he cured his lung cancer (not caused by smoking though he smoked 20 years before getting it. He had it 5 years ago(?) And is now 64</t>
        </is>
      </c>
      <c r="D5395" t="n">
        <v>0</v>
      </c>
      <c r="E5395" t="n">
        <v>0</v>
      </c>
      <c r="F5395">
        <f>HYPERLINK("https://www.reddit.com/r/cancer/comments/dj47xz/for_someone_who_has_done_his_research_how_can/")</f>
        <v/>
      </c>
      <c r="G5395" t="inlineStr">
        <is>
          <t>2019-10-17 03:03:26</t>
        </is>
      </c>
      <c r="H5395" t="inlineStr"/>
    </row>
    <row r="5396">
      <c r="A5396" t="inlineStr">
        <is>
          <t>dj5vzs</t>
        </is>
      </c>
      <c r="B5396" t="inlineStr">
        <is>
          <t>I came to this sub because of my mom and now I'm in a total state of disbelief after a call from my own gyn. I am only 40, how is this possible?</t>
        </is>
      </c>
      <c r="C5396" t="inlineStr">
        <is>
          <t>I have watched my mother go through six rounds of chemo. I have cleaned bloody stools and washed blood soaked towels after her ulcers she's had for years nearly took her life because she is so weak. I have watched her struggle and nearly die on me with CDIF that keeps coming back for over 6 months. All because of chemo, all because of cancer.
She begged me to go get tested. She has the hereditary form of ovarian cancer. So I do and at first it was no big deal. This is nothing to worry about, we found a small cyst. This is nothing to worry about but your bloody tests have elevated levels. This is nothing to worry about well monitor it. And now we're referring you to oncology.
How do I even unpack this. I don't know what to do. I have three kids. I have a job. I have a beautiful life. Just what the fuck?</t>
        </is>
      </c>
      <c r="D5396" t="n">
        <v>63</v>
      </c>
      <c r="E5396" t="n">
        <v>53</v>
      </c>
      <c r="F5396">
        <f>HYPERLINK("https://www.reddit.com/r/cancer/comments/dj5vzs/i_came_to_this_sub_because_of_my_mom_and_now_im/")</f>
        <v/>
      </c>
      <c r="G5396" t="inlineStr">
        <is>
          <t>2019-10-17 05:45:32</t>
        </is>
      </c>
      <c r="H5396" t="inlineStr"/>
    </row>
    <row r="5397">
      <c r="A5397" t="inlineStr">
        <is>
          <t>dj6kdj</t>
        </is>
      </c>
      <c r="B5397" t="inlineStr">
        <is>
          <t>My experience with late stage cancer diagnosis.</t>
        </is>
      </c>
      <c r="C5397" t="inlineStr">
        <is>
          <t>Hi all, I’ve only been a lurker on this sub for about a month and a half. I (26m) felt the need to share my story about my father who recently lost his life to cancer at the age of 63.   
While always a rather fit and in shape man, he went undiagnosed and untested with colon cancer until it was basically killing him at the end of August, diagnosed as Stage 4 after surgery due the cancer perforating his colon and creating severe sepsis. Weight loss became apparent June-August of this year, but early problems of stomach issues were noted within the last two years or so. He had just retired in May from a very physically demanding warehouse job, he was just tired. (but obviously cancer contributed). He was regularly 155-160lbs, he was 145lbs when hospitalized. He was a pretty frequent drinker most of his life, he chalked it up as stomach ulcers and the issues went away when he quit drinking entirely, at least so he said. Get your checkups, go for your colonoscopy, don't self diagnosis if things aren't normal. Unfortunately, things weren’t good at all once hospitalized, and his battle only lasted 35 days. 
The initial hospitalization lasted a week exactly, successful surgery, no bag. Due to the perforation in his colon he had severe sepsis so he had a JP drain to help stabilize levels and antibiotic Zosyn. The cancer had metastasized to only his liver, 5 lesions of a “small size.” Most of the docs at the first hospital made it seem like he would be more than able to fight once he put some weight back on, optimism seemed good. He became stable, eager to get back on his feet and ready to fight. He was sent home to rest and we had yet to see an oncologist for his case and a plan, we had appointments made 2-3 weeks out. 
Things seemed hopeful for 3-4 days but I slowly became aware that he was not eating nearly as much as he should be. From the point he hospitalized until the day he passed away, he did not intake more than 700-1000 calories a day. I tried everything we could, small portion meals, the high calorie/protein shakes, doing my best just to get him to sip on something every 15-20 mins. He was starving and the cancer was fighting him. 2 eggs and a half a piece of toast and he would compare it to Thanksgiving dinner. By the end of the week, he was back in the hospital. He still had a small perforation in his colon from the surgery, thus bringing back the infection. Another week in a different, more highly rated hospital. Tons of scans, a permanent JP drain, no nutrition plan. By this point it had been about 20 days or so since initial hospitalization. Weight loss was severe.  
We had one visit from the oncology team in the 2nd hospital and they had stated since the initial surgery the cancer on the liver had grown drastically and he would need to start treatment as soon as he's ready. I guess this is where my family plead ignorance because they suggested they send him to a rehab/nursing home, with no mention of hospice.  Things were bad, but we were never told how bad. We were never once given a timeline or how fast his decline would continue to be, more oncology appointments scheduled 3-4 weeks out. Needless to say the rehab/nursing home was a terrible idea, by this point he was no longer able to sit up, or even get up to use the bathroom. 125lbs and totally deteriorating at a totally understaffed home that was not caring for him. DO NOT send your loved one to a home, ever. I had no idea it was that bad, if I had the energy to fight the home right now I would. Still no signs of a nutritionist. Within four days I made them send him back to the hospital where he was instantly turned around, given endless morphine, and sent directly home into hospice care and he was gone within 48 hours. The cancer had completely taken over his liver, fluid had started to surround his lungs indicating cancer had spread to the lungs. It was over.  
The whole healthcare process (located in the US) with cancer is extremely unsettling to me. I’m glad my dad didn’t have to fight for very long, he wouldn’t of been up for it or had the patience for the system and not being able to do what he loved to do. I’m just pissed he didn’t get to spend more time at home, besides two days. By that point he really didn’t know what was going on and couldn't even form words. We had some good moments though, we weren't completely robbed. I don’t know if the communication was bad between my family and the doctors or what, he told them he wanted to fight if he could, but if it was impossible just to send him home. They had to know he had weeks or days to live and we were never told it. It’s like a blessing and a curse of our own ignorance. I just feel like he never actually got the specialized care he needed until hospice care, everything felt so systematic outside of hospice care. It’s like they paid no attention to what his body and mind was doing and they didn't bother to emphasize that his time was running out much faster than our family could understand, maybe they didn't either?  
Fuck cancer, I’m sorry for all you going through it. I hope the healthcare system improves for people with late stage cancer diagnosis, all stages rather. I will be holding future events through some of the hobbies my dad and I shared dedicating all proceeds to cancer research, we gotta figure this shit out. If anyone has any suggestions on which organizations are preferred and heavily backed here that would be awesome. Thank you all for reading this lengthy story, stay strong friends.</t>
        </is>
      </c>
      <c r="D5397" t="n">
        <v>7</v>
      </c>
      <c r="E5397" t="n">
        <v>15</v>
      </c>
      <c r="F5397">
        <f>HYPERLINK("https://www.reddit.com/r/cancer/comments/dj6kdj/my_experience_with_late_stage_cancer_diagnosis/")</f>
        <v/>
      </c>
      <c r="G5397" t="inlineStr">
        <is>
          <t>2019-10-17 06:41:39</t>
        </is>
      </c>
      <c r="H5397" t="inlineStr"/>
    </row>
    <row r="5398">
      <c r="A5398" t="inlineStr">
        <is>
          <t>dj6tio</t>
        </is>
      </c>
      <c r="B5398" t="inlineStr">
        <is>
          <t>Loss of apetite and vomiting</t>
        </is>
      </c>
      <c r="C5398" t="inlineStr">
        <is>
          <t>Hey,
I know that supporting my body by eating right and exersicing is important in beating cancer. Lately though i have been throwing up a lot after eating, my doctor says there is nothing to do. So i wanted to ask if anyone out there might have a home remedy for nausea?
Thanks in advance</t>
        </is>
      </c>
      <c r="D5398" t="n">
        <v>7</v>
      </c>
      <c r="E5398" t="n">
        <v>23</v>
      </c>
      <c r="F5398">
        <f>HYPERLINK("https://www.reddit.com/r/cancer/comments/dj6tio/loss_of_apetite_and_vomiting/")</f>
        <v/>
      </c>
      <c r="G5398" t="inlineStr">
        <is>
          <t>2019-10-17 07:02:21</t>
        </is>
      </c>
      <c r="H5398" t="inlineStr"/>
    </row>
    <row r="5399">
      <c r="A5399" t="inlineStr">
        <is>
          <t>dj8qzf</t>
        </is>
      </c>
      <c r="B5399" t="inlineStr">
        <is>
          <t>Normal?</t>
        </is>
      </c>
      <c r="C5399" t="inlineStr">
        <is>
          <t>Okay, so, quick back story. I’m a 32 male, born with Cystic Fibrosis, I had a double lung transplant 9 years ago, I broke my spine 8 years ago, and last year I was diagnosed with high grade stage 4, non-hodgkins Lymphoma, I went into remission in Jan of 2019. 
 Now, I know the doctors said it would take a while for my body to recover, even longer because of my medical history but I have to ask. For those who’ve dealt with cancer, what stuff did you do to get back to your “normal”?
Before cancer, I was only able to work two days a week. It wasn’t much but I loved it. Ever since I’ve been in remission, I don’t feel like my body is recovering from the cancer/chemo. 
I still have horrid bouts of pain all over my body. Some days it could be a leg thing, others an arm, neck, chest, back, and so on. 
The chemo brain/brain Fog is 100% getting worse. My wife comments on it a lot because it’s getting so bad that if she makes plans for the next day, when the time comes, I have zero memory of her even planning that. And it is not improving at all. I try to exercise my brain with various things but nothing seems to be helping. At the rate this is going, I’m afraid I’m going to lose myself. 
I also have been plagued with horrid nightmares in regards to cancer. 
So because of that, I don’t sleep well, if at all. 
I know I’m suffering from some intense PTSD
And yes, I’m an seeing a psychiatrist. 
Does anyone whose dealt with cancer personally or through a loved one, is there any tips you could offer to help? I just so desperately want to go back to how I was before cancer. I know I wasn’t perfect then but I was atleast able to semi function like a normal human and now, the pain is so bad that some days I’m unable to stand because of it. 
I’m just lost, confused, scared, and alone. Look at my history. Finding someone who can relate is getting harder and harder the more shit that happens to me. 
Any advice would greatly be appreciated
Thanks for reading.</t>
        </is>
      </c>
      <c r="D5399" t="n">
        <v>3</v>
      </c>
      <c r="E5399" t="n">
        <v>1</v>
      </c>
      <c r="F5399">
        <f>HYPERLINK("https://www.reddit.com/r/cancer/comments/dj8qzf/normal/")</f>
        <v/>
      </c>
      <c r="G5399" t="inlineStr">
        <is>
          <t>2019-10-17 09:24:27</t>
        </is>
      </c>
      <c r="H5399" t="inlineStr"/>
    </row>
    <row r="5400">
      <c r="A5400" t="inlineStr">
        <is>
          <t>dj8wd5</t>
        </is>
      </c>
      <c r="B5400" t="inlineStr">
        <is>
          <t>Ideas to brainstorm for cancer scientists</t>
        </is>
      </c>
      <c r="C5400" t="inlineStr">
        <is>
          <t>Hey maybe try isolating the cells of fruit flies that make them grow fast then stop or maybe even a slow-growing plant to slow the effects of the growth, ik I'm not a scientist yet but these are just ideas to try</t>
        </is>
      </c>
      <c r="D5400" t="n">
        <v>1</v>
      </c>
      <c r="E5400" t="n">
        <v>0</v>
      </c>
      <c r="F5400">
        <f>HYPERLINK("https://www.reddit.com/r/cancer/comments/dj8wd5/ideas_to_brainstorm_for_cancer_scientists/")</f>
        <v/>
      </c>
      <c r="G5400" t="inlineStr">
        <is>
          <t>2019-10-17 09:35:00</t>
        </is>
      </c>
      <c r="H5400" t="inlineStr"/>
    </row>
    <row r="5401">
      <c r="A5401" t="inlineStr">
        <is>
          <t>dj9kl4</t>
        </is>
      </c>
      <c r="B5401" t="inlineStr">
        <is>
          <t>Appetite stimulants during chemotherapy?</t>
        </is>
      </c>
      <c r="C5401" t="inlineStr">
        <is>
          <t>Hi everyone - My dad is a 74 year old stage IV bladder cancer patient currently undergoing chemotherapy. His appetite is really really bad and is probably on an intake of 400-500 calories a day on a good day. We've tried a few doctor prescribed (Cortizone based and antihistamine based) appetite stimulants with little success. We were also on ensure for a while but he now refuses to drink after he threw it up once, and says the thought of it drinking it makes him very nauseous.  
Any tips and/or advice would be most welcome and so so gratefully received - it would so helpful to hear people's first hand experience - google results can be so frustrating :(
Thank you so much</t>
        </is>
      </c>
      <c r="D5401" t="n">
        <v>1</v>
      </c>
      <c r="E5401" t="n">
        <v>0</v>
      </c>
      <c r="F5401">
        <f>HYPERLINK("https://www.reddit.com/r/cancer/comments/dj9kl4/appetite_stimulants_during_chemotherapy/")</f>
        <v/>
      </c>
      <c r="G5401" t="inlineStr">
        <is>
          <t>2019-10-17 10:21:34</t>
        </is>
      </c>
      <c r="H5401" t="inlineStr"/>
    </row>
    <row r="5402">
      <c r="A5402" t="inlineStr">
        <is>
          <t>djadij</t>
        </is>
      </c>
      <c r="B5402" t="inlineStr">
        <is>
          <t>Info for African Americans re testing for the BRCA mutations</t>
        </is>
      </c>
      <c r="C5402" t="inlineStr">
        <is>
          <t>This article was in The NY Times the other day:
Beyoncé’s Dad Has a Mutation More African-Americans Should Be Tested For 
https://www.nytimes.com/2019/10/16/opinion/beyonce-father-breast-cancer.html?smid=nytcore-ios-share</t>
        </is>
      </c>
      <c r="D5402" t="n">
        <v>4</v>
      </c>
      <c r="E5402" t="n">
        <v>0</v>
      </c>
      <c r="F5402">
        <f>HYPERLINK("https://www.reddit.com/r/cancer/comments/djadij/info_for_african_americans_re_testing_for_the/")</f>
        <v/>
      </c>
      <c r="G5402" t="inlineStr">
        <is>
          <t>2019-10-17 11:20:17</t>
        </is>
      </c>
      <c r="H5402" t="inlineStr"/>
    </row>
    <row r="5403">
      <c r="A5403" t="inlineStr">
        <is>
          <t>djafbe</t>
        </is>
      </c>
      <c r="B5403" t="inlineStr">
        <is>
          <t>I'm really struggling</t>
        </is>
      </c>
      <c r="C5403" t="inlineStr">
        <is>
          <t>Hi guys. I'm currently undergoing BEP chemotherapy. It's for the germ cell tumors spread throughout my body. My entire ordeal started off a little rocky. What was  supposed to be the day I started ended me up with stents in both my kidneys and a delay in chemo. That was knock number one. Secondly, the first 5 sessions were given to my while I was admitted to hospital, so I was basically in hospital for a full 7 days. That's in knock number 2. In this time, my depression really got the best of me. I was barely eating, not walking. All I wanted to do was sleep. The problem is I couldn't sleep. The amount of agony I was in the night before chemotherapy started, that was the worst pain I have ever felt. I lost way too much weight, like 5kg.
I'm back at home now, but I'm really struggling to cope with the effects of the chemotherapy. I'm so tired all the time. I barely have energy to dress myself. I just want to sleep. I know I need to eat and try to stay healthy, but it feels like an insurmountable challenge for me right now. Can anyone please guide me to find the strength I need. I'm desperate now.</t>
        </is>
      </c>
      <c r="D5403" t="n">
        <v>7</v>
      </c>
      <c r="E5403" t="n">
        <v>3</v>
      </c>
      <c r="F5403">
        <f>HYPERLINK("https://www.reddit.com/r/cancer/comments/djafbe/im_really_struggling/")</f>
        <v/>
      </c>
      <c r="G5403" t="inlineStr">
        <is>
          <t>2019-10-17 11:23:51</t>
        </is>
      </c>
      <c r="H5403" t="inlineStr"/>
    </row>
    <row r="5404">
      <c r="A5404" t="inlineStr">
        <is>
          <t>djb0of</t>
        </is>
      </c>
      <c r="B5404" t="inlineStr">
        <is>
          <t>What should I prepare for food?!</t>
        </is>
      </c>
      <c r="C5404" t="inlineStr">
        <is>
          <t>Hello all,
I have my mom that she is doing chemo these days. After the chemo tho the tiredness and loss of appetite come due to vomit. What can I prepare to make her eat something?!</t>
        </is>
      </c>
      <c r="D5404" t="n">
        <v>3</v>
      </c>
      <c r="E5404" t="n">
        <v>11</v>
      </c>
      <c r="F5404">
        <f>HYPERLINK("https://www.reddit.com/r/cancer/comments/djb0of/what_should_i_prepare_for_food/")</f>
        <v/>
      </c>
      <c r="G5404" t="inlineStr">
        <is>
          <t>2019-10-17 12:07:10</t>
        </is>
      </c>
      <c r="H5404" t="inlineStr"/>
    </row>
    <row r="5405">
      <c r="A5405" t="inlineStr">
        <is>
          <t>djb7ir</t>
        </is>
      </c>
      <c r="B5405" t="inlineStr">
        <is>
          <t>16 Warning Signs of Cancer You Shouldn’t Ignore</t>
        </is>
      </c>
      <c r="C5405" t="inlineStr">
        <is>
          <t>https://yourpets.tk/16-warning/</t>
        </is>
      </c>
      <c r="D5405" t="n">
        <v>0</v>
      </c>
      <c r="E5405" t="n">
        <v>0</v>
      </c>
      <c r="F5405">
        <f>HYPERLINK("https://www.reddit.com/r/cancer/comments/djb7ir/16_warning_signs_of_cancer_you_shouldnt_ignore/")</f>
        <v/>
      </c>
      <c r="G5405" t="inlineStr">
        <is>
          <t>2019-10-17 12:20:45</t>
        </is>
      </c>
      <c r="H5405" t="inlineStr"/>
    </row>
    <row r="5406">
      <c r="A5406" t="inlineStr">
        <is>
          <t>djb7k0</t>
        </is>
      </c>
      <c r="B5406" t="inlineStr">
        <is>
          <t>Neuropathy from folfox how bad is too bad</t>
        </is>
      </c>
      <c r="C5406" t="inlineStr">
        <is>
          <t>So I just did my 3rd round of a planned 12 rounds of folfox for colon cancer stage 3b.
And the neuropathy has started.  After  the second round I could just barely tell it was occuring, and wouldnt have noticed if I wasnt looking.  After this last round things have changed a lot.  I can't feel my fingertips other then some occasional pins and needles, and my toes are losing sensation, and a lot of pins and needles in the pads if my foot.
This is of course a known side effect.  My oncologist is monitoring this, and warned that if it got too bad they might stop or alter treatment.  The questions I have for folks here is....how bad did the neuropathy get?  My entire job history is me on computer keyboards.  At some point that will not be viable for me.  So how bad does this get?  And how soon?</t>
        </is>
      </c>
      <c r="D5406" t="n">
        <v>6</v>
      </c>
      <c r="E5406" t="n">
        <v>7</v>
      </c>
      <c r="F5406">
        <f>HYPERLINK("https://www.reddit.com/r/cancer/comments/djb7k0/neuropathy_from_folfox_how_bad_is_too_bad/")</f>
        <v/>
      </c>
      <c r="G5406" t="inlineStr">
        <is>
          <t>2019-10-17 12:20:49</t>
        </is>
      </c>
      <c r="H5406" t="inlineStr"/>
    </row>
    <row r="5407">
      <c r="A5407" t="inlineStr">
        <is>
          <t>djc8ix</t>
        </is>
      </c>
      <c r="B5407" t="inlineStr">
        <is>
          <t>Fémur</t>
        </is>
      </c>
      <c r="C5407" t="inlineStr">
        <is>
          <t>Got my appointment a month from now for a full femur replacement. It’s an assessment at first bu got 2 mri’s and x-rays.” It’s not that  well known what cause my femur necrosis, either the prednisone or all my 2 years of chemo
I use humor to cope, like right now my joke is I’m going to be one step closer to be a terminator. Cheer me up and tell me your best. Tell me your best cancer joke since humor is the my coping mechanism</t>
        </is>
      </c>
      <c r="D5407" t="n">
        <v>3</v>
      </c>
      <c r="E5407" t="n">
        <v>6</v>
      </c>
      <c r="F5407">
        <f>HYPERLINK("https://www.reddit.com/r/cancer/comments/djc8ix/fémur/")</f>
        <v/>
      </c>
      <c r="G5407" t="inlineStr">
        <is>
          <t>2019-10-17 13:30:47</t>
        </is>
      </c>
      <c r="H5407" t="inlineStr"/>
    </row>
    <row r="5408">
      <c r="A5408" t="inlineStr">
        <is>
          <t>djeeuj</t>
        </is>
      </c>
      <c r="B5408" t="inlineStr">
        <is>
          <t>Prostate Cancer</t>
        </is>
      </c>
      <c r="C5408" t="inlineStr">
        <is>
          <t>My Dad was diagnosed with stage 4 prostate cancer today.  He's older (80's) and the doctors think it's best not to go within aggressive treatment.  They didn't rule it out if he gets stronger though...he is the strongest guy I have ever known.  My heart is breaking and my head is a mess.  My questions are: 1) If it ends up with just palliative care, what works?  Any suggestions?  Is cbd oil/marijuana helpful?  2) He was given an expected  6 months  today at his appointment.  What should I expect?</t>
        </is>
      </c>
      <c r="D5408" t="n">
        <v>4</v>
      </c>
      <c r="E5408" t="n">
        <v>4</v>
      </c>
      <c r="F5408">
        <f>HYPERLINK("https://www.reddit.com/r/cancer/comments/djeeuj/prostate_cancer/")</f>
        <v/>
      </c>
      <c r="G5408" t="inlineStr">
        <is>
          <t>2019-10-17 16:09:51</t>
        </is>
      </c>
      <c r="H5408" t="inlineStr"/>
    </row>
    <row r="5409">
      <c r="A5409" t="inlineStr">
        <is>
          <t>djehej</t>
        </is>
      </c>
      <c r="B5409" t="inlineStr">
        <is>
          <t>cancer really sucks- looking for opinions/support</t>
        </is>
      </c>
      <c r="C5409" t="inlineStr">
        <is>
          <t>About me: Diagnosed this June with papillary thyroid cancer. there were mets to the lungs (innumerable nodes) and lots of lymph nodes. I’m F 19, had a thyroidectomy and neck dissection in July and one round of radioactive iodine (RAI) in August. I really wanted to go back to college, so I started my sophomore year with a lightened course load.
I’m doing alright physically I guess. My calcium is still not balanced and my hormones are a bit off but I feel like the only thing that’s getting to me is that I feel so alone. Everyone here has problems sure, but it isn’t every day that someone has cancer and goes right back to school. People complain to me about how they had to walk in the rain, how they got a blister on their foot, etc. I’m just tired of their stupid little complaints but I just hold mine in all day because no one knows how to react when I say anything.
When I do complain about my symptoms from RAI/hypothyroidism (headache, nausea, fatigue, brain fog) people around me just say things like “oh it’s just the gloomy weather” or “maybe you’re just tired, try to sleep more”. It’s not the weather. I fucking have cancer and problems that came from cancer treatment and it’s wearing me down. I feel so invalidated. I really just want some credit for going through treatment and dealing with meds.
I guess by posting this i’m just looking for some kind of validation. Does anyone else ever just feel alone even when they’re surrounded by people? I do and I hate it. I hate how this has become my life now and how I took everything that used to be “normal” for granted.</t>
        </is>
      </c>
      <c r="D5409" t="n">
        <v>43</v>
      </c>
      <c r="E5409" t="n">
        <v>18</v>
      </c>
      <c r="F5409">
        <f>HYPERLINK("https://www.reddit.com/r/cancer/comments/djehej/cancer_really_sucks_looking_for_opinionssupport/")</f>
        <v/>
      </c>
      <c r="G5409" t="inlineStr">
        <is>
          <t>2019-10-17 16:15:01</t>
        </is>
      </c>
      <c r="H5409" t="inlineStr"/>
    </row>
    <row r="5410">
      <c r="A5410" t="inlineStr">
        <is>
          <t>djetlj</t>
        </is>
      </c>
      <c r="B5410" t="inlineStr">
        <is>
          <t>I can’t breathe and my doctors can’t tell me why.</t>
        </is>
      </c>
      <c r="C5410" t="inlineStr">
        <is>
          <t>I’m so frustrated!  I’ve been on Keytruda off and on since November.  Initially I had good results.  But, since August, I’ve been dealing with increasing shortness of breath with activity.  I’m no longer living my “normal” life.  I can’t take care of my child.  I can barely take care of myself.  
First my docs thought it was an inflammatory response to the Keytruda, but steroids didn’t fix it.  Then, they diagnosed PCP pneumonia.  But I finished treatment for that and I’m no better.  
The docs do not seem to understand what’s gone wrong and therefore have no plan to fix it.  I’m currently in the hospital for the second time in a month.  I’m so worried that this is the beginning of my end.  
I’m afraid.</t>
        </is>
      </c>
      <c r="D5410" t="n">
        <v>25</v>
      </c>
      <c r="E5410" t="n">
        <v>23</v>
      </c>
      <c r="F5410">
        <f>HYPERLINK("https://www.reddit.com/r/cancer/comments/djetlj/i_cant_breathe_and_my_doctors_cant_tell_me_why/")</f>
        <v/>
      </c>
      <c r="G5410" t="inlineStr">
        <is>
          <t>2019-10-17 16:41:25</t>
        </is>
      </c>
      <c r="H5410" t="inlineStr"/>
    </row>
    <row r="5411">
      <c r="A5411" t="inlineStr">
        <is>
          <t>djg4mj</t>
        </is>
      </c>
      <c r="B5411" t="inlineStr">
        <is>
          <t>Anyone else under 40 with MBC?</t>
        </is>
      </c>
      <c r="C5411" t="inlineStr">
        <is>
          <t>I'm 35 and I was diagnosed with stage 1 breast cancer in 2017 when I was 33. Went through treatment and then this Summer I was diagnosed stage 4 metastatic breast cancer to my bones. Just looking for other people out there who are going through this at such a young age. I have a husband and 3 children and this sucks so much.</t>
        </is>
      </c>
      <c r="D5411" t="n">
        <v>5</v>
      </c>
      <c r="E5411" t="n">
        <v>9</v>
      </c>
      <c r="F5411">
        <f>HYPERLINK("https://www.reddit.com/r/cancer/comments/djg4mj/anyone_else_under_40_with_mbc/")</f>
        <v/>
      </c>
      <c r="G5411" t="inlineStr">
        <is>
          <t>2019-10-17 18:27:24</t>
        </is>
      </c>
      <c r="H5411" t="inlineStr"/>
    </row>
    <row r="5412">
      <c r="A5412" t="inlineStr">
        <is>
          <t>djh24i</t>
        </is>
      </c>
      <c r="B5412" t="inlineStr">
        <is>
          <t>I need to know what to expect as my dad declines</t>
        </is>
      </c>
      <c r="C5412" t="inlineStr">
        <is>
          <t>On June 25th 2018 my dad was diagnosed with bile duct cancer at 54 years old. After Whipple surgery, pre and post op chemo regiments, and rounds of radiation, he was declared NSD this July. Then, 4 weeks ago, his scans lit up like a Christmas tree with the cancer returning, and metastasizing to his liver and bones in his C1 and pelvis. His oncologist estimated 2 months. With about a month of that left, he is significantly weaker, yo-yos wildly in regards to pain, and has very little energy to do more than nap or sit on the couch. I haven't seen him smile since before I left to start my senior year of college in the middle of August. I am home with my family now, but I need to know what the progression through this next month will look like so that I don't go crazy speculating in my own head. In reading dozens of posts on here and speaking with friends who have gone through similar, the impact of terminal cancer progression varies from people passing in their sleep, to gasping for breath and writhing in pain in their final minutes. If anyone has seen the progression of cancer in these places, can you please shed some light on what the end was like so that I can stop driving myself insane by running scenarios through my head all day every day?</t>
        </is>
      </c>
      <c r="D5412" t="n">
        <v>2</v>
      </c>
      <c r="E5412" t="n">
        <v>3</v>
      </c>
      <c r="F5412">
        <f>HYPERLINK("https://www.reddit.com/r/cancer/comments/djh24i/i_need_to_know_what_to_expect_as_my_dad_declines/")</f>
        <v/>
      </c>
      <c r="G5412" t="inlineStr">
        <is>
          <t>2019-10-17 19:42:18</t>
        </is>
      </c>
      <c r="H5412" t="inlineStr"/>
    </row>
    <row r="5413">
      <c r="A5413" t="inlineStr">
        <is>
          <t>djh5z6</t>
        </is>
      </c>
      <c r="B5413" t="inlineStr">
        <is>
          <t>Question about my stepdad (hpv-positive stage lV throat cancer) after cancer treatment.</t>
        </is>
      </c>
      <c r="C5413" t="inlineStr">
        <is>
          <t>My stepdad finished his chemo &amp;amp; radiation in the second week of July, so 3 months ago, and he's still awfully fatigued. He's also begun to have muscle spasms and tremors, as my mother describes them. He dozes off frequently and is just very tired. Last he saw his ENT he was told the mass is gone — so there has definitely been progress! But now he's having these issues and is also on antibiotics for thrush. We're all just very worried right now and I'm wondering if any of this sounds common to anyone. I know every journey is different but he doesn't get his PET scan until the end of this month and I just want any insight. Thank you so much in advance.</t>
        </is>
      </c>
      <c r="D5413" t="n">
        <v>6</v>
      </c>
      <c r="E5413" t="n">
        <v>4</v>
      </c>
      <c r="F5413">
        <f>HYPERLINK("https://www.reddit.com/r/cancer/comments/djh5z6/question_about_my_stepdad_hpvpositive_stage_lv/")</f>
        <v/>
      </c>
      <c r="G5413" t="inlineStr">
        <is>
          <t>2019-10-17 19:50:47</t>
        </is>
      </c>
      <c r="H5413" t="inlineStr"/>
    </row>
    <row r="5414">
      <c r="A5414" t="inlineStr">
        <is>
          <t>djj3qx</t>
        </is>
      </c>
      <c r="B5414" t="inlineStr">
        <is>
          <t>Jesus christ ... (25m, brain tumor)</t>
        </is>
      </c>
      <c r="C5414" t="inlineStr">
        <is>
          <t>I don’t even know what to say – or what I’m looking to hear. My best friend (25m) got admitted a week ago after a few fainting spells (the first hospital missed the tumor on a CT scan where the untrained observer can clearly identify it...).
He just got his biopsy today, after a week of waiting first for a bed at the hospital that could perform the biopsy and then for the biopsy itself. We have no clue what it could be just yet. He’s young, I’m reminding myself, and there are certain tumors for which the prognosis could be OK all things considered.
But I don’t know. This fucking sucks. I’m so scared and I’ve been crying nonstop because virtually everything Google gives you is Bad. And yeah, I know, don’t Google, but if everything out there is bad, what’s the point in not? 
I don’t even know what I’m asking for here. I just want answers and I know I’ve got to wait. I just want to be told that it’s going to be OK, even if that’s an impossible ask right now. Fuck.</t>
        </is>
      </c>
      <c r="D5414" t="n">
        <v>1</v>
      </c>
      <c r="E5414" t="n">
        <v>0</v>
      </c>
      <c r="F5414">
        <f>HYPERLINK("https://www.reddit.com/r/cancer/comments/djj3qx/jesus_christ_25m_brain_tumor/")</f>
        <v/>
      </c>
      <c r="G5414" t="inlineStr">
        <is>
          <t>2019-10-17 22:48:28</t>
        </is>
      </c>
      <c r="H5414" t="inlineStr"/>
    </row>
    <row r="5415">
      <c r="A5415" t="inlineStr">
        <is>
          <t>djjiyu</t>
        </is>
      </c>
      <c r="B5415" t="inlineStr">
        <is>
          <t>Confused about pathology report, colon cancer</t>
        </is>
      </c>
      <c r="C5415" t="inlineStr">
        <is>
          <t>Hello, 
I need help figuring out if the recommendation from the gastroenterologist is right, based on the results of my fiance's pathology report. He had a very large polyp removed (6 cm); he has been bleeding on and off for many years but his primary said it was just hemorrhoids.
The pathology reports says « Intramucosal carcinoma in situ developed in a tubulovilleous adenoma ». The gastro doctor says we do not need to do anything, as it was a « beginning of cancer » in the polyp but since it was contained, we just need to do a colonoscopy in 6 months. Is that right??
Any info would be really appreciated, thank you in advance.</t>
        </is>
      </c>
      <c r="D5415" t="n">
        <v>2</v>
      </c>
      <c r="E5415" t="n">
        <v>9</v>
      </c>
      <c r="F5415">
        <f>HYPERLINK("https://www.reddit.com/r/cancer/comments/djjiyu/confused_about_pathology_report_colon_cancer/")</f>
        <v/>
      </c>
      <c r="G5415" t="inlineStr">
        <is>
          <t>2019-10-17 23:34:37</t>
        </is>
      </c>
      <c r="H5415" t="inlineStr"/>
    </row>
    <row r="5416">
      <c r="A5416" t="inlineStr">
        <is>
          <t>djjycg</t>
        </is>
      </c>
      <c r="B5416" t="inlineStr">
        <is>
          <t>I kicked cancers ass!</t>
        </is>
      </c>
      <c r="C5416" t="inlineStr">
        <is>
          <t>I'm officially cancer free since the 10th of October! I couldn't be happier! 
I had a pet-ct a few days ago which came back completely normal (only a little bit of scartissue left). My doctor wants to make sure nothing grows back from it, which is unlikely but sadly not unheard of so I got another appointment in 3 months. 
Now I can focus on getting back on my feet, getting back to work and living my live again.</t>
        </is>
      </c>
      <c r="D5416" t="n">
        <v>170</v>
      </c>
      <c r="E5416" t="n">
        <v>31</v>
      </c>
      <c r="F5416">
        <f>HYPERLINK("https://www.reddit.com/r/cancer/comments/djjycg/i_kicked_cancers_ass/")</f>
        <v/>
      </c>
      <c r="G5416" t="inlineStr">
        <is>
          <t>2019-10-18 00:21:22</t>
        </is>
      </c>
      <c r="H5416" t="inlineStr"/>
    </row>
    <row r="5417">
      <c r="A5417" t="inlineStr">
        <is>
          <t>djkf14</t>
        </is>
      </c>
      <c r="B5417" t="inlineStr">
        <is>
          <t>Best Oncologist Doctor In Delhi - Pink Health</t>
        </is>
      </c>
      <c r="C5417" t="inlineStr">
        <is>
          <t>Best Oncologist: Pink Health One of the [best oncologists in India](http://pinkhealth.in/). He has medical oncologists experiencing his expertise in the treatment of cases of lymphoma and multiple myeloma, lung cancer, breast cancer, acute cancer, making him one of the top renowned best cancer surgeons in Delhi-NCR, India.</t>
        </is>
      </c>
      <c r="D5417" t="n">
        <v>1</v>
      </c>
      <c r="E5417" t="n">
        <v>0</v>
      </c>
      <c r="F5417">
        <f>HYPERLINK("https://www.reddit.com/r/cancer/comments/djkf14/best_oncologist_doctor_in_delhi_pink_health/")</f>
        <v/>
      </c>
      <c r="G5417" t="inlineStr">
        <is>
          <t>2019-10-18 01:15:53</t>
        </is>
      </c>
      <c r="H5417" t="inlineStr"/>
    </row>
    <row r="5418">
      <c r="A5418" t="inlineStr">
        <is>
          <t>djkuot</t>
        </is>
      </c>
      <c r="B5418" t="inlineStr">
        <is>
          <t>34 M Stage 4 Lung Cancer</t>
        </is>
      </c>
      <c r="C5418" t="inlineStr">
        <is>
          <t>Hello everyone, 
I'm a 34 M who was diagnosed with advanced lung cancer in May of this year.  The cancer is in my left lung, but has moved to my lymph nodes in my chest. The largest tumor in my chest was a 3 by 4 inch tumor around a node.  Being so young and with very little symptoms, several doctors gave me anywhere from 1-2 years. Within one month I was coughing non stop, and breathing was becoming difficult. 
I have just completed 6 rounds of chemo and immune therapy, a drug called Keytruda over an 18 week period. CT Scans after only 4 rounds showed a decrease in all my tumors of at least 50% and in some cases the tumors were gone completely. The doctors called this a partial response, and were super happy.  My cough and breathing problems have gone as well. 
As it stands now I will continue treatments every 3 weeks for the next two years, if I make it that long. I've had almost no side effects from the chemo, or therapy except for a bit of flu like symptoms for a few days after each round. 
Anyway, my support group is very small so I just wanted to share my experience so far.  I'm not really sure how to feel at this point, I'm happy I am experiencing some relief, but I know it's not forever.</t>
        </is>
      </c>
      <c r="D5418" t="n">
        <v>95</v>
      </c>
      <c r="E5418" t="n">
        <v>29</v>
      </c>
      <c r="F5418">
        <f>HYPERLINK("https://www.reddit.com/r/cancer/comments/djkuot/34_m_stage_4_lung_cancer/")</f>
        <v/>
      </c>
      <c r="G5418" t="inlineStr">
        <is>
          <t>2019-10-18 02:09:13</t>
        </is>
      </c>
      <c r="H5418" t="inlineStr"/>
    </row>
    <row r="5419">
      <c r="A5419" t="inlineStr">
        <is>
          <t>djlcjp</t>
        </is>
      </c>
      <c r="B5419" t="inlineStr">
        <is>
          <t>What are the last moments like for a dying cancer patient?</t>
        </is>
      </c>
      <c r="C5419" t="inlineStr">
        <is>
          <t>My mom is currently in her death bed in our home just waiting to die. As days go by she becomes weaker, more frail, more delirious while her breathing is slowly becoming erratic and more difficult. It aches me to see her suffer like this and was wondering what I can expect to see in her last day or two. Is it usually a painful death filled with screaming, suffering and lots of medical complications or is it a slow but steady decline where they just fall into a sleep or a coma and just never wake up? I just hope it'd be the latter. Her cancer is stage 3 ovarian if that matters.</t>
        </is>
      </c>
      <c r="D5419" t="n">
        <v>17</v>
      </c>
      <c r="E5419" t="n">
        <v>11</v>
      </c>
      <c r="F5419">
        <f>HYPERLINK("https://www.reddit.com/r/cancer/comments/djlcjp/what_are_the_last_moments_like_for_a_dying_cancer/")</f>
        <v/>
      </c>
      <c r="G5419" t="inlineStr">
        <is>
          <t>2019-10-18 03:07:13</t>
        </is>
      </c>
      <c r="H5419" t="inlineStr"/>
    </row>
    <row r="5420">
      <c r="A5420" t="inlineStr">
        <is>
          <t>djnbft</t>
        </is>
      </c>
      <c r="B5420" t="inlineStr">
        <is>
          <t>REMISSION!!! ESKETITTT</t>
        </is>
      </c>
      <c r="C5420" t="inlineStr">
        <is>
          <t>Ladies and gentlemen, we got em. 
Cancer free. Clear PET. The end is in sight. 
Any fellow survivors have tips for adjusting back to normalcy?
My only advice to those in treatment on this sub would be to really take people’s medical advice on here and related subs at face value. They are not your onc and don’t know your exact medical history and diagnosis and situation. There were nights I was anxious af comparing my progress and treatments with others I saw. The fact of the matter is no 2 cases are the same and trust the process, your doctor wants to see you get better. 
Anywho fuck cancer. Best of lucks guys!</t>
        </is>
      </c>
      <c r="D5420" t="n">
        <v>23</v>
      </c>
      <c r="E5420" t="n">
        <v>3</v>
      </c>
      <c r="F5420">
        <f>HYPERLINK("https://www.reddit.com/r/cancer/comments/djnbft/remission_esketittt/")</f>
        <v/>
      </c>
      <c r="G5420" t="inlineStr">
        <is>
          <t>2019-10-18 06:12:29</t>
        </is>
      </c>
      <c r="H5420" t="inlineStr"/>
    </row>
    <row r="5421">
      <c r="A5421" t="inlineStr">
        <is>
          <t>djnq8r</t>
        </is>
      </c>
      <c r="B5421" t="inlineStr">
        <is>
          <t>Check yourself regularly</t>
        </is>
      </c>
      <c r="C5421" t="inlineStr">
        <is>
          <t>I am not sure about the point of this post, I think I just wanted somewhere to put it. I think its the realisation that "cancer is something that won't happen to me, it only happens to other people" is a dangerous mindset to have.
I want to emphasize the importance of checking yourself on a regular basis and going to the doctor if there is anything that worries you. Don't wait or sit on anything that is a problem, don't 'hope it will just go away'. If you feel a lump, get it checked, if you bleed unexpectedly, go get it checked. If its embarrassing, go anyway as I guarantee you the doctor won't care. Bleeding profusely from your arse and need him/her to stick a finger up it, they won't bat an eye.
Don't wait for months on an issue that can easily be checked in the space of a short amount of appointments/time... It can literally save your life.
Now, this isn't me (although the sitting on a bleeding issue definitely was me, thankfully it turned out to be non-serious). This is other people and this post comes from the realisation of a conversation that I was having the other day. The conversation led to this list:
My son - 4 years old NHL, currently NED.
My mother - 70 years old breast cancer, currently NED
My aunt - ~70 years old breast cancer, currently NED
My uncle (husband to aunt above) - ~75 years old some type of blastoma lump in the neck, undergoing treatment
Brothers mother in law - ~65 years old, recurring secondaries from cancer (type unknown to me), passed away a few weeks ago
The above list, all of these people that I personally know... ALL OF THE ABOVE ARE FROM THIS YEAR! (Since Christmas 2018 to be exact). The brother's MIL had her first diagnosis a few years ago, but the secondaries were discovered this year.
This is just my side of the family and this year, if we go back we can add my father (survived), my grandmother (died), my wife’s great uncle (died), my fucking cat (survived), 14 of my mothers friends (most of which survived)... They are just the ones I can think of as part of a conversation, there are definitely more.
Please, listen to an internet stranger (I know they say to not listen to strangers), please just keep an eye out. I hate that people go through this, I don't want anyone to suffer the strain that is a close family member being in hospital and close to death.
Most of all, I never want anyone to have to have a conversation with their father who lives 90 minutes away where they have to say that the doctors think his 4 year old grandson has a brain tumour. I never want another son to hear their father's heart break over a phone line.
I just want to end this with the following. I know the above sound horrible and you would expect me to be in a really dark place, but I am not... I have had good support from family, doctors, nurses and local charities. We are in a good place, but it took a little to get here and I wouldn't wish that on anyone.
Look after yourselves folks, you deserve to be happy and healthy and cancer can just fuck off!</t>
        </is>
      </c>
      <c r="D5421" t="n">
        <v>23</v>
      </c>
      <c r="E5421" t="n">
        <v>13</v>
      </c>
      <c r="F5421">
        <f>HYPERLINK("https://www.reddit.com/r/cancer/comments/djnq8r/check_yourself_regularly/")</f>
        <v/>
      </c>
      <c r="G5421" t="inlineStr">
        <is>
          <t>2019-10-18 06:45:30</t>
        </is>
      </c>
      <c r="H5421" t="inlineStr"/>
    </row>
    <row r="5422">
      <c r="A5422" t="inlineStr">
        <is>
          <t>djnqv5</t>
        </is>
      </c>
      <c r="B5422" t="inlineStr">
        <is>
          <t>Oxaliplatin and Neuropathy</t>
        </is>
      </c>
      <c r="C5422" t="inlineStr">
        <is>
          <t>I just had my third infusion of this stuff yesterday.  I'm a little spaced out, so please forgive if I don't talk good.
I'm being treated for colorectal cancer and currently have a temporary ileostomy.  This alone makes proper hydration a challenge.  Add the oxaliplatin neuropathy of the tongue and throat to that and it's darn near impossible to stay hydrated.
Being able to guzzle a nice cold jug of orange juice right now would be nothing short of full-on bliss for me.  Unfortunately, the imagined glass shards that come along with it makes that impossible.  But now I'm just complaining.
Anyway...  Do you have any tips or suggestions that can help work around this?  Warm water has become pretty gross by now.</t>
        </is>
      </c>
      <c r="D5422" t="n">
        <v>3</v>
      </c>
      <c r="E5422" t="n">
        <v>19</v>
      </c>
      <c r="F5422">
        <f>HYPERLINK("https://www.reddit.com/r/cancer/comments/djnqv5/oxaliplatin_and_neuropathy/")</f>
        <v/>
      </c>
      <c r="G5422" t="inlineStr">
        <is>
          <t>2019-10-18 06:47:01</t>
        </is>
      </c>
      <c r="H5422" t="inlineStr"/>
    </row>
    <row r="5423">
      <c r="A5423" t="inlineStr">
        <is>
          <t>djnvtk</t>
        </is>
      </c>
      <c r="B5423" t="inlineStr">
        <is>
          <t>(Hopefully) the Last Chemo</t>
        </is>
      </c>
      <c r="C5423" t="inlineStr">
        <is>
          <t>Today I'm finishing my 6th cycle 12th treatment of ABVD for Hodgkins. Weirdly enough I have some anxiety about it. Always get anxious before chemo, but today I think its because it "should" feel different. We've been doing this so long though it just feels like another appointment. Is it really over?? I guess I won't know until my pet scan. 
I made it this far though, so I'm sure I can face whatever happens next.</t>
        </is>
      </c>
      <c r="D5423" t="n">
        <v>13</v>
      </c>
      <c r="E5423" t="n">
        <v>8</v>
      </c>
      <c r="F5423">
        <f>HYPERLINK("https://www.reddit.com/r/cancer/comments/djnvtk/hopefully_the_last_chemo/")</f>
        <v/>
      </c>
      <c r="G5423" t="inlineStr">
        <is>
          <t>2019-10-18 06:58:05</t>
        </is>
      </c>
      <c r="H5423" t="inlineStr"/>
    </row>
    <row r="5424">
      <c r="A5424" t="inlineStr">
        <is>
          <t>djrfe8</t>
        </is>
      </c>
      <c r="B5424" t="inlineStr">
        <is>
          <t>How do Endocrine-Disrupting Chemicals promote cancer?</t>
        </is>
      </c>
      <c r="C5424" t="inlineStr">
        <is>
          <t>Good afternoon, im currently working on a paper about the relation between Endocrine-Disrupting Chemicals and cancer. How do this chemicals promote tumors and/or cancer.
&amp;amp;#x200B;
Thanks in advance.
#</t>
        </is>
      </c>
      <c r="D5424" t="n">
        <v>0</v>
      </c>
      <c r="E5424" t="n">
        <v>4</v>
      </c>
      <c r="F5424">
        <f>HYPERLINK("https://www.reddit.com/r/cancer/comments/djrfe8/how_do_endocrinedisrupting_chemicals_promote/")</f>
        <v/>
      </c>
      <c r="G5424" t="inlineStr">
        <is>
          <t>2019-10-18 11:12:58</t>
        </is>
      </c>
      <c r="H5424" t="inlineStr"/>
    </row>
    <row r="5425">
      <c r="A5425" t="inlineStr">
        <is>
          <t>djsq5y</t>
        </is>
      </c>
      <c r="B5425" t="inlineStr">
        <is>
          <t>My Husband is Neutropenic?</t>
        </is>
      </c>
      <c r="C5425" t="inlineStr">
        <is>
          <t>Hi there. I'm not sure if this is allowed please let me know if it isn't. I'm quite new here and I was advised Reddit is a good place to find support as I've been living in a constant state of fear and confusion since the 9 of September. 
My husband was diagnosed with a mixed germ cell tumor that spread into his lymph nodes. 
Anyway, after drama of getting stents put in his kidneys, chemo finally began. He did 5 rounds of BEP from the 9-13 of Oct. On the 16 (Wed that passed) we went back for a 30min bleo drip. This afternoon he started burning up (37.3 and then 38 soon after) and I didn't wanna take a chance so I called the Oncologist who said to bring him in immediately and admitted him. They ran blood tests and a chest x ray in case of infection but then told me his white blood cell count is ZERO?!!?!????!!!! I was completely blindsided. 
They moved him to a private room just before I left and they said he'll be fine etc etc but I am actually TERRIFIED now. How scared should I be? Is this a thing that happens? 
Also, I just came home and there's no power. What a day.</t>
        </is>
      </c>
      <c r="D5425" t="n">
        <v>4</v>
      </c>
      <c r="E5425" t="n">
        <v>15</v>
      </c>
      <c r="F5425">
        <f>HYPERLINK("https://www.reddit.com/r/cancer/comments/djsq5y/my_husband_is_neutropenic/")</f>
        <v/>
      </c>
      <c r="G5425" t="inlineStr">
        <is>
          <t>2019-10-18 12:44:00</t>
        </is>
      </c>
      <c r="H5425" t="inlineStr"/>
    </row>
    <row r="5426">
      <c r="A5426" t="inlineStr">
        <is>
          <t>djsu30</t>
        </is>
      </c>
      <c r="B5426" t="inlineStr">
        <is>
          <t>A small request for my brother with Non Hodgkin's Lymphoma</t>
        </is>
      </c>
      <c r="C5426" t="inlineStr">
        <is>
          <t>Without getting supper sappy and emotional I wanted to put out a request for support from the Reddit community. My brother has been battling a very rare form of Non Hodgkin's Lymphoma for the past 18 months that unfortunately even the BC Cancer Association doesn't have answers for. Through lots of rounds of chemo and trial and error treatments/medicine the prognosis isn't optimal. He's not able to fly anywhere for any trips but we were able to book him a trip on a train through the Canadian Rockies; which he's very excited about :) My request is to please send him any well wishes you have in the form of letters, cards, pictures, postcards etc... to show that he's even more loved and supported than he thinks. My family has been great and the few friends that remain have been amazing as well but it's still nice to know that others around the world know about you and are thinking of you. He leaves for his trip November 1st so I was hoping to have whatever mail is sent delivered before then so I can give it to him to look at on the train. Thank you so much in advance for anything you're able to do it really means a lot :)
\*Please send me a message for the address\*</t>
        </is>
      </c>
      <c r="D5426" t="n">
        <v>7</v>
      </c>
      <c r="E5426" t="n">
        <v>8</v>
      </c>
      <c r="F5426">
        <f>HYPERLINK("https://www.reddit.com/r/cancer/comments/djsu30/a_small_request_for_my_brother_with_non_hodgkins/")</f>
        <v/>
      </c>
      <c r="G5426" t="inlineStr">
        <is>
          <t>2019-10-18 12:51:33</t>
        </is>
      </c>
      <c r="H5426" t="inlineStr"/>
    </row>
    <row r="5427">
      <c r="A5427" t="inlineStr">
        <is>
          <t>dju853</t>
        </is>
      </c>
      <c r="B5427" t="inlineStr">
        <is>
          <t>Is there a nano device that detects cancer cells?</t>
        </is>
      </c>
      <c r="C5427" t="inlineStr">
        <is>
          <t>I have a project for a biology class in which I have to make a proposal for a device, based on research and biology principles, that helps cure lung cancer. For my idea to work I need to know if a nano device that detects cancer cells exists or if it's doable.</t>
        </is>
      </c>
      <c r="D5427" t="n">
        <v>3</v>
      </c>
      <c r="E5427" t="n">
        <v>2</v>
      </c>
      <c r="F5427">
        <f>HYPERLINK("https://www.reddit.com/r/cancer/comments/dju853/is_there_a_nano_device_that_detects_cancer_cells/")</f>
        <v/>
      </c>
      <c r="G5427" t="inlineStr">
        <is>
          <t>2019-10-18 14:33:45</t>
        </is>
      </c>
      <c r="H5427" t="inlineStr"/>
    </row>
    <row r="5428">
      <c r="A5428" t="inlineStr">
        <is>
          <t>djw6au</t>
        </is>
      </c>
      <c r="B5428" t="inlineStr">
        <is>
          <t>Thinning skin during treatment, legs bleeding from shaving - help!</t>
        </is>
      </c>
      <c r="C5428" t="inlineStr">
        <is>
          <t>My aunt has just finished some aggressive radiation. She went to shave her legs as she normally would and her legs bled and scabbed wherever the razor touched.
She really wants smooth legs, can anyone provide on any alternatives to remove her leg hair without irritation?
TIA!</t>
        </is>
      </c>
      <c r="D5428" t="n">
        <v>5</v>
      </c>
      <c r="E5428" t="n">
        <v>4</v>
      </c>
      <c r="F5428">
        <f>HYPERLINK("https://www.reddit.com/r/cancer/comments/djw6au/thinning_skin_during_treatment_legs_bleeding_from/")</f>
        <v/>
      </c>
      <c r="G5428" t="inlineStr">
        <is>
          <t>2019-10-18 17:06:39</t>
        </is>
      </c>
      <c r="H5428" t="inlineStr"/>
    </row>
    <row r="5429">
      <c r="A5429" t="inlineStr">
        <is>
          <t>djwf8t</t>
        </is>
      </c>
      <c r="B5429" t="inlineStr">
        <is>
          <t>Damn it, I still cry</t>
        </is>
      </c>
      <c r="C5429" t="inlineStr">
        <is>
          <t>Even if life is going good and I’ve had a good day, the tiniest reminder or thought of my father brings me to my knees.</t>
        </is>
      </c>
      <c r="D5429" t="n">
        <v>51</v>
      </c>
      <c r="E5429" t="n">
        <v>18</v>
      </c>
      <c r="F5429">
        <f>HYPERLINK("https://www.reddit.com/r/cancer/comments/djwf8t/damn_it_i_still_cry/")</f>
        <v/>
      </c>
      <c r="G5429" t="inlineStr">
        <is>
          <t>2019-10-18 17:26:50</t>
        </is>
      </c>
      <c r="H5429" t="inlineStr"/>
    </row>
    <row r="5430">
      <c r="A5430" t="inlineStr">
        <is>
          <t>djwhp4</t>
        </is>
      </c>
      <c r="B5430" t="inlineStr">
        <is>
          <t>Lung cancer reoccurrence</t>
        </is>
      </c>
      <c r="C5430" t="inlineStr">
        <is>
          <t>I have been re-diagnosised with lung cancer and I don't know what to do, it never seems to escape me. My doctors say that i can not go though with RFA this time and i will have to have a lobectomy if i want to try and get rid of it. This is very distressing to me as i have always been trying to avoid chemotherapy as much as possible  as i know what come after. i don't know what comes next as this is the third time i have been diagnosed.
I am just wondering has anyone else been in a similar situation? *I* know everyone keeps telling me to go to therapy but i just want to know that there is someone out there that is similar to me in any way. I am 21 and this is my 3'rd diagnosis of lung cancer but i have always managed this with less invasive techniques.
When there is a city around you what do you do to relax without too much pain? I have semi accepted that the rest of my life will always been in pain and restriction but what kind of thing do you do for entertainment that doesn't require too much effort without too much pain?</t>
        </is>
      </c>
      <c r="D5430" t="n">
        <v>9</v>
      </c>
      <c r="E5430" t="n">
        <v>3</v>
      </c>
      <c r="F5430">
        <f>HYPERLINK("https://www.reddit.com/r/cancer/comments/djwhp4/lung_cancer_reoccurrence/")</f>
        <v/>
      </c>
      <c r="G5430" t="inlineStr">
        <is>
          <t>2019-10-18 17:32:34</t>
        </is>
      </c>
      <c r="H5430" t="inlineStr"/>
    </row>
    <row r="5431">
      <c r="A5431" t="inlineStr">
        <is>
          <t>djwtvv</t>
        </is>
      </c>
      <c r="B5431" t="inlineStr">
        <is>
          <t>Just found out that my mother has stage three breast cancer</t>
        </is>
      </c>
      <c r="C5431" t="inlineStr">
        <is>
          <t>I’m not quite sure to handle it. She’s taking it well, but at moments she will crash and get upset and depressed about it. What can I do for emotional support for her? I’m not great and comforting people, but I wanna be there as much as I can. It just sucks because you never would think something so drastic would happen to a family member. Let alone your own parents</t>
        </is>
      </c>
      <c r="D5431" t="n">
        <v>5</v>
      </c>
      <c r="E5431" t="n">
        <v>4</v>
      </c>
      <c r="F5431">
        <f>HYPERLINK("https://www.reddit.com/r/cancer/comments/djwtvv/just_found_out_that_my_mother_has_stage_three/")</f>
        <v/>
      </c>
      <c r="G5431" t="inlineStr">
        <is>
          <t>2019-10-18 18:02:01</t>
        </is>
      </c>
      <c r="H5431" t="inlineStr"/>
    </row>
    <row r="5432">
      <c r="A5432" t="inlineStr">
        <is>
          <t>djxii4</t>
        </is>
      </c>
      <c r="B5432" t="inlineStr">
        <is>
          <t>My aunt has lived 11 years with her cancer, and may not live for much longer</t>
        </is>
      </c>
      <c r="C5432" t="inlineStr">
        <is>
          <t>Adenoid cystic carcinoma.
She was diagnosed June 7th, 2008. She was 28 years old. 
Was told then she had 15 years left
Was told a couple months ago she had a year left, but now it's getting to her and she is becoming more fragile.
I heard it is a rare form of cancer, but im not too sure of it.
Recently she developed fluid around her heart, which is a very bad sign.
She might die in her sleep tonight, which makes me really scared.
I don't know how to cope with this, as i have not experienced loss at an understanding age that would really hurt me. 
Decided to post here because I thought I would share.</t>
        </is>
      </c>
      <c r="D5432" t="n">
        <v>10</v>
      </c>
      <c r="E5432" t="n">
        <v>3</v>
      </c>
      <c r="F5432">
        <f>HYPERLINK("https://www.reddit.com/r/cancer/comments/djxii4/my_aunt_has_lived_11_years_with_her_cancer_and/")</f>
        <v/>
      </c>
      <c r="G5432" t="inlineStr">
        <is>
          <t>2019-10-18 19:02:38</t>
        </is>
      </c>
      <c r="H5432" t="inlineStr"/>
    </row>
    <row r="5433">
      <c r="A5433" t="inlineStr">
        <is>
          <t>djyq4j</t>
        </is>
      </c>
      <c r="B5433" t="inlineStr">
        <is>
          <t>My Brain Cancer Survival Story</t>
        </is>
      </c>
      <c r="C5433" t="inlineStr">
        <is>
          <t>TLDR: I was diagnosed with brain cancer(Germ Cell Tumor) when I was 14, about to go into highschool. I knew that I had no control over this situation and there was nothing I could have done to prevent it, so I made the best of it. 
I thought it might be good to write out my story of surviving cancer, I hope it may bring me better understanding of how I was able to deal with the fact that I did have cancer. I was gonna write this like an essay because I'm so used to writing like that(I am currently a senior in high school, I just wrote an essay lol). So basically it started after we returned from my oldest sister's high school graduation trip, during the summer before my Freshman year of high school. We had gone to Bermuda on a cruise ship and it was a real good time, not gonna lie. Anyways, I had started to get these strange headaches upon standing up, somewhat similar to getting dizzy when standing up, except it would just be intense pressure in my head. Everytime I would stand up, I would get this pressure in my head and my vision would darken for a moment. In hindsight, I feel somewhat dumb for not making my mom go to the doctor earlier, but I ended up waiting like four weeks into it before I decided to go(One of the reasons I waited that long was because it started to not feel as bad after the second week, but it got worse after that). A trip to the doctor and an MRI scan later had me being sent to American Family Children's Hospital(AFCH) in Madison, WI. The AFCH is part of the UW Health system, and if you know anything about UW Health, is that they're good. I suppose I may be biased because thats where I received my treatment. Anways I had been woken up and rushed, by my parents, to the hospital and there they tried to set me up on an IV because they wanted do an MRI and an emergency surgery that day. Keep in mind, I was told to not eat or drink anything, so I was very dehydrated which made it difficult for them to set the IV. It took them 5 pokes before it worked, I almost passed out on the fourth. The surgery had to be postponed because of the IV setback, so I ended up staying the night waiting for the surgery. They performed an Endoscopic Third Ventriculostomy, which opened my the lower wall of my third ventricle. They did this because a 2cm x 2cm germ cell tumor in my Pineal Gland was blocking the exit for spinal fluid and thats what was causing the pressure in my head. Afterwards I remember being really disorientated and my balance was gone. I couldn't walk or really do much except stay upright in bed. After the swelling in my brain started to reside I regained my balance but I was still a "high fall risk" patient. I don't remember when they told me I had cancer, but I know it was sometime pretty close to when I had just woken up from surgery. I just remember not being very upset or concerned by the fact I had cancer, I attribute that to having both my father and my uncle beating cancer 25+ years ago. As I reflect more on it, I actually had developed a philosophy that I had to just accept that things happen. I have no control over this sort of thing and had no real way of preventing it, so I had to make the best of my situation. I was prescribed to have 4 rounds of chemotherapy and 3 weeks of proton radiation after that. This all happened about a month before my Freshman year of high school was about to start. During the 5 days that I was in the hospital I think I lost appoximately 6-7 pounds and I was a hungry boy when I got home. I could eat a whole frozen pizza, plus another half. Eventually my appetite had began to decrease, and especially once my first round of chemo started it absolutely plummeted. I was weight restricted and had an activitiy limitation placed on me, I was very disappointed that I was not allowed to play my saxophone for about 2 months. This is getting long, so if anyone reading this would like to hear more about my experience with chemo, let me know, but basically its very similar to other people who went through chemo. I had decreased appetite, decreased energy, and just over all I didn't feel right. If you ever get the chance to read about Proton Radiation treatment, its really cool, and I got this cool mask that fits exactly to my face, which makes a great halloween costume. The main point I wanted to make is that I always kept smiling knowing that I had zero control over my situation and just made the best of what I had. Some people may disagree with this, but I would joke about it to my friends to make light of the situation. I remember creeping people out by just pulling out wads of hair from my head, that was funny. I still make jokes about it today and I feel like that helps me remember how I dealt with that and how to keep myself going through any other struggles in life.</t>
        </is>
      </c>
      <c r="D5433" t="n">
        <v>5</v>
      </c>
      <c r="E5433" t="n">
        <v>6</v>
      </c>
      <c r="F5433">
        <f>HYPERLINK("https://www.reddit.com/r/cancer/comments/djyq4j/my_brain_cancer_survival_story/")</f>
        <v/>
      </c>
      <c r="G5433" t="inlineStr">
        <is>
          <t>2019-10-18 21:05:00</t>
        </is>
      </c>
      <c r="H5433" t="inlineStr"/>
    </row>
    <row r="5434">
      <c r="A5434" t="inlineStr">
        <is>
          <t>djz905</t>
        </is>
      </c>
      <c r="B5434" t="inlineStr">
        <is>
          <t>Comforting someone at risk of cancer</t>
        </is>
      </c>
      <c r="C5434" t="inlineStr">
        <is>
          <t>Hi,
Tldr below
My dad came back from a colonoscopy to look at problematic polyps. They found one that will require surgery. They are going to remove part of his intestines since one polyp has been problematic. He's been losing blood and will need iron transfusions. Once they remove it they'll analyse it to see if it's cancerous. If it is he'll start chemo.
Needless to say we're all very worried. I'm his son and I'm not sure how to react. My dad has always been very proud and very active and this is quite traumatic for him. To give some context he wanted to skip the colonoscopy because he had other things to do. I was very firm and told him it was the priority and that he should pass the exams. He was grateful that I pushed him to do it.
When we received the results it was difficult news. Im not sure if it's the right thread to ask this in so apologies if I'm out of line.i realize that this might be a benign case to other experiences in this group.
The only thing I managed to say is that it was worrying, that at least we're catching it early and that the healthcare system are all over it. I told him we'd be around him in full support to kick this things ass.
I'm still not sure how to react and would like to ask you what the best way to comfort and take care of him would be. If anyone would share their tips or experience that would be greatly appreciated. For the people who've been through this awful awful experience, what did your family do that comforted you?
Thank you for your help
TLDR: dad is at risk of cancer, no idea how to react, would gladly take suggestions or ideas on how to comfort him.</t>
        </is>
      </c>
      <c r="D5434" t="n">
        <v>4</v>
      </c>
      <c r="E5434" t="n">
        <v>2</v>
      </c>
      <c r="F5434">
        <f>HYPERLINK("https://www.reddit.com/r/cancer/comments/djz905/comforting_someone_at_risk_of_cancer/")</f>
        <v/>
      </c>
      <c r="G5434" t="inlineStr">
        <is>
          <t>2019-10-18 22:00:37</t>
        </is>
      </c>
      <c r="H5434" t="inlineStr"/>
    </row>
    <row r="5435">
      <c r="A5435" t="inlineStr">
        <is>
          <t>dk2i8y</t>
        </is>
      </c>
      <c r="B5435" t="inlineStr">
        <is>
          <t>Diagnosed with stage 4 breast cancer</t>
        </is>
      </c>
      <c r="C5435" t="inlineStr">
        <is>
          <t>Hi i am from india and my mom was recently diagnosed with stage 4 breast cancer.
She went to the clinic 2 years back, when she found a small bump near her chest, after the initial scan the doctor asked her to comeback after 3 months. Later, they diagnosed her with stage 3 breast cancer. After various chemo sessions and a surgery, we hoped it would go away.
Today, the doctor diagnosed that she has stage 4 breast cancer that has metasized to her legs and back.
My dad has retired and the healthcare here is not a basic human right in this country
The doctor has asked her for 11 sessions of chemotherapy and i dont think her body can take all the pain that follows.
I'm looking for any kind of recommendation. Any survivers, absolutely anything that could help.
Should she go for chemo or just wait for the inevitable with a better quality life.
I feel angry at the doctor, the hospital, my family, god, everyone. I don't know what to do.
😔</t>
        </is>
      </c>
      <c r="D5435" t="n">
        <v>9</v>
      </c>
      <c r="E5435" t="n">
        <v>6</v>
      </c>
      <c r="F5435">
        <f>HYPERLINK("https://www.reddit.com/r/cancer/comments/dk2i8y/diagnosed_with_stage_4_breast_cancer/")</f>
        <v/>
      </c>
      <c r="G5435" t="inlineStr">
        <is>
          <t>2019-10-19 04:26:58</t>
        </is>
      </c>
      <c r="H5435" t="inlineStr"/>
    </row>
    <row r="5436">
      <c r="A5436" t="inlineStr">
        <is>
          <t>dk2no0</t>
        </is>
      </c>
      <c r="B5436" t="inlineStr">
        <is>
          <t>My mom</t>
        </is>
      </c>
      <c r="C5436" t="inlineStr">
        <is>
          <t>So I previously posted about my mom having pleural effusion that was drained and cane back cancerous. 
Yesterday my mom had the VATS surgery and they found that she has multiple masses/tumors on the lining of her lung. On a CT scan they also saw lesions on her liver and pancreas. 
They’re saying we still need the PET scan and I agree but they’ve prepared us for the worst. 
I’m very scared guys.</t>
        </is>
      </c>
      <c r="D5436" t="n">
        <v>35</v>
      </c>
      <c r="E5436" t="n">
        <v>9</v>
      </c>
      <c r="F5436">
        <f>HYPERLINK("https://www.reddit.com/r/cancer/comments/dk2no0/my_mom/")</f>
        <v/>
      </c>
      <c r="G5436" t="inlineStr">
        <is>
          <t>2019-10-19 04:42:44</t>
        </is>
      </c>
      <c r="H5436" t="inlineStr"/>
    </row>
    <row r="5437">
      <c r="A5437" t="inlineStr">
        <is>
          <t>dk5br8</t>
        </is>
      </c>
      <c r="B5437" t="inlineStr">
        <is>
          <t>PSA problem. Help.</t>
        </is>
      </c>
      <c r="C5437" t="inlineStr">
        <is>
          <t>Hi. Pls help a student out.
The problem goes like this:
A patient with treated prostatic cancer maintained a low/normal PSA levels of about 2ng/mL but 10 yrs later the PSA levels went up to 50ng/mL.
We were stuck on choosing between the two possibilities. 
Either the sample collected for testing was from a different patient or there was a recurrence of the cancer. The latter being the most probable. 
¿ But isn't 10 yrs a little too long to have a high result? (5 yrs after treatment have less chances of recurrence and 10yrs being the time a patient is declared cured)</t>
        </is>
      </c>
      <c r="D5437" t="n">
        <v>0</v>
      </c>
      <c r="E5437" t="n">
        <v>1</v>
      </c>
      <c r="F5437">
        <f>HYPERLINK("https://www.reddit.com/r/cancer/comments/dk5br8/psa_problem_help/")</f>
        <v/>
      </c>
      <c r="G5437" t="inlineStr">
        <is>
          <t>2019-10-19 08:37:21</t>
        </is>
      </c>
      <c r="H5437" t="inlineStr"/>
    </row>
    <row r="5438">
      <c r="A5438" t="inlineStr">
        <is>
          <t>dk5nsp</t>
        </is>
      </c>
      <c r="B5438" t="inlineStr">
        <is>
          <t>did you find any possible reason for your cancer?</t>
        </is>
      </c>
      <c r="C5438" t="inlineStr">
        <is>
          <t>hello ! i apologize in advance if my post comes off as inappropriate, and i wish you all the best.
i am aware science couldn't find a cause to cancer (at least not every type of cancer), there are theories etc but nothing sure or clear.
so, i wonder if you suspect any reason? whether it's just genetics or a bad lifestyle or a huge emotional shock? again i know there's no corroletion but still curious to see what YOU have to say :)
thanks!</t>
        </is>
      </c>
      <c r="D5438" t="n">
        <v>4</v>
      </c>
      <c r="E5438" t="n">
        <v>26</v>
      </c>
      <c r="F5438">
        <f>HYPERLINK("https://www.reddit.com/r/cancer/comments/dk5nsp/did_you_find_any_possible_reason_for_your_cancer/")</f>
        <v/>
      </c>
      <c r="G5438" t="inlineStr">
        <is>
          <t>2019-10-19 09:02:35</t>
        </is>
      </c>
      <c r="H5438" t="inlineStr"/>
    </row>
    <row r="5439">
      <c r="A5439" t="inlineStr">
        <is>
          <t>dk6ezk</t>
        </is>
      </c>
      <c r="B5439" t="inlineStr">
        <is>
          <t>Switching my dad to hospice care - how do I make the most of our final time together?</t>
        </is>
      </c>
      <c r="C5439" t="inlineStr">
        <is>
          <t>Cancer is going to win this time, which sucks, but now I know I have an unknown amount of final hours with my dad. What should I do to make the most of this time, and not waste any of it, or have any regrets after he passes? We already are recording audio/video of our final words (he's proud of us, we're so thankful to him for all of his sacrifice, etc). What else? This is too precious time to waste.</t>
        </is>
      </c>
      <c r="D5439" t="n">
        <v>20</v>
      </c>
      <c r="E5439" t="n">
        <v>9</v>
      </c>
      <c r="F5439">
        <f>HYPERLINK("https://www.reddit.com/r/cancer/comments/dk6ezk/switching_my_dad_to_hospice_care_how_do_i_make/")</f>
        <v/>
      </c>
      <c r="G5439" t="inlineStr">
        <is>
          <t>2019-10-19 09:57:58</t>
        </is>
      </c>
      <c r="H5439" t="inlineStr"/>
    </row>
    <row r="5440">
      <c r="A5440" t="inlineStr">
        <is>
          <t>dk6ic1</t>
        </is>
      </c>
      <c r="B5440" t="inlineStr">
        <is>
          <t>A interesting conclusion</t>
        </is>
      </c>
      <c r="C5440" t="inlineStr">
        <is>
          <t>So I have had leukaemia for about two years now and a medicine (vin Christine) has been making my legs worse and worse. And today I came to the conclusion that my legs are basically fucked (excuse my launguage)</t>
        </is>
      </c>
      <c r="D5440" t="n">
        <v>3</v>
      </c>
      <c r="E5440" t="n">
        <v>2</v>
      </c>
      <c r="F5440">
        <f>HYPERLINK("https://www.reddit.com/r/cancer/comments/dk6ic1/a_interesting_conclusion/")</f>
        <v/>
      </c>
      <c r="G5440" t="inlineStr">
        <is>
          <t>2019-10-19 10:04:23</t>
        </is>
      </c>
      <c r="H5440" t="inlineStr"/>
    </row>
    <row r="5441">
      <c r="A5441" t="inlineStr">
        <is>
          <t>dk6voq</t>
        </is>
      </c>
      <c r="B5441" t="inlineStr">
        <is>
          <t>Anyone have any experience with veno occulsive disease as a side effect of chemo treatment causing liver failure?</t>
        </is>
      </c>
      <c r="C5441" t="inlineStr">
        <is>
          <t>I'm currently sitting next to my 5 year old daughter with stage 4 Alveolar Rhabdomyosarcoma in the ICU right now. Her liver has started to fail due to a side effect of the chemo causing VOD. Sounds like her chances aren't great. Transplant isn't an option due to how weak she is and the type of cancer she has.
Just curious what I should expect to see with this?  She is in a lot of pain but it is being managed. She is super weak and doesn't want to really interact with us much right now. How bad can this get if the treatment isn't working?</t>
        </is>
      </c>
      <c r="D5441" t="n">
        <v>7</v>
      </c>
      <c r="E5441" t="n">
        <v>3</v>
      </c>
      <c r="F5441">
        <f>HYPERLINK("https://www.reddit.com/r/cancer/comments/dk6voq/anyone_have_any_experience_with_veno_occulsive/")</f>
        <v/>
      </c>
      <c r="G5441" t="inlineStr">
        <is>
          <t>2019-10-19 10:31:22</t>
        </is>
      </c>
      <c r="H5441" t="inlineStr"/>
    </row>
    <row r="5442">
      <c r="A5442" t="inlineStr">
        <is>
          <t>dk89rx</t>
        </is>
      </c>
      <c r="B5442" t="inlineStr">
        <is>
          <t>Squamous cell carcinoma and my mom...</t>
        </is>
      </c>
      <c r="C5442" t="inlineStr">
        <is>
          <t>(On mobile, sorry in advanced)
Me: 25F, My mom: 59F
Earlier this month my mom was diagnosed with SCC in her right tonsil. Recently she got her PET scan results and it’s isolated in her right tonsil with possibility of the left. When a biopsy was done before this the doctor said it was too deep to actually just remove the tonsil ( which was a hard fact to sink in ). She has been looking at posts in a Facebook group about radiation, and other methods. But she’s leaning towards doing nothing, mainly because of others’ posts about their radiation treatment and the side effects/ after effects of radiation. I guess I am more or less looking for others’ inputs. Of course I want her around for a while and not to just give up before trying. But quality over quantity is her motto...but she hasn’t decided anything yet. 
Can anyone shed light if you have tonsil SCC and have tried radiation or what not? 
Thanks, coming to terms with this is pretty hard.</t>
        </is>
      </c>
      <c r="D5442" t="n">
        <v>1</v>
      </c>
      <c r="E5442" t="n">
        <v>0</v>
      </c>
      <c r="F5442">
        <f>HYPERLINK("https://www.reddit.com/r/cancer/comments/dk89rx/squamous_cell_carcinoma_and_my_mom/")</f>
        <v/>
      </c>
      <c r="G5442" t="inlineStr">
        <is>
          <t>2019-10-19 12:15:28</t>
        </is>
      </c>
      <c r="H5442" t="inlineStr"/>
    </row>
    <row r="5443">
      <c r="A5443" t="inlineStr">
        <is>
          <t>dk9nkj</t>
        </is>
      </c>
      <c r="B5443" t="inlineStr">
        <is>
          <t>Well it might of came back.</t>
        </is>
      </c>
      <c r="C5443" t="inlineStr">
        <is>
          <t>In the ER for stomach pains and feeling drained and from a blood test I now know that all my blood levels are low. That is a sign 9t my cancer coming back
I just want to open a window and scream and this is all before my birthday.</t>
        </is>
      </c>
      <c r="D5443" t="n">
        <v>8</v>
      </c>
      <c r="E5443" t="n">
        <v>6</v>
      </c>
      <c r="F5443">
        <f>HYPERLINK("https://www.reddit.com/r/cancer/comments/dk9nkj/well_it_might_of_came_back/")</f>
        <v/>
      </c>
      <c r="G5443" t="inlineStr">
        <is>
          <t>2019-10-19 14:02:10</t>
        </is>
      </c>
      <c r="H5443" t="inlineStr"/>
    </row>
    <row r="5444">
      <c r="A5444" t="inlineStr">
        <is>
          <t>dk9t75</t>
        </is>
      </c>
      <c r="B5444" t="inlineStr">
        <is>
          <t>Cancer From Something in the Environment</t>
        </is>
      </c>
      <c r="C5444" t="inlineStr">
        <is>
          <t>My fiancée, along with 10+ other children within a 5-ish mile radius, were all diagnosed with a rare bone cancer (Ewing’s Sarcoma) that effects somewhere in the range of like 1 - 2.9 people in 1 million (not sure in exact numbers but it’s around there).
So it’s incredibly rare. The fact that so many kids in a small radius got the take exact rare cancer at the same time makes me think it’s largely environmental, in this case.
There was an investigation into it but like most things it became political and was brushed under the rug. 
Out of those kids who got Ewing’s, 90% have lost their battle. My fiancée is one of the remaining and she is now terminal. 
Curious to see your thoughts, and if you’ve heard of any similar instances.</t>
        </is>
      </c>
      <c r="D5444" t="n">
        <v>40</v>
      </c>
      <c r="E5444" t="n">
        <v>24</v>
      </c>
      <c r="F5444">
        <f>HYPERLINK("https://www.reddit.com/r/cancer/comments/dk9t75/cancer_from_something_in_the_environment/")</f>
        <v/>
      </c>
      <c r="G5444" t="inlineStr">
        <is>
          <t>2019-10-19 14:14:24</t>
        </is>
      </c>
      <c r="H5444" t="inlineStr"/>
    </row>
    <row r="5445">
      <c r="A5445" t="inlineStr">
        <is>
          <t>dkamam</t>
        </is>
      </c>
      <c r="B5445" t="inlineStr">
        <is>
          <t>My cousin, her baby, and her leg sarcoma that's turned into Stage 4 lung cancer without anyone knowing because they had to protect the baby from full-body scans or chemical treatment</t>
        </is>
      </c>
      <c r="C5445" t="inlineStr">
        <is>
          <t>So my cousin (28F) and her husband (28M), married for several years, with a good financial state, a good marriage, etc., decided to have a baby. That'd been going smoothly, she'd been pregnant for like 4 months or so when she got diagnosed with I think bone cancer in her lower leg. 
I overheard my mom talking with relatives over the phone this morning, and apparently if it'd been up to my mom or my cousin's mom (my aunt), they'd "prioritize [my cousin] over the baby easily"...unfortunately, my cousin may have either wanted to keep the baby or since she's in Texas (her husband is stationed there), she couldn't get the pregnancy terminated this late so she could do full-body scans and cancer treatment. Either way, my cousin's pregnancy going on after the diagnosis prevented her from getting any kind of full-body scan or chemo/radiation until after the baby was induced in early October, at 34 weeks. 
So my cousin got her leg amputated at the knee in mid-September  to hopefully knock out most of the cancer, she's gotten her first prosthetic, and the baby girl got delivered on Oct. 3rd after a 1-day delay because the maternity ward was literally full on the initially-planned day. My newest cousin was born at like 4 lbs 12 oz and spent her first few days hooked up on machines in the NICU before being judged healthy enough to go home, where she is still doing excellently and just hit 5 lbs 2 oz. 
The initial plan was for my cousin and her husband to spend like 2 weeks with their daughter before my cousin went in for her perfunctory full-body scan and then underwent some chemo for the cancer to be gone, hopefully for good. 
Yesterday was the full-body scan. It revealed that during the pregnancy the sarcoma had spread to my cousin's lungs, where it's now stage 4. Now my cousin will need to undergo VERY aggressive treatment to stop the cancer and then *literally have the cancer scraped out of her lungs.* 
I *want* to hold faith that my cousin will ultimately beat all of this and enjoy her daughter growing up, she's such a fighter already, but I *know* the long-term statistics aren't good for Stage 4 lung cancer. If this is going to end horribly (read: my cousin will indeed  die from this), then for fuck's sake I hope soon we at least KNOW if my cousin's going to die and when so we can come to terms with that instead of waiting *endlessly* for new info about how she's doing and what the *hell* her prognosis is. 
Anyone else frustrated from either themselves or a loved one finishing the pregnancy before beginning the treatment and then hving to deal with "surprise" advncement of the disese tht went unknown because full-body scans would've hurt the baby? 
Because as much as I love my newest cousin and *know* that she didn't choose to influence her mom and the other adults to keep her growing till birth, I just can't shake the thought that my cousin and/or other adults keeping the pregnancy and thus forgoing full-body scans and chemical treatment for the first several months is what's led her to be so damn sick now.</t>
        </is>
      </c>
      <c r="D5445" t="n">
        <v>8</v>
      </c>
      <c r="E5445" t="n">
        <v>9</v>
      </c>
      <c r="F5445">
        <f>HYPERLINK("https://www.reddit.com/r/cancer/comments/dkamam/my_cousin_her_baby_and_her_leg_sarcoma_thats/")</f>
        <v/>
      </c>
      <c r="G5445" t="inlineStr">
        <is>
          <t>2019-10-19 15:18:12</t>
        </is>
      </c>
      <c r="H5445" t="inlineStr"/>
    </row>
    <row r="5446">
      <c r="A5446" t="inlineStr">
        <is>
          <t>dkanom</t>
        </is>
      </c>
      <c r="B5446" t="inlineStr">
        <is>
          <t>Any other cancer patients or survivors who are online gamers out there?</t>
        </is>
      </c>
      <c r="C5446" t="inlineStr">
        <is>
          <t>27M Aussie Hodgkin Lymphoma patient here, coming to the end now of ABVD/BEACOPP chemo and about to enter the break before radiation.
I know this might seem entirely redundant to some, but ever since having all this time off work I've been dying to make friends with others who have been through a similar experience. While I have plenty of friends, I'm sure I'm not the only person who has been disappointed by the effort put in by some or just felt tired of being around people 24/7 who don't 'get' cancer. I hate sounding like such an elitist but it's just how I feel.
As someone who enjoys online gaming, I've come to learn sometimes that online friendships to play team based games together (like Overwatch) can be rewarding too. I have a PS4 and Xbox, but the game I play most online is Overwatch / Borderlands on PS4. But I'm open to trying new things too.
It's not like I want to talk about cancer all the time, especially in the middle of an online game, but to be in a space with people who 'get' how important going through cancer is while simultaneously not being dramatic about it because they've also been through it - is a dream to me. And at the same time, I'd love to be able to pay forward all the help I've received from online communities when I was first diagnosed and scared shitless.
Tl;Dr, I'm looking for other cancer patients or survivors to play PS4 Overwatch with (or other online games).  Not sure if sharing socials is allowed but if so perhaps we could share our PSN/XBL tags in the comments?</t>
        </is>
      </c>
      <c r="D5446" t="n">
        <v>9</v>
      </c>
      <c r="E5446" t="n">
        <v>18</v>
      </c>
      <c r="F5446">
        <f>HYPERLINK("https://www.reddit.com/r/cancer/comments/dkanom/any_other_cancer_patients_or_survivors_who_are/")</f>
        <v/>
      </c>
      <c r="G5446" t="inlineStr">
        <is>
          <t>2019-10-19 15:21:06</t>
        </is>
      </c>
      <c r="H5446" t="inlineStr"/>
    </row>
    <row r="5447">
      <c r="A5447" t="inlineStr">
        <is>
          <t>dkbcvl</t>
        </is>
      </c>
      <c r="B5447" t="inlineStr">
        <is>
          <t>How accurate is it when doctors say someone has X weeks to live?</t>
        </is>
      </c>
      <c r="C5447" t="inlineStr">
        <is>
          <t>I know you can’t answer that question perfectly, I’m mostly just looking for words of advice and support. 
My mom has been battling cancer (multiple myeloma) for over 3 years now. And as of a few days ago, the doctors said she has 2-3 weeks left. How much trust should I put in that timeline? 
I think I’m feeling the early stages of grief right now, including lots of regrets and emotional volatility. On top of this, I’m stressed because I’ve traveled back home to be with her, and I can’t simply take off work indefinitely. If I knew for certain that she only had 2-3 weeks, then I can plan around that. But if she persists for longer than that (which I hope she does), then I don’t know how much longer I‘ll be able to take off work. Fortunately I work for a small company with an understanding HR person, but I’m still nervous/anxious about asking for more time off. 
On top of this, I’m feeling so overwhelmed about what I’ll need to do after she passes. She has a house full of her stuff, and I live in another city, and I don’t know what I’m going to do with it all. I don’t know how life insurance works, or how to plan a funeral. I feel like life is hitting me like a train. I’m just completely lost and overwhelmed.</t>
        </is>
      </c>
      <c r="D5447" t="n">
        <v>15</v>
      </c>
      <c r="E5447" t="n">
        <v>13</v>
      </c>
      <c r="F5447">
        <f>HYPERLINK("https://www.reddit.com/r/cancer/comments/dkbcvl/how_accurate_is_it_when_doctors_say_someone_has_x/")</f>
        <v/>
      </c>
      <c r="G5447" t="inlineStr">
        <is>
          <t>2019-10-19 16:14:33</t>
        </is>
      </c>
      <c r="H5447" t="inlineStr"/>
    </row>
    <row r="5448">
      <c r="A5448" t="inlineStr">
        <is>
          <t>dkc3dq</t>
        </is>
      </c>
      <c r="B5448" t="inlineStr">
        <is>
          <t>How do you deal with that fear of impending doom even if currently the situation looks better?</t>
        </is>
      </c>
      <c r="C5448" t="inlineStr">
        <is>
          <t>Hey guys, I am Alex. Nice to meet you all.
My mom has metastatic NSCLC. She’s 57, my absolutely rock and the only person who will love and support me unconditionally. I love her just as much. 
Our journey has been incredibly long. Everything started with a simple back pain. Fast forward four weeks later, she had five-hour-long neurosurgery to remove a tumor from her spine.  Fast forward 2 months later, we had done over 6 CT scans, 3 MRIs, 1 PET/CT scan, and 5 independent immunohistochemistry (pathology) reports plus 2 full genetic tests.
MD Anderson took over her care. Apparently she has oligometastatic (few and limited sites of disease) NSCLC. Luckily, she has a BRAF mutation as well, so will start on targeted therapy if necessary. Currently, she is on Keytruda, carboplatin and paclitaxcel. Doctors are hoping to shrink the tumors significantly and then move on to consolidating therapy (surgery or SBRT). They told us that we could hope of a cure, quote on quote. Immunotherapy and targeted therapy should ideally allow for that in patients with limited sites of disease.
However, I have that enormous fear of getting my hopes up. Currently, she seems to be improving. She’s taking chemo easily with no real side effects. Pain has greatly diminished. She’s basically back to normal, barring hair loss. 
Nonetheless, I am terrified. I am afraid of every single upcoming scan. I am afraid of asking her how she feels because every day she says “better”. But what if the scans show otherwise? I am afraid that even if we manage to get her cancer into remission, every next scan (2 months apart) could offer an unpleasant surprise.
How do you deal with these emotions? How do you control them and not let them take over you before every check-up?
Thank you guys!
PS: I never display these emotions in front of my mom and support her all the time - from helping with basic tasks at home to constantly telling her that she’ll win that war.</t>
        </is>
      </c>
      <c r="D5448" t="n">
        <v>8</v>
      </c>
      <c r="E5448" t="n">
        <v>3</v>
      </c>
      <c r="F5448">
        <f>HYPERLINK("https://www.reddit.com/r/cancer/comments/dkc3dq/how_do_you_deal_with_that_fear_of_impending_doom/")</f>
        <v/>
      </c>
      <c r="G5448" t="inlineStr">
        <is>
          <t>2019-10-19 17:14:59</t>
        </is>
      </c>
      <c r="H5448" t="inlineStr"/>
    </row>
    <row r="5449">
      <c r="A5449" t="inlineStr">
        <is>
          <t>dkckdo</t>
        </is>
      </c>
      <c r="B5449" t="inlineStr">
        <is>
          <t>CRS/HIPEC surgeon recommendations?</t>
        </is>
      </c>
      <c r="C5449" t="inlineStr">
        <is>
          <t>My dad will have to undergo CRS/HIPEC for pseudomyxoma peritonei/appendiceal cancer. We are trying to find the best HIPEC center to perform the surgery (somewhere in the US, state does not matter). We have seen data that indicates there is a learning curve associated with this surgery and that technical proficiency only occurs after at least 140 to 220 procedures (and is associated with better results). For that reason, we are trying to find a high-volume center with an experienced surgeon/surgical team. However, it is hard to find data on exactly what the most high volume centers are, let alone their results. So far, we are interested in UCSD, Dr. Lowy or Hillman Center, Dr. Bartlett. Does anyone know of any good high-volume centers for HIPEC? Or if you or have had this procedure, where did you go? 
Also, I would love to see more data re number of surgeries and also morbidity/mortality rates if anyone knows of a good resource to search for that information.</t>
        </is>
      </c>
      <c r="D5449" t="n">
        <v>3</v>
      </c>
      <c r="E5449" t="n">
        <v>10</v>
      </c>
      <c r="F5449">
        <f>HYPERLINK("https://www.reddit.com/r/cancer/comments/dkckdo/crshipec_surgeon_recommendations/")</f>
        <v/>
      </c>
      <c r="G5449" t="inlineStr">
        <is>
          <t>2019-10-19 17:54:35</t>
        </is>
      </c>
      <c r="H5449" t="inlineStr"/>
    </row>
    <row r="5450">
      <c r="A5450" t="inlineStr">
        <is>
          <t>dkg6w4</t>
        </is>
      </c>
      <c r="B5450" t="inlineStr">
        <is>
          <t>Looking for stories to give me hope....</t>
        </is>
      </c>
      <c r="C5450" t="inlineStr">
        <is>
          <t>My mom (48) was recently diagnosed with stage 4 adenocarcinoma. She had absolutely no signs pointing to lung cancer. A few weeks ago she started having trouble with memory, balance, and was having numbness on the left side of her body. I decided to take her to the hospital thinking she may have had a stroke. After a few tests they found 8 tumors in her brain (that caused the cognitive issues) and a tumor in her lungs and multiple bones in her pelvis. 
She starts radiation for the brain masses this week and we are still awaiting the results of a few tests to see if she is a candidate for immunotherapy or other medicines based on genetic results. 
I've had a tough year. First my brother in law suffered a traumatic brain injury that left him in the hospital for months. I found him in his bed on the brink of death and had to call an ambulance and help stabilize his breathing at 8.5 months pregnant. .  He  lives with us but is unable to work because of his injury so me and my husband are supporting him. Not that we aren't wanting to do it but it is stressful on our budget.  Shortly after that my step father's mom passed away (my moms primary care giver at this point so he is not doing great) . Then I had a baby and was hit with sever post partum depression that I am still trying to get control of. 
My son is 4 months old. He is the grandchild she had been waiting years for. What hurts me most about this diagnosis is knowing that he may grow up in a world where she doesn't exist and that she may never get to see him grow up. My mom came over every day those first few weeks to help out with him and make sure I got some sleep. She was my rock and I can honestly say that without her I would have never have been able to handle being a new mom. There are so many things I can so about my mom but the main point is that she is my best friend. 
She starts radiation this week for the brain tumors and we are still waiting on results for genetic markers (slim chance as she was a smoker).
I am hoping someone can tell me a positive story where stage 4 lung cancer turned out ok. That maybe she has more than the 6 months - 1 year that doctors are estimating. 
Really anything to pick me up right now. 
I am also interested in hearing stories that went the other way. I want to prepare myself. I am a realistic person, I knew where the diagnosis was going before they even announced it. If I can't have hope for better things I at least want to know what to expect.</t>
        </is>
      </c>
      <c r="D5450" t="n">
        <v>21</v>
      </c>
      <c r="E5450" t="n">
        <v>18</v>
      </c>
      <c r="F5450">
        <f>HYPERLINK("https://www.reddit.com/r/cancer/comments/dkg6w4/looking_for_stories_to_give_me_hope/")</f>
        <v/>
      </c>
      <c r="G5450" t="inlineStr">
        <is>
          <t>2019-10-19 23:52:45</t>
        </is>
      </c>
      <c r="H5450" t="inlineStr"/>
    </row>
    <row r="5451">
      <c r="A5451" t="inlineStr">
        <is>
          <t>dkgfgg</t>
        </is>
      </c>
      <c r="B5451" t="inlineStr">
        <is>
          <t>"Managing quality of life"</t>
        </is>
      </c>
      <c r="C5451" t="inlineStr">
        <is>
          <t>Friday I was told I have a little less than a year to live. I was wondering ideas how to help everyone around me. I've (for the most part) accepted it. I haven't accepted leaving people who care about me.</t>
        </is>
      </c>
      <c r="D5451" t="n">
        <v>24</v>
      </c>
      <c r="E5451" t="n">
        <v>6</v>
      </c>
      <c r="F5451">
        <f>HYPERLINK("https://www.reddit.com/r/cancer/comments/dkgfgg/managing_quality_of_life/")</f>
        <v/>
      </c>
      <c r="G5451" t="inlineStr">
        <is>
          <t>2019-10-20 00:21:44</t>
        </is>
      </c>
      <c r="H5451" t="inlineStr"/>
    </row>
    <row r="5452">
      <c r="A5452" t="inlineStr">
        <is>
          <t>dkhxqk</t>
        </is>
      </c>
      <c r="B5452" t="inlineStr">
        <is>
          <t>16 Warning Signs of Cancer You Shouldn’t Ignore</t>
        </is>
      </c>
      <c r="C5452" t="inlineStr">
        <is>
          <t>https://yourpets.tk/16-warning/</t>
        </is>
      </c>
      <c r="D5452" t="n">
        <v>0</v>
      </c>
      <c r="E5452" t="n">
        <v>0</v>
      </c>
      <c r="F5452">
        <f>HYPERLINK("https://www.reddit.com/r/cancer/comments/dkhxqk/16_warning_signs_of_cancer_you_shouldnt_ignore/")</f>
        <v/>
      </c>
      <c r="G5452" t="inlineStr">
        <is>
          <t>2019-10-20 03:30:28</t>
        </is>
      </c>
      <c r="H5452" t="inlineStr"/>
    </row>
    <row r="5453">
      <c r="A5453" t="inlineStr">
        <is>
          <t>dkielq</t>
        </is>
      </c>
      <c r="B5453" t="inlineStr">
        <is>
          <t>Liver cancer took my grandma this week.</t>
        </is>
      </c>
      <c r="C5453" t="inlineStr">
        <is>
          <t>I don’t know if this is the right place to post this but I’m going to anyways. 
My grandma has been sick since May. In June she started seeing an oncologist. In August they found a mass on her liver. Her doctors screwed around and didn’t have a biopsy done until late September. It was a rare form of liver cancer, and the tumor board wasn’t sure about what to do next. We’ve all just been tiptoeing around the sickness (besides my mom and aunt who have been handling the appointments and looking after her and my papa). She had a biopsy done last month, which led to internal bleeding which overall is what took her. She died two days ago. 
None of her doctors ever said “she has x days to live” or even warned us that we would lose her soon. I’ve been living at college two hours away and honestly thought this was just a fluke, as every time I’ve seen her lately she’s been her happy and funny self. She didn’t seem truly sick until after the biopsy was done. No one ever told me I should be preparing for the worst. 
I never thought she’d be the first to leave. My other grandma has dementia and I’ve been preparing myself to lose her for the past two years, I never realized I could lose this one first. She was 74, and her and my papa celebrated 54 years of marriage this past spring. They’ve had a beautiful life, and I’m so grateful to have gotten to grow up surrounded by their love. He’s hurting so much right now. I don’t think he knew we would lose her soon either. I want to help him but I’m not sure how. 
I’m just so mad that I have cancer to blame for taking my grandma when I didn’t even know it was cancer until a few weeks ago.  I don’t even know if the cancer took her or the bleeding from the biopsy did. I don’t know what part of it all I’m supposed to blame. I didn’t realize it all worked this quickly.</t>
        </is>
      </c>
      <c r="D5453" t="n">
        <v>6</v>
      </c>
      <c r="E5453" t="n">
        <v>5</v>
      </c>
      <c r="F5453">
        <f>HYPERLINK("https://www.reddit.com/r/cancer/comments/dkielq/liver_cancer_took_my_grandma_this_week/")</f>
        <v/>
      </c>
      <c r="G5453" t="inlineStr">
        <is>
          <t>2019-10-20 04:24:46</t>
        </is>
      </c>
      <c r="H5453" t="inlineStr"/>
    </row>
    <row r="5454">
      <c r="A5454" t="inlineStr">
        <is>
          <t>dkj19u</t>
        </is>
      </c>
      <c r="B5454" t="inlineStr">
        <is>
          <t>Complications from hipec</t>
        </is>
      </c>
      <c r="C5454" t="inlineStr">
        <is>
          <t>My mom was diagnosed with stage 4 colon cancer originating from the cecum. The cancer had metastasized to the ovaries, appendix and parts of the small intestine. Her entire colon was also cancerous. Last month she had a Cytoreductive surgery where they removed the entire colon, spleen, the omentum, peritonium, the affected part of the small intestine and the appendix (her ovaries and uterus were removed in an earlier surgery). This was followed by hipec. They also fitted her with a stoma bag. Her surgery combined with the hipec was 12 hours long. Considering how crazy the surgery was, she was actually recovering quite well. She was able to walk slowly by 3rd day post surgery. She was eating liquids and slowly started on a solid diet by day 2. Doctors were amazed by her progress and discharged her in a week. 
2 weeks post surgery, she suddenly started vomiting. We thought something she ate didn’t agree with her and so tried changing her diet. Nothing worked. Pretty soon things became so bad that we couldn’t even give her water. Anything which goes in would immediately come out. She was also complaining of a terrible discomfort in the abdominal area. We had to again admit her to the hospital. At the hospital, they attached a nasogastric tube via her nose and they aspirated her. Crazy black green sludge like liquid poured out and she immediately started feeling better. Then they kept aspirating her every 3 hours. At the hospital she had a liquid diet but didn’t seem to be getting any better.  They concluded that she had paralytic ileus. They also did a CT scan and found a small hole in the stomach - it was 0.3 - 0.4 cms. Since the CT scan, they have completely stopped feeding her. We are currently waiting to see if the stomach perforation will close on it’s own. And doctor also said that the ileus will heal with time. If the perforation doesn’t close, looks like she would need another surgery. 
Anyone here have had or know anyone who have had complications post-hipec? Did it resolve eventually or was another surgery needed? Terrified of another surgery and looking for answers. Would love to hear something!</t>
        </is>
      </c>
      <c r="D5454" t="n">
        <v>22</v>
      </c>
      <c r="E5454" t="n">
        <v>4</v>
      </c>
      <c r="F5454">
        <f>HYPERLINK("https://www.reddit.com/r/cancer/comments/dkj19u/complications_from_hipec/")</f>
        <v/>
      </c>
      <c r="G5454" t="inlineStr">
        <is>
          <t>2019-10-20 05:33:52</t>
        </is>
      </c>
      <c r="H5454" t="inlineStr"/>
    </row>
    <row r="5455">
      <c r="A5455" t="inlineStr">
        <is>
          <t>dkjzhq</t>
        </is>
      </c>
      <c r="B5455" t="inlineStr">
        <is>
          <t>I've been having Helicobacter Pylori for 10 years: am I at risk of stomach cancer?</t>
        </is>
      </c>
      <c r="C5455" t="inlineStr">
        <is>
          <t>Hello, I'm a guy in his early 30s. About 10 years ago I had chronic nausea, so I went to my doctor. After an EGD, it turned out I had an Helicobacter Pylori infection that caused a mild chronic gastritis.
I'm allergic to antibiotics so I couldn't do the triple therapy for the HP, but I tried some natural remedies (mastic gum, black garlic, aloe vera and other stuffs) that worked really well and after a few weeks my symptoms were completely gone even though the HP was still there (I did another test later).
Since then I had no stomach issues at all for 10 years, until now. For the past 2-3 months I've been experiencing an uncomfortable sensation after eating, and sometimes also a burning/painful sensation if I eat something spicy or acidic. No loss of appetite, no weight loss, no nausea, just an uncomfortable sensation after I eat that sometimes lasts up to 1-2 hours. Sometimes I don't feel anything though, it doesn't happen after every meal.
Since HP is apparently linked to stomach cancer, do you think I should do another EGD? Or could it just be a regular gastritis? Please note that I eat very healthy (lots of fruits and vegetables, absolutely zero junk/processed food/drinks) and I don't feel particularly stressed out (I have a somewhat stressful job, but I've been through worse times in my life).
What do you think?</t>
        </is>
      </c>
      <c r="D5455" t="n">
        <v>2</v>
      </c>
      <c r="E5455" t="n">
        <v>3</v>
      </c>
      <c r="F5455">
        <f>HYPERLINK("https://www.reddit.com/r/cancer/comments/dkjzhq/ive_been_having_helicobacter_pylori_for_10_years/")</f>
        <v/>
      </c>
      <c r="G5455" t="inlineStr">
        <is>
          <t>2019-10-20 07:01:59</t>
        </is>
      </c>
      <c r="H5455" t="inlineStr"/>
    </row>
    <row r="5456">
      <c r="A5456" t="inlineStr">
        <is>
          <t>dknmwv</t>
        </is>
      </c>
      <c r="B5456" t="inlineStr">
        <is>
          <t>Any feel depressed before being diagnosed with cancer?</t>
        </is>
      </c>
      <c r="C5456" t="inlineStr">
        <is>
          <t>I have a biopsy for skin cancer in 2 weeks. I started feeling really down out of nowhere. I dont know if it's related but had anyone had this experience?</t>
        </is>
      </c>
      <c r="D5456" t="n">
        <v>4</v>
      </c>
      <c r="E5456" t="n">
        <v>14</v>
      </c>
      <c r="F5456">
        <f>HYPERLINK("https://www.reddit.com/r/cancer/comments/dknmwv/any_feel_depressed_before_being_diagnosed_with/")</f>
        <v/>
      </c>
      <c r="G5456" t="inlineStr">
        <is>
          <t>2019-10-20 11:33:31</t>
        </is>
      </c>
      <c r="H5456" t="inlineStr"/>
    </row>
    <row r="5457">
      <c r="A5457" t="inlineStr">
        <is>
          <t>dkscya</t>
        </is>
      </c>
      <c r="B5457" t="inlineStr">
        <is>
          <t>My Best Friend Has Stage 4 Liver Cancer</t>
        </is>
      </c>
      <c r="C5457" t="inlineStr">
        <is>
          <t>I’m in a loss for words, we’re only 19 so i thought it was just a fluke when he told me about it last week. Lately he’s been crying and feeling super bad, and I’m 100% he’s not kidding. Tomorrow he will go to the doctor to discuss options and I’ll see him afterwards. He hasn’t even told his parents yet, but they know something is up. I’m going to bring extra pairs of clothes and I’ll be with him for as long as I can. 
I just met the guy a few months ago, but I never met anyone who I could call my best friend, no one who called me THEIR best friend. His parents say that he talks about me all the time, and I’m just so sad because nobody has loved me as much as he loves me. At first I couldn’t believe that he truly considered me his best friend, but I see he truly means it, and I consider him my best friend.
There’s so much more I want to do with him. He’s the best person I ever met and has the biggest heart. At times he can try to be show off-ish but I see past his facade and see he just wants to be accepted like everyone else. We share so much in common and we’ve shared plenty of personal stories together. We have a few things planned already but now we have to make new, more condensed plans together. 
I think I’m going to put my life on hold for a minute because he may have anywhere from a week to 4 months left to live. As I type this tears are running down my face. I dont want him to be sad anymore. I want him to have the best life he can. I’ll try to make that happen to him.</t>
        </is>
      </c>
      <c r="D5457" t="n">
        <v>49</v>
      </c>
      <c r="E5457" t="n">
        <v>5</v>
      </c>
      <c r="F5457">
        <f>HYPERLINK("https://www.reddit.com/r/cancer/comments/dkscya/my_best_friend_has_stage_4_liver_cancer/")</f>
        <v/>
      </c>
      <c r="G5457" t="inlineStr">
        <is>
          <t>2019-10-20 17:18:12</t>
        </is>
      </c>
      <c r="H5457" t="inlineStr"/>
    </row>
    <row r="5458">
      <c r="A5458" t="inlineStr">
        <is>
          <t>dkv8b5</t>
        </is>
      </c>
      <c r="B5458" t="inlineStr">
        <is>
          <t>Recommendations for putting on weight before chemo and stem cell transplant?</t>
        </is>
      </c>
      <c r="C5458" t="inlineStr">
        <is>
          <t>Hopefully this is ok to post on this subreddit, if not, apologies. So my mum has just been diagnosed with complex myelodysplasia (pre-leukaemia) and is about to start on medication (I can’t remember the name) before going into chemo and then (hopefully) having a stem cell transplant which may or may not work given that she has a complex case. 
Anyway, she’s tiny already and the doctors have suggested she put on a bit of weight before chemo. She’s super healthy so we’re trying to find ways of upping her calories and helping her put on a bit of weight healthily. 
Can anyone recommend anything? We’ve figured cheese and carbs and just eating a bit extra whenever she has a meal. But is there anything else we should be doing? Doctor said probably not protein shakes as they often make you feel full and you don’t eat as much as you should. Any help or recommendations appreciated. 
Thanks guys :)</t>
        </is>
      </c>
      <c r="D5458" t="n">
        <v>3</v>
      </c>
      <c r="E5458" t="n">
        <v>16</v>
      </c>
      <c r="F5458">
        <f>HYPERLINK("https://www.reddit.com/r/cancer/comments/dkv8b5/recommendations_for_putting_on_weight_before/")</f>
        <v/>
      </c>
      <c r="G5458" t="inlineStr">
        <is>
          <t>2019-10-20 21:29:37</t>
        </is>
      </c>
      <c r="H5458" t="inlineStr"/>
    </row>
    <row r="5459">
      <c r="A5459" t="inlineStr">
        <is>
          <t>dkwc7t</t>
        </is>
      </c>
      <c r="B5459" t="inlineStr">
        <is>
          <t>Can cancer be cured using parasites?</t>
        </is>
      </c>
      <c r="C5459" t="inlineStr">
        <is>
          <t>Ive been doing a bit of reaserch on the topic and I stubled upone this question. Anyone that knows about the subject might be able to fix my doubt. I mean and hypothetically speaking could there be a way for it to happen like this?</t>
        </is>
      </c>
      <c r="D5459" t="n">
        <v>0</v>
      </c>
      <c r="E5459" t="n">
        <v>3</v>
      </c>
      <c r="F5459">
        <f>HYPERLINK("https://www.reddit.com/r/cancer/comments/dkwc7t/can_cancer_be_cured_using_parasites/")</f>
        <v/>
      </c>
      <c r="G5459" t="inlineStr">
        <is>
          <t>2019-10-20 23:26:55</t>
        </is>
      </c>
      <c r="H5459" t="inlineStr"/>
    </row>
    <row r="5460">
      <c r="A5460" t="inlineStr">
        <is>
          <t>dkwlrj</t>
        </is>
      </c>
      <c r="B5460" t="inlineStr">
        <is>
          <t>Could this be cancer?</t>
        </is>
      </c>
      <c r="C5460" t="inlineStr">
        <is>
          <t>Hi, I’m 19 and male, and I’ve noticed that my right nipple has been kind of inverted lately, it looks a little bit like breast cancer nipples with the pointy end being submerged within the breast. I’ve also noticed that my right breast has been flatter than my left. I’ve tried feeling around for any lumps but I couldn’t find any, however I do feel a very small hard lump right underneath the center of the nipple. There is no discoloring or anything, and I don’t pay enough attention to the texture of my chest skin to notice any changes. Everything feels normal, but I do feel slight discomfort and tenderness in the nipple.
I’m 30lbs overweight, I have IBS, and some pelvic muscle issues, but I doubt that has anything to do with what is wrong with me. My family also has a history of cancer; my grandfather had skin cancer and my uncle had cancer that ended with his leg being amputated.
I’m a bit of a hypochondriac and any info would be much appreciated.</t>
        </is>
      </c>
      <c r="D5460" t="n">
        <v>1</v>
      </c>
      <c r="E5460" t="n">
        <v>1</v>
      </c>
      <c r="F5460">
        <f>HYPERLINK("https://www.reddit.com/r/cancer/comments/dkwlrj/could_this_be_cancer/")</f>
        <v/>
      </c>
      <c r="G5460" t="inlineStr">
        <is>
          <t>2019-10-20 23:56:52</t>
        </is>
      </c>
      <c r="H5460" t="inlineStr"/>
    </row>
    <row r="5461">
      <c r="A5461" t="inlineStr">
        <is>
          <t>dkx4l3</t>
        </is>
      </c>
      <c r="B5461" t="inlineStr">
        <is>
          <t>Started watching Breaking Bad...</t>
        </is>
      </c>
      <c r="C5461" t="inlineStr">
        <is>
          <t>Never finished the show. Decided to pick it back up again cause of the new Netflix film. Forgot about *spoilers* Walter’s plot point about cancer and it kinda just triggered a lot emotions or memories I’ve been kinda trying to ignore.
Finding out, the doctors appointments, navigating that stuff with family and how difficult it can be... that stuff was so weirdly close to home to my recent personal experiences and just kinda blindsided me as I totally forgot about that side of things. 
Waiting on my pathology results from surgery to see if my cancer is aggressive and what next steps are.
Gonna keep watching cause it’s damn good television but just a heads up for those who like me forgot about the plot of the show or are going in fresh that there may be triggers for cancer patients or those affected by cancer in other ways.</t>
        </is>
      </c>
      <c r="D5461" t="n">
        <v>8</v>
      </c>
      <c r="E5461" t="n">
        <v>14</v>
      </c>
      <c r="F5461">
        <f>HYPERLINK("https://www.reddit.com/r/cancer/comments/dkx4l3/started_watching_breaking_bad/")</f>
        <v/>
      </c>
      <c r="G5461" t="inlineStr">
        <is>
          <t>2019-10-21 00:53:48</t>
        </is>
      </c>
      <c r="H5461" t="inlineStr"/>
    </row>
    <row r="5462">
      <c r="A5462" t="inlineStr">
        <is>
          <t>dkxdu8</t>
        </is>
      </c>
      <c r="B5462" t="inlineStr">
        <is>
          <t>I need a little help if possible?</t>
        </is>
      </c>
      <c r="C5462" t="inlineStr">
        <is>
          <t>So on my profile I have a mri pic of my upper humerus. This 100% is not a do I have cancer post. It's a post asking has anyone ever seen something like it? I am under rhuemtologist care and have been referred to a orthapedic surgeon as the rhuemy team had no clue what it could be.</t>
        </is>
      </c>
      <c r="D5462" t="n">
        <v>0</v>
      </c>
      <c r="E5462" t="n">
        <v>3</v>
      </c>
      <c r="F5462">
        <f>HYPERLINK("https://www.reddit.com/r/cancer/comments/dkxdu8/i_need_a_little_help_if_possible/")</f>
        <v/>
      </c>
      <c r="G5462" t="inlineStr">
        <is>
          <t>2019-10-21 01:23:35</t>
        </is>
      </c>
      <c r="H5462" t="inlineStr"/>
    </row>
    <row r="5463">
      <c r="A5463" t="inlineStr">
        <is>
          <t>dkxv5u</t>
        </is>
      </c>
      <c r="B5463" t="inlineStr">
        <is>
          <t>Who can I turn to? (Besides here)</t>
        </is>
      </c>
      <c r="C5463" t="inlineStr">
        <is>
          <t>Good Morning, 
I am 49 now and was diagnosed at 44. Surgery and radiation got it in 2014. I was in remission until this year and can’t do surgery again since I don’t have the available neck left to remove the cancer as so much was removed in 2014.
Regardless I was asking to see if there are people close to me in Michigan, that also have cancer? The people I try to talk to are either bitter, angry or will not talk about their experience and things that helped them. Speaking to someone who does not understand or thinks they do is not a help. I know I’m supposed to be happy so don’t need someone telling me that, I need someone who is living it with me.
Who can I turn to that can understand my feelings? I tried to tell my family that this was the last hurrah and we need to ensure things are in place but no one seems to want to believe me.
Please advise and thank you.
Thank you</t>
        </is>
      </c>
      <c r="D5463" t="n">
        <v>5</v>
      </c>
      <c r="E5463" t="n">
        <v>11</v>
      </c>
      <c r="F5463">
        <f>HYPERLINK("https://www.reddit.com/r/cancer/comments/dkxv5u/who_can_i_turn_to_besides_here/")</f>
        <v/>
      </c>
      <c r="G5463" t="inlineStr">
        <is>
          <t>2019-10-21 02:18:30</t>
        </is>
      </c>
      <c r="H5463" t="inlineStr"/>
    </row>
    <row r="5464">
      <c r="A5464" t="inlineStr">
        <is>
          <t>dl09x9</t>
        </is>
      </c>
      <c r="B5464" t="inlineStr">
        <is>
          <t>I just need someone to listen</t>
        </is>
      </c>
      <c r="C5464" t="inlineStr">
        <is>
          <t>Cancer has ruined everything. 
Last Christmas my mom was complaining of pain in her midsection that kept growing worse. An ER visit said it was probably muscle pain, gave her a lidocaine patch, and referred her to her GP. He ran some bloodwork and concurred he thought it was muscle pain. 
It came back in January. Another ER trip. Some scans showed something in the liver, so she was referred to my dad's oncologist (dad is as close to being in remission from esophageal cancer as possible) who began to run tests. Nothing conclusive. More scans. More bloodwork. DNA testing on the biopsy. They found a mass in her liver, spots on her lungs and stomach. 
DNA tests inconclusive. Eventually she was diagnosed with stage 4 neuroendocrine cancer that had spread to her liver, lungs, and stomach. She got started on chemo, but didn't react to it well. Exhausted all the time, not just the few days after treatment. Couldn't eat anything, no appetite, constant coughing and vomiting up what little she managed to eat. Her doctor suggested immunotherapy instead, and after a long battle with the insurance company she was able to begin receiving that.
She also received brachytherapy to reduce the size of the liver mass. It did, a bit, but didn't really relieve her symptoms at all. 
I live in a different country from my parents, so last week my husband and I went for a long-planned visit. My mom landed in hospital the day before we got there, so we spent much of the visit in hospital hanging out with her. She was in extreme pain due to a tumour in her spine pressing on the nerves and bone, and the oncology team suggested radiation therapy to reduce the size of it and give her some relief. But she didn't want to do that because it hurt too much to be on the rad table. She was on IV morphine and hydrocodone, but when they offered to up her medication she refused--part of it is that her brother died of a self-induced opioid overdose about 15 years ago, and the other part is that she's growing increasingly paranoid.
She's afraid the nurses are trying to "get rid of her," she's afraid the doctors are trying to off her, even when the Eucharistic minister from church visited it was "he makes me feel like I'm on my way out." She won't talk to me or my dad, and only briefly to a social worker--saying she's afraid, basically. 
But the thing is, she's declining so quickly that it feels like she is "on her way out," in her phrasing. My dad thinks there's a distinct possibility she won't see Christmas/New Year's. She had to be catheterized the other day because she is having trouble passing urine. My dad desperately wants her to be home, but my mom is almost reluctant to come home. She'll need a hospital bed at home, and my mom is afraid she'll be a burden. 
My husband and I are back at home in our country, and it's killing me each day. I'm just waiting for the call that say she doesn't have much time left, and to come quick. My dad spoke to my husband about it, but not to me, because our family is definitely a This Is Hard, Let's Not Talk About It family. I'm genuinely running distracted, my mind is totally elsewhere, and this is just crushing. 
Thanks for reading. I don't have any friends who have gone through this before, or who have even lost a parent, so they don't really understand. My husband is right here in the thick of it with me, and we're all struggling together.</t>
        </is>
      </c>
      <c r="D5464" t="n">
        <v>76</v>
      </c>
      <c r="E5464" t="n">
        <v>29</v>
      </c>
      <c r="F5464">
        <f>HYPERLINK("https://www.reddit.com/r/cancer/comments/dl09x9/i_just_need_someone_to_listen/")</f>
        <v/>
      </c>
      <c r="G5464" t="inlineStr">
        <is>
          <t>2019-10-21 06:06:20</t>
        </is>
      </c>
      <c r="H5464" t="inlineStr"/>
    </row>
    <row r="5465">
      <c r="A5465" t="inlineStr">
        <is>
          <t>dl1uu1</t>
        </is>
      </c>
      <c r="B5465" t="inlineStr">
        <is>
          <t>stupid question but exposed to teflon plan fumes what do i do?</t>
        </is>
      </c>
      <c r="C5465" t="inlineStr">
        <is>
          <t>i was stupid and i was kinda hungry and in a rush. fired up the pan and fried some eggs. a bit of offgassing that smelled kinda off but since i was in a hurry i ignored it and gobbled my eggs.
realized later that non-stick pans have a sketchy background and could possibly be a cancer risk.
&amp;amp;#x200B;
anything i can really do at this point or just eat healthy and hope for the best? 
&amp;amp;#x200B;
\-thx</t>
        </is>
      </c>
      <c r="D5465" t="n">
        <v>0</v>
      </c>
      <c r="E5465" t="n">
        <v>2</v>
      </c>
      <c r="F5465">
        <f>HYPERLINK("https://www.reddit.com/r/cancer/comments/dl1uu1/stupid_question_but_exposed_to_teflon_plan_fumes/")</f>
        <v/>
      </c>
      <c r="G5465" t="inlineStr">
        <is>
          <t>2019-10-21 08:06:28</t>
        </is>
      </c>
      <c r="H5465" t="inlineStr"/>
    </row>
    <row r="5466">
      <c r="A5466" t="inlineStr">
        <is>
          <t>dl2l16</t>
        </is>
      </c>
      <c r="B5466" t="inlineStr">
        <is>
          <t>I miss my old oncologist and with my current one I’m concerned for my life tbh</t>
        </is>
      </c>
      <c r="C5466" t="inlineStr">
        <is>
          <t>I don’t want to say too much in case I’m just being paranoid and it’s possible my oncologist my come on Reddit.
“ I do sound paranoid don’t I” 
When my melanoma spread to my brain my old oncologist immediately got me to see a neurologist and week later I had gamma knife surgery.
It saved me life.,.. I’m just not very confident with my current oncologist. She seems too laid back and I believe if things get bad she would drag her feet. 
My old oncologist was “cold” might not be appropriate but she got things moving fast and we had a good rapport. 
Maybe I’m just overthinking. 
But I’ve had to chase a MRI and CT scan that should of been booked last month</t>
        </is>
      </c>
      <c r="D5466" t="n">
        <v>6</v>
      </c>
      <c r="E5466" t="n">
        <v>6</v>
      </c>
      <c r="F5466">
        <f>HYPERLINK("https://www.reddit.com/r/cancer/comments/dl2l16/i_miss_my_old_oncologist_and_with_my_current_one/")</f>
        <v/>
      </c>
      <c r="G5466" t="inlineStr">
        <is>
          <t>2019-10-21 08:58:43</t>
        </is>
      </c>
      <c r="H5466" t="inlineStr"/>
    </row>
    <row r="5467">
      <c r="A5467" t="inlineStr">
        <is>
          <t>dl5jhc</t>
        </is>
      </c>
      <c r="B5467" t="inlineStr">
        <is>
          <t>how do you choose cancer oncologist doctor</t>
        </is>
      </c>
      <c r="C5467" t="inlineStr">
        <is>
          <t>My father went to ER in NY Presbyterian, and they have assigned him a young fellow oncologist, now he was diagnosis with stage 4 stomach cancer, the treatment is going to be 2 cycle chemo and then immunotherapy. My question what is fellow doctor? Is there a team with more experienced doctor behind him to make decision? Should he see another doctor in the same hospital since this one of the best hospital in NYC.</t>
        </is>
      </c>
      <c r="D5467" t="n">
        <v>4</v>
      </c>
      <c r="E5467" t="n">
        <v>4</v>
      </c>
      <c r="F5467">
        <f>HYPERLINK("https://www.reddit.com/r/cancer/comments/dl5jhc/how_do_you_choose_cancer_oncologist_doctor/")</f>
        <v/>
      </c>
      <c r="G5467" t="inlineStr">
        <is>
          <t>2019-10-21 12:27:25</t>
        </is>
      </c>
      <c r="H5467" t="inlineStr"/>
    </row>
    <row r="5468">
      <c r="A5468" t="inlineStr">
        <is>
          <t>dl5t1z</t>
        </is>
      </c>
      <c r="B5468" t="inlineStr">
        <is>
          <t>Fuck Cancer</t>
        </is>
      </c>
      <c r="C5468" t="inlineStr">
        <is>
          <t>I see so many post this , most being families of patients . As a 55 year old male in stage IV of mesothelioma  i can say it will win in the end. However i won't stop living until it does , support your friends / loved ones as best you can . Most like myself with this disease have made peace with ourselves and accept what will be ,not trying to condem anyones frustrations but it's a reality i live with everyday , i'm at peace with me and it wont ruin my remaining days.</t>
        </is>
      </c>
      <c r="D5468" t="n">
        <v>34</v>
      </c>
      <c r="E5468" t="n">
        <v>8</v>
      </c>
      <c r="F5468">
        <f>HYPERLINK("https://www.reddit.com/r/cancer/comments/dl5t1z/fuck_cancer/")</f>
        <v/>
      </c>
      <c r="G5468" t="inlineStr">
        <is>
          <t>2019-10-21 12:46:11</t>
        </is>
      </c>
      <c r="H5468" t="inlineStr"/>
    </row>
    <row r="5469">
      <c r="A5469" t="inlineStr">
        <is>
          <t>dl6buo</t>
        </is>
      </c>
      <c r="B5469" t="inlineStr">
        <is>
          <t>What? He had stage 4 Pancreatic Cancer and is getting better?</t>
        </is>
      </c>
      <c r="C5469" t="inlineStr">
        <is>
          <t>Always thought a stage 4 Pancreatic Cancer diagnosis was fatal.</t>
        </is>
      </c>
      <c r="D5469" t="n">
        <v>9</v>
      </c>
      <c r="E5469" t="n">
        <v>6</v>
      </c>
      <c r="F5469">
        <f>HYPERLINK("https://www.reddit.com/r/cancer/comments/dl6buo/what_he_had_stage_4_pancreatic_cancer_and_is/")</f>
        <v/>
      </c>
      <c r="G5469" t="inlineStr">
        <is>
          <t>2019-10-21 13:23:03</t>
        </is>
      </c>
      <c r="H5469" t="inlineStr"/>
    </row>
    <row r="5470">
      <c r="A5470" t="inlineStr">
        <is>
          <t>dl6kvu</t>
        </is>
      </c>
      <c r="B5470" t="inlineStr">
        <is>
          <t>After four rounds of chemo, my her2+ breast cancer tumor is down only 25%</t>
        </is>
      </c>
      <c r="C5470" t="inlineStr">
        <is>
          <t>Does anyone know how much additional shrinkage, if any, is likely to occur in the last two rounds?  TBH I have not felt much progress since round two.  last week’s ultrasound confirmed what I already suspected. The lymph nodes have essentially cleared up, but the tumor has not gone down much.  Unfortunately my regular oncologist is out this week and her partner didn’t want to go into much detail because he was not familiar with my file so he just regurgitated the radiologist’s report.</t>
        </is>
      </c>
      <c r="D5470" t="n">
        <v>3</v>
      </c>
      <c r="E5470" t="n">
        <v>14</v>
      </c>
      <c r="F5470">
        <f>HYPERLINK("https://www.reddit.com/r/cancer/comments/dl6kvu/after_four_rounds_of_chemo_my_her2_breast_cancer/")</f>
        <v/>
      </c>
      <c r="G5470" t="inlineStr">
        <is>
          <t>2019-10-21 13:40:29</t>
        </is>
      </c>
      <c r="H5470" t="inlineStr"/>
    </row>
    <row r="5471">
      <c r="A5471" t="inlineStr">
        <is>
          <t>dl6qdp</t>
        </is>
      </c>
      <c r="B5471" t="inlineStr">
        <is>
          <t>How does "Chris Beat Cancer", a junk science book, have 5 stars on Amazon?</t>
        </is>
      </c>
      <c r="C5471" t="inlineStr">
        <is>
          <t>It makes me so angry that the book "Chris Beat Cancer" has 5 stars when it argues that you should just drink juice/ make lifestyle changes instead of following your oncologist's treatment plan. Chris has zero medical degrees and is not qualified to give medical advice, yet he is making millions of dollars selling that advice to vulnerable cancer patients. I left a negative review but so far the positive reviews are really dwarfing the negative and it is the number one seller in Oncology on Amazon! How is that even possible?? I hate to draw attention to this book but it just blows my mind how illogical and wrong this is.</t>
        </is>
      </c>
      <c r="D5471" t="n">
        <v>1</v>
      </c>
      <c r="E5471" t="n">
        <v>0</v>
      </c>
      <c r="F5471">
        <f>HYPERLINK("https://www.reddit.com/r/cancer/comments/dl6qdp/how_does_chris_beat_cancer_a_junk_science_book/")</f>
        <v/>
      </c>
      <c r="G5471" t="inlineStr">
        <is>
          <t>2019-10-21 13:51:01</t>
        </is>
      </c>
      <c r="H5471" t="inlineStr"/>
    </row>
    <row r="5472">
      <c r="A5472" t="inlineStr">
        <is>
          <t>dl6y10</t>
        </is>
      </c>
      <c r="B5472" t="inlineStr">
        <is>
          <t>Vent about cancer</t>
        </is>
      </c>
      <c r="C5472" t="inlineStr">
        <is>
          <t>This time last year both my grandmothers were diagnosed with cancer. One with lung cancer, and one with kidney cancer that had come back. Within six months my grandma that was previously running marathons (fundraising for cancer research!) Was in a wheelchair. They both lost their hair, significant weight, and were deppressed as hell. It's so horrible watching the ones you love slowly die. They both died a two months apart from each other in the spring. They couldn't even talk at the end. And the end happened so quickly, one week they're talking and meeting the new baby, the next they're bedridden, cant eat, cant speak, cant move. Now my uncle has esophageal cancer, found out a few days ago. We dont know how serious yet. A few minutes ago I found out my favorite professor has aggressive brain cancer. She helped me through my grandmas' passing and now she has to travel across the country for surgery. Shes so young and such an amazing person, I'm praying she beats this. Thank you for reading this, I just feel so lost right now and have no one to talk to</t>
        </is>
      </c>
      <c r="D5472" t="n">
        <v>3</v>
      </c>
      <c r="E5472" t="n">
        <v>1</v>
      </c>
      <c r="F5472">
        <f>HYPERLINK("https://www.reddit.com/r/cancer/comments/dl6y10/vent_about_cancer/")</f>
        <v/>
      </c>
      <c r="G5472" t="inlineStr">
        <is>
          <t>2019-10-21 14:05:24</t>
        </is>
      </c>
      <c r="H5472" t="inlineStr"/>
    </row>
    <row r="5473">
      <c r="A5473" t="inlineStr">
        <is>
          <t>dl7jmy</t>
        </is>
      </c>
      <c r="B5473" t="inlineStr">
        <is>
          <t>A tribute musicvideo to 9 year old Andreas struggling with ATRT brain tumor</t>
        </is>
      </c>
      <c r="C5473" t="inlineStr">
        <is>
          <t>Shared from his dad on Facebook : 
My son thinks that numbers of likes/subscribers on his musiv video is way to low. 
Was therefore wondering if you guys could visit the video like/subscribe. 
I know Andreas (the main man) is watching the likes closely, could we get him a surprise ? Please like the video so we maybe can give him a surprise tomorrow morning :) 
All proceeds from this single will be donated to Barnekreftforeningen (a children's cancer charity organisation here in Norway).
Youtube link
https://www.youtube.com/watch?v=E3n0YMkkLuk</t>
        </is>
      </c>
      <c r="D5473" t="n">
        <v>1</v>
      </c>
      <c r="E5473" t="n">
        <v>0</v>
      </c>
      <c r="F5473">
        <f>HYPERLINK("https://www.reddit.com/r/cancer/comments/dl7jmy/a_tribute_musicvideo_to_9_year_old_andreas/")</f>
        <v/>
      </c>
      <c r="G5473" t="inlineStr">
        <is>
          <t>2019-10-21 14:47:26</t>
        </is>
      </c>
      <c r="H5473" t="inlineStr"/>
    </row>
    <row r="5474">
      <c r="A5474" t="inlineStr">
        <is>
          <t>dl86qc</t>
        </is>
      </c>
      <c r="B5474" t="inlineStr">
        <is>
          <t>My son struggle with brain cancer and has a wish...</t>
        </is>
      </c>
      <c r="C5474" t="inlineStr">
        <is>
          <t>Hi. I have a 10yo son who was diagnosed with at/rt for approx 1.5 years ago. He is still live and kicking, but with metastasis in both brain and spine. We were done with the at/rt treatment protocol in February this year, but we have just started with a new type of chemotherapy that we hope will prolong his life. We also have a small hope for this being curative but our oncologists tell us not to.. 
A while back, one of my best friends made my son a song, called “Main Man” which he recorded and performed with his band “Few dollars more”. All revenues go directly to the Norwegian child cancer organization (Barnekreftforeningen).
My son is extremely happy about the son and is currently obsessed by getting “likes and subscribes” to this song.. so I am selling myself out here on Reddit:
Could you please like the song “Main Man” and subscribe to the band “Few Dollars More” on YouTube? It would definitely make my son extremely happy and grateful.</t>
        </is>
      </c>
      <c r="D5474" t="n">
        <v>67</v>
      </c>
      <c r="E5474" t="n">
        <v>20</v>
      </c>
      <c r="F5474">
        <f>HYPERLINK("https://www.reddit.com/r/cancer/comments/dl86qc/my_son_struggle_with_brain_cancer_and_has_a_wish/")</f>
        <v/>
      </c>
      <c r="G5474" t="inlineStr">
        <is>
          <t>2019-10-21 15:34:45</t>
        </is>
      </c>
      <c r="H5474" t="inlineStr"/>
    </row>
    <row r="5475">
      <c r="A5475" t="inlineStr">
        <is>
          <t>dl8e7p</t>
        </is>
      </c>
      <c r="B5475" t="inlineStr">
        <is>
          <t>Taxol neuropathies</t>
        </is>
      </c>
      <c r="C5475" t="inlineStr">
        <is>
          <t>Hello everyone. Currently I am taking taxol once a week to try to push back my metastatic breast cancer. Overall it's not been awful, I have gotten some edema and pain. But things I expected. I did not expect my neuropathies to get this bad. I can't feel the tips of my fingers at all and sometimes the palm of my left hand also loses feeling. Last week they were on the fence about stopping treatment but I told them I wanted to push through. I'm stage 4 and I only have so many treatments left, so I don't wanna stop this if I don't have to. I guess I just want to know how many of you ended up with any taxol related neuropathy being permanent. Any and all advice is welcome.</t>
        </is>
      </c>
      <c r="D5475" t="n">
        <v>4</v>
      </c>
      <c r="E5475" t="n">
        <v>5</v>
      </c>
      <c r="F5475">
        <f>HYPERLINK("https://www.reddit.com/r/cancer/comments/dl8e7p/taxol_neuropathies/")</f>
        <v/>
      </c>
      <c r="G5475" t="inlineStr">
        <is>
          <t>2019-10-21 15:50:15</t>
        </is>
      </c>
      <c r="H5475" t="inlineStr"/>
    </row>
    <row r="5476">
      <c r="A5476" t="inlineStr">
        <is>
          <t>dl9t4e</t>
        </is>
      </c>
      <c r="B5476" t="inlineStr">
        <is>
          <t>Side affects of prednislone</t>
        </is>
      </c>
      <c r="C5476" t="inlineStr">
        <is>
          <t>Been on steroids for 4 months now dosage has been reduced to 23mg been experiencing some pretty major moon face puffy under eye bags as well as eyes watering and burning occasionally, also major fat/puffy/swelling in the stomach reigon while my arms and legs are relatively slim speaking. My question is has anyone experienced this and how long did it take for these affects to go away 100% after you stopped taking them?</t>
        </is>
      </c>
      <c r="D5476" t="n">
        <v>6</v>
      </c>
      <c r="E5476" t="n">
        <v>4</v>
      </c>
      <c r="F5476">
        <f>HYPERLINK("https://www.reddit.com/r/cancer/comments/dl9t4e/side_affects_of_prednislone/")</f>
        <v/>
      </c>
      <c r="G5476" t="inlineStr">
        <is>
          <t>2019-10-21 17:34:33</t>
        </is>
      </c>
      <c r="H5476" t="inlineStr"/>
    </row>
    <row r="5477">
      <c r="A5477" t="inlineStr">
        <is>
          <t>dlap29</t>
        </is>
      </c>
      <c r="B5477" t="inlineStr">
        <is>
          <t>My mom passed away</t>
        </is>
      </c>
      <c r="C5477" t="inlineStr">
        <is>
          <t>After suffering a lot she passed away today. The day of my birthday and the last thing I heard her say were happy birthday sorry I forgot about it. Thanks to everyone that helped me the other day but she couldn't make it. It feels like a really bad nightmare I just wanna wake up from it</t>
        </is>
      </c>
      <c r="D5477" t="n">
        <v>55</v>
      </c>
      <c r="E5477" t="n">
        <v>14</v>
      </c>
      <c r="F5477">
        <f>HYPERLINK("https://www.reddit.com/r/cancer/comments/dlap29/my_mom_passed_away/")</f>
        <v/>
      </c>
      <c r="G5477" t="inlineStr">
        <is>
          <t>2019-10-21 18:42:22</t>
        </is>
      </c>
      <c r="H5477" t="inlineStr"/>
    </row>
    <row r="5478">
      <c r="A5478" t="inlineStr">
        <is>
          <t>dlbiaq</t>
        </is>
      </c>
      <c r="B5478" t="inlineStr">
        <is>
          <t>What was the best "gift" you received while in treatment?</t>
        </is>
      </c>
      <c r="C5478" t="inlineStr">
        <is>
          <t>I just found out a friend of mine has testicular cancer. He's in amazing spirits and can joke about it despite the seriousness of it. 
I'm curious of those who went through all the chemotherapy and surgeries etc, what was something that really kept you going or helped you whether it be physically, mentally, for your family... I want to help out in some way but, I really don't know how or even if there's a way I can. He's an amazing person, and I'm just hoping he'll kick cancer's a$$!</t>
        </is>
      </c>
      <c r="D5478" t="n">
        <v>7</v>
      </c>
      <c r="E5478" t="n">
        <v>11</v>
      </c>
      <c r="F5478">
        <f>HYPERLINK("https://www.reddit.com/r/cancer/comments/dlbiaq/what_was_the_best_gift_you_received_while_in/")</f>
        <v/>
      </c>
      <c r="G5478" t="inlineStr">
        <is>
          <t>2019-10-21 19:47:12</t>
        </is>
      </c>
      <c r="H5478" t="inlineStr"/>
    </row>
    <row r="5479">
      <c r="A5479" t="inlineStr">
        <is>
          <t>dlc9aq</t>
        </is>
      </c>
      <c r="B5479" t="inlineStr">
        <is>
          <t>A questions for my dad.</t>
        </is>
      </c>
      <c r="C5479" t="inlineStr">
        <is>
          <t>Hey all,
I wanted to ask people who have been through this before. My dad just started chemo and radiation this week,
What can I do to help him feel less alone and more positive? We don't have the strongest relationship, but I still want him to feel like people care for him.
Any suggestions are welcome! :)</t>
        </is>
      </c>
      <c r="D5479" t="n">
        <v>3</v>
      </c>
      <c r="E5479" t="n">
        <v>6</v>
      </c>
      <c r="F5479">
        <f>HYPERLINK("https://www.reddit.com/r/cancer/comments/dlc9aq/a_questions_for_my_dad/")</f>
        <v/>
      </c>
      <c r="G5479" t="inlineStr">
        <is>
          <t>2019-10-21 20:51:51</t>
        </is>
      </c>
      <c r="H5479" t="inlineStr"/>
    </row>
    <row r="5480">
      <c r="A5480" t="inlineStr">
        <is>
          <t>dlcdoy</t>
        </is>
      </c>
      <c r="B5480" t="inlineStr">
        <is>
          <t>I lost my brother in March and it still hurts the same now as it did then.</t>
        </is>
      </c>
      <c r="C5480" t="inlineStr">
        <is>
          <t>He was diagnosed at the end of 2017 with testicular cancer at age 26. He went to the doc because he was having some trouble breathing, and his scans looked suspicious.   So they looked further and found a mass on his testicle.  At the time, they were optimistic saying it was so small.. almost too small to be detected on a self-exam.  They also explained that testicular metastasis was a bit different than other cancers in that it’s more like cells getting stuck in different places rather than developing into new cancer, so that combined with testicular cancer’s high treatment success rate left him and all of us hopeful.  I was the first person he told, and I remember him asking me how to tell our mom because he didn’t want to ruin her Christmas by telling her he had cancer.   
Unfortunately she ended up finding out anyway.  On Christmas day, he ended up coughing and vomiting up blood and that’s when she found out.   He spent over a month in the hospital that first time, and it was a constant battle from there.  Kidney stents, ports, surgeries, breathing problems, chemo, radiation... 
Things seemed to be going well.  His scans were improving and he was feeling better.  His tumor markers were returning to normal.   Then in July 2018, he had a brain hemorrhage.   He was home alone, and thankfully had the bearings through the confusion to call my mom and she called 911 on the way home.   He had an emergency craniotomy and the doctors were honest that they were unsure of the outcome, how much damage had been done, whether he’d even regain consciousness.    Miraculously, he woke up immediately after the anesthesia wore off and pulled his own breathing tube out.  It truly felt like a miracle.  He was able to talk, walk, eat, swallow, move all his limbs.. but there were some residual complications.   He completely lost sight in his right eye.   He had amnesia, where he constantly thought it was a year earlier than present day.   He wasn’t able to read analog clocks.  He couldn’t list the months of the year.  It was difficult for him to feed himself because he couldn’t identify appropriate utensils.    He got frustrated but we kept reassuring him that he’s so fortunate to be alive and to be as functional as he was after a serious brain bleed.   
Eventually he went home and things were looking up again.  His cancer was still diminishing and his brain functions were getting better.  The neurologist was confident most of what he lost would eventually return, if he kept stimulating his brain.  In December 2018 he had another episode where he fell out of bed and possibly had a seizure.   During this episode, he fractured his back which made it very difficult to walk.   Around this time, we learned the cancer was no longer responding to traditional treatments.   He began to receive stem cell treatments as a next step.   
Unfortunately it seemed they were too little too late.   In March of this year, just a month after his 28th birthday, he was admitted into the hospital with seizures and trouble breathing.    During this hospitalization, it was found on his lung scans that there was a lot of fluid and masses.   If he was put on a ventilator, he likely would never come off it again and given the state of his respiratory failure, he probably had a day or two to live.  My mom made the decision to make him comfortable.   We sat by his side as he dwindled away, talking to him and reminiscing with stories of our childhood.   
He passed away early in the morning and I’ve never cried so hard in my life.   It’s the kind of pain that is so deep it takes your breath away.  I still cry about it.   I have so many of our pictures from growing up, his favorite jacket he always wore... I don’t want to hide his things but they always destroy me when I come across them.  It’s about all I can bear to see the prayer card from his service on our refrigerator.    
Cancer is so unfair.  He was so young and smart and had so much life to live.   I feel a litany of emotions.  Sorrow that he suffered so.  Anger that he died of a “curable” cancer.   Guilt that we should have spent more time together.   I know all these things are normal grieving feelings, but I just miss him so much.    Reading everyone else’s stories on this sub has made me ugly cry but it’s nice to know that I’m not alone.</t>
        </is>
      </c>
      <c r="D5480" t="n">
        <v>41</v>
      </c>
      <c r="E5480" t="n">
        <v>8</v>
      </c>
      <c r="F5480">
        <f>HYPERLINK("https://www.reddit.com/r/cancer/comments/dlcdoy/i_lost_my_brother_in_march_and_it_still_hurts_the/")</f>
        <v/>
      </c>
      <c r="G5480" t="inlineStr">
        <is>
          <t>2019-10-21 21:02:53</t>
        </is>
      </c>
      <c r="H5480" t="inlineStr"/>
    </row>
    <row r="5481">
      <c r="A5481" t="inlineStr">
        <is>
          <t>dld1gi</t>
        </is>
      </c>
      <c r="B5481" t="inlineStr">
        <is>
          <t>My grandma is dying... need someone to listen</t>
        </is>
      </c>
      <c r="C5481" t="inlineStr">
        <is>
          <t>sorry this is a long one:
5 days ago, my mom texted me saying that she was taking my grandma to the ER. She said that she was in excruciating pain and couldn't urinate. The "bright side" of me thought that it was something to do with the kidney and bladder stones that she had (she had already been to multiple doctors for those issues). The back of my mind was telling me that this wasn't going to be good.
Well, it's not good. They found a mass on her sacrum that they were 99% sure was cancer. They did a biopsy, which they said would be back today, but no doctors have been in to see her at the hospital. It's back... I know it's back and I know it's bad. They also found a "spot" on her lung and did more testing today. My grandma cooked dinner for 5 people 10 days ago, she exercised, did her makeup every day of her life, went to church, went out with her friends... she wasn't your typical 79 year old- until about a day after she'd been in the hospital. She's mentally out of it and she can barely walk. This happened in 4 days... I don't know how much of it is the pain meds and how much of it is just her. I watched my uncle die of pancreatic cancer about 2 years ago, which makes me literally terrified to go visit her in the hospital. I can't fathom seeing her like he was- unrecognizable. 
My mom just cries whenever she's home, she gets mad at me for breathing wrong... you could cut the tension in my house with a knife. My mom thinks I don't care because I haven't cried about it yet and because I "haven't asked about grandma at all". My mom just sits on the patio and drinks goes on her phone when she gets home, so I'd been assuming that she was trying to decompress and not think about it. I'd been asking my dad for updates because I didn't want to upset her. I told her this today and we made up, but I just know that we're all in for a shit ride. I'm not ready for this- not that anyone ever is... but it's just happening so insanely fast. 4 fucking days!! I'm seeing my grandma either tomorrow or the day after- not ready for that either. I feel incapable of doing it. I'm so petrified. I feel like I'm walking on eggshells and I have no one to talk to. I just need to vent.</t>
        </is>
      </c>
      <c r="D5481" t="n">
        <v>8</v>
      </c>
      <c r="E5481" t="n">
        <v>2</v>
      </c>
      <c r="F5481">
        <f>HYPERLINK("https://www.reddit.com/r/cancer/comments/dld1gi/my_grandma_is_dying_need_someone_to_listen/")</f>
        <v/>
      </c>
      <c r="G5481" t="inlineStr">
        <is>
          <t>2019-10-21 22:05:41</t>
        </is>
      </c>
      <c r="H5481" t="inlineStr"/>
    </row>
    <row r="5482">
      <c r="A5482" t="inlineStr">
        <is>
          <t>dlgqzu</t>
        </is>
      </c>
      <c r="B5482" t="inlineStr">
        <is>
          <t>Healthcare-The value of a life</t>
        </is>
      </c>
      <c r="C5482" t="inlineStr">
        <is>
          <t>The reason I came here was to ask for contributions but I just red the rules, 
So il just share my perspective, 
Where I'm from we have free healthcare so I've never had to think about it before, but an acquaintance that I met asked for donation through FB. At that moment it occurred to me that i had never cared for what I see in the donation pleas in the feeds.
Healthcare should not be a privilege for the rich to afford it should be a human right . The emotional despair often aligne with economical problems.</t>
        </is>
      </c>
      <c r="D5482" t="n">
        <v>7</v>
      </c>
      <c r="E5482" t="n">
        <v>1</v>
      </c>
      <c r="F5482">
        <f>HYPERLINK("https://www.reddit.com/r/cancer/comments/dlgqzu/healthcarethe_value_of_a_life/")</f>
        <v/>
      </c>
      <c r="G5482" t="inlineStr">
        <is>
          <t>2019-10-22 04:46:42</t>
        </is>
      </c>
      <c r="H5482" t="inlineStr"/>
    </row>
    <row r="5483">
      <c r="A5483" t="inlineStr">
        <is>
          <t>dlgvbf</t>
        </is>
      </c>
      <c r="B5483" t="inlineStr">
        <is>
          <t>Survivors who were underweight or petite before cancer, how did your body handle chemo? Are underweight people able to get chemo?</t>
        </is>
      </c>
      <c r="C5483" t="inlineStr">
        <is>
          <t>Basically survivors who have always been on the smaller side, even before your diagnosis. Please let me know if this thread is insensitive and I will delete it right away. I apologize in advance if so.
I'm underweight (5'8'', 117 lbs. No, I don't do drugs or have an eating disorder) myself with an extensive family history of cancer, so I know I will get it at some point in the future.</t>
        </is>
      </c>
      <c r="D5483" t="n">
        <v>1</v>
      </c>
      <c r="E5483" t="n">
        <v>0</v>
      </c>
      <c r="F5483">
        <f>HYPERLINK("https://www.reddit.com/r/cancer/comments/dlgvbf/survivors_who_were_underweight_or_petite_before/")</f>
        <v/>
      </c>
      <c r="G5483" t="inlineStr">
        <is>
          <t>2019-10-22 04:58:27</t>
        </is>
      </c>
      <c r="H5483" t="inlineStr"/>
    </row>
    <row r="5484">
      <c r="A5484" t="inlineStr">
        <is>
          <t>dlgxw6</t>
        </is>
      </c>
      <c r="B5484" t="inlineStr">
        <is>
          <t>How can</t>
        </is>
      </c>
      <c r="C5484" t="inlineStr">
        <is>
          <t>Question on @Quora: How can postoperative radiotherapy prolong overall survival of the patients with resected pIIIA-N2 non-small cell lung cancer? https://www.quora.com/How-can-postoperative-radiotherapy-prolong-overall-survival-of-the-patients-with-resected-pIIIA-N2-non-small-cell-lung-cancer?ch=99&amp;amp;share=9a3d7c77&amp;amp;srid=xi8EH</t>
        </is>
      </c>
      <c r="D5484" t="n">
        <v>3</v>
      </c>
      <c r="E5484" t="n">
        <v>0</v>
      </c>
      <c r="F5484">
        <f>HYPERLINK("https://www.reddit.com/r/cancer/comments/dlgxw6/how_can/")</f>
        <v/>
      </c>
      <c r="G5484" t="inlineStr">
        <is>
          <t>2019-10-22 05:04:47</t>
        </is>
      </c>
      <c r="H5484" t="inlineStr"/>
    </row>
    <row r="5485">
      <c r="A5485" t="inlineStr">
        <is>
          <t>dlgysj</t>
        </is>
      </c>
      <c r="B5485" t="inlineStr">
        <is>
          <t>How do you explain death to a 3 year old?</t>
        </is>
      </c>
      <c r="C5485" t="inlineStr">
        <is>
          <t>My mother has stage 4 colorectal cancer and it 
metastasized to the rest of her body including her brain. She entered hospice yesterday. My youngest daughter who is 3 has a really close relationship with her and I know for sure my daughter doesn’t grasp the fact that her grandmother has cancer and is dying. When the time comes and my mother does passes, how do I explain this to my daughter? Has anyone shared a similar situation?</t>
        </is>
      </c>
      <c r="D5485" t="n">
        <v>8</v>
      </c>
      <c r="E5485" t="n">
        <v>3</v>
      </c>
      <c r="F5485">
        <f>HYPERLINK("https://www.reddit.com/r/cancer/comments/dlgysj/how_do_you_explain_death_to_a_3_year_old/")</f>
        <v/>
      </c>
      <c r="G5485" t="inlineStr">
        <is>
          <t>2019-10-22 05:07:05</t>
        </is>
      </c>
      <c r="H5485" t="inlineStr"/>
    </row>
    <row r="5486">
      <c r="A5486" t="inlineStr">
        <is>
          <t>dlhrge</t>
        </is>
      </c>
      <c r="B5486" t="inlineStr">
        <is>
          <t>Biopsy today (and my musings about all of this)</t>
        </is>
      </c>
      <c r="C5486" t="inlineStr">
        <is>
          <t>About a month ago I found a mass in my armpit. Visited my family doctor and he said it's likely a lipoma (fatty tissue built up) but he wanted to schedule an ultrasound to be safe. The ultrasound showed that there was another mass under the (assumed) lipoma.
Family doctor reviewed the ultrasound and I got a voicemail from a nurse stating they wanted to schedule a biopsy because the doctor is "worried" about the second mass. I am currently in the waiting room for my biopsy on mass #2 and I can't get a straight answer from anyone as to why my doctor is "worried" about the mass. Nobody will even tell me if there is a concern of cancer. 
I know these nurses may not know what he was thinking or why he's worried, and I know they don't want to sow unnecessary panic on my (patient) end. 
It doesn't stop me from freaking out about all of this. I have been praying about all of this and I'm trying to be stoic when I talk about it. I'm 28 and have 4 adopted children. My biggest worry is that my kids, taken out of broken homes, may end up with so much pain at a young age. 
I can't even begin to imagine how my wife could do everything without me (not in a chauvinistic way) while dealing with the pain of loss. She lost he father when she was only 20 to cancer.
This has all been a last minute post and I apologise that it was all over the place, I just needed to get my thoughts out.</t>
        </is>
      </c>
      <c r="D5486" t="n">
        <v>8</v>
      </c>
      <c r="E5486" t="n">
        <v>3</v>
      </c>
      <c r="F5486">
        <f>HYPERLINK("https://www.reddit.com/r/cancer/comments/dlhrge/biopsy_today_and_my_musings_about_all_of_this/")</f>
        <v/>
      </c>
      <c r="G5486" t="inlineStr">
        <is>
          <t>2019-10-22 06:13:24</t>
        </is>
      </c>
      <c r="H5486" t="inlineStr"/>
    </row>
    <row r="5487">
      <c r="A5487" t="inlineStr">
        <is>
          <t>dlj7a0</t>
        </is>
      </c>
      <c r="B5487" t="inlineStr">
        <is>
          <t>To my fellow cancer fighters whether you are on the front lines or like me are here for support.</t>
        </is>
      </c>
      <c r="C5487" t="inlineStr">
        <is>
          <t>Not my words but I feel it should be shared with anyone that needs ro hear it.
"You see, our fears are not trustworthy. They are not based on truth, they do not know facts, and they are guilty of vast exaggeration. Our fears do not love us and they take no account of our pain or our sorrow. Our fears are unworthy of our attention. They do not deserve the deepest parts of us, nor do they deserve our allegiance."
By Maria Furlough</t>
        </is>
      </c>
      <c r="D5487" t="n">
        <v>67</v>
      </c>
      <c r="E5487" t="n">
        <v>8</v>
      </c>
      <c r="F5487">
        <f>HYPERLINK("https://www.reddit.com/r/cancer/comments/dlj7a0/to_my_fellow_cancer_fighters_whether_you_are_on/")</f>
        <v/>
      </c>
      <c r="G5487" t="inlineStr">
        <is>
          <t>2019-10-22 08:06:18</t>
        </is>
      </c>
      <c r="H5487" t="inlineStr"/>
    </row>
    <row r="5488">
      <c r="A5488" t="inlineStr">
        <is>
          <t>dlkgit</t>
        </is>
      </c>
      <c r="B5488" t="inlineStr">
        <is>
          <t>My dad has Stage IV lung cancer.</t>
        </is>
      </c>
      <c r="C5488" t="inlineStr">
        <is>
          <t>My father(51) has been diagnosed of Stage IV Lung cancer today, I don't know which type it is, I'll further update after I got more information from the doctor. 
The cancer metastasized to both lobes of his lungs, liver, shoulder, one leg and top of his spinal cord. He went to doctor only for trouble breathing and cough, he didn't have any other problem other than shoulder pain. He does daily activities without trouble. The brain scan is due tomorrow, so we don't know if it spread to the brain. 
I've been told that it is not too bad in the lungs, for other parts it is in the early stage, or my mom lied to me about the case.
So, I know it would be better to hear from the doctor, however it'll take a week for me to speak to the doctor. I would like to know approximate life expectancy and further stages from now on. From my vague research I learned that survival rate is less than 10% for 5 years, I think that this is too optimistic since it spread to lots of body parts.
 I would love to know realistic stats for my father's case. Thank you.</t>
        </is>
      </c>
      <c r="D5488" t="n">
        <v>5</v>
      </c>
      <c r="E5488" t="n">
        <v>5</v>
      </c>
      <c r="F5488">
        <f>HYPERLINK("https://www.reddit.com/r/cancer/comments/dlkgit/my_dad_has_stage_iv_lung_cancer/")</f>
        <v/>
      </c>
      <c r="G5488" t="inlineStr">
        <is>
          <t>2019-10-22 09:35:25</t>
        </is>
      </c>
      <c r="H5488" t="inlineStr"/>
    </row>
    <row r="5489">
      <c r="A5489" t="inlineStr">
        <is>
          <t>dlm300</t>
        </is>
      </c>
      <c r="B5489" t="inlineStr">
        <is>
          <t>How to find a good oncologist or treatment center?</t>
        </is>
      </c>
      <c r="C5489" t="inlineStr">
        <is>
          <t>I plan on moving out of state. Where I am now there is a top 10 rated cancer center, so finding a doc was pretty straight forward. 
Where we plan on moving, there are no major cancer centers and I am wondering what people have done to make a decision about an oncologist and treatment center? What resources have you used? How did you make your decision? 
Just a little background, we’re at stage 4 and treatment is really about extending life a little and then i guess it becomes about making things comfortable until the end. 
Thx.</t>
        </is>
      </c>
      <c r="D5489" t="n">
        <v>4</v>
      </c>
      <c r="E5489" t="n">
        <v>3</v>
      </c>
      <c r="F5489">
        <f>HYPERLINK("https://www.reddit.com/r/cancer/comments/dlm300/how_to_find_a_good_oncologist_or_treatment_center/")</f>
        <v/>
      </c>
      <c r="G5489" t="inlineStr">
        <is>
          <t>2019-10-22 11:26:58</t>
        </is>
      </c>
      <c r="H5489" t="inlineStr"/>
    </row>
    <row r="5490">
      <c r="A5490" t="inlineStr">
        <is>
          <t>dlmca3</t>
        </is>
      </c>
      <c r="B5490" t="inlineStr">
        <is>
          <t>I think I might have cancer</t>
        </is>
      </c>
      <c r="C5490" t="inlineStr">
        <is>
          <t>I've been feeling off there past few months. I'm constantly always tired no matter how much sleep I get it doesn't matter. I'm still EXHAUSTED. I just 42 lbs in one month. Just recently loss my appetite. For some reason I can't stop drinking water. I'm always craving it. I bruise all over my body easily. Constantly have headaches. Constant stomach and chest/heart pain, I've been looking a little pale and I have aches and joint pains all over my body. I'm getting worried</t>
        </is>
      </c>
      <c r="D5490" t="n">
        <v>0</v>
      </c>
      <c r="E5490" t="n">
        <v>8</v>
      </c>
      <c r="F5490">
        <f>HYPERLINK("https://www.reddit.com/r/cancer/comments/dlmca3/i_think_i_might_have_cancer/")</f>
        <v/>
      </c>
      <c r="G5490" t="inlineStr">
        <is>
          <t>2019-10-22 11:44:31</t>
        </is>
      </c>
      <c r="H5490" t="inlineStr"/>
    </row>
    <row r="5491">
      <c r="A5491" t="inlineStr">
        <is>
          <t>dlnbe9</t>
        </is>
      </c>
      <c r="B5491" t="inlineStr">
        <is>
          <t>Our daughter lost the fight to ALL.</t>
        </is>
      </c>
      <c r="C5491" t="inlineStr">
        <is>
          <t>A few weeks ago our daughter lost her fight to ALL. She had been having some health issues related to her cancer and unfortunately it became too much for her body to handle. 
It’s been very rough these past few weeks but I just needed to put this out there into the world. Cancer sucks and no child deserves this.</t>
        </is>
      </c>
      <c r="D5491" t="n">
        <v>3</v>
      </c>
      <c r="E5491" t="n">
        <v>9</v>
      </c>
      <c r="F5491">
        <f>HYPERLINK("https://www.reddit.com/r/cancer/comments/dlnbe9/our_daughter_lost_the_fight_to_all/")</f>
        <v/>
      </c>
      <c r="G5491" t="inlineStr">
        <is>
          <t>2019-10-22 12:49:37</t>
        </is>
      </c>
      <c r="H5491" t="inlineStr"/>
    </row>
    <row r="5492">
      <c r="A5492" t="inlineStr">
        <is>
          <t>dlnnr2</t>
        </is>
      </c>
      <c r="B5492" t="inlineStr">
        <is>
          <t>At what stage post treatment would it be inappropriate to attend a cancer support group?</t>
        </is>
      </c>
      <c r="C5492" t="inlineStr">
        <is>
          <t>For context, I am about a year and a half out of treatment for Ewings sarcoma and I have recently  seen an ad for a cancer support group with an lgbt focus. However, being out of treatment by this much time I am worried about invading in a space meant for patients. I have contacted the group without much context wjo assured me there are people out of treatment who attend; however, I didnt think to ask for a time frame. Anyone with experience with these types of groups would help a lot as I have never attended these types of groups before.</t>
        </is>
      </c>
      <c r="D5492" t="n">
        <v>7</v>
      </c>
      <c r="E5492" t="n">
        <v>8</v>
      </c>
      <c r="F5492">
        <f>HYPERLINK("https://www.reddit.com/r/cancer/comments/dlnnr2/at_what_stage_post_treatment_would_it_be/")</f>
        <v/>
      </c>
      <c r="G5492" t="inlineStr">
        <is>
          <t>2019-10-22 13:12:17</t>
        </is>
      </c>
      <c r="H5492" t="inlineStr"/>
    </row>
    <row r="5493">
      <c r="A5493" t="inlineStr">
        <is>
          <t>dlom62</t>
        </is>
      </c>
      <c r="B5493" t="inlineStr">
        <is>
          <t>Big things coming</t>
        </is>
      </c>
      <c r="C5493" t="inlineStr">
        <is>
          <t>Hey guys, I’ve seen the comments on my previous post telling me to keep you guys/girls updated. So here’s the update
I’m having a big surgery on October 30, for the Tumor removal. Since the tumor is in the bone, it’s going to be more complicated. I think it’s called a Bone graph, of something like that, so they are going to take out my bone and replace with a Cadabra bone. Basically a dead persons bone. So, hope to get quick recovery!</t>
        </is>
      </c>
      <c r="D5493" t="n">
        <v>19</v>
      </c>
      <c r="E5493" t="n">
        <v>4</v>
      </c>
      <c r="F5493">
        <f>HYPERLINK("https://www.reddit.com/r/cancer/comments/dlom62/big_things_coming/")</f>
        <v/>
      </c>
      <c r="G5493" t="inlineStr">
        <is>
          <t>2019-10-22 14:15:55</t>
        </is>
      </c>
      <c r="H5493" t="inlineStr"/>
    </row>
    <row r="5494">
      <c r="A5494" t="inlineStr">
        <is>
          <t>dlp2kh</t>
        </is>
      </c>
      <c r="B5494" t="inlineStr">
        <is>
          <t>Caregivers' Struggles- how to deal?</t>
        </is>
      </c>
      <c r="C5494" t="inlineStr">
        <is>
          <t>My mom and I are about midway through my father's radiation and chemo. His anger and frustration is increasing, and my mom is at a breaking point. We love him and still have to take care of him regardless of what he says or how he treats us, but it's hard to overcome our gut reactions to harsh comments and brush them off.  
As well, being around anyone 24/7 will make both of you pretty frustrated fairly quickly. I know taking "breaks" and switching off helps, but what's the best way to help deal with all of the emotions involved with being a caregiver to a loved one with cancer?</t>
        </is>
      </c>
      <c r="D5494" t="n">
        <v>4</v>
      </c>
      <c r="E5494" t="n">
        <v>5</v>
      </c>
      <c r="F5494">
        <f>HYPERLINK("https://www.reddit.com/r/cancer/comments/dlp2kh/caregivers_struggles_how_to_deal/")</f>
        <v/>
      </c>
      <c r="G5494" t="inlineStr">
        <is>
          <t>2019-10-22 14:46:42</t>
        </is>
      </c>
      <c r="H5494" t="inlineStr"/>
    </row>
    <row r="5495">
      <c r="A5495" t="inlineStr">
        <is>
          <t>dlp3mk</t>
        </is>
      </c>
      <c r="B5495" t="inlineStr">
        <is>
          <t>Lung Cancer Treatment</t>
        </is>
      </c>
      <c r="C5495" t="inlineStr">
        <is>
          <t>Opinions on pH-sensitive peptides that recognize pH differences between healthy and tumor cells and deliver targeted therapy to cancer cells only?</t>
        </is>
      </c>
      <c r="D5495" t="n">
        <v>2</v>
      </c>
      <c r="E5495" t="n">
        <v>0</v>
      </c>
      <c r="F5495">
        <f>HYPERLINK("https://www.reddit.com/r/cancer/comments/dlp3mk/lung_cancer_treatment/")</f>
        <v/>
      </c>
      <c r="G5495" t="inlineStr">
        <is>
          <t>2019-10-22 14:48:42</t>
        </is>
      </c>
      <c r="H5495" t="inlineStr"/>
    </row>
    <row r="5496">
      <c r="A5496" t="inlineStr">
        <is>
          <t>dlqzbz</t>
        </is>
      </c>
      <c r="B5496" t="inlineStr">
        <is>
          <t>Papillary carcinoma without radioactive iodine?</t>
        </is>
      </c>
      <c r="C5496" t="inlineStr">
        <is>
          <t>Two weeks ago I was diagnosed with papillary carcinoma while 37 weeks pregnant. The plan was to wait until my baby was born and recovered, then to have my thyroid removed. My baby was born a week ago! 
I don't see the surgeon for about a week, but I'm just curious if anyone has had treatment without the radioactive iodine? 
With a newborn and attempting to breast feed, I really do not understand how logistically that is supposed to work, and I'm scared. I'd love some experiences and feedback. Thank you in advanced.</t>
        </is>
      </c>
      <c r="D5496" t="n">
        <v>4</v>
      </c>
      <c r="E5496" t="n">
        <v>13</v>
      </c>
      <c r="F5496">
        <f>HYPERLINK("https://www.reddit.com/r/cancer/comments/dlqzbz/papillary_carcinoma_without_radioactive_iodine/")</f>
        <v/>
      </c>
      <c r="G5496" t="inlineStr">
        <is>
          <t>2019-10-22 17:04:41</t>
        </is>
      </c>
      <c r="H5496" t="inlineStr"/>
    </row>
    <row r="5497">
      <c r="A5497" t="inlineStr">
        <is>
          <t>dlryvv</t>
        </is>
      </c>
      <c r="B5497" t="inlineStr">
        <is>
          <t>I'm feeling defeated.</t>
        </is>
      </c>
      <c r="C5497" t="inlineStr">
        <is>
          <t>I (21 M) already completed 6 weeks of radiation and chemo, they weren't that bad besides taking most of  my hair which is heartbreaking. Those treatments overlapped with the beginning of the school year so I decided to take the first semester off hoping the second round of chemo would be about as manageable as the first. I was wrong, this higher dose of chemo is absolutely kicking my ass. And now I'm finally admitting to myself that I can't do school and treatments. I'm so mad. I'm supposed to be a senior not sick lying in my girlfriend's bed, needing her to make me meals. I hate being a burden. This sucks. I'm sorry I just needed to vent to internet strangers. I hate cancer.</t>
        </is>
      </c>
      <c r="D5497" t="n">
        <v>55</v>
      </c>
      <c r="E5497" t="n">
        <v>15</v>
      </c>
      <c r="F5497">
        <f>HYPERLINK("https://www.reddit.com/r/cancer/comments/dlryvv/im_feeling_defeated/")</f>
        <v/>
      </c>
      <c r="G5497" t="inlineStr">
        <is>
          <t>2019-10-22 18:19:40</t>
        </is>
      </c>
      <c r="H5497" t="inlineStr"/>
    </row>
    <row r="5498">
      <c r="A5498" t="inlineStr">
        <is>
          <t>dls70h</t>
        </is>
      </c>
      <c r="B5498" t="inlineStr">
        <is>
          <t>Support group</t>
        </is>
      </c>
      <c r="C5498" t="inlineStr">
        <is>
          <t>Looking for support groups for family members of patients. Is there a website that would be able to direct me towards local groups?  I’m not even sure where to start looking.</t>
        </is>
      </c>
      <c r="D5498" t="n">
        <v>3</v>
      </c>
      <c r="E5498" t="n">
        <v>3</v>
      </c>
      <c r="F5498">
        <f>HYPERLINK("https://www.reddit.com/r/cancer/comments/dls70h/support_group/")</f>
        <v/>
      </c>
      <c r="G5498" t="inlineStr">
        <is>
          <t>2019-10-22 18:37:06</t>
        </is>
      </c>
      <c r="H5498" t="inlineStr"/>
    </row>
    <row r="5499">
      <c r="A5499" t="inlineStr">
        <is>
          <t>dlsu4w</t>
        </is>
      </c>
      <c r="B5499" t="inlineStr">
        <is>
          <t>Referred to oncologist...</t>
        </is>
      </c>
      <c r="C5499" t="inlineStr">
        <is>
          <t>I was referred to oncologist yesterday by my primary after a CT for lower right abdomen pain showed enlarged mesenteric lymph nodes (1x1.3cm and 1.2x1.1cm). A previous CT in 2017 showed the same nodes enlarged but this time they have grown slightly and are still seen as prominent 2 years later so my primary wants me to get them checked out. She mentioned lymphoma but was very casual about it. I had a CBC done in September and everything was within range except for slightly elevated platelets (362) . I also had a Transvaginal ultrasound done to rule out cysts which also came back unremarkable. I have fatigue and itching in addition to RLQ pain and some night sweats but no fever.
What should I expect from this initial appointment? What further testing is needed to make a diagnosis? Has anyone had lymphoma in mesenteric lymph nodes? How did your diagnosis process go? My appointment is Friday morning which seems like years away.....</t>
        </is>
      </c>
      <c r="D5499" t="n">
        <v>1</v>
      </c>
      <c r="E5499" t="n">
        <v>0</v>
      </c>
      <c r="F5499">
        <f>HYPERLINK("https://www.reddit.com/r/cancer/comments/dlsu4w/referred_to_oncologist/")</f>
        <v/>
      </c>
      <c r="G5499" t="inlineStr">
        <is>
          <t>2019-10-22 19:30:47</t>
        </is>
      </c>
      <c r="H5499" t="inlineStr"/>
    </row>
    <row r="5500">
      <c r="A5500" t="inlineStr">
        <is>
          <t>dlu9xs</t>
        </is>
      </c>
      <c r="B5500" t="inlineStr">
        <is>
          <t>What symptoms did you overlook?</t>
        </is>
      </c>
      <c r="C5500" t="inlineStr">
        <is>
          <t>I am mid way through treatment for Hodgkin’s. My PET scan was clean and I’m now in REMISSION!!! 
However, I realized how if I would have went to the doc earlier when I was experiencing weird chest pain at 21 I could have caught it early at maybe Stage 1 and my outlook and treatment intensity would’ve been better. 
I know hindsight is 20/20, but for awareness purposes, do you have any symptoms you think people should be on the lookout for and take seriously for your cancer? 
I have a feeling this could maybe save lives. Take care everyone.</t>
        </is>
      </c>
      <c r="D5500" t="n">
        <v>20</v>
      </c>
      <c r="E5500" t="n">
        <v>16</v>
      </c>
      <c r="F5500">
        <f>HYPERLINK("https://www.reddit.com/r/cancer/comments/dlu9xs/what_symptoms_did_you_overlook/")</f>
        <v/>
      </c>
      <c r="G5500" t="inlineStr">
        <is>
          <t>2019-10-22 21:45:33</t>
        </is>
      </c>
      <c r="H5500" t="inlineStr"/>
    </row>
    <row r="5501">
      <c r="A5501" t="inlineStr">
        <is>
          <t>dluck5</t>
        </is>
      </c>
      <c r="B5501" t="inlineStr">
        <is>
          <t>I’m in remission!!!!</t>
        </is>
      </c>
      <c r="C5501" t="inlineStr">
        <is>
          <t>Got my results today, after dealing with ovarian, than uterine, and most recently cervical cancer I am now officially in remission. I have never been happier.</t>
        </is>
      </c>
      <c r="D5501" t="n">
        <v>174</v>
      </c>
      <c r="E5501" t="n">
        <v>38</v>
      </c>
      <c r="F5501">
        <f>HYPERLINK("https://www.reddit.com/r/cancer/comments/dluck5/im_in_remission/")</f>
        <v/>
      </c>
      <c r="G5501" t="inlineStr">
        <is>
          <t>2019-10-22 21:53:26</t>
        </is>
      </c>
      <c r="H5501" t="inlineStr"/>
    </row>
    <row r="5502">
      <c r="A5502" t="inlineStr">
        <is>
          <t>dluj1u</t>
        </is>
      </c>
      <c r="B5502" t="inlineStr">
        <is>
          <t>How much can I ask my family member with cancer and how can I find out more by myself when I’m not physically around?</t>
        </is>
      </c>
      <c r="C5502" t="inlineStr">
        <is>
          <t>Hi, I hope this is okay to post here. I’m really sorry if I misuse terminology- I don’t know much and I’m pretty bad at scientific things in general so I’m trying to work it out bit by bit. 
TL;DR: How much should I ask my aunt about her cancer and how do I go about my own research when she lives across the world- so that I can try to plan a visit?
I’m 19. When I was 17 my mum was diagnosed with breast cancer. She did not share many of the explicit medical details- I think both in part of her wanting to shield my siblings (at the time 10M, 10F, 15M) and I from the full extent of the pain, but as the oldest I definitely knew more and she shared a bit with me but it was not very medically upstanding and instead was rather colloquial if that makes sense (my mother hasn’t had a great education and such). What I do know for sure is that she had a full mastectomy and it did not spread to her lymph nodes. 
My aunt (her sister) has had breast cancer since before she did. From what I understand, she had a lumpectomy. I don’t know if she was told if it had spread to her lymph nodes or not, but I was recently called and told that the cancer is back. I won’t get into my emotions too strongly, but, my mum is an immigrant and my aunt lives back at home across the world and I don’t get to see her very often, but I really cherish our relationship and she is definitely the aunt I was closest to- and I think she feels the same for me since we’re the gay ones in our family and have talked about our shared experience and bonded over it a lot. This meant that I spent a lot of time with her when one of us was visiting but I did not message her very often etc etc because... well, I took for granted how long she would be around and that I could visit her more.
I started my first year of uni, and I was planning on trying to go back to visit family sometime this year as a little holiday and because it had been a while for most of them, but then my grandmother unexpectedly died. I went back for her funeral and felt a lot of regret that I didn’t get to talk to her more because I loved her a lot and she had great emotional impact on me but we definitely did not talk often. I’m trying to change this now with my aunt, I downloaded WhatsApp so I can talk to her and catch up with her while overseas. I am disappointed in myself that it took this long to do so, but I can’t spend this time beating myself up for the past instead of fixing it right now.
She’s mentioned some things about the cancer, such as starting treatment and being fatigued as a result of it, but nothing specific. I really want to go back and visit and spend quality time with her and other family (which she has expressed she would enjoy), but I have no idea of the timeframe at all and I don’t know if it’s at all appropriate for me to ask any more details (definitely wouldn’t ask “do you have a life expectancy”, but more what the details of it are- from what I’ve been told by my mum, it’s metastatic, from breast to lung to brain, but I don’t know the severity, HER2 status, things like that). I’m trying to do the research that I can but it’s difficult without knowing anything and my mum isn’t the best person to get information from since she doesn’t retain it amazingly (these aren’t critiques at all, it’s just the way that it is sometimes!) I’m also the second in my extended family to go to university, which is a big deal and they don’t want me to miss any time off (particularly because I missed two weeks in my first semester when Nanna died) and so I’m not going with my mum when she goes to visit, which will be sometime November?? Their other sister is also having a wedding late next year that I may be able to make and I don’t know if I should go at that time or if it will have to be before.
I’m also looking to find out more to calm my worries about my mum’s cancer and the chances the same thing will happen. This is a struggle to cope with since I live in a different city from my mum now too. 
Sorry, that got a bit unwieldy but thank you for looking.</t>
        </is>
      </c>
      <c r="D5502" t="n">
        <v>3</v>
      </c>
      <c r="E5502" t="n">
        <v>2</v>
      </c>
      <c r="F5502">
        <f>HYPERLINK("https://www.reddit.com/r/cancer/comments/dluj1u/how_much_can_i_ask_my_family_member_with_cancer/")</f>
        <v/>
      </c>
      <c r="G5502" t="inlineStr">
        <is>
          <t>2019-10-22 22:12:09</t>
        </is>
      </c>
      <c r="H5502" t="inlineStr"/>
    </row>
    <row r="5503">
      <c r="A5503" t="inlineStr">
        <is>
          <t>dlul4i</t>
        </is>
      </c>
      <c r="B5503" t="inlineStr">
        <is>
          <t>A little advice?</t>
        </is>
      </c>
      <c r="C5503" t="inlineStr">
        <is>
          <t>Hey all,
So, my dad has been diagnosed moderately recently and he's been going through chemo cycles and all. Well, we just got a phone call from the place he goes for chemotherapy and they said that the bag of chemo he had been given was two months expired. Has anyone had any experience with this? Any advice would be appreciated.</t>
        </is>
      </c>
      <c r="D5503" t="n">
        <v>0</v>
      </c>
      <c r="E5503" t="n">
        <v>3</v>
      </c>
      <c r="F5503">
        <f>HYPERLINK("https://www.reddit.com/r/cancer/comments/dlul4i/a_little_advice/")</f>
        <v/>
      </c>
      <c r="G5503" t="inlineStr">
        <is>
          <t>2019-10-22 22:18:02</t>
        </is>
      </c>
      <c r="H5503" t="inlineStr"/>
    </row>
    <row r="5504">
      <c r="A5504" t="inlineStr">
        <is>
          <t>dlw2t6</t>
        </is>
      </c>
      <c r="B5504" t="inlineStr">
        <is>
          <t>Musings: One of my doctors asked how I feel today.</t>
        </is>
      </c>
      <c r="C5504" t="inlineStr">
        <is>
          <t>Truth is, I don't know. I'm physically ok.  But like a lot of you, the  period of introspection definitely left its mark.
I finished up treatment for breast cancer, now am awaiting a trip back to the oncologist to start whatever longterm pill treatment for the next five years. The whole thing was (from soup to nuts or from dx to surgery and radiation) was less brutal than I thought it'd be, but far more exhausting than I ever imagined. This community was the glue that held me together, helped cultivate those feelings of empathy and turn them into being a kinder person, even though I'm fairly blunt.
Does anyone else here, who had a successful treatment, feel like they were given a wakeup call to examine the possibilities of their own longevity?
For instance, I'm convinced my husband will, like everyone else in his family, live until he's 95. I, however, like the rest of the women in my family, will find something dangly and sparkly and exit around the age of 70 or so. I could be wrong, but I just have this feeling like I've been given my marching orders, to pull my life together, focus on the things that matter, and live the next decade (or more) with purpose. 
So, I've been selling stuff on FB marketplace, giving other things away. Furnishings, knick knacks. dish sets. I have a ridiculous amount of things, and did any other cancer survivors decide to simply their lives after their fight?</t>
        </is>
      </c>
      <c r="D5504" t="n">
        <v>8</v>
      </c>
      <c r="E5504" t="n">
        <v>1</v>
      </c>
      <c r="F5504">
        <f>HYPERLINK("https://www.reddit.com/r/cancer/comments/dlw2t6/musings_one_of_my_doctors_asked_how_i_feel_today/")</f>
        <v/>
      </c>
      <c r="G5504" t="inlineStr">
        <is>
          <t>2019-10-23 01:06:11</t>
        </is>
      </c>
      <c r="H5504" t="inlineStr"/>
    </row>
    <row r="5505">
      <c r="A5505" t="inlineStr">
        <is>
          <t>dlwfcz</t>
        </is>
      </c>
      <c r="B5505" t="inlineStr">
        <is>
          <t>Mom is responding well to her treatment</t>
        </is>
      </c>
      <c r="C5505" t="inlineStr">
        <is>
          <t>My mom was diagnosed with stage 4 breast cancer in early August. The cancer had spread to a lymph node and her bones when it was detected. She’s had a few rounds of chemo so far and her oncologist told us yesterday that she is responding well to the treatment. The lump in her lymph node has completely shrunk and she no longer struggles to walk due to a bone lesion she has in her pelvis. The doc will order a full body scan at the end of her treatment in a few months to see how well managed the cancer is and what the next steps will be.
We know that stage 4 breast cancer is not curable and that things can change at any moment, but right now we’re just reveling in the little bit of good news we’ve gotten since she was first diagnosed.</t>
        </is>
      </c>
      <c r="D5505" t="n">
        <v>5</v>
      </c>
      <c r="E5505" t="n">
        <v>1</v>
      </c>
      <c r="F5505">
        <f>HYPERLINK("https://www.reddit.com/r/cancer/comments/dlwfcz/mom_is_responding_well_to_her_treatment/")</f>
        <v/>
      </c>
      <c r="G5505" t="inlineStr">
        <is>
          <t>2019-10-23 01:49:11</t>
        </is>
      </c>
      <c r="H5505" t="inlineStr"/>
    </row>
    <row r="5506">
      <c r="A5506" t="inlineStr">
        <is>
          <t>dlxlmv</t>
        </is>
      </c>
      <c r="B5506" t="inlineStr">
        <is>
          <t>Do cancerous lumps HAVE to increase rapidly in size</t>
        </is>
      </c>
      <c r="C5506" t="inlineStr">
        <is>
          <t xml:space="preserve"> I've had a cyst or potentially something worse in my neck for a few years or longer and wonder if the time that I've had it can eliminate its chances of being cancer, i.e do cancerous lumps have to increase in size drastically because this hasn't...</t>
        </is>
      </c>
      <c r="D5506" t="n">
        <v>0</v>
      </c>
      <c r="E5506" t="n">
        <v>2</v>
      </c>
      <c r="F5506">
        <f>HYPERLINK("https://www.reddit.com/r/cancer/comments/dlxlmv/do_cancerous_lumps_have_to_increase_rapidly_in/")</f>
        <v/>
      </c>
      <c r="G5506" t="inlineStr">
        <is>
          <t>2019-10-23 03:59:06</t>
        </is>
      </c>
      <c r="H5506" t="inlineStr"/>
    </row>
    <row r="5507">
      <c r="A5507" t="inlineStr">
        <is>
          <t>dlxvti</t>
        </is>
      </c>
      <c r="B5507" t="inlineStr">
        <is>
          <t>In need of some advice of support</t>
        </is>
      </c>
      <c r="C5507" t="inlineStr">
        <is>
          <t>I’m really sorry for the long post, i just feel like i need to explain what I’ve been through first.
 My journey has been such a rough one. 26M I had first noticed a huge bump on my left hip when I was 21, and thought it was a boil, nothing more. I finally decided to go to a dermatologist about it and she decided to do a biopsy. It came back as soft tissue sarcoma. I immediately had to drop out of school, started chemo, which I had such a bad reaction to I had to start pre medicating before my sessions to even make it through, and that lasted about a year. After some positive results my oncologist decided to opt me in for a trial of immunotherapy, which ended up being one of the worst decisions of my life. 
The week before July 4th I had fallen completely ill, and I had a fever of about 103 almost the entire week. I thought it would break but after about 4 days my parents decided it would be best to just take me to the hospital. The hospital tried to discharge me because my temperature was still coming up normal when taken orally, but I knew if I left I’d die.  I pleaded with her to do a rectally because I knew my temperature was extremely high. It came up 104 and they instantly put me under ice bags. I was admitted and they continued to run tests. 
That was a Saturday. By Tuesday I was laying in bed waiting to be discharged and I remember this like it was yesterday. I was watching day time tv and my toes went numb. Nothing too serious so I had told my mother and she became concerned. The numbness began to rise, then getting up to my thighs. I started to panic and told my mother to get the nurse. She ran out and someone gave her the terrible excuse that “she was on break”. At this point the numbness was at my chest and I couldn’t lift my arms. I didn’t know what to do, so I started instantly crying. I remember blinking and seeing about 5-6 nurses and two doctors in the room with a crash cart being brought in. At this point it was difficult to breathe and my whole body was numb. One doctor grabbed my head and started to ask, “talk to me what’s wrong” but nothing could come out of my mouth.  I remember thinking in my head, “holy shit, I’m going to die in front of all these people and no one knows why.” He began to say “Don’t roll on me” and I had NO idea what that meant but once he said that I instantly blacked out. I was told I had a seizure then and it took about 5 people to stop my body from seizing. I remember waking up 3 days later in ICU. From then I was discharged 4 days later and I was then put on a months regimen of high dose steroids and anti seizure medication.
After that whole ordeal my cancer was 99% gone, and showed no sign of returning. There’s more of the story of cancelled surgeries and all that good stuff but I don’t think it’s relevant now. I had gone from that day completely chemo and immunotherapy free, and I was living my own life again. I graduated college, found myself an amazing job, life was good again. 
Fast forward to 2 weeks ago. I went to the urologist for a blood in the urine problem and an ultrasound picked up something on my bladder. A week later I’m in surgery and just found out it’s bladder cancer. I feel so fucking defeated and hurt because I don’t know what to do. I feel lost, I feel hurt, angry, depressed that I might have to do this all over again. I don’t want to fight this fight anymore. I don’t want to have to start my life over again. 
I guess I came here to just vent and see if anyone had any advice for me to get through this tough time. 
Thank you if you took the time out to read this, even if you don’t answer, getting my story out really will help me cope with this.</t>
        </is>
      </c>
      <c r="D5507" t="n">
        <v>16</v>
      </c>
      <c r="E5507" t="n">
        <v>6</v>
      </c>
      <c r="F5507">
        <f>HYPERLINK("https://www.reddit.com/r/cancer/comments/dlxvti/in_need_of_some_advice_of_support/")</f>
        <v/>
      </c>
      <c r="G5507" t="inlineStr">
        <is>
          <t>2019-10-23 04:26:29</t>
        </is>
      </c>
      <c r="H5507" t="inlineStr"/>
    </row>
    <row r="5508">
      <c r="A5508" t="inlineStr">
        <is>
          <t>dlyw74</t>
        </is>
      </c>
      <c r="B5508" t="inlineStr">
        <is>
          <t>My father passed away and I’m having trouble cleaning his apartment</t>
        </is>
      </c>
      <c r="C5508" t="inlineStr">
        <is>
          <t>My recently passed away 3 days ago from cancer. I live in the states but my father lives in Korea. I visited my father a month ago and he was doing fairly well and his health took a turn for the worst a week 4 days ago and barely made it in time to say goodbye. In korea, Catholics hold a 3 day funeral starting on the day of passing. I just finally came home with my sister and we have an extremely hard time. There are just so many medications, tubes, a new wheelchair, and just so many memories. We need to start cleaning the apartment to rent it out while we figure out what we want to do with the apartment. My father was the type of man never tell us everything and we never knew how bad his health was until today. Does anyone have advice on how/where to start and how to deal with what we are going through. Every second I feel like I am in hell where I am forced to relive the fact that our father passed away. I don’t need coping mechanisms and I do not want to bury this under the rug. I want to deal with it in a healthy matter head on. Any advice is greatly appreciated. Thank you in advance</t>
        </is>
      </c>
      <c r="D5508" t="n">
        <v>8</v>
      </c>
      <c r="E5508" t="n">
        <v>5</v>
      </c>
      <c r="F5508">
        <f>HYPERLINK("https://www.reddit.com/r/cancer/comments/dlyw74/my_father_passed_away_and_im_having_trouble/")</f>
        <v/>
      </c>
      <c r="G5508" t="inlineStr">
        <is>
          <t>2019-10-23 05:54:31</t>
        </is>
      </c>
      <c r="H5508" t="inlineStr"/>
    </row>
    <row r="5509">
      <c r="A5509" t="inlineStr">
        <is>
          <t>dlzcmn</t>
        </is>
      </c>
      <c r="B5509" t="inlineStr">
        <is>
          <t>Any Cholangiocarcinoma / Bile Duct Cancer Patients here?</t>
        </is>
      </c>
      <c r="C5509" t="inlineStr">
        <is>
          <t>My mother (61, F) finally received a diagnosis from her oncologist here in GA. It is Stage 4, unresectable, metastatic, bile duct cancer. She has a 10 cm hepatic mass as well. Cancer cells are floating around her abdominal area. No jaundice or itching yet, but she has terrible acid reflux. We don't think her bile duct is clogged yet. Her 1st treatment (Gemzar / Cisplatin) is scheduled for Nov 6th, but she is scheduled for a consultation with a renowned oncologist in the area for Nov 5th.  
For anyone who has/had this type of cancer, do you have any advice on the following:
* What is the type of chemo did you receive / currently receiving? How is it going for you?
* Do you have a tumor board? Kaiser gave us an oncologist, but I haven't heard a mention of a tumor board. I would think my mother should get one, given her diagnosis.
* She was given few months if she does not do chemo. Although she does not believe in chemo, she wants to do it to extend her life past Christmas. What is the realistic prognosis if she continues chemo? I know this is a case-by-case basis. I'd love to hear some thoughts if prognosis is significantly better with chemo.
* Do you have any advice on how to best prepare the body for chemo treatments?
* Any food recommendations to help prepare her body and strengthen her immune system for chemo?
* Any thoughts on using RSO, while doing chemo? Will RSO weaken the effects of chemo?
* Any clinical trials that helped extend your life? I've seen ongoing trials for  pembrolizumab plus gemzar + cisplatin,  nab-paclitaxel plus gemzar + cisplatin.
* Any final advice for me and my mother as we commence this tough battle ahead?</t>
        </is>
      </c>
      <c r="D5509" t="n">
        <v>4</v>
      </c>
      <c r="E5509" t="n">
        <v>11</v>
      </c>
      <c r="F5509">
        <f>HYPERLINK("https://www.reddit.com/r/cancer/comments/dlzcmn/any_cholangiocarcinoma_bile_duct_cancer_patients/")</f>
        <v/>
      </c>
      <c r="G5509" t="inlineStr">
        <is>
          <t>2019-10-23 06:31:17</t>
        </is>
      </c>
      <c r="H5509" t="inlineStr"/>
    </row>
    <row r="5510">
      <c r="A5510" t="inlineStr">
        <is>
          <t>dm1t26</t>
        </is>
      </c>
      <c r="B5510" t="inlineStr">
        <is>
          <t>How do you cope mentally?</t>
        </is>
      </c>
      <c r="C5510" t="inlineStr">
        <is>
          <t>My mom was diagnosed with ovarian cancer (stage IIIc) a little over 4 years ago. She has been on and off chemo since her diagnosis and she had a debulking surgery but the cancer is still in her peritoneal cavity. She stopped getting chemo a month ago because the side effects were too severe. She doesn't want to get any chemo anymore and she only medication to deal with the pain (tapentadol) at the moment. 
The other big problem with my mom is her depression. She hasn't been officially diagnosed but it's evident she has mental issues. She was seeing a psychologist three years ago but because she always cried during the sessions she felt too embarrassed and stopped seeing him. Then she had a small stroke that urged her to go to see a neurologist, who prescribed some antidepressants but she never took them. However, her mental state has worsened in the last three months, as sometimes she refuses to take her pain medication. She says she wants to feel the pain to see if that kills her. She cries a lot and constantly says she wants to die. On top of that, the medication she is taking at the moment increases seizure risk when combined with other drugs such as antidepressants, leaving us with no options to tackle her depression.  
Whenever she takes her medication the pain goes away but it makes her sleep a lot.  Moreover, she doesn't get off bead or eat much, which make her depression worse as she doesn't feel independent anymore (she needs help to shower and she gets dizzy/tired when walking). My dad and my sister live with her and I am out of work to be with her for a couple of months (I live abroad). We try our best to comfort her, we let her cry as much as she needs to and we watch movies and listen to music with her. However sometimes she cries non stop and it just gets too hard to watch.
I know the situation is not easy but I am wondering how do you guys cope with your own mental health? Sometimes I get frustrated with my mom but then I remember that she got the worst part in this. How do I keep myself and my family strong through this?</t>
        </is>
      </c>
      <c r="D5510" t="n">
        <v>4</v>
      </c>
      <c r="E5510" t="n">
        <v>1</v>
      </c>
      <c r="F5510">
        <f>HYPERLINK("https://www.reddit.com/r/cancer/comments/dm1t26/how_do_you_cope_mentally/")</f>
        <v/>
      </c>
      <c r="G5510" t="inlineStr">
        <is>
          <t>2019-10-23 09:32:48</t>
        </is>
      </c>
      <c r="H5510" t="inlineStr"/>
    </row>
    <row r="5511">
      <c r="A5511" t="inlineStr">
        <is>
          <t>dm33je</t>
        </is>
      </c>
      <c r="B5511" t="inlineStr">
        <is>
          <t>Need help for 2nd opinion</t>
        </is>
      </c>
      <c r="C5511" t="inlineStr">
        <is>
          <t>My father has been diagnosis with advanced stomach cancer. Now he is been treated in one hospital, chemo will start in 2 week. I would like to bring him to another hospital memorial Sloan Kettering  for 2nd opinion and compare the treatment plan. But the hospital is out of network, it require prior  approval before see the doctor there, I am wondering if the insurance company will approve since he has been treating in another hospital. and he has to see his PCP and apply approval and wait for the process. Is it worth to try and does it make any different in his case. Thanks</t>
        </is>
      </c>
      <c r="D5511" t="n">
        <v>5</v>
      </c>
      <c r="E5511" t="n">
        <v>7</v>
      </c>
      <c r="F5511">
        <f>HYPERLINK("https://www.reddit.com/r/cancer/comments/dm33je/need_help_for_2nd_opinion/")</f>
        <v/>
      </c>
      <c r="G5511" t="inlineStr">
        <is>
          <t>2019-10-23 11:04:11</t>
        </is>
      </c>
      <c r="H5511" t="inlineStr"/>
    </row>
    <row r="5512">
      <c r="A5512" t="inlineStr">
        <is>
          <t>dm399o</t>
        </is>
      </c>
      <c r="B5512" t="inlineStr">
        <is>
          <t>Any experience with chest/diaphragm pain during chemo (Stage IV bladder cancer with lung mets)? All input welcome.</t>
        </is>
      </c>
      <c r="C5512" t="inlineStr">
        <is>
          <t>I asked the doctor and he said it could be both. Search around the internet as well and there wasn't really any explanation, lots of posts saying only that it was common.</t>
        </is>
      </c>
      <c r="D5512" t="n">
        <v>3</v>
      </c>
      <c r="E5512" t="n">
        <v>2</v>
      </c>
      <c r="F5512">
        <f>HYPERLINK("https://www.reddit.com/r/cancer/comments/dm399o/any_experience_with_chestdiaphragm_pain_during/")</f>
        <v/>
      </c>
      <c r="G5512" t="inlineStr">
        <is>
          <t>2019-10-23 11:15:28</t>
        </is>
      </c>
      <c r="H5512" t="inlineStr"/>
    </row>
    <row r="5513">
      <c r="A5513" t="inlineStr">
        <is>
          <t>dm3wnl</t>
        </is>
      </c>
      <c r="B5513" t="inlineStr">
        <is>
          <t>My mom has metastasis to her brain</t>
        </is>
      </c>
      <c r="C5513" t="inlineStr">
        <is>
          <t>Two tiny spots they're going to Gamma Knife. I don't know how to feel. She's going to do chemo and radiation for her Stage IV Adenocarcinoma too.
I'm trying so hard to hope for the best, to think that she can beat three tiny lung spots, a lymph node and two tiny brain spots. That UPMC is one of the best cancer hospitals in the world, that there's been so many advances even in the last couple of years.
I want her to see spring, and my next birthday. I don't want this to be her last Christmas. I don't know how to deal with this. I don't know how I can help when she lives two hours away.</t>
        </is>
      </c>
      <c r="D5513" t="n">
        <v>11</v>
      </c>
      <c r="E5513" t="n">
        <v>9</v>
      </c>
      <c r="F5513">
        <f>HYPERLINK("https://www.reddit.com/r/cancer/comments/dm3wnl/my_mom_has_metastasis_to_her_brain/")</f>
        <v/>
      </c>
      <c r="G5513" t="inlineStr">
        <is>
          <t>2019-10-23 12:00:46</t>
        </is>
      </c>
      <c r="H5513" t="inlineStr"/>
    </row>
    <row r="5514">
      <c r="A5514" t="inlineStr">
        <is>
          <t>dm4pu9</t>
        </is>
      </c>
      <c r="B5514" t="inlineStr">
        <is>
          <t>The hits just keep on coming</t>
        </is>
      </c>
      <c r="C5514" t="inlineStr">
        <is>
          <t>I just finished treatment for colon cancer 4 months ago.  My CT scan was clear and I figured I was okay. 
This morning, radiology called. They saw something on my mammogram and need more images. 
I’m furious and exhausted at the thought of more cancer. 
I mean, seriously, what the fuck?</t>
        </is>
      </c>
      <c r="D5514" t="n">
        <v>36</v>
      </c>
      <c r="E5514" t="n">
        <v>5</v>
      </c>
      <c r="F5514">
        <f>HYPERLINK("https://www.reddit.com/r/cancer/comments/dm4pu9/the_hits_just_keep_on_coming/")</f>
        <v/>
      </c>
      <c r="G5514" t="inlineStr">
        <is>
          <t>2019-10-23 12:56:47</t>
        </is>
      </c>
      <c r="H5514" t="inlineStr"/>
    </row>
    <row r="5515">
      <c r="A5515" t="inlineStr">
        <is>
          <t>dm72yj</t>
        </is>
      </c>
      <c r="B5515" t="inlineStr">
        <is>
          <t>So, I have Home Oxygen now...Any tips or tricks?</t>
        </is>
      </c>
      <c r="C5515" t="inlineStr">
        <is>
          <t>I have a big concentrator next to my bed and a portable unit that can come on adventures with me.  
This is all new.  And I hate that I need it, but damn, do I get short of breath just climbing the stairs.  The portable unit is awkward to carry.  
I don’t smoke, so smoking around my oxygen won’t be a problem.  Anything else I should know to make my life easier with this new set up?
Thanks, r/cancer.</t>
        </is>
      </c>
      <c r="D5515" t="n">
        <v>7</v>
      </c>
      <c r="E5515" t="n">
        <v>6</v>
      </c>
      <c r="F5515">
        <f>HYPERLINK("https://www.reddit.com/r/cancer/comments/dm72yj/so_i_have_home_oxygen_nowany_tips_or_tricks/")</f>
        <v/>
      </c>
      <c r="G5515" t="inlineStr">
        <is>
          <t>2019-10-23 15:36:54</t>
        </is>
      </c>
      <c r="H5515" t="inlineStr"/>
    </row>
    <row r="5516">
      <c r="A5516" t="inlineStr">
        <is>
          <t>dm90zh</t>
        </is>
      </c>
      <c r="B5516" t="inlineStr">
        <is>
          <t>After four years of surgery, chemo, radiation, and finally maintenance chemo for life, my mom is cancer free today!</t>
        </is>
      </c>
      <c r="C5516" t="inlineStr">
        <is>
          <t>6 months ago, her doc put her on maintenance chemo “for life” with the adage, “you will definitely live until Christmas, we’ll just take it Christmas by Christmas”. Today her scan showed NO signs! She is going to continue her current chemo regimen for a while, but I’m tearful with JOY right now. Since retirement she’s been working on building a school in Uganda, and had expressed a desire for my partner and I to come to the grand opening next year, but in the recent months was unsure if that could be a reality based on her health. Uganda here we come! To anyone who is feeling hopeless, she was diagnosed with stage four colon cancer, and has had more surgeries and things removed than I can even recall. Even when things got rough, she kept a bright eye. There have been down moments, and I know the fight may not be over, but don’t ever fucking give up!</t>
        </is>
      </c>
      <c r="D5516" t="n">
        <v>141</v>
      </c>
      <c r="E5516" t="n">
        <v>17</v>
      </c>
      <c r="F5516">
        <f>HYPERLINK("https://www.reddit.com/r/cancer/comments/dm90zh/after_four_years_of_surgery_chemo_radiation_and/")</f>
        <v/>
      </c>
      <c r="G5516" t="inlineStr">
        <is>
          <t>2019-10-23 18:06:15</t>
        </is>
      </c>
      <c r="H5516" t="inlineStr"/>
    </row>
    <row r="5517">
      <c r="A5517" t="inlineStr">
        <is>
          <t>dm9fgk</t>
        </is>
      </c>
      <c r="B5517" t="inlineStr">
        <is>
          <t>So like</t>
        </is>
      </c>
      <c r="C5517" t="inlineStr">
        <is>
          <t>Let’s say I use my make a wish to meet bill gates...
And let’s say once I meet with him I ask for a million dollars...
Let’s say that’s nothing to him and he donates most his fortune to charity, cuz that’s the case...
Does he just say no to my face and that’s the end of the story?</t>
        </is>
      </c>
      <c r="D5517" t="n">
        <v>0</v>
      </c>
      <c r="E5517" t="n">
        <v>1</v>
      </c>
      <c r="F5517">
        <f>HYPERLINK("https://www.reddit.com/r/cancer/comments/dm9fgk/so_like/")</f>
        <v/>
      </c>
      <c r="G5517" t="inlineStr">
        <is>
          <t>2019-10-23 18:39:40</t>
        </is>
      </c>
      <c r="H5517" t="inlineStr"/>
    </row>
    <row r="5518">
      <c r="A5518" t="inlineStr">
        <is>
          <t>dm9mtd</t>
        </is>
      </c>
      <c r="B5518" t="inlineStr">
        <is>
          <t>My urologist doesn't know what this is</t>
        </is>
      </c>
      <c r="C5518" t="inlineStr">
        <is>
          <t>Hi everyone,
Around a week ago I notcied inflammation on one side my foreskin. Three days ago, what seems like an ulcer opened. At first it was all yellow, and then it become like a dark red (almost black at times) which supurates slimy, yellowish pus-like substance.
I went to the doctor and at first they suspected syphilis chancre, so I got tested for syphilis and got the penicillin shot, but the results came back negative.
Since I had unprotected sex around a month ago, they still suspect something venereal so I was prescribed a strong antibiotic for *5 days* and to wait and see if it does something. It's the second day and I still don't notice any major changes (not from the penicillin, nor the azithromycin).
&amp;amp;#x200B;
Here's what I can say:
\- It doesn't really hurt
\- It itches just a little bit
\- It smells bad - not so bad now, though
\- It makes the foreskin a little hard to pull back
&amp;amp;#x200B;
About me:
\- 29 years old
\- I'm a light smoker
\- No diseases that I know of
&amp;amp;#x200B;
Here are pictures of today:
[https://imggmi.com/full/2019/10/24/ebb4eaedb234cdc36b290d4e9e4fcf03-full.jpg.html](https://imggmi.com/full/2019/10/24/ebb4eaedb234cdc36b290d4e9e4fcf03-full.jpg.html)
[https://imggmi.com/full/2019/10/24/3b307ed82ca3e199a8a2d18ba3d415dd-full.jpg.html](https://imggmi.com/full/2019/10/24/3b307ed82ca3e199a8a2d18ba3d415dd-full.jpg.html)
&amp;amp;#x200B;
Here's one from yesterday:
[https://imggmi.com/full/2019/10/24/8e9eb5de0f08ff10d2678a14a0b77d46-full.jpg.html](https://imggmi.com/full/2019/10/24/8e9eb5de0f08ff10d2678a14a0b77d46-full.jpg.html)
&amp;amp;#x200B;
I've researched most of STDs and nothing really looks like this. So I'm starting to wonder if it's something else.
I know that HPV is highly contagious and in men, it's correlated to penile cancer, but it could also be a viral infection (and it would make sense antibiotics don't do anything).
&amp;amp;#x200B;
So these are my questions:
\- If it turns out to be cancer, are 5 days of waiting too much? I don't want to lose valuable time.
\- Would cleaning the wound with an antibacterial or anything like that worsen things if it happened to be cancer?
\- Is there any surefire way to tell if an ulcer is or is not cancer?
\- Are there any warning signs I should look for? (e.g., rapid growth of the ulcer, etc.)
&amp;amp;#x200B;
Any feedback would be greately appeciated.</t>
        </is>
      </c>
      <c r="D5518" t="n">
        <v>0</v>
      </c>
      <c r="E5518" t="n">
        <v>0</v>
      </c>
      <c r="F5518">
        <f>HYPERLINK("https://www.reddit.com/r/cancer/comments/dm9mtd/my_urologist_doesnt_know_what_this_is/")</f>
        <v/>
      </c>
      <c r="G5518" t="inlineStr">
        <is>
          <t>2019-10-23 18:56:42</t>
        </is>
      </c>
      <c r="H5518" t="inlineStr"/>
    </row>
    <row r="5519">
      <c r="A5519" t="inlineStr">
        <is>
          <t>dmaion</t>
        </is>
      </c>
      <c r="B5519" t="inlineStr">
        <is>
          <t>I’m pretty scared and need to vent.</t>
        </is>
      </c>
      <c r="C5519" t="inlineStr">
        <is>
          <t>My mom has been dealing with Stage IV Colin cancer since September 2017. She was told last month after two years of chemotherapy, targeted radiation, surgeries, and more chemotherapy that she was finally cancer free. We all celebrated, hugged, laughed, cried. It felt like the battle was over.
She was told she had some spots on her lungs. They did scans and said it was nothing to worry about.
A couple weeks ago they grew. They kept growing in a month and her CEA jumped from 7.2 to 180+. She’s been on chemotherapy pretty immediately since the last check up. She may have to go for more radiation. 
I’m scared. I don’t know how to express my grief aside from working myself to physical exhaustion and injury. My mom is pretty proud, and refuses help, and due to her fatigue from chemo she doesn’t want visitors often. She also feels like no one wants to see her. She made plans with my fiancée to go meet her side of the family, and that got canceled pretty much immediately. She’s keeping in good spirits, but I don’t know how long it’ll last. Especially with holidays coming up soon. 
There’s so much that needs to be said between the two of us also. I don’t know how to say it. It seems so... Superficial? I apologize if that sounds rude to this community, I just don’t want her to think that amends are being made because she’s going through this. I want her to know genuinely how I feel. 
I’m scared. I miss my mom and she lives 5 minutes away. 
There was no point to this. I guess I needed to vent.</t>
        </is>
      </c>
      <c r="D5519" t="n">
        <v>7</v>
      </c>
      <c r="E5519" t="n">
        <v>2</v>
      </c>
      <c r="F5519">
        <f>HYPERLINK("https://www.reddit.com/r/cancer/comments/dmaion/im_pretty_scared_and_need_to_vent/")</f>
        <v/>
      </c>
      <c r="G5519" t="inlineStr">
        <is>
          <t>2019-10-23 20:13:38</t>
        </is>
      </c>
      <c r="H5519" t="inlineStr"/>
    </row>
    <row r="5520">
      <c r="A5520" t="inlineStr">
        <is>
          <t>dmbcc0</t>
        </is>
      </c>
      <c r="B5520" t="inlineStr">
        <is>
          <t>Just found out my husband's Epithelioid Sarcoma has spread to his lungs - any ES survivors out there who can give me hope?</t>
        </is>
      </c>
      <c r="C5520" t="inlineStr">
        <is>
          <t>In early August of this year, my husband was diagnosed with proximal Epithelioid Sarcoma in his left arm. Initially, the treatment plan was for radiation therapy only, but that quickly changed to six rounds of chemo and ten concurrent radiation therapy sessions. Unfortunately, after three rounds of chemo and all of his radiation sessions, it appears that the cancer has spread to his lungs. 
I'm so shocked and numb right now. My husband has always been such an active and physically strong person that it wasn't a surprise he seemed to be rocking the chemo treatments. He seems so alive, despite his hair loss and need to take things a bit easier. How can he be dying? He's only 36 and we have a 5 year-old son. 
Anyone out there with a similar story who has actually beat this thing?</t>
        </is>
      </c>
      <c r="D5520" t="n">
        <v>1</v>
      </c>
      <c r="E5520" t="n">
        <v>5</v>
      </c>
      <c r="F5520">
        <f>HYPERLINK("https://www.reddit.com/r/cancer/comments/dmbcc0/just_found_out_my_husbands_epithelioid_sarcoma/")</f>
        <v/>
      </c>
      <c r="G5520" t="inlineStr">
        <is>
          <t>2019-10-23 21:32:30</t>
        </is>
      </c>
      <c r="H5520" t="inlineStr"/>
    </row>
    <row r="5521">
      <c r="A5521" t="inlineStr">
        <is>
          <t>dmbsij</t>
        </is>
      </c>
      <c r="B5521" t="inlineStr">
        <is>
          <t>What exactly do therapists and psychologists do?</t>
        </is>
      </c>
      <c r="C5521" t="inlineStr">
        <is>
          <t>Mental health, depression, dark thoughts, generally feeling unhappy with circumstances, all these things lead to the perfect solution; ”Get a shrink”. But how does it actually work? Do you sit and talk? Do you get pills? What is expected of the professional, and what’s expected of the patient? 
As far as I can tell, every issue I currently have is directly related to physical problems. My kidneys, hair and teeth are all damaged. I’m always in pain, no matter what drugs they give me. I’ve been in chronic pain for over a decade now, in various ways. First as the tumor was growing, then I was shattering bones in my foot since the surgeries and radiation therapy led to osteoporosis in my foot and lower leg, and finally now in the form of phantom limb pains as the cancer returned and my leg was amputated. 
I never really struggled with existential stuff. Never struggled with depression or self-image related stuff either. I’m in pain which makes me tired. I can’t sleep because of the pain, which makes me more tired. I can’t focus, because of the pain and always being tired. I miss running, football, just sports in general which makes me sad sometimes. The phantom limb pains were easier when I was on pain killers, but then I was sleeping for 12+ hrs / night and I was always out of it. All of the physical problems I have are easy to explain, and they’re all permanent. 
So yeah, I feel like shit a lot of the time. Drugs never worked like I previously mentioned, but I drink pretty heavily during the weekends. I never feel like I drink just to drink, but what I do feel is the pain easing and I end up drinking until I pass out more often that I care to admit. And alcohol does things to the mind, so sometimes I get pretty sad durings those times, just thinking about life I guess. 
I’m in my early 20s and I’m currently studying to become an orthopedic engineer (always been interested in engineering, figured I’d have valuable insight into the patient side of things). Focusing is an issue but I’m atleast getting by. I’ve got a girlfriend, supportive family, plenty of friends. Different party with usually one of the 3 different main groups I run with, but every once in a while I go out with cousins/old high school friends etc. 
But it’s been a long time since I was genuinely happy. I feel bitter toward many things. When I look at what I have I feel like I should be a lot happier than I am. I have happy moments of course, I laugh a lot, but it’s never pure happiness if that makes sense? I just want to feel happy and I’m not really sure how. 
What could a therapist / psychologist realistically do for me? Nothing they say could end the pain. No drug they give me could end the pain without making everything numb at the same time, and that’s a trade off I won’t accept. I’ve also heard people say that the only way for therapy to help is if you’re actively working for it, but it seems like I’m making up excuses for it never working before ever having tried it...which means I don’t know how I’m gonna respond to it. 
I’m just rambling after a pretty sleepless night. I don’t know, I think I’m just looking for any sort of advice. I try not to lay the heaviest stuff on the people around me. This is my 3rd language so I don’t know how much sense I’m making, and those limitations are probably why this became such a huge wall of text. Oh well, I’m thankful for any advice.</t>
        </is>
      </c>
      <c r="D5521" t="n">
        <v>1</v>
      </c>
      <c r="E5521" t="n">
        <v>1</v>
      </c>
      <c r="F5521">
        <f>HYPERLINK("https://www.reddit.com/r/cancer/comments/dmbsij/what_exactly_do_therapists_and_psychologists_do/")</f>
        <v/>
      </c>
      <c r="G5521" t="inlineStr">
        <is>
          <t>2019-10-23 22:18:42</t>
        </is>
      </c>
      <c r="H5521" t="inlineStr"/>
    </row>
    <row r="5522">
      <c r="A5522" t="inlineStr">
        <is>
          <t>dmc085</t>
        </is>
      </c>
      <c r="B5522" t="inlineStr">
        <is>
          <t>Thank you!!!!</t>
        </is>
      </c>
      <c r="C5522" t="inlineStr">
        <is>
          <t>I just want to say thank you, from the bottom of my heart, to everyone in this sub that has been here with me through my journey. There have been tears, days of extreme depression, good news, bad news, scary tests, and now finally remission. I will never forget all the kind words and guidance I have received in this sub, and I will never leave, as each and every one of you have become my family. Things have been extremely hard, but I made it through, and I am here to show that it’s possible. 
Now my goal is to fight for the rest of my Reddit family, I am here for all of you just as you were here for me!!!!!!!!!
I love you guys 😊</t>
        </is>
      </c>
      <c r="D5522" t="n">
        <v>13</v>
      </c>
      <c r="E5522" t="n">
        <v>2</v>
      </c>
      <c r="F5522">
        <f>HYPERLINK("https://www.reddit.com/r/cancer/comments/dmc085/thank_you/")</f>
        <v/>
      </c>
      <c r="G5522" t="inlineStr">
        <is>
          <t>2019-10-23 22:42:21</t>
        </is>
      </c>
      <c r="H5522" t="inlineStr"/>
    </row>
    <row r="5523">
      <c r="A5523" t="inlineStr">
        <is>
          <t>dmcbs8</t>
        </is>
      </c>
      <c r="B5523" t="inlineStr">
        <is>
          <t>Exercise vent</t>
        </is>
      </c>
      <c r="C5523" t="inlineStr">
        <is>
          <t>Hi everyone, I just need to vent a bit
I'm so fkn tired of hearing from my close family say "go out for a walk" or "exercise a bit, don't just sit there all day"
I'm tired, my head and my body is beaten up, let me rest, I don't want to hear about what you think I should do, not everyday, I have enough to deal with as it is
Do you guys deal with this too?</t>
        </is>
      </c>
      <c r="D5523" t="n">
        <v>12</v>
      </c>
      <c r="E5523" t="n">
        <v>5</v>
      </c>
      <c r="F5523">
        <f>HYPERLINK("https://www.reddit.com/r/cancer/comments/dmcbs8/exercise_vent/")</f>
        <v/>
      </c>
      <c r="G5523" t="inlineStr">
        <is>
          <t>2019-10-23 23:18:32</t>
        </is>
      </c>
      <c r="H5523" t="inlineStr"/>
    </row>
    <row r="5524">
      <c r="A5524" t="inlineStr">
        <is>
          <t>dmcmpc</t>
        </is>
      </c>
      <c r="B5524" t="inlineStr">
        <is>
          <t>Infection After Chemo Cycle</t>
        </is>
      </c>
      <c r="C5524" t="inlineStr">
        <is>
          <t>My partner was diagnosed with Burkitts lymphoma about a month and a half ago. He started on a course of R-CODOX-M with the intention to stick with that 4 times but they’ve had to switch over to R-IVAC for a cycle because it hit his liver really hard (and caused terrible mucositis). At the moment he’s just finished his first cycle of IVAC (second total) and is in nadir (White blood cells at 0.1, neutrophils at 0). He is back in the hospital with what seems to be an infection. Does anyone have an experiences with infections when your immune system is down? I can’t find anything and I’m really worried. Hoping maybe you guys might know a little about what to expect. He’s on broad spectrum antibiotics but there hasn’t been any improvement in the last 2 days.</t>
        </is>
      </c>
      <c r="D5524" t="n">
        <v>3</v>
      </c>
      <c r="E5524" t="n">
        <v>5</v>
      </c>
      <c r="F5524">
        <f>HYPERLINK("https://www.reddit.com/r/cancer/comments/dmcmpc/infection_after_chemo_cycle/")</f>
        <v/>
      </c>
      <c r="G5524" t="inlineStr">
        <is>
          <t>2019-10-23 23:53:19</t>
        </is>
      </c>
      <c r="H5524" t="inlineStr"/>
    </row>
    <row r="5525">
      <c r="A5525" t="inlineStr">
        <is>
          <t>dmdd4r</t>
        </is>
      </c>
      <c r="B5525" t="inlineStr">
        <is>
          <t>The Biomimicry against cancer:</t>
        </is>
      </c>
      <c r="C5525" t="inlineStr">
        <is>
          <t>Is biomimicry a good alternative to fight cancer? Why? What is the best option?</t>
        </is>
      </c>
      <c r="D5525" t="n">
        <v>0</v>
      </c>
      <c r="E5525" t="n">
        <v>1</v>
      </c>
      <c r="F5525">
        <f>HYPERLINK("https://www.reddit.com/r/cancer/comments/dmdd4r/the_biomimicry_against_cancer/")</f>
        <v/>
      </c>
      <c r="G5525" t="inlineStr">
        <is>
          <t>2019-10-24 01:20:14</t>
        </is>
      </c>
      <c r="H5525" t="inlineStr"/>
    </row>
    <row r="5526">
      <c r="A5526" t="inlineStr">
        <is>
          <t>dmfrwl</t>
        </is>
      </c>
      <c r="B5526" t="inlineStr">
        <is>
          <t>MRI vs Ultrasound</t>
        </is>
      </c>
      <c r="C5526" t="inlineStr">
        <is>
          <t>I have received results from an MRI that are inconclusive and the recommendation is to do an ultrasound. Yet everything I am reading online talks about MRI is used to find more information after ultrasounds. Has anyone had experience with this that could provide advice?
I have a call with the doctor later today and will confirm with her then, but hoping to see what you all have to say before then.</t>
        </is>
      </c>
      <c r="D5526" t="n">
        <v>1</v>
      </c>
      <c r="E5526" t="n">
        <v>8</v>
      </c>
      <c r="F5526">
        <f>HYPERLINK("https://www.reddit.com/r/cancer/comments/dmfrwl/mri_vs_ultrasound/")</f>
        <v/>
      </c>
      <c r="G5526" t="inlineStr">
        <is>
          <t>2019-10-24 05:35:40</t>
        </is>
      </c>
      <c r="H5526" t="inlineStr"/>
    </row>
    <row r="5527">
      <c r="A5527" t="inlineStr">
        <is>
          <t>dmgt6l</t>
        </is>
      </c>
      <c r="B5527" t="inlineStr">
        <is>
          <t>On our way</t>
        </is>
      </c>
      <c r="C5527" t="inlineStr">
        <is>
          <t>On the way to a specialist to find out how advanced my mother’s cancer is. We have a 3 hour road trip and are listening to classic country. I’ll cherish this day for the rest of my life.</t>
        </is>
      </c>
      <c r="D5527" t="n">
        <v>15</v>
      </c>
      <c r="E5527" t="n">
        <v>1</v>
      </c>
      <c r="F5527">
        <f>HYPERLINK("https://www.reddit.com/r/cancer/comments/dmgt6l/on_our_way/")</f>
        <v/>
      </c>
      <c r="G5527" t="inlineStr">
        <is>
          <t>2019-10-24 07:00:15</t>
        </is>
      </c>
      <c r="H5527" t="inlineStr"/>
    </row>
    <row r="5528">
      <c r="A5528" t="inlineStr">
        <is>
          <t>dmibiq</t>
        </is>
      </c>
      <c r="B5528" t="inlineStr">
        <is>
          <t>No Fear</t>
        </is>
      </c>
      <c r="C5528" t="inlineStr">
        <is>
          <t xml:space="preserve">How would life look different if we no longer held on to fears about the future? We would live more fully, more freely, and more joyfully in whatever now brings. We would take captive thoughts that bind us to a tomorrow we cannot control and instead focus on the today we have to live. We would savor our tasks big and small and let go of the minor stresses of life. We would be less controlling, less manipulative, and less opinionated. We would dream gently and trust fully. </t>
        </is>
      </c>
      <c r="D5528" t="n">
        <v>4</v>
      </c>
      <c r="E5528" t="n">
        <v>1</v>
      </c>
      <c r="F5528">
        <f>HYPERLINK("https://www.reddit.com/r/cancer/comments/dmibiq/no_fear/")</f>
        <v/>
      </c>
      <c r="G5528" t="inlineStr">
        <is>
          <t>2019-10-24 08:50:18</t>
        </is>
      </c>
      <c r="H5528" t="inlineStr"/>
    </row>
    <row r="5529">
      <c r="A5529" t="inlineStr">
        <is>
          <t>dmiq8l</t>
        </is>
      </c>
      <c r="B5529" t="inlineStr">
        <is>
          <t>My friend died today.</t>
        </is>
      </c>
      <c r="C5529" t="inlineStr">
        <is>
          <t>She had cancer. It was obviously terminal- and actively so- in the last few months. Her speech was jumbled, her texts more so.  The brain mets were significant and it was painfully obvious. 
But she was ‘fighting on’ so you couldn’t say anything. And why would you want to crush her spirits like that? It was just hard watching from the outside, knowing full well what was happening. 
Not harder than what she went through though. 
I feel so sad. I don’t deserve to, she did the hard yards here. She didn’t deserve this. No one does.</t>
        </is>
      </c>
      <c r="D5529" t="n">
        <v>51</v>
      </c>
      <c r="E5529" t="n">
        <v>15</v>
      </c>
      <c r="F5529">
        <f>HYPERLINK("https://www.reddit.com/r/cancer/comments/dmiq8l/my_friend_died_today/")</f>
        <v/>
      </c>
      <c r="G5529" t="inlineStr">
        <is>
          <t>2019-10-24 09:19:19</t>
        </is>
      </c>
      <c r="H5529" t="inlineStr"/>
    </row>
    <row r="5530">
      <c r="A5530" t="inlineStr">
        <is>
          <t>dmkzr9</t>
        </is>
      </c>
      <c r="B5530" t="inlineStr">
        <is>
          <t>My dad was recently diagnosed.</t>
        </is>
      </c>
      <c r="C5530" t="inlineStr">
        <is>
          <t>They found a tumour in his lung and is getting surgery next week to get it removed. That’s all the information I have and I want to know how serious it is. Can anyone help with that?</t>
        </is>
      </c>
      <c r="D5530" t="n">
        <v>1</v>
      </c>
      <c r="E5530" t="n">
        <v>1</v>
      </c>
      <c r="F5530">
        <f>HYPERLINK("https://www.reddit.com/r/cancer/comments/dmkzr9/my_dad_was_recently_diagnosed/")</f>
        <v/>
      </c>
      <c r="G5530" t="inlineStr">
        <is>
          <t>2019-10-24 12:00:20</t>
        </is>
      </c>
      <c r="H5530" t="inlineStr"/>
    </row>
    <row r="5531">
      <c r="A5531" t="inlineStr">
        <is>
          <t>dmlubb</t>
        </is>
      </c>
      <c r="B5531" t="inlineStr">
        <is>
          <t>immunotherapy</t>
        </is>
      </c>
      <c r="C5531" t="inlineStr">
        <is>
          <t>Hi reddit
 I have a question for all of you please answer
What think about the immunotherapy to treat cancer?</t>
        </is>
      </c>
      <c r="D5531" t="n">
        <v>5</v>
      </c>
      <c r="E5531" t="n">
        <v>6</v>
      </c>
      <c r="F5531">
        <f>HYPERLINK("https://www.reddit.com/r/cancer/comments/dmlubb/immunotherapy/")</f>
        <v/>
      </c>
      <c r="G5531" t="inlineStr">
        <is>
          <t>2019-10-24 13:01:00</t>
        </is>
      </c>
      <c r="H5531" t="inlineStr"/>
    </row>
    <row r="5532">
      <c r="A5532" t="inlineStr">
        <is>
          <t>dmmbt1</t>
        </is>
      </c>
      <c r="B5532" t="inlineStr">
        <is>
          <t>Thyroid cancer recurrence/reactive nodes</t>
        </is>
      </c>
      <c r="C5532" t="inlineStr">
        <is>
          <t>Looking for some advice and/or experiences. I was diagnosed with Stage 4 thyroid cancer age 17. This was 10 years ago. Over the past few years, significant lumps appeared in my neck. Consultant classed them as 'reactive nodes'. Only recently they have found malignant cells from a node biopsy and have - at long last - agreed to operate in 2 weeks. 
Has anyone else experienced a thyroid cancer recurrence? Reactive nodes? If so, what was your prognosis and treatment? 
Feeling very stressed and scared. Any information would be greatly appreciated.</t>
        </is>
      </c>
      <c r="D5532" t="n">
        <v>2</v>
      </c>
      <c r="E5532" t="n">
        <v>0</v>
      </c>
      <c r="F5532">
        <f>HYPERLINK("https://www.reddit.com/r/cancer/comments/dmmbt1/thyroid_cancer_recurrencereactive_nodes/")</f>
        <v/>
      </c>
      <c r="G5532" t="inlineStr">
        <is>
          <t>2019-10-24 13:34:08</t>
        </is>
      </c>
      <c r="H5532" t="inlineStr"/>
    </row>
    <row r="5533">
      <c r="A5533" t="inlineStr">
        <is>
          <t>dmmhvm</t>
        </is>
      </c>
      <c r="B5533" t="inlineStr">
        <is>
          <t>Big hospital or small clinics</t>
        </is>
      </c>
      <c r="C5533" t="inlineStr">
        <is>
          <t>My PCP recommend go to a small personal clinic for treatment better than some big teaching hospital? what do you think?</t>
        </is>
      </c>
      <c r="D5533" t="n">
        <v>2</v>
      </c>
      <c r="E5533" t="n">
        <v>5</v>
      </c>
      <c r="F5533">
        <f>HYPERLINK("https://www.reddit.com/r/cancer/comments/dmmhvm/big_hospital_or_small_clinics/")</f>
        <v/>
      </c>
      <c r="G5533" t="inlineStr">
        <is>
          <t>2019-10-24 13:45:40</t>
        </is>
      </c>
      <c r="H5533" t="inlineStr"/>
    </row>
    <row r="5534">
      <c r="A5534" t="inlineStr">
        <is>
          <t>dmmne4</t>
        </is>
      </c>
      <c r="B5534" t="inlineStr">
        <is>
          <t>Someone told me to post here</t>
        </is>
      </c>
      <c r="C5534" t="inlineStr">
        <is>
          <t>I have glioblastoma. I'm 31. I've been through a lot this past year but stayed sober and now I've fallen off the wagon as a result of my diagnosis. Idk, I just need some positive stories about glioblastoma if possible to know I may have more than six months to live.</t>
        </is>
      </c>
      <c r="D5534" t="n">
        <v>45</v>
      </c>
      <c r="E5534" t="n">
        <v>37</v>
      </c>
      <c r="F5534">
        <f>HYPERLINK("https://www.reddit.com/r/cancer/comments/dmmne4/someone_told_me_to_post_here/")</f>
        <v/>
      </c>
      <c r="G5534" t="inlineStr">
        <is>
          <t>2019-10-24 13:55:57</t>
        </is>
      </c>
      <c r="H5534" t="inlineStr"/>
    </row>
    <row r="5535">
      <c r="A5535" t="inlineStr">
        <is>
          <t>dmo46c</t>
        </is>
      </c>
      <c r="B5535" t="inlineStr">
        <is>
          <t>My mom’s ovarian cancer</t>
        </is>
      </c>
      <c r="C5535" t="inlineStr">
        <is>
          <t>Hi so I’m not one to normally post planes but I’m kinda lost rn. My mom was diagnosed with ovarian cancer in the spring of 2017. I’m currently a junior in college and I’m 3.5 hours from home. I just started going to therapy this semester and it’s helped a lot but I feel so sad and alone. My therapist says that I just recently accepted my mom’s diagnosis because I was overly optimistic and I didn’t even consider the possibility that my mom wouldn’t recover. My childhood best friend’s mom passed away from cancer over the summer and it feels like she’s the only one who actually understands my situation and how big of an impact it has on me. People ask how my mom is and I don’t even know what to say because chemo doesn’t work anymore, she hasn’t had real food in months, and the only reason she leaves the house is to go to the hospital. I used to tell people she’s okay but she’s honestly not. Now that I’m actually letting myself feel everything I feel so sad and I want to isolate myself but I know that’s not the right thing to do.</t>
        </is>
      </c>
      <c r="D5535" t="n">
        <v>8</v>
      </c>
      <c r="E5535" t="n">
        <v>5</v>
      </c>
      <c r="F5535">
        <f>HYPERLINK("https://www.reddit.com/r/cancer/comments/dmo46c/my_moms_ovarian_cancer/")</f>
        <v/>
      </c>
      <c r="G5535" t="inlineStr">
        <is>
          <t>2019-10-24 15:37:21</t>
        </is>
      </c>
      <c r="H5535" t="inlineStr"/>
    </row>
    <row r="5536">
      <c r="A5536" t="inlineStr">
        <is>
          <t>dmp4vd</t>
        </is>
      </c>
      <c r="B5536" t="inlineStr">
        <is>
          <t>Can anyone who's had testicular cancer help answer a few questions?</t>
        </is>
      </c>
      <c r="C5536" t="inlineStr">
        <is>
          <t>Does the operation to remove a testicle affect your confidence in yourself a lot? I've already got a really bad view of myself so I'm worried about that. And what about partners? I've just started a relationship with someone two weeks ago, she's been amazing about everything but I can't help worrying that it'll change how she sees me. I'm worried about a lot of it but it's mainly how it will effect anything to do with what I talked about there the most. I'm not confident in myself and even though it's not like I walk about with my balls hanging out im 26 so there's still that fragile masculinity culture always affecting me even if I don't like it. Sorry about the rant</t>
        </is>
      </c>
      <c r="D5536" t="n">
        <v>4</v>
      </c>
      <c r="E5536" t="n">
        <v>5</v>
      </c>
      <c r="F5536">
        <f>HYPERLINK("https://www.reddit.com/r/cancer/comments/dmp4vd/can_anyone_whos_had_testicular_cancer_help_answer/")</f>
        <v/>
      </c>
      <c r="G5536" t="inlineStr">
        <is>
          <t>2019-10-24 16:51:20</t>
        </is>
      </c>
      <c r="H5536" t="inlineStr"/>
    </row>
    <row r="5537">
      <c r="A5537" t="inlineStr">
        <is>
          <t>dmp7lf</t>
        </is>
      </c>
      <c r="B5537" t="inlineStr">
        <is>
          <t>Sort of a rant, sort of a question</t>
        </is>
      </c>
      <c r="C5537" t="inlineStr">
        <is>
          <t>My grandmother (whom I live with) was diagnosed with gynecological cancer close to the beginning of this year. She doesn't have a stage that I know of, but at the current time she has what the doctor's referred to as a locally advanced tumor on her right side (which they believe led to the swelling of her entire right leg). 
She's led life as a pretty unhealthy person and she's overweight for her height of 5'2", so when it came to starting treatments she had to be admitted to the hospital because it was too hard to make the trip every day. She was admitted for four and a half months, they only did radiation. In order to start chemo they said she needs to be stronger (physically and mentally) than she is now, so they discharged her and she's been home since the middle of September.
When she was in the hospital she always spoke about how healthy she was going to be once she got out and that she was going to continue with the exercises they set up for her/make goals to eventually be able to walk outside. 
She's done none of that.
I've bought so much fruits/veggies that just turn bad, when I cook I'm the only one that eats. And it's not because she's not hungry, because her friends will come over with fast food and she scarfs it down.
She's only walked twice since she's been home, but she lies and tells people she does it almost every day. All she does is sleep and watch TV.
The past two weeks she's been feeling extra pain (so much so that she won't even get showered). Today, both her nurse and doctor came for a checkup. Come to find out she hasn't been taking her blood pressure medication properly because "they look too similar so she wasn't sure which was right". She could have told me, the nurse, her PSW or the doctor, but she decided that the best thing to do was to *not take them????* She's was admitted to the hospital years ago for not taking her medication (and literally told me she was going to die), I'm shocked she would do it again.
If I try to help her eat healthier or encourage her to take a walk she gets huffy. If I give any sort of criticism she tells me she doesn't want a lecture and to go away. If I express my emotions and tell her that I care and I'm trying to help she rolls her eyes. If I do nothing, I'm a horrible person. It's been this way for most of my teenage/adult life, but it seems worse now that she has cancer. It's like she doesn't even want to be alive. 
Has anyone else had to deal with a similar situation? Does anyone have advice? I care so much but she's literally messed me up mentally throughout my life and I don't think it's fair for her to treat me like this.
**TLDR**: How do you deal with someone who won't do anything for themselves, but if you try to help you get told off?</t>
        </is>
      </c>
      <c r="D5537" t="n">
        <v>2</v>
      </c>
      <c r="E5537" t="n">
        <v>10</v>
      </c>
      <c r="F5537">
        <f>HYPERLINK("https://www.reddit.com/r/cancer/comments/dmp7lf/sort_of_a_rant_sort_of_a_question/")</f>
        <v/>
      </c>
      <c r="G5537" t="inlineStr">
        <is>
          <t>2019-10-24 16:57:27</t>
        </is>
      </c>
      <c r="H5537" t="inlineStr"/>
    </row>
    <row r="5538">
      <c r="A5538" t="inlineStr">
        <is>
          <t>dmpkcy</t>
        </is>
      </c>
      <c r="B5538" t="inlineStr">
        <is>
          <t>How often to check yourself</t>
        </is>
      </c>
      <c r="C5538" t="inlineStr">
        <is>
          <t>How often should I check my body parts to prevent all forms of cancer? (how often to check brain, heart, eyes, and many other organs). I am a female btw.</t>
        </is>
      </c>
      <c r="D5538" t="n">
        <v>1</v>
      </c>
      <c r="E5538" t="n">
        <v>10</v>
      </c>
      <c r="F5538">
        <f>HYPERLINK("https://www.reddit.com/r/cancer/comments/dmpkcy/how_often_to_check_yourself/")</f>
        <v/>
      </c>
      <c r="G5538" t="inlineStr">
        <is>
          <t>2019-10-24 17:27:43</t>
        </is>
      </c>
      <c r="H5538" t="inlineStr"/>
    </row>
    <row r="5539">
      <c r="A5539" t="inlineStr">
        <is>
          <t>dmqbg5</t>
        </is>
      </c>
      <c r="B5539" t="inlineStr">
        <is>
          <t>Need someone with a technical background to explain something to me</t>
        </is>
      </c>
      <c r="C5539" t="inlineStr">
        <is>
          <t>Preface: I’m a scientist but not anatomist who is living far away from my mother. My mother was diagnosed with stage 1C2 “ovarian” cancer according her. She’s not clearheaded even at the best of times and now I’m having to support her from a distance because she says that she doesn’t need my help.
Situation: I get a copy of the pathology report and it clearly states endometrioid cancer G3 and not ovarian cancer. Yes it’s in both ovaries but otherwise the word ovary is not used in the name of the cancer. She’s adamant that the doctor told her “ovarian cancer” but my intuition suggests that the doctor said “ovarian endometrioid cancer” and she ignored the worst d in the middle (this is a common occurrence in our daily conversations). Of note in the biopsy is no record of observing disease in the uterus where I thought the endometrium is.
If the cancer is endometrial, how the hell does it only manifest in the ovary and not anywhere along the way from the uterus to the ovary?
My mom refuses to ask the doctor and I’m respecting her wishes to handle her care despite feeling she isn’t understanding all the facts. (My uncle did this and had a horrible time; whereas I helped my dad and he had an easier time dealing with end of life decisions and treatment choices.)
TL;DR: how does endometrioid cancer G3 only manifest in both ovaries and not anywhere else including the endometrium according to a doctor’s pathology report? Is it actually ovarian cancer with worse prognosis?
Thanks.
🙏</t>
        </is>
      </c>
      <c r="D5539" t="n">
        <v>13</v>
      </c>
      <c r="E5539" t="n">
        <v>16</v>
      </c>
      <c r="F5539">
        <f>HYPERLINK("https://www.reddit.com/r/cancer/comments/dmqbg5/need_someone_with_a_technical_background_to/")</f>
        <v/>
      </c>
      <c r="G5539" t="inlineStr">
        <is>
          <t>2019-10-24 18:32:12</t>
        </is>
      </c>
      <c r="H5539" t="inlineStr"/>
    </row>
    <row r="5540">
      <c r="A5540" t="inlineStr">
        <is>
          <t>dmqnii</t>
        </is>
      </c>
      <c r="B5540" t="inlineStr">
        <is>
          <t>A question to help me connect with a friend</t>
        </is>
      </c>
      <c r="C5540" t="inlineStr">
        <is>
          <t>I would first like to commend you all on your bravery, love, and support for one another. To have a place for people to be able to vent, ask questions, share, and support one another is really amazing. It reminds me that the internet doesn’t have to be all bad. 
Someone in my life was recently diagnosed with pancreatic cancer. It is terminal. The person diagnosed is the spouse of my moms best friend and that person has become somewhat of a business mentor to me in a short amount of time, has provided tremendous help, and really become somebody I admire and look up to. 
I haven’t reached out yet as they have just been in the process of informing their immediate family and as it’s only been 3 and a half weeks since the news came out, I know that it’s chaotic at home for them and I’m not immediate family so I didn’t want to be a bother. 
I’ve been told by my mom now that sending an email will be ok. I could use some advice on what I should and shouldn’t say. I know what’s in my heart and what I’d like to share, but I don’t want to at all make this about me and how I feel. I just want to tell the person they mean something to me for the various reasons I mentioned and that I want to help in any way that I can. 
Any help will be appreciated. Thank you. 
PS: the lot of you possess a courage I have yet to know. I wish for health, mercy, and happiness for anybody going through a difficult time.</t>
        </is>
      </c>
      <c r="D5540" t="n">
        <v>5</v>
      </c>
      <c r="E5540" t="n">
        <v>11</v>
      </c>
      <c r="F5540">
        <f>HYPERLINK("https://www.reddit.com/r/cancer/comments/dmqnii/a_question_to_help_me_connect_with_a_friend/")</f>
        <v/>
      </c>
      <c r="G5540" t="inlineStr">
        <is>
          <t>2019-10-24 19:02:40</t>
        </is>
      </c>
      <c r="H5540" t="inlineStr"/>
    </row>
    <row r="5541">
      <c r="A5541" t="inlineStr">
        <is>
          <t>dmt4vk</t>
        </is>
      </c>
      <c r="B5541" t="inlineStr">
        <is>
          <t>Hey guys I’m worried for my dad</t>
        </is>
      </c>
      <c r="C5541" t="inlineStr">
        <is>
          <t>Hi everyone. My dad is 47 years old, he is overweight and sits all day for his job. A month ago he discovered a bump underneath his skin on his chest  area where there’s a gap(middle of ribcageish) he says it probably grew a tiny bit over the month and says it hurts when he presses on it or anything of that matter. We are extremely worried and can’t handle this, he doesn’t have health insurance so we can’t take this to a doctor at the moment. Can someone help me with this situation.</t>
        </is>
      </c>
      <c r="D5541" t="n">
        <v>2</v>
      </c>
      <c r="E5541" t="n">
        <v>2</v>
      </c>
      <c r="F5541">
        <f>HYPERLINK("https://www.reddit.com/r/cancer/comments/dmt4vk/hey_guys_im_worried_for_my_dad/")</f>
        <v/>
      </c>
      <c r="G5541" t="inlineStr">
        <is>
          <t>2019-10-24 22:59:03</t>
        </is>
      </c>
      <c r="H5541" t="inlineStr"/>
    </row>
    <row r="5542">
      <c r="A5542" t="inlineStr">
        <is>
          <t>dmt8d8</t>
        </is>
      </c>
      <c r="B5542" t="inlineStr">
        <is>
          <t>Common Symptoms Of Breast Cancer</t>
        </is>
      </c>
      <c r="C5542" t="inlineStr">
        <is>
          <t>With the increase in the number of breast cancer cases in India, the fear of cancer is on the rise. One cannot prevent breast cancer but can increase the survival rates by being informed and choosing the right treatment at the right time. 
Patients diagnosed with breast cancer need planned and systemic therapy, which is personalized based on their cancer condition.
9yui\]\\ore Info: [https://www.3hcare.in/common-symptoms-of-breast-cancer](https://www.3hcare.in/common-symptoms-of-breast-cancer)\+</t>
        </is>
      </c>
      <c r="D5542" t="n">
        <v>3</v>
      </c>
      <c r="E5542" t="n">
        <v>3</v>
      </c>
      <c r="F5542">
        <f>HYPERLINK("https://www.reddit.com/r/cancer/comments/dmt8d8/common_symptoms_of_breast_cancer/")</f>
        <v/>
      </c>
      <c r="G5542" t="inlineStr">
        <is>
          <t>2019-10-24 23:09:27</t>
        </is>
      </c>
      <c r="H5542" t="inlineStr"/>
    </row>
    <row r="5543">
      <c r="A5543" t="inlineStr">
        <is>
          <t>dmv1an</t>
        </is>
      </c>
      <c r="B5543" t="inlineStr">
        <is>
          <t>Question about stomach cancer</t>
        </is>
      </c>
      <c r="C5543" t="inlineStr">
        <is>
          <t>First of all I’m sorry for anyone going through or who has gone through any form of cancer. I have a question about stomach cancer as I’m currently having tests and suspecting it. What where your symptoms and what was the duration of your symptoms? Also has anyone ever had a negative endoscopy and still had cancer? I’d appreciate the feedback, thank you. 🙏🏽</t>
        </is>
      </c>
      <c r="D5543" t="n">
        <v>1</v>
      </c>
      <c r="E5543" t="n">
        <v>4</v>
      </c>
      <c r="F5543">
        <f>HYPERLINK("https://www.reddit.com/r/cancer/comments/dmv1an/question_about_stomach_cancer/")</f>
        <v/>
      </c>
      <c r="G5543" t="inlineStr">
        <is>
          <t>2019-10-25 02:38:14</t>
        </is>
      </c>
      <c r="H5543" t="inlineStr"/>
    </row>
    <row r="5544">
      <c r="A5544" t="inlineStr">
        <is>
          <t>dmvnnr</t>
        </is>
      </c>
      <c r="B5544" t="inlineStr">
        <is>
          <t>My mum has S4 Breast Cancer, diagnosed Wednesday</t>
        </is>
      </c>
      <c r="C5544" t="inlineStr">
        <is>
          <t>Hi all, 
My mum yesterday was diagnosed with stage 4 primary breast cancer, that has spread to her ribs - thankfully no organs. 
It's a bit of a shock as you can imagine, partly because of how advanced it is and partly because she immediately got a S4 diagnosis - no prior warning signs other than a small lump in the breast.
She started her hormone therapy yesterday, so we'll see how that goes, but obviously we're all trying to remain positive and optimistic. 
The treatment she's on is Letrozole and (i think) Ibandronate but she gets more drugs next week. 
She complains about back pain a lot, which I really really hope is only a pulled muscle but with how our luck has been lately probably means it's gone to her spine as well. She can walk but slowly and with pain, and doesn't get up and down stairs very quickly. 
I do hear about people with several bone mets living long lives - 5 + years - but then of course I keep seeing statistics about a 51% chance of survival after 1 year, a 27% chance of surviving 5 years, median 3 years etc etc....it's hard not to freak out. 
I'm just curious if anyone can offer any advice or words of encouragement as to what to expect? Of course I can't help but read statistics online and terrify myself with the stage 4 survival rates, but if anyone could share some optimism about survivability with bone mets, I'd greatly appreciate it.</t>
        </is>
      </c>
      <c r="D5544" t="n">
        <v>14</v>
      </c>
      <c r="E5544" t="n">
        <v>2</v>
      </c>
      <c r="F5544">
        <f>HYPERLINK("https://www.reddit.com/r/cancer/comments/dmvnnr/my_mum_has_s4_breast_cancer_diagnosed_wednesday/")</f>
        <v/>
      </c>
      <c r="G5544" t="inlineStr">
        <is>
          <t>2019-10-25 03:44:54</t>
        </is>
      </c>
      <c r="H5544" t="inlineStr"/>
    </row>
    <row r="5545">
      <c r="A5545" t="inlineStr">
        <is>
          <t>dmw0rr</t>
        </is>
      </c>
      <c r="B5545" t="inlineStr">
        <is>
          <t>After 2 rad treatments, Mom quit</t>
        </is>
      </c>
      <c r="C5545" t="inlineStr">
        <is>
          <t>She has squamous cell carcinoma of the tongue without lymph node involvement, yet. She’s 84. She’s had trigeminal neuralgia on the same side of the cancer for about 20 years. I get it. She’s tired. The weather up north is getting cold. She’s always been a bit of a loner. But the radiation will help with the drooling &amp;amp; eventually the pain but mostly will slow the CA growth. My siblings have worked so hard to get her started on Monday, she got there late but did the treatment Tues, but then on Weds refused to go. She just doesn’t want to do it. I’m in FL &amp;amp; just sent her a letter asking if she’d come down here to do it but she’s so stubborn 😞  She’s already lost about 40 lbs. So, what’s next? How long does it take for this to metastasize? I assume that eventually she’ll need a feeding tube. Does anyone have experience with tongue cancer? This just really sucks. I told her I can’t imagine life without her ..... I’m terrified of what will happen to her. If anyone has suggestions how I might try to change her mind, I’m certainly welcome to them. Ty for listening.</t>
        </is>
      </c>
      <c r="D5545" t="n">
        <v>32</v>
      </c>
      <c r="E5545" t="n">
        <v>21</v>
      </c>
      <c r="F5545">
        <f>HYPERLINK("https://www.reddit.com/r/cancer/comments/dmw0rr/after_2_rad_treatments_mom_quit/")</f>
        <v/>
      </c>
      <c r="G5545" t="inlineStr">
        <is>
          <t>2019-10-25 04:20:41</t>
        </is>
      </c>
      <c r="H5545" t="inlineStr"/>
    </row>
    <row r="5546">
      <c r="A5546" t="inlineStr">
        <is>
          <t>dmxmt1</t>
        </is>
      </c>
      <c r="B5546" t="inlineStr">
        <is>
          <t>I've been diagnosed with cancer. Who should i tell?</t>
        </is>
      </c>
      <c r="C5546" t="inlineStr">
        <is>
          <t>Hi, i'm 22 years old and i've been diagnosed with skin cancer. It's pretty recent, and i haven't studied anything so i'm not very knowledgeable in regards to nomenclature and etc, but i have extensive (?) superficial microinvasive melanoma (i'm not sure that's how it's called in english, it isn't my main language). I'll be going through some exams and a couple of surgeries to try and remove the cancerous parts of my skin, but i don't know whether it'll work or whether i should tell my family. I told my mom and dad, and my sister, and a couple of my best friends. I'm afraid that telling someone like my grandma might be too much for her, and i don't mean to make anyone else sick or ill because of me. Is that something  have to do? I'm pretty lost, i have to admit.</t>
        </is>
      </c>
      <c r="D5546" t="n">
        <v>2</v>
      </c>
      <c r="E5546" t="n">
        <v>3</v>
      </c>
      <c r="F5546">
        <f>HYPERLINK("https://www.reddit.com/r/cancer/comments/dmxmt1/ive_been_diagnosed_with_cancer_who_should_i_tell/")</f>
        <v/>
      </c>
      <c r="G5546" t="inlineStr">
        <is>
          <t>2019-10-25 06:42:45</t>
        </is>
      </c>
      <c r="H5546" t="inlineStr"/>
    </row>
    <row r="5547">
      <c r="A5547" t="inlineStr">
        <is>
          <t>dmxpnm</t>
        </is>
      </c>
      <c r="B5547" t="inlineStr">
        <is>
          <t>Dating post double mastectomy</t>
        </is>
      </c>
      <c r="C5547" t="inlineStr">
        <is>
          <t>So, I've had a partial reconstruction. There is a lot missing and scars. Anyone got any advice on what to do when dating again?</t>
        </is>
      </c>
      <c r="D5547" t="n">
        <v>4</v>
      </c>
      <c r="E5547" t="n">
        <v>4</v>
      </c>
      <c r="F5547">
        <f>HYPERLINK("https://www.reddit.com/r/cancer/comments/dmxpnm/dating_post_double_mastectomy/")</f>
        <v/>
      </c>
      <c r="G5547" t="inlineStr">
        <is>
          <t>2019-10-25 06:49:03</t>
        </is>
      </c>
      <c r="H5547" t="inlineStr"/>
    </row>
    <row r="5548">
      <c r="A5548" t="inlineStr">
        <is>
          <t>dmxxjt</t>
        </is>
      </c>
      <c r="B5548" t="inlineStr">
        <is>
          <t>Dating post double mastectomy</t>
        </is>
      </c>
      <c r="C5548" t="inlineStr">
        <is>
          <t>So, I've had a partial reconstruction. There is a lot missing and scars. Anyone got any advice on what to do when dating again?</t>
        </is>
      </c>
      <c r="D5548" t="n">
        <v>3</v>
      </c>
      <c r="E5548" t="n">
        <v>4</v>
      </c>
      <c r="F5548">
        <f>HYPERLINK("https://www.reddit.com/r/cancer/comments/dmxxjt/dating_post_double_mastectomy/")</f>
        <v/>
      </c>
      <c r="G5548" t="inlineStr">
        <is>
          <t>2019-10-25 07:06:11</t>
        </is>
      </c>
      <c r="H5548" t="inlineStr"/>
    </row>
    <row r="5549">
      <c r="A5549" t="inlineStr">
        <is>
          <t>dmyp3o</t>
        </is>
      </c>
      <c r="B5549" t="inlineStr">
        <is>
          <t>Any advice or experience with advanced stage gallbladder&amp;gt;bile duct cancer?</t>
        </is>
      </c>
      <c r="C5549" t="inlineStr">
        <is>
          <t>That’s what I just found out I have, and I’m looking for information. Anything is helpful!</t>
        </is>
      </c>
      <c r="D5549" t="n">
        <v>1</v>
      </c>
      <c r="E5549" t="n">
        <v>0</v>
      </c>
      <c r="F5549">
        <f>HYPERLINK("https://www.reddit.com/r/cancer/comments/dmyp3o/any_advice_or_experience_with_advanced_stage/")</f>
        <v/>
      </c>
      <c r="G5549" t="inlineStr">
        <is>
          <t>2019-10-25 08:03:20</t>
        </is>
      </c>
      <c r="H5549" t="inlineStr"/>
    </row>
    <row r="5550">
      <c r="A5550" t="inlineStr">
        <is>
          <t>dmz2e5</t>
        </is>
      </c>
      <c r="B5550" t="inlineStr">
        <is>
          <t>Advanced gall&amp;gt;bile duct cancer</t>
        </is>
      </c>
      <c r="C5550" t="inlineStr">
        <is>
          <t xml:space="preserve"> That’s what I just was told I have
And advice, information or resources would be very helpful. Thanks in advance!</t>
        </is>
      </c>
      <c r="D5550" t="n">
        <v>1</v>
      </c>
      <c r="E5550" t="n">
        <v>1</v>
      </c>
      <c r="F5550">
        <f>HYPERLINK("https://www.reddit.com/r/cancer/comments/dmz2e5/advanced_gallbile_duct_cancer/")</f>
        <v/>
      </c>
      <c r="G5550" t="inlineStr">
        <is>
          <t>2019-10-25 08:30:19</t>
        </is>
      </c>
      <c r="H5550" t="inlineStr"/>
    </row>
    <row r="5551">
      <c r="A5551" t="inlineStr">
        <is>
          <t>dmz4lg</t>
        </is>
      </c>
      <c r="B5551" t="inlineStr">
        <is>
          <t>Immunotheraphy</t>
        </is>
      </c>
      <c r="C5551" t="inlineStr">
        <is>
          <t>Hey, I need some opinions about this type of treatment on cancer for a college project. What do you guys think about immunotherapy replacing chemotherapy on cancer treatment?</t>
        </is>
      </c>
      <c r="D5551" t="n">
        <v>1</v>
      </c>
      <c r="E5551" t="n">
        <v>11</v>
      </c>
      <c r="F5551">
        <f>HYPERLINK("https://www.reddit.com/r/cancer/comments/dmz4lg/immunotheraphy/")</f>
        <v/>
      </c>
      <c r="G5551" t="inlineStr">
        <is>
          <t>2019-10-25 08:35:08</t>
        </is>
      </c>
      <c r="H5551" t="inlineStr"/>
    </row>
    <row r="5552">
      <c r="A5552" t="inlineStr">
        <is>
          <t>dmzkoo</t>
        </is>
      </c>
      <c r="B5552" t="inlineStr">
        <is>
          <t>best chemo gift you recieved?</t>
        </is>
      </c>
      <c r="C5552" t="inlineStr">
        <is>
          <t>I have a beloved aunt going through it - wanna send her something she'll appreciate.
Curious to know what gifts made folks here feel comforted, loved, encouraged...
Thanks.</t>
        </is>
      </c>
      <c r="D5552" t="n">
        <v>2</v>
      </c>
      <c r="E5552" t="n">
        <v>12</v>
      </c>
      <c r="F5552">
        <f>HYPERLINK("https://www.reddit.com/r/cancer/comments/dmzkoo/best_chemo_gift_you_recieved/")</f>
        <v/>
      </c>
      <c r="G5552" t="inlineStr">
        <is>
          <t>2019-10-25 09:06:49</t>
        </is>
      </c>
      <c r="H5552" t="inlineStr"/>
    </row>
    <row r="5553">
      <c r="A5553" t="inlineStr">
        <is>
          <t>dmzmuc</t>
        </is>
      </c>
      <c r="B5553" t="inlineStr">
        <is>
          <t>Heartbroken.</t>
        </is>
      </c>
      <c r="C5553" t="inlineStr">
        <is>
          <t>My dad (stepdad) died yesterday. It wasn't even the cancer. It was an aneurysm in his throat they think. His last moments he was scared. My mum had to see it and she's having a hard time. I'm having a hard time. His 58th birthday was this upcoming Tuesday. His scan was Wednesday, when we all thought we were going to see he was in the clear. He was stage lV, the mass was gone. The ENT said everything looked great. He was recovering from the thrush I recently posted about, gaining weight, everything was getting better. We all had so much optimism and hope. Then in the meantime something also was brewing and took him from us. I'm so confused. I'm so sad. I'm so angry. When he first got the diagnosis and we didn't know yet how things were looking, even then I thought he'd have more time than this. Then the treatment worked so well, and we thought he had the rest of his life ahead of him. I just can't believe this happened.</t>
        </is>
      </c>
      <c r="D5553" t="n">
        <v>58</v>
      </c>
      <c r="E5553" t="n">
        <v>32</v>
      </c>
      <c r="F5553">
        <f>HYPERLINK("https://www.reddit.com/r/cancer/comments/dmzmuc/heartbroken/")</f>
        <v/>
      </c>
      <c r="G5553" t="inlineStr">
        <is>
          <t>2019-10-25 09:10:43</t>
        </is>
      </c>
      <c r="H5553" t="inlineStr"/>
    </row>
    <row r="5554">
      <c r="A5554" t="inlineStr">
        <is>
          <t>dn0up3</t>
        </is>
      </c>
      <c r="B5554" t="inlineStr">
        <is>
          <t>Cancer drug: Piqray...anyone with experience with this?</t>
        </is>
      </c>
      <c r="C5554" t="inlineStr">
        <is>
          <t>This is a new drug that got FDA approval recently. Grandma (in her 90s) was put on this because her drugs stopped working. But she is adamant about not doing chemo. (At her age, I don't blame her.)   
Anyway, she was on it for a couple of months. But it has been AWFUL, physically, for her. The commercial you see where they list the side effects...she had every single one of them except the respiratory one.
When she went to see her oncologist, they immediately stopped her. Won't put her on anything until she has strength again. HOWEVER, her numbers were great! But who wants to live like that? That miserable?
Have you (your loved ones) had experience with this? If with bad side effects, what did you do? Did you move to another one that helped with similar  results? Did you do half dose?
Thanks.</t>
        </is>
      </c>
      <c r="D5554" t="n">
        <v>1</v>
      </c>
      <c r="E5554" t="n">
        <v>0</v>
      </c>
      <c r="F5554">
        <f>HYPERLINK("https://www.reddit.com/r/cancer/comments/dn0up3/cancer_drug_piqrayanyone_with_experience_with_this/")</f>
        <v/>
      </c>
      <c r="G5554" t="inlineStr">
        <is>
          <t>2019-10-25 10:37:46</t>
        </is>
      </c>
      <c r="H5554" t="inlineStr"/>
    </row>
    <row r="5555">
      <c r="A5555" t="inlineStr">
        <is>
          <t>dn12wa</t>
        </is>
      </c>
      <c r="B5555" t="inlineStr">
        <is>
          <t>39/F lymphoma non Hodgkin lymphoma cancer stage 4, last chemo next month!</t>
        </is>
      </c>
      <c r="C5555" t="inlineStr">
        <is>
          <t>Just realised I had a very stressful teenage time and maybe that’s the reason. My father was controlling and bad temper. 
I just want to let it go psychologically so it’s help the physically level. 
I am likely to heal, the blood tests numbers going well, I don’t mean to blame on someone else but no one here want to have cancer ourselves. Even if we were depressed before we should took anti depression pills. (I never took it) just wonder the deep reason from what’s scientist said unknown DNA change. So me and other cancer patients here can healed themselves not only chemo and medicine but their strong inner self! 
Isn’t a psychologist helped?</t>
        </is>
      </c>
      <c r="D5555" t="n">
        <v>21</v>
      </c>
      <c r="E5555" t="n">
        <v>10</v>
      </c>
      <c r="F5555">
        <f>HYPERLINK("https://www.reddit.com/r/cancer/comments/dn12wa/39f_lymphoma_non_hodgkin_lymphoma_cancer_stage_4/")</f>
        <v/>
      </c>
      <c r="G5555" t="inlineStr">
        <is>
          <t>2019-10-25 10:53:11</t>
        </is>
      </c>
      <c r="H5555" t="inlineStr"/>
    </row>
    <row r="5556">
      <c r="A5556" t="inlineStr">
        <is>
          <t>dn3bad</t>
        </is>
      </c>
      <c r="B5556" t="inlineStr">
        <is>
          <t>International cancer patient programs (Help)</t>
        </is>
      </c>
      <c r="C5556" t="inlineStr">
        <is>
          <t>I need to bring my aunt from Honduras to the US for better treatment since she's not doing well with her Leukemia and her life expectancy is very short. The conditions in Honduras aren't the best and I would want my aunt to have a better fighting chance by bringing her to the states. How would I go about that? If anyone would have any information regarding any type of programs associated with bringing foreign cancer patients to the US in order for treatment, I would greatly appreciate it.</t>
        </is>
      </c>
      <c r="D5556" t="n">
        <v>1</v>
      </c>
      <c r="E5556" t="n">
        <v>0</v>
      </c>
      <c r="F5556">
        <f>HYPERLINK("https://www.reddit.com/r/cancer/comments/dn3bad/international_cancer_patient_programs_help/")</f>
        <v/>
      </c>
      <c r="G5556" t="inlineStr">
        <is>
          <t>2019-10-25 13:29:35</t>
        </is>
      </c>
      <c r="H5556" t="inlineStr"/>
    </row>
    <row r="5557">
      <c r="A5557" t="inlineStr">
        <is>
          <t>dn71qw</t>
        </is>
      </c>
      <c r="B5557" t="inlineStr">
        <is>
          <t>My best friend!</t>
        </is>
      </c>
      <c r="C5557" t="inlineStr">
        <is>
          <t>I don't want to make this about me, but hear me out.
I've been depressed since I was a kid, recently I've been seeing a psychiatrist and I've bee given meds to help me "feel" again.
Just recently I received the news that one of my best and dearest friends got diagnosed with stage 4 liver cancer which is incurable. All these feelings rushing to my brain are making me so weak and confused. 
I really don't know what to do, how can I be of help to my friend. What do I do???!! 
I'm so frustrated and angry and bitter and sad and all of that and it's making me lose my mind.
Why is this so hard?! Why is this so unfair?! Just why?!!!! 
Please I need your advice</t>
        </is>
      </c>
      <c r="D5557" t="n">
        <v>18</v>
      </c>
      <c r="E5557" t="n">
        <v>6</v>
      </c>
      <c r="F5557">
        <f>HYPERLINK("https://www.reddit.com/r/cancer/comments/dn71qw/my_best_friend/")</f>
        <v/>
      </c>
      <c r="G5557" t="inlineStr">
        <is>
          <t>2019-10-25 18:19:42</t>
        </is>
      </c>
      <c r="H5557" t="inlineStr"/>
    </row>
    <row r="5558">
      <c r="A5558" t="inlineStr">
        <is>
          <t>dn7t1q</t>
        </is>
      </c>
      <c r="B5558" t="inlineStr">
        <is>
          <t>Financial Help?</t>
        </is>
      </c>
      <c r="C5558" t="inlineStr">
        <is>
          <t>I’m sure everyone here or most people here are in the same boat. Cancer was found and bills are starting to rise. I’m the son of a mother with Stage 4 Ovarian and Breast cancer. I over heard them say that for now they have to pay 30,000+ in medical bills and I’m wondering if anybody can give me some help? What is this bankruptcy thing I hear about, it doesn’t sound pleasant. Please help, I want to help my mom.</t>
        </is>
      </c>
      <c r="D5558" t="n">
        <v>1</v>
      </c>
      <c r="E5558" t="n">
        <v>0</v>
      </c>
      <c r="F5558">
        <f>HYPERLINK("https://www.reddit.com/r/cancer/comments/dn7t1q/financial_help/")</f>
        <v/>
      </c>
      <c r="G5558" t="inlineStr">
        <is>
          <t>2019-10-25 19:26:50</t>
        </is>
      </c>
      <c r="H5558" t="inlineStr"/>
    </row>
    <row r="5559">
      <c r="A5559" t="inlineStr">
        <is>
          <t>dn84i5</t>
        </is>
      </c>
      <c r="B5559" t="inlineStr">
        <is>
          <t>Tattoos After Chemo</t>
        </is>
      </c>
      <c r="C5559" t="inlineStr">
        <is>
          <t>Hey! I was wondering if anyone here knows how long to wait to get a tattoo after chemo. 
Thanks!</t>
        </is>
      </c>
      <c r="D5559" t="n">
        <v>1</v>
      </c>
      <c r="E5559" t="n">
        <v>2</v>
      </c>
      <c r="F5559">
        <f>HYPERLINK("https://www.reddit.com/r/cancer/comments/dn84i5/tattoos_after_chemo/")</f>
        <v/>
      </c>
      <c r="G5559" t="inlineStr">
        <is>
          <t>2019-10-25 19:56:19</t>
        </is>
      </c>
      <c r="H5559" t="inlineStr"/>
    </row>
    <row r="5560">
      <c r="A5560" t="inlineStr">
        <is>
          <t>dn88ra</t>
        </is>
      </c>
      <c r="B5560" t="inlineStr">
        <is>
          <t>I'm looking for feedback on an idea: A wearable arm band for chemo patients that will constantly monitor body temperature and alert the wearer, carers and medical staff if their temperature rises above safe levels.</t>
        </is>
      </c>
      <c r="C5560" t="inlineStr">
        <is>
          <t xml:space="preserve"> Hi!
My mother is currently going through chemotherapy and this last week she had an issue with fevers and neutropenia. She has some chemo brain happening so she thought she was unwell from chemo side effects. As a carer, I didn't think to question her opinion on this as she is usually quite unwell the weekend after treatment. As many of you are aware, if you develop a fever you need to get to an ER as it could be neutropenia/infection.
 I'm currently completing a startup weekend to make an armband that will monitor temperature and alert the user AND send a notification to the user nominated carers and medical staff should a fever occur. We are hoping to have a working prototype by the end of the weekend!
We are hoping some feedback from other carers about our proposed product, Temp-Band and whether it would be useful to you and your loved ones. 
We would love, love, love some opinions from Doctors, Patients and Carers.
A survey can be found here: [https://forms.gle/hsgG3y1ty6ZaJwvA8](https://slack-redir.net/link?url=https%3A%2F%2Fforms.gle%2FhsgG3y1ty6ZaJwvA8)</t>
        </is>
      </c>
      <c r="D5560" t="n">
        <v>7</v>
      </c>
      <c r="E5560" t="n">
        <v>25</v>
      </c>
      <c r="F5560">
        <f>HYPERLINK("https://www.reddit.com/r/cancer/comments/dn88ra/im_looking_for_feedback_on_an_idea_a_wearable_arm/")</f>
        <v/>
      </c>
      <c r="G5560" t="inlineStr">
        <is>
          <t>2019-10-25 20:07:00</t>
        </is>
      </c>
      <c r="H5560" t="inlineStr"/>
    </row>
    <row r="5561">
      <c r="A5561" t="inlineStr">
        <is>
          <t>dn8cii</t>
        </is>
      </c>
      <c r="B5561" t="inlineStr">
        <is>
          <t>Chemotherapy</t>
        </is>
      </c>
      <c r="C5561" t="inlineStr">
        <is>
          <t>What should I expect from it? What were some of your experiences with it?</t>
        </is>
      </c>
      <c r="D5561" t="n">
        <v>2</v>
      </c>
      <c r="E5561" t="n">
        <v>12</v>
      </c>
      <c r="F5561">
        <f>HYPERLINK("https://www.reddit.com/r/cancer/comments/dn8cii/chemotherapy/")</f>
        <v/>
      </c>
      <c r="G5561" t="inlineStr">
        <is>
          <t>2019-10-25 20:17:02</t>
        </is>
      </c>
      <c r="H5561" t="inlineStr"/>
    </row>
    <row r="5562">
      <c r="A5562" t="inlineStr">
        <is>
          <t>dn8dyz</t>
        </is>
      </c>
      <c r="B5562" t="inlineStr">
        <is>
          <t>Wigs more suited for teens?</t>
        </is>
      </c>
      <c r="C5562" t="inlineStr">
        <is>
          <t>Does anyone know some websites / foundation in the US that would cater more towards modern hair styles? I’m 18 F and all the websites I find have very mature, short bob hair cuts and i’m looking for something more “trendy” i guess. But i don’t want to accidentally get a crappy costume wig either.</t>
        </is>
      </c>
      <c r="D5562" t="n">
        <v>10</v>
      </c>
      <c r="E5562" t="n">
        <v>14</v>
      </c>
      <c r="F5562">
        <f>HYPERLINK("https://www.reddit.com/r/cancer/comments/dn8dyz/wigs_more_suited_for_teens/")</f>
        <v/>
      </c>
      <c r="G5562" t="inlineStr">
        <is>
          <t>2019-10-25 20:20:47</t>
        </is>
      </c>
      <c r="H5562" t="inlineStr"/>
    </row>
    <row r="5563">
      <c r="A5563" t="inlineStr">
        <is>
          <t>dn9gmz</t>
        </is>
      </c>
      <c r="B5563" t="inlineStr">
        <is>
          <t>My Stepdads fight with Glioblastoma</t>
        </is>
      </c>
      <c r="C5563" t="inlineStr">
        <is>
          <t>My stepfather was diagnosed with glioblastoma 2 years ago and he is now currently on hospice. As I write this I sit here with my mother at 1am just waiting and keeping her company. It’s heartbreaking to see how quickly his condition worsened within the last three weeks. He fought a good fight and even up until the point where he could no longer talk he was still trying to make my mom laugh.
I’m not sure how long this process takes. He’s not had anything to drink for 3 days now due to him being in a state of unconsciousness and sleep. Honestly at this point I wish it would just be over. Watching my mom suffer this way is unbearable. Its devastating to see how a once strong and uplifting man has withered away as a result of his cancer. I’ve never dealt with a tragedy like this before. I don’t know what to expect. Does anyone have any experience with the final stages of terminal dehydration? What should I expect when it’s finally over? How can I help ease the pain for my mom? 
Any advice would be greatly appreciated. Thank you.</t>
        </is>
      </c>
      <c r="D5563" t="n">
        <v>10</v>
      </c>
      <c r="E5563" t="n">
        <v>2</v>
      </c>
      <c r="F5563">
        <f>HYPERLINK("https://www.reddit.com/r/cancer/comments/dn9gmz/my_stepdads_fight_with_glioblastoma/")</f>
        <v/>
      </c>
      <c r="G5563" t="inlineStr">
        <is>
          <t>2019-10-25 22:06:43</t>
        </is>
      </c>
      <c r="H5563" t="inlineStr"/>
    </row>
    <row r="5564">
      <c r="A5564" t="inlineStr">
        <is>
          <t>dn9nr6</t>
        </is>
      </c>
      <c r="B5564" t="inlineStr">
        <is>
          <t>How do you deal with the anxiety?</t>
        </is>
      </c>
      <c r="C5564" t="inlineStr">
        <is>
          <t>30 male. Ignored a lump in my neck for at least a few years until my fiancee begged me to see a doctor. What I was convinced was benign turned out out to be cancer. Was diagnosed with hurthle cell carcinoma. Not anaplastic, but still rare and agreessive. Had a thyroidectomy and radioactive iodine. Doctor said there was no signs of the cancer spreading to anywhere else, but I can't seem to get over the anxiety I feel know. I constantly worry they missed something or the cancer will come back. I constantly worry about dying now despite constant reassurances from everyone. I know thyroid cancer is probably the most survivable cancer, but I still don't feel okay about it. My grandmother just passed from an undiagnosed brain tumor and I worry that something similar will happen to me. It's something I've been struggling with lately. I don't know what kind of support I need to feel better, I just don't know how to get reassurances that I actually believe.</t>
        </is>
      </c>
      <c r="D5564" t="n">
        <v>1</v>
      </c>
      <c r="E5564" t="n">
        <v>1</v>
      </c>
      <c r="F5564">
        <f>HYPERLINK("https://www.reddit.com/r/cancer/comments/dn9nr6/how_do_you_deal_with_the_anxiety/")</f>
        <v/>
      </c>
      <c r="G5564" t="inlineStr">
        <is>
          <t>2019-10-25 22:28:05</t>
        </is>
      </c>
      <c r="H5564" t="inlineStr"/>
    </row>
    <row r="5565">
      <c r="A5565" t="inlineStr">
        <is>
          <t>dn9rvl</t>
        </is>
      </c>
      <c r="B5565" t="inlineStr">
        <is>
          <t>Where do we go from here?</t>
        </is>
      </c>
      <c r="C5565" t="inlineStr">
        <is>
          <t>A week before my 17th birthday they found a tumour on my mums lung, she had a cough for about 3 weeks and finally went for a doctors visit and that’s when they found it, a week after my birthday we had a doctors appointment and in that appointment we found out that she should’ve been there earlier and the doctor who originally found it messed up by not sending us earlier. she was admitted immediately straight on that day when we visited and she was scheduled for a bronchoscopy, they found 3 lesions on the brain as well, she came home early Wednesday so she was in the hospital for a week, she has a biopsy on Tuesday they originally thought it was small cell but luckily it wasn’t, I just don’t quite know what to do? I just feel really lost I lost my nan and pop to lung cancer and I lost my uncle to bowel cancer when I was little as well I never imagined that we would be going through this I’m sorry for rambling on I just don’t know what to do anymore I feel lost and alone thank you for listening</t>
        </is>
      </c>
      <c r="D5565" t="n">
        <v>12</v>
      </c>
      <c r="E5565" t="n">
        <v>2</v>
      </c>
      <c r="F5565">
        <f>HYPERLINK("https://www.reddit.com/r/cancer/comments/dn9rvl/where_do_we_go_from_here/")</f>
        <v/>
      </c>
      <c r="G5565" t="inlineStr">
        <is>
          <t>2019-10-25 22:41:52</t>
        </is>
      </c>
      <c r="H5565" t="inlineStr"/>
    </row>
    <row r="5566">
      <c r="A5566" t="inlineStr">
        <is>
          <t>dnd7oo</t>
        </is>
      </c>
      <c r="B5566" t="inlineStr">
        <is>
          <t>I am terrified of November 5th. And it’s right around the corner</t>
        </is>
      </c>
      <c r="C5566" t="inlineStr">
        <is>
          <t>It’ll be one year without my father. I’d give anything to hear him say that everything will be fine. He was the only person who I actually believed when I heard people tell me that. I still cry as if I lost him this morning. I remember holding his hand as he took he last breath. I don’t want it to be a full year without him. Because it doesn’t feel like it. It honestly feels like he’s still here and I just haven’t talked to him in a few days. Will the pain of losing him ever stop? He was always so proud of me. No matter what I did. He never doubted me and always knew I deserved better. I want to cry to someone and completely shut down so I can release all this pain. Why did it have to be my dad? Why didn’t I take more pictures and videos of him? I hear my dad in the little things my brother says and it feels good. My god I miss him so fucking much.</t>
        </is>
      </c>
      <c r="D5566" t="n">
        <v>49</v>
      </c>
      <c r="E5566" t="n">
        <v>14</v>
      </c>
      <c r="F5566">
        <f>HYPERLINK("https://www.reddit.com/r/cancer/comments/dnd7oo/i_am_terrified_of_november_5th_and_its_right/")</f>
        <v/>
      </c>
      <c r="G5566" t="inlineStr">
        <is>
          <t>2019-10-26 05:26:06</t>
        </is>
      </c>
      <c r="H5566" t="inlineStr"/>
    </row>
    <row r="5567">
      <c r="A5567" t="inlineStr">
        <is>
          <t>dndgmd</t>
        </is>
      </c>
      <c r="B5567" t="inlineStr">
        <is>
          <t>Brushed my hair this morning</t>
        </is>
      </c>
      <c r="C5567" t="inlineStr">
        <is>
          <t>&amp;amp; it just started to come out in huge clumps. I was more than aware it was coming, it still shocked me tho. Currently sat having a few tears to myself. Fuck cancer &amp;amp; all the shit we have to go through to try and keep our lives.</t>
        </is>
      </c>
      <c r="D5567" t="n">
        <v>6</v>
      </c>
      <c r="E5567" t="n">
        <v>4</v>
      </c>
      <c r="F5567">
        <f>HYPERLINK("https://www.reddit.com/r/cancer/comments/dndgmd/brushed_my_hair_this_morning/")</f>
        <v/>
      </c>
      <c r="G5567" t="inlineStr">
        <is>
          <t>2019-10-26 05:51:25</t>
        </is>
      </c>
      <c r="H5567" t="inlineStr"/>
    </row>
    <row r="5568">
      <c r="A5568" t="inlineStr">
        <is>
          <t>dnefi3</t>
        </is>
      </c>
      <c r="B5568" t="inlineStr">
        <is>
          <t>Feeling so defeated, when I should be celebrating.</t>
        </is>
      </c>
      <c r="C5568" t="inlineStr">
        <is>
          <t>Last week I finished 8 months of chemo for my osteosarcoma tumor in my femur. As far as the oncology team can tell, the chemo is doing its job. You'd think I would be able to celebrate this milestone.
But no, my body decides to start mimicking my original tumor pain that I felt in my leg, in my upper arm two weeks ago. My oncology team took an x-ray which came back normal. But my brain can't accept it. It is driving me mad, to the point they are ordering a MRI solely for my peace of mind.
Why can't I accept my oncologist 35 years of experience, that this isn't how or where my cancer would spread to?
Why can't I accept the fact the radiologist reading the x-ray, is an expert in their field?
Why can't I accept that my orthopedic reviewed the x-ray, did a physical assessment and is pretty confident it is a neck problem?
Is this what life in remission is going to be like?</t>
        </is>
      </c>
      <c r="D5568" t="n">
        <v>15</v>
      </c>
      <c r="E5568" t="n">
        <v>7</v>
      </c>
      <c r="F5568">
        <f>HYPERLINK("https://www.reddit.com/r/cancer/comments/dnefi3/feeling_so_defeated_when_i_should_be_celebrating/")</f>
        <v/>
      </c>
      <c r="G5568" t="inlineStr">
        <is>
          <t>2019-10-26 07:17:35</t>
        </is>
      </c>
      <c r="H5568" t="inlineStr"/>
    </row>
    <row r="5569">
      <c r="A5569" t="inlineStr">
        <is>
          <t>dnf13c</t>
        </is>
      </c>
      <c r="B5569" t="inlineStr">
        <is>
          <t>Dad has chyle fluid. Anyone have experience with the proper nonfat or low fat diet?</t>
        </is>
      </c>
      <c r="C5569" t="inlineStr">
        <is>
          <t>Dad has chyle fluid build up. Doc recommending this diet to help fix a hole in his lymph system - I’m reading conflicting information online. Is 3grams per day of fat the proper amount, or 25 grams per fat per day the amount?</t>
        </is>
      </c>
      <c r="D5569" t="n">
        <v>3</v>
      </c>
      <c r="E5569" t="n">
        <v>0</v>
      </c>
      <c r="F5569">
        <f>HYPERLINK("https://www.reddit.com/r/cancer/comments/dnf13c/dad_has_chyle_fluid_anyone_have_experience_with/")</f>
        <v/>
      </c>
      <c r="G5569" t="inlineStr">
        <is>
          <t>2019-10-26 08:06:41</t>
        </is>
      </c>
      <c r="H5569" t="inlineStr"/>
    </row>
    <row r="5570">
      <c r="A5570" t="inlineStr">
        <is>
          <t>dnfayx</t>
        </is>
      </c>
      <c r="B5570" t="inlineStr">
        <is>
          <t>Clinical trial thoughts</t>
        </is>
      </c>
      <c r="C5570" t="inlineStr">
        <is>
          <t>stage 4 stomach cancer, doctor suggest to enroll clinical trial, to do chemo and immunothearapy at the same time. The regualar plan was chemo first and them immuno. Same drug. Should give it a try? Thanks.</t>
        </is>
      </c>
      <c r="D5570" t="n">
        <v>5</v>
      </c>
      <c r="E5570" t="n">
        <v>9</v>
      </c>
      <c r="F5570">
        <f>HYPERLINK("https://www.reddit.com/r/cancer/comments/dnfayx/clinical_trial_thoughts/")</f>
        <v/>
      </c>
      <c r="G5570" t="inlineStr">
        <is>
          <t>2019-10-26 08:28:53</t>
        </is>
      </c>
      <c r="H5570" t="inlineStr"/>
    </row>
    <row r="5571">
      <c r="A5571" t="inlineStr">
        <is>
          <t>dnikwg</t>
        </is>
      </c>
      <c r="B5571" t="inlineStr">
        <is>
          <t>On caretaking</t>
        </is>
      </c>
      <c r="C5571" t="inlineStr">
        <is>
          <t>My husband is in remission from B Cell ALL leukemia that he received the full chemo/immunotherapy/radiation/bone marrow transplant regimen for between December 2017 and June 2018.  I was in the hospital with him constantly and was the person all the doctors and specialists communicated with.  After the BMT we had to stay in the Bay, away from home and the kids, for 100 days to keep him quarantined in a room where pretty much only I had access to him.  I flushed IVs, administered his medication. Drove him and accompanied him to all of his appointments.  Bought and made all the food.  Has anyone else out there been through this?  Did being relegated to position of caretaker change your perspective on your partner?  
This time last year, 4 months post BMT my husband went into respiratory failure after GVHD attacked his lungs.  We had been home with our kids for a month.  I was taking care of working, keeping the house up, dropping the kids off and picking them up, while still taking care of my husband and his meds and everything.  When he said he couldn't breathe we went back to the hospital locally and rapidly he stopped being able to breathe entirely.  He had to be intubated and life flighted back to the Bay, where he was in a coma in ICU.  This was a really really shitty time but long story short they were able to save him.  UCSF is amazing.  He had other issues crop up so he wasn't able to come home for almost 2 months.  I was back and forth with the kids, work, house stuff, keeping my husband's business going.  My uncle died in there.  I just kept going.
My husband came home and wasn't able to so much other than sit and try to recover.  Everything continued to fall on my shoulders.  Appointments, housework, kids, work, husband's business, medications for my husband, monitoring him. Everything.  I was exhausted.  My husband started to improve and slowly get back into working.  But when the afternoon comes he still would crap out and need to rest, leaving everything on my shoulders still.  Shopping, kids, cooking, cleaning, coordinating everything.  There is no break.  Now he is showing the same signs of breathing trouble so we went back to UCSF yesterday for scans.  They think the GVHD is flaring up in his lungs again.  And in the meantime the world doesn't stop.  Nothing does.  Everything continues like it always does.
None of this is his fault.  Absolutely none of it.  Nor my kids, or mine.  But it is hard not to feel resentment.  Towards what I don't know.  I am not mad about losing almost everything.  We were able to save the house thank god, but almost all other material things were sold.  That doesn't matter.  I am sad about the year of our kid's lives we missed out on.  I am angry about the life we don't have anymore.  The fun times we used to have, the hikes we can't take, the relaxing day trips we don't go on.  The retirement we won't have, that was all liquidated.  I don't have time to take care of myself.  I have cancer too but luckily it's a "better cancer" so when I have my own appointments I am finding myself frustrated that my health is such an inconvenience *to myself.*  I am always tired.  The work never ends.  I don't know if I am coming or going.  I have all this unfocused anger or sadness or both, but most of the time I feel nothing but tired.  I want a break that isn't going to happen.  It sounds so petty writing it out considering what my husband is going through, which is why I don't verbalize it to anyone.  I don't know what I expect of writing this out except perhaps some catharsis of letting something out.  To all other caretakers out there, you're not alone.</t>
        </is>
      </c>
      <c r="D5571" t="n">
        <v>34</v>
      </c>
      <c r="E5571" t="n">
        <v>21</v>
      </c>
      <c r="F5571">
        <f>HYPERLINK("https://www.reddit.com/r/cancer/comments/dnikwg/on_caretaking/")</f>
        <v/>
      </c>
      <c r="G5571" t="inlineStr">
        <is>
          <t>2019-10-26 12:33:45</t>
        </is>
      </c>
      <c r="H5571" t="inlineStr"/>
    </row>
    <row r="5572">
      <c r="A5572" t="inlineStr">
        <is>
          <t>dnitds</t>
        </is>
      </c>
      <c r="B5572" t="inlineStr">
        <is>
          <t>Out of options</t>
        </is>
      </c>
      <c r="C5572" t="inlineStr">
        <is>
          <t>My mom has advanced stage cervical cancer. Third round of it. Got scan results yesterday saying tumor has grown. She was on track to do T-cell therapy until it spread to her brain so they paused the T-cell stuff to do brain radiation. However, after her scan results yesterday, her only option now is one last round of chemotherapy. Then that’s it. No other options. Any one else have any experience with dealing with this? I’m just scared. How do you stay positive when there’s the possibility of losing someone after hearing about all the great treatment she could get, only to be met with the end of the lien of options? I don’t even know if any of this post makes sense. I don’t feel like I have any sense left.</t>
        </is>
      </c>
      <c r="D5572" t="n">
        <v>7</v>
      </c>
      <c r="E5572" t="n">
        <v>4</v>
      </c>
      <c r="F5572">
        <f>HYPERLINK("https://www.reddit.com/r/cancer/comments/dnitds/out_of_options/")</f>
        <v/>
      </c>
      <c r="G5572" t="inlineStr">
        <is>
          <t>2019-10-26 12:51:24</t>
        </is>
      </c>
      <c r="H5572" t="inlineStr"/>
    </row>
    <row r="5573">
      <c r="A5573" t="inlineStr">
        <is>
          <t>dnj9az</t>
        </is>
      </c>
      <c r="B5573" t="inlineStr">
        <is>
          <t>How common is cancer of the eyes</t>
        </is>
      </c>
      <c r="C5573" t="inlineStr">
        <is>
          <t>I have hypochondria and I wanted to know how common this form of cancer is. Do I have to worry about it? All I know is is that it happens to some babies and few older people.
I am 17
Black
Female
No family history of any cancers.</t>
        </is>
      </c>
      <c r="D5573" t="n">
        <v>0</v>
      </c>
      <c r="E5573" t="n">
        <v>1</v>
      </c>
      <c r="F5573">
        <f>HYPERLINK("https://www.reddit.com/r/cancer/comments/dnj9az/how_common_is_cancer_of_the_eyes/")</f>
        <v/>
      </c>
      <c r="G5573" t="inlineStr">
        <is>
          <t>2019-10-26 13:25:40</t>
        </is>
      </c>
      <c r="H5573" t="inlineStr"/>
    </row>
    <row r="5574">
      <c r="A5574" t="inlineStr">
        <is>
          <t>dnjqsf</t>
        </is>
      </c>
      <c r="B5574" t="inlineStr">
        <is>
          <t>Menu Recommendations for Someone Recovering from a Bone Marrow Transplant</t>
        </is>
      </c>
      <c r="C5574" t="inlineStr">
        <is>
          <t xml:space="preserve"> Hey ya'll,
My partner was recently diagnosed with Acute Lymphoblastic Leukemia three weeks ago. She is going to need a bone marrow transplant, and with it will come some even more significant life changes for us. I'm wondering if any other cancer caregivers have menu recommendations that are relatively simple, but tasty and healthy. I'll be working full time remotely while she recovers. Thanks!</t>
        </is>
      </c>
      <c r="D5574" t="n">
        <v>4</v>
      </c>
      <c r="E5574" t="n">
        <v>3</v>
      </c>
      <c r="F5574">
        <f>HYPERLINK("https://www.reddit.com/r/cancer/comments/dnjqsf/menu_recommendations_for_someone_recovering_from/")</f>
        <v/>
      </c>
      <c r="G5574" t="inlineStr">
        <is>
          <t>2019-10-26 14:03:53</t>
        </is>
      </c>
      <c r="H5574" t="inlineStr"/>
    </row>
    <row r="5575">
      <c r="A5575" t="inlineStr">
        <is>
          <t>dnlqry</t>
        </is>
      </c>
      <c r="B5575" t="inlineStr">
        <is>
          <t>I finally found out what my diagnosis day and what my final day of treatment are</t>
        </is>
      </c>
      <c r="C5575" t="inlineStr">
        <is>
          <t>I got diagnosed on my moms birthday (1 day after my half birthday) 2 years ago and my final treatment was on 4/20. 
Yeah I’m 14 this is the humor you get 4/20 jokes</t>
        </is>
      </c>
      <c r="D5575" t="n">
        <v>2</v>
      </c>
      <c r="E5575" t="n">
        <v>0</v>
      </c>
      <c r="F5575">
        <f>HYPERLINK("https://www.reddit.com/r/cancer/comments/dnlqry/i_finally_found_out_what_my_diagnosis_day_and/")</f>
        <v/>
      </c>
      <c r="G5575" t="inlineStr">
        <is>
          <t>2019-10-26 16:44:39</t>
        </is>
      </c>
      <c r="H5575" t="inlineStr"/>
    </row>
    <row r="5576">
      <c r="A5576" t="inlineStr">
        <is>
          <t>dnm1z7</t>
        </is>
      </c>
      <c r="B5576" t="inlineStr">
        <is>
          <t>What deserves a 51-year-old man who arrives at a children's hospital and...</t>
        </is>
      </c>
      <c r="C5576" t="inlineStr">
        <is>
          <t>What deserves a 51-year-old man who arrives at a children's hospital, pretending to be an emotional assistant, to listen to the children's outbursts, and reply by mocking them: "You're going to treat your sick, you're ugly, you're not handsome / beautiful ", and starts laughing at the child for being ill without hair?
&amp;amp;#x200B;
What would you do with such a man? Which caused deep emotional trauma by mocking the aesthetics of hairless children, and spoke sarcastically to children to treat themselves? Like saying "Fuck You"?
&amp;amp;#x200B;
This happened yesterday with my neighbor's daughter who is terminally ill with cancer. I'm very sad, I wish this man was arrested.
&amp;amp;#x200B;
What would you do with such a man if you could do something?</t>
        </is>
      </c>
      <c r="D5576" t="n">
        <v>7</v>
      </c>
      <c r="E5576" t="n">
        <v>6</v>
      </c>
      <c r="F5576">
        <f>HYPERLINK("https://www.reddit.com/r/cancer/comments/dnm1z7/what_deserves_a_51yearold_man_who_arrives_at_a/")</f>
        <v/>
      </c>
      <c r="G5576" t="inlineStr">
        <is>
          <t>2019-10-26 17:13:19</t>
        </is>
      </c>
      <c r="H5576" t="inlineStr"/>
    </row>
    <row r="5577">
      <c r="A5577" t="inlineStr">
        <is>
          <t>dnm2se</t>
        </is>
      </c>
      <c r="B5577" t="inlineStr">
        <is>
          <t>Help me (food related problems)</t>
        </is>
      </c>
      <c r="C5577" t="inlineStr">
        <is>
          <t>I know this is a bit silly, but I’m having trouble to find foods I’ll enjoy eating. Radiation kinda messed up my taste buds, so now I’m having trouble to find food tasty. So if anyone can recommend me foods you guys enjoyed during treatment, I’ll appreciate it very much</t>
        </is>
      </c>
      <c r="D5577" t="n">
        <v>5</v>
      </c>
      <c r="E5577" t="n">
        <v>14</v>
      </c>
      <c r="F5577">
        <f>HYPERLINK("https://www.reddit.com/r/cancer/comments/dnm2se/help_me_food_related_problems/")</f>
        <v/>
      </c>
      <c r="G5577" t="inlineStr">
        <is>
          <t>2019-10-26 17:15:31</t>
        </is>
      </c>
      <c r="H5577" t="inlineStr"/>
    </row>
    <row r="5578">
      <c r="A5578" t="inlineStr">
        <is>
          <t>dno5kb</t>
        </is>
      </c>
      <c r="B5578" t="inlineStr">
        <is>
          <t>Stomach cancer</t>
        </is>
      </c>
      <c r="C5578" t="inlineStr">
        <is>
          <t>I need help please, has anyone here had stomach cancer? What were your symptoms? How long from the start of your symptoms until you got diagnosed. I am currently being tested. any info would help thanks</t>
        </is>
      </c>
      <c r="D5578" t="n">
        <v>0</v>
      </c>
      <c r="E5578" t="n">
        <v>2</v>
      </c>
      <c r="F5578">
        <f>HYPERLINK("https://www.reddit.com/r/cancer/comments/dno5kb/stomach_cancer/")</f>
        <v/>
      </c>
      <c r="G5578" t="inlineStr">
        <is>
          <t>2019-10-26 20:29:50</t>
        </is>
      </c>
      <c r="H5578" t="inlineStr"/>
    </row>
    <row r="5579">
      <c r="A5579" t="inlineStr">
        <is>
          <t>dno9mo</t>
        </is>
      </c>
      <c r="B5579" t="inlineStr">
        <is>
          <t>Took longer to recover this time..</t>
        </is>
      </c>
      <c r="C5579" t="inlineStr">
        <is>
          <t>Hi there everyone! 
I have stage IV non small cell lung cancer. I currently have one chemotherapy treatment left until maintenance therapy. 
Back in the summer after my second treatment of carboplatin, pemetrexed and keytruda I had to discontinue the cycle because of immunotherapy induced colitis. During the summer I was recovering from colitis with steroids. And thankfully I am off the steroids and have no symptoms of colitis.
Moving three months later without any treatment (now) I started my third round four weeks ago. I am just now starting to feel myself, it took a long time to get better vs during the summer I felt better after a week. Does anyone have an idea as to why it took longer for me to recover this time?
Also during the 3 month break scans showed no progression :).</t>
        </is>
      </c>
      <c r="D5579" t="n">
        <v>5</v>
      </c>
      <c r="E5579" t="n">
        <v>3</v>
      </c>
      <c r="F5579">
        <f>HYPERLINK("https://www.reddit.com/r/cancer/comments/dno9mo/took_longer_to_recover_this_time/")</f>
        <v/>
      </c>
      <c r="G5579" t="inlineStr">
        <is>
          <t>2019-10-26 20:41:19</t>
        </is>
      </c>
      <c r="H5579" t="inlineStr"/>
    </row>
    <row r="5580">
      <c r="A5580" t="inlineStr">
        <is>
          <t>dnoc5l</t>
        </is>
      </c>
      <c r="B5580" t="inlineStr">
        <is>
          <t>My brother thinks he might have cancer. I'm scared for him</t>
        </is>
      </c>
      <c r="C5580" t="inlineStr">
        <is>
          <t>I'll try to keep this short. My older brother (18 months older, 23 I'm 22) came to me just now and cried in my arms scared that he has cancer of some sort. He's not one to cry and is never emotional, and we hardly show affection to each other like that. Needless to say I'm a little choked up right now and scared.
My brother is the healthiest guy I know. He works out a lot and eats a very healthy, balanced diet. He lifts weights and runs, you name it. A month and a half ago or so he complained of some chest pain. I attributed it to him working out too much or something. But then, he told me gradually over the weeks he felt pain in his lymph node area around his throat and under his armpits as well. He went for a routine blood test at the doctor's. His blood platelet count was around 134k which was low but he genetically has low platelets for some reason, my mother has it too and mine tend to run on the low side of normal. They tested his thyroid and that was fine. He is convinced he has lymphoma or something and needs to go to a hematologist. I've never seen him so scared before.
To reiterate his symptoms are:
Sharp chest pain
Sharp armpit pain
Pain around throat/lymph nodes
I know none of this is diagnosis worthy. He is really convinced that he might have a serious illness that will kill him. I just don't know how to react to all of this. I want to be there to help him. I tried my best to calm him down and assured him the best thing he can do right now is to rest and wait. Can anybody give me some general advice to help my brother? He's so psyched out right now and I just feel lost.</t>
        </is>
      </c>
      <c r="D5580" t="n">
        <v>0</v>
      </c>
      <c r="E5580" t="n">
        <v>4</v>
      </c>
      <c r="F5580">
        <f>HYPERLINK("https://www.reddit.com/r/cancer/comments/dnoc5l/my_brother_thinks_he_might_have_cancer_im_scared/")</f>
        <v/>
      </c>
      <c r="G5580" t="inlineStr">
        <is>
          <t>2019-10-26 20:48:44</t>
        </is>
      </c>
      <c r="H5580" t="inlineStr"/>
    </row>
    <row r="5581">
      <c r="A5581" t="inlineStr">
        <is>
          <t>dnosgo</t>
        </is>
      </c>
      <c r="B5581" t="inlineStr">
        <is>
          <t>I’m pretty fucking stressed</t>
        </is>
      </c>
      <c r="C5581" t="inlineStr">
        <is>
          <t>Last week I found out I got Ewing sarcoma AGAIN and I have to get all this treatment and i have a lot of pressure on me</t>
        </is>
      </c>
      <c r="D5581" t="n">
        <v>26</v>
      </c>
      <c r="E5581" t="n">
        <v>4</v>
      </c>
      <c r="F5581">
        <f>HYPERLINK("https://www.reddit.com/r/cancer/comments/dnosgo/im_pretty_fucking_stressed/")</f>
        <v/>
      </c>
      <c r="G5581" t="inlineStr">
        <is>
          <t>2019-10-26 21:35:23</t>
        </is>
      </c>
      <c r="H5581" t="inlineStr"/>
    </row>
    <row r="5582">
      <c r="A5582" t="inlineStr">
        <is>
          <t>dnou1n</t>
        </is>
      </c>
      <c r="B5582" t="inlineStr">
        <is>
          <t>my dad had bladder cancer and is now smoking cigars</t>
        </is>
      </c>
      <c r="C5582" t="inlineStr">
        <is>
          <t>Why would he do that? He smoked for years and that is presumed to be the main cause. Also he drinks a lot too. How dangerous is this behavior?</t>
        </is>
      </c>
      <c r="D5582" t="n">
        <v>6</v>
      </c>
      <c r="E5582" t="n">
        <v>7</v>
      </c>
      <c r="F5582">
        <f>HYPERLINK("https://www.reddit.com/r/cancer/comments/dnou1n/my_dad_had_bladder_cancer_and_is_now_smoking/")</f>
        <v/>
      </c>
      <c r="G5582" t="inlineStr">
        <is>
          <t>2019-10-26 21:40:19</t>
        </is>
      </c>
      <c r="H5582" t="inlineStr"/>
    </row>
    <row r="5583">
      <c r="A5583" t="inlineStr">
        <is>
          <t>dnrzjn</t>
        </is>
      </c>
      <c r="B5583" t="inlineStr">
        <is>
          <t>Got a MRI scan today</t>
        </is>
      </c>
      <c r="C5583" t="inlineStr">
        <is>
          <t>My last scan 3 months ago came back clear. Last year I had 9 mets.
I hate going through the tunnel due to claustrophobia, but I’m getting used to it now.
CT scan also next weekend.
Cancer is part of my life now and I’ll just have to be humble and accept I won’t have a relationship or children. Im 34 and it feels unfair at times and I get angry about it.
It’s melanoma so anything can happen.
I probably sound defeatist here but I just being realistic. I made plans to see the world ie travelling and keep active in the gym which helps.</t>
        </is>
      </c>
      <c r="D5583" t="n">
        <v>40</v>
      </c>
      <c r="E5583" t="n">
        <v>5</v>
      </c>
      <c r="F5583">
        <f>HYPERLINK("https://www.reddit.com/r/cancer/comments/dnrzjn/got_a_mri_scan_today/")</f>
        <v/>
      </c>
      <c r="G5583" t="inlineStr">
        <is>
          <t>2019-10-27 04:20:15</t>
        </is>
      </c>
      <c r="H5583" t="inlineStr"/>
    </row>
    <row r="5584">
      <c r="A5584" t="inlineStr">
        <is>
          <t>dntlap</t>
        </is>
      </c>
      <c r="B5584" t="inlineStr">
        <is>
          <t>For anyone supporting someone who smokes and is going through radiation treatment, make sure they don't smoke at least 30 minutes before treatment</t>
        </is>
      </c>
      <c r="C5584" t="inlineStr">
        <is>
          <t>Smoking right before treatment makes the treatment less effective!</t>
        </is>
      </c>
      <c r="D5584" t="n">
        <v>1</v>
      </c>
      <c r="E5584" t="n">
        <v>10</v>
      </c>
      <c r="F5584">
        <f>HYPERLINK("https://www.reddit.com/r/cancer/comments/dntlap/for_anyone_supporting_someone_who_smokes_and_is/")</f>
        <v/>
      </c>
      <c r="G5584" t="inlineStr">
        <is>
          <t>2019-10-27 06:58:34</t>
        </is>
      </c>
      <c r="H5584" t="inlineStr"/>
    </row>
    <row r="5585">
      <c r="A5585" t="inlineStr">
        <is>
          <t>dnuljy</t>
        </is>
      </c>
      <c r="B5585" t="inlineStr">
        <is>
          <t>Having to pee a lot</t>
        </is>
      </c>
      <c r="C5585" t="inlineStr">
        <is>
          <t>Ok, so I am 40 years old and I usually have to pee a lot at night. I usually wake up once a night, sometimes two.
Could this be the start of prostate cancer? 
I know this will sound horrible, but I hope it is. I don’t want to go see a doctor. I am very suicidal and I want to die badly. If I do nothing could the cancer grow and spread and then kill me? If it is painful, I don’t care. I just want to die. I don’t have the guts to slash my wrist, shot myself, hang myself or get into a garage with the car on. But I do want to die. Please let it be cancer</t>
        </is>
      </c>
      <c r="D5585" t="n">
        <v>0</v>
      </c>
      <c r="E5585" t="n">
        <v>4</v>
      </c>
      <c r="F5585">
        <f>HYPERLINK("https://www.reddit.com/r/cancer/comments/dnuljy/having_to_pee_a_lot/")</f>
        <v/>
      </c>
      <c r="G5585" t="inlineStr">
        <is>
          <t>2019-10-27 08:10:12</t>
        </is>
      </c>
      <c r="H5585" t="inlineStr"/>
    </row>
    <row r="5586">
      <c r="A5586" t="inlineStr">
        <is>
          <t>dnvf3d</t>
        </is>
      </c>
      <c r="B5586" t="inlineStr">
        <is>
          <t>waiting three months for a biopsy?</t>
        </is>
      </c>
      <c r="C5586" t="inlineStr">
        <is>
          <t>i’m a 19 year old girl who’s recently got my breast checked. i used to have two lumps, now it combined into one. the doctor said that cancer in my age is rare and these breast lumps usually turn out non cancerous. my lump measures at 2cms. i’m planning to get a biopsy in jan of 2020 because i have a busy semester ahead. is it too late?</t>
        </is>
      </c>
      <c r="D5586" t="n">
        <v>2</v>
      </c>
      <c r="E5586" t="n">
        <v>14</v>
      </c>
      <c r="F5586">
        <f>HYPERLINK("https://www.reddit.com/r/cancer/comments/dnvf3d/waiting_three_months_for_a_biopsy/")</f>
        <v/>
      </c>
      <c r="G5586" t="inlineStr">
        <is>
          <t>2019-10-27 09:05:41</t>
        </is>
      </c>
      <c r="H5586" t="inlineStr"/>
    </row>
    <row r="5587">
      <c r="A5587" t="inlineStr">
        <is>
          <t>dnw3sj</t>
        </is>
      </c>
      <c r="B5587" t="inlineStr">
        <is>
          <t>How to support my MIL with breast cancer</t>
        </is>
      </c>
      <c r="C5587" t="inlineStr">
        <is>
          <t>She's been diagnosed on Friday, having a mastectomy on the 11th followed by radiotherapy. 
I have two small children and a full time job and we live about an hour away with no traffic. Which in combination makes lots of visiting tricky. 
Practicality wise I'm thinking of lots of small easily microwaved meals for her freezer and I'm planning on taking some of my annual leave when the kids are in nursery to see her and help tidy around the house. 
But I don't know what to expect, what she'll be capable of doing etc. What can I do to make this a bit more bearable for her?</t>
        </is>
      </c>
      <c r="D5587" t="n">
        <v>3</v>
      </c>
      <c r="E5587" t="n">
        <v>5</v>
      </c>
      <c r="F5587">
        <f>HYPERLINK("https://www.reddit.com/r/cancer/comments/dnw3sj/how_to_support_my_mil_with_breast_cancer/")</f>
        <v/>
      </c>
      <c r="G5587" t="inlineStr">
        <is>
          <t>2019-10-27 09:53:02</t>
        </is>
      </c>
      <c r="H5587" t="inlineStr"/>
    </row>
    <row r="5588">
      <c r="A5588" t="inlineStr">
        <is>
          <t>dnwg4b</t>
        </is>
      </c>
      <c r="B5588" t="inlineStr">
        <is>
          <t>Well... Just found out I have pancreatic cancer...</t>
        </is>
      </c>
      <c r="C5588" t="inlineStr">
        <is>
          <t>As of today I was told that I have late pancreatic cancer. The doctors say it is not a good sign.</t>
        </is>
      </c>
      <c r="D5588" t="n">
        <v>32</v>
      </c>
      <c r="E5588" t="n">
        <v>22</v>
      </c>
      <c r="F5588">
        <f>HYPERLINK("https://www.reddit.com/r/cancer/comments/dnwg4b/well_just_found_out_i_have_pancreatic_cancer/")</f>
        <v/>
      </c>
      <c r="G5588" t="inlineStr">
        <is>
          <t>2019-10-27 10:16:53</t>
        </is>
      </c>
      <c r="H5588" t="inlineStr"/>
    </row>
    <row r="5589">
      <c r="A5589" t="inlineStr">
        <is>
          <t>dnwt6d</t>
        </is>
      </c>
      <c r="B5589" t="inlineStr">
        <is>
          <t>Apparently I’m having “cancer fest” this year. Feeling quite depressed/</t>
        </is>
      </c>
      <c r="C5589" t="inlineStr">
        <is>
          <t>I’ve known very few people with cancer until this year but,
My sons friends mom is dying from bone cancer.
My sons friend was just diagnosed with Hodgkins.
My client and friend just passed from Pancreatic cancer.
Another client and friend passed from Lung Cancer.
A month ago I was diagnosed with Melanoma. Still waiting on labs after losing a big piece of my chest including a nipple.
and yesterday we were told my wife’s father has liver cancer.
I’m not sure how this all happens in one year, the year I turned 50.  I feel like a guy in a dunk tank hoping no one hits the target.</t>
        </is>
      </c>
      <c r="D5589" t="n">
        <v>5</v>
      </c>
      <c r="E5589" t="n">
        <v>7</v>
      </c>
      <c r="F5589">
        <f>HYPERLINK("https://www.reddit.com/r/cancer/comments/dnwt6d/apparently_im_having_cancer_fest_this_year/")</f>
        <v/>
      </c>
      <c r="G5589" t="inlineStr">
        <is>
          <t>2019-10-27 10:43:23</t>
        </is>
      </c>
      <c r="H5589" t="inlineStr"/>
    </row>
    <row r="5590">
      <c r="A5590" t="inlineStr">
        <is>
          <t>dnypyh</t>
        </is>
      </c>
      <c r="B5590" t="inlineStr">
        <is>
          <t>Early stage second primary lung cancer after head and neck cancer.</t>
        </is>
      </c>
      <c r="C5590" t="inlineStr">
        <is>
          <t>Anyone have any experience with this? Looking for feedback on what life was like after curative resection. Did it come back? Pain after procedure?</t>
        </is>
      </c>
      <c r="D5590" t="n">
        <v>1</v>
      </c>
      <c r="E5590" t="n">
        <v>1</v>
      </c>
      <c r="F5590">
        <f>HYPERLINK("https://www.reddit.com/r/cancer/comments/dnypyh/early_stage_second_primary_lung_cancer_after_head/")</f>
        <v/>
      </c>
      <c r="G5590" t="inlineStr">
        <is>
          <t>2019-10-27 13:11:47</t>
        </is>
      </c>
      <c r="H5590" t="inlineStr"/>
    </row>
    <row r="5591">
      <c r="A5591" t="inlineStr">
        <is>
          <t>dnyqqs</t>
        </is>
      </c>
      <c r="B5591" t="inlineStr">
        <is>
          <t>family member with cancer</t>
        </is>
      </c>
      <c r="C5591" t="inlineStr">
        <is>
          <t>my brother got diagnosed about 2 months ago and they thought it was an easy to get rid of type of cancer, and in the beginning it was. he had a surgery to get rid of it but when they checked it up later they found out that it had spread to the area around his lungs and he will be starting chemo soon. i’m so afraid that it’s just gonna get worse and that he will, you know, die
i really don’t know how to deal with my emotions or how to support him</t>
        </is>
      </c>
      <c r="D5591" t="n">
        <v>1</v>
      </c>
      <c r="E5591" t="n">
        <v>4</v>
      </c>
      <c r="F5591">
        <f>HYPERLINK("https://www.reddit.com/r/cancer/comments/dnyqqs/family_member_with_cancer/")</f>
        <v/>
      </c>
      <c r="G5591" t="inlineStr">
        <is>
          <t>2019-10-27 13:14:00</t>
        </is>
      </c>
      <c r="H5591" t="inlineStr"/>
    </row>
    <row r="5592">
      <c r="A5592" t="inlineStr">
        <is>
          <t>dnyrc9</t>
        </is>
      </c>
      <c r="B5592" t="inlineStr">
        <is>
          <t>Best friend was recently diagnosed with spinal chordoma</t>
        </is>
      </c>
      <c r="C5592" t="inlineStr">
        <is>
          <t>Hi all, 
&amp;amp;#x200B;
I'm new here, and to be honest, never thought I would be posting to a cancer subreddit about my best friend, but I suppose that's how cancer works sometimes? Please forgive me for not knowing everything about her condition or my reaction to it, but I thought coming on here could help ease my mind about a few things, but ultimately understand what I can do to help her feel better. 
&amp;amp;#x200B;
I suppose a bit of backstory is needed, but I promise I won't spend too much time rambling. My dear friend and I met when we were in middle school, and we almost instantly became the best of friends. She actually lived right down the road from me (we took the same school bus), and we were always walking to each others houses and spending much of our free time together. We graduated from the same university; however our career paths took us in different directions-- me moving first, about 6 hours away, and then her moving with her brother to Boston about a year later. This was over 5 years ago, and we still keep in touch, and since both of our families are from the same hometown, we always get to see each other on major holidays. However, I have never been able to make it out to Boston, and my friend has always pestered me about it, so I decided to take some time off and visit her for her birthday (which is Halloween). We planned this months in advance, and neither of us ever thought things would take a turn, but unfortunately they have. 
&amp;amp;#x200B;
About a month ago, my friend was going out of the country to take a trip with her brother and a group of their friends. Before the trip, she hadn't been feeling well-- she had gotten an upper-respitory infection and had been taking antibiotics prescribed to her by her doctor. She said that on the plane, she felt uncomfortable and was having pain in her lower back and even some numbness in her lower pelvic region. She thought that perhaps it was a side affect from the medicine she was taking, so she didn't think too much of it. However, after being in pain for pretty much her entire trip, she decided to revisit with her PCP. After describing the pain she had been feeling, her doctor told her she probably pinched a nerve near her sacrum and prescribed her pain meds and told her to take it easy, but if the pain did not subside after about a week or two, she might want to schedule an MRI. Well, the pain never went away, and in fact, it seemed to have gotten worse, so she scheduled an MRI and the doctor called her in to tell her that they had found a mass that was growing near her sacrum, pushing on her sciatic and another nerve. After having other doctors, including a neurologist, look at the MRI CD, they diagnosed her with an 8cm wide chordoma (about the size of an orange, they said). The doctors said that not only was this type of tumor rare (about 1 in 1 million), but it wasn't very often that they caught a chordoma this early. My friend is nearing 30, and they said they usually find these in patients nearing 50+ years. So far, they have told her that they could possibly perform surgery, but that it would be tricky due to the tumor's location. They are afraid that there could be a chance that they might have to remove her sacrum, and she would be at danger of possibly losing any bodily function from the waist down. They also said she could be a candidate for proton beam therapy to possibly shrink the tumor. They decided to schedule a biopsy for her birthday later this week (yay) I think to detect the type of cancer? I'm not too sure. 
&amp;amp;#x200B;
I will be flying out the day after the biopsy, but from what I've read about chordomas, if the doctors feel the need to perform surgery, they may do it as early as the next day after the results of the biopsy. I know that much of the information she is telling me is recycled from what the doctors are telling her, so she may not fully understand everything, so by the time she is explaining it to me, I too am getting a bit confused.  However, she has tried to calm everyone around her down by saying that she is confident that the team of doctors she is working with is completely competent, and that she believes they are going to do whatever they can to ensure she comes out healthy on the other side of all of this. My tendency is to worry, and even though I have gotten much better at it, I still do not deal with uncertainty as well as I would like. Now my friend, on the other hand, is a therapist, so she is actually worried more about how everyone around her is processing this more than she is worried about herself. Part of my brain keeps telling me that I should trust her and that if she is feeling calm and confident about it all, then I should follow suit. However, the other part of me knows the type of person she is-- one who is good at not showing too much emotion, so I wonder if she is suppressing all the worry inside of her because she doesn't want those closest to her to worry. I have asked her multiple times how she feels, and each time she says she is doing okay. 
&amp;amp;#x200B;
So when I fly out to visit her, there may be a chance that she may be going into surgery. She is a bit upset that she won't be able to show me around Boston like she initially wanted, but I told her that just getting to spend time with her, like how we used to (which was mostly laying around watching our favorite shows, foreign films, and just talking), is more than enough for me. While I know it may seem selfish, I feel like part of me will feel much better being there, and actually having eyes on her, so that I can really see how she is doing. 
&amp;amp;#x200B;
I suppose my true reason for posting here was just to vent, but also to see if anyone has also been in my, or even her, situation. It would be great to hear positive things, especially on light of something that can be so dark as cancer. So if you have any advice, suggestions, or even some kind words to send my way, I would be so grateful and appreciative. Thank you!</t>
        </is>
      </c>
      <c r="D5592" t="n">
        <v>1</v>
      </c>
      <c r="E5592" t="n">
        <v>0</v>
      </c>
      <c r="F5592">
        <f>HYPERLINK("https://www.reddit.com/r/cancer/comments/dnyrc9/best_friend_was_recently_diagnosed_with_spinal/")</f>
        <v/>
      </c>
      <c r="G5592" t="inlineStr">
        <is>
          <t>2019-10-27 13:15:40</t>
        </is>
      </c>
      <c r="H5592" t="inlineStr"/>
    </row>
    <row r="5593">
      <c r="A5593" t="inlineStr">
        <is>
          <t>dnyrfz</t>
        </is>
      </c>
      <c r="B5593" t="inlineStr">
        <is>
          <t>Should I wait for insurance to kick in?</t>
        </is>
      </c>
      <c r="C5593" t="inlineStr">
        <is>
          <t>I was recently diagnosed with breast cancer (grade 2 invasive ductal carcinoma) and it's thankfully small (only 6-7mm). 
I live in Florida and decided to go back to university, so I'm currently uninsured and don't qualify for Medicaid. FL didn't expand Medicaid and universities here aren't required to insure students. Yay. :/
I applied for financial aid at the Moffitt Cancer Center, however I'm worried I'll be denied because I own my house. I often hear horror stories of cancer patients going into extreme debt because they're uninsured or underinsured.
If I'm denied, I plan to apply for an ACA insurance plan and wait until January 1st to get treatment (thankfully only 2 months away!) Is this a good plan? I'm scared that if I wait the tumor will grow enough to reach my lymph nodes and then I'll definitely need chemo. I'm so close to finishing my university program. I can't believe this is happening now. Any advice is appreciated.</t>
        </is>
      </c>
      <c r="D5593" t="n">
        <v>1</v>
      </c>
      <c r="E5593" t="n">
        <v>11</v>
      </c>
      <c r="F5593">
        <f>HYPERLINK("https://www.reddit.com/r/cancer/comments/dnyrfz/should_i_wait_for_insurance_to_kick_in/")</f>
        <v/>
      </c>
      <c r="G5593" t="inlineStr">
        <is>
          <t>2019-10-27 13:15:58</t>
        </is>
      </c>
      <c r="H5593" t="inlineStr"/>
    </row>
    <row r="5594">
      <c r="A5594" t="inlineStr">
        <is>
          <t>dnywoc</t>
        </is>
      </c>
      <c r="B5594" t="inlineStr">
        <is>
          <t>Question to the Group about after Effects of Chemo/Radiation</t>
        </is>
      </c>
      <c r="C5594" t="inlineStr">
        <is>
          <t>Right before this summer I was diagnosed with tonsil cancer.  I received radiation and chemo.  My last treatment was about 2 moths ago.  I was starting to feel much better when last week I lost my appetite and was very lethargic. Also the skin on my back felt sunburned and my taste got worse.  This surprised and scared me however, my doctors are not overly concerned and stated this is not out of the ordinary.  As of this weekend things seem to be getting better again  While I know everyone is different I'm wondering if others experienced something similar this late after treatment and if so how long before the side effects went away?</t>
        </is>
      </c>
      <c r="D5594" t="n">
        <v>1</v>
      </c>
      <c r="E5594" t="n">
        <v>1</v>
      </c>
      <c r="F5594">
        <f>HYPERLINK("https://www.reddit.com/r/cancer/comments/dnywoc/question_to_the_group_about_after_effects_of/")</f>
        <v/>
      </c>
      <c r="G5594" t="inlineStr">
        <is>
          <t>2019-10-27 13:31:33</t>
        </is>
      </c>
      <c r="H5594" t="inlineStr"/>
    </row>
    <row r="5595">
      <c r="A5595" t="inlineStr">
        <is>
          <t>do24za</t>
        </is>
      </c>
      <c r="B5595" t="inlineStr">
        <is>
          <t>Throat Cancer scare</t>
        </is>
      </c>
      <c r="C5595" t="inlineStr">
        <is>
          <t>I’m a 20 year old male and have had one swollen tonsil for about 4 weeks. I can pop puss and stones out of it every day but I have no pain at all. My throat is dry and feels tight. 
What are the chances of this being something serious like cancer or am I just over reacting and it’s relatively normal</t>
        </is>
      </c>
      <c r="D5595" t="n">
        <v>1</v>
      </c>
      <c r="E5595" t="n">
        <v>1</v>
      </c>
      <c r="F5595">
        <f>HYPERLINK("https://www.reddit.com/r/cancer/comments/do24za/throat_cancer_scare/")</f>
        <v/>
      </c>
      <c r="G5595" t="inlineStr">
        <is>
          <t>2019-10-27 18:24:00</t>
        </is>
      </c>
      <c r="H5595" t="inlineStr"/>
    </row>
    <row r="5596">
      <c r="A5596" t="inlineStr">
        <is>
          <t>do3229</t>
        </is>
      </c>
      <c r="B5596" t="inlineStr">
        <is>
          <t>Let Light Shine Out of Darkness | Rebecca Howell | The Howell Family</t>
        </is>
      </c>
      <c r="C5596" t="inlineStr">
        <is>
          <t>l was privileged to recently record a very vulnerable moment with my friend with breast cancer.  She is sharing it in hope that it will inspire and encourage others.  l figured this would be a great place for that.</t>
        </is>
      </c>
      <c r="D5596" t="n">
        <v>2</v>
      </c>
      <c r="E5596" t="n">
        <v>0</v>
      </c>
      <c r="F5596">
        <f>HYPERLINK("https://www.reddit.com/r/cancer/comments/do3229/let_light_shine_out_of_darkness_rebecca_howell/")</f>
        <v/>
      </c>
      <c r="G5596" t="inlineStr">
        <is>
          <t>2019-10-27 19:47:53</t>
        </is>
      </c>
      <c r="H5596" t="inlineStr"/>
    </row>
    <row r="5597">
      <c r="A5597" t="inlineStr">
        <is>
          <t>do38qz</t>
        </is>
      </c>
      <c r="B5597" t="inlineStr">
        <is>
          <t>Hair loss questions?</t>
        </is>
      </c>
      <c r="C5597" t="inlineStr">
        <is>
          <t>I started to lose some hair tonight (which they told me wasn't supposed to happen, but they also said I probably wouldn't experience hearing loss and I have), I'm wondering if anyone else has lost their pubic hair before losing anything else? I'm losing a bunch of my pubes all over, and I feel like my head hair is shedding more than normal. Is it normal to lose my pubes first? Before my head hair? Anybody else experience this? Is it possible I'll only lose my pubes?</t>
        </is>
      </c>
      <c r="D5597" t="n">
        <v>13</v>
      </c>
      <c r="E5597" t="n">
        <v>18</v>
      </c>
      <c r="F5597">
        <f>HYPERLINK("https://www.reddit.com/r/cancer/comments/do38qz/hair_loss_questions/")</f>
        <v/>
      </c>
      <c r="G5597" t="inlineStr">
        <is>
          <t>2019-10-27 20:05:35</t>
        </is>
      </c>
      <c r="H5597" t="inlineStr"/>
    </row>
    <row r="5598">
      <c r="A5598" t="inlineStr">
        <is>
          <t>do82jd</t>
        </is>
      </c>
      <c r="B5598" t="inlineStr">
        <is>
          <t>Bile duct cancer - need all the information there is</t>
        </is>
      </c>
      <c r="C5598" t="inlineStr">
        <is>
          <t>Hi, 
My mum was diagnosed with inoperable stage 4 intraheptic bile duct cancer. She is now undergoing chemotherapy (gemcitabinum + cisplatin). Doctors are telling me that chemotherapy is just for slowing down the cancer and they are giving my mom more than a year. I am desperately looking for all the information there is. Maybe there is a clinical trial or experimental drug that helped you or your relative battle this type of cancer? Any advice about anything related to this type of cancer or just cancer at all would be really appreciated.</t>
        </is>
      </c>
      <c r="D5598" t="n">
        <v>18</v>
      </c>
      <c r="E5598" t="n">
        <v>20</v>
      </c>
      <c r="F5598">
        <f>HYPERLINK("https://www.reddit.com/r/cancer/comments/do82jd/bile_duct_cancer_need_all_the_information_there_is/")</f>
        <v/>
      </c>
      <c r="G5598" t="inlineStr">
        <is>
          <t>2019-10-28 05:21:06</t>
        </is>
      </c>
      <c r="H5598" t="inlineStr"/>
    </row>
    <row r="5599">
      <c r="A5599" t="inlineStr">
        <is>
          <t>do9o95</t>
        </is>
      </c>
      <c r="B5599" t="inlineStr">
        <is>
          <t>Does anyone have any experience with a cancer patient who is an active drug addict?</t>
        </is>
      </c>
      <c r="C5599" t="inlineStr">
        <is>
          <t>So my dad has stage 4 non-small cell lung cancer. We were told with no treatment, he'd have 3-4 months and with treatment around 9-12 months - of course with the possibility of more or less time. He said he wanted to fight. He has kids ranging from grade school age to adult (me and my older brother from his first marriage). He went through Gamma Knife radiation for the brain tumors and he just did his second round of the chemo and immunotherapy combo.
So my dad has always been a functioning alcoholic, but lately the problem has been cocaine which he has struggled with for several years. Long story short, he failed 2 urine tests and was therefore kicked out of the outpatient palliative care program. We don't want him to be in pain and we want him to stay home with the kids if possible, but he just keeps shooting himself in the foot. Not to get too into the emotions of it all, but it's been pretty overwhelming for my step mom, my brother and me. 
We're all going to talk to him tomorrow night about possibly going into a rehab program. I believe he wants to fight - why else go through the radiation? But we have to get to the bottom of what's going on. I also want to ask his doctors if he successfully finishes a rehab program and agrees to frequent urine tests, if he could possibly get back into the outpatient palliative care program. 
Has anyone dealt with a similar situation? I would appreciate any sharing of experiences so I can better help my family.</t>
        </is>
      </c>
      <c r="D5599" t="n">
        <v>8</v>
      </c>
      <c r="E5599" t="n">
        <v>6</v>
      </c>
      <c r="F5599">
        <f>HYPERLINK("https://www.reddit.com/r/cancer/comments/do9o95/does_anyone_have_any_experience_with_a_cancer/")</f>
        <v/>
      </c>
      <c r="G5599" t="inlineStr">
        <is>
          <t>2019-10-28 07:35:28</t>
        </is>
      </c>
      <c r="H5599" t="inlineStr"/>
    </row>
    <row r="5600">
      <c r="A5600" t="inlineStr">
        <is>
          <t>doa83m</t>
        </is>
      </c>
      <c r="B5600" t="inlineStr">
        <is>
          <t>Questions to Ask Oncologists</t>
        </is>
      </c>
      <c r="C5600" t="inlineStr">
        <is>
          <t>I finish radiation for breast cancer soon and will meet with the radiation oncologist and the medical oncologist. Can you help me figure out what questions I should ask them? TIA.</t>
        </is>
      </c>
      <c r="D5600" t="n">
        <v>1</v>
      </c>
      <c r="E5600" t="n">
        <v>2</v>
      </c>
      <c r="F5600">
        <f>HYPERLINK("https://www.reddit.com/r/cancer/comments/doa83m/questions_to_ask_oncologists/")</f>
        <v/>
      </c>
      <c r="G5600" t="inlineStr">
        <is>
          <t>2019-10-28 08:17:00</t>
        </is>
      </c>
      <c r="H5600" t="inlineStr"/>
    </row>
    <row r="5601">
      <c r="A5601" t="inlineStr">
        <is>
          <t>doabqz</t>
        </is>
      </c>
      <c r="B5601" t="inlineStr">
        <is>
          <t>I'm waiting and in pain and I want to cry and give up</t>
        </is>
      </c>
      <c r="C5601" t="inlineStr">
        <is>
          <t>Hi. I know that these posts are frowned upon and I'm terribly sorry if this is insulting to anyone. I'll happily remove it if need be. 
I (18F) have been diagnosed with a large, complex cyst with internal septation and an irregular border. I have been told there is a *very* high chance of it being ovarian cancer, but I won't know until they remove it in about a month. I have to get another ultrasound before then, and the doctor told me to just take Advil all month until it's time for surgery. I am a university student and I have no resources, all of the pamphlets given to me are for older women with ovarian cancer and I'm scared to tell people in case i'm lucky and there is nothing there. In that case, I would have worried my friends and family for nothing. I told my mom and dad about the cyst but not the cancer risk. 
I also realized I'm weak as shit. Sitting or lying down hurts, walking too long hurts, I constantly have to pee but it hurts to pee and it feels like my bladder is never empty. Any form of sexual stuff hurts as well. I haven't missed any classes but my notes have been awful and all I want to do is lie in bed. I used to be so motivated and on top of things but now this diagnosis makes me want to lie in bed and cry. I wrote off my symptoms for so long as overreacting, period cramps, or me just getting fat, I did this for four months, and now that I know what it is and what likely awaits me I already want to give up.  I should have said something sooner before the pain became all I can think of and I spend my free time designing babies in the sims 4 because I wanted to be a mom so badly and it's all being taken away from me.</t>
        </is>
      </c>
      <c r="D5601" t="n">
        <v>61</v>
      </c>
      <c r="E5601" t="n">
        <v>34</v>
      </c>
      <c r="F5601">
        <f>HYPERLINK("https://www.reddit.com/r/cancer/comments/doabqz/im_waiting_and_in_pain_and_i_want_to_cry_and_give/")</f>
        <v/>
      </c>
      <c r="G5601" t="inlineStr">
        <is>
          <t>2019-10-28 08:24:26</t>
        </is>
      </c>
      <c r="H5601" t="inlineStr"/>
    </row>
    <row r="5602">
      <c r="A5602" t="inlineStr">
        <is>
          <t>dobclz</t>
        </is>
      </c>
      <c r="B5602" t="inlineStr">
        <is>
          <t>Any oncologist recommendations in SE Michigan?</t>
        </is>
      </c>
      <c r="C5602" t="inlineStr">
        <is>
          <t>Have been using doctors at K\*\*\*\*\*\*\*\*s downtown.
Finished five months of chemo, and had a clean pet scan.
Doctors want to go ahead and remove my esophagus and part of the stomach an¥ways, "to be sure they got it all".
I disagreed, and let them know that two doctors I've known personally for years had looked over my records. Both said to skip the surgery and do active surveillance. The K\*\*\*\*\*\*\*s doctors got butt-hurt by having their opinion questioned, but scheduled a follow up ct scan in three months.
I'd like to find other doctors that three month window.
Thanks!</t>
        </is>
      </c>
      <c r="D5602" t="n">
        <v>1</v>
      </c>
      <c r="E5602" t="n">
        <v>8</v>
      </c>
      <c r="F5602">
        <f>HYPERLINK("https://www.reddit.com/r/cancer/comments/dobclz/any_oncologist_recommendations_in_se_michigan/")</f>
        <v/>
      </c>
      <c r="G5602" t="inlineStr">
        <is>
          <t>2019-10-28 09:38:35</t>
        </is>
      </c>
      <c r="H5602" t="inlineStr"/>
    </row>
    <row r="5603">
      <c r="A5603" t="inlineStr">
        <is>
          <t>dobfo3</t>
        </is>
      </c>
      <c r="B5603" t="inlineStr">
        <is>
          <t>My wife just got diagnosed. Hopefully her words offer some sort of encouragement.</t>
        </is>
      </c>
      <c r="C5603" t="inlineStr">
        <is>
          <t xml:space="preserve"> 
Thursday, October 17th, 2:52PM
“Excuse me Ma’am, do you need help with that?”
The young staff member took pity on my inability to wind up the hair dryer cord and stepped away from replacing q-tips on the women’s locker room counter – to demonstrate her ninja skills – and push a button. Why didn’t I think of that?!
When I made my way back to the mirror, I glanced down at my vibrating phone. I recognized the number, and with a racing heart, hesitantly answered.
“Hi Cara. This is Dr. Laura.”
I skipped the small talk, as I had been anticipating this conversation for 2 weeks.
“I have your test results. I’m sorry for the delay, we sent the labs to UCLA for a second opinion. You tested positive for….” My mind went in two different directions simultaneously. Listening to unrecognizable medical jargon through a cloudy mind, I glanced at the clock to make sure I wasn’t late for school pick-up.
She continued, “You need to see a GYN Oncologist to figure out the next steps.”
With half a face covered in sloppy foundation, and Justin Bieber blasting in the background, I grabbed my gym bag and rushed to the customer service desk. Without asking permission, I reached for an obnoxious yellow flower topped pen and jotted down the Oncologist’s number on the back of my hand. I don’t recall saying goodbye to the voice on the other end.
I dragged my feet towards the gym exit, past the teenagers behind the front desk, who smiled ear to ear and eloquently shouted my way “Have a lovely day!”
Numb. Just numb.
In the safety of my car, I collapsed over the steering wheel.
Wait. I immediately called Dr. Laura back.
“I need to hear you say the words.” I fumbled through tears.
She took what I believe was a deep breath, “Cara, it’s cervical cancer.”
“Ok. Thank you.” Why the hell did I say ‘thank you’? Kick myself for being too cordial.
Ugly crying. Lots of ugly crying.
I pride myself on being able to make unemotionally based quick decisions in a crisis. But in this unchartered moment, that quality seemed painfully distant.
…………………………………………………….
That was a week ago.
Seven days.
168 hours.
That’s 10,080 minutes available for confusion, denial, fear, anger, sadness, anxiety, paranoia, frustration, bitterness, and loneliness.
“I don’t have time for this!” rang through my thoughts over and over again. There’s soccer practice, ballet, parent teacher conferences, and the piles of laundry that have been sitting on our couch for the past 5 years.
Shock, with a big fat side of slap-in-the-face.
When real time, practical decisions, appointments and scheduling must be made – it’s difficult to balance the overflow of emotion that must be temporarily pushed aside (until those quiet hours after the family has gone to bed and your head runs wildly down the path of havoc).
Seven days.
168 hours.
It’s also 10,080 minutes patiently awaiting love, kindness, forgiveness, community, faith and HOPE.
Don’t get me wrong, I’m a total realist, so I’d give the initial list above, at least 90% of my first week with the “C” word.
………………………………………………………….
All too often we use the phrase “God is Good” in moments celebrating health, safety, wealth, and success. And He IS good in those moments. But He is GREAT in our moments of trial, sickness, weakness and brokenness. And over the past 7 days, I’ve seen more concentration of God’s presence than my past 36 years… probably to my own fault – as I never see the thing I am not actively seeking.
While anxiously awaiting surgery today, a man smiled warmly at me as he stood at the check-in line. It was as though he knew me. I brushed it off. A few minutes later, he and his wife were greeted by a friend from our church ministry team. A familiar face! Brandon and I introduced ourselves to the couple, and I barely had time to hear their personal journey through multiple diagnosis and surgeries, before my name was called to pre-op. I saw God’s smile through theirs, it held a quiet inspirational strength.
When the nurse came into the room to start my IV, she informed me that she had been warned of my fear of needles and would be numbing my hand first. She then joked “Maybe I should put on my glasses!”. I felt His peace break into the room as we chuckled.
And while I was rocking a hair net and gas mask sprawled out on the operating table, the anesthesiologist’s assistant distracted me with humorous stories of patients who woke up from anesthesia (apparently a 14 year old tried to make out with her and dancing on tables is a daily occurrence). She held my hand as I drifted off to sleep… smiling.
While it’s easy to fall apart and dwell on the unknown – I’m focused on what I know for certain. We live 5 minutes from the Mayo Clinic, one of the top hospitals in the world. I have one of the best GYN Oncologists in the nation. My uterus has performed a job well done – and the opportunity to provide a safe home and grow two beautiful babies, is perhaps my life’s greatest blessing. So, in pure Marie Kondo style, I will thank it for the memories, and say goodbye on Tuesday.
Does this uterus make me look fat? Have it removed immediately!
Too soon?
I have absolutely no idea what lies ahead, or how winding the path to health may be. But I do know that there has never been a Testament without a Test. And while this “test” resembles the evil “pop-quiz”, I know my heart is prepared for the fight. For why shall we rehearse without performing or train without a battle?
I’d like to warn my mother now, one of my favorite quotes, “Bravery is not the absence of fear, but the willingness to do it anyway” may be tattooed on my forehead when I emerge on the other side of this mountain.
So…
I’ll march on to fight MY battle.
You’ll march on to fight YOUR battle.
We’ll march on to fight OUR battles.
And while we are scared sh$tless, we’ll do it anyway. Because His strength is enough.</t>
        </is>
      </c>
      <c r="D5603" t="n">
        <v>7</v>
      </c>
      <c r="E5603" t="n">
        <v>3</v>
      </c>
      <c r="F5603">
        <f>HYPERLINK("https://www.reddit.com/r/cancer/comments/dobfo3/my_wife_just_got_diagnosed_hopefully_her_words/")</f>
        <v/>
      </c>
      <c r="G5603" t="inlineStr">
        <is>
          <t>2019-10-28 09:44:51</t>
        </is>
      </c>
      <c r="H5603" t="inlineStr"/>
    </row>
    <row r="5604">
      <c r="A5604" t="inlineStr">
        <is>
          <t>doe10s</t>
        </is>
      </c>
      <c r="B5604" t="inlineStr">
        <is>
          <t>Advice needed for preparing for care-giving.</t>
        </is>
      </c>
      <c r="C5604" t="inlineStr">
        <is>
          <t>Hello. I'm hoping you can offer some practical advice in regards to preparing for Chemotherapy. 
My friend has been diagnosed with inoperable secondary cancer and is due to undertake a second round of chemotherapy soon. They have already been through a course of chemotherapy when they were originally diagnosed a few months ago. Although that round of chemo was unpleasant, painful and tiring the side effects were (according to their Doctor) fairly minimal. 
They have been told this second round of chemo will be a much different experience and they will most likely be bed bound a lot of the time and should prepare for very aggressive symptoms including sickness, hair and/or hearing loss etc.
So we are wondering what are the more practical things we can do to prepare for the the side effects that comes with the treatment. 
What are some things we could purchase in advance that will help? E.g. bowls for sickness, flushable wipes, bed tray, lumbar pillows etc. 
Are there any adaptations we should make to their living arrangements? Chair in the bedroom? Bedside table? Rails in the bathroom etc? 
Any recommendations you can offer from your experience would be greatly appreciated. 
Thank you</t>
        </is>
      </c>
      <c r="D5604" t="n">
        <v>1</v>
      </c>
      <c r="E5604" t="n">
        <v>0</v>
      </c>
      <c r="F5604">
        <f>HYPERLINK("https://www.reddit.com/r/cancer/comments/doe10s/advice_needed_for_preparing_for_caregiving/")</f>
        <v/>
      </c>
      <c r="G5604" t="inlineStr">
        <is>
          <t>2019-10-28 12:40:01</t>
        </is>
      </c>
      <c r="H5604" t="inlineStr"/>
    </row>
    <row r="5605">
      <c r="A5605" t="inlineStr">
        <is>
          <t>doe4k5</t>
        </is>
      </c>
      <c r="B5605" t="inlineStr">
        <is>
          <t>Cancer Resources?</t>
        </is>
      </c>
      <c r="C5605" t="inlineStr">
        <is>
          <t>Hi there - 
I'm curious if anyone knows any websites or resources that they have PERSONALLY used for when your family has gone through a hard time. We all know the financial aspect of cancer can be detrimental. I've waited months for disability (Of course) and we have financially struggled since I cannot work full time and there have been bumps in the road. We are at that point again and I'm just patiently waiting until disability arrives next month to help us out a little bit. Have any of you used the local food pantry? I know many people will eat processed foods but that isn't the best thing to eat when going through treatment and I feel terrible for asking for fruits and vegetables. Actually, I feel terrible and tired for asking for help but I'm in the last leg of the hill so I'm going to power through. Any tips or suggestions for resources you've used when you were low, would be so helpful. Thank you.</t>
        </is>
      </c>
      <c r="D5605" t="n">
        <v>3</v>
      </c>
      <c r="E5605" t="n">
        <v>4</v>
      </c>
      <c r="F5605">
        <f>HYPERLINK("https://www.reddit.com/r/cancer/comments/doe4k5/cancer_resources/")</f>
        <v/>
      </c>
      <c r="G5605" t="inlineStr">
        <is>
          <t>2019-10-28 12:46:27</t>
        </is>
      </c>
      <c r="H5605" t="inlineStr"/>
    </row>
    <row r="5606">
      <c r="A5606" t="inlineStr">
        <is>
          <t>doe92n</t>
        </is>
      </c>
      <c r="B5606" t="inlineStr">
        <is>
          <t>Testicular cancer?</t>
        </is>
      </c>
      <c r="C5606" t="inlineStr">
        <is>
          <t>Hello. I’m sure all of you aren’t doctors, but I was curious about two lumps at the very very bottom of both my testicles, one on each. They’re moveable, and I discovered them a few days ago. Any advice?</t>
        </is>
      </c>
      <c r="D5606" t="n">
        <v>0</v>
      </c>
      <c r="E5606" t="n">
        <v>2</v>
      </c>
      <c r="F5606">
        <f>HYPERLINK("https://www.reddit.com/r/cancer/comments/doe92n/testicular_cancer/")</f>
        <v/>
      </c>
      <c r="G5606" t="inlineStr">
        <is>
          <t>2019-10-28 12:54:17</t>
        </is>
      </c>
      <c r="H5606" t="inlineStr"/>
    </row>
    <row r="5607">
      <c r="A5607" t="inlineStr">
        <is>
          <t>dofpll</t>
        </is>
      </c>
      <c r="B5607" t="inlineStr">
        <is>
          <t>Biopsy results in less then 24 hours</t>
        </is>
      </c>
      <c r="C5607" t="inlineStr">
        <is>
          <t>I'm not sure where else to post this. I have a thyroid nodule and what they described as another mass near a lymph node on my neck. I dont know if its cancerous, and I know the chances of it being cancer are slim but I've always been told that biopsy results take anywhere from 36 to 48 hours to have the results. I had my biopsy this morning at 930am and now 430pm they called me and want me to come in to go over them. Is this a good sign or bad that it is so quick? I had an appointment scheduled for next week to go over results when they scheduled the biopsy but now they are calling me in sooner.  My anxiety has already been pretty high but this amplified it and I cant find anything online about a quick biopsy result.</t>
        </is>
      </c>
      <c r="D5607" t="n">
        <v>2</v>
      </c>
      <c r="E5607" t="n">
        <v>14</v>
      </c>
      <c r="F5607">
        <f>HYPERLINK("https://www.reddit.com/r/cancer/comments/dofpll/biopsy_results_in_less_then_24_hours/")</f>
        <v/>
      </c>
      <c r="G5607" t="inlineStr">
        <is>
          <t>2019-10-28 14:26:51</t>
        </is>
      </c>
      <c r="H5607" t="inlineStr"/>
    </row>
    <row r="5608">
      <c r="A5608" t="inlineStr">
        <is>
          <t>doftg1</t>
        </is>
      </c>
      <c r="B5608" t="inlineStr">
        <is>
          <t>Today marks ten years since the passing of my step-mum</t>
        </is>
      </c>
      <c r="C5608" t="inlineStr">
        <is>
          <t>I know that most people look to this sub for advice or relief, and these kinds of posts are downers for sure but there's a lot I've never shared with anyone.
My parents split when I was young, it was amicable, I lived with mum. I remember the first time I was introduced to my step-mum to be: it didn't go well. She was a "health nut": a swimming instructor, salad eating, exercise loving, Eastenders watching, newspaper rustling pain, and I didn't like the fact that she inserted herself into our lives. I think I was about 7 or 8, maximum, maybe younger.
Over the years. It became normal. She pushed me to go outside, or take up exercise and I hated it. We stopped eating shit and instead she put tomatoes in my sandwiches when we ent to visit. She got pregnant, had a kid, and they moved into a bigger house. The kid grew up knowing a life where part of his family only came round every other weekend. There were arguments from time to time, standard family shit.
I got to the age of 15 and my dad stopped off when picking us up from mum's to tell us that my step-mum had cancer. It's one of only 2 or 3 times I've seen my dad crying beyond a level where he could function. We were told we couldn't tell our half-brother because he was so young and couldn't process it.
Over the next 5 years she steadily got worse. A misdiagnosis leading to incorrect treatment became a death sentence. All the while there was no way to tell my brother what was going on. And then halfway through university I got the text that she'd died and I had to go home. 
It was my first time being face to face with death. I don't think I ever truly recovered, to be honest. I hadn't prepared in the slightest. It was...scary. 
The ceremony was beautiful. The songs will haunt me (in a good way), and I will always remember my dad playing jokes during the eulogy (he bet his brother in law £50 that he could get through without crying), my brother almost fainting, and my grandad with his ridiculous moustache belting out hymns, before going to the pub, getting wankered, and earing a ton of fish and chips.
Ever since then everything came into focus. She didn't insert herself into our lives, she offered to raise us alongside our dad if we wanted her to. She didn't push me into exercise, she just didn't want me to stagnate so gave me options. She didn't fuck up my food, she gave me a chance for me to progress my palate. Hell, even times where money was short she went out of her way for me. I wasn't a step-son, I was just a part-time-son. My brother is my brother. He's never been a half-brother because she was a second mum. Literally nothing she ever did was meant with malice or lack of thought. She only wver tried to help, and I never really noticed because...it was a had dynamic to jump into and I was also dealing with a step-dad on my mum's side. I distinctly remember her being furious that my dad wasn't stepping in to tell my step-dad off at one point because she didn't think my step-dad was treating us with respect. She was great. I don't know how my brother managed losing his mum at such a young age, but he's grown up into a wonderful person. He's just moved in with his boyfriend and we couldn't be more proud of him.
I could go on more, but I guess what I want to say is that I miss her, and I never expected to at the time. It's been 10 years and I still put tomatoes in my sandwiches (because a cheese, tomato, cucumber, and salad cream sandwich is fucking boss), and I regret not getting her cheesecake recipe. It's the little things that really stick with us and remind us how much we love people, and I hope that in time anyone dealing with loss can remember the little joyous things along with the sadness.
Take it easy, everyone, whatever pain you're in.</t>
        </is>
      </c>
      <c r="D5608" t="n">
        <v>15</v>
      </c>
      <c r="E5608" t="n">
        <v>2</v>
      </c>
      <c r="F5608">
        <f>HYPERLINK("https://www.reddit.com/r/cancer/comments/doftg1/today_marks_ten_years_since_the_passing_of_my/")</f>
        <v/>
      </c>
      <c r="G5608" t="inlineStr">
        <is>
          <t>2019-10-28 14:33:46</t>
        </is>
      </c>
      <c r="H5608" t="inlineStr"/>
    </row>
    <row r="5609">
      <c r="A5609" t="inlineStr">
        <is>
          <t>dofzb3</t>
        </is>
      </c>
      <c r="B5609" t="inlineStr">
        <is>
          <t>Tongue Cancer Survivor, had to walk away from my job ....</t>
        </is>
      </c>
      <c r="C5609" t="inlineStr">
        <is>
          <t>I’m a stage 4 tongue cancer survivor, I lost half my tongue . I speak and eat when doctors say I wasn’t supposed to. I had to walk away from a job I was employed at for 8 years. I admit I’m a great worker, I’ve been in management for over 15 years. I work at a casino so the employee who report to me are unionized. Hence have this sense of entitlement on how they treat others. Eventually my position led me to discipline based on performance. And they started to bully me, i sucked it up for a long time even though it was affecting me. Until I heard the were mimicking my speech impediment .... and it just broke me. I stayed a few days longer but was having regular panic attacks in my car before walking into the office, then would have to leave bc I couldn’t focus. So no I’m on leave. Have been on leave since July, and feel it’s time for me to walk away. 
HR at work... I feel bc they were going against a union member the discipline was a slap on the hand. All she hand to do was write me an apology letter, after HR til me she doesn’t remember mimicking me. And seems like none of the witnesses admitted because this girl is a union shop stewart as well. 
This thing is I know it’s best for me, but I feel so alone. These ppl at work were also my friends, and I’m mourning that loss and betrayal in one. My sister doesn’t get it. She continues to compare things she went through in her life to what I’m going through and trust me when I say it’s not the same. 
My boyfriend is the type who just wants to encourage and push me. “Don’t give up babe” type of guy. But it’s not one of those situations for me where I can just dust off and just walk back into work and feel safe. So he thinks I’m quitting, saying we’ve been through much rougher roads and not to quit now. But I’ve expressed to him so many times I don’t feel safe there, and I’m not quitting. I’ve always been a someone who takes a lot of pride in my work and to say I’m just quitting just hurts. 
I’m just feeling really lonely ....</t>
        </is>
      </c>
      <c r="D5609" t="n">
        <v>1</v>
      </c>
      <c r="E5609" t="n">
        <v>0</v>
      </c>
      <c r="F5609">
        <f>HYPERLINK("https://www.reddit.com/r/cancer/comments/dofzb3/tongue_cancer_survivor_had_to_walk_away_from_my/")</f>
        <v/>
      </c>
      <c r="G5609" t="inlineStr">
        <is>
          <t>2019-10-28 14:45:05</t>
        </is>
      </c>
      <c r="H5609" t="inlineStr"/>
    </row>
    <row r="5610">
      <c r="A5610" t="inlineStr">
        <is>
          <t>dog27z</t>
        </is>
      </c>
      <c r="B5610" t="inlineStr">
        <is>
          <t>Questionnaire on male cancer awareness, and the relation between male cancers and attitudes to exercise and football.</t>
        </is>
      </c>
      <c r="C5610" t="inlineStr">
        <is>
          <t>Hey everyone, I am a graphic design student at Plymouth College of Art in the UK. As part of my final major project going towards my graduation, I am looking at using exercise events to spread awareness of male cancers and to bring men together to build support communities for them to attend. I would really appreciate it if anyone here would take part in my questionnaire! It's fully anonymous, but please answer truthfully and in as much detail as you are comfortable with. Thank you in advance :)  
[https://forms.gle/tapqh2efxFKvKSBM7](https://forms.gle/tapqh2efxFKvKSBM7)</t>
        </is>
      </c>
      <c r="D5610" t="n">
        <v>2</v>
      </c>
      <c r="E5610" t="n">
        <v>2</v>
      </c>
      <c r="F5610">
        <f>HYPERLINK("https://www.reddit.com/r/cancer/comments/dog27z/questionnaire_on_male_cancer_awareness_and_the/")</f>
        <v/>
      </c>
      <c r="G5610" t="inlineStr">
        <is>
          <t>2019-10-28 14:50:52</t>
        </is>
      </c>
      <c r="H5610" t="inlineStr"/>
    </row>
    <row r="5611">
      <c r="A5611" t="inlineStr">
        <is>
          <t>dojg2j</t>
        </is>
      </c>
      <c r="B5611" t="inlineStr">
        <is>
          <t>Mom gets her post-chemo, pre-radiation scan tomorrow and I'm terrified.</t>
        </is>
      </c>
      <c r="C5611" t="inlineStr">
        <is>
          <t>Short recap: Mom turned yellow and was in lots of pain in March. Something was going wrong in her billiary system and her blood was full of sludge. They prepared us for cancer, but all the tests were coming back negative and we got hopeful. Then the surgery in June revealed a 9cm by 4 cm tumor completely encasing her gallbladder, extending up into her liver. Two weeks later, my father is suddenly hacking and coughing and unable to swallow, and is diagnosed with stage 4 metastatic esophageal cancer. 
Mom finally finished up chemo last week, having had to stop multiple times because her red blood cells dropped. She's getting the first CT scan she's had since just after the surgery tomorrow. Up until literally 10 minutes ago, I was totally fine. No nerves. I was even very much on the "Mom totally survives this super rare and aggressive cancer" bandwagon and have been for weeks. She's never been sick. She's only ever been hospitalized (until this) for having babies. I've done enough reading to know that she's the best possible candidate to survive this. 
All of a sudden I'm fucking terrified that the chemo didn't work and they are going to see enlarged lymph nodes and that the mass around her hepatic artery is bigger. I really am trying SO HARD to be positive for myself and for my parents, but I am fully overwhelmed with this feeling that I'm losing them both way too fast. 
How do you deal with the night before scan jitters? Or the night before the big prognosis appointment jitters?</t>
        </is>
      </c>
      <c r="D5611" t="n">
        <v>7</v>
      </c>
      <c r="E5611" t="n">
        <v>2</v>
      </c>
      <c r="F5611">
        <f>HYPERLINK("https://www.reddit.com/r/cancer/comments/dojg2j/mom_gets_her_postchemo_preradiation_scan_tomorrow/")</f>
        <v/>
      </c>
      <c r="G5611" t="inlineStr">
        <is>
          <t>2019-10-28 19:12:27</t>
        </is>
      </c>
      <c r="H5611" t="inlineStr"/>
    </row>
    <row r="5612">
      <c r="A5612" t="inlineStr">
        <is>
          <t>dojnb6</t>
        </is>
      </c>
      <c r="B5612" t="inlineStr">
        <is>
          <t>Chronic pain after cancer</t>
        </is>
      </c>
      <c r="C5612" t="inlineStr">
        <is>
          <t>I’m worried that I’m moving onto a life with chronic pain. 
I survived cancer and was declared NED in April. So, I’m lucky in that respect. But, due partly to having very radical surgery to ensure low reoccurrence, I may now have chronic pain. 
I had a radical hysterectomy plus in February as part of treatment. 
Multiple doctors don’t know when or if I’ll ever fully be pain free. My surgery removed and disrupted lots of internal structures. 
How are all of you dealing with surviving but not thriving?  I don’t want to be ungrateful, but I have some level of pain and exhaustion every day.</t>
        </is>
      </c>
      <c r="D5612" t="n">
        <v>2</v>
      </c>
      <c r="E5612" t="n">
        <v>2</v>
      </c>
      <c r="F5612">
        <f>HYPERLINK("https://www.reddit.com/r/cancer/comments/dojnb6/chronic_pain_after_cancer/")</f>
        <v/>
      </c>
      <c r="G5612" t="inlineStr">
        <is>
          <t>2019-10-28 19:29:28</t>
        </is>
      </c>
      <c r="H5612" t="inlineStr"/>
    </row>
    <row r="5613">
      <c r="A5613" t="inlineStr">
        <is>
          <t>dojohn</t>
        </is>
      </c>
      <c r="B5613" t="inlineStr">
        <is>
          <t>Head and neck cancer</t>
        </is>
      </c>
      <c r="C5613" t="inlineStr">
        <is>
          <t>Just got diagnosed with melanoma in my head and neck. Doing the pet scan next Monday, Consulting with reconstructive plastic surgeons tomorrow about post procedure stuff. Anybody have any advice for a new dad that hates hospitals but doesn't want to seem nervous through the process?</t>
        </is>
      </c>
      <c r="D5613" t="n">
        <v>15</v>
      </c>
      <c r="E5613" t="n">
        <v>5</v>
      </c>
      <c r="F5613">
        <f>HYPERLINK("https://www.reddit.com/r/cancer/comments/dojohn/head_and_neck_cancer/")</f>
        <v/>
      </c>
      <c r="G5613" t="inlineStr">
        <is>
          <t>2019-10-28 19:32:23</t>
        </is>
      </c>
      <c r="H5613" t="inlineStr"/>
    </row>
    <row r="5614">
      <c r="A5614" t="inlineStr">
        <is>
          <t>dokhwg</t>
        </is>
      </c>
      <c r="B5614" t="inlineStr">
        <is>
          <t>Port removal</t>
        </is>
      </c>
      <c r="C5614" t="inlineStr">
        <is>
          <t>I’ve read some of the other posts on port removal. I’m supposed to get mine out in about a month. My port insertion was very tough. The procedure was ok, but I had lots of pain afterwards and I passed out twice in the 48 hr following.
I told all of this to the nurse and she kinda shrugged and said “it’s usually fine”. 
Ok, but what do I do this time? I’d planned 3-4 days off work, but they are telling me that removal is no big deal.</t>
        </is>
      </c>
      <c r="D5614" t="n">
        <v>1</v>
      </c>
      <c r="E5614" t="n">
        <v>7</v>
      </c>
      <c r="F5614">
        <f>HYPERLINK("https://www.reddit.com/r/cancer/comments/dokhwg/port_removal/")</f>
        <v/>
      </c>
      <c r="G5614" t="inlineStr">
        <is>
          <t>2019-10-28 20:45:01</t>
        </is>
      </c>
      <c r="H5614" t="inlineStr"/>
    </row>
    <row r="5615">
      <c r="A5615" t="inlineStr">
        <is>
          <t>dokmph</t>
        </is>
      </c>
      <c r="B5615" t="inlineStr">
        <is>
          <t>A qestion about support....</t>
        </is>
      </c>
      <c r="C5615" t="inlineStr">
        <is>
          <t>Hi everyone,
I have a work colleague who has just been diagnosed with cancer. I was just wanting to know how we can support her in the work place?
What did your work place/ colleague do for you that was a blessing?
What do you wish they had done?
What should we avoid doing?</t>
        </is>
      </c>
      <c r="D5615" t="n">
        <v>1</v>
      </c>
      <c r="E5615" t="n">
        <v>3</v>
      </c>
      <c r="F5615">
        <f>HYPERLINK("https://www.reddit.com/r/cancer/comments/dokmph/a_qestion_about_support/")</f>
        <v/>
      </c>
      <c r="G5615" t="inlineStr">
        <is>
          <t>2019-10-28 20:57:39</t>
        </is>
      </c>
      <c r="H5615" t="inlineStr"/>
    </row>
    <row r="5616">
      <c r="A5616" t="inlineStr">
        <is>
          <t>dokre4</t>
        </is>
      </c>
      <c r="B5616" t="inlineStr">
        <is>
          <t>Friends abandoned me after my mom was diagnosed</t>
        </is>
      </c>
      <c r="C5616" t="inlineStr">
        <is>
          <t>My mom was diagnosed with stage IV small cell lung cancer this summer. I expected that I would have some friends that would pull away after they found out. However, I didn't know it would be to this extent. I don't have a huge friend group, but I do have several friends I've been close with for a long time. After my mom's diagnosis, I decided to stay close to home so I'm a few hours away from most of my friends now. They were all sympathetic when I told them and said they'd be there for me. But, almost none of them have actually been there for me. Since I told them, they haven't asked once how my mom or I have been doing. A few weeks ago I was in their area and asked to hang out, and they told me they were too busy. I am very hurt and angry. I know that it's hard to know what to say to someone who is going through a really hard time, but they haven't even tried. I don't even want sympathy, I just want to retain some normalcy in my life. I have to stay strong for my mom, but I am barely able to keep myself together. I have almost no support system and I feel so alone.</t>
        </is>
      </c>
      <c r="D5616" t="n">
        <v>21</v>
      </c>
      <c r="E5616" t="n">
        <v>11</v>
      </c>
      <c r="F5616">
        <f>HYPERLINK("https://www.reddit.com/r/cancer/comments/dokre4/friends_abandoned_me_after_my_mom_was_diagnosed/")</f>
        <v/>
      </c>
      <c r="G5616" t="inlineStr">
        <is>
          <t>2019-10-28 21:10:07</t>
        </is>
      </c>
      <c r="H5616" t="inlineStr"/>
    </row>
    <row r="5617">
      <c r="A5617" t="inlineStr">
        <is>
          <t>dol9fi</t>
        </is>
      </c>
      <c r="B5617" t="inlineStr">
        <is>
          <t>support for cancer loss.</t>
        </is>
      </c>
      <c r="C5617" t="inlineStr">
        <is>
          <t>My (18F) very close uncle of mine has passed away today at around 3pm. my grandpa flew in from mexico to see him one last time and my godfather came from texas, he sadly passed with everyone (expect me, i had to leave to go pick up my siblings from school/daycare) in the room. I cant stop crying and i feel so awful and seeing my grandparents cry made it worse. if there is any support groups, things to make it easier, or just funny stories to share you have please do. thank you.</t>
        </is>
      </c>
      <c r="D5617" t="n">
        <v>1</v>
      </c>
      <c r="E5617" t="n">
        <v>4</v>
      </c>
      <c r="F5617">
        <f>HYPERLINK("https://www.reddit.com/r/cancer/comments/dol9fi/support_for_cancer_loss/")</f>
        <v/>
      </c>
      <c r="G5617" t="inlineStr">
        <is>
          <t>2019-10-28 22:02:42</t>
        </is>
      </c>
      <c r="H5617" t="inlineStr"/>
    </row>
    <row r="5618">
      <c r="A5618" t="inlineStr">
        <is>
          <t>dolpfl</t>
        </is>
      </c>
      <c r="B5618" t="inlineStr">
        <is>
          <t>How to best support a recently diagnosed loved one?</t>
        </is>
      </c>
      <c r="C5618" t="inlineStr">
        <is>
          <t>My uncle was recently diagnosed with a grade 4 glioblastoma, and we’re all obviously devastated. He’s quite a bit younger than my mom and had dealt with some troubles in the past, but he now has a wonderful wife and 1 year old daughter. He’s a very kind and thoughtful person who’s trying to stay positive, but he’s also pretty reserved, and I want to give him the best support possible without overwhelming him or making him feel uncomfortable. What’s the best thing someone has done for you before/during/after your treatment, and/or what do you wish people had done more of?</t>
        </is>
      </c>
      <c r="D5618" t="n">
        <v>2</v>
      </c>
      <c r="E5618" t="n">
        <v>6</v>
      </c>
      <c r="F5618">
        <f>HYPERLINK("https://www.reddit.com/r/cancer/comments/dolpfl/how_to_best_support_a_recently_diagnosed_loved_one/")</f>
        <v/>
      </c>
      <c r="G5618" t="inlineStr">
        <is>
          <t>2019-10-28 22:54:32</t>
        </is>
      </c>
      <c r="H5618" t="inlineStr"/>
    </row>
    <row r="5619">
      <c r="A5619" t="inlineStr">
        <is>
          <t>domd3j</t>
        </is>
      </c>
      <c r="B5619" t="inlineStr">
        <is>
          <t>Repost</t>
        </is>
      </c>
      <c r="C5619" t="inlineStr">
        <is>
          <t>Posted this on another sub so, just gonna repost here. 
Sorry
I’m sorry if this is the wrong place to post this and I’m sorry that this has nothing to do with this page but I just need to talk. I found out tonight that my grandma has stage 4 progressive liver failure/disease. She’s 75 and still works a 9-5 job and lives on her own, is the sweetest and most supportive person I know in my life. She’s the only grandparent I have in my life that I keep in contact with and that is in my daily life and I don’t know how to feel. She’s known for 2 months and was scared to tell anyone because she thought it wasn’t that important and didn’t want to worry anyone... and it breaks my heart knowing she feels like that. She was one of the only people to help me when I was 17 and moved from Washington out of my parents house, when I didn’t have a job or a place to live or any income at all. She was the one that let me constantly use her car when I was learning how to drive, she was the one that paid for my license when I finally took the test, she was the one that cried and cheered me on when I came back and told her that I passed my drivers test with flying colors. She’s the person that has been here through everything in my life and now I don’t know how much longer I have left with her. I’m scared that I won’t know what to do or say to her or how to say anything to her. I’m scared that I will be to late to tell her how much she means to me.. I’m scared that I will lose her to early. I’m sorry for posting this here, I know it’s not the right place but I just want to talk. Im sorry</t>
        </is>
      </c>
      <c r="D5619" t="n">
        <v>0</v>
      </c>
      <c r="E5619" t="n">
        <v>0</v>
      </c>
      <c r="F5619">
        <f>HYPERLINK("https://www.reddit.com/r/cancer/comments/domd3j/repost/")</f>
        <v/>
      </c>
      <c r="G5619" t="inlineStr">
        <is>
          <t>2019-10-29 00:17:29</t>
        </is>
      </c>
      <c r="H5619" t="inlineStr"/>
    </row>
    <row r="5620">
      <c r="A5620" t="inlineStr">
        <is>
          <t>domi4x</t>
        </is>
      </c>
      <c r="B5620" t="inlineStr">
        <is>
          <t>Colorectal cancer</t>
        </is>
      </c>
      <c r="C5620" t="inlineStr">
        <is>
          <t>Dear friends, a friend of mine an year ago was diagnosed a colorectal cancer, the clinic has always given him painkillers and various treatments, of which I am not aware, it goes on like this for a few months, until the clinic tells him that he had two types of treatments available, chemo or another choice which I don't remember, he chose the second option.  The places where it was available in quick times was Morocco. In mid-July he flight for Morocco, once arrived he told me that from the next day he would have joined in this specialized clinic and that the connection (internet) wasn't available and he probably could not have written to me.  Since that day I haven't heard from him, exactly 3 months have passed since today ... I am very worried... it is possible that this treatment (whatever it may be) may last so long that you have to stay in the clinic for so long, it is likely that over this treatment a surgery has been included?
I'm in pieces and worried...
Thank you all for any response</t>
        </is>
      </c>
      <c r="D5620" t="n">
        <v>8</v>
      </c>
      <c r="E5620" t="n">
        <v>8</v>
      </c>
      <c r="F5620">
        <f>HYPERLINK("https://www.reddit.com/r/cancer/comments/domi4x/colorectal_cancer/")</f>
        <v/>
      </c>
      <c r="G5620" t="inlineStr">
        <is>
          <t>2019-10-29 00:36:28</t>
        </is>
      </c>
      <c r="H5620" t="inlineStr"/>
    </row>
    <row r="5621">
      <c r="A5621" t="inlineStr">
        <is>
          <t>donwqs</t>
        </is>
      </c>
      <c r="B5621" t="inlineStr">
        <is>
          <t>Sore should lead to lymphoma</t>
        </is>
      </c>
      <c r="C5621" t="inlineStr">
        <is>
          <t>So my partners Mum was diagnosed with stage 4 non-Hodgkin lymphoma. Oddly enough she had a sore shoulder for about 6 months, now she always had scans of her chest up and waste down. Turns out when she had her first abdominal scan they found a tumour around 80mm by 50mm on the back of her liver which was pinching a nerve in her back leading to her shoulder.
She went for her first MRI after the first round of chemo treatment and it has spread to her brain and around her stomach.
I’m doing my best to help my Partner get through it as she works as a nurse in an oncology ward and she knows the outcome. And now she seems to get angry whenever I try to say things like we have to keep our fingers crossed and she’ll be ok
What else can I do? Not just to support her Mum but her family too?</t>
        </is>
      </c>
      <c r="D5621" t="n">
        <v>10</v>
      </c>
      <c r="E5621" t="n">
        <v>6</v>
      </c>
      <c r="F5621">
        <f>HYPERLINK("https://www.reddit.com/r/cancer/comments/donwqs/sore_should_lead_to_lymphoma/")</f>
        <v/>
      </c>
      <c r="G5621" t="inlineStr">
        <is>
          <t>2019-10-29 03:25:45</t>
        </is>
      </c>
      <c r="H5621" t="inlineStr"/>
    </row>
    <row r="5622">
      <c r="A5622" t="inlineStr">
        <is>
          <t>donwvt</t>
        </is>
      </c>
      <c r="B5622" t="inlineStr">
        <is>
          <t>immunotherapy experience</t>
        </is>
      </c>
      <c r="C5622" t="inlineStr">
        <is>
          <t>Hello everyone, reluctantly I am forced to make this post.  My mom proposed this cure for her Triple negative, does anyone have experience with this cure? Thanks.</t>
        </is>
      </c>
      <c r="D5622" t="n">
        <v>5</v>
      </c>
      <c r="E5622" t="n">
        <v>4</v>
      </c>
      <c r="F5622">
        <f>HYPERLINK("https://www.reddit.com/r/cancer/comments/donwvt/immunotherapy_experience/")</f>
        <v/>
      </c>
      <c r="G5622" t="inlineStr">
        <is>
          <t>2019-10-29 03:26:14</t>
        </is>
      </c>
      <c r="H5622" t="inlineStr"/>
    </row>
    <row r="5623">
      <c r="A5623" t="inlineStr">
        <is>
          <t>donxlb</t>
        </is>
      </c>
      <c r="B5623" t="inlineStr">
        <is>
          <t>What should I say and do to help my dad feel more optimistic and less worried about his cancer diagnosis?</t>
        </is>
      </c>
      <c r="C5623" t="inlineStr">
        <is>
          <t>My dad is 72, recently found out he has stage T2 (intermediary) prostate cancer. Thankfully it hasn't spread beyond the prostate. We've talked with 2 different oncologists and both said that the best option is to do a prostatectomy. 
He has been so afflicted since he found out he has cancer and sometimes I don't know what else to say or do to make him feel better...
He's a VERY religious person. And although I'm an atheist (unbeknownst to him), here are some things I use to tell him: "Have faith in God and it'll all work out", "It's a miracle that it hasn't spread to other organs, so you can see that God is always on your side" and "Don't get discouraged. Medicine is really advanced nowadays". 
He also goes to the church almost everyday and after the diagnosis, I've been trying to go with him whenever I can. He feels so glad for it, and it's the cutest thing ever. Not gonna lie, I do feel really bad because I'm being fake, but talking about God and how he can cure and perform miracles is the ONLY thing that makes him feel calmer and more optimistic. 
Problem is, every now and again, especially after a medical appointment, I catch him staring off into the distance with sad eyes, or lying awake on the sofa for hours on end doing nothing. And it is just so, so heartbreaking! 
What else can I say and do to help him through this rough patch?
Sorry for the long text, and thank you so much</t>
        </is>
      </c>
      <c r="D5623" t="n">
        <v>1</v>
      </c>
      <c r="E5623" t="n">
        <v>0</v>
      </c>
      <c r="F5623">
        <f>HYPERLINK("https://www.reddit.com/r/cancer/comments/donxlb/what_should_i_say_and_do_to_help_my_dad_feel_more/")</f>
        <v/>
      </c>
      <c r="G5623" t="inlineStr">
        <is>
          <t>2019-10-29 03:28:25</t>
        </is>
      </c>
      <c r="H5623" t="inlineStr"/>
    </row>
    <row r="5624">
      <c r="A5624" t="inlineStr">
        <is>
          <t>doo2k2</t>
        </is>
      </c>
      <c r="B5624" t="inlineStr">
        <is>
          <t>What can I say and do to help my dad feel more optimistic and less worried about his cancer diagnosis?</t>
        </is>
      </c>
      <c r="C5624" t="inlineStr">
        <is>
          <t>My dad is 72, recently found out he has stage T2 (intermediary) prostate cancer. Thankfully it hasn't spread beyond the prostate. We've talked with 2 different oncologists and both said that the best option is to do a prostatectomy. 
He has been so afflicted since he found out he has cancer and sometimes I don't know what else to say or do to make him feel better...
He's a VERY religious person. And although I'm an atheist (unbeknownst to him), here are some things I use to tell him: "Have faith in God and it'll all work out", "It's a miracle that it hasn't spread to other organs, so you can see that God is always on your side" and "Don't get discouraged. Medicine is really advanced nowadays". 
He also goes to the church almost everyday and after the diagnosis, I've been trying to go with him whenever I can. He feels so glad for it, and it's the cutest thing ever. Not gonna lie, I do feel really bad because I'm being fake, but talking about God and how he can cure and perform miracles is the ONLY thing that makes him feel calmer and more optimistic. 
Problem is, every now and again, especially after a medical appointment, I catch him staring off into the distance with sad eyes, or lying awake on the sofa for hours on end doing nothing. And it is just so, so heartbreaking! 
What else can I say and do to help him through this rough patch?
Sorry for the long text, and thank you so much</t>
        </is>
      </c>
      <c r="D5624" t="n">
        <v>1</v>
      </c>
      <c r="E5624" t="n">
        <v>0</v>
      </c>
      <c r="F5624">
        <f>HYPERLINK("https://www.reddit.com/r/cancer/comments/doo2k2/what_can_i_say_and_do_to_help_my_dad_feel_more/")</f>
        <v/>
      </c>
      <c r="G5624" t="inlineStr">
        <is>
          <t>2019-10-29 03:44:56</t>
        </is>
      </c>
      <c r="H5624" t="inlineStr"/>
    </row>
    <row r="5625">
      <c r="A5625" t="inlineStr">
        <is>
          <t>dopdko</t>
        </is>
      </c>
      <c r="B5625" t="inlineStr">
        <is>
          <t>Am I normal person sick or cancer person sick?</t>
        </is>
      </c>
      <c r="C5625" t="inlineStr">
        <is>
          <t>I was diagnosed with stage 2 invasive lobular carcinoma (breast cancer, really) in September. This is a recurrence of cancer I had in 2016. 
Since probalby June, I've felt sick. Not stay in bed, stay home from work sick, but just unwell. My lymph nodes have been swollen, I've had a sore throat and I've felt super run down, to the point that I'm taking a nap most evenings after work and then going to bed by 9 PM and still feeling totally wiped out by 2 the next day. 
I have no idea if this is related to the cancer or not - my GP says maybe, my oncologist says probably not. Has anyone else ever had this? And does it go away when you've had the cancer removed? Because I cannot keep going like this. I have a job and I'm the single parent of two teenagers, and I have Shit To Get Done.</t>
        </is>
      </c>
      <c r="D5625" t="n">
        <v>5</v>
      </c>
      <c r="E5625" t="n">
        <v>5</v>
      </c>
      <c r="F5625">
        <f>HYPERLINK("https://www.reddit.com/r/cancer/comments/dopdko/am_i_normal_person_sick_or_cancer_person_sick/")</f>
        <v/>
      </c>
      <c r="G5625" t="inlineStr">
        <is>
          <t>2019-10-29 05:54:00</t>
        </is>
      </c>
      <c r="H5625" t="inlineStr"/>
    </row>
    <row r="5626">
      <c r="A5626" t="inlineStr">
        <is>
          <t>dorwy9</t>
        </is>
      </c>
      <c r="B5626" t="inlineStr">
        <is>
          <t>I have a tumour at 16. Please help.</t>
        </is>
      </c>
      <c r="C5626" t="inlineStr">
        <is>
          <t>Hi. I am a 16 year old girl.
Some months ago I noticed a lump in my chest. I didn't think too much of it and just ignored it. Yeah stupid I know.
But it didn't hurt or inconvenience me in any way so I just didn't care. 
My mum however did care. She quickly got me to go to the gynecologist. 
There I got an ultrasound and turns out that there were 3 lumps in my left breast.
She told me it could be a fibroadenoma.
Fibroadenoma.
In other words, a tumour.
My doc told me that she couldn't tell from the ultrasound and wasn't sure. Therefore she told me to go to a clinic that specializes in this. 
She also told me that she never had a patient my age with Fibroadenoma before (yep, totally didn't help to ease my mind, thanks alot doc) and that I should try to get an appointment as soon as possible at this clinic.
When I heard the word tumour, I just blacked out and cried for an hour. 
I am just 16. 
The doc didn't explain alot so I have no idea what to expect.
It started maybe a week ago but I noticed a sharp pain at times in my left breast. It doesn't last for long so I wasn't even sure if I didn't imagine things.
I have an appointment for next week. 
Can Someone maybe help ease my mind and explain what this exactly is?? It would really help.</t>
        </is>
      </c>
      <c r="D5626" t="n">
        <v>38</v>
      </c>
      <c r="E5626" t="n">
        <v>19</v>
      </c>
      <c r="F5626">
        <f>HYPERLINK("https://www.reddit.com/r/cancer/comments/dorwy9/i_have_a_tumour_at_16_please_help/")</f>
        <v/>
      </c>
      <c r="G5626" t="inlineStr">
        <is>
          <t>2019-10-29 09:04:45</t>
        </is>
      </c>
      <c r="H5626" t="inlineStr"/>
    </row>
    <row r="5627">
      <c r="A5627" t="inlineStr">
        <is>
          <t>dotc5b</t>
        </is>
      </c>
      <c r="B5627" t="inlineStr">
        <is>
          <t>Cancer &amp;amp; Love</t>
        </is>
      </c>
      <c r="C5627" t="inlineStr">
        <is>
          <t>I think everyone’s way of perceiving or defining love is different. In my eyes,  what I am about to share with you is a heart break &amp;amp; true love.
My aunt got diagnosed with terminal lung and brain cancer. Over the time of her illness, her husband did not leave her side once. He remained in her loving arms and truly took care of her with absolute love and admiration. Showing someone genuine love when they are going through such a tough time. I think that’s the most important deed of all, and this has truly changed my outlook on life &amp;amp; love forever. 
I’ve never witnessed something take over the human body so quickly and completely terminate a human. My aunt passed away yesterday from lung cancer. Through out her entire journey she never stopped her daily routines. She cooked for hours went on daily walks with my uncle. It’s like, she knew she was extremely sick but didn’t let that stop her or get in the way of her life. We would take her to doctor visits and she would say that she feels ok. She never wanted to believe she was sick. She was so strong and never gave up the fight. Until her last month where she couldn't walk anymore, she could barely speak or catch her breath. 
One thing I came to realize is that my uncle stayed sleeping next to her every single night taking care of her , holding her hand trying to feed her , giving her water and trying to soothe her. Whenever you looked at him you could see his crystal blue eyes watering and the pain they held was unbearable. I’ve never seen a love so strong between a woman and a man. He admired her with his entire being. 
On her last 2 days the doctors said that they couldn't even find her veins anymore to give her fluids and medicine because they had sunken in so deep. The cancer at this point had taken over her brain, her lungs, her stomach. It was eating her away.
The doctors all came in and you can see in their eyes that it wasn't good news. They said there's nothing more they can do and that her body won't take any medicine. So the last option was to give her morphine through her mouth so that she can be calm and at peace. So she wouldn't endure any pain. Her daughter came and ran to me screaming crying on top of her lungs begging for her mom to stay alive. I could only imagine how broken she is , how her heart must be shattered into a million pieces.  I hugged her as hard as I could and didn't let go. I can't imagine what it feels like to have to let go of someone who is apart of you , someone who protected you and someone you loved and never thought anything would happen to.
My aunt had not passed away yet. We all surround the hospital bed watching my aunt struggling to take her last breaths on this earth. My cousin ( her daughter) kept on hugging her and holding her hand. She was trying to talk to her because the doctors said my aunt  could still hear us. We all tried calling out for her and talking to her. But hearing her daughter &amp;amp; husband calling out for was absolutely heart breaking. My aunt passed away that day. 
5 months later, my uncle had fallen into
a deep depression. He was so extremely depressed that his partner had passed. I remember talking to him about her and he said to me one night. “I miss taking walks with her, I miss falling asleep with her, I miss taking care of her &amp;amp; I miss growing old with her.” Tears came to my eyes, I didn’t even know what to say all I could do was hug him. 
One day we got a call from the hospital, my uncle had been taken in. He was sent to immediate surgery for his heart. Before surgery he said to my mom and I ; 
“ if I don’t make it, don’t be sad. Know that I am at peace and happy to be with my wife. I can not live without her anymore.”  
6 hours later - the doctors came out and my uncle had passed. 
My heart was broken, I fell to the ground crying my eyes out because I couldn’t bear the thought of how he died of a broken heart. But then I remembered what he said, looked up at my mom and told her that he was happy. 
This is the utmost strongest form of love I’ve ever seen in my life. 
The body - 
My aunt passed away September 15 2017 at 6:00pm. Her daughter, her son and my mom where in the room with her. My mom said that right before she died, she opened her eyes and her son and daughter got up by her side to talk to her. And then her heart stopped. 
I was outside at the time, I walked up stairs terrified at what I'm about to see. When I walked in I saw my cousin screaming crying on top of her mom. I walked up next to my aunt and it didn't feel like she was gone. I felt like she was sleeping and we where just waiting for her to wake up and open her eyes. 
Time passed and we where all outside waiting for the mosque to pick up her body. My mom and I went upstairs to see her one last time. At this point her skin was as pale as snow and as cold as ice. Her hands where so frozen we couldn't even move them. I couldn't believe that yesterday she was here talking to all of us and today she was gone, faded.</t>
        </is>
      </c>
      <c r="D5627" t="n">
        <v>1</v>
      </c>
      <c r="E5627" t="n">
        <v>0</v>
      </c>
      <c r="F5627">
        <f>HYPERLINK("https://www.reddit.com/r/cancer/comments/dotc5b/cancer_love/")</f>
        <v/>
      </c>
      <c r="G5627" t="inlineStr">
        <is>
          <t>2019-10-29 10:45:33</t>
        </is>
      </c>
      <c r="H5627" t="inlineStr"/>
    </row>
    <row r="5628">
      <c r="A5628" t="inlineStr">
        <is>
          <t>doukze</t>
        </is>
      </c>
      <c r="B5628" t="inlineStr">
        <is>
          <t>Seeing Dermatologist tomorrow</t>
        </is>
      </c>
      <c r="C5628" t="inlineStr">
        <is>
          <t>Diagnosed myself today, looks like early melanoma, dont.know how deep it is.. the spot was there for min two weeks, dont know why i ignored. now terrified completely, im studying abroad, parents and brother back home. Afraid to tell them. Although i feel i should tell.my.brother. parents are too old for this i feel.  Friends here are close but im afraid too new to bother  But i dont know what to do next, how to plan, etc. Cant believe this is happening. Please help I wont sleep tonight.</t>
        </is>
      </c>
      <c r="D5628" t="n">
        <v>1</v>
      </c>
      <c r="E5628" t="n">
        <v>8</v>
      </c>
      <c r="F5628">
        <f>HYPERLINK("https://www.reddit.com/r/cancer/comments/doukze/seeing_dermatologist_tomorrow/")</f>
        <v/>
      </c>
      <c r="G5628" t="inlineStr">
        <is>
          <t>2019-10-29 12:11:51</t>
        </is>
      </c>
      <c r="H5628" t="inlineStr"/>
    </row>
    <row r="5629">
      <c r="A5629" t="inlineStr">
        <is>
          <t>dow2pn</t>
        </is>
      </c>
      <c r="B5629" t="inlineStr">
        <is>
          <t>CEA Question</t>
        </is>
      </c>
      <c r="C5629" t="inlineStr">
        <is>
          <t>I had stage 3b Colon Cancer. (Tumor and one lympthnode involvement) before I had the surgery and when cancer was still active my CEA was 8.9. After the surgery it went to 3... During 6 months of Folfox it was mostly 2 and then during the last treatment it was 1. I got a clear NED CT after treatment and its been three months. I went for follow-up bloodwork today and its a 3 now. Of course this is normal but still elevated from where it was. Should I be concerned? Is there anyone who has gone through FolFox that has had something similar ?  Just looking for support :)</t>
        </is>
      </c>
      <c r="D5629" t="n">
        <v>3</v>
      </c>
      <c r="E5629" t="n">
        <v>12</v>
      </c>
      <c r="F5629">
        <f>HYPERLINK("https://www.reddit.com/r/cancer/comments/dow2pn/cea_question/")</f>
        <v/>
      </c>
      <c r="G5629" t="inlineStr">
        <is>
          <t>2019-10-29 13:53:40</t>
        </is>
      </c>
      <c r="H5629" t="inlineStr"/>
    </row>
    <row r="5630">
      <c r="A5630" t="inlineStr">
        <is>
          <t>dox10g</t>
        </is>
      </c>
      <c r="B5630" t="inlineStr">
        <is>
          <t>Starting my treatment next week</t>
        </is>
      </c>
      <c r="C5630" t="inlineStr">
        <is>
          <t>Hi to everyone, I am F37 , no children.
I've been diagnosed with cancer stage 2 , Uterine cancer. The last two months ware like hell of uncertainty and fear. Now I have the answers and can start to try to accept what is happening to me. They say it can't be operated and will have to do chemo-radiation treatment.
 I've been hospitalized today , tomorrow I will have surgery to try and save one of my ovaries and hopefully to be eable to have children. Well not me , but with help of surrogacy.
Next week I will start the treatment . The therapy program is for 6 weeks - 5 days a week and after that a nother 5 weeks once a week this is the radiation treatment. For the chemotherapy it will be for these 11 weeks - once a week. 
Now I'm in the hospital, in the bed, getting ready for my new life . Baby steps and I'll get past this. So many changes so fast . So many things that I have on my mind, regrets, hopes, fears . I want to get on with this and finish hopefully wining. 
Sorry for the poor English where I'm from it is 10pm now :)</t>
        </is>
      </c>
      <c r="D5630" t="n">
        <v>9</v>
      </c>
      <c r="E5630" t="n">
        <v>5</v>
      </c>
      <c r="F5630">
        <f>HYPERLINK("https://www.reddit.com/r/cancer/comments/dox10g/starting_my_treatment_next_week/")</f>
        <v/>
      </c>
      <c r="G5630" t="inlineStr">
        <is>
          <t>2019-10-29 14:59:14</t>
        </is>
      </c>
      <c r="H5630" t="inlineStr"/>
    </row>
    <row r="5631">
      <c r="A5631" t="inlineStr">
        <is>
          <t>doy11m</t>
        </is>
      </c>
      <c r="B5631" t="inlineStr">
        <is>
          <t>So it’s confirmed</t>
        </is>
      </c>
      <c r="C5631" t="inlineStr">
        <is>
          <t>My mom got her PET scan results today and they said that it’s in her liver, stomach, pancreas, lung and bones. 
Needless to say I am completely devastated. 
I’m scared for my mom with everything in my being.</t>
        </is>
      </c>
      <c r="D5631" t="n">
        <v>11</v>
      </c>
      <c r="E5631" t="n">
        <v>11</v>
      </c>
      <c r="F5631">
        <f>HYPERLINK("https://www.reddit.com/r/cancer/comments/doy11m/so_its_confirmed/")</f>
        <v/>
      </c>
      <c r="G5631" t="inlineStr">
        <is>
          <t>2019-10-29 16:09:41</t>
        </is>
      </c>
      <c r="H5631" t="inlineStr"/>
    </row>
    <row r="5632">
      <c r="A5632" t="inlineStr">
        <is>
          <t>doy7oh</t>
        </is>
      </c>
      <c r="B5632" t="inlineStr">
        <is>
          <t>How do I best support my friend and colleague as she goes through chemo?</t>
        </is>
      </c>
      <c r="C5632" t="inlineStr">
        <is>
          <t>My friend and colleague was just diagnosed with breast cancer a few weeks ago.
They've done surgery twice (the first time to remove the tumor the second time to remove more tissue) and they plan on starting chemo in two weeks or so.
We've already set up dinners and I've been checking in with her, but she's... not doing well emotionally. I don't know how else to support her, but when chemo starts, how else can I help?
We are teacher so I'm not sure if she will get a substitute or take off, but either way I can help her with this, but I;m not sure how else.
I guess the question is... what do you wish your colleagues and friends did for you or what did they do that helped you feel better emotionally?</t>
        </is>
      </c>
      <c r="D5632" t="n">
        <v>3</v>
      </c>
      <c r="E5632" t="n">
        <v>5</v>
      </c>
      <c r="F5632">
        <f>HYPERLINK("https://www.reddit.com/r/cancer/comments/doy7oh/how_do_i_best_support_my_friend_and_colleague_as/")</f>
        <v/>
      </c>
      <c r="G5632" t="inlineStr">
        <is>
          <t>2019-10-29 16:23:49</t>
        </is>
      </c>
      <c r="H5632" t="inlineStr"/>
    </row>
    <row r="5633">
      <c r="A5633" t="inlineStr">
        <is>
          <t>doyt09</t>
        </is>
      </c>
      <c r="B5633" t="inlineStr">
        <is>
          <t>Im at a loss.</t>
        </is>
      </c>
      <c r="C5633" t="inlineStr">
        <is>
          <t>Im sitting outside of my parents house right now, tasked with breaking the news to my mother that my father will be starting hospice. 
His last hospitalization had doctors starting to ask whether we started looking into hospice. Both my parents refused after the doctors clarified that chemo would no longer be an option  if he was in hospice. So they went with palliative. 
His first in home visit today went as expected; the doctor clarifying that the doctors were low key recommending hospice at this point. 
We were all confused, my dad especially. All his oncology visits, his doctors, care takers, it’s like they tip toed around telling us that we basically have to start considering end of life care now. 
Communication issues like these are why I wonder if we made the right choice keeping my dad at his current hospital. Part of me also wonders if it would have mattered, if this was a death sentence since the beginning anyway. 
My dad says he hates the idea of hospice because he feels like he’s going out without a fight. My mother still has hope that he can recover and continue treatment. 
I don’t know how to break this news to her, because I feel like deep, deep down, we’ve given up and have accepted what will come. I feel like a coward for it. To have to tell my mom that he has to go into hospice, and tip toe around the inevitable just like the doctors have done with us. 
Sorry for the any mistakes, I’m on mobile and needed to vent.</t>
        </is>
      </c>
      <c r="D5633" t="n">
        <v>5</v>
      </c>
      <c r="E5633" t="n">
        <v>11</v>
      </c>
      <c r="F5633">
        <f>HYPERLINK("https://www.reddit.com/r/cancer/comments/doyt09/im_at_a_loss/")</f>
        <v/>
      </c>
      <c r="G5633" t="inlineStr">
        <is>
          <t>2019-10-29 17:09:03</t>
        </is>
      </c>
      <c r="H5633" t="inlineStr"/>
    </row>
    <row r="5634">
      <c r="A5634" t="inlineStr">
        <is>
          <t>dozn7o</t>
        </is>
      </c>
      <c r="B5634" t="inlineStr">
        <is>
          <t>No</t>
        </is>
      </c>
      <c r="C5634" t="inlineStr">
        <is>
          <t>No, brother of mine, who  lives 1,776 miles away and visits once every two years, getting mom up and exercising more will not make everything better. No husband and dad, she hasn't given up. Wtf. Stop saying she needs to fight. And stop complaining that she has given up. Because she hasn't. She has choosen to live and die on her own terms. Have you forgotten the last 8 years in which she had two different types of breast cancer, the subsequent reoccurrence, the bowel removal, the CLL, and, yes, now, end stage heart failure. I'm so sick of all you complaining that she isn't fighting enough. Fuck you. She has fought. And she is fighting to live what time there is on her own terms. Not yours. Get over it.</t>
        </is>
      </c>
      <c r="D5634" t="n">
        <v>1</v>
      </c>
      <c r="E5634" t="n">
        <v>0</v>
      </c>
      <c r="F5634">
        <f>HYPERLINK("https://www.reddit.com/r/cancer/comments/dozn7o/no/")</f>
        <v/>
      </c>
      <c r="G5634" t="inlineStr">
        <is>
          <t>2019-10-29 18:12:23</t>
        </is>
      </c>
      <c r="H5634" t="inlineStr"/>
    </row>
    <row r="5635">
      <c r="A5635" t="inlineStr">
        <is>
          <t>dp0jog</t>
        </is>
      </c>
      <c r="B5635" t="inlineStr">
        <is>
          <t>I'm worried the cancer might be back.</t>
        </is>
      </c>
      <c r="C5635" t="inlineStr">
        <is>
          <t>About a year ago today, my mom was diagnosed with colorectal cancer.  She went in for treatment from December 2018 to February 2019. In May of 2019 she came back with a clean bill of health.  Because my family can fortunately afford health insurance, my mom goes to the doctor pretty regularly. Just last week she went in for a pap smear, which came back abnormal. More abnormal than usual. Her gynecologist told her: "given your medical history, we're going to ask that you come back in sooner than later". My family can't live this nightmare over again.  Please don't let it be cancer.</t>
        </is>
      </c>
      <c r="D5635" t="n">
        <v>5</v>
      </c>
      <c r="E5635" t="n">
        <v>2</v>
      </c>
      <c r="F5635">
        <f>HYPERLINK("https://www.reddit.com/r/cancer/comments/dp0jog/im_worried_the_cancer_might_be_back/")</f>
        <v/>
      </c>
      <c r="G5635" t="inlineStr">
        <is>
          <t>2019-10-29 19:24:22</t>
        </is>
      </c>
      <c r="H5635" t="inlineStr"/>
    </row>
    <row r="5636">
      <c r="A5636" t="inlineStr">
        <is>
          <t>dp1wna</t>
        </is>
      </c>
      <c r="B5636" t="inlineStr">
        <is>
          <t>Suggestions on what to put in a gift basket?</t>
        </is>
      </c>
      <c r="C5636" t="inlineStr">
        <is>
          <t>My mom was diagnosed with stage 4 CRC in the second week of September. After her first round of chemo two weeks ago, she came home slightly sensitive to cold things. Today she had her second round of chemo and came home VERY sensitive to cold things.  Even room temperature drinks are too much for her.  
Since the first round she has been drinking a lot of tea. She has always been a coffee drinker but now it makes her feel shaky. So tea it is! Only today I noticed she only has chamomile. I asked her if she would like to try anything else and she said absolutely she’s getting bored or chamomile. So I’m going to buy her some variety but while thinking about it, I thought it would be fun to make her a Tea advent calendar! 
So, as I start putting together yummy teas I find this month I would also like to make a basket to go with it! What would you have liked to receive in a gift basket? Did you have a favorite pair of gloves? Or anything specific that you needed or loved?
Any suggestions are welcomed!!!</t>
        </is>
      </c>
      <c r="D5636" t="n">
        <v>4</v>
      </c>
      <c r="E5636" t="n">
        <v>17</v>
      </c>
      <c r="F5636">
        <f>HYPERLINK("https://www.reddit.com/r/cancer/comments/dp1wna/suggestions_on_what_to_put_in_a_gift_basket/")</f>
        <v/>
      </c>
      <c r="G5636" t="inlineStr">
        <is>
          <t>2019-10-29 21:28:23</t>
        </is>
      </c>
      <c r="H5636" t="inlineStr"/>
    </row>
    <row r="5637">
      <c r="A5637" t="inlineStr">
        <is>
          <t>dp218f</t>
        </is>
      </c>
      <c r="B5637" t="inlineStr">
        <is>
          <t>Dad has throat cancer (4x)</t>
        </is>
      </c>
      <c r="C5637" t="inlineStr">
        <is>
          <t>Can’t remember what it’s called and I don’t want to look any more into it makes me sad. My dad now has gotten cancer for the 4th time. This time I am 20, in college (not far from home), and I can see the truth of this. The first three times it was “My dad has cancer but it’s not bad” because I never truly understood a lot of it. This time it is the worst and I experienced one of the worst days. He now had a tracheotomy done and he has a feeding tube. It pains me so much to see him have to write things when he has always been a talker and has lived his life through talking. I’ve cried so many times today and I’m scared for him and myself. He’s getting chemo for the 4th time i guess now and I just hope it goes well. My dad has never been into things like entertainment, sports, or anything else. He likes talking about politics and other more serious things. What should I do to make it better for him? I will most likely be going to the hospital everyday this week. Is it bad if I don’t go one day? I go to a college that is an hour from the hospital and my actual house is about 30 minutes from the college. Will he understand that I can not make it there everyday? Also he is scheduled to come back home Sunday and he will have chemo for the next 7 weeks and i suppose after the cancer has reduced or been removed he will have the trach removed. I’ve never seen him look this depressed and upset and he wanted to cry I could see it. What stood out the most to me was that whenever i’m at the hospital for him he’s watching the news, this time he couldn’t stand to watch it or any TV for that matter. What I remember him writing on his paper was “I want to see you guys all laughing and enjoying yourselves”. I just need help i’m scared. Please don’t post anything negative or sad.</t>
        </is>
      </c>
      <c r="D5637" t="n">
        <v>3</v>
      </c>
      <c r="E5637" t="n">
        <v>2</v>
      </c>
      <c r="F5637">
        <f>HYPERLINK("https://www.reddit.com/r/cancer/comments/dp218f/dad_has_throat_cancer_4x/")</f>
        <v/>
      </c>
      <c r="G5637" t="inlineStr">
        <is>
          <t>2019-10-29 21:42:10</t>
        </is>
      </c>
      <c r="H5637" t="inlineStr"/>
    </row>
    <row r="5638">
      <c r="A5638" t="inlineStr">
        <is>
          <t>dp42tx</t>
        </is>
      </c>
      <c r="B5638" t="inlineStr">
        <is>
          <t>Talking about it (venting mostly but would like to hear of your opinions and experiences)</t>
        </is>
      </c>
      <c r="C5638" t="inlineStr">
        <is>
          <t>Does anyone else feel weirdly averse to mentioning their diagnosis? I am quite young and don't look much different to anyone else my age as long as my arms and chest are completely covered (which they always are). Cancer seems so big and scary and taboo that I always feel bad if I ever mention it and I don't want to be seen or treated any differently to anyone else but in reality, recently I have needed more leeway. I try to act like it doesn't affect my life too much but it does. I don't ever want to seem sick but recently have been wondering why I don't want anyone to think anything is wrong with me when it's just reality and I can't help it. I have been having issues recently that mean I will have people from the hospice and hospital with me at home until I am starting to do better and that means telling people who I have meetings with that I have support with me. I think it's a matter of shame as I just want to be normal and not need so much help. I hate the attention you get if people know you are this unwell. I just want to be as strong and energetic as I used to be but now I feel fragile and vulnerable all the time and ashamed of the amount of other people's time and energy I need to take up just to function.</t>
        </is>
      </c>
      <c r="D5638" t="n">
        <v>2</v>
      </c>
      <c r="E5638" t="n">
        <v>13</v>
      </c>
      <c r="F5638">
        <f>HYPERLINK("https://www.reddit.com/r/cancer/comments/dp42tx/talking_about_it_venting_mostly_but_would_like_to/")</f>
        <v/>
      </c>
      <c r="G5638" t="inlineStr">
        <is>
          <t>2019-10-30 01:55:24</t>
        </is>
      </c>
      <c r="H5638" t="inlineStr"/>
    </row>
    <row r="5639">
      <c r="A5639" t="inlineStr">
        <is>
          <t>dp5u2b</t>
        </is>
      </c>
      <c r="B5639" t="inlineStr">
        <is>
          <t>How can social networks improve cancer patients mental health?</t>
        </is>
      </c>
      <c r="C5639" t="inlineStr">
        <is>
          <t>Hi all, 
I'm workings as a UX Researcher for a company called War On Cancer and are now conducting a survey to get a better understanding of how social networks can be used to improve mental health for someone that has been diagnosed with cancer. We are now looking for cancer patients that have been trough treamtment for a while. The goal is to get a deeper understanding of how these networks are used today, and in what ways they have helped you as well as how they could be improved. The survey will take 7-9 minutes to complete, the responses will be anonymous and held strictly confidential, used only for our team to give us a better knowledge of how we can create a useful and usable social community app that is based on what cancer patients actually are in need of and finds valuable.
I understand this is a very personal matter and I´m grateful for all kinds of feedback regarding this topic. And if you  would like to participate in the survey I am very thankful for your help, you can find the survey through this link: 
[https://forms.gle/LbhLDmJm3yi9eu5y8](https://forms.gle/LbhLDmJm3yi9eu5y8)
Whether you want to participate or not I am very grateful for your time reading this! And whish you all the best &amp;lt;3 
If you have any questions or concerns feel free to send me a PM!</t>
        </is>
      </c>
      <c r="D5639" t="n">
        <v>0</v>
      </c>
      <c r="E5639" t="n">
        <v>1</v>
      </c>
      <c r="F5639">
        <f>HYPERLINK("https://www.reddit.com/r/cancer/comments/dp5u2b/how_can_social_networks_improve_cancer_patients/")</f>
        <v/>
      </c>
      <c r="G5639" t="inlineStr">
        <is>
          <t>2019-10-30 05:09:22</t>
        </is>
      </c>
      <c r="H5639" t="inlineStr"/>
    </row>
    <row r="5640">
      <c r="A5640" t="inlineStr">
        <is>
          <t>dp6t2m</t>
        </is>
      </c>
      <c r="B5640" t="inlineStr">
        <is>
          <t>My sister was recently diagnosed with stage 2 melanoma</t>
        </is>
      </c>
      <c r="C5640" t="inlineStr">
        <is>
          <t>Hi guys, my sister was diagnosed a couple of months ago. We are feeling very positive but there is so much jargon we are struggling to understand.  
I just got this text from her regarding a letter she received: 
“It says about a mitotic rate which is the rate the cancer cells grow at but I can’t find out if 3 is a good or bad number”
Can anyone help clarify this? I have been googling for the past hour but can’t find an answer 
Thanks everyone</t>
        </is>
      </c>
      <c r="D5640" t="n">
        <v>3</v>
      </c>
      <c r="E5640" t="n">
        <v>2</v>
      </c>
      <c r="F5640">
        <f>HYPERLINK("https://www.reddit.com/r/cancer/comments/dp6t2m/my_sister_was_recently_diagnosed_with_stage_2/")</f>
        <v/>
      </c>
      <c r="G5640" t="inlineStr">
        <is>
          <t>2019-10-30 06:34:05</t>
        </is>
      </c>
      <c r="H5640" t="inlineStr"/>
    </row>
    <row r="5641">
      <c r="A5641" t="inlineStr">
        <is>
          <t>dp7ips</t>
        </is>
      </c>
      <c r="B5641" t="inlineStr">
        <is>
          <t>Questions re: Breast cancer</t>
        </is>
      </c>
      <c r="C5641" t="inlineStr">
        <is>
          <t>I’m a recent T3 CRC survivor. I’ve had two irregular mammograms and am headed in for a biopsy Friday morning. I can’t feel a lump but there’s some sort of mass in there, apparently. 
Did anyone get diagnosed just from routine screening, without feeling anything? 
How long after the biopsy did you get your diagnosis? 
Anyone else have CRC followed by breast cancer?
I’m baffled that anything could be alive inside of me after all the chemo &amp;amp; radiation. I’m barely alive, for God’s sake.</t>
        </is>
      </c>
      <c r="D5641" t="n">
        <v>7</v>
      </c>
      <c r="E5641" t="n">
        <v>5</v>
      </c>
      <c r="F5641">
        <f>HYPERLINK("https://www.reddit.com/r/cancer/comments/dp7ips/questions_re_breast_cancer/")</f>
        <v/>
      </c>
      <c r="G5641" t="inlineStr">
        <is>
          <t>2019-10-30 07:31:31</t>
        </is>
      </c>
      <c r="H5641" t="inlineStr"/>
    </row>
    <row r="5642">
      <c r="A5642" t="inlineStr">
        <is>
          <t>dp7nzv</t>
        </is>
      </c>
      <c r="B5642" t="inlineStr">
        <is>
          <t>New to this subreddit</t>
        </is>
      </c>
      <c r="C5642" t="inlineStr">
        <is>
          <t>Hello. I figured I'd reach out for a subreddit for cancer. Im currently on my 3rd day of chemo for my 1st round. I will be doing 5 days a week, every 3 weeks, four rounds. Is there any advice for what to expect in the next weeks? I know everyone reacts differently, but so far ive had some heartburn l, but not many side effects. Some people are telling me to give it time. It will hit me</t>
        </is>
      </c>
      <c r="D5642" t="n">
        <v>5</v>
      </c>
      <c r="E5642" t="n">
        <v>3</v>
      </c>
      <c r="F5642">
        <f>HYPERLINK("https://www.reddit.com/r/cancer/comments/dp7nzv/new_to_this_subreddit/")</f>
        <v/>
      </c>
      <c r="G5642" t="inlineStr">
        <is>
          <t>2019-10-30 07:42:22</t>
        </is>
      </c>
      <c r="H5642" t="inlineStr"/>
    </row>
    <row r="5643">
      <c r="A5643" t="inlineStr">
        <is>
          <t>dp8fsc</t>
        </is>
      </c>
      <c r="B5643" t="inlineStr">
        <is>
          <t>My dad has cancer papillae duodenale</t>
        </is>
      </c>
      <c r="C5643" t="inlineStr">
        <is>
          <t>Hi, I my parents just told me that my dad might have cancer (after he went to hospital) and he will    
Probavly have to get surgery (its not 100% that he has it) and was wondering if anybody has any experiences withthis type of cancer or after he gets it removed when he has to go to khemoreapy. Like how long does khemo take, can he do everything he could do before? 
Ty</t>
        </is>
      </c>
      <c r="D5643" t="n">
        <v>3</v>
      </c>
      <c r="E5643" t="n">
        <v>2</v>
      </c>
      <c r="F5643">
        <f>HYPERLINK("https://www.reddit.com/r/cancer/comments/dp8fsc/my_dad_has_cancer_papillae_duodenale/")</f>
        <v/>
      </c>
      <c r="G5643" t="inlineStr">
        <is>
          <t>2019-10-30 08:38:52</t>
        </is>
      </c>
      <c r="H5643" t="inlineStr"/>
    </row>
    <row r="5644">
      <c r="A5644" t="inlineStr">
        <is>
          <t>dpbiub</t>
        </is>
      </c>
      <c r="B5644" t="inlineStr">
        <is>
          <t>Does anyone else feel like chemo has crippled your ability to think and remember things?</t>
        </is>
      </c>
      <c r="C5644" t="inlineStr">
        <is>
          <t>Pre- stage 4B Hodgekins Lymphoma I was about to complete my pre-law degree and start preparing for taking the LSAT. I am definitely not the person that is naturally gifted with a good memory, but with a lot of hard work I was doing pretty well academically. However a year and a half ago I started to get really sick. It was not until April (a year later) that they finally diagnosed my late stage cancer. To get to my question, has anyone else felt mentally crippled by chemo? I am unable to remember the most basic of things (such as if I showered that day/ when’s the last time I ate). I also am totally unable to follow even the most basic thought processes such as, if someone gave me instructions to take this med at this time and this other med at this time. I feel like after seven months of aggressive chemo my brain is useless and my life has been ruined. I am now positive I am in absolutely no state for law school and my bachelors degree is now all but useless. Has anyone out there had similar experiences? 
Side note- this is a wonderful community and I thank you all in advance for taking the time to read my post.</t>
        </is>
      </c>
      <c r="D5644" t="n">
        <v>47</v>
      </c>
      <c r="E5644" t="n">
        <v>43</v>
      </c>
      <c r="F5644">
        <f>HYPERLINK("https://www.reddit.com/r/cancer/comments/dpbiub/does_anyone_else_feel_like_chemo_has_crippled/")</f>
        <v/>
      </c>
      <c r="G5644" t="inlineStr">
        <is>
          <t>2019-10-30 12:31:44</t>
        </is>
      </c>
      <c r="H5644" t="inlineStr"/>
    </row>
    <row r="5645">
      <c r="A5645" t="inlineStr">
        <is>
          <t>dpbkzz</t>
        </is>
      </c>
      <c r="B5645" t="inlineStr">
        <is>
          <t>lame</t>
        </is>
      </c>
      <c r="C5645" t="inlineStr">
        <is>
          <t>Lame sauce!!</t>
        </is>
      </c>
      <c r="D5645" t="n">
        <v>0</v>
      </c>
      <c r="E5645" t="n">
        <v>0</v>
      </c>
      <c r="F5645">
        <f>HYPERLINK("https://www.reddit.com/r/cancer/comments/dpbkzz/lame/")</f>
        <v/>
      </c>
      <c r="G5645" t="inlineStr">
        <is>
          <t>2019-10-30 12:35:39</t>
        </is>
      </c>
      <c r="H5645" t="inlineStr"/>
    </row>
    <row r="5646">
      <c r="A5646" t="inlineStr">
        <is>
          <t>dpbrma</t>
        </is>
      </c>
      <c r="B5646" t="inlineStr">
        <is>
          <t>Advice for those who recently lost people to cancer</t>
        </is>
      </c>
      <c r="C5646" t="inlineStr">
        <is>
          <t>Hey! This post will be about how to somewhat deal with the death of a loved one caused by cancer.
***Personal story below then advice***
Now, in August last year someone I cared about passed away from an 8 month battle of leukaemia (Blood cancer). Now she wasn’t actually related as she was my parents friends daughter but she was like a sister. I’m only 15 and she was 20 so she basically grew up with me and she was just like a big sister.
She actually beat leukaemia and my family and theirs went on holiday to celebrate but it can back and she wasn’t so fortunate the next time round.
Surprisingly, I’ve lived a short life and quite a few people ive been close to have died but this one admittedly impacted me the most.
I cried for weeks and weeks on end and I couldn’t think about anything else but her.
For most cases when somebody dies of cancer your shocked. You think they’ll get through it and because they’re a good person they won’t die but it happens and it’s ok to be shocked.
Now, you might handle the grief in many ways. Maybe just have time alone, take your frustration out on something, have people to comfort you etc..... and regardless of what you do, give yourself time to heal.
I’d recommend just for a few days to just sometimes be alone and sit there. Think about the great times you had and even cry a bit but give yourself that space. Others constantly trying to tell you it’s ok can be frustrating so balancing being with others and being by yourself is important.
Also you can’t expect to be fully healed after a few days. You will cry and feel shocked for weeks so prepare to feel that way for a bit 
Sorry this is such a long post, just saying what I’ll thinking. Thank you for readings and have a good day :)</t>
        </is>
      </c>
      <c r="D5646" t="n">
        <v>24</v>
      </c>
      <c r="E5646" t="n">
        <v>6</v>
      </c>
      <c r="F5646">
        <f>HYPERLINK("https://www.reddit.com/r/cancer/comments/dpbrma/advice_for_those_who_recently_lost_people_to/")</f>
        <v/>
      </c>
      <c r="G5646" t="inlineStr">
        <is>
          <t>2019-10-30 12:48:34</t>
        </is>
      </c>
      <c r="H5646" t="inlineStr"/>
    </row>
    <row r="5647">
      <c r="A5647" t="inlineStr">
        <is>
          <t>dpbvdy</t>
        </is>
      </c>
      <c r="B5647" t="inlineStr">
        <is>
          <t>Cost of cancer treatment in India???</t>
        </is>
      </c>
      <c r="C5647" t="inlineStr">
        <is>
          <t>My dad was diagnosed with a malign tumour in 2013.He has oral cancer.
 He has been relying on alternative medicine since then. But it doesn't work.
The problem is, we have no savings or insurance. I'm the breadwinner of the family (I'm a 19 year old boy) and his condition has only worsened with time. 
Can someone please tell me how much does cancer treatment cost in India? It would be of great help, really.</t>
        </is>
      </c>
      <c r="D5647" t="n">
        <v>6</v>
      </c>
      <c r="E5647" t="n">
        <v>13</v>
      </c>
      <c r="F5647">
        <f>HYPERLINK("https://www.reddit.com/r/cancer/comments/dpbvdy/cost_of_cancer_treatment_in_india/")</f>
        <v/>
      </c>
      <c r="G5647" t="inlineStr">
        <is>
          <t>2019-10-30 12:55:55</t>
        </is>
      </c>
      <c r="H5647" t="inlineStr"/>
    </row>
    <row r="5648">
      <c r="A5648" t="inlineStr">
        <is>
          <t>dpdlbh</t>
        </is>
      </c>
      <c r="B5648" t="inlineStr">
        <is>
          <t>My dad possibly has cancer and I don't know how to feel</t>
        </is>
      </c>
      <c r="C5648" t="inlineStr">
        <is>
          <t>Hi,
My dad and I have always been fairly close and recently he got some blood tests in which his PSA (i think it's spelled like that) came back with 7.5, when the normal values fluctuate between 2 and 4. This indicates that he possibly has prostatic cancer. He also did an ecography and it showed a bit of inflammation.
I know it sounds cliché but my dad is a tough man, kind and affectionate but not very emotional; always sees the bright side of life.
Today he broke this news to me when we went to dinner just us two. He's really scared. I honestly don't know what I would do without him so I want to do everything I can do to help him.
He's doing more blood tests to confirm everything and probably do a biopsy after that.
What should I know and how can I inform myself better about this topic?
Thank you in advance!</t>
        </is>
      </c>
      <c r="D5648" t="n">
        <v>3</v>
      </c>
      <c r="E5648" t="n">
        <v>4</v>
      </c>
      <c r="F5648">
        <f>HYPERLINK("https://www.reddit.com/r/cancer/comments/dpdlbh/my_dad_possibly_has_cancer_and_i_dont_know_how_to/")</f>
        <v/>
      </c>
      <c r="G5648" t="inlineStr">
        <is>
          <t>2019-10-30 14:56:57</t>
        </is>
      </c>
      <c r="H5648" t="inlineStr"/>
    </row>
    <row r="5649">
      <c r="A5649" t="inlineStr">
        <is>
          <t>dpdrq7</t>
        </is>
      </c>
      <c r="B5649" t="inlineStr">
        <is>
          <t>What's it like to have cancer......</t>
        </is>
      </c>
      <c r="C5649" t="inlineStr">
        <is>
          <t>I didn't write this but it sums things up perfectly.
What’s it like to go through cancer treatment? It’s something like this: one day, you’re minding your own business, you open the fridge to get some breakfast, and OH MY GOD THERE’S A MOUNTAIN LION IN YOUR FRIDGE.
Wait, what? How? Why is there a mountain lion in your fridge? NO TIME TO EXPLAIN. RUN! THE MOUNTAIN LION WILL KILL YOU! UNLESS YOU FIND SOMETHING EVEN MORE FEROCIOUS TO KILL IT FIRST!
So you take off running, and the mountain lion is right behind you. You know the only thing that can kill a mountain lion is a bear, and the only bear is on top of the mountain, so you better find that bear. You start running up the mountain in hopes of finding the bear. Your friends desperately want to help, but they are powerless against mountain lions, as mountain lions are godless killing machines. But they really want to help, so they’re cheering you on and bringing you paper cups of water and orange slices as you run up the mountain and yelling at the mountain lion - “GET LOST, MOUNTAIN LION, NO ONE LIKES YOU” - and you really appreciate the support, but the mountain lion is still coming.
Also, for some reason, there’s someone in the crowd who’s yelling “that’s not really a mountain lion, it’s a puma” and another person yelling “I read that mountain lions are allergic to kale, have you tried rubbing kale on it?”
As you’re running up the mountain, you see other people fleeing their own mountain lions. Some of the mountain lions seem comparatively wimpy - they’re half grown and only have three legs or whatever, and you think to yourself - why couldn’t I have gotten one of those mountain lions? But then you look over at the people who are fleeing mountain lions the size of a monster truck with huge prehistoric saber fangs, and you feel like an asshole for even thinking that - and besides, who in their right mind would want to fight a mountain lion, even a three-legged one?
Finally, the person closest to you, whose job it is to take care of you - maybe a parent or sibling or best friend or, in my case, my husband - comes barging out of the woods and jumps on the mountain lion, whaling on it and screaming “GODDAMMIT MOUNTAIN LION, STOP TRYING TO EAT MY WIFE,” and the mountain lion punches your husband right in the face. Now your husband (or whatever) is rolling around on the ground clutching his nose, and he’s bought you some time, but you still need to get to the top of the mountain.
Eventually you reach the top, finally, and the bear is there. Waiting. For both of you. You rush right up to the bear, and the bear rushes the mountain lion, but the bear has to go through you to get to the mountain lion, and in doing so, the bear TOTALLY KICKS YOUR ASS, but not before it also punches your husband in the face. And your husband is now staggering around with a black eye and bloody nose, and saying “can I get some help, I’ve been punched in the face by two apex predators and I think my nose is broken,” and all you can say is “I’M KIND OF BUSY IN CASE YOU HADN’T NOTICED I’M FIGHTING A MOUNTAIN LION.”
Then, IF YOU ARE LUCKY, the bear leaps on the mountain lion and they are locked in epic battle until finally the two of them roll off a cliff edge together, and the mountain lion is dead.
Maybe. You’re not sure - it fell off the cliff, but mountain lions are crafty. It could come back at any moment.
And all your friends come running up to you and say “that was amazing! You’re so brave, we’re so proud of you! You didn’t die! That must be a huge relief!”
Meanwhile, you blew out both your knees, you’re having an asthma attack, you twisted your ankle, and also you have been mauled by a bear. And everyone says “boy, you must be excited to walk down the mountain!” And all you can think as you stagger to your feet is “fuck this mountain, I never wanted to climb it in the first place.”
By hedgehog</t>
        </is>
      </c>
      <c r="D5649" t="n">
        <v>147</v>
      </c>
      <c r="E5649" t="n">
        <v>64</v>
      </c>
      <c r="F5649">
        <f>HYPERLINK("https://www.reddit.com/r/cancer/comments/dpdrq7/whats_it_like_to_have_cancer/")</f>
        <v/>
      </c>
      <c r="G5649" t="inlineStr">
        <is>
          <t>2019-10-30 15:09:17</t>
        </is>
      </c>
      <c r="H5649" t="inlineStr"/>
    </row>
    <row r="5650">
      <c r="A5650" t="inlineStr">
        <is>
          <t>dpemfb</t>
        </is>
      </c>
      <c r="B5650" t="inlineStr">
        <is>
          <t>Radiologist and oncologist have conflicting readings of CT scan</t>
        </is>
      </c>
      <c r="C5650" t="inlineStr">
        <is>
          <t>My mom had a CT scan that came back with a report that says there is massive acute inflammation in her lungs (along with GGOs and nodules). The oncologist says she hardly sees any inflammation on the scan (but agrees about the GGOs and nodules). What do we do now?</t>
        </is>
      </c>
      <c r="D5650" t="n">
        <v>2</v>
      </c>
      <c r="E5650" t="n">
        <v>17</v>
      </c>
      <c r="F5650">
        <f>HYPERLINK("https://www.reddit.com/r/cancer/comments/dpemfb/radiologist_and_oncologist_have_conflicting/")</f>
        <v/>
      </c>
      <c r="G5650" t="inlineStr">
        <is>
          <t>2019-10-30 16:10:10</t>
        </is>
      </c>
      <c r="H5650" t="inlineStr"/>
    </row>
    <row r="5651">
      <c r="A5651" t="inlineStr">
        <is>
          <t>dpesbq</t>
        </is>
      </c>
      <c r="B5651" t="inlineStr">
        <is>
          <t>Imatinib</t>
        </is>
      </c>
      <c r="C5651" t="inlineStr">
        <is>
          <t>Found out today that my remission (lymphoplasmacytic lymphoma) is over after three years. My doc is recommending imatinib pills along with a few series of rituximab as treatment. I've had the rituximab before but have never heard of this pill. He says I'll be taking it for the rest of my days in an ideal situation. Anyone here on imatinib? What's your experience?</t>
        </is>
      </c>
      <c r="D5651" t="n">
        <v>2</v>
      </c>
      <c r="E5651" t="n">
        <v>2</v>
      </c>
      <c r="F5651">
        <f>HYPERLINK("https://www.reddit.com/r/cancer/comments/dpesbq/imatinib/")</f>
        <v/>
      </c>
      <c r="G5651" t="inlineStr">
        <is>
          <t>2019-10-30 16:22:09</t>
        </is>
      </c>
      <c r="H5651" t="inlineStr"/>
    </row>
    <row r="5652">
      <c r="A5652" t="inlineStr">
        <is>
          <t>dphv5p</t>
        </is>
      </c>
      <c r="B5652" t="inlineStr">
        <is>
          <t>Tests are negative, I am afraid to ask for more because what if this is cancer? How can I push myself to ask for more help? I don’t know what to do.</t>
        </is>
      </c>
      <c r="C5652" t="inlineStr">
        <is>
          <t>So I’ve been having bleeding and swelling. Next month, it’ll be a year next month that this has been going on. 
Every test so far has been negative. They haven’t found anything in scans, my bloods are clean, my breath is somehow fresh, and there’s no visible signs. No one knows what’s going on, I don’t know what’s going on, my doctor is confused. 
I know there’s a few other tests but honestly even though I’ve been suicidal and angry? I don’t wanna go out like this. Not looking like the bloody Canker Man or a fucking Weeping Winnie from Left 4 Dead. 
What do I do? How do I force myself to speak up? Ask for more? How do I figure out plans A to Z if this is really it? 
I’m in my early twenties, I don’t want to be thinking about this but here I am. Please, help me.</t>
        </is>
      </c>
      <c r="D5652" t="n">
        <v>1</v>
      </c>
      <c r="E5652" t="n">
        <v>7</v>
      </c>
      <c r="F5652">
        <f>HYPERLINK("https://www.reddit.com/r/cancer/comments/dphv5p/tests_are_negative_i_am_afraid_to_ask_for_more/")</f>
        <v/>
      </c>
      <c r="G5652" t="inlineStr">
        <is>
          <t>2019-10-30 20:23:38</t>
        </is>
      </c>
      <c r="H5652" t="inlineStr"/>
    </row>
    <row r="5653">
      <c r="A5653" t="inlineStr">
        <is>
          <t>dpioay</t>
        </is>
      </c>
      <c r="B5653" t="inlineStr">
        <is>
          <t>Worried about a loved one that was diagnosed with cancer.</t>
        </is>
      </c>
      <c r="C5653" t="inlineStr">
        <is>
          <t>There is this woman i been talking to and just started seeing, she was just diagnosed yesterday with cancer. She says she did not get it early and it’s bad. She went to the doctor today and it’s either “a lymphoma or a Tyloma ( spelling? )”. If it’s lymphoma, I hear it’s pretty curable. She’s 34, I know she has had back issues, she’s recently been getting acupuncture and cupping and she tends to get sick more than normal. She says everyone is telling her she’s going to die. I have a hard time to believe that. What are the odds that she makes it!</t>
        </is>
      </c>
      <c r="D5653" t="n">
        <v>2</v>
      </c>
      <c r="E5653" t="n">
        <v>17</v>
      </c>
      <c r="F5653">
        <f>HYPERLINK("https://www.reddit.com/r/cancer/comments/dpioay/worried_about_a_loved_one_that_was_diagnosed_with/")</f>
        <v/>
      </c>
      <c r="G5653" t="inlineStr">
        <is>
          <t>2019-10-30 21:41:46</t>
        </is>
      </c>
      <c r="H5653" t="inlineStr"/>
    </row>
    <row r="5654">
      <c r="A5654" t="inlineStr">
        <is>
          <t>dpjweh</t>
        </is>
      </c>
      <c r="B5654" t="inlineStr">
        <is>
          <t>Infection, Immunity and Cancer I Gresham College</t>
        </is>
      </c>
      <c r="C5654" t="inlineStr">
        <is>
          <t xml:space="preserve"> [https://www.youtube.com/watch?v=X5WaKfcZstU](https://www.youtube.com/watch?v=X5WaKfcZstU)
Examples of cancers caused largely by infections include cervical cancer, some liver cancers, and gastric cancer. If the infection can be prevented, or treated, the cancer can also be prevented. When the immune system is damaged, including by infections like HIV, cancers increase. Understanding the importance of the immune system has led to new avenues for the treatment of cancer. This lecture will also consider one of the fastest moving areas of cancer treatment, stimulating the immune system to attack cancers.</t>
        </is>
      </c>
      <c r="D5654" t="n">
        <v>0</v>
      </c>
      <c r="E5654" t="n">
        <v>0</v>
      </c>
      <c r="F5654">
        <f>HYPERLINK("https://www.reddit.com/r/cancer/comments/dpjweh/infection_immunity_and_cancer_i_gresham_college/")</f>
        <v/>
      </c>
      <c r="G5654" t="inlineStr">
        <is>
          <t>2019-10-31 00:02:43</t>
        </is>
      </c>
      <c r="H5654" t="inlineStr"/>
    </row>
    <row r="5655">
      <c r="A5655" t="inlineStr">
        <is>
          <t>dpkhn4</t>
        </is>
      </c>
      <c r="B5655" t="inlineStr">
        <is>
          <t>My dad had cancerous lesions in his bladder. He has to go for a CT scan. Just had some questions please.</t>
        </is>
      </c>
      <c r="C5655" t="inlineStr">
        <is>
          <t>Hi guys. Long story short, about 4 weeks ago my dad discovered blood in his urine. It shifted between red and normal colour. He went to the doctor who examined his urine, told him it looked like it could be an infection, but also recommended he get blood test and a scan. 
He had the scan and was told that it looked like his bladder had a small blockage preventing him, which was also causing the blood. Anyway, he had an operation two weeks ago to sort it out. There were three small lesions which were removed and taken for a biopsy. 
He is currently needing to self cathetate once to twice a day, normally morning and evening to help him wee. It is weird as he was peeing okay up until 4 or so weeks ago before all of this. He is still able to pee fairly normal, although he has to keep using the catheter. 
Obviously being his son I am worried about the results that returned from the biopsy. Thankfully the cancerous lesions were removed, but I am very anxious about the CT scan. Since all of this and before it, he hasn't really had any significant symptoms. He says he feels okay in himself, but I'm more of the worrier for him to be honest haha. 
I just wanted to know why he is going for the CT Scan? Is this because they cannot be certain the cancer has been removed completely from the bladder or that cancer hasn't spread etc? 
I have got to be honest, I didn't ever think I would be asking about my dad and cancer. He is 73 so I am aware that cancer and other conditions are more likely to occur at his age, but I guess it is still something a person never expects or thinks of getting at any age.</t>
        </is>
      </c>
      <c r="D5655" t="n">
        <v>2</v>
      </c>
      <c r="E5655" t="n">
        <v>4</v>
      </c>
      <c r="F5655">
        <f>HYPERLINK("https://www.reddit.com/r/cancer/comments/dpkhn4/my_dad_had_cancerous_lesions_in_his_bladder_he/")</f>
        <v/>
      </c>
      <c r="G5655" t="inlineStr">
        <is>
          <t>2019-10-31 01:17:38</t>
        </is>
      </c>
      <c r="H5655" t="inlineStr"/>
    </row>
    <row r="5656">
      <c r="A5656" t="inlineStr">
        <is>
          <t>dplw3o</t>
        </is>
      </c>
      <c r="B5656" t="inlineStr">
        <is>
          <t>4 Steps to Combatting Fear</t>
        </is>
      </c>
      <c r="C5656" t="inlineStr">
        <is>
          <t>Step 1: Identify a fear the second it pops into your mind. Ask yourself, Is this thought about something I know to be true right now, or am I trying to tell the future?
Step 2: Talk to yourself. State the fear out loud, write it down, do whatever you need to do to get your brain back into the present moment. 
Step 3: Ask yourself, What do I know to be true right now? Sometimes our fears feel so real, we forget they haven’t happened. We need to remind ourselves of reality.
Step 4: Focus on blessings. List all the blessings, big and small, you have in your life at this moment.</t>
        </is>
      </c>
      <c r="D5656" t="n">
        <v>11</v>
      </c>
      <c r="E5656" t="n">
        <v>0</v>
      </c>
      <c r="F5656">
        <f>HYPERLINK("https://www.reddit.com/r/cancer/comments/dplw3o/4_steps_to_combatting_fear/")</f>
        <v/>
      </c>
      <c r="G5656" t="inlineStr">
        <is>
          <t>2019-10-31 04:01:21</t>
        </is>
      </c>
      <c r="H5656" t="inlineStr"/>
    </row>
    <row r="5657">
      <c r="A5657" t="inlineStr">
        <is>
          <t>dpmrn9</t>
        </is>
      </c>
      <c r="B5657" t="inlineStr">
        <is>
          <t>Potential Stomach Cancer</t>
        </is>
      </c>
      <c r="C5657" t="inlineStr">
        <is>
          <t xml:space="preserve"> Ive been having troubles with my stomach for the past few months and finally got an appointment to see a specialist. They believe that my issue could be stomach cancer, and because of that are doing an ultrasound, upper endoscopy and biopsy. Tuesday (The day before my appointment) and today (the day after) I have been having trouble mentally. I dont feel motivated or alive at all, I almost feel like im walking around in a husk of myself with very little emotion and drive to do anything except sit and do nothing. I'm just very lost on what to do. I hate this feeling and wish for it to go away, but I'm not sure exactly how to. I don't know if it is related to anything with the cancer but It has just been really hard to be motivated.</t>
        </is>
      </c>
      <c r="D5657" t="n">
        <v>10</v>
      </c>
      <c r="E5657" t="n">
        <v>7</v>
      </c>
      <c r="F5657">
        <f>HYPERLINK("https://www.reddit.com/r/cancer/comments/dpmrn9/potential_stomach_cancer/")</f>
        <v/>
      </c>
      <c r="G5657" t="inlineStr">
        <is>
          <t>2019-10-31 05:24:15</t>
        </is>
      </c>
      <c r="H5657" t="inlineStr"/>
    </row>
    <row r="5658">
      <c r="A5658" t="inlineStr">
        <is>
          <t>dpolo7</t>
        </is>
      </c>
      <c r="B5658" t="inlineStr">
        <is>
          <t>The best possible outcome</t>
        </is>
      </c>
      <c r="C5658" t="inlineStr">
        <is>
          <t>The best possible outcome for me right now is to have to strap a urostomy bag to my gut for the rest of my life, and for the process to *get* me there to not bankrupt me.  A lifetime of holding a piss-bag and making monthly payments towards my piss-bag debt.  
Pardon me if I'm not exactly thrilled.</t>
        </is>
      </c>
      <c r="D5658" t="n">
        <v>19</v>
      </c>
      <c r="E5658" t="n">
        <v>56</v>
      </c>
      <c r="F5658">
        <f>HYPERLINK("https://www.reddit.com/r/cancer/comments/dpolo7/the_best_possible_outcome/")</f>
        <v/>
      </c>
      <c r="G5658" t="inlineStr">
        <is>
          <t>2019-10-31 07:50:17</t>
        </is>
      </c>
      <c r="H5658" t="inlineStr"/>
    </row>
    <row r="5659">
      <c r="A5659" t="inlineStr">
        <is>
          <t>dpp01r</t>
        </is>
      </c>
      <c r="B5659" t="inlineStr">
        <is>
          <t>Time Between Diagnosis and First Oncologist Visit</t>
        </is>
      </c>
      <c r="C5659" t="inlineStr">
        <is>
          <t>On Oct 1st, my mom received the news that she has lung cancer. Since I live about 1,500 miles from my mom, I only found out this past Monday when I came down for a routine visit. It has been the toughest week of my life, but I've gotten over the initial shock and distress and I am now ready to stand with her and fight. 
&amp;amp;#x200B;
She lives with my sister in Texas, and their experience with the medical system has me a bit frustrated. Basically, the first week of this journey was spent in the hospital receiving tests and what not (which seems standard). She was able to see their oncologists for some preliminary talks about treatment, but she did not have health insurance. She was instructed to apply to something called CareLink which she was told she would be approved for, but was denied based on income. It took her a week to be denied, and was basically a waste of valuable time. Luckily, she is a military veteran so she was able to get approved for VA health care, and they said they would call her in a week with her initial oncologist appointment. We received that call today, and the appointment is scheduled for Nov 27th. This puts the initial appointment almost two months after her diagnosis. 
&amp;amp;#x200B;
Is it normal to have to wait this long to see an oncologist? Obviously, there was some time dealing with the bureaucracy of the medical system, but was hoping they would take that into account when scheduling the appointment. We will be calling to see if there is anything that can be done, but also wanted to see if there are any other options we can look into? I don't want to seem impatient, and understand that these things take time, but this just seems like too much time. I'm especially concerned because the cancer has spread. I really appreciate any advice that anyone may have.</t>
        </is>
      </c>
      <c r="D5659" t="n">
        <v>2</v>
      </c>
      <c r="E5659" t="n">
        <v>6</v>
      </c>
      <c r="F5659">
        <f>HYPERLINK("https://www.reddit.com/r/cancer/comments/dpp01r/time_between_diagnosis_and_first_oncologist_visit/")</f>
        <v/>
      </c>
      <c r="G5659" t="inlineStr">
        <is>
          <t>2019-10-31 08:18:54</t>
        </is>
      </c>
      <c r="H5659" t="inlineStr"/>
    </row>
    <row r="5660">
      <c r="A5660" t="inlineStr">
        <is>
          <t>dpp6qg</t>
        </is>
      </c>
      <c r="B5660" t="inlineStr">
        <is>
          <t>Clinical Trial consideration</t>
        </is>
      </c>
      <c r="C5660" t="inlineStr">
        <is>
          <t>Doctor introduce clinical trial option for my father, and we signed the consent form. Now the standard plan the first chemo treatment start next week, doctor still not clear if my father is in clinical trail program, all his saying was try his best to put my father in to deal with the administrative difficulty. I am wondering should my father start his very first treatment with clinical trial plan or have his chemo first and join trial later on? thanks</t>
        </is>
      </c>
      <c r="D5660" t="n">
        <v>1</v>
      </c>
      <c r="E5660" t="n">
        <v>0</v>
      </c>
      <c r="F5660">
        <f>HYPERLINK("https://www.reddit.com/r/cancer/comments/dpp6qg/clinical_trial_consideration/")</f>
        <v/>
      </c>
      <c r="G5660" t="inlineStr">
        <is>
          <t>2019-10-31 08:32:24</t>
        </is>
      </c>
      <c r="H5660" t="inlineStr"/>
    </row>
    <row r="5661">
      <c r="A5661" t="inlineStr">
        <is>
          <t>dppiwr</t>
        </is>
      </c>
      <c r="B5661" t="inlineStr">
        <is>
          <t>Night sweats?</t>
        </is>
      </c>
      <c r="C5661" t="inlineStr">
        <is>
          <t>I want to preface this by saying if it's not appropriate for this sub, I'm sorry and dont wish to offend/trigger...
Tldr...My question is: .do night sweats stop spontaneously with lymphomas? See next for details.
I have a swollen lymph node under my chin that I just got biopsied today. My ct showed "significant number of enlarged lymph nodes in neck. Lymphadenopathy cant be ruled out"  It's been there for a little over 2 years since I noticed it. I got sick june of last year with the worst sickness. I had a cold that turned into a sinus infection and bronchitis. EBV negative. After that I had night sweats from june to february 2019 (not close to menopause at all). They were drenching to the point where I had to get up and shower almost every night. I slept with a towel and mattress protector to spare my matress. Then they just stopped. I know it wasnt my sleeping environment because I had them when I traveled across the US to a different climate and bedding and all that for the holidays.</t>
        </is>
      </c>
      <c r="D5661" t="n">
        <v>0</v>
      </c>
      <c r="E5661" t="n">
        <v>0</v>
      </c>
      <c r="F5661">
        <f>HYPERLINK("https://www.reddit.com/r/cancer/comments/dppiwr/night_sweats/")</f>
        <v/>
      </c>
      <c r="G5661" t="inlineStr">
        <is>
          <t>2019-10-31 08:56:22</t>
        </is>
      </c>
      <c r="H5661" t="inlineStr"/>
    </row>
    <row r="5662">
      <c r="A5662" t="inlineStr">
        <is>
          <t>dpprs8</t>
        </is>
      </c>
      <c r="B5662" t="inlineStr">
        <is>
          <t>Univeristy of Iowa Dance Marathon: a fight against pediatric cancer</t>
        </is>
      </c>
      <c r="C5662" t="inlineStr">
        <is>
          <t>Hello all! I am currently raising money for the University of Iowa Dance Marathon to fight pediatric cancer! I am wondering if you guys would be able to make a donation to help support those families who have a child who is fighting pediatric cancer, for cancer research and for operating costs for the kiddos. Anything and everything will help support these amazing kids who are currently fighting for their lives. If you can donate the link to my donation page is https://donate.dancemarathon.uiowa.edu/payment/23986 . Together we all can Win The Day for every kiddo fighting! Thank you guys all so so much!</t>
        </is>
      </c>
      <c r="D5662" t="n">
        <v>1</v>
      </c>
      <c r="E5662" t="n">
        <v>0</v>
      </c>
      <c r="F5662">
        <f>HYPERLINK("https://www.reddit.com/r/cancer/comments/dpprs8/univeristy_of_iowa_dance_marathon_a_fight_against/")</f>
        <v/>
      </c>
      <c r="G5662" t="inlineStr">
        <is>
          <t>2019-10-31 09:13:07</t>
        </is>
      </c>
      <c r="H5662" t="inlineStr"/>
    </row>
    <row r="5663">
      <c r="A5663" t="inlineStr">
        <is>
          <t>dpr28n</t>
        </is>
      </c>
      <c r="B5663" t="inlineStr">
        <is>
          <t>Can a mole turn cancerous even if it's not exposed to sunlight?</t>
        </is>
      </c>
      <c r="C5663" t="inlineStr">
        <is>
          <t>I have an odd looking mole on my stomach but it never gets sunlight there.</t>
        </is>
      </c>
      <c r="D5663" t="n">
        <v>1</v>
      </c>
      <c r="E5663" t="n">
        <v>5</v>
      </c>
      <c r="F5663">
        <f>HYPERLINK("https://www.reddit.com/r/cancer/comments/dpr28n/can_a_mole_turn_cancerous_even_if_its_not_exposed/")</f>
        <v/>
      </c>
      <c r="G5663" t="inlineStr">
        <is>
          <t>2019-10-31 10:44:22</t>
        </is>
      </c>
      <c r="H5663" t="inlineStr"/>
    </row>
    <row r="5664">
      <c r="A5664" t="inlineStr">
        <is>
          <t>dpr40g</t>
        </is>
      </c>
      <c r="B5664" t="inlineStr">
        <is>
          <t>Tumour in my Appendix</t>
        </is>
      </c>
      <c r="C5664" t="inlineStr">
        <is>
          <t>About 2 weeks ago I was told that a supposedly routine case of appendicitis was actually caused by a tumour that has been growing in my appendix for possibly years. I was told I had a 'Low Grade Mucinous Neoplasm', apparently it's a very slow growing thing and I've had some confusing answers about whether it's malignant or not. 
I'm sorry if this is the wrong subreddit to post to, because my cancer is apparently easily treatable, and most probably I won't need chemotherapy or any further treatment now it's out of me, but I'm 18 and I'm not use to anything like this, and I'm not use to getting off scott-free with cancer, most people I've known who have had it never got rid of theirs.
I'm not really sure what the purpose of this post is, I think it's mainly just me offloading but if there's anyone else who has seen this in anyone else then I guess it would be helpful for you to share.
At the moment I'm scared, I know it's a very treatable cancer and the Doctor told me he thinks I'll most likely not need any treatment, but I'm still having scans every year for 5 years, so I'm obviously not out of the woods yet. The only real risk is if the tumour ruptured, but I'm not sure if that happened or not, they said that I'd had a tear or rupture (sorry I can't remember which one) in my 'mesoappendix', I don't know if that means the tumour ruptured internally in the appendix or whether it broke out but the thought of it having got out terrifies me, I'm just too scared to read anything else on it now.
I've just started university and I'm not sure if I can cope with cancer potentially hanging over me. I just find I'm sat in my room worrying for most of the day now.
Again, I dont know why I'm doing this, but I think I'm looking for reassurance even though I know it's unlikely anyone knows anything considering the rarity of the situation and the response I've had on other subs.</t>
        </is>
      </c>
      <c r="D5664" t="n">
        <v>5</v>
      </c>
      <c r="E5664" t="n">
        <v>9</v>
      </c>
      <c r="F5664">
        <f>HYPERLINK("https://www.reddit.com/r/cancer/comments/dpr40g/tumour_in_my_appendix/")</f>
        <v/>
      </c>
      <c r="G5664" t="inlineStr">
        <is>
          <t>2019-10-31 10:48:00</t>
        </is>
      </c>
      <c r="H5664" t="inlineStr"/>
    </row>
    <row r="5665">
      <c r="A5665" t="inlineStr">
        <is>
          <t>dpstol</t>
        </is>
      </c>
      <c r="B5665" t="inlineStr">
        <is>
          <t>Scared about a rediagnosis in a parent</t>
        </is>
      </c>
      <c r="C5665" t="inlineStr">
        <is>
          <t>My mum suffered from cancer in her osophagus and we found out at christmas time. She had chemo and radiotherapy and then a surgical treatment to remove it and it was all successful and she’s recovered remarkably, is back at her old job part time and she’s doing everything she used to do and it’s been fantastic. 
My dad told me today that my mum spent the day in hospital getting a brain scan because she’s been having headaches lately and as you can guess my first thought was that she would have cancer again in her brain. And this horrible heavy feeling of dread and anxiety is hanging over me when it might not be anything to worry about. I can’t stop crying and I can’t leave the bathroom because if my siblings see me crying they’ll think it’s something to worry about when they might not be anxious at the moment like me. 
When am I going to be able to hear my mum have a symptom of anything and not have my mind start consistently worrying that she will get re - diagnosed?
I can’t bear the thought of going through this again and losing her. Any kind words or advice would be appreciated or if you can ease my mind in any way. 
We should hear back tomorrow.</t>
        </is>
      </c>
      <c r="D5665" t="n">
        <v>1</v>
      </c>
      <c r="E5665" t="n">
        <v>0</v>
      </c>
      <c r="F5665">
        <f>HYPERLINK("https://www.reddit.com/r/cancer/comments/dpstol/scared_about_a_rediagnosis_in_a_parent/")</f>
        <v/>
      </c>
      <c r="G5665" t="inlineStr">
        <is>
          <t>2019-10-31 12:47:27</t>
        </is>
      </c>
      <c r="H5665" t="inlineStr"/>
    </row>
    <row r="5666">
      <c r="A5666" t="inlineStr">
        <is>
          <t>dpt2pa</t>
        </is>
      </c>
      <c r="B5666" t="inlineStr">
        <is>
          <t>Out of the hospital post BMT</t>
        </is>
      </c>
      <c r="C5666" t="inlineStr">
        <is>
          <t>I was hospitalized on 9/22/2019 and after some liver and kidney complications I'm finally ready to go back to out-patient clinic time. To anyone going through it, hang in there it gets better.</t>
        </is>
      </c>
      <c r="D5666" t="n">
        <v>34</v>
      </c>
      <c r="E5666" t="n">
        <v>9</v>
      </c>
      <c r="F5666">
        <f>HYPERLINK("https://www.reddit.com/r/cancer/comments/dpt2pa/out_of_the_hospital_post_bmt/")</f>
        <v/>
      </c>
      <c r="G5666" t="inlineStr">
        <is>
          <t>2019-10-31 13:04:40</t>
        </is>
      </c>
      <c r="H5666" t="inlineStr"/>
    </row>
    <row r="5667">
      <c r="A5667" t="inlineStr">
        <is>
          <t>dpto26</t>
        </is>
      </c>
      <c r="B5667" t="inlineStr">
        <is>
          <t>So you completed cancer treatment. Now what?</t>
        </is>
      </c>
      <c r="C5667" t="inlineStr">
        <is>
          <t>So you completed cancer treatment. Now what? Bounce Back, a VIRTUAL research study being conducted by researchers at Harvard Medical School and the Massachusetts General Hospital Cancer Center wants to help support you! We know that the post-treatment transition process can be tough, especially for adolescents and young adults who are going through a time of peak change and socioemotional development. This study is open internationally, and the goal is to connect adolescent and young adult cancer survivors through a virtual skills-based group stress management and resilience program. Send us a message or email mghbounceback@mgh.harvard.edu for more info 😊</t>
        </is>
      </c>
      <c r="D5667" t="n">
        <v>0</v>
      </c>
      <c r="E5667" t="n">
        <v>1</v>
      </c>
      <c r="F5667">
        <f>HYPERLINK("https://www.reddit.com/r/cancer/comments/dpto26/so_you_completed_cancer_treatment_now_what/")</f>
        <v/>
      </c>
      <c r="G5667" t="inlineStr">
        <is>
          <t>2019-10-31 13:46:20</t>
        </is>
      </c>
      <c r="H5667" t="inlineStr"/>
    </row>
    <row r="5668">
      <c r="A5668" t="inlineStr">
        <is>
          <t>dpue65</t>
        </is>
      </c>
      <c r="B5668" t="inlineStr">
        <is>
          <t>Is Cervical Cancer detected on a CT scan?</t>
        </is>
      </c>
      <c r="C5668" t="inlineStr">
        <is>
          <t>I recently went to urgent care regarding some lower back pain. The Dr ordered a CT scan to check my kidneys for stones, and instead found a tiny ovarian cyst (which I'm not too worried about) that seems to be causing the symptoms. However, just thinking about cancer has got me all wound up and I'm thinking of all the worst possible scenarios - I'm a terrible person and have never had a Pap Smear. 
I'm making an appointment for an exam, but in the meantime I'm curious if anyone with experience in these matters can tell me if cervical cancer typically shows up in CT scans? The Dr. said my  scan was clear aside from the cyst, but I'm not sure if cervical cancer is something that can be seen in these tests?   
I really appreciate any insight anyone can provide!</t>
        </is>
      </c>
      <c r="D5668" t="n">
        <v>0</v>
      </c>
      <c r="E5668" t="n">
        <v>3</v>
      </c>
      <c r="F5668">
        <f>HYPERLINK("https://www.reddit.com/r/cancer/comments/dpue65/is_cervical_cancer_detected_on_a_ct_scan/")</f>
        <v/>
      </c>
      <c r="G5668" t="inlineStr">
        <is>
          <t>2019-10-31 14:36:37</t>
        </is>
      </c>
      <c r="H5668" t="inlineStr"/>
    </row>
    <row r="5669">
      <c r="A5669" t="inlineStr">
        <is>
          <t>dpuijx</t>
        </is>
      </c>
      <c r="B5669" t="inlineStr">
        <is>
          <t>What to put in a kit?</t>
        </is>
      </c>
      <c r="C5669" t="inlineStr">
        <is>
          <t>My best friend recently got diagnosed with lymphoma. Not totally sure what's going on yet specifically, but it looks like he is going to need chemo. I'm thinking about getting a few friends to help put together a little chemo kit - a duffle bag with everything in it he'd need for when he has to go to an appointment so he doesn't have to pack. I've heard pillows and blankets are good, but do you guys have any other ideas for stuff he might want? Besides Sudoku I was going to put in hobby related things (he's our DM, so graph paper, a notebook, and pens I guess?). If you can think of anything that would be good for a little go bag like that that I wouldn't have thought of, I'd love to hear ideas! 
If this isn't the best place to put this, let me know</t>
        </is>
      </c>
      <c r="D5669" t="n">
        <v>2</v>
      </c>
      <c r="E5669" t="n">
        <v>9</v>
      </c>
      <c r="F5669">
        <f>HYPERLINK("https://www.reddit.com/r/cancer/comments/dpuijx/what_to_put_in_a_kit/")</f>
        <v/>
      </c>
      <c r="G5669" t="inlineStr">
        <is>
          <t>2019-10-31 14:45:21</t>
        </is>
      </c>
      <c r="H5669" t="inlineStr"/>
    </row>
    <row r="5670">
      <c r="A5670" t="inlineStr">
        <is>
          <t>dpuv1r</t>
        </is>
      </c>
      <c r="B5670" t="inlineStr">
        <is>
          <t>Vent / Can I get some kind words, please?</t>
        </is>
      </c>
      <c r="C5670" t="inlineStr">
        <is>
          <t>Hi, thyroid cancer survivor here. I'm currently sititng in my room, ass deep in radiation therapy right now. 
So, when I first started this whole thing, I was 15 (16? i cant remember) and my biopsies continuously came out inconclusive and when my doctor told us that I may have cancer, my folks didn't take the news very kindly. My grandma forced me to take 20 vitamins a day even when my doctor told me it'd give me a stomach ulcer, and my mom would use my illness against me. Every time I would do something unhealthy like eating junk or staying in bed all day, my mom would tell me "Well, do you want it to spread? Do you want to die?" My step-father didn't even want to acknowledge it and my siblings were too young to understand.
Since then, they found two tumors and I've had my thyroid completely removed but I'm still undergoing radiation therapy. But they still treat my illness the same way.  I know this isn't normal. I really feel like my family isn't supportive of me at all. I'm terrified of the cancer coming back or another tumor forming elsewhere on my body. I don't know anybody else that struggles with a chronic illness, so I can't help but feel like I'm alone in this. Nobody is understanding, they're just sympathetic. I'm so fucking tired of hearing "Oh my god, I'm so sorry." I just want to feel understood. I just want someone to relate to. I'm tired of sympathy. I just want to feel like I'm still a person.</t>
        </is>
      </c>
      <c r="D5670" t="n">
        <v>1</v>
      </c>
      <c r="E5670" t="n">
        <v>0</v>
      </c>
      <c r="F5670">
        <f>HYPERLINK("https://www.reddit.com/r/cancer/comments/dpuv1r/vent_can_i_get_some_kind_words_please/")</f>
        <v/>
      </c>
      <c r="G5670" t="inlineStr">
        <is>
          <t>2019-10-31 15:09:00</t>
        </is>
      </c>
      <c r="H5670" t="inlineStr"/>
    </row>
    <row r="5671">
      <c r="A5671" t="inlineStr">
        <is>
          <t>dpw9kw</t>
        </is>
      </c>
      <c r="B5671" t="inlineStr">
        <is>
          <t>Has anyone used Tempus?</t>
        </is>
      </c>
      <c r="C5671" t="inlineStr">
        <is>
          <t>My mom was diagnosed with Terminal Bladder Cancer a couple months ago. Her GP heard about [https://www.tempus.com/](https://www.tempus.com/) at a conference and recommended we get our oncologist to look into using their service. I was just wondering if anyone has any expierience using them or have heard about them. It looks like they use some genetic database to personalize cancer treatment.
Thanks!</t>
        </is>
      </c>
      <c r="D5671" t="n">
        <v>1</v>
      </c>
      <c r="E5671" t="n">
        <v>0</v>
      </c>
      <c r="F5671">
        <f>HYPERLINK("https://www.reddit.com/r/cancer/comments/dpw9kw/has_anyone_used_tempus/")</f>
        <v/>
      </c>
      <c r="G5671" t="inlineStr">
        <is>
          <t>2019-10-31 16:52:24</t>
        </is>
      </c>
      <c r="H5671" t="inlineStr"/>
    </row>
    <row r="5672">
      <c r="A5672" t="inlineStr">
        <is>
          <t>dpyeaw</t>
        </is>
      </c>
      <c r="B5672" t="inlineStr">
        <is>
          <t>Just talking.</t>
        </is>
      </c>
      <c r="C5672" t="inlineStr">
        <is>
          <t>The last two weeks have been exhausting. 
My mom was diagnosed with stage 4 breast cancer with mets to the liver and bone about a year and a half ago. She’s actually done amazing with treatment. She had lived a normal life. She worked. She drove. She seemed to have more energy than me most days. Then suddenly last weekend she wasn’t able to walk anymore. She lost complete function of her legs. I took her to the hospital and it took them two weeks to confirm it has now spread to the spinal fluid. 
In the time it has taken them to confirm this she has begun to lose sensation and movement in her arms as well and her vision is getting worse. They took her today to place an ommaya reservoir which is basically like a port that goes in the skull so they can put chemo directly in the spinal fluid. She starts the new chemo Monday.
She has to be discharged to do the chemo because the hospital bed oncologist is affiliated with doesn’t do chemo in house so she has to go to his infusion center. This means I’m going to be bringing her home with me. She can’t walk. She can’t feed herself. She can’t do anything on her own. She’s in so much pain. 
I’m 26, an only child and the only family she has. I feel like I’m making decisions I’m not ready to make. I am terrified. Terrified at the situation. Terrified that I’m going to lose her. Terrified the chemo won’t work. Terrified that we won’t even make it to Monday for the chemo. 
I’m a nurse. I know it’s bad. I know the statistics. I guess I’m just posting to find a little hope. I think I’ve lost mine somewhere along the way.</t>
        </is>
      </c>
      <c r="D5672" t="n">
        <v>20</v>
      </c>
      <c r="E5672" t="n">
        <v>5</v>
      </c>
      <c r="F5672">
        <f>HYPERLINK("https://www.reddit.com/r/cancer/comments/dpyeaw/just_talking/")</f>
        <v/>
      </c>
      <c r="G5672" t="inlineStr">
        <is>
          <t>2019-10-31 19:45:45</t>
        </is>
      </c>
      <c r="H5672" t="inlineStr"/>
    </row>
    <row r="5673">
      <c r="A5673" t="inlineStr">
        <is>
          <t>dpyuje</t>
        </is>
      </c>
      <c r="B5673" t="inlineStr">
        <is>
          <t>Cancer support groups</t>
        </is>
      </c>
      <c r="C5673" t="inlineStr">
        <is>
          <t>I’m looking for cancer support groups for teens. I’m a 18 year old male and I find it hard to find support groups for people in my age bracket. If anyone has any suggestions of support groups that would be much appreciated.</t>
        </is>
      </c>
      <c r="D5673" t="n">
        <v>3</v>
      </c>
      <c r="E5673" t="n">
        <v>3</v>
      </c>
      <c r="F5673">
        <f>HYPERLINK("https://www.reddit.com/r/cancer/comments/dpyuje/cancer_support_groups/")</f>
        <v/>
      </c>
      <c r="G5673" t="inlineStr">
        <is>
          <t>2019-10-31 20:27:32</t>
        </is>
      </c>
      <c r="H5673" t="inlineStr"/>
    </row>
    <row r="5674">
      <c r="A5674" t="inlineStr">
        <is>
          <t>dpyw95</t>
        </is>
      </c>
      <c r="B5674" t="inlineStr">
        <is>
          <t>Mom diagnosed with Invasive Ductal Carcinoma</t>
        </is>
      </c>
      <c r="C5674" t="inlineStr">
        <is>
          <t>My mom (51) was just diagnosed with Invasive Ductal Carcinoma, HER2 positive. The tumour is 2.9cm and has not spread to lymph nodes or chest wall. Chemo starts on November 13th for 6 rounds then she’s getting both breasts removed and then radiation. This has been a ridiculously crazy time and I genuinely don’t know what to expect. I want to be there for her but I want to fully grasp the reality of the next year. I’m especially scared about the prognosis of HER2 positive. Is anyone able to shed some light on what to expect for the next few months, what I can do to help her, and just general information? I am trying to learn online but there’s so much information. Thank you all</t>
        </is>
      </c>
      <c r="D5674" t="n">
        <v>5</v>
      </c>
      <c r="E5674" t="n">
        <v>6</v>
      </c>
      <c r="F5674">
        <f>HYPERLINK("https://www.reddit.com/r/cancer/comments/dpyw95/mom_diagnosed_with_invasive_ductal_carcinoma/")</f>
        <v/>
      </c>
      <c r="G5674" t="inlineStr">
        <is>
          <t>2019-10-31 20:32:19</t>
        </is>
      </c>
      <c r="H5674" t="inlineStr"/>
    </row>
    <row r="5675">
      <c r="A5675" t="inlineStr">
        <is>
          <t>dq1rwc</t>
        </is>
      </c>
      <c r="B5675" t="inlineStr">
        <is>
          <t>Have there been times you had a laugh over your condition?</t>
        </is>
      </c>
      <c r="C5675" t="inlineStr">
        <is>
          <t>Cancer is a huge bunch of shit to deal with, while doing so entertaining ourselves and having a laugh becomes important and gives us strength to go through it. Now, I guess usually people go in a way that lets them forget about all the problems for a moment and have a day enjoying themselves; I do that too. sometimes, however, I like to indirectly pull the C card to have a laugh in a different way, and given my condition (testicular cancer) that comes out easy and opportunities are not lacking (e.g. "you gotta have balls to do that!" can be followed by "you're half right!").
So, have you ever done that?</t>
        </is>
      </c>
      <c r="D5675" t="n">
        <v>4</v>
      </c>
      <c r="E5675" t="n">
        <v>20</v>
      </c>
      <c r="F5675">
        <f>HYPERLINK("https://www.reddit.com/r/cancer/comments/dq1rwc/have_there_been_times_you_had_a_laugh_over_your/")</f>
        <v/>
      </c>
      <c r="G5675" t="inlineStr">
        <is>
          <t>2019-11-01 02:15:53</t>
        </is>
      </c>
      <c r="H5675" t="inlineStr"/>
    </row>
    <row r="5676">
      <c r="A5676" t="inlineStr">
        <is>
          <t>dq2rmg</t>
        </is>
      </c>
      <c r="B5676" t="inlineStr">
        <is>
          <t>Pecaset (Capecitabine) vs my man member</t>
        </is>
      </c>
      <c r="C5676" t="inlineStr">
        <is>
          <t>Anyone else have problems on Capecitabine (better known as Xeloda). I have serious foot and hand syndrome, but the newest is that I get infection on the tip of my winkle, and it effects the urethra as well.
It happens on the second week (just as I am almost done with the round).
I wash every day and keep the little guy clean, but this is the 2nd time in a month that I get an infection.
The doctor said it might be fungal, gave me a 3 day session of pills and by day 5 I could pee without crying. Oh and have to mention... blood came out as well, not blood in the urine mix, but blood drops.
Doctor said it might be the meds accumulated in the extremities, and mine just decided to settle in my wang as well. So now dealing with hand and foot and a infection prone penis...
Cancer is so screwed up, but think the meds they give is worst than the cancer at this stage.</t>
        </is>
      </c>
      <c r="D5676" t="n">
        <v>8</v>
      </c>
      <c r="E5676" t="n">
        <v>7</v>
      </c>
      <c r="F5676">
        <f>HYPERLINK("https://www.reddit.com/r/cancer/comments/dq2rmg/pecaset_capecitabine_vs_my_man_member/")</f>
        <v/>
      </c>
      <c r="G5676" t="inlineStr">
        <is>
          <t>2019-11-01 04:11:01</t>
        </is>
      </c>
      <c r="H5676" t="inlineStr"/>
    </row>
    <row r="5677">
      <c r="A5677" t="inlineStr">
        <is>
          <t>dq3tx5</t>
        </is>
      </c>
      <c r="B5677" t="inlineStr">
        <is>
          <t>Just started immunotherapy.</t>
        </is>
      </c>
      <c r="C5677" t="inlineStr">
        <is>
          <t>I found out this year that I have stage 3 Melanoma and just started treatment with opdivo (nivolumab). I was just wondering who else is going through or gas been through this.</t>
        </is>
      </c>
      <c r="D5677" t="n">
        <v>10</v>
      </c>
      <c r="E5677" t="n">
        <v>9</v>
      </c>
      <c r="F5677">
        <f>HYPERLINK("https://www.reddit.com/r/cancer/comments/dq3tx5/just_started_immunotherapy/")</f>
        <v/>
      </c>
      <c r="G5677" t="inlineStr">
        <is>
          <t>2019-11-01 05:53:19</t>
        </is>
      </c>
      <c r="H5677" t="inlineStr"/>
    </row>
    <row r="5678">
      <c r="A5678" t="inlineStr">
        <is>
          <t>dq4cko</t>
        </is>
      </c>
      <c r="B5678" t="inlineStr">
        <is>
          <t>My dad finished chemo yesterday!</t>
        </is>
      </c>
      <c r="C5678" t="inlineStr">
        <is>
          <t>My dad was in hospital all of yesterday having his final round of chemotherapy. Earlier this year he was diagnosed with diffuse large b cell non-hodgkin's lymphoma and it's been really hard for all of us. I feel so relived that the doctors gave him the all clear and just wanted to share with someone
There is hope! And I wish all of you struggling with this bullshit disease the best &amp;lt;3</t>
        </is>
      </c>
      <c r="D5678" t="n">
        <v>85</v>
      </c>
      <c r="E5678" t="n">
        <v>13</v>
      </c>
      <c r="F5678">
        <f>HYPERLINK("https://www.reddit.com/r/cancer/comments/dq4cko/my_dad_finished_chemo_yesterday/")</f>
        <v/>
      </c>
      <c r="G5678" t="inlineStr">
        <is>
          <t>2019-11-01 06:38:24</t>
        </is>
      </c>
      <c r="H5678" t="inlineStr"/>
    </row>
    <row r="5679">
      <c r="A5679" t="inlineStr">
        <is>
          <t>dq55a8</t>
        </is>
      </c>
      <c r="B5679" t="inlineStr">
        <is>
          <t>how many oncology you should see</t>
        </is>
      </c>
      <c r="C5679" t="inlineStr">
        <is>
          <t>My father has been diagnosis advanced cancer, current doctor said it is very clear. Should I bring him to see another one?</t>
        </is>
      </c>
      <c r="D5679" t="n">
        <v>1</v>
      </c>
      <c r="E5679" t="n">
        <v>5</v>
      </c>
      <c r="F5679">
        <f>HYPERLINK("https://www.reddit.com/r/cancer/comments/dq55a8/how_many_oncology_you_should_see/")</f>
        <v/>
      </c>
      <c r="G5679" t="inlineStr">
        <is>
          <t>2019-11-01 07:42:05</t>
        </is>
      </c>
      <c r="H5679" t="inlineStr"/>
    </row>
    <row r="5680">
      <c r="A5680" t="inlineStr">
        <is>
          <t>dq5fy6</t>
        </is>
      </c>
      <c r="B5680" t="inlineStr">
        <is>
          <t>NYC oncology recommendation</t>
        </is>
      </c>
      <c r="C5680" t="inlineStr">
        <is>
          <t>Looking for help, it there any good stomach oncology recommended in NYC</t>
        </is>
      </c>
      <c r="D5680" t="n">
        <v>2</v>
      </c>
      <c r="E5680" t="n">
        <v>6</v>
      </c>
      <c r="F5680">
        <f>HYPERLINK("https://www.reddit.com/r/cancer/comments/dq5fy6/nyc_oncology_recommendation/")</f>
        <v/>
      </c>
      <c r="G5680" t="inlineStr">
        <is>
          <t>2019-11-01 08:04:48</t>
        </is>
      </c>
      <c r="H5680" t="inlineStr"/>
    </row>
    <row r="5681">
      <c r="A5681" t="inlineStr">
        <is>
          <t>dq6plv</t>
        </is>
      </c>
      <c r="B5681" t="inlineStr">
        <is>
          <t>Really thought they was a chance I could beat this</t>
        </is>
      </c>
      <c r="C5681" t="inlineStr">
        <is>
          <t>I was just on my last hour at work and my oncologist called to asking me to come in Monday. My original appointment was in 3 weeks time.
I recently had a MRI scan and she said the results “Are not good” and we will discuss further on Monday.
Last year I had 9 mets in the brain and had them zapped with gamma knife surgery
Melanoma is SO fucking aggressive 
I feel like a fool for thinking I could beat it</t>
        </is>
      </c>
      <c r="D5681" t="n">
        <v>40</v>
      </c>
      <c r="E5681" t="n">
        <v>18</v>
      </c>
      <c r="F5681">
        <f>HYPERLINK("https://www.reddit.com/r/cancer/comments/dq6plv/really_thought_they_was_a_chance_i_could_beat_this/")</f>
        <v/>
      </c>
      <c r="G5681" t="inlineStr">
        <is>
          <t>2019-11-01 09:36:21</t>
        </is>
      </c>
      <c r="H5681" t="inlineStr"/>
    </row>
    <row r="5682">
      <c r="A5682" t="inlineStr">
        <is>
          <t>dq6rb7</t>
        </is>
      </c>
      <c r="B5682" t="inlineStr">
        <is>
          <t>I ordered my wig today!</t>
        </is>
      </c>
      <c r="C5682" t="inlineStr">
        <is>
          <t>I’m a happy girl! I have ordered my wig! It’s different to my normal hair, shorter than my hair was &amp;amp; a slightly different colour. It’s made me very happy! I feel so confident and happy with my new hair! Roll on 3 weeks for my hair to be picked up! Can’t wait! Woohoo!</t>
        </is>
      </c>
      <c r="D5682" t="n">
        <v>15</v>
      </c>
      <c r="E5682" t="n">
        <v>10</v>
      </c>
      <c r="F5682">
        <f>HYPERLINK("https://www.reddit.com/r/cancer/comments/dq6rb7/i_ordered_my_wig_today/")</f>
        <v/>
      </c>
      <c r="G5682" t="inlineStr">
        <is>
          <t>2019-11-01 09:39:57</t>
        </is>
      </c>
      <c r="H5682" t="inlineStr"/>
    </row>
    <row r="5683">
      <c r="A5683" t="inlineStr">
        <is>
          <t>dq78mn</t>
        </is>
      </c>
      <c r="B5683" t="inlineStr">
        <is>
          <t>Veteran Cancer Patient/Caregiver Advocacy Support Group - is this a thing? Should it be?</t>
        </is>
      </c>
      <c r="C5683" t="inlineStr">
        <is>
          <t>I have been my husband's primary caregiver since his diagnosis in March 2019, and, in the past seven months, we've learned more about cancer and how it operates than either of us ever cared to. Now that the initial This Is Our Lives Now shock has worn off and we feel more like "veterans" of this whole (ongoing) ordeal, it's dawned on us that we probably would have really benefited from a Veteran Cancer Patient/Caregiver Advocacy Support Group. What I mean by that is a connection of current cancer patients and caregivers with past cancer patients with similar diagnoses and their caregivers, ideally at the same treatment facility. We've received great care where we are, but it's occurred to me that I'm relearning information that *other people right nearby - who have already been through this - already know.* I've learned a lot from online forums specific to my husband's cancer, but I want to talk to people who have seen the same doctors, who know the mechanics of the institution, who can teach me enough to question the treatment plan, to push for certain tests, etc.
Has anyone else wished for something like that, or are we weird? :)</t>
        </is>
      </c>
      <c r="D5683" t="n">
        <v>1</v>
      </c>
      <c r="E5683" t="n">
        <v>5</v>
      </c>
      <c r="F5683">
        <f>HYPERLINK("https://www.reddit.com/r/cancer/comments/dq78mn/veteran_cancer_patientcaregiver_advocacy_support/")</f>
        <v/>
      </c>
      <c r="G5683" t="inlineStr">
        <is>
          <t>2019-11-01 10:15:03</t>
        </is>
      </c>
      <c r="H5683" t="inlineStr"/>
    </row>
    <row r="5684">
      <c r="A5684" t="inlineStr">
        <is>
          <t>dq7d9y</t>
        </is>
      </c>
      <c r="B5684" t="inlineStr">
        <is>
          <t>Solution to Cancer</t>
        </is>
      </c>
      <c r="C5684" t="inlineStr">
        <is>
          <t>Guys, if you don't wanna have cancer, just grow hair.
It's that easy.</t>
        </is>
      </c>
      <c r="D5684" t="n">
        <v>0</v>
      </c>
      <c r="E5684" t="n">
        <v>6</v>
      </c>
      <c r="F5684">
        <f>HYPERLINK("https://www.reddit.com/r/cancer/comments/dq7d9y/solution_to_cancer/")</f>
        <v/>
      </c>
      <c r="G5684" t="inlineStr">
        <is>
          <t>2019-11-01 10:24:22</t>
        </is>
      </c>
      <c r="H5684" t="inlineStr"/>
    </row>
    <row r="5685">
      <c r="A5685" t="inlineStr">
        <is>
          <t>dq8lpc</t>
        </is>
      </c>
      <c r="B5685" t="inlineStr">
        <is>
          <t>Questions to ask doctor if AML bone marrow biopsy results weren’t favorable?</t>
        </is>
      </c>
      <c r="C5685" t="inlineStr">
        <is>
          <t>Meeting my dad’s doctor soon to discuss his bone marrow biopsy results, which weren’t favorable, but not bad (not quite sure what he means by that). In the doctor’s email, he also mentioned we should discuss different, more aggressive treatment. 
Wondering what are the right questions to ask when we go in to meet him, even though we’re not sure what exactly the results are yet. 
Thanks in advance - any advice is appreciated!</t>
        </is>
      </c>
      <c r="D5685" t="n">
        <v>2</v>
      </c>
      <c r="E5685" t="n">
        <v>5</v>
      </c>
      <c r="F5685">
        <f>HYPERLINK("https://www.reddit.com/r/cancer/comments/dq8lpc/questions_to_ask_doctor_if_aml_bone_marrow_biopsy/")</f>
        <v/>
      </c>
      <c r="G5685" t="inlineStr">
        <is>
          <t>2019-11-01 11:56:28</t>
        </is>
      </c>
      <c r="H5685" t="inlineStr"/>
    </row>
    <row r="5686">
      <c r="A5686" t="inlineStr">
        <is>
          <t>dq8p45</t>
        </is>
      </c>
      <c r="B5686" t="inlineStr">
        <is>
          <t>Multiple tumor markers in histology report</t>
        </is>
      </c>
      <c r="C5686" t="inlineStr">
        <is>
          <t>Hi,
I have a loved one who was recently diagnosed with stage 4 non-small cell lung cancer (carcinoma).
It's in her bones: spine and lesions in back of skull; right lung; left temporal bone.
Assume I know nothing about medicine, because that is true. Her histology report has multiple tumor markers.
What I really want to know is if other people have experience with multiple tumor markers, and if it signifies anything.
Here are the panel results:
Breast group, ER, Gata 3; 
Carcinoma, CK 7, CK 20, CDX 2;
Large cell carcinoma/lung, ROS1, PDL1, ALJ
Thanks, and peace and support to everyone here.</t>
        </is>
      </c>
      <c r="D5686" t="n">
        <v>2</v>
      </c>
      <c r="E5686" t="n">
        <v>2</v>
      </c>
      <c r="F5686">
        <f>HYPERLINK("https://www.reddit.com/r/cancer/comments/dq8p45/multiple_tumor_markers_in_histology_report/")</f>
        <v/>
      </c>
      <c r="G5686" t="inlineStr">
        <is>
          <t>2019-11-01 12:03:19</t>
        </is>
      </c>
      <c r="H5686" t="inlineStr"/>
    </row>
    <row r="5687">
      <c r="A5687" t="inlineStr">
        <is>
          <t>dqans5</t>
        </is>
      </c>
      <c r="B5687" t="inlineStr">
        <is>
          <t>My mother can't stomach anything due to the side effects of radiation and immunotherapy. Any advice?</t>
        </is>
      </c>
      <c r="C5687" t="inlineStr">
        <is>
          <t>My mother has recently been diagnosed with aggressive lung cancer, she's currently in stage 4 and as expected the cancer is terminal. She went recently finished her radiation and is now taking keytruda, she's not able to stomach anything. She says that the smell and taste of everything is terrible, and she feels like puking all the time due to nausea. I'm worried about her well being, do you guys have any sort of advice? I've tried nutritional supplement drinks, marijuana, etc...</t>
        </is>
      </c>
      <c r="D5687" t="n">
        <v>2</v>
      </c>
      <c r="E5687" t="n">
        <v>6</v>
      </c>
      <c r="F5687">
        <f>HYPERLINK("https://www.reddit.com/r/cancer/comments/dqans5/my_mother_cant_stomach_anything_due_to_the_side/")</f>
        <v/>
      </c>
      <c r="G5687" t="inlineStr">
        <is>
          <t>2019-11-01 14:24:36</t>
        </is>
      </c>
      <c r="H5687" t="inlineStr"/>
    </row>
    <row r="5688">
      <c r="A5688" t="inlineStr">
        <is>
          <t>dqbeh8</t>
        </is>
      </c>
      <c r="B5688" t="inlineStr">
        <is>
          <t>Getting sick post chemo</t>
        </is>
      </c>
      <c r="C5688" t="inlineStr">
        <is>
          <t>I've been done with chemo for six months now, but it's like every cold and cough bug that goes around decides to party in my lungs.  I used to get a hold once, maybe twice a year, but now it seems to be an unending parade of phlegm.  
Is this another piece of the crappy gift that keeps on giving, or should this die down a bit later on?</t>
        </is>
      </c>
      <c r="D5688" t="n">
        <v>2</v>
      </c>
      <c r="E5688" t="n">
        <v>6</v>
      </c>
      <c r="F5688">
        <f>HYPERLINK("https://www.reddit.com/r/cancer/comments/dqbeh8/getting_sick_post_chemo/")</f>
        <v/>
      </c>
      <c r="G5688" t="inlineStr">
        <is>
          <t>2019-11-01 15:20:16</t>
        </is>
      </c>
      <c r="H5688" t="inlineStr"/>
    </row>
    <row r="5689">
      <c r="A5689" t="inlineStr">
        <is>
          <t>dqc438</t>
        </is>
      </c>
      <c r="B5689" t="inlineStr">
        <is>
          <t>Best European country for new cancer treatments?</t>
        </is>
      </c>
      <c r="C5689" t="inlineStr">
        <is>
          <t>My brother only has a few months left with aggressive cholangiocarcinoma, and one of the best clinics in the U.S. has failed him miserably.  He's running out of time and looking for other options!  Does anyone have any experience with or know of places in other countries that have more progressive treatments and more time-sensitive patient care?  I just want to make a few phone calls to some places to ask some questions, and don't even know where to start.  Any help or suggestions would be appreciated!</t>
        </is>
      </c>
      <c r="D5689" t="n">
        <v>2</v>
      </c>
      <c r="E5689" t="n">
        <v>9</v>
      </c>
      <c r="F5689">
        <f>HYPERLINK("https://www.reddit.com/r/cancer/comments/dqc438/best_european_country_for_new_cancer_treatments/")</f>
        <v/>
      </c>
      <c r="G5689" t="inlineStr">
        <is>
          <t>2019-11-01 16:16:13</t>
        </is>
      </c>
      <c r="H5689" t="inlineStr"/>
    </row>
    <row r="5690">
      <c r="A5690" t="inlineStr">
        <is>
          <t>dqdhst</t>
        </is>
      </c>
      <c r="B5690" t="inlineStr">
        <is>
          <t>My dad was just diagnosed with cancer and I am having a hard time knowing how to feel</t>
        </is>
      </c>
      <c r="C5690" t="inlineStr">
        <is>
          <t>Hi everyone. I need to get this off my chest.
I got a call from my dad today - he just learned from his doctor that the pain/weirdness he had been feeling lately was actually rectal cancer.
According to the doctor, the tumor is pretty big, but it hasn't spread to his stomach or anywhere else I believe. According to the doctor, his cancer **IS** treatable. I've looked up survival chances of rectal cancer and it seems fairly high, I guess? I don't know what class it is so it's hard to say, but I'm just relieved that there is a chance that he will be okay.
As much as I love the guy, he can be a pessimist at times and he kept repeating that I shouldn't feel bad "because he has had a good 55 years". This is frustrating to hear because he makes it sound like he doesn't think he will make it.
He will be undergoing chemo and radiation therapy. I'm scared of watching my dad whither away. He's a big, burly kind of guy and watching him undergo chemo sounds awful.
All of that said, I am having a hard time coping with my emotions right now. I feel empty; I don't know how to react. I feel like I should be in a big crying heap right now but I just feel kind of empty. It feels like I'm not present, you know?
I guess I'm just looking for some advice going forward, and maybe some well wishes. How should I cope with this going forward? How do I help my dad go through this? And how do I help myself and mom and brother? I just feel lost right now.</t>
        </is>
      </c>
      <c r="D5690" t="n">
        <v>34</v>
      </c>
      <c r="E5690" t="n">
        <v>14</v>
      </c>
      <c r="F5690">
        <f>HYPERLINK("https://www.reddit.com/r/cancer/comments/dqdhst/my_dad_was_just_diagnosed_with_cancer_and_i_am/")</f>
        <v/>
      </c>
      <c r="G5690" t="inlineStr">
        <is>
          <t>2019-11-01 18:09:17</t>
        </is>
      </c>
      <c r="H5690" t="inlineStr"/>
    </row>
    <row r="5691">
      <c r="A5691" t="inlineStr">
        <is>
          <t>dqepcq</t>
        </is>
      </c>
      <c r="B5691" t="inlineStr">
        <is>
          <t>Any insight would be very helpful..</t>
        </is>
      </c>
      <c r="C5691" t="inlineStr">
        <is>
          <t xml:space="preserve">
Hello.
My mother has a history with migraines. In the past year they have become much more intense &amp;amp; frequent.  She also had begun to seem generally a lot more down, add minor memory loss &amp;amp; impaired hearing in one ear. She is 60years old &amp;amp; believed this was all to due to aging. Her voice may have changed a bit too.. 
All of these symptoms seemed disconnected to us &amp;amp; her at the time. Nonetheless I had felt that there was something wrong that the MRIs weren’t showing (she regularly has MRIs because of her Rheumatoid Arthritis &amp;amp; migraines). 
When a neurologist (accidentally) saw these scans &amp;amp; not the radiologis  he diagnosed her with:
CP angle lesion meningioma w/brain stem compression. I’m not sure of what the mass size is right now but it is significant enough for him to want to schedule her in for surgery in the next few weeks. 
I desperately need any insight. I’ve tried researching &amp;amp; reading up on the diagnosis &amp;amp; surgery but I find myself breaking down each time. 
I just need someone to tell me.. anything?
Recovery? What should we expect? I need to prep myself to better prep her.. and be there for her. 
I  was told that there are worries that she may loose sensation in half of her face (muscle movements like blinking smiling &amp;amp; even hearing)</t>
        </is>
      </c>
      <c r="D5691" t="n">
        <v>2</v>
      </c>
      <c r="E5691" t="n">
        <v>2</v>
      </c>
      <c r="F5691">
        <f>HYPERLINK("https://www.reddit.com/r/cancer/comments/dqepcq/any_insight_would_be_very_helpful/")</f>
        <v/>
      </c>
      <c r="G5691" t="inlineStr">
        <is>
          <t>2019-11-01 20:00:44</t>
        </is>
      </c>
      <c r="H5691" t="inlineStr"/>
    </row>
    <row r="5692">
      <c r="A5692" t="inlineStr">
        <is>
          <t>dqf5nq</t>
        </is>
      </c>
      <c r="B5692" t="inlineStr">
        <is>
          <t>It's Been 12 Years...</t>
        </is>
      </c>
      <c r="C5692" t="inlineStr">
        <is>
          <t>Cancer won against my mom 12 years ago. Yeah I have an adopted mom and my siblings are together but it hurts the same every day. 
My mom was an absolute genius. A GENIUS. Like the day she got diagnosed with cancer, she casually decided to get her doctorate in chemistry. She started and completed that degree in a hospital bed. She had theories on everything and prided herself on teaching others to love to learn. Two of her students gave eulogies for her at her funeral. All of her students attended. She changed their lives. Most of them are successful now. She had a gift for teaching and parenting. She left behind 5 kids including myself. We all have picked up in some way, and we do our best to live by her example. Of all people in the world, cancer chose her, the one person who actually had the ability to create something that would cure it. 
The thing is, every milestone in this family makes me miss her more. When I gave birth, she was the only one I wanted there, when my sister got her scholarship to a prestigious private university in New York, when my younger brother got his first acceptance to an equally esteemed private university in the midwest, when my older brother went to one of the most well known medical schools in the US, even when I got into an overseas University. All of it was missed. I don't know how to get over losing her. I don't know why I can't. I'm 27 now. I have a toddler. I'm relatively successful. I'm happily married. And at least a couple times a week I'm crying myself to sleep because all I want to do is fall asleep being held by my mommy. Am I crazy? Am I just regressing or something? I'm sorry I'm venting I just want to not feel so bone chillingly lonely...</t>
        </is>
      </c>
      <c r="D5692" t="n">
        <v>23</v>
      </c>
      <c r="E5692" t="n">
        <v>9</v>
      </c>
      <c r="F5692">
        <f>HYPERLINK("https://www.reddit.com/r/cancer/comments/dqf5nq/its_been_12_years/")</f>
        <v/>
      </c>
      <c r="G5692" t="inlineStr">
        <is>
          <t>2019-11-01 20:45:30</t>
        </is>
      </c>
      <c r="H5692" t="inlineStr"/>
    </row>
    <row r="5693">
      <c r="A5693" t="inlineStr">
        <is>
          <t>dqjodu</t>
        </is>
      </c>
      <c r="B5693" t="inlineStr">
        <is>
          <t>Fatigue or weakness?</t>
        </is>
      </c>
      <c r="C5693" t="inlineStr">
        <is>
          <t>I’m at the tail end of 9 weeks of chemo; 5 days/wk, 1/wk, 1/wk 3x
I understand the effects are cumulative, but I’ve been getting so tired so quickly lately. I mean taking out the trash has me sitting down for 5 minutes afterwards, I can’t be on my feet for more than a half hour or so without needing to sit for a few. 
I hope it’s just the treatment, I mean it’s gotta be, right? I haven’t just gotten so weak I can’t function anymore.</t>
        </is>
      </c>
      <c r="D5693" t="n">
        <v>1</v>
      </c>
      <c r="E5693" t="n">
        <v>3</v>
      </c>
      <c r="F5693">
        <f>HYPERLINK("https://www.reddit.com/r/cancer/comments/dqjodu/fatigue_or_weakness/")</f>
        <v/>
      </c>
      <c r="G5693" t="inlineStr">
        <is>
          <t>2019-11-02 05:47:32</t>
        </is>
      </c>
      <c r="H5693" t="inlineStr"/>
    </row>
    <row r="5694">
      <c r="A5694" t="inlineStr">
        <is>
          <t>dqjzup</t>
        </is>
      </c>
      <c r="B5694" t="inlineStr">
        <is>
          <t>I need an advice</t>
        </is>
      </c>
      <c r="C5694" t="inlineStr">
        <is>
          <t>4 months ago the girl I love had to go in this clinic for deal with cancer, from July I haven't had any notice from her, i don't have any contact with her parents and friends, and I couldn't be with her because she actually was living in another country, she had to travel fast to another city where the clinic was located and where internet inside the clinic wasn't available and everything has been so fast in that period. 2 days ago  after different attempts to get info and many research, I found the clinic. 
I contacted em via email, and they asked me her name. Today has arrived their mail. Only on that moment I've realized that reading that message would have had consequences.
I'm terribly scared to read the worst notice... 
and I couldn't handle that
Only thinking of it, makes me cry.
But I'm hoping so much that she's following the normal procedure, and can't get out and contact me.
I want she knows I'm with her and send her gifts, but I'm so so scared to read that mail. 
I need yours opinion, because I'm not able to decide. I need to hear of u...</t>
        </is>
      </c>
      <c r="D5694" t="n">
        <v>1</v>
      </c>
      <c r="E5694" t="n">
        <v>0</v>
      </c>
      <c r="F5694">
        <f>HYPERLINK("https://www.reddit.com/r/cancer/comments/dqjzup/i_need_an_advice/")</f>
        <v/>
      </c>
      <c r="G5694" t="inlineStr">
        <is>
          <t>2019-11-02 06:14:48</t>
        </is>
      </c>
      <c r="H5694" t="inlineStr"/>
    </row>
    <row r="5695">
      <c r="A5695" t="inlineStr">
        <is>
          <t>dqkjei</t>
        </is>
      </c>
      <c r="B5695" t="inlineStr">
        <is>
          <t>What was chemo like? Follicular NHL</t>
        </is>
      </c>
      <c r="C5695" t="inlineStr">
        <is>
          <t>35/F 
I was diagnosed with Follicular Non Hodgkin's Lymphoma within the past month. My surgical oncologist diagnosed it with from a lymphadenectomy. I have yet to meet with the oncologist that will properly stage and treat. 
From my understanding and doctors statements I have stage 3 for sure. Meaning it is infecting all groups of lymph nodes above and below. There is no signs of tumors in my chest, or internal organs. I currently have a slight high white blood count and vitamin D is 30. 
I also understand that typical treatment is targeted radiation and chemo. 
The radiation part has been explained to me, but not chemo. I've tried researching for first hand accounts and I'm just bombarded by ads and clutter. 
Rituxan is one drug that has been mentioned that I can remember. Yet again I cannot find first hand accounts. 
How was chemo administered?
How often?
Did you have to remain at the hospital after administration? 
Did you personally have any complications or side effects? 
How long was the regiment? 
Any advice before it starts?</t>
        </is>
      </c>
      <c r="D5695" t="n">
        <v>2</v>
      </c>
      <c r="E5695" t="n">
        <v>9</v>
      </c>
      <c r="F5695">
        <f>HYPERLINK("https://www.reddit.com/r/cancer/comments/dqkjei/what_was_chemo_like_follicular_nhl/")</f>
        <v/>
      </c>
      <c r="G5695" t="inlineStr">
        <is>
          <t>2019-11-02 06:59:51</t>
        </is>
      </c>
      <c r="H5695" t="inlineStr"/>
    </row>
    <row r="5696">
      <c r="A5696" t="inlineStr">
        <is>
          <t>dqkjzw</t>
        </is>
      </c>
      <c r="B5696" t="inlineStr">
        <is>
          <t>Not sure if this is the right place to post. Just needed help with explanation of further test (FIT)</t>
        </is>
      </c>
      <c r="C5696" t="inlineStr">
        <is>
          <t>Hi everybody
So I've been having stomach and bowel issues for  about a month. At first my doctor thought it was a case of gaestrointeritis that was lingering for a bit. I got blood tests done on Tuesday and most of the results are back. My stool samples won't be back for a few more days though.
My thyroid, wbc, kidneys and liver were all normal but the was one of the tests that came back low so they think I've got a bleed somewhere and I've to get a FIT test done this Monday coming. Anything I've googled has said it's to test for bowel cancer. But at the same time not really given me much information. Has anyone had one done? What should I expect?
I'm 38f by the way and I've not had any noticeable blood in my stool
Thanks in advance and sorry if this isn't the right place.</t>
        </is>
      </c>
      <c r="D5696" t="n">
        <v>1</v>
      </c>
      <c r="E5696" t="n">
        <v>0</v>
      </c>
      <c r="F5696">
        <f>HYPERLINK("https://www.reddit.com/r/cancer/comments/dqkjzw/not_sure_if_this_is_the_right_place_to_post_just/")</f>
        <v/>
      </c>
      <c r="G5696" t="inlineStr">
        <is>
          <t>2019-11-02 07:01:19</t>
        </is>
      </c>
      <c r="H5696" t="inlineStr"/>
    </row>
    <row r="5697">
      <c r="A5697" t="inlineStr">
        <is>
          <t>dqm88b</t>
        </is>
      </c>
      <c r="B5697" t="inlineStr">
        <is>
          <t>I need advice</t>
        </is>
      </c>
      <c r="C5697" t="inlineStr">
        <is>
          <t xml:space="preserve">
4 months ago the girl I love had to go in this clinic for deal with cancer, from 4 months I haven't had any notice from her, i don't have any contact with her parents and friends, and I couldn't be with her because she actually was living in another country, she had to travel fast to another city where the clinic was located and where internet inside the clinic wasn't available and everything has been so fast in that period. 2 days ago  after different attempts to get info and many research, I found the clinic. 
I contacted em via email, and they asked me her name. Today has arrived their mail. Only on that moment I've realized that reading that message would have had consequences.
I'm terribly scared to read the worst notice... 
and I couldn't handle that
Only thinking of it, makes me cry.
But I'm hoping so much that she's following the normal procedure, and can't get out and contact me.
I want she knows I'm with her and send her gifts, but I'm so so scared to read that mail. 
I need yours opinion, because I'm not able to decide. I need to hear of u...
What do u think is the right thing to do?</t>
        </is>
      </c>
      <c r="D5697" t="n">
        <v>1</v>
      </c>
      <c r="E5697" t="n">
        <v>0</v>
      </c>
      <c r="F5697">
        <f>HYPERLINK("https://www.reddit.com/r/cancer/comments/dqm88b/i_need_advice/")</f>
        <v/>
      </c>
      <c r="G5697" t="inlineStr">
        <is>
          <t>2019-11-02 09:07:53</t>
        </is>
      </c>
      <c r="H5697" t="inlineStr"/>
    </row>
    <row r="5698">
      <c r="A5698" t="inlineStr">
        <is>
          <t>dqnabq</t>
        </is>
      </c>
      <c r="B5698" t="inlineStr">
        <is>
          <t>Just found out my dad (might) have brain cancer. His operation to confirm is coming up. What can I do to support my mom and dad emotionally? What support/guidance do you have for someone who’s parent is newly diagnosed ?</t>
        </is>
      </c>
      <c r="C5698" t="inlineStr">
        <is>
          <t>Thanks in advance.</t>
        </is>
      </c>
      <c r="D5698" t="n">
        <v>2</v>
      </c>
      <c r="E5698" t="n">
        <v>3</v>
      </c>
      <c r="F5698">
        <f>HYPERLINK("https://www.reddit.com/r/cancer/comments/dqnabq/just_found_out_my_dad_might_have_brain_cancer_his/")</f>
        <v/>
      </c>
      <c r="G5698" t="inlineStr">
        <is>
          <t>2019-11-02 10:22:56</t>
        </is>
      </c>
      <c r="H5698" t="inlineStr"/>
    </row>
    <row r="5699">
      <c r="A5699" t="inlineStr">
        <is>
          <t>dqnhb7</t>
        </is>
      </c>
      <c r="B5699" t="inlineStr">
        <is>
          <t>Theoretically, would this stop cancer?</t>
        </is>
      </c>
      <c r="C5699" t="inlineStr">
        <is>
          <t>Im not sure if this is the right spot for this or not, so please suggest better places if not! 
Im a masters student working on control and robotics, and Ive been really interested in ways to use robotics to help people especially in the medical field. On a theoretical level, if we had nano robots that we could control perfectly, could we use them to exactly cut out all cancerous cells (that we find) in a body? For example, if someone has a brain tumor, would nano size robots be small enough to navigate and cut away ONLY the cancerous cells and not harm healthy cells? And could this be a method to remove all cancerous tumors as they appear? 
I dont know a lot about cancer, but I know it had hurt so many families and people and this is one route I am interested in learning about as an application of robotics. Im not sure what exactly blood cancers are or how they work, so this may not be effective in those cases, and Im not sure if the tumor directly grows onto healthy cells to where its impossible to remove just cancerous cells or if they can be removed cell by cell.
So, theoretically if we had the perfect tool to remove the tumors, would this effectively "cure" or make cancer 100% treatable?</t>
        </is>
      </c>
      <c r="D5699" t="n">
        <v>24</v>
      </c>
      <c r="E5699" t="n">
        <v>53</v>
      </c>
      <c r="F5699">
        <f>HYPERLINK("https://www.reddit.com/r/cancer/comments/dqnhb7/theoretically_would_this_stop_cancer/")</f>
        <v/>
      </c>
      <c r="G5699" t="inlineStr">
        <is>
          <t>2019-11-02 10:36:18</t>
        </is>
      </c>
      <c r="H5699" t="inlineStr"/>
    </row>
    <row r="5700">
      <c r="A5700" t="inlineStr">
        <is>
          <t>dqnndn</t>
        </is>
      </c>
      <c r="B5700" t="inlineStr">
        <is>
          <t>Should be planning a wedding but instead preparing to tackle breast cancer</t>
        </is>
      </c>
      <c r="C5700" t="inlineStr">
        <is>
          <t>Found out yesterday I have breast cancer. I’m feeling a lot of things but I’m so upset about having to pause wedding planning. I know it’s silly but I was just starting to plan when this all happened. Not only will this push back any planning but having to take time off work is going to drain any savings we have  and I’m so angry about having to wait longer for my wedding because of cancer.</t>
        </is>
      </c>
      <c r="D5700" t="n">
        <v>17</v>
      </c>
      <c r="E5700" t="n">
        <v>6</v>
      </c>
      <c r="F5700">
        <f>HYPERLINK("https://www.reddit.com/r/cancer/comments/dqnndn/should_be_planning_a_wedding_but_instead/")</f>
        <v/>
      </c>
      <c r="G5700" t="inlineStr">
        <is>
          <t>2019-11-02 10:48:04</t>
        </is>
      </c>
      <c r="H5700" t="inlineStr"/>
    </row>
    <row r="5701">
      <c r="A5701" t="inlineStr">
        <is>
          <t>dqo5rf</t>
        </is>
      </c>
      <c r="B5701" t="inlineStr">
        <is>
          <t>Not a cure</t>
        </is>
      </c>
      <c r="C5701" t="inlineStr">
        <is>
          <t>Went with my mom to her first appointment with a thoracic oncologist and they confirmed that it’s definitely stage 4 as it started in the lung and traveled to her liver, pancreas, stomach, pelvis and lower spine. 
During this appointment the doctor said that chemo will never cure her, essentially just stop the cancer where it is. He also gave her pain meds and nausea meds. 
Moms going to get her port put in on the 13th and will start chemo soon after. 
When we got home my mom asked me if I think it’s worth it to do the chemo.  I said I think it’s worth if it it doesn’t make you constantly sick and keeps the cancer at bay but if it does make her sick as hell and doesn’t stop the spreading that it would be reasonable to stop. 
The doctor also said that he’s hopeful for her because she’s in such great shape. So we’re hopeful too.</t>
        </is>
      </c>
      <c r="D5701" t="n">
        <v>8</v>
      </c>
      <c r="E5701" t="n">
        <v>12</v>
      </c>
      <c r="F5701">
        <f>HYPERLINK("https://www.reddit.com/r/cancer/comments/dqo5rf/not_a_cure/")</f>
        <v/>
      </c>
      <c r="G5701" t="inlineStr">
        <is>
          <t>2019-11-02 11:23:43</t>
        </is>
      </c>
      <c r="H5701" t="inlineStr"/>
    </row>
    <row r="5702">
      <c r="A5702" t="inlineStr">
        <is>
          <t>dqolao</t>
        </is>
      </c>
      <c r="B5702" t="inlineStr">
        <is>
          <t>My Grandma has been diagnosed with myeloma.</t>
        </is>
      </c>
      <c r="C5702" t="inlineStr">
        <is>
          <t>I am honestly so upset but not surprised. Her cancer has progressively getting worse and worse. What can I expect from this diagnosis? What is the life expectancy? (Don't know the stage of the cancer).
Help is much appreciated! &amp;lt;3</t>
        </is>
      </c>
      <c r="D5702" t="n">
        <v>2</v>
      </c>
      <c r="E5702" t="n">
        <v>0</v>
      </c>
      <c r="F5702">
        <f>HYPERLINK("https://www.reddit.com/r/cancer/comments/dqolao/my_grandma_has_been_diagnosed_with_myeloma/")</f>
        <v/>
      </c>
      <c r="G5702" t="inlineStr">
        <is>
          <t>2019-11-02 11:53:32</t>
        </is>
      </c>
      <c r="H5702" t="inlineStr"/>
    </row>
    <row r="5703">
      <c r="A5703" t="inlineStr">
        <is>
          <t>dqq42t</t>
        </is>
      </c>
      <c r="B5703" t="inlineStr">
        <is>
          <t>I would like a shoulder to cry on</t>
        </is>
      </c>
      <c r="C5703" t="inlineStr">
        <is>
          <t>I have yet to cry in front of anyone about the loss of my dad. But I feel the need to. I am tired of crying alone. I want someone to hold me and tell me that he misses me and that he’s okay and that he’s watching over me. I need to hear it from someone. And as supportive as this subreddit is (I love you guys), I physically just need to hear it. 
I don’t feel safe crying to anyone right now. I guess I’ll just continue to wait until I safely feel like I can. 
I miss you so much Dad..</t>
        </is>
      </c>
      <c r="D5703" t="n">
        <v>20</v>
      </c>
      <c r="E5703" t="n">
        <v>4</v>
      </c>
      <c r="F5703">
        <f>HYPERLINK("https://www.reddit.com/r/cancer/comments/dqq42t/i_would_like_a_shoulder_to_cry_on/")</f>
        <v/>
      </c>
      <c r="G5703" t="inlineStr">
        <is>
          <t>2019-11-02 13:41:22</t>
        </is>
      </c>
      <c r="H5703" t="inlineStr"/>
    </row>
    <row r="5704">
      <c r="A5704" t="inlineStr">
        <is>
          <t>dqqpbn</t>
        </is>
      </c>
      <c r="B5704" t="inlineStr">
        <is>
          <t>I miss my sister.</t>
        </is>
      </c>
      <c r="C5704" t="inlineStr">
        <is>
          <t>She was the best person I've ever known.  She was always there for me.  She was always there for anyone who needed her.  She was a loving person.     
She had an ependymoma (brain cancer, near the brain stem).  It was attached to her brain stem?  When it was removed, it messed her up, pretty bad.  She was 100% fine mentally.  But just touching the brain stem can cause problems all over the body.  They had to move hers, they had to remove cancerous cells from it.  
For almost a year after the surgery, I drove her to doctor appointments and therapy sessions 5 days a week, just so she could learn how to walk, talk, and eat again.  She never walked, talked, or ate, like she did before.  She had bowel problems.  The front half of her tongue didn't work.  Her vision was messed up.  Her balance was off, so she teetered back and forth when walking.  She had so many things go wrong in her body, it was heartbreaking.  
She lived a painful, demoralizing, often embarrassing, 9 years after her surgery.       
She died four years ago today.  She was only 49.
FUCK!  I MISS HER!</t>
        </is>
      </c>
      <c r="D5704" t="n">
        <v>61</v>
      </c>
      <c r="E5704" t="n">
        <v>9</v>
      </c>
      <c r="F5704">
        <f>HYPERLINK("https://www.reddit.com/r/cancer/comments/dqqpbn/i_miss_my_sister/")</f>
        <v/>
      </c>
      <c r="G5704" t="inlineStr">
        <is>
          <t>2019-11-02 14:22:57</t>
        </is>
      </c>
      <c r="H5704" t="inlineStr"/>
    </row>
    <row r="5705">
      <c r="A5705" t="inlineStr">
        <is>
          <t>dqsl7q</t>
        </is>
      </c>
      <c r="B5705" t="inlineStr">
        <is>
          <t>Anyone here have tips for long stays in the hospital?</t>
        </is>
      </c>
      <c r="C5705" t="inlineStr">
        <is>
          <t>I am a 17 year old male diagnosed with AML Leukemia 64 days ago. Because of the nature of the disease (being Neutropenic/No immune system) I have to spend every day in the hospital. I am blessed to have a good long term prognosis, successful chemo, and an available bone marrow candidate (shout-out to my brother!) However, the past 2 weeks have been rough: getting sick from my own stomach bacteria, getting pneumonia, and a bad reaction to an antibiotic. Does anyone have advice on how to keep going? 
I have basically everything I need
I take walks when I feel well
My room has many fun decorations
But I still feel so stuck! Any help is appreciated!</t>
        </is>
      </c>
      <c r="D5705" t="n">
        <v>9</v>
      </c>
      <c r="E5705" t="n">
        <v>14</v>
      </c>
      <c r="F5705">
        <f>HYPERLINK("https://www.reddit.com/r/cancer/comments/dqsl7q/anyone_here_have_tips_for_long_stays_in_the/")</f>
        <v/>
      </c>
      <c r="G5705" t="inlineStr">
        <is>
          <t>2019-11-02 16:48:25</t>
        </is>
      </c>
      <c r="H5705" t="inlineStr"/>
    </row>
    <row r="5706">
      <c r="A5706" t="inlineStr">
        <is>
          <t>dqt76s</t>
        </is>
      </c>
      <c r="B5706" t="inlineStr">
        <is>
          <t>i cant stop crying</t>
        </is>
      </c>
      <c r="C5706" t="inlineStr">
        <is>
          <t>my boyfriend is ill, he has an infection and it is spreading from throat to lungs. apparently theres a 20% chance there could be cancer underneath the infection. i cant stop crying all the time i keep praying and i just want to find out now whether he is safe or not. i feel so lost</t>
        </is>
      </c>
      <c r="D5706" t="n">
        <v>1</v>
      </c>
      <c r="E5706" t="n">
        <v>18</v>
      </c>
      <c r="F5706">
        <f>HYPERLINK("https://www.reddit.com/r/cancer/comments/dqt76s/i_cant_stop_crying/")</f>
        <v/>
      </c>
      <c r="G5706" t="inlineStr">
        <is>
          <t>2019-11-02 17:36:56</t>
        </is>
      </c>
      <c r="H5706" t="inlineStr"/>
    </row>
    <row r="5707">
      <c r="A5707" t="inlineStr">
        <is>
          <t>dquh6y</t>
        </is>
      </c>
      <c r="B5707" t="inlineStr">
        <is>
          <t>I have two little boys and one of them is battling leukemia and I am just mad at the world</t>
        </is>
      </c>
      <c r="C5707" t="inlineStr">
        <is>
          <t>I have two boys (6yrs,3yrs) and my younger son was diagnosed with leukemia at 2 years old and I feel like I am suffucating under the weight of it all.
Do you know what it's like to physically have to help hold down my 3 year old every week for spinal taps? Or have to go into the emergency room every time he gets in the slightest fever when every ER visit means we will be there for a minimum of 5 hours and his port will be accessed? You know how easy it is to get a 3 year old to eat anything....well it's even more fun trying to get him to take his daily chemo medication. It's like all of the fun has just been sucked out of our lives. My 6 year old is great but he's still 6 year old and doesn't really care if my husband and I are tapped out. When my son was first diagnosed, we had many people and family offer to help with our older son. I am so done with friends or family telling us to "just let them know how they can help" and then never actually follow through on taking our older son for some fun. I am not expecting people to rearrange their own lives/schedules/families to help but God I feel like it's such an empty promise when you say this and then never actually follow through. 
And guess what? No one is signing up watch your child with leukemia so my husband and I could possibly have a second to breathe. I am stay-at-home right now and for the unforeseen future and it's all just too much. I see no one besides my children and my husband and our doctors. Should I go get therapy? Should everyone in our family go get therapy? Should we all be able to have some fun as a family? Yep but that's just not the way it works with this whole cancer situation. We are just heading into cold and flu season and I swear I'm getting hives over my anxiety over how many trips we will make to the hospital with fevers. I just want so badly to just say fuck it for a day. I just want to have a day-off for my family. I just want to wake up and have this all be a bad dream. I don't recognize myself or my life and I am just unrationally mad when I see families breeze in and out of the emergency room with a broken leg or something like that. I am exhausted by keeping a brave face for my little 3 year old who is just the best and constantly in pain. Due to his specific situation, he  is not walking....he can't even stand up. He used to be on toddler soccer team and could make it up little climbing walls and now he can't even stand. I see families with kids crossing the street at a red light and I'm mad at them - for having to live our life and this makes me frustrated with myself. I don't even know what the point of this post is. I guess I am wondering if there are any other parents out there like us who can relate. I'm not even looking for ideas of what I can do to make my situation more bearable because it's just hard....it hopefully won't be this hard always but right now it's just hard and it's even harder feeling like I'm isolated in this cancer/stay-at-home parent nightmare. 
Thanks to anyone who read this whole thing. Just writing this thing makes me feel like someone can hear all the silent screaming going on in my head.</t>
        </is>
      </c>
      <c r="D5707" t="n">
        <v>76</v>
      </c>
      <c r="E5707" t="n">
        <v>33</v>
      </c>
      <c r="F5707">
        <f>HYPERLINK("https://www.reddit.com/r/cancer/comments/dquh6y/i_have_two_little_boys_and_one_of_them_is/")</f>
        <v/>
      </c>
      <c r="G5707" t="inlineStr">
        <is>
          <t>2019-11-02 19:23:49</t>
        </is>
      </c>
      <c r="H5707" t="inlineStr"/>
    </row>
    <row r="5708">
      <c r="A5708" t="inlineStr">
        <is>
          <t>dqvpx1</t>
        </is>
      </c>
      <c r="B5708" t="inlineStr">
        <is>
          <t>the cancer in my mom</t>
        </is>
      </c>
      <c r="C5708" t="inlineStr">
        <is>
          <t>Sorry in advance it this post is gibberish my mind isnt together right now.
In 2015 my(24f) mom(56) got radiation for cancer on her larynx which worked and she was in remission. She never had a strong voice since then but at the beginning of this year she started having a hard time speaking. She went to her family doctor quite a few times as well as her cancer doctor in a town a few hours away because she was worried since she has had cancer. She works at a school so in June she was off work and we thought she was just burntout after a long year but she didnt get better after a week and her throat was super sore. Trying to be optimistic we were trying to justify her throat hurting thinking since shes been worn out her most vulnerable area would be hurting first. She was still worried so went to her family doctor again and both him and her cancer doctor just said it was acid reflux and prescribed antacids.
She knew it wasnt just that so she was persistent enough that her doctor got her to a throat specialist who really looked at her ordered a PET scan and then ended up doing a biopsy in her throat. They found cancer and Tuesday she let us know that my mom would be getting a total laryngectomy. Today she talked to the doctor who would be doing her surgery and told her the cancer was starting to eat away at the cartiledge in her throat. She was expecting to have the  surgery in December but he said he didnt think she would make it that long. 
I don't know how to process it. Ive been trying to be optimistic because the doctors have been so dismissive. For the past 6 months i thought it wasnt serious and now the doctor says she might not make it until next month like What The FUCK. 
Again sorry about being everywhere i just needed to get it out..</t>
        </is>
      </c>
      <c r="D5708" t="n">
        <v>2</v>
      </c>
      <c r="E5708" t="n">
        <v>2</v>
      </c>
      <c r="F5708">
        <f>HYPERLINK("https://www.reddit.com/r/cancer/comments/dqvpx1/the_cancer_in_my_mom/")</f>
        <v/>
      </c>
      <c r="G5708" t="inlineStr">
        <is>
          <t>2019-11-02 21:21:04</t>
        </is>
      </c>
      <c r="H5708" t="inlineStr"/>
    </row>
    <row r="5709">
      <c r="A5709" t="inlineStr">
        <is>
          <t>dqx5wl</t>
        </is>
      </c>
      <c r="B5709" t="inlineStr">
        <is>
          <t>I need an advice</t>
        </is>
      </c>
      <c r="C5709" t="inlineStr">
        <is>
          <t>Many months ago the girl I love had to go in this clinic for deal with cancer, from 4 months (more or less) I haven't had any notice from her, i don't have any contact with her parents and friends, and I couldn't be with her because she actually was living in another country, she had to travel fast to another city where the clinic was located and where internet inside the clinic wasn't available and everything has been so fast in that period. 2 days ago  after different attempts to get info and many research, I found the clinic. 
I contacted em via email, and they asked me her name. Today has arrived their mail. Only on that moment I've realized that reading that message would have had consequences.
I'm terribly scared to read the worst notice... 
and I couldn't handle that
Only thinking of it, makes me cry.
But I'm hoping so much that she's following the normal procedure, and can't get out and contact me.
I want she knows I'm with her and send her gifts, but I'm so so scared to read that mail. 
I need yours opinion, because I'm not able to decide. I need to hear of u...
What do u think is the right thing to do?</t>
        </is>
      </c>
      <c r="D5709" t="n">
        <v>1</v>
      </c>
      <c r="E5709" t="n">
        <v>0</v>
      </c>
      <c r="F5709">
        <f>HYPERLINK("https://www.reddit.com/r/cancer/comments/dqx5wl/i_need_an_advice/")</f>
        <v/>
      </c>
      <c r="G5709" t="inlineStr">
        <is>
          <t>2019-11-03 00:14:46</t>
        </is>
      </c>
      <c r="H5709" t="inlineStr"/>
    </row>
    <row r="5710">
      <c r="A5710" t="inlineStr">
        <is>
          <t>dqxxrn</t>
        </is>
      </c>
      <c r="B5710" t="inlineStr">
        <is>
          <t>41 M fighting lymphoma, loosing hope</t>
        </is>
      </c>
      <c r="C5710" t="inlineStr">
        <is>
          <t>I am a 41 year old male, I was diagnosed with stage 4 lymphoma in October 2018.  I have been fighting this and trying to have a good outlook. My wife, kids, and family are all supportive.  I had one round of kemo, failed. Bone marrow transplant, failed. Now I am headed to car T cell therapy and looking at a long list of disclosures where everyone ends with "This treatment may kill you".  I am loosing my hope that this is ever going to go away.  I filled out paperwork to donate my body to the medical school if this all goes sideways. Part of me says give it a go, the other part says go get a loan on the house and have some fun before you kick off.  I really don't think I will make it to 42 and I just want to have a good time with my wife and kids and not be sick in bed.
Ok rant over, now to try to sleep before the sun comes up.</t>
        </is>
      </c>
      <c r="D5710" t="n">
        <v>70</v>
      </c>
      <c r="E5710" t="n">
        <v>11</v>
      </c>
      <c r="F5710">
        <f>HYPERLINK("https://www.reddit.com/r/cancer/comments/dqxxrn/41_m_fighting_lymphoma_loosing_hope/")</f>
        <v/>
      </c>
      <c r="G5710" t="inlineStr">
        <is>
          <t>2019-11-03 01:04:52</t>
        </is>
      </c>
      <c r="H5710" t="inlineStr"/>
    </row>
    <row r="5711">
      <c r="A5711" t="inlineStr">
        <is>
          <t>dqym54</t>
        </is>
      </c>
      <c r="B5711" t="inlineStr">
        <is>
          <t>I need an advice</t>
        </is>
      </c>
      <c r="C5711" t="inlineStr">
        <is>
          <t xml:space="preserve">
Many months ago the girl I love had to go in this clinic for deal with cancer, from 4 months (more or less) I haven't had any notice from her, i don't have any contact with her parents and friends, and I couldn't be with her because she actually was living in another country, had to travel fast to another city where the clinic was located and where internet inside the clinic wasn't available and everything has been so fast in that period. 3 days ago  after many attempts to get info and many research, I found the clinic. 
I contacted em via email, and they asked me her name. Today has arrived their mail. Only on that moment I've realized that reading that message would have had consequences.
I'm terribly scared to read the worst notice... 
and I couldn't handle that
Only thinking of it, makes me cry.
But I'm hoping so much that she's following the normal procedure, and can't get out and contact me.
I want she knows I'm with her, travel there and send her gifts, but I'm so so scared to read that mail...
I need yours opinion, because I'm not able to decide. I need to hear of u...
it is normal that I haven't been contacted in any way in those months probably because she is staying 24/24 at the clinic?
What do u think is the right thing to do</t>
        </is>
      </c>
      <c r="D5711" t="n">
        <v>1</v>
      </c>
      <c r="E5711" t="n">
        <v>0</v>
      </c>
      <c r="F5711">
        <f>HYPERLINK("https://www.reddit.com/r/cancer/comments/dqym54/i_need_an_advice/")</f>
        <v/>
      </c>
      <c r="G5711" t="inlineStr">
        <is>
          <t>2019-11-03 02:26:43</t>
        </is>
      </c>
      <c r="H5711" t="inlineStr"/>
    </row>
    <row r="5712">
      <c r="A5712" t="inlineStr">
        <is>
          <t>dqyya4</t>
        </is>
      </c>
      <c r="B5712" t="inlineStr">
        <is>
          <t>I need an advice</t>
        </is>
      </c>
      <c r="C5712" t="inlineStr">
        <is>
          <t xml:space="preserve">
Many months ago the girl I love had to go in this clinic for deal with cancer, from 4 months (more or less) I haven't had any notice from her, i don't have any contact with her parents and friends, and I couldn't be with her because she actually was living in another country, had to travel fast to another city where the clinic was located and where internet inside the clinic wasn't available and everything has been so fast in that period. 3 days ago  after many attempts to get info and many research, I found the clinic. 
I contacted em via email, and they asked me her name. Today has arrived their mail. Only on that moment I've realized that reading that message would have had consequences.
I'm terribly scared to read the worst notice... 
and I couldn't handle that
Only thinking of it, makes me cry.
But I'm hoping so much that she's following the normal procedure, and can't get out and contact me.
I want she knows I'm with her, travel there and send her gifts, but I'm so so scared to read that mail...
I need yours opinion, because I'm not able to decide. I need to hear of u...
it is normal that I haven't been contacted in any way in those months probably because she is staying 24/24 at the clinic?
What do u think is the right thing to do</t>
        </is>
      </c>
      <c r="D5712" t="n">
        <v>1</v>
      </c>
      <c r="E5712" t="n">
        <v>0</v>
      </c>
      <c r="F5712">
        <f>HYPERLINK("https://www.reddit.com/r/cancer/comments/dqyya4/i_need_an_advice/")</f>
        <v/>
      </c>
      <c r="G5712" t="inlineStr">
        <is>
          <t>2019-11-03 03:03:48</t>
        </is>
      </c>
      <c r="H5712" t="inlineStr"/>
    </row>
    <row r="5713">
      <c r="A5713" t="inlineStr">
        <is>
          <t>dr0c27</t>
        </is>
      </c>
      <c r="B5713" t="inlineStr">
        <is>
          <t>My mum ha terminal cancer and I don't know how to handle it</t>
        </is>
      </c>
      <c r="C5713" t="inlineStr">
        <is>
          <t>My mum was diagnosed with breast cancer and bone cancer metastasis 10 years ago. I was 18, I'm 28 now and I'm so tired. I just wish I could have my mom back, but she is getting worse everyday, she's in extreme pain and the doctors don't know how to handle this aspect anymore. The cancer is spreading and there are no more cures available, she has tried everything. She's a worrior, I love her so much and I'm too young to lose my mum. She won't see me having kids, get married or move out and start my life. When doctors told us she was terminal in July, I was dating a guy and I seriously thought about introducing him to her, when I found out he was cheating on me and was seeing another person. I'm really trying to stay strong, to show her that I have things figured out so that I'll be fine when she be gone, I don't want her to worry for me, but I feel like a failure. Mu life is on hold since I was 18 as I can't really have a normal routine or time for a relationship and I feel like everything is going in the wrong direction. I would just like be able to show her that I'll be doing fine and that she's the best mom in the world, but I can't help being sad and weak sometimes.. She knows I'm not happy but I can't help it, I feel like I'm failing her.. I just want my parents to be ok</t>
        </is>
      </c>
      <c r="D5713" t="n">
        <v>5</v>
      </c>
      <c r="E5713" t="n">
        <v>6</v>
      </c>
      <c r="F5713">
        <f>HYPERLINK("https://www.reddit.com/r/cancer/comments/dr0c27/my_mum_ha_terminal_cancer_and_i_dont_know_how_to/")</f>
        <v/>
      </c>
      <c r="G5713" t="inlineStr">
        <is>
          <t>2019-11-03 05:26:02</t>
        </is>
      </c>
      <c r="H5713" t="inlineStr"/>
    </row>
    <row r="5714">
      <c r="A5714" t="inlineStr">
        <is>
          <t>dr3gwh</t>
        </is>
      </c>
      <c r="B5714" t="inlineStr">
        <is>
          <t>Had a dream</t>
        </is>
      </c>
      <c r="C5714" t="inlineStr">
        <is>
          <t>I had a dream that I got a call from my mom. She said my dad had some news to tell me about his health and that he wasn’t able to get ahold of me for whatever reason. I started to panic in my dream. 
Thankfully a phone call woke me up before I continued to relive my life through a dream. 
Every dream that I’ve had of him has been him being sick. Why can’t I have a dream of him being full of life? 
I want to hear his voice and see his face and feel his stubble on my cheeks again.
I miss you dad..</t>
        </is>
      </c>
      <c r="D5714" t="n">
        <v>2</v>
      </c>
      <c r="E5714" t="n">
        <v>2</v>
      </c>
      <c r="F5714">
        <f>HYPERLINK("https://www.reddit.com/r/cancer/comments/dr3gwh/had_a_dream/")</f>
        <v/>
      </c>
      <c r="G5714" t="inlineStr">
        <is>
          <t>2019-11-03 09:18:34</t>
        </is>
      </c>
      <c r="H5714" t="inlineStr"/>
    </row>
    <row r="5715">
      <c r="A5715" t="inlineStr">
        <is>
          <t>dr3jkn</t>
        </is>
      </c>
      <c r="B5715" t="inlineStr">
        <is>
          <t>How can I be helpful to sister-in-law going through chemo?</t>
        </is>
      </c>
      <c r="C5715" t="inlineStr">
        <is>
          <t>My sister-in law is currently undergoing chemo for breast cancer. It's stage 3. She doesn't live in a western country, I do and I'm going to go see her soon. 
I just wanted to know if there's anything I can get for her from here that would be helpful. 
I do plan on spending time with her, helping her with the house and kids as much as I can, but I just want to help in whatever way possible?</t>
        </is>
      </c>
      <c r="D5715" t="n">
        <v>3</v>
      </c>
      <c r="E5715" t="n">
        <v>3</v>
      </c>
      <c r="F5715">
        <f>HYPERLINK("https://www.reddit.com/r/cancer/comments/dr3jkn/how_can_i_be_helpful_to_sisterinlaw_going_through/")</f>
        <v/>
      </c>
      <c r="G5715" t="inlineStr">
        <is>
          <t>2019-11-03 09:23:37</t>
        </is>
      </c>
      <c r="H5715" t="inlineStr"/>
    </row>
    <row r="5716">
      <c r="A5716" t="inlineStr">
        <is>
          <t>dr4mxr</t>
        </is>
      </c>
      <c r="B5716" t="inlineStr">
        <is>
          <t>I need an advice...</t>
        </is>
      </c>
      <c r="C5716" t="inlineStr">
        <is>
          <t xml:space="preserve">
Many months ago the girl I love had to go in this clinic for deal with cancer, from 4 months (more or less) I haven't had any notice from her, i don't have any contact with her parents and friends, and I couldn't be with her because she actually was living in another country, had to travel fast to another city where the clinic was located and where internet inside the clinic wasn't available and everything has been so fast in that period. 3 days ago  after many attempts to get info and many research, I found the clinic. 
I contacted em via email, and they asked me her name. Today has arrived their mail. Only on that moment I've realized that reading that message would have had consequences.
I'm terribly scared to read the worst notice... 
and I couldn't handle that
Only thinking of it, makes me cry.
But I'm hoping so much that she's following the normal procedure, and can't get out and contact me.
I want she knows I'm with her, travel there and send her gifts, but I'm so so scared to read that mail...
I need yours opinion, because I'm not able to decide. I need to hear of u...
it is normal that I haven't been contacted in any way in those months probably because she is staying 24/24 at the clinic?
What do u think is the right thing to do?</t>
        </is>
      </c>
      <c r="D5716" t="n">
        <v>2</v>
      </c>
      <c r="E5716" t="n">
        <v>0</v>
      </c>
      <c r="F5716">
        <f>HYPERLINK("https://www.reddit.com/r/cancer/comments/dr4mxr/i_need_an_advice/")</f>
        <v/>
      </c>
      <c r="G5716" t="inlineStr">
        <is>
          <t>2019-11-03 10:41:15</t>
        </is>
      </c>
      <c r="H5716" t="inlineStr"/>
    </row>
    <row r="5717">
      <c r="A5717" t="inlineStr">
        <is>
          <t>dr4ppv</t>
        </is>
      </c>
      <c r="B5717" t="inlineStr">
        <is>
          <t>Where does everyone see themselves in 10 years?</t>
        </is>
      </c>
      <c r="C5717" t="inlineStr">
        <is>
          <t>Tell me about your upcoming goals.</t>
        </is>
      </c>
      <c r="D5717" t="n">
        <v>0</v>
      </c>
      <c r="E5717" t="n">
        <v>8</v>
      </c>
      <c r="F5717">
        <f>HYPERLINK("https://www.reddit.com/r/cancer/comments/dr4ppv/where_does_everyone_see_themselves_in_10_years/")</f>
        <v/>
      </c>
      <c r="G5717" t="inlineStr">
        <is>
          <t>2019-11-03 10:47:00</t>
        </is>
      </c>
      <c r="H5717" t="inlineStr"/>
    </row>
    <row r="5718">
      <c r="A5718" t="inlineStr">
        <is>
          <t>dr4vno</t>
        </is>
      </c>
      <c r="B5718" t="inlineStr">
        <is>
          <t>Insurance plan</t>
        </is>
      </c>
      <c r="C5718" t="inlineStr">
        <is>
          <t>What is the best Medicaid insurance plan in nyc</t>
        </is>
      </c>
      <c r="D5718" t="n">
        <v>2</v>
      </c>
      <c r="E5718" t="n">
        <v>1</v>
      </c>
      <c r="F5718">
        <f>HYPERLINK("https://www.reddit.com/r/cancer/comments/dr4vno/insurance_plan/")</f>
        <v/>
      </c>
      <c r="G5718" t="inlineStr">
        <is>
          <t>2019-11-03 10:58:31</t>
        </is>
      </c>
      <c r="H5718" t="inlineStr"/>
    </row>
    <row r="5719">
      <c r="A5719" t="inlineStr">
        <is>
          <t>dr67i4</t>
        </is>
      </c>
      <c r="B5719" t="inlineStr">
        <is>
          <t>Any single ladies here battling cancer and looking for support?</t>
        </is>
      </c>
      <c r="C5719" t="inlineStr">
        <is>
          <t>I am afraid of long term commitment but am willing to entertain for a couple months.</t>
        </is>
      </c>
      <c r="D5719" t="n">
        <v>0</v>
      </c>
      <c r="E5719" t="n">
        <v>9</v>
      </c>
      <c r="F5719">
        <f>HYPERLINK("https://www.reddit.com/r/cancer/comments/dr67i4/any_single_ladies_here_battling_cancer_and/")</f>
        <v/>
      </c>
      <c r="G5719" t="inlineStr">
        <is>
          <t>2019-11-03 12:28:59</t>
        </is>
      </c>
      <c r="H5719" t="inlineStr"/>
    </row>
    <row r="5720">
      <c r="A5720" t="inlineStr">
        <is>
          <t>dr6hll</t>
        </is>
      </c>
      <c r="B5720" t="inlineStr">
        <is>
          <t>Colorectal cancer liver resection?</t>
        </is>
      </c>
      <c r="C5720" t="inlineStr">
        <is>
          <t>I was wondering if anyone here has had a liver resection with stage IV colorectal cancer
My dad is 49m getting a liver resection in about 4 days. There's a 50% chance the cancer will be cured forever, and a 50% chance it will come back. I'm extremely nervous about this surgery. I just want this all to be over with and for me to have my dad here with me for a long time.
Has anyone else had success with this surgery or anything similar?</t>
        </is>
      </c>
      <c r="D5720" t="n">
        <v>1</v>
      </c>
      <c r="E5720" t="n">
        <v>5</v>
      </c>
      <c r="F5720">
        <f>HYPERLINK("https://www.reddit.com/r/cancer/comments/dr6hll/colorectal_cancer_liver_resection/")</f>
        <v/>
      </c>
      <c r="G5720" t="inlineStr">
        <is>
          <t>2019-11-03 12:48:54</t>
        </is>
      </c>
      <c r="H5720" t="inlineStr"/>
    </row>
    <row r="5721">
      <c r="A5721" t="inlineStr">
        <is>
          <t>dr6s5m</t>
        </is>
      </c>
      <c r="B5721" t="inlineStr">
        <is>
          <t>Birthday Struggles</t>
        </is>
      </c>
      <c r="C5721" t="inlineStr">
        <is>
          <t>Idk if I‘m just weird, so I‘d appreciate some other ppls opinions on this. It‘s my second birthday after diagnosis, and everyone keeps being all excited about it when honestly I feel miserable. I turned 25 today and my diagnosis honestly gives me a slim percentage to even make it to 30, so people being positive about it really rubs me the wrong way. Does anyone feel the same? How do you guys deal with your birthdays?</t>
        </is>
      </c>
      <c r="D5721" t="n">
        <v>5</v>
      </c>
      <c r="E5721" t="n">
        <v>6</v>
      </c>
      <c r="F5721">
        <f>HYPERLINK("https://www.reddit.com/r/cancer/comments/dr6s5m/birthday_struggles/")</f>
        <v/>
      </c>
      <c r="G5721" t="inlineStr">
        <is>
          <t>2019-11-03 13:09:30</t>
        </is>
      </c>
      <c r="H5721" t="inlineStr"/>
    </row>
    <row r="5722">
      <c r="A5722" t="inlineStr">
        <is>
          <t>dr6tye</t>
        </is>
      </c>
      <c r="B5722" t="inlineStr">
        <is>
          <t>What do you do when a loved one is dying of cancer and was a serious provider to the household?</t>
        </is>
      </c>
      <c r="C5722" t="inlineStr">
        <is>
          <t>And who also did most of the paperwork for bills and such? And what if their SO threatened to kick you out once that person died?</t>
        </is>
      </c>
      <c r="D5722" t="n">
        <v>2</v>
      </c>
      <c r="E5722" t="n">
        <v>15</v>
      </c>
      <c r="F5722">
        <f>HYPERLINK("https://www.reddit.com/r/cancer/comments/dr6tye/what_do_you_do_when_a_loved_one_is_dying_of/")</f>
        <v/>
      </c>
      <c r="G5722" t="inlineStr">
        <is>
          <t>2019-11-03 13:12:53</t>
        </is>
      </c>
      <c r="H5722" t="inlineStr"/>
    </row>
    <row r="5723">
      <c r="A5723" t="inlineStr">
        <is>
          <t>dr7bn7</t>
        </is>
      </c>
      <c r="B5723" t="inlineStr">
        <is>
          <t>I need advice...</t>
        </is>
      </c>
      <c r="C5723" t="inlineStr">
        <is>
          <t xml:space="preserve">
Many months ago the girl I love had to go in this clinic for deal with cancer, from 4 months (more or less) I haven't had any notice from her, i don't have any contact with her parents and friends, and I couldn't be with her because she actually was living in another country, had to travel fast to another city where the clinic was located and where internet inside the clinic wasn't available and everything has been so fast in that period. 3 days ago  after many attempts to get info and many research, I found the clinic. 
I contacted em via email, and they asked me her name. Today has arrived their mail. Only on that moment I've realized that reading that message would have had consequences.
I'm terribly scared to read the worst notice... 
and I couldn't handle that
Only thinking of it, makes me cry.
But I'm hoping so much that she's following the normal procedure, and can't get out and contact me.
I want she knows I'm with her, travel there and send her gifts, but I'm so so scared to read that mail...
I need yours opinion, because I'm not able to decide. I need to hear of u...
it is normal that I haven't been contacted in any way in those months probably because she is staying 24/24 at the clinic?
What do u think is the right thing to do?</t>
        </is>
      </c>
      <c r="D5723" t="n">
        <v>1</v>
      </c>
      <c r="E5723" t="n">
        <v>0</v>
      </c>
      <c r="F5723">
        <f>HYPERLINK("https://www.reddit.com/r/cancer/comments/dr7bn7/i_need_advice/")</f>
        <v/>
      </c>
      <c r="G5723" t="inlineStr">
        <is>
          <t>2019-11-03 13:48:17</t>
        </is>
      </c>
      <c r="H5723" t="inlineStr"/>
    </row>
    <row r="5724">
      <c r="A5724" t="inlineStr">
        <is>
          <t>dr8tqi</t>
        </is>
      </c>
      <c r="B5724" t="inlineStr">
        <is>
          <t>Mom doesn’t look good...</t>
        </is>
      </c>
      <c r="C5724" t="inlineStr">
        <is>
          <t>Sorry I post here so much but I have no idea where else to go. 
So today my mom just did not look good, she was struggling to breathe but didn’t want to go to the hospital. I was very nervous all day long about it because I could not convince her to go to the ER. I made her promise me that if it gets any worse she’ll go and her boyfriend agreed. She is also eating very little and won’t drink like ensure or anything. 
I’m just so nervous guys. I have no idea what to do. I want to be there every second for my mom but I can’t because I have to work obviously. I find myself constantly worried that something’s going to happen and I won’t me there.</t>
        </is>
      </c>
      <c r="D5724" t="n">
        <v>20</v>
      </c>
      <c r="E5724" t="n">
        <v>6</v>
      </c>
      <c r="F5724">
        <f>HYPERLINK("https://www.reddit.com/r/cancer/comments/dr8tqi/mom_doesnt_look_good/")</f>
        <v/>
      </c>
      <c r="G5724" t="inlineStr">
        <is>
          <t>2019-11-03 15:37:55</t>
        </is>
      </c>
      <c r="H5724" t="inlineStr"/>
    </row>
    <row r="5725">
      <c r="A5725" t="inlineStr">
        <is>
          <t>dr9kvb</t>
        </is>
      </c>
      <c r="B5725" t="inlineStr">
        <is>
          <t>What should someone know before dating a person with cancer?</t>
        </is>
      </c>
      <c r="C5725" t="inlineStr">
        <is>
          <t>I've recently started dating a man who has cancer, and from how he speaks about it it may be terminal. It's a very heavy time, but I'm looking to be supportive and bring some happiness where I can.
We weren't dating for long before the diagnosis, so we don't have a lot of history pre-cancer for what it's worth. He's wonderful though and I can't imagine leaving him to deal with this on his own. He's feeling guilty about our romantic relationship, but I'm trying to quell the guilt and at least support him as a friend until he's comfortable accepting romantic interest.
What are some things I should keep in mind? Things I should ask or avoid asking? What are some ways I can support him when he's feeling hopeless and down? I work in healthcare and have previous experience in mental health, but I've never had someone so young and so close to me in such a situation. What else do you wish your partner knew without you having to say?
He has a great support system in place already. I have great friends/family, and am looking into a therapist pre-emptively.</t>
        </is>
      </c>
      <c r="D5725" t="n">
        <v>14</v>
      </c>
      <c r="E5725" t="n">
        <v>13</v>
      </c>
      <c r="F5725">
        <f>HYPERLINK("https://www.reddit.com/r/cancer/comments/dr9kvb/what_should_someone_know_before_dating_a_person/")</f>
        <v/>
      </c>
      <c r="G5725" t="inlineStr">
        <is>
          <t>2019-11-03 16:33:37</t>
        </is>
      </c>
      <c r="H5725" t="inlineStr"/>
    </row>
    <row r="5726">
      <c r="A5726" t="inlineStr">
        <is>
          <t>draely</t>
        </is>
      </c>
      <c r="B5726" t="inlineStr">
        <is>
          <t>i dont know what to do</t>
        </is>
      </c>
      <c r="C5726" t="inlineStr">
        <is>
          <t>my brother has had cancer for nearly two years and i dont know what to do anymore</t>
        </is>
      </c>
      <c r="D5726" t="n">
        <v>4</v>
      </c>
      <c r="E5726" t="n">
        <v>0</v>
      </c>
      <c r="F5726">
        <f>HYPERLINK("https://www.reddit.com/r/cancer/comments/draely/i_dont_know_what_to_do/")</f>
        <v/>
      </c>
      <c r="G5726" t="inlineStr">
        <is>
          <t>2019-11-03 17:36:32</t>
        </is>
      </c>
      <c r="H5726" t="inlineStr"/>
    </row>
    <row r="5727">
      <c r="A5727" t="inlineStr">
        <is>
          <t>drclih</t>
        </is>
      </c>
      <c r="B5727" t="inlineStr">
        <is>
          <t>Cancer Support groups or Cancer Survivors in India</t>
        </is>
      </c>
      <c r="C5727" t="inlineStr">
        <is>
          <t>My friend just found out that her relative's cancer is starting to spread again, and honestly speaking her faith in doctors in India has dropped. I'm reaching out to find out if there are any survivors or support groups in India that could provide any sort of advice. 
Thanks for your help,
(Feel free to dm me if you want to keep it private)</t>
        </is>
      </c>
      <c r="D5727" t="n">
        <v>3</v>
      </c>
      <c r="E5727" t="n">
        <v>0</v>
      </c>
      <c r="F5727">
        <f>HYPERLINK("https://www.reddit.com/r/cancer/comments/drclih/cancer_support_groups_or_cancer_survivors_in_india/")</f>
        <v/>
      </c>
      <c r="G5727" t="inlineStr">
        <is>
          <t>2019-11-03 20:34:32</t>
        </is>
      </c>
      <c r="H5727" t="inlineStr"/>
    </row>
    <row r="5728">
      <c r="A5728" t="inlineStr">
        <is>
          <t>drcyi4</t>
        </is>
      </c>
      <c r="B5728" t="inlineStr">
        <is>
          <t>Doing my scans today</t>
        </is>
      </c>
      <c r="C5728" t="inlineStr">
        <is>
          <t>This is the worst, it feels like I'm going to court to get my virdict and it can be I'm free or I can get death sentence, I hate scanday and I always will, it's really rough
How do you guys handle these day?
&amp;lt;3</t>
        </is>
      </c>
      <c r="D5728" t="n">
        <v>11</v>
      </c>
      <c r="E5728" t="n">
        <v>13</v>
      </c>
      <c r="F5728">
        <f>HYPERLINK("https://www.reddit.com/r/cancer/comments/drcyi4/doing_my_scans_today/")</f>
        <v/>
      </c>
      <c r="G5728" t="inlineStr">
        <is>
          <t>2019-11-03 21:08:20</t>
        </is>
      </c>
      <c r="H5728" t="inlineStr"/>
    </row>
    <row r="5729">
      <c r="A5729" t="inlineStr">
        <is>
          <t>drdbpm</t>
        </is>
      </c>
      <c r="B5729" t="inlineStr">
        <is>
          <t>i’m watching my mom die.</t>
        </is>
      </c>
      <c r="C5729" t="inlineStr">
        <is>
          <t>her birthday was two weeks ago. we took her to a nice restaurant and had cake at home. my dad took so many photos and videos. it hurt knowing that he was doing this because she’ll be dead soon.
at least that’s what the oncologist has alluded to. “around for halloween, thanksgiving.” no christmas. no new years. she was originally given 2 months to live when we found out last year. she’s gone through radiation, several chemotherapies, immunotherapy. some helped, but not much. she’s looking into hospice now. she’s in constant pain despite the medicine and medical marijuana.
i suffer from depression. i’ve been off my meds for almost two months. obviously not helpful. i’m angry all the time and when i’m not angry, i’m crying. i’m angry she smoked for decades. i’m angry she still smokes. i’m angry i’ve been her main caretaker for over a year. i quit my job. i failed two semesters of college (one due to a hurricane/breakup/taking care of my mom combo, and the other from just taking care of her). my brothers are kept in the dark about her state because one is doing “so well” at his college that if he finds out, he’ll “fuck it up.” the other keeps fucking up and if he finds out, “he’ll spiral and do something stupid. again.” according to my mom.
so i get saddled with all the information. the caretaking. i’m angry about it. what about my mental health? i’m angry nobody helps. i’m angry my mom won’t let anybody else help. i’m angry that i feel so selfish. she won’t be here to see me or my brothers graduate college, get married, or have kids. she won’t be here for me to ask for advice. i won’t be able to take her on trips like i envisioned, once i had a career and the money for it. i’m saving all her texts, voicemails. i’m scared of her dying. she’s been the only constant in my life and now she’ll be gone.
she isn’t dead, but i feel like she died a while ago. she can’t remember anything. it’s hard to hold a conversation because she can’t connect her brain to her mouth. i translate what she means when we go places and she has to talk to a doctor or anybody else. sometimes she has good days. but lately it’s all been bad. i’ve barely seen her leave her room, much less the bed. i want my mom back. i want to stop being angry and sad.
its hard to find a place to cry. i cry alone in the car or when i’m working at the barn. i’m mad my boyfriend’s cousin has cancer, but all he has to do is take a pill once a day because of some genetic mutation? it’s not fair. i’m fucking distraught. i feel so alone. i need a giant field where i can just scream until my throat bleeds and nobody will hear.
i’ll probably delete this. i’m sorry. its almost midnight and i cant sleep from crying so much. i just needed to put this somewhere where i might be understood</t>
        </is>
      </c>
      <c r="D5729" t="n">
        <v>63</v>
      </c>
      <c r="E5729" t="n">
        <v>10</v>
      </c>
      <c r="F5729">
        <f>HYPERLINK("https://www.reddit.com/r/cancer/comments/drdbpm/im_watching_my_mom_die/")</f>
        <v/>
      </c>
      <c r="G5729" t="inlineStr">
        <is>
          <t>2019-11-03 21:44:04</t>
        </is>
      </c>
      <c r="H5729" t="inlineStr"/>
    </row>
    <row r="5730">
      <c r="A5730" t="inlineStr">
        <is>
          <t>drfju5</t>
        </is>
      </c>
      <c r="B5730" t="inlineStr">
        <is>
          <t>I need advice...</t>
        </is>
      </c>
      <c r="C5730" t="inlineStr">
        <is>
          <t xml:space="preserve">
Many months ago the girl I love had to go in this clinic for deal with cancer, from 4 months (more or less) I haven't had any notice from her, i don't have any contact with her parents and friends, and I couldn't be with her because she actually was living in another country, had to travel fast to another city where the clinic was located and where internet inside the clinic wasn't available and everything has been so fast in that period. 3 days ago  after many attempts to get info and many research, I found the clinic. 
I contacted em via email, and they asked me her name. Today has arrived their mail. Only on that moment I've realized that reading that message would have had consequences.
I'm terribly scared to read the worst notice... 
and I couldn't handle that
Only thinking of it, makes me cry.
But I'm hoping so much that she's following the normal procedure, and can't get out and contact me.
I want she knows I'm with her, travel there and send her gifts, but I'm so so scared to read that mail...
I need yours opinion, because I'm not able to decide. I need to hear of u...
it is normal that I haven't been contacted in any way in those months probably because she is staying 24/24 at the clinic?
What do u think is the right thing to do?</t>
        </is>
      </c>
      <c r="D5730" t="n">
        <v>2</v>
      </c>
      <c r="E5730" t="n">
        <v>0</v>
      </c>
      <c r="F5730">
        <f>HYPERLINK("https://www.reddit.com/r/cancer/comments/drfju5/i_need_advice/")</f>
        <v/>
      </c>
      <c r="G5730" t="inlineStr">
        <is>
          <t>2019-11-04 02:00:33</t>
        </is>
      </c>
      <c r="H5730" t="inlineStr"/>
    </row>
    <row r="5731">
      <c r="A5731" t="inlineStr">
        <is>
          <t>drgsgn</t>
        </is>
      </c>
      <c r="B5731" t="inlineStr">
        <is>
          <t>Thought we had more time</t>
        </is>
      </c>
      <c r="C5731" t="inlineStr">
        <is>
          <t>But apparently Mom is getting thinner &amp;amp; thinner, only nutrition is Boost. Her pain is becoming unbearable. My sister wants hospice/pain management involved but Mom trying to tough it out. I get texts every day now with poor updates. Have tix to fly up for Thanksgiving but I’m afraid it’ll be too late. I can’t let her go without saying goodbye. I have 2 kids in school but old enough to take care of themself. Should I fly up this weekend??? This all feels like a bad effin dream</t>
        </is>
      </c>
      <c r="D5731" t="n">
        <v>10</v>
      </c>
      <c r="E5731" t="n">
        <v>5</v>
      </c>
      <c r="F5731">
        <f>HYPERLINK("https://www.reddit.com/r/cancer/comments/drgsgn/thought_we_had_more_time/")</f>
        <v/>
      </c>
      <c r="G5731" t="inlineStr">
        <is>
          <t>2019-11-04 04:15:06</t>
        </is>
      </c>
      <c r="H5731" t="inlineStr"/>
    </row>
    <row r="5732">
      <c r="A5732" t="inlineStr">
        <is>
          <t>drhn7q</t>
        </is>
      </c>
      <c r="B5732" t="inlineStr">
        <is>
          <t>Bioenergy healing</t>
        </is>
      </c>
      <c r="C5732" t="inlineStr">
        <is>
          <t>Hello,
I am a professional bioenergy practitioner that have had success with improving quality of life of cancer patients under heavy treatments.
 I will offer sessions to anyone who wants it from distance for free, simply leaving the possibility to donate if you want to support me.
Contact me through PM if you are interested, and have a great day.
(For information. my practice is a kind of energy healing taking principles from the teaching of Dr. Luc Bodin and other schools in France and South Korea)</t>
        </is>
      </c>
      <c r="D5732" t="n">
        <v>0</v>
      </c>
      <c r="E5732" t="n">
        <v>0</v>
      </c>
      <c r="F5732">
        <f>HYPERLINK("https://www.reddit.com/r/cancer/comments/drhn7q/bioenergy_healing/")</f>
        <v/>
      </c>
      <c r="G5732" t="inlineStr">
        <is>
          <t>2019-11-04 05:31:33</t>
        </is>
      </c>
      <c r="H5732" t="inlineStr"/>
    </row>
    <row r="5733">
      <c r="A5733" t="inlineStr">
        <is>
          <t>dri6oq</t>
        </is>
      </c>
      <c r="B5733" t="inlineStr">
        <is>
          <t>Immunotherapy Side Effects?</t>
        </is>
      </c>
      <c r="C5733" t="inlineStr">
        <is>
          <t>My father-in-law has stage 4 lung cancer with bone mets. He is in a lot of pain, and he is basing his treatment on what will make his remaining days as enjoyable as possible. He starts Keytruda tomorrow, however the doctor has told him that there may be some painful side effects after his first treatment. Has anyone experienced this, and did it last? I worry that if he has a bad experience with his first treatment that he won't pursue it. I would love to hear your experiences so I can hopefully calm some of his nerves.
Thank you!</t>
        </is>
      </c>
      <c r="D5733" t="n">
        <v>4</v>
      </c>
      <c r="E5733" t="n">
        <v>10</v>
      </c>
      <c r="F5733">
        <f>HYPERLINK("https://www.reddit.com/r/cancer/comments/dri6oq/immunotherapy_side_effects/")</f>
        <v/>
      </c>
      <c r="G5733" t="inlineStr">
        <is>
          <t>2019-11-04 06:16:42</t>
        </is>
      </c>
      <c r="H5733" t="inlineStr"/>
    </row>
    <row r="5734">
      <c r="A5734" t="inlineStr">
        <is>
          <t>drie20</t>
        </is>
      </c>
      <c r="B5734" t="inlineStr">
        <is>
          <t>The hardest part of dealing with cancer (for me) is telling family and friends and their reactions.</t>
        </is>
      </c>
      <c r="C5734" t="inlineStr">
        <is>
          <t>I’m a very stoic person. I have emotions but don’t show or express it. Several people have commented how strong I am, and that I never complain about my predicament and take it in my stride.
But it really hurts me that my cancer and my possible death hurts people.
Especially my brother. My mum is an alcoholic and his dad “we are half brothers” spend all his time chasing Eastern European women for a wife and sex etc and doesn’t show my brother any attention or love.
If I die it would devastate him. I’m actually very concerned he could harm himself.
He just called me earlier from Dubai where he works drunk and emotional.
He’s not as mentally strong as I am, just physically.
My mum also told me if I die she will “top herself” commit suicide.
I told my brother not to get too emotional because it doesn’t help me. 
Maybe I’m being too unemotional.
I mean if I die and I don’t want to it sucks. But I don’t want my death to destroy other people’s life’s.</t>
        </is>
      </c>
      <c r="D5734" t="n">
        <v>44</v>
      </c>
      <c r="E5734" t="n">
        <v>18</v>
      </c>
      <c r="F5734">
        <f>HYPERLINK("https://www.reddit.com/r/cancer/comments/drie20/the_hardest_part_of_dealing_with_cancer_for_me_is/")</f>
        <v/>
      </c>
      <c r="G5734" t="inlineStr">
        <is>
          <t>2019-11-04 06:32:29</t>
        </is>
      </c>
      <c r="H5734" t="inlineStr"/>
    </row>
    <row r="5735">
      <c r="A5735" t="inlineStr">
        <is>
          <t>drimdl</t>
        </is>
      </c>
      <c r="B5735" t="inlineStr">
        <is>
          <t>Found out I have Thyroid Cancer</t>
        </is>
      </c>
      <c r="C5735" t="inlineStr">
        <is>
          <t>Last week I was told I have Thyroid Cancer.  I know this is a fairly easy cancer to deal with (my doctor told me if he had to pick one to have it would be this one), but it's still cancer and still scary.  My dad passed away barely two years ago from cancer, so telling my family this was really hard.  I'm stuck in kind of a funk while I wait for my surgery to happen, as that is the next step I really can't do anything.
They told me I wouldn't have to do radiation or chemo therapy but instead I have to do radioactive iodine treatment before I do a scan to see if I'm cancer free.  My wife and I have been doing a lot of reading about radioactive iodine and there is a ton of information out there.  Basically what I'm taking it as, once I can go home I almost have to stay in a room by myself after its all done throw away everything I touched and wrap/cover everything we cant throw away.  Anyone here who has done it,  what was your experience like with radioactive iodine? How did you pass the time?  What did you do to prepare for it?  What was the hardest part for you?
Any tips would be appreciated.  This funk I'm in kind of has made everything numb while I'm still processing everything.  This subreddit helped out so much while I was dealing with my Dad, so I know I can trust you in helping me through this.</t>
        </is>
      </c>
      <c r="D5735" t="n">
        <v>8</v>
      </c>
      <c r="E5735" t="n">
        <v>13</v>
      </c>
      <c r="F5735">
        <f>HYPERLINK("https://www.reddit.com/r/cancer/comments/drimdl/found_out_i_have_thyroid_cancer/")</f>
        <v/>
      </c>
      <c r="G5735" t="inlineStr">
        <is>
          <t>2019-11-04 06:49:50</t>
        </is>
      </c>
      <c r="H5735" t="inlineStr"/>
    </row>
    <row r="5736">
      <c r="A5736" t="inlineStr">
        <is>
          <t>dritv6</t>
        </is>
      </c>
      <c r="B5736" t="inlineStr">
        <is>
          <t>Frustrated finding a wig</t>
        </is>
      </c>
      <c r="C5736" t="inlineStr">
        <is>
          <t>This wig is not for me but for my mother in law who has already lost her hair in her second round of chemo. Every year for about 6 years now I have donated 12 inches of my hair because my hair grows super fast and straight. Now that we need one for my mother in law we cannot find one without paying hundreds. Does anyone know a good source for wigs? We are having the hardest time.</t>
        </is>
      </c>
      <c r="D5736" t="n">
        <v>2</v>
      </c>
      <c r="E5736" t="n">
        <v>6</v>
      </c>
      <c r="F5736">
        <f>HYPERLINK("https://www.reddit.com/r/cancer/comments/dritv6/frustrated_finding_a_wig/")</f>
        <v/>
      </c>
      <c r="G5736" t="inlineStr">
        <is>
          <t>2019-11-04 07:05:35</t>
        </is>
      </c>
      <c r="H5736" t="inlineStr"/>
    </row>
    <row r="5737">
      <c r="A5737" t="inlineStr">
        <is>
          <t>drk1um</t>
        </is>
      </c>
      <c r="B5737" t="inlineStr">
        <is>
          <t>PhD research exploring the impact of diagnosis and treatment on men with breast cancer</t>
        </is>
      </c>
      <c r="C5737" t="inlineStr">
        <is>
          <t>Hi there, I am a conducting a PhD on men with breast cancer at the University of the West of England, in the UK. In order to better understand the impact of receiving a diagnosis and treatment for breast cancer, I am looking for men who have been diagnosed with breast cancer to complete a brief online survey. The findings will be used to better support men who are dealing with the disease and treatment.
If you, or someone you know, would be eligible to take part in the study, please visit: [**https://go.uwe.ac.uk/malebreastcancer**](https://go.uwe.ac.uk/malebreastcancer) or contact me ([beth2.herring@uwe.ac.uk](mailto:beth2.herring@uwe.ac.uk)). Here is my university profile page: [https://people.uwe.ac.uk/Person/Beth2Herring](https://people.uwe.ac.uk/Person/Beth2Herring)
Thank you so much!</t>
        </is>
      </c>
      <c r="D5737" t="n">
        <v>4</v>
      </c>
      <c r="E5737" t="n">
        <v>0</v>
      </c>
      <c r="F5737">
        <f>HYPERLINK("https://www.reddit.com/r/cancer/comments/drk1um/phd_research_exploring_the_impact_of_diagnosis/")</f>
        <v/>
      </c>
      <c r="G5737" t="inlineStr">
        <is>
          <t>2019-11-04 08:32:06</t>
        </is>
      </c>
      <c r="H5737" t="inlineStr"/>
    </row>
    <row r="5738">
      <c r="A5738" t="inlineStr">
        <is>
          <t>drkyer</t>
        </is>
      </c>
      <c r="B5738" t="inlineStr">
        <is>
          <t>Share your experience</t>
        </is>
      </c>
      <c r="C5738" t="inlineStr">
        <is>
          <t>Hi everyone, I work for a live discussion talk show on Al Jazeera called The Stream, and this week we're discussing different approaches to treating cancer, the doctor-patient relationship and how we can improve our thinking around the disease. On the show we incorporate many different perspectives via brief video comments (30-45 seconds). I was hoping some of you might be open to sharing your thoughts with us on these aspects. Here is the link where you can do so:  [http://stream.aljazeera.com/join](http://stream.aljazeera.com/join)</t>
        </is>
      </c>
      <c r="D5738" t="n">
        <v>2</v>
      </c>
      <c r="E5738" t="n">
        <v>0</v>
      </c>
      <c r="F5738">
        <f>HYPERLINK("https://www.reddit.com/r/cancer/comments/drkyer/share_your_experience/")</f>
        <v/>
      </c>
      <c r="G5738" t="inlineStr">
        <is>
          <t>2019-11-04 09:32:04</t>
        </is>
      </c>
      <c r="H5738" t="inlineStr"/>
    </row>
    <row r="5739">
      <c r="A5739" t="inlineStr">
        <is>
          <t>drmhkc</t>
        </is>
      </c>
      <c r="B5739" t="inlineStr">
        <is>
          <t>Advice with online groups for my mum with advanced cancer</t>
        </is>
      </c>
      <c r="C5739" t="inlineStr">
        <is>
          <t>Hey there. My mum has just been diagnosed with peritoneal cancer and will be starting palliative chemo in the next week or two. Devastating. 
She was asking me if I knew how to join any support groups of people going through something similar so I’m here asking for her. I have signed up to smartpatient but wondering if it’s a bit too technical for her at the moment. Appreciate all you help xx</t>
        </is>
      </c>
      <c r="D5739" t="n">
        <v>2</v>
      </c>
      <c r="E5739" t="n">
        <v>4</v>
      </c>
      <c r="F5739">
        <f>HYPERLINK("https://www.reddit.com/r/cancer/comments/drmhkc/advice_with_online_groups_for_my_mum_with/")</f>
        <v/>
      </c>
      <c r="G5739" t="inlineStr">
        <is>
          <t>2019-11-04 11:15:19</t>
        </is>
      </c>
      <c r="H5739" t="inlineStr"/>
    </row>
    <row r="5740">
      <c r="A5740" t="inlineStr">
        <is>
          <t>drnn42</t>
        </is>
      </c>
      <c r="B5740" t="inlineStr">
        <is>
          <t>Anyone religious or believe in an afterlife?</t>
        </is>
      </c>
      <c r="C5740" t="inlineStr">
        <is>
          <t>I’ve never been religious or practiced a religion. But I “believed” in God.
Of course going through cancer would test anyone’s faith.
Sometimes I think religion is just something to control people, especially in our past because life was so tough and people would die often at what we would consider at a young age today. 
Then with an afterlife.... our brain controls all our senses and when that stops...well...
I’m not encouraging a theologian debate in who’s right or to mock people who believe.
It’s a cancer sub after all. I’m just curious if any of you do believe or did believe after you got cancer or someone you love or loved had cancer</t>
        </is>
      </c>
      <c r="D5740" t="n">
        <v>9</v>
      </c>
      <c r="E5740" t="n">
        <v>26</v>
      </c>
      <c r="F5740">
        <f>HYPERLINK("https://www.reddit.com/r/cancer/comments/drnn42/anyone_religious_or_believe_in_an_afterlife/")</f>
        <v/>
      </c>
      <c r="G5740" t="inlineStr">
        <is>
          <t>2019-11-04 12:30:53</t>
        </is>
      </c>
      <c r="H5740" t="inlineStr"/>
    </row>
    <row r="5741">
      <c r="A5741" t="inlineStr">
        <is>
          <t>droxu0</t>
        </is>
      </c>
      <c r="B5741" t="inlineStr">
        <is>
          <t>Super proud of my wife Sophie!</t>
        </is>
      </c>
      <c r="C5741" t="inlineStr">
        <is>
          <t>Our support network of our Church, Family and Friends have been absolutely amazing.
A few months ago Sophie's health took and turn for the worse and I would just like to say a massive thank-you to this amazing community for the love and support we have received.  I'm delighted to say that the scans came back a few days ago to show that she is now Cancer Free!! We're so happy to be able to finally relax and spend some time hiking in the lovely countryside.  We are also looking forward to giving back to the community where Sophie is a Sunday School teacher in our village Church.
She has amazingly managed to keep her cheeky sense of humour throughout her I'll health, so in honour of this she decided to show that she has kicked Cancers Butt! ( [https://imgur.com/a/sTKOdNk](https://imgur.com/a/sTKOdNk) )
Thank-you all so much - all our love
Mike and Sophie x</t>
        </is>
      </c>
      <c r="D5741" t="n">
        <v>1</v>
      </c>
      <c r="E5741" t="n">
        <v>0</v>
      </c>
      <c r="F5741">
        <f>HYPERLINK("https://www.reddit.com/r/cancer/comments/droxu0/super_proud_of_my_wife_sophie/")</f>
        <v/>
      </c>
      <c r="G5741" t="inlineStr">
        <is>
          <t>2019-11-04 13:57:03</t>
        </is>
      </c>
      <c r="H5741" t="inlineStr"/>
    </row>
    <row r="5742">
      <c r="A5742" t="inlineStr">
        <is>
          <t>drp5bk</t>
        </is>
      </c>
      <c r="B5742" t="inlineStr">
        <is>
          <t>I would like to take a minute to talk about my great grandmother</t>
        </is>
      </c>
      <c r="C5742" t="inlineStr">
        <is>
          <t>Hello, how are you? I would just like to talk about my great grandmother, who 3 days ago, lost her fight with cancer (I believe in the spine, however parents won't specify). My great grandmother (I will refer as Stella, as I called her) fought with cancer for 7 years. When she was diagnosed, doctors gave her a maximum of 3 years of life. She fought on for an extra 4 years. Incredible. In fact 4 years ago, when I was 9, we went to go see her for the 'last time'. How wrong we were! In her pre-cancer life, Stella was rewarded a MBE and went to Buckingham palace to meet the queen. Last week, me and my family went to visit Stella for what would in fact be the last time. This was the first time that I saw she was in fact VERY ill. Don't get me wrong I knew she was ill, but now a realised she was putting on a brave face everytime me and my family came. She was a fighter! Despite her being ill, the day we did and the day after we visited, she carried out her passion of arts and crafts. She was a very talented crocheter and knitter. Eventually, Cancer got the best of her, and weakend her down, until all she did was sleep. And that was how ,3 days ago, she died, in her sleep, peacefully. Stella was a highly respected women, and it is expected that she will have a high attendance during her funeral on the 12th of November. Stella's life was fantastic, and I only hope that she appreciated it as much as the people around her. Cancer really is a ####. Let's hope we can get means of curing and preventing. RIP Stella, rest easy now.</t>
        </is>
      </c>
      <c r="D5742" t="n">
        <v>13</v>
      </c>
      <c r="E5742" t="n">
        <v>7</v>
      </c>
      <c r="F5742">
        <f>HYPERLINK("https://www.reddit.com/r/cancer/comments/drp5bk/i_would_like_to_take_a_minute_to_talk_about_my/")</f>
        <v/>
      </c>
      <c r="G5742" t="inlineStr">
        <is>
          <t>2019-11-04 14:11:29</t>
        </is>
      </c>
      <c r="H5742" t="inlineStr"/>
    </row>
    <row r="5743">
      <c r="A5743" t="inlineStr">
        <is>
          <t>drp6bn</t>
        </is>
      </c>
      <c r="B5743" t="inlineStr">
        <is>
          <t>Love and Leukemia</t>
        </is>
      </c>
      <c r="C5743" t="inlineStr">
        <is>
          <t>This isn’t a story about being sick, this is a story about being in love. I don’t think anyone believes when they are swiping right and left on Tinder in their late 20s/early 30s, “let me make sure to pick a partner who will stick by me when I get leukemia.” But maybe that’s what we should all think about when we pick a partner. It’s easy to fall in love when everything is sunshine and roses — healthy, financially secure, attractive and secure, able to control all bodily functions and untethered to an IV pole. 
When I met my husband we had a traditional dinner date. We talked for hours and we both quickly knew “this is it”. On our second date he told me he believed we were together in a past life. I thought he was a little out there but I found it sweet, endearing and sincere. As our relationship progressed I knew this guy loved me more than anything in this life. I didn’t know he would be the perfect partner to me during a cancer diagnosis and treatment but I know he was it. He was that guy. He would love me no matter what happened. If I got fat, if I said something uncouth as I often do, if I spent my morning hungover and puking — I knew he would love me no matter what. I loved him the same, I felt it in my soul, an innate certainty. The cliche phrase “when you know you know”, it was true. 
Getting the leukemia diagnosis was a shock, to say the least about the most. We barely had time to discuss it when I was rushed into treatment. He immediately became everything — my caretaker, nurse, chauffeur, pharmacist, cook, cleaner, everything. Every duty I previously had in our household immediately became his responsibility. He refused to let me spend a single night in the hospital without him by my side. He slept on that awful hospital futon for 21 nights straight and many more after that. His devotion to me was and continues to be unfaltering. He would meet other spouses and caregivers in the hospital pantry room and they would be exhausted, exasperated, depressed. He told me that would confess to him their frustrations, sadness, self-pity. He would come back to my hospital room furious — how dare these people have an ounce of self-pity when their spouse or loved one was the one suffering and fighting for their lives. None of this came as a shock to me, I knew who I married but at the same time, you never *really* know. 
Friends and loved ones who witnessed my treatment, hospitalizations, bone marrow transplant and subsequent complications also bore witness to my husband's love, support and devotion. This has been the greatest gift, the only brightspot in this shitbag, nightmare diagnosis that has overtaken my life. Everyone, including my mom, who had a little hesitancy about him in the past now sees what I see. Knows what I know. I still can’t speak of it without crying because the overwhelming love and gratitude is so intense. 
I guess I wanted to write this because, for anyone still looking for love, and looking for a partner, you should look at them and make sure they will stick by you “in sickness and in health”. It is an easy phrase to repeat. It is easy to let it pass through one ear and out the other but extremely difficult when it punches you in the gut. Pick a partner who will love you even if you can’t have sex with them for 15 months. Pick a partner who you will still love you if they see you at your absolute worst, and vice versa. Pick a partner who will love you through leukemia.</t>
        </is>
      </c>
      <c r="D5743" t="n">
        <v>84</v>
      </c>
      <c r="E5743" t="n">
        <v>17</v>
      </c>
      <c r="F5743">
        <f>HYPERLINK("https://www.reddit.com/r/cancer/comments/drp6bn/love_and_leukemia/")</f>
        <v/>
      </c>
      <c r="G5743" t="inlineStr">
        <is>
          <t>2019-11-04 14:13:27</t>
        </is>
      </c>
      <c r="H5743" t="inlineStr"/>
    </row>
    <row r="5744">
      <c r="A5744" t="inlineStr">
        <is>
          <t>drpxdd</t>
        </is>
      </c>
      <c r="B5744" t="inlineStr">
        <is>
          <t>This might sound harsh but it’s thoughts I’ve had I need to share to get off my chest.</t>
        </is>
      </c>
      <c r="C5744" t="inlineStr">
        <is>
          <t>Before I start both my grandparents are dead on my mothers side “ my dad and his family disowned me when i was 2 yrs old”.
My first “dark thoughts” started when I had to wait 3 hrs passed my appointment time.
I questioned the nurse why such a long wait?
The nurse told me my oncologist was with someone who is very emotional and upset.
Later out came a very old woman in her 80s or possibly 90,s in tears, and I was like ffs 
She was very old and decrepit. I couldn’t help but think “I was 32” at the time, I wish I would have that chance to live to that age and how futile and selfish to take up so much of the oncologists time.
My appointments last 20 mins the most, I just ask what happens next, what do I need to do etc
I’m very stoic person and don’t get emotional,
I do have empathy I tear up when I see children and young adults at the cancer hospital.
Maybe I’m bitter seeing people able to live so old when it’s very likely I don’t.
I just imagine and have fear sometimes that I’m waiting on behind old people and time is of the essence. I have to wait for a scan booking, my oncologist who I missed from the beginning had to be moved to a busier department “ likely old people”. She even commented I was so young and fast tracked me.
I believe her fast tracking me saved my life and bought me more time.
Btw I’m not ageist, I met some lovely old people at the hospital and my older work colleagues have been the most supportive.
I just think about the time I had to wait for 3 hrs getting more anxious because a very old woman made me and others wait.
I feel like I sound heartless saying this, but with a free healthcare system I think young people and children should be prioritised.</t>
        </is>
      </c>
      <c r="D5744" t="n">
        <v>0</v>
      </c>
      <c r="E5744" t="n">
        <v>0</v>
      </c>
      <c r="F5744">
        <f>HYPERLINK("https://www.reddit.com/r/cancer/comments/drpxdd/this_might_sound_harsh_but_its_thoughts_ive_had_i/")</f>
        <v/>
      </c>
      <c r="G5744" t="inlineStr">
        <is>
          <t>2019-11-04 15:04:56</t>
        </is>
      </c>
      <c r="H5744" t="inlineStr"/>
    </row>
    <row r="5745">
      <c r="A5745" t="inlineStr">
        <is>
          <t>drrlk3</t>
        </is>
      </c>
      <c r="B5745" t="inlineStr">
        <is>
          <t>Is it stage 4 can do surgery</t>
        </is>
      </c>
      <c r="C5745" t="inlineStr">
        <is>
          <t>I saw a lot post saying still can do surgery, I don’t why my father said can not do surgery, only chemo for prolong life. Is it he don’t want to a risk. Who is more correct?</t>
        </is>
      </c>
      <c r="D5745" t="n">
        <v>2</v>
      </c>
      <c r="E5745" t="n">
        <v>3</v>
      </c>
      <c r="F5745">
        <f>HYPERLINK("https://www.reddit.com/r/cancer/comments/drrlk3/is_it_stage_4_can_do_surgery/")</f>
        <v/>
      </c>
      <c r="G5745" t="inlineStr">
        <is>
          <t>2019-11-04 17:07:03</t>
        </is>
      </c>
      <c r="H5745" t="inlineStr"/>
    </row>
    <row r="5746">
      <c r="A5746" t="inlineStr">
        <is>
          <t>drrovz</t>
        </is>
      </c>
      <c r="B5746" t="inlineStr">
        <is>
          <t>Wonderful news</t>
        </is>
      </c>
      <c r="C5746" t="inlineStr">
        <is>
          <t>Wonderful news. Saw specialist doctor today. Doctor said basically 95% certain I'm in remission. She wants a CT scan in 3 months (can be done locally) to be 100% certain. Gave me the ok to get the port removed. IDK if I should make the anniversary now or after that CT scan for beating Hodgkin's Lymphoma</t>
        </is>
      </c>
      <c r="D5746" t="n">
        <v>74</v>
      </c>
      <c r="E5746" t="n">
        <v>11</v>
      </c>
      <c r="F5746">
        <f>HYPERLINK("https://www.reddit.com/r/cancer/comments/drrovz/wonderful_news/")</f>
        <v/>
      </c>
      <c r="G5746" t="inlineStr">
        <is>
          <t>2019-11-04 17:13:52</t>
        </is>
      </c>
      <c r="H5746" t="inlineStr"/>
    </row>
    <row r="5747">
      <c r="A5747" t="inlineStr">
        <is>
          <t>drsw5i</t>
        </is>
      </c>
      <c r="B5747" t="inlineStr">
        <is>
          <t>Med port questions</t>
        </is>
      </c>
      <c r="C5747" t="inlineStr">
        <is>
          <t>It’s been a month since I had my last chemo (yay!). I’m on a trip visiting family and noticed my right arm (on the side where my med ports is) is bigger than the left and my veins are pretty visible too...Has this happened to any of you? 
How often do you usually get your port flushed? Do you take any blood thinners too?</t>
        </is>
      </c>
      <c r="D5747" t="n">
        <v>7</v>
      </c>
      <c r="E5747" t="n">
        <v>10</v>
      </c>
      <c r="F5747">
        <f>HYPERLINK("https://www.reddit.com/r/cancer/comments/drsw5i/med_port_questions/")</f>
        <v/>
      </c>
      <c r="G5747" t="inlineStr">
        <is>
          <t>2019-11-04 18:43:20</t>
        </is>
      </c>
      <c r="H5747" t="inlineStr"/>
    </row>
    <row r="5748">
      <c r="A5748" t="inlineStr">
        <is>
          <t>drt7i9</t>
        </is>
      </c>
      <c r="B5748" t="inlineStr">
        <is>
          <t>No hair loss during chemo</t>
        </is>
      </c>
      <c r="C5748" t="inlineStr">
        <is>
          <t>September 2019 was two years since I underwent chemo for a Hodgkins Lymphoma, 10.9cm, 4inches in my chest. Chemo went for 6 months and ended in February 2018. During treatment I never lost my hair. I was always under the assumption that chemo patients lost their hair but my doctor told me not everyone does. How many others have kept their hair while undergoing chemo? And for everyone still undergoing chemo keep fighting the good fight!</t>
        </is>
      </c>
      <c r="D5748" t="n">
        <v>7</v>
      </c>
      <c r="E5748" t="n">
        <v>19</v>
      </c>
      <c r="F5748">
        <f>HYPERLINK("https://www.reddit.com/r/cancer/comments/drt7i9/no_hair_loss_during_chemo/")</f>
        <v/>
      </c>
      <c r="G5748" t="inlineStr">
        <is>
          <t>2019-11-04 19:07:28</t>
        </is>
      </c>
      <c r="H5748" t="inlineStr"/>
    </row>
    <row r="5749">
      <c r="A5749" t="inlineStr">
        <is>
          <t>drtjyv</t>
        </is>
      </c>
      <c r="B5749" t="inlineStr">
        <is>
          <t>Wish me all the luck. I'm v cynical.</t>
        </is>
      </c>
      <c r="C5749" t="inlineStr">
        <is>
          <t>Not a great cancer journey. You can take a gander at my post history to learn more. Kinda just taking it day by day, it could be a lot worse, it could be a lot better. I've recently developed a symptom that makes me feel uncomfortable and means I have to go into hospital at least every fortnight. 
My doctor told me about a new drug that could reduce these symptoms. Bad luck is that its not available on the NHS so I have to pay for it. £450 a pop. Yaaaaay. But I'm willing to pay because I just so desperately want it to work. Even if it only gives me an extra week in between hospital visits. I just had my first infusion and it went completely fine, but I'm unable to convince myself that it actually stands a chance of working. Because nothing else did. 
Just. Send me all the luck you have spare please. Please all mighty with a cherry on top.</t>
        </is>
      </c>
      <c r="D5749" t="n">
        <v>16</v>
      </c>
      <c r="E5749" t="n">
        <v>6</v>
      </c>
      <c r="F5749">
        <f>HYPERLINK("https://www.reddit.com/r/cancer/comments/drtjyv/wish_me_all_the_luck_im_v_cynical/")</f>
        <v/>
      </c>
      <c r="G5749" t="inlineStr">
        <is>
          <t>2019-11-04 19:36:18</t>
        </is>
      </c>
      <c r="H5749" t="inlineStr"/>
    </row>
    <row r="5750">
      <c r="A5750" t="inlineStr">
        <is>
          <t>drtnw1</t>
        </is>
      </c>
      <c r="B5750" t="inlineStr">
        <is>
          <t>STIVARGA for colon cancer mestastasis?</t>
        </is>
      </c>
      <c r="C5750" t="inlineStr">
        <is>
          <t>Apologies for the information overload. This started out short, but got kinda long as I wanted to give a full picture so if I get any input it is well-informed.
My mother was diagnosed with stage IV colon cancer 5 years ago. Surgery removed the main tumor and metastasis the surgeon could see, but after a year of apparently clean scans they found there was metastasis to the abdominal wall. It was several scattered nodes so surgery was ruled out. Three years of chemotherapy consistently shrunk the nodes or held them in check. In May everything was still shrinking, but to help with side effects her oncologist at MD Anderson removed Irrenotecan from her cocktail, leaving only Avastin and 5FU. There was significant progression on her next scan in August, with a couple of nodes nearly doubling in size. The Irrenotecan was added back, but at 70% of the dose she had received before, again in order to mitigate side effects. She received the reduced-dose Irrenotecan, Avastin and 5FU twice two over a month, then due to unrelated illness did not receive treatment for a month, then got one more. So three treatments over two months. Her last visit to MDA still showed some progression of the disease. Significantly less than before with no Irrenotecan, but still progression. Her tumor marker was also up from a 4.5 in August to a 6 in October. 
So that sets the backstory. She has a new oncologist as her last one left MDA. He believes that she should come off the IV chemo cocktail that has been working for the last three years (admittedly diminished at the lower dose) and put her on STIVARGA . Nothing I have read about this drug encourages me. Effectiveness seems low, side effects severe. And time off the cocktail that has been working might allow progression that cannot be undone. At this point, nothing is in her organs, just the abdominal wall. We are very fearful about such a major change in her regimen for a drug that doesn't seem to have a great track record based on what I have read.
So does anyone have experience going from Irrenotecan, Avastin and 5FU to STIVARGA who can offer some insight? Are we right to be concerned that the oncologist is dismissing the IV cocktail too quickly when at a reduced dose it was still effective? Should we not have tried taking it back to the dose that had been working for three years? At 70% of the Irrenotecan dose it still prevented all but one node from growing at all, and the one that did only grew 10% versus several growing 50-80% with no Irrenotecan at all. Are we getting distracted by the measurements in the CT and need to be more worried about the tumor marker? Is that why he thinks the treatment needs to change? This just seems like an awfully big gamble to us. We plan to discuss it with her local oncologist (who is actually the one who administers the treatments recommended by MDA), but the more information I have the better I will feel going into that conversation. At MDA last week we were blind-sided by the change in treatment so there was really nothing I even knew to ask. I appreciate any suggestions or personal experiences.</t>
        </is>
      </c>
      <c r="D5750" t="n">
        <v>1</v>
      </c>
      <c r="E5750" t="n">
        <v>2</v>
      </c>
      <c r="F5750">
        <f>HYPERLINK("https://www.reddit.com/r/cancer/comments/drtnw1/stivarga_for_colon_cancer_mestastasis/")</f>
        <v/>
      </c>
      <c r="G5750" t="inlineStr">
        <is>
          <t>2019-11-04 19:45:57</t>
        </is>
      </c>
      <c r="H5750" t="inlineStr"/>
    </row>
    <row r="5751">
      <c r="A5751" t="inlineStr">
        <is>
          <t>dry3cu</t>
        </is>
      </c>
      <c r="B5751" t="inlineStr">
        <is>
          <t>Lung Cancer Awareness Month</t>
        </is>
      </c>
      <c r="C5751" t="inlineStr">
        <is>
          <t>My name is Olivia and I work at Roy Castle Lung Cancer Foundation. We are the only UK charity solely dedicated to supporting everyone affected by lung cancer.
November is lung cancer awareness month and we have been examining the language surrounding a lung cancer diagnosis.
When it comes to talking about lung cancer, people aren’t very good at it! It’s one of the biggest taboos. We often feel nervous and uncomfortable as we struggle to find something to say and as a result, we can say something inappropriate. 
We asked people living with lung cancer about their experiences of how people have spoken to them since their diagnosis. Some of these responses are shockingly inappropriate: “*Only the good die young*”, or even plain heartless: “*Bet you wish you didn’t smoke now!*”. 
Here are the 10 most outrageous things said to those living with lung cancer - [https://www.roycastle.org/10-most-outrageous-things-said-to-someone-with-lung-cancer/](https://www.roycastle.org/10-most-outrageous-things-said-to-someone-with-lung-cancer/)
We’re interested to know if anyone else has dealt with similar responses regarding a lung cancer diagnosis?
It’s time to stop the clumsiness. It’s time to cut the clichés. It’s time to find a better way to talk about lung cancer.
If you or anyone you know is affected, Roy Castle Lung Cancer Foundation have many different services that offer help and support, for more information visit - [https://www.roycastle.org/help-and-support/](https://www.roycastle.org/help-and-support/)</t>
        </is>
      </c>
      <c r="D5751" t="n">
        <v>1</v>
      </c>
      <c r="E5751" t="n">
        <v>0</v>
      </c>
      <c r="F5751">
        <f>HYPERLINK("https://www.reddit.com/r/cancer/comments/dry3cu/lung_cancer_awareness_month/")</f>
        <v/>
      </c>
      <c r="G5751" t="inlineStr">
        <is>
          <t>2019-11-05 03:52:02</t>
        </is>
      </c>
      <c r="H5751" t="inlineStr"/>
    </row>
    <row r="5752">
      <c r="A5752" t="inlineStr">
        <is>
          <t>dryzgz</t>
        </is>
      </c>
      <c r="B5752" t="inlineStr">
        <is>
          <t>Lung Cancer Awareness Month</t>
        </is>
      </c>
      <c r="C5752" t="inlineStr">
        <is>
          <t>My name is Olivia and I work at Roy Castle Lung Cancer Foundation. We are the only UK charity solely dedicated to supporting everyone affected by lung cancer.
November is lung cancer awareness month and we have been examining the language surrounding a lung cancer diagnosis.
When it comes to talking about lung cancer, people aren’t very good at it! It’s one of the biggest taboos. We often feel nervous and uncomfortable as we struggle to find something to say and as a result, we can say something inappropriate.
We asked people living with lung cancer about their experiences of how people have spoken to them since their diagnosis. Some of these responses are shockingly inappropriate: “*Only the good die young*”, or even plain heartless: “*Bet you wish you didn’t smoke now!*”.
Here are the 10 most outrageous things said to those living with lung cancer - [https://www.roycastle.org/10-most-outrageous-things-said-to-someone-with-lung-cancer/](https://www.roycastle.org/10-most-outrageous-things-said-to-someone-with-lung-cancer/)
We’re interested to know if anyone else has dealt with similar responses regarding a lung cancer diagnosis?
It’s time to stop the clumsiness. It’s time to cut the clichés. It’s time to find a better way to talk about lung cancer.
If you or anyone you know is affected, Roy Castle Lung Cancer Foundation have many different services that offer help and support, for more information visit - [https://www.roycastle.org/help-and-support/](https://www.roycastle.org/help-and-support/)</t>
        </is>
      </c>
      <c r="D5752" t="n">
        <v>5</v>
      </c>
      <c r="E5752" t="n">
        <v>0</v>
      </c>
      <c r="F5752">
        <f>HYPERLINK("https://www.reddit.com/r/cancer/comments/dryzgz/lung_cancer_awareness_month/")</f>
        <v/>
      </c>
      <c r="G5752" t="inlineStr">
        <is>
          <t>2019-11-05 05:15:03</t>
        </is>
      </c>
      <c r="H5752" t="inlineStr"/>
    </row>
    <row r="5753">
      <c r="A5753" t="inlineStr">
        <is>
          <t>drzl23</t>
        </is>
      </c>
      <c r="B5753" t="inlineStr">
        <is>
          <t>Survivor Guilt</t>
        </is>
      </c>
      <c r="C5753" t="inlineStr">
        <is>
          <t xml:space="preserve">
Checking out at a store today, an optional charitable contribution came up on the card reader after I punched in my PIN. 
Normally when this happens I’ll give the remainder of the next dollar to whatever organization it is. This time, though, the screen changed and the guy working the counter looked at me and said “Would you like to donate to the Leukemia &amp;amp; Lymphoma Society?” 
All that came out of my mouth was a pained groan as an array of emotions swept over me, and 4.5 years of nostalgia flooded through my mind’s eye in one quick instant. 
I was almost knocked back by the feelings that came over me. 
Without even knowing what words I was going to say, I felt a smile come to my face and I said to the cashier, “Yeaaahhhh I would... I can’t not donate to *that* charity.”
He looked confused, till I began to tell him the story of only a short section of my life—yet, somehow, the biggest and most important section of all—to this man. 
I told him that I was an ALL survivor, and that I am a firm believer in paying it forward. I told him about growing my hair to donate it, told him about the downward spiral that was my physical and transformation from normal life, to complete destruction, to re-construction and, eventually, victory. 
But I never mentioned the mental transformation that took place. That’s the part that I didn’t tell him, nor 99% of the people I’ve told this story to before.
At the end of our transaction,  he said it was truly great to have met me, in the most genuine voice a person could muster. He then asked to shake my hand, which I did, and he said he hopes to run into me again sometime. 
All the while there was that look in his eyes. That look of respect, admiration and awe that I’ve come to know so well. The look that I’m honored to bring to people, and simultaneously resentful to receive. Unsure what to do, I held my tongue on how I felt and said a quick goodbye as I made my exit.
I didn’t donate much money at all. Less than $5. And I didn’t technically do a single thing for this man, except tell a brief story of something I had had to do to be there talking to him. All I really did was mention something that I don’t mention much anymore, and give a couple bucks to a charity.
And I remembered the undying gratitude that I swore years back I’d never allow myself to lose. I reminded myself that I am so fucking grateful to still be walking this earth.  
But with said gratitude came the equally familiar feeling of guilt and insignificance—The feeling of being placed on a pedestal on which I don’t belong. I started again questioning why it is that so many others have to die and I get to still be here. Call it survivor guilt, or bittersweet gratitude or whatever else. I don’t even know if anyone else knows this feeling, but I somehow doubt I’m alone.
Though it’s felt so good to hear from this man and so many others I’ve helped and inspired along the way, I feel guilty and undeserving. I’m not a hero, I just simply did what I had to do in order to not die at 25. It’s not like I got much choice in the matter. 
“You’re so strong,” they say. “You’re an inspiration,” or “I wouldn’t have been able to do what you did.” 
Bullshit. Thanks. But no. I did what I had to do, simple as that. In that position we only have two choices: fight or die. I chose fight, as do most people in the same spot.
I don’t talk about it to people much anymore. Since I moved four months ago I’ve told only a handful of people I’ve met, and *every* time they get that look in their eye. They stop seeing ME. They stop looking at how I act, what I say and do. They stop seeing me as they see everyone else.
It’s not that I want to hide that part of my life or forget it, Not at all.... Its more because I want people to either love me or hate me for who I am. For my undeniably charming wit or my boundless awesome. I don’t want people to see me differently or hold me in high regard for any reason other than my mettle, my character and everything that makes me, me. I don’t want it to change the way people see me, for better or for worse.</t>
        </is>
      </c>
      <c r="D5753" t="n">
        <v>37</v>
      </c>
      <c r="E5753" t="n">
        <v>23</v>
      </c>
      <c r="F5753">
        <f>HYPERLINK("https://www.reddit.com/r/cancer/comments/drzl23/survivor_guilt/")</f>
        <v/>
      </c>
      <c r="G5753" t="inlineStr">
        <is>
          <t>2019-11-05 06:06:11</t>
        </is>
      </c>
      <c r="H5753" t="inlineStr"/>
    </row>
    <row r="5754">
      <c r="A5754" t="inlineStr">
        <is>
          <t>ds0bni</t>
        </is>
      </c>
      <c r="B5754" t="inlineStr">
        <is>
          <t>clinical trial suggestion</t>
        </is>
      </c>
      <c r="C5754" t="inlineStr">
        <is>
          <t>My father is at stage 4 stomach, is it a good thing for him to receive first treatment with clinical trial, it combine chemo and immunotherapy at the same time. It might be more effective, but also seems like he use last bullet.</t>
        </is>
      </c>
      <c r="D5754" t="n">
        <v>0</v>
      </c>
      <c r="E5754" t="n">
        <v>2</v>
      </c>
      <c r="F5754">
        <f>HYPERLINK("https://www.reddit.com/r/cancer/comments/ds0bni/clinical_trial_suggestion/")</f>
        <v/>
      </c>
      <c r="G5754" t="inlineStr">
        <is>
          <t>2019-11-05 07:01:30</t>
        </is>
      </c>
      <c r="H5754" t="inlineStr"/>
    </row>
    <row r="5755">
      <c r="A5755" t="inlineStr">
        <is>
          <t>ds1tml</t>
        </is>
      </c>
      <c r="B5755" t="inlineStr">
        <is>
          <t>Thank you gift ideas for chemo nurses?</t>
        </is>
      </c>
      <c r="C5755" t="inlineStr">
        <is>
          <t>Want to thank our chemo nurses who were so wonderful and supportive and helped us get through my dad’s cancer. What would be appropriate?</t>
        </is>
      </c>
      <c r="D5755" t="n">
        <v>2</v>
      </c>
      <c r="E5755" t="n">
        <v>1</v>
      </c>
      <c r="F5755">
        <f>HYPERLINK("https://www.reddit.com/r/cancer/comments/ds1tml/thank_you_gift_ideas_for_chemo_nurses/")</f>
        <v/>
      </c>
      <c r="G5755" t="inlineStr">
        <is>
          <t>2019-11-05 08:45:39</t>
        </is>
      </c>
      <c r="H5755" t="inlineStr"/>
    </row>
    <row r="5756">
      <c r="A5756" t="inlineStr">
        <is>
          <t>ds49g1</t>
        </is>
      </c>
      <c r="B5756" t="inlineStr">
        <is>
          <t>Any success with using medical marijuana for Neulasta induced bone pain?</t>
        </is>
      </c>
      <c r="C5756" t="inlineStr">
        <is>
          <t>Hi all - I'm a Hodgkin's Lymphoma patient getting A+AVD chemo.  I've had two Neulasta shots so far and was just told I might need it after treatment every two weeks, unfortunately.  
I'm curious if anyone has had any luck with medical marijuana alleviating the bone/joint pain from the Neulasta shot.  I bought a high CBD tincture today and am hoping that'll help (sore fingers and toes crossed!).  Has anyone used MMJ to treat bone pain?  Was it higher THC or CBD?  Any specific strains?  Do topical creams help?
My onc already has me taking Claritin every day and it doesn't seem to help.  Epsom salt baths and heating pads also don't do much, and they said not to take Tylenol since it can mask a fever.  I'm desperate for anything that will make this awful pain even a little more tolerable for the next few months.  Although I'm specifically asking about MMJ, any tips are appreciated! :)</t>
        </is>
      </c>
      <c r="D5756" t="n">
        <v>2</v>
      </c>
      <c r="E5756" t="n">
        <v>20</v>
      </c>
      <c r="F5756">
        <f>HYPERLINK("https://www.reddit.com/r/cancer/comments/ds49g1/any_success_with_using_medical_marijuana_for/")</f>
        <v/>
      </c>
      <c r="G5756" t="inlineStr">
        <is>
          <t>2019-11-05 11:34:01</t>
        </is>
      </c>
      <c r="H5756" t="inlineStr"/>
    </row>
    <row r="5757">
      <c r="A5757" t="inlineStr">
        <is>
          <t>ds4hu7</t>
        </is>
      </c>
      <c r="B5757" t="inlineStr">
        <is>
          <t>Chemo Comforts?</t>
        </is>
      </c>
      <c r="C5757" t="inlineStr">
        <is>
          <t>My papa was diagnosed with cancer and tomorrow is his first round of chemo. I can’t be there with him because my kids are sick and I don’t want to take any germs. 
I wanted to know what kind of things would be good for me to give him? Like a jokes book? Magazines? Are board games easily played? Download some streaming services? Is there something afterwards like will he be cold or itchy or something?</t>
        </is>
      </c>
      <c r="D5757" t="n">
        <v>1</v>
      </c>
      <c r="E5757" t="n">
        <v>7</v>
      </c>
      <c r="F5757">
        <f>HYPERLINK("https://www.reddit.com/r/cancer/comments/ds4hu7/chemo_comforts/")</f>
        <v/>
      </c>
      <c r="G5757" t="inlineStr">
        <is>
          <t>2019-11-05 11:50:28</t>
        </is>
      </c>
      <c r="H5757" t="inlineStr"/>
    </row>
    <row r="5758">
      <c r="A5758" t="inlineStr">
        <is>
          <t>ds541m</t>
        </is>
      </c>
      <c r="B5758" t="inlineStr">
        <is>
          <t>Long term effects of bowel resection?</t>
        </is>
      </c>
      <c r="C5758" t="inlineStr">
        <is>
          <t>Hey guys, hope you’re all doing well! Not sure if this is the right place to post this but I’m 20(f) and I had a right-hemicolectomy to get rid of neuroendocrine tumours a little over a year ago. 
I had tests recently and I’ve been cancer free since then but I can’t find any information about the surgery. My surgeon told me the long term effects would be minimal, since I’m young. I’ve had a relatively easy time other than the months post-surgery (which was just horrible pain) other than some abdominal pain here and there as well as soft stool but that’s to be expected. Lately I’ve been getting twitches in the left side of my abdomen, and I’m not sure if it’s just due to gas or something else (which has been worse since the surgery). I read that twitches can be a sign of IBS. 
So my question to people who may have had similar experiences- do you know if bowel resection can cause IBS? 
I’ll call my surgeon if the twitching keeps happening, but if you guys have any similar experiences I’d really appreciate hearing them. Since NET’s are pretty rare, I’m finding it difficult to find people in similar circumstances. 
Thanks!! :)</t>
        </is>
      </c>
      <c r="D5758" t="n">
        <v>2</v>
      </c>
      <c r="E5758" t="n">
        <v>9</v>
      </c>
      <c r="F5758">
        <f>HYPERLINK("https://www.reddit.com/r/cancer/comments/ds541m/long_term_effects_of_bowel_resection/")</f>
        <v/>
      </c>
      <c r="G5758" t="inlineStr">
        <is>
          <t>2019-11-05 12:34:02</t>
        </is>
      </c>
      <c r="H5758" t="inlineStr"/>
    </row>
    <row r="5759">
      <c r="A5759" t="inlineStr">
        <is>
          <t>ds5iax</t>
        </is>
      </c>
      <c r="B5759" t="inlineStr">
        <is>
          <t>Running for breast cancer</t>
        </is>
      </c>
      <c r="C5759" t="inlineStr">
        <is>
          <t>sorry if this is the wrong place just trying to do a good deed 
Hi me and my coworkers are running in the spartan race 11/09/2019 at Fenway park as Miss Pinks Mighty Movers  to raise money to help people with their battle with breast cancer so if you'd like please donate and/or share at the link below thank you and God bless 
https://spartan-2019.everydayhero.com/us/miss-pinks-mighty-movers-1/wizard/share</t>
        </is>
      </c>
      <c r="D5759" t="n">
        <v>1</v>
      </c>
      <c r="E5759" t="n">
        <v>3</v>
      </c>
      <c r="F5759">
        <f>HYPERLINK("https://www.reddit.com/r/cancer/comments/ds5iax/running_for_breast_cancer/")</f>
        <v/>
      </c>
      <c r="G5759" t="inlineStr">
        <is>
          <t>2019-11-05 13:02:08</t>
        </is>
      </c>
      <c r="H5759" t="inlineStr"/>
    </row>
    <row r="5760">
      <c r="A5760" t="inlineStr">
        <is>
          <t>ds5s5r</t>
        </is>
      </c>
      <c r="B5760" t="inlineStr">
        <is>
          <t>I'm drunk (again)</t>
        </is>
      </c>
      <c r="C5760" t="inlineStr">
        <is>
          <t>So last time I wrote here and  I was drunk my wife was still alive.
She had hepatic encephalopathy and I didn't know. None of her doctors knew that was happening. We were home back from a 2-month stay in the hospital. She wasn't sleeping at night but she was groggy most of the day. We couldn't hold a conversation. I had no idea what was happening. I was so desperate and confused. I drank some beers and got drunk, just next to our bed, where she was sleeping, and I still took care of her. Isn't that crazy? My sense of responsibility was such that I got drunk (mind you, with four beers) just next to her so I could make sure she was alright.
Three weeks later she died. 
I'm packing our home today. Our home. I don't want to do this. I don't want to move out. I don't want to take down our wedding photos and pack her books. I don't want to leave this place. It's so unfair and so painful. This is OUR home. So yeah, I'm drinking again, like I did a several months ago.
I miss you, Cielo. I miss you so much. I hate doing this. I don't want to leave our home
I love you. I will always love. Every day of my life.
I´m sorry guys. I'm just so sad.</t>
        </is>
      </c>
      <c r="D5760" t="n">
        <v>82</v>
      </c>
      <c r="E5760" t="n">
        <v>35</v>
      </c>
      <c r="F5760">
        <f>HYPERLINK("https://www.reddit.com/r/cancer/comments/ds5s5r/im_drunk_again/")</f>
        <v/>
      </c>
      <c r="G5760" t="inlineStr">
        <is>
          <t>2019-11-05 13:21:36</t>
        </is>
      </c>
      <c r="H5760" t="inlineStr"/>
    </row>
    <row r="5761">
      <c r="A5761" t="inlineStr">
        <is>
          <t>ds5vqp</t>
        </is>
      </c>
      <c r="B5761" t="inlineStr">
        <is>
          <t>It’s been exactly one year since cancer took my father from me</t>
        </is>
      </c>
      <c r="C5761" t="inlineStr">
        <is>
          <t>First, I was afraid of November coming to an end, then I was afraid of 2018 coming to an end. I didn’t want to leave him behind in 2018 while I continued on in 2019. 
There are still days where I can’t even count how many times I cry on my fingers over the pain I feel. 
I’ve met new people who he would have disliked and liked. I’ve met people who I would have been proud to introduce him to. I also met people who I know he would not approve of. 
So much ache and pain is being held back. I feel like I have nobody to share my grief with. The one person I want to share it with, is not here. I feel alone today.
I drove for two hours this morning aimlessly. Not knowing where I was going. I just drove. 
I feel guilty for so many things. Especially continuing on with my life. I know that’s what he would want from me, but I still can’t help but feel guilty. 
A year ago, I cried my hardest on the bed side of my dad. He was staring into space. I knew he could hear me though. I just spoke, and cried, and he listened. I cried so hard, my nose started to bleed on his white sheets. I had to go to work and I told him to wait for me. And he fucking did. He waiting for me to come back and that’s when he left us. 
I never would have thought I’d be where I am today a year ago. I met some amazing people and made some awesome new memories. I have continued on with life. I wish he was still here to see me make these memories.
I’m still learning how to move on. I’m still learning how to be okay. I’m still learning how to be an adult. I’m still learning a lot of things. I thank him for teaching me so much.
P.S. If someone you know is having a hard time, please reach out to them. I could really use a friend today. 
P.S.S.Thank you guys for taking the time to read my post. This subreddit has helped me through a lot.</t>
        </is>
      </c>
      <c r="D5761" t="n">
        <v>5</v>
      </c>
      <c r="E5761" t="n">
        <v>2</v>
      </c>
      <c r="F5761">
        <f>HYPERLINK("https://www.reddit.com/r/cancer/comments/ds5vqp/its_been_exactly_one_year_since_cancer_took_my/")</f>
        <v/>
      </c>
      <c r="G5761" t="inlineStr">
        <is>
          <t>2019-11-05 13:28:33</t>
        </is>
      </c>
      <c r="H5761" t="inlineStr"/>
    </row>
    <row r="5762">
      <c r="A5762" t="inlineStr">
        <is>
          <t>ds6iq9</t>
        </is>
      </c>
      <c r="B5762" t="inlineStr">
        <is>
          <t>Is benign carcinoma real?</t>
        </is>
      </c>
      <c r="C5762" t="inlineStr">
        <is>
          <t>Just found out my mother's doctor told her she has "benign carcinoma" in her lung but from my understanding that's an oxymoron. She has been smoking for 60 years.</t>
        </is>
      </c>
      <c r="D5762" t="n">
        <v>1</v>
      </c>
      <c r="E5762" t="n">
        <v>2</v>
      </c>
      <c r="F5762">
        <f>HYPERLINK("https://www.reddit.com/r/cancer/comments/ds6iq9/is_benign_carcinoma_real/")</f>
        <v/>
      </c>
      <c r="G5762" t="inlineStr">
        <is>
          <t>2019-11-05 14:15:03</t>
        </is>
      </c>
      <c r="H5762" t="inlineStr"/>
    </row>
    <row r="5763">
      <c r="A5763" t="inlineStr">
        <is>
          <t>ds6q87</t>
        </is>
      </c>
      <c r="B5763" t="inlineStr">
        <is>
          <t>Thoughts on Movember?</t>
        </is>
      </c>
      <c r="C5763" t="inlineStr">
        <is>
          <t>As a young male with a cancer, I am curious to know your opinions about this fundraising initiative. Does it do a good job and keeping promises? Is it more suitable to donate directly to research institutions, local charities? Any insight into the movember fundraising organization would be greatly appreciated.
Thank you</t>
        </is>
      </c>
      <c r="D5763" t="n">
        <v>1</v>
      </c>
      <c r="E5763" t="n">
        <v>2</v>
      </c>
      <c r="F5763">
        <f>HYPERLINK("https://www.reddit.com/r/cancer/comments/ds6q87/thoughts_on_movember/")</f>
        <v/>
      </c>
      <c r="G5763" t="inlineStr">
        <is>
          <t>2019-11-05 14:29:55</t>
        </is>
      </c>
      <c r="H5763" t="inlineStr"/>
    </row>
    <row r="5764">
      <c r="A5764" t="inlineStr">
        <is>
          <t>ds79d9</t>
        </is>
      </c>
      <c r="B5764" t="inlineStr">
        <is>
          <t>It has really sunk in, I have Cancer</t>
        </is>
      </c>
      <c r="C5764" t="inlineStr">
        <is>
          <t>Was diagnosed 4 weeks ago, started chemo and radiation last week. Stage 3 cervical cancer. 
I am depressed, ill, exhausted, and it has really sunk in. This is raw, this is real. And this sucks.</t>
        </is>
      </c>
      <c r="D5764" t="n">
        <v>11</v>
      </c>
      <c r="E5764" t="n">
        <v>12</v>
      </c>
      <c r="F5764">
        <f>HYPERLINK("https://www.reddit.com/r/cancer/comments/ds79d9/it_has_really_sunk_in_i_have_cancer/")</f>
        <v/>
      </c>
      <c r="G5764" t="inlineStr">
        <is>
          <t>2019-11-05 15:08:55</t>
        </is>
      </c>
      <c r="H5764" t="inlineStr"/>
    </row>
    <row r="5765">
      <c r="A5765" t="inlineStr">
        <is>
          <t>ds8f34</t>
        </is>
      </c>
      <c r="B5765" t="inlineStr">
        <is>
          <t>Ovarian Cancer</t>
        </is>
      </c>
      <c r="C5765" t="inlineStr">
        <is>
          <t>My mom got diagnosed with cancer. She is the only thing in the world I have. She got her blood test back saying she has cancer. She still has to do MRI’s and more tests. I’m scared and everything in our lives was going fine. Life just seems surreal right now. I’m a senior in highschool and about to go to college and I just can’t see myself in the future without her. I know nothing is for certain because we need more tests to see what measures to take, I’m still devastated. I honestly just want my mom to be healthy.</t>
        </is>
      </c>
      <c r="D5765" t="n">
        <v>7</v>
      </c>
      <c r="E5765" t="n">
        <v>3</v>
      </c>
      <c r="F5765">
        <f>HYPERLINK("https://www.reddit.com/r/cancer/comments/ds8f34/ovarian_cancer/")</f>
        <v/>
      </c>
      <c r="G5765" t="inlineStr">
        <is>
          <t>2019-11-05 16:38:47</t>
        </is>
      </c>
      <c r="H5765" t="inlineStr"/>
    </row>
    <row r="5766">
      <c r="A5766" t="inlineStr">
        <is>
          <t>ds9bz3</t>
        </is>
      </c>
      <c r="B5766" t="inlineStr">
        <is>
          <t>Fertility in Young Survivors and AMH</t>
        </is>
      </c>
      <c r="C5766" t="inlineStr">
        <is>
          <t>Hi guys! I'm new to this community, and mainly came looking here because I was hoping to hear some **stories re: AMH (anti-Mullerian hormone) and fertility post-chemo, especially for survivors who were treated as young teens and are now trying to conceive - have you been successful? Does the AMH level align with your pregnancy success?**
I was treated for Hodgkin's Lymphoma stage 3A when I was 12. I'm now 24, almost 25, and working with kids and have a serious boyfriend - all of which makes me think about my fertility much more. I was told when I was 18 that my fertility might have been affected by my treatment, and it was. My doctors found that my AMH was extremely low - the last time it was tested (4 years ago) it was so low that it didn't even register a number. I've gone through egg preservation (so lucky to have insurance that helps with it) and am about to go through another cycle (at this point, I'm told I have enough for 1 cycle of IVF down the line). 
I always wanted a family more than anything growing up, and when I found out at 18 about my fertility, I was devastated. Since then, I have come to realize that families come in all shapes and sizes and I even started thinking about how many kids were out there without families, and what a good thing it would be to adopt a child who doesn't otherwise have a family. However, now being more serious with this boyfriend, biological kids are important to him, and I'm starting to realize that maybe underneath my realization that families are all different, that I also want biological children - mainly because my boyfriend is such a wonderful human that having his children seems like it would be a wonderful blessing. 
Anyway, looking forward to hearing your stories and hopefully sharing in some comradery  &amp;lt;3</t>
        </is>
      </c>
      <c r="D5766" t="n">
        <v>4</v>
      </c>
      <c r="E5766" t="n">
        <v>1</v>
      </c>
      <c r="F5766">
        <f>HYPERLINK("https://www.reddit.com/r/cancer/comments/ds9bz3/fertility_in_young_survivors_and_amh/")</f>
        <v/>
      </c>
      <c r="G5766" t="inlineStr">
        <is>
          <t>2019-11-05 17:52:25</t>
        </is>
      </c>
      <c r="H5766" t="inlineStr"/>
    </row>
    <row r="5767">
      <c r="A5767" t="inlineStr">
        <is>
          <t>dsdm4k</t>
        </is>
      </c>
      <c r="B5767" t="inlineStr">
        <is>
          <t>[NSFW] So, you're back, old friend</t>
        </is>
      </c>
      <c r="C5767" t="inlineStr">
        <is>
          <t>During the last couple months of treatment, hospital appointments, ER visits, etc, my little dude downstairs pretty much stopped responding to anything. 
Honestly thought he was a goner. Surely not my main concern in the situation, but it can put a punch to a man's spirit.
Recently, I got some complications with my spine mets, which is making my legs weak and I started having to use the wheelchair. 
To help maintain circulation and keep the  legs in shape, i bought myself a foot/leg massager that works with electronic impulses. 
Tried it out the other night for the first time and it was pleasant. My legs did feel tingly and more active later. 
I also started having an unexpected, but welcome side effect. 
My penis has risen from its grave, that night, like a majestic bald eagle. It wasn't even some half flag, flaccido attempt at an erection either, but full on raging boner, that I probably haven't produced since my early 20's.
Nowdays I don't really think about anything sexual. My attraction to anybody has ceased to exist, but my man's been going at it regularly, mornings, nights, afternoons, during doctors visits. Any time to give me inconvenience, but I can't be mad at him now. 
Just wanted to share this more lighthearted story. Hope at least someone gets a good laugh out of it and cheers you up. Would probably be the first time I'm glad my penis can make anyone laugh.</t>
        </is>
      </c>
      <c r="D5767" t="n">
        <v>122</v>
      </c>
      <c r="E5767" t="n">
        <v>18</v>
      </c>
      <c r="F5767">
        <f>HYPERLINK("https://www.reddit.com/r/cancer/comments/dsdm4k/nsfw_so_youre_back_old_friend/")</f>
        <v/>
      </c>
      <c r="G5767" t="inlineStr">
        <is>
          <t>2019-11-06 00:47:27</t>
        </is>
      </c>
      <c r="H5767" t="inlineStr"/>
    </row>
    <row r="5768">
      <c r="A5768" t="inlineStr">
        <is>
          <t>dsgujo</t>
        </is>
      </c>
      <c r="B5768" t="inlineStr">
        <is>
          <t>Are cancer plans worth the cost?</t>
        </is>
      </c>
      <c r="C5768" t="inlineStr">
        <is>
          <t>My wife and I are 50 &amp;amp; 60, we have a decent income, a retirement plan and decent insurance.  She recently signed up with a cancer plan at work through NTA (national Teachers)  It's $110/mo  and apparently it will pay us cash if she gets a diagnosis.    
To me it feels like a high stakes lottery.    
We have a certain amount of cancer risk in our gene pool  but I am having a hard time finding data to support whether or not this is good risk management or a ripoff.</t>
        </is>
      </c>
      <c r="D5768" t="n">
        <v>1</v>
      </c>
      <c r="E5768" t="n">
        <v>4</v>
      </c>
      <c r="F5768">
        <f>HYPERLINK("https://www.reddit.com/r/cancer/comments/dsgujo/are_cancer_plans_worth_the_cost/")</f>
        <v/>
      </c>
      <c r="G5768" t="inlineStr">
        <is>
          <t>2019-11-06 06:13:26</t>
        </is>
      </c>
      <c r="H5768" t="inlineStr"/>
    </row>
    <row r="5769">
      <c r="A5769" t="inlineStr">
        <is>
          <t>dsirau</t>
        </is>
      </c>
      <c r="B5769" t="inlineStr">
        <is>
          <t>My father died the day after my birthday</t>
        </is>
      </c>
      <c r="C5769" t="inlineStr">
        <is>
          <t>It was almost my 1 year anniversary of being in remission, I never would've thought hugging him goodbye that night would be the last time I see him. The same sudden death that took his father came for him, I'm just glad it waited until I had said my goodbyes and thank yous. 
I'm glad he died knowing his son did his best to beat cancer and kept it at bay. I'm going to miss you so much dad, it already hurts that I cant talk to you anymore. I think I'm going to write letters and figure out where to send them to give myself peace of mind. 
I love you dad, I'm not ready for this but I have to be. My birthday will always carry the gravity of being succeeded by your passing. Life and death, a beautiful balance. Thank you for being there long enough in my life to give me direction, the same direction your father couldnt give you but you did for me. 
Goodbye Dad. I'll love you forever, thank you for being there. Much love, your son.</t>
        </is>
      </c>
      <c r="D5769" t="n">
        <v>2</v>
      </c>
      <c r="E5769" t="n">
        <v>4</v>
      </c>
      <c r="F5769">
        <f>HYPERLINK("https://www.reddit.com/r/cancer/comments/dsirau/my_father_died_the_day_after_my_birthday/")</f>
        <v/>
      </c>
      <c r="G5769" t="inlineStr">
        <is>
          <t>2019-11-06 08:33:41</t>
        </is>
      </c>
      <c r="H5769" t="inlineStr"/>
    </row>
    <row r="5770">
      <c r="A5770" t="inlineStr">
        <is>
          <t>dsjli1</t>
        </is>
      </c>
      <c r="B5770" t="inlineStr">
        <is>
          <t>Severe hallucinations from pain medications?</t>
        </is>
      </c>
      <c r="C5770" t="inlineStr">
        <is>
          <t>My father (69/M) was completely fine cognitively until he started pain management for his cancer (leg sarcoma that has since metastasized to other limbs and his lungs).  He is on  a 100 mcg Fentanyl patch and constantly in a half wakeful, delirious state where he hallucinates people and events that aren’t there.
He’s been screened for infections and is negative. All other tests have come back negative. 
Does anyone else have experience with pain meds causing this type of behavior in the elderly? Is there a different medication that might be less likely to cause this or that you’ve seen success with?</t>
        </is>
      </c>
      <c r="D5770" t="n">
        <v>6</v>
      </c>
      <c r="E5770" t="n">
        <v>18</v>
      </c>
      <c r="F5770">
        <f>HYPERLINK("https://www.reddit.com/r/cancer/comments/dsjli1/severe_hallucinations_from_pain_medications/")</f>
        <v/>
      </c>
      <c r="G5770" t="inlineStr">
        <is>
          <t>2019-11-06 09:31:15</t>
        </is>
      </c>
      <c r="H5770" t="inlineStr"/>
    </row>
    <row r="5771">
      <c r="A5771" t="inlineStr">
        <is>
          <t>dsl7pt</t>
        </is>
      </c>
      <c r="B5771" t="inlineStr">
        <is>
          <t>Does anyone have experience with uveal melanoma that's metastasized to the liver?</t>
        </is>
      </c>
      <c r="C5771" t="inlineStr">
        <is>
          <t>My mom (69) just finished immunotherapy, but it hasn't slowed the growth of the tumors in her liver. Her doctor isn't giving us alternatives, just stating that the options in Canada (for this type of cancer) is limited (non existent). We've contacted foundation1 and an oncologist in the Netherlands. Can anyone else make any recommendation as to whatelse we can explore?</t>
        </is>
      </c>
      <c r="D5771" t="n">
        <v>1</v>
      </c>
      <c r="E5771" t="n">
        <v>15</v>
      </c>
      <c r="F5771">
        <f>HYPERLINK("https://www.reddit.com/r/cancer/comments/dsl7pt/does_anyone_have_experience_with_uveal_melanoma/")</f>
        <v/>
      </c>
      <c r="G5771" t="inlineStr">
        <is>
          <t>2019-11-06 11:26:45</t>
        </is>
      </c>
      <c r="H5771" t="inlineStr"/>
    </row>
    <row r="5772">
      <c r="A5772" t="inlineStr">
        <is>
          <t>dslvyn</t>
        </is>
      </c>
      <c r="B5772" t="inlineStr">
        <is>
          <t>What are everyone's plans for the holidays?</t>
        </is>
      </c>
      <c r="C5772" t="inlineStr">
        <is>
          <t>I am going to Disneyworld then off to wrestle some Alligators drunk!
Who's with me?</t>
        </is>
      </c>
      <c r="D5772" t="n">
        <v>0</v>
      </c>
      <c r="E5772" t="n">
        <v>7</v>
      </c>
      <c r="F5772">
        <f>HYPERLINK("https://www.reddit.com/r/cancer/comments/dslvyn/what_are_everyones_plans_for_the_holidays/")</f>
        <v/>
      </c>
      <c r="G5772" t="inlineStr">
        <is>
          <t>2019-11-06 12:18:59</t>
        </is>
      </c>
      <c r="H5772" t="inlineStr"/>
    </row>
    <row r="5773">
      <c r="A5773" t="inlineStr">
        <is>
          <t>dsn5fc</t>
        </is>
      </c>
      <c r="B5773" t="inlineStr">
        <is>
          <t>Mouth sores</t>
        </is>
      </c>
      <c r="C5773" t="inlineStr">
        <is>
          <t>Anyone have any remedies to prevent or help heal mouth sores, mine are starting to come in after my last chemo cycle and I’ve already lost a lot of weight from just being in the hospital. I do the salt water swishes and use orajel and magic mouthwash but was wondering if anyone had any other remedies I could try. Also any remedies to gain weight like supplements or drinks that are easy to swallow since I have sores in my throat and it’s pretty painful to swallow.</t>
        </is>
      </c>
      <c r="D5773" t="n">
        <v>1</v>
      </c>
      <c r="E5773" t="n">
        <v>8</v>
      </c>
      <c r="F5773">
        <f>HYPERLINK("https://www.reddit.com/r/cancer/comments/dsn5fc/mouth_sores/")</f>
        <v/>
      </c>
      <c r="G5773" t="inlineStr">
        <is>
          <t>2019-11-06 13:44:44</t>
        </is>
      </c>
      <c r="H5773" t="inlineStr"/>
    </row>
    <row r="5774">
      <c r="A5774" t="inlineStr">
        <is>
          <t>dso5jw</t>
        </is>
      </c>
      <c r="B5774" t="inlineStr">
        <is>
          <t>Moving and Changing Doctors?</t>
        </is>
      </c>
      <c r="C5774" t="inlineStr">
        <is>
          <t>Earlier this year I was diagnosed with endometrial cancer and had a hysterectomy in September. Got the best results - a small polyp with cancer and everything else was clear - so I am now cancer free. I am supposed to have 2 6 month check ups and then yearly.
I am applying to a job that will require me to move, so I was wondering if any of y'all have had to deal with moving and changing doctors (specifically post treatment)? This is all new to me, so I guess I'm not sure what to expect with switching doctors. Does is even matter until closer to the 6 month mark?</t>
        </is>
      </c>
      <c r="D5774" t="n">
        <v>1</v>
      </c>
      <c r="E5774" t="n">
        <v>2</v>
      </c>
      <c r="F5774">
        <f>HYPERLINK("https://www.reddit.com/r/cancer/comments/dso5jw/moving_and_changing_doctors/")</f>
        <v/>
      </c>
      <c r="G5774" t="inlineStr">
        <is>
          <t>2019-11-06 14:53:28</t>
        </is>
      </c>
      <c r="H5774" t="inlineStr"/>
    </row>
    <row r="5775">
      <c r="A5775" t="inlineStr">
        <is>
          <t>dso75b</t>
        </is>
      </c>
      <c r="B5775" t="inlineStr">
        <is>
          <t>My mom just said she loves me</t>
        </is>
      </c>
      <c r="C5775" t="inlineStr">
        <is>
          <t>My moms been in the hospital since yesterday for having difficulty breathing and since this past weekend she’s been kind of incoherent. 
Just now she said “I love you Brit” and I can’t stop crying. 
I’m scared she’s going sooner than we thought and I don’t want to let her go.</t>
        </is>
      </c>
      <c r="D5775" t="n">
        <v>64</v>
      </c>
      <c r="E5775" t="n">
        <v>14</v>
      </c>
      <c r="F5775">
        <f>HYPERLINK("https://www.reddit.com/r/cancer/comments/dso75b/my_mom_just_said_she_loves_me/")</f>
        <v/>
      </c>
      <c r="G5775" t="inlineStr">
        <is>
          <t>2019-11-06 14:56:46</t>
        </is>
      </c>
      <c r="H5775" t="inlineStr"/>
    </row>
    <row r="5776">
      <c r="A5776" t="inlineStr">
        <is>
          <t>dspjjt</t>
        </is>
      </c>
      <c r="B5776" t="inlineStr">
        <is>
          <t>I'm terrified that I might lose one of my best friends</t>
        </is>
      </c>
      <c r="C5776" t="inlineStr">
        <is>
          <t>Hey everyone,
&amp;amp;#x200B;
I uhh... I'm not really sure why I'm posting here, I guess I just need help coming to terms with the fact that one of my best friends has been diagnosed with stage 4 osteosarcoma. She's 21, and we kinda became friends because she's deaf and it's made it difficult for her to make friends. She's been like a little sister to me for the past several years, and in spite of being deaf and going through plenty of other trauma, she has been one of the most resilient, caring, sweet individuals that I have ever known. All I can think of is how devastated I'll be if I lose her, and then I feel selfish for feeling bad for myself when she's the one that has to deal with this.
I think the worst part of it all is that I'm in the US and she's in the UK, so I can't even be there to hold her hand while she goes through chemo for the first time tomorrow, or be by her side if she doesn't make it.
I'm writing this through tears, so I don't even know what I'm trying to say anymore. I just want everything to be okay.</t>
        </is>
      </c>
      <c r="D5776" t="n">
        <v>5</v>
      </c>
      <c r="E5776" t="n">
        <v>2</v>
      </c>
      <c r="F5776">
        <f>HYPERLINK("https://www.reddit.com/r/cancer/comments/dspjjt/im_terrified_that_i_might_lose_one_of_my_best/")</f>
        <v/>
      </c>
      <c r="G5776" t="inlineStr">
        <is>
          <t>2019-11-06 16:39:27</t>
        </is>
      </c>
      <c r="H5776" t="inlineStr"/>
    </row>
    <row r="5777">
      <c r="A5777" t="inlineStr">
        <is>
          <t>dsppoe</t>
        </is>
      </c>
      <c r="B5777" t="inlineStr">
        <is>
          <t>Getting her out while cooping with cancer.</t>
        </is>
      </c>
      <c r="C5777" t="inlineStr">
        <is>
          <t>So I am seeing someone who was diagnosed a week ago with cancer. She’s come to accept it and realizes what the chemotherapy is going to do to her appearance. I got to keep her thinking positively, and part of that is getting her out of the house and doing something. She is already self conscious about why she’s going to look like with no hair. How can I boost her up and encourage her to get out, think positive that will in turn help her fight this cancer. She’s got to try and think positively.</t>
        </is>
      </c>
      <c r="D5777" t="n">
        <v>6</v>
      </c>
      <c r="E5777" t="n">
        <v>19</v>
      </c>
      <c r="F5777">
        <f>HYPERLINK("https://www.reddit.com/r/cancer/comments/dsppoe/getting_her_out_while_cooping_with_cancer/")</f>
        <v/>
      </c>
      <c r="G5777" t="inlineStr">
        <is>
          <t>2019-11-06 16:53:27</t>
        </is>
      </c>
      <c r="H5777" t="inlineStr"/>
    </row>
    <row r="5778">
      <c r="A5778" t="inlineStr">
        <is>
          <t>dsqra4</t>
        </is>
      </c>
      <c r="B5778" t="inlineStr">
        <is>
          <t>Can someone be eligible for hospice due to extremely deteriorated mental state even if cancer has “only” spread to lungs?</t>
        </is>
      </c>
      <c r="C5778" t="inlineStr">
        <is>
          <t>My father (69M) has cancer (sarcoma with metastasis to multiple soft tissues and lungs in the 2.5 years since ya was first diagnosed) and has been experiencing a severely altered mental state for the past couple of months—constantly agitated, delirious, seeing things that aren’t there, etc. He’s completely and severely out of it at least 80-90% of the time. 
All of his bloodwork came back negative for infections. The doctors are trying a last ditch attempt to see if the fentanyl transdermal patch he’s on may be causing the altered mental state. 
If that does not work, is there any way he could be eligible for hospice due to his extreme mental decline, even though the cancer has not spread to his brain or bones and he may technically still have a while left to live? His doctors are suggesting a rehab facility and I’m completely flabbergasted because he’s so out of it and suffering and clearly not getting better. Is severely altered mental state enough of a reason to pursue and be eligible for hospice?</t>
        </is>
      </c>
      <c r="D5778" t="n">
        <v>1</v>
      </c>
      <c r="E5778" t="n">
        <v>3</v>
      </c>
      <c r="F5778">
        <f>HYPERLINK("https://www.reddit.com/r/cancer/comments/dsqra4/can_someone_be_eligible_for_hospice_due_to/")</f>
        <v/>
      </c>
      <c r="G5778" t="inlineStr">
        <is>
          <t>2019-11-06 18:15:47</t>
        </is>
      </c>
      <c r="H5778" t="inlineStr"/>
    </row>
    <row r="5779">
      <c r="A5779" t="inlineStr">
        <is>
          <t>dsrdzh</t>
        </is>
      </c>
      <c r="B5779" t="inlineStr">
        <is>
          <t>Advice on how to be a good friend to someone with cancer.</t>
        </is>
      </c>
      <c r="C5779" t="inlineStr">
        <is>
          <t>I am seeking advice on ways I can be a useful and effective friend to someone currently receiving chemo and radiation for their second bout of cancer. The cancer is at a fairly serious stage and has spread. I have not known this person for a long time and we only know each other by way of our children starting school together. However we get on well and they speak freely with me about their cancer. I have offered to help in several different ways but I know I really don’t know what she needs from a friend like me. Any advice, suggestions or opinions would be appreciated.</t>
        </is>
      </c>
      <c r="D5779" t="n">
        <v>3</v>
      </c>
      <c r="E5779" t="n">
        <v>13</v>
      </c>
      <c r="F5779">
        <f>HYPERLINK("https://www.reddit.com/r/cancer/comments/dsrdzh/advice_on_how_to_be_a_good_friend_to_someone_with/")</f>
        <v/>
      </c>
      <c r="G5779" t="inlineStr">
        <is>
          <t>2019-11-06 19:05:55</t>
        </is>
      </c>
      <c r="H5779" t="inlineStr"/>
    </row>
    <row r="5780">
      <c r="A5780" t="inlineStr">
        <is>
          <t>dssfd7</t>
        </is>
      </c>
      <c r="B5780" t="inlineStr">
        <is>
          <t>Can I</t>
        </is>
      </c>
      <c r="C5780" t="inlineStr">
        <is>
          <t>Retake my medication?
 I took my MSContin (once every 12 hours) and then about an hour later I threw up, all liquid came up as I’m extremely constipated, it’s been about an hour and a half since I threw up and I’m in a ton of pain. Is it safe to retake my med or should I wait another 9ish hours</t>
        </is>
      </c>
      <c r="D5780" t="n">
        <v>1</v>
      </c>
      <c r="E5780" t="n">
        <v>1</v>
      </c>
      <c r="F5780">
        <f>HYPERLINK("https://www.reddit.com/r/cancer/comments/dssfd7/can_i/")</f>
        <v/>
      </c>
      <c r="G5780" t="inlineStr">
        <is>
          <t>2019-11-06 20:31:34</t>
        </is>
      </c>
      <c r="H5780" t="inlineStr"/>
    </row>
    <row r="5781">
      <c r="A5781" t="inlineStr">
        <is>
          <t>dsvks6</t>
        </is>
      </c>
      <c r="B5781" t="inlineStr">
        <is>
          <t>Possible cancer from radiation</t>
        </is>
      </c>
      <c r="C5781" t="inlineStr">
        <is>
          <t>At 21 years old I've been fortunate enough up until maybe now not to have cancer. I went to get a ct scan and turns out there was an operator error. I came out with a tan red bicep, abdominal pain, nauseas and a sudden loss of sleep. I didn't lose my hair but I lost my peace of mind ever since then, because it seems I'm going to be joining the club eventually.</t>
        </is>
      </c>
      <c r="D5781" t="n">
        <v>1</v>
      </c>
      <c r="E5781" t="n">
        <v>12</v>
      </c>
      <c r="F5781">
        <f>HYPERLINK("https://www.reddit.com/r/cancer/comments/dsvks6/possible_cancer_from_radiation/")</f>
        <v/>
      </c>
      <c r="G5781" t="inlineStr">
        <is>
          <t>2019-11-07 01:50:06</t>
        </is>
      </c>
      <c r="H5781" t="inlineStr"/>
    </row>
    <row r="5782">
      <c r="A5782" t="inlineStr">
        <is>
          <t>dsxxsz</t>
        </is>
      </c>
      <c r="B5782" t="inlineStr">
        <is>
          <t>How to support my mom</t>
        </is>
      </c>
      <c r="C5782" t="inlineStr">
        <is>
          <t>We found out a few weeks ago that my mom has brain cancer. A few days ago we found out it’s glioblastoma. I don’t know how I feel honestly, it just doesn’t seem real life to me like it’s all a nightmare. I live a couple states away so I can’t be with her constantly but my dad and sister are with her thankfully. I just don’t know how to support her through this honestly. I talk to her on her the phone and tell her I love her. It’s gotten so bad that she can barely talk so I just feel so disconnected. 
Do I just keep talking to her like I did before all this? Do I feed her bullshit and pretend that it will all be ok? I’m just so confused and just feel like idk how to be there for her. So any advice from people that have had a similar situation would be much appreciated.</t>
        </is>
      </c>
      <c r="D5782" t="n">
        <v>1</v>
      </c>
      <c r="E5782" t="n">
        <v>0</v>
      </c>
      <c r="F5782">
        <f>HYPERLINK("https://www.reddit.com/r/cancer/comments/dsxxsz/how_to_support_my_mom/")</f>
        <v/>
      </c>
      <c r="G5782" t="inlineStr">
        <is>
          <t>2019-11-07 05:46:58</t>
        </is>
      </c>
      <c r="H5782" t="inlineStr"/>
    </row>
    <row r="5783">
      <c r="A5783" t="inlineStr">
        <is>
          <t>dszw88</t>
        </is>
      </c>
      <c r="B5783" t="inlineStr">
        <is>
          <t>My mom is losing her hair again a year after finishing chemo</t>
        </is>
      </c>
      <c r="C5783" t="inlineStr">
        <is>
          <t>My mom had HER2+ cancer where her treatment involved a full mastectomy, radiotherapy and chemo. Her chemo involved doxorubicin, cyclosphomide, pacitaxel and herceptin (trastuzumab). We’ve noticed some odd symptoms a year after remission and our oncologist hasn’t really pinpointed anything of concern but I was worried. 
My mom had elevated albumin (protein kidney leak) which went down to normal levels then she ended up losing her hair again down the middle of her hairline over the past week. Has this ever happened to anyone else or do they know of this happening?</t>
        </is>
      </c>
      <c r="D5783" t="n">
        <v>1</v>
      </c>
      <c r="E5783" t="n">
        <v>5</v>
      </c>
      <c r="F5783">
        <f>HYPERLINK("https://www.reddit.com/r/cancer/comments/dszw88/my_mom_is_losing_her_hair_again_a_year_after/")</f>
        <v/>
      </c>
      <c r="G5783" t="inlineStr">
        <is>
          <t>2019-11-07 08:14:57</t>
        </is>
      </c>
      <c r="H5783" t="inlineStr"/>
    </row>
    <row r="5784">
      <c r="A5784" t="inlineStr">
        <is>
          <t>dt07ll</t>
        </is>
      </c>
      <c r="B5784" t="inlineStr">
        <is>
          <t>Trying to make a difference this Movember</t>
        </is>
      </c>
      <c r="C5784" t="inlineStr">
        <is>
          <t>https://ca.movember.com/donate/details?memberId=14168141#amount
In less than a week I was able to raise almost $500 as a team, and as an individual I’ve gotten $215. It seems small but every little bit counts. I’ve changed my goal from $200 to $1000 now.
All of the donations are going straight to a cause that supports and helps men that are 
suffering from prostate cancer. 
After having gone through my own cancer treatments I am doing everything I can to make sure that no one else has to. I’m working to help defeat cancer.
You don’t have to donate if you don’t want to, just seeing the support in this group I thought it would be a good place to let people know that we are all still trying to make a difference.</t>
        </is>
      </c>
      <c r="D5784" t="n">
        <v>1</v>
      </c>
      <c r="E5784" t="n">
        <v>0</v>
      </c>
      <c r="F5784">
        <f>HYPERLINK("https://www.reddit.com/r/cancer/comments/dt07ll/trying_to_make_a_difference_this_movember/")</f>
        <v/>
      </c>
      <c r="G5784" t="inlineStr">
        <is>
          <t>2019-11-07 08:37:05</t>
        </is>
      </c>
      <c r="H5784" t="inlineStr"/>
    </row>
    <row r="5785">
      <c r="A5785" t="inlineStr">
        <is>
          <t>dt1njf</t>
        </is>
      </c>
      <c r="B5785" t="inlineStr">
        <is>
          <t>PSA Rising going to get it checked. What does a biopsy entail?</t>
        </is>
      </c>
      <c r="C5785" t="inlineStr">
        <is>
          <t>Do I have to go under general anesthesia? Do have to get an MRI or some other kind of scan? How long do I have to wait for results generally?</t>
        </is>
      </c>
      <c r="D5785" t="n">
        <v>1</v>
      </c>
      <c r="E5785" t="n">
        <v>0</v>
      </c>
      <c r="F5785">
        <f>HYPERLINK("https://www.reddit.com/r/cancer/comments/dt1njf/psa_rising_going_to_get_it_checked_what_does_a/")</f>
        <v/>
      </c>
      <c r="G5785" t="inlineStr">
        <is>
          <t>2019-11-07 10:13:43</t>
        </is>
      </c>
      <c r="H5785" t="inlineStr"/>
    </row>
    <row r="5786">
      <c r="A5786" t="inlineStr">
        <is>
          <t>dt2a5e</t>
        </is>
      </c>
      <c r="B5786" t="inlineStr">
        <is>
          <t>Timing of siezures</t>
        </is>
      </c>
      <c r="C5786" t="inlineStr">
        <is>
          <t>41m with some brain tumors... gbm
I have noticed a pattern with my siezures.  I always get them when I am asleep and around 11-12midnight or around 3am in the morning.  I seem to get them in waves for a week or two and then nothing.
Usually the initial trigger for siezures is chemo.  The following week after taking my 5/23 I always get siezures.  About 2-3 days worth and about 1 or 2 siezures those nights.
Has anyone else run into this?
I am trying to figure out what is triggering them in my sleep.
M.</t>
        </is>
      </c>
      <c r="D5786" t="n">
        <v>1</v>
      </c>
      <c r="E5786" t="n">
        <v>0</v>
      </c>
      <c r="F5786">
        <f>HYPERLINK("https://www.reddit.com/r/cancer/comments/dt2a5e/timing_of_siezures/")</f>
        <v/>
      </c>
      <c r="G5786" t="inlineStr">
        <is>
          <t>2019-11-07 10:54:54</t>
        </is>
      </c>
      <c r="H5786" t="inlineStr"/>
    </row>
    <row r="5787">
      <c r="A5787" t="inlineStr">
        <is>
          <t>dt2x6u</t>
        </is>
      </c>
      <c r="B5787" t="inlineStr">
        <is>
          <t>Concerned Granddaughter</t>
        </is>
      </c>
      <c r="C5787" t="inlineStr">
        <is>
          <t>Sorry if this is TMI. My grandfather was diagnosed a year ago with stomach cancer. He got surgery to have his stomach removed. Recently, he was having a hard time emptying his bladder and constantly felt bloated/heavy. Doctor performed an “emergency surgery” to put stents in his kidney. He was told it was a minor surgery yet he’s been hospitalized for 2 weeks. His urine contains a lot of blood and he also is experiencing gas pain at times. He’s receiving about 2 blood transfusions a day, also developed a common cold, and now he’s on antibiotics. The doctors have NO IDEA what’s wrong with him and it’s slowly breaking my heart. My grandfather is putting blame on the cancer but I’m not sure what to think. Can anyone relate? Thank you.</t>
        </is>
      </c>
      <c r="D5787" t="n">
        <v>1</v>
      </c>
      <c r="E5787" t="n">
        <v>0</v>
      </c>
      <c r="F5787">
        <f>HYPERLINK("https://www.reddit.com/r/cancer/comments/dt2x6u/concerned_granddaughter/")</f>
        <v/>
      </c>
      <c r="G5787" t="inlineStr">
        <is>
          <t>2019-11-07 11:36:21</t>
        </is>
      </c>
      <c r="H5787" t="inlineStr"/>
    </row>
    <row r="5788">
      <c r="A5788" t="inlineStr">
        <is>
          <t>dt46d4</t>
        </is>
      </c>
      <c r="B5788" t="inlineStr">
        <is>
          <t>I girl I liked “ trust me it’s cancer related”.</t>
        </is>
      </c>
      <c r="C5788" t="inlineStr">
        <is>
          <t>There’s this girl at work, and of course I liked her initially because how attractive she is. 
But the reason I REALLY liked her is she not only found me attractive “signs of interest confirmed by another colleague that told me she likes me” but the fact she didn’t act like she was sorry for me etc 
I felt normal. 
Sadly I didn’t ask her out cos my cancer gives me low self esteem. And I thought to myself with her being a high value women, she has better options than a guy with stage 4 cancer.
I feel like I’m doing her a favour</t>
        </is>
      </c>
      <c r="D5788" t="n">
        <v>1</v>
      </c>
      <c r="E5788" t="n">
        <v>20</v>
      </c>
      <c r="F5788">
        <f>HYPERLINK("https://www.reddit.com/r/cancer/comments/dt46d4/i_girl_i_liked_trust_me_its_cancer_related/")</f>
        <v/>
      </c>
      <c r="G5788" t="inlineStr">
        <is>
          <t>2019-11-07 12:58:09</t>
        </is>
      </c>
      <c r="H5788" t="inlineStr"/>
    </row>
    <row r="5789">
      <c r="A5789" t="inlineStr">
        <is>
          <t>dt4b4v</t>
        </is>
      </c>
      <c r="B5789" t="inlineStr">
        <is>
          <t>whats the best for doctors to look for cancer?</t>
        </is>
      </c>
      <c r="C5789" t="inlineStr">
        <is>
          <t>recently ive had a tumor found below the brain, i also have some strange symptoms(drooling, speech), but doctors say those symptoms have nothing to do with my tumor, so now they want to do a PET scan. is this because they suspect i have cancer? and im not sure if its worth the risk, and i also find strange that the tumor is not causing my speech droolings symptoms. is there another way doctors can look for whats causing my symptoms?
I already went to a ENT, PT, and had mri and ultrasound of neck and all shows normal</t>
        </is>
      </c>
      <c r="D5789" t="n">
        <v>1</v>
      </c>
      <c r="E5789" t="n">
        <v>5</v>
      </c>
      <c r="F5789">
        <f>HYPERLINK("https://www.reddit.com/r/cancer/comments/dt4b4v/whats_the_best_for_doctors_to_look_for_cancer/")</f>
        <v/>
      </c>
      <c r="G5789" t="inlineStr">
        <is>
          <t>2019-11-07 13:06:41</t>
        </is>
      </c>
      <c r="H5789" t="inlineStr"/>
    </row>
    <row r="5790">
      <c r="A5790" t="inlineStr">
        <is>
          <t>dt4l1c</t>
        </is>
      </c>
      <c r="B5790" t="inlineStr">
        <is>
          <t>Just wanted to put this (dietary/chemo) advice out there for those undergoing chemotherapy.</t>
        </is>
      </c>
      <c r="C5790" t="inlineStr">
        <is>
          <t>Just a bit of context: Im a 21 year old Male in Massachusetts, I have a grade 4 diffuse midline glioma - a fancy name for an aggressive brain cancer. Since the cancer was rather aggressive, the oncologists wanted to employ aggressive treatment. In my first round of treatment I underwent 6 weeks of chemo and radiation together. It produced some very inspiring results, but the dose of chemo was fairly low (170mg) and so I underestimated what chemo does to the body. Fast forward about a month, to October, and I started the second round of chemo that involved 5 days of high intensity chemotherapy each month for a total of 6 months. One important feature to note about this second round of chemo is that in October (the first month of the six) I took a higher dose of \~250mg, but every month after this is 360, notably higher than what I was taking in my first round of 6 weeks before October. 
The advice is really just hoping others learn from my experience, but like I said, I totally misjudged the intensity of the higher dose of chemotherapy. I just wanted to put it out there for anyone who is also doing chemotherapy or is soon to start that maintaining a healthy diet is an enormous part of feeling decent during chemo. I neglected this and felt terrible for the first month, and Im soon to start my second month in a few days. I was extremely weak, which contributed to even higher levels of fatigue; soon this became a vicious cycle - I was never leaving bed and not eating nearly enough, plus I slept far too much in the daytime to ever sleep through a night. This all led to me becoming very malnourished and having a dangerously low blood pressure which made me prone to faint (I luckily never did, I always sat down before losing consciousness). My legs and arms would shake uncontrollably and I couldn't stand without seeing stars and nearing the verge of fainting. I guess there's no concrete way to put this/give this advice, but eating well was what broke this vicious cycle for me. I felt revived after *one* good meal. My legs were still shaky, but I had some energy which I used to walk around during the daytime. After a few days of eating regularly, I could walk without fear of fainting and I now walk around my house everyday to make food for myself and be a regular person. 
I never would've thought that chemo would've made me feel so terrible for so long, and *if* I had, which nobody could've, I would've taken it upon myself to each much better on days that I took the chemotherapy so that I had energy, motivation, and a semi regular life in the weeks after. I know this sounds like I'm throwing a pity party, I just wish I hadn't wasted a month sitting in bed endlessly feeling sick and tired but being too fatigued and weak to stand up. Take this seriously, the chemo is a serious strain on your body and while I know this now (and it even sounds stupid to say), I wish someone had told me how important eating well is to feeling good - especially on the days of/following chemo. Your body is working overtime and a half. Give it the calories and fuel it needs. Sorry if this sounds like a disorganized rant I just wanted to put it out there because I've learned a lot through anecdotes on this subreddit and I'm just hoping at least one person sees this and says "oh, good thing I read that, now I'll take my eating and sleep really seriously when I start chemo in \_\_\_ days/weeks."</t>
        </is>
      </c>
      <c r="D5790" t="n">
        <v>1</v>
      </c>
      <c r="E5790" t="n">
        <v>8</v>
      </c>
      <c r="F5790">
        <f>HYPERLINK("https://www.reddit.com/r/cancer/comments/dt4l1c/just_wanted_to_put_this_dietarychemo_advice_out/")</f>
        <v/>
      </c>
      <c r="G5790" t="inlineStr">
        <is>
          <t>2019-11-07 13:25:07</t>
        </is>
      </c>
      <c r="H5790" t="inlineStr"/>
    </row>
    <row r="5791">
      <c r="A5791" t="inlineStr">
        <is>
          <t>dt6xpe</t>
        </is>
      </c>
      <c r="B5791" t="inlineStr">
        <is>
          <t>Hello again folks...(update)</t>
        </is>
      </c>
      <c r="C5791" t="inlineStr">
        <is>
          <t>I haven’t really been too active lately, but I’ve had some new developments that I’m having a little trouble wrapping my head around. I had surgery on 8/23 to remove my uterus due to endometrial cancer. They did a total hysterectomy. I recovered pretty well and went through five rounds of radiation also. That went well. During surgery, I also had my appendix removed and some biopsies of different tissues. The found some a typical cells in some places: peritoneum, bladder flap, etc. They sent these samples of to MD Anderson for evaluation because they stumped the lab. MD Anderson had a hard time as well and it took over two months to discover it is a particularly rare form of mesothelial cells. They called it papillary mesothelial neoplasm. I got referred to another oncologist and had an appointment the next day(which was today). I have CT and PET scans being scheduled and hopefully things will turn out ok. The doctor is bring my case to the tumor board that meets on Tuesday for advice because there are some usual things about my condition and he’d like to get other opinions on the best way to proceed. Hopefully I’m not looking at further treatment, just close monitoring. I’m still pretty confused but I’m sure I’ll learn more as time goes on. I just thought I’d be done with everything after radiation and now I’ll all nervous and uncertain again.</t>
        </is>
      </c>
      <c r="D5791" t="n">
        <v>1</v>
      </c>
      <c r="E5791" t="n">
        <v>3</v>
      </c>
      <c r="F5791">
        <f>HYPERLINK("https://www.reddit.com/r/cancer/comments/dt6xpe/hello_again_folksupdate/")</f>
        <v/>
      </c>
      <c r="G5791" t="inlineStr">
        <is>
          <t>2019-11-07 16:10:33</t>
        </is>
      </c>
      <c r="H5791" t="inlineStr"/>
    </row>
    <row r="5792">
      <c r="A5792" t="inlineStr">
        <is>
          <t>dt74s9</t>
        </is>
      </c>
      <c r="B5792" t="inlineStr">
        <is>
          <t>Cancerous Polyp Found Today</t>
        </is>
      </c>
      <c r="C5792" t="inlineStr">
        <is>
          <t>Hi, everyone! I just joined this subreddit today. Thanks for letting me hang :)
I'm 31 and I had a colonoscopy this morning for some light amounts of blood in my stool. My family doesn't have a history of cancer so I assumed the issue would be unrelated, but my doc dropped the bomb that he found a 4cm tumor right past my rectum and believes it to be cancerous.
The good news so far is that it appears easily operable, but there are a lot more tests for me to take before anything can be pinned down.
Anyhoo, I've never dealt with something like this and I'm having a real tough time - it seems like everything is making me cry and my mind keeps going to the darkest places, even though we don't actually know how bad the situation truly is.
Does anyone have any good techniques to help take one's mind off of this big unknown? If so, I'd love to hear them :) I could use some help.
Thanks so much!</t>
        </is>
      </c>
      <c r="D5792" t="n">
        <v>1</v>
      </c>
      <c r="E5792" t="n">
        <v>24</v>
      </c>
      <c r="F5792">
        <f>HYPERLINK("https://www.reddit.com/r/cancer/comments/dt74s9/cancerous_polyp_found_today/")</f>
        <v/>
      </c>
      <c r="G5792" t="inlineStr">
        <is>
          <t>2019-11-07 16:24:54</t>
        </is>
      </c>
      <c r="H5792" t="inlineStr"/>
    </row>
    <row r="5793">
      <c r="A5793" t="inlineStr">
        <is>
          <t>dt778k</t>
        </is>
      </c>
      <c r="B5793" t="inlineStr">
        <is>
          <t>How can you tell if a lump is cancerous?</t>
        </is>
      </c>
      <c r="C5793" t="inlineStr">
        <is>
          <t>I’m a teenager, and I’ve had two lumps develop over the last couple of days. One is on my forehead and the other on the back of my head close to the top. They’re both kind of hard and hurt to put pressure on. Usually I wouldn’t be worried about something like this, but two of them occurring within days is concerning. Is this something I should be concerned about? What other symptoms should I watch out for if the lumps are concerning?</t>
        </is>
      </c>
      <c r="D5793" t="n">
        <v>1</v>
      </c>
      <c r="E5793" t="n">
        <v>3</v>
      </c>
      <c r="F5793">
        <f>HYPERLINK("https://www.reddit.com/r/cancer/comments/dt778k/how_can_you_tell_if_a_lump_is_cancerous/")</f>
        <v/>
      </c>
      <c r="G5793" t="inlineStr">
        <is>
          <t>2019-11-07 16:30:10</t>
        </is>
      </c>
      <c r="H5793" t="inlineStr"/>
    </row>
    <row r="5794">
      <c r="A5794" t="inlineStr">
        <is>
          <t>dt8azv</t>
        </is>
      </c>
      <c r="B5794" t="inlineStr">
        <is>
          <t>I [20F] was just recently diagnosed with basal cell carcinoma with infiltrated roots, I’ve had it 7 years, concerned Mohs won’t be enough</t>
        </is>
      </c>
      <c r="C5794" t="inlineStr">
        <is>
          <t>In 7th grade I noticed a mole appear on my jawline, but as this was around the time I was getting acne and my skin was changing, I paid no attention to it. Last week I got it biopsied and the result came back as bcc with infiltrated roots, and I was told I’d need Mohs Surgery to get the rest of it/see the extent. I’m terribly concerned that it’s metastasized, or that it’s gone deeper than Mohs can treat. I’m a naturally very anxious person, and I can’t help but be incredibly concerned that the bcc will have spread elsewhere and left me with an untreatable cancer. Of course, there’s no way to tell until I get the procedure done (10 days). Does anyone suggest anything for coping with this news? I know that no one can assure me things will be okay, or that the cancer hasn’t spread, but what kinds of things help with dealing with this and going on? The days are hard and I’m trying to convince myself of the low chances, but the chances of getting bcc at 13 are also low.
Any advice would be incredibly helpful, thank you.</t>
        </is>
      </c>
      <c r="D5794" t="n">
        <v>1</v>
      </c>
      <c r="E5794" t="n">
        <v>8</v>
      </c>
      <c r="F5794">
        <f>HYPERLINK("https://www.reddit.com/r/cancer/comments/dt8azv/i_20f_was_just_recently_diagnosed_with_basal_cell/")</f>
        <v/>
      </c>
      <c r="G5794" t="inlineStr">
        <is>
          <t>2019-11-07 17:56:17</t>
        </is>
      </c>
      <c r="H5794" t="inlineStr"/>
    </row>
    <row r="5795">
      <c r="A5795" t="inlineStr">
        <is>
          <t>dt8qvd</t>
        </is>
      </c>
      <c r="B5795" t="inlineStr">
        <is>
          <t>Might have kidney cancer</t>
        </is>
      </c>
      <c r="C5795" t="inlineStr">
        <is>
          <t>I went in to urgent care a few days ago and found out I possibly had a pleural effusion on my right lung. A CT was done yesterday that confirmed the effusion but also showed a mass on my right kidney. My lung was drained today and the way the mass was treated was extremely urgent. I was told to get an appointment with a oncologist ASAP and the ER doctor already mentioned chemo.
There have been no tests confirming or denying whether it is cancer but I'm scared and I'm convinced it is based on how everyone is acting about it. I never saw the CTs but I just get the feeling that the situation is more serious than what I've been told.
I'm in my third year of law school and this is really just a sudden surprise given that I've been relatively healthy up until last week when I had trouble breathing. I don't know who to tell about this, who to talk to about this. I don't want anyone feeling bad for me and giving me sympathy looks but I'm also concerned about the sudden disruption this could cause me.
Any generally supportive comments or advice are welcome.</t>
        </is>
      </c>
      <c r="D5795" t="n">
        <v>1</v>
      </c>
      <c r="E5795" t="n">
        <v>11</v>
      </c>
      <c r="F5795">
        <f>HYPERLINK("https://www.reddit.com/r/cancer/comments/dt8qvd/might_have_kidney_cancer/")</f>
        <v/>
      </c>
      <c r="G5795" t="inlineStr">
        <is>
          <t>2019-11-07 18:31:28</t>
        </is>
      </c>
      <c r="H5795" t="inlineStr"/>
    </row>
    <row r="5796">
      <c r="A5796" t="inlineStr">
        <is>
          <t>dt9yp6</t>
        </is>
      </c>
      <c r="B5796" t="inlineStr">
        <is>
          <t>Leiomyosarcoma :-/</t>
        </is>
      </c>
      <c r="C5796" t="inlineStr">
        <is>
          <t>My aunt was diagnosed today with Leiomyosarcoma. She has a 5” tumor in her uterus, a 2.5” tumor on her spine and a couple tumors in her lungs. It hasn’t been graded/staged yet. 
It’s really bad. Right? :-(</t>
        </is>
      </c>
      <c r="D5796" t="n">
        <v>1</v>
      </c>
      <c r="E5796" t="n">
        <v>9</v>
      </c>
      <c r="F5796">
        <f>HYPERLINK("https://www.reddit.com/r/cancer/comments/dt9yp6/leiomyosarcoma/")</f>
        <v/>
      </c>
      <c r="G5796" t="inlineStr">
        <is>
          <t>2019-11-07 20:13:04</t>
        </is>
      </c>
      <c r="H5796" t="inlineStr"/>
    </row>
    <row r="5797">
      <c r="A5797" t="inlineStr">
        <is>
          <t>dta136</t>
        </is>
      </c>
      <c r="B5797" t="inlineStr">
        <is>
          <t>New to this, new to cancer, new to reddit</t>
        </is>
      </c>
      <c r="C5797" t="inlineStr">
        <is>
          <t>Reading your posts, it just makes me want to tear my heart out of my chest for you guys.
My husband, my best friend, my soulmate, my everything, just got diagnosed with bladder cancer on Monday.  More tests are needed to determine the grade/stage/etc.
It has been 3 years (jan 2017) that there is microscopic blood in his urine and no doctor took him seriously.  He even went to see a urologist and the BEEEP told him, until he does not pee actual blood and that toilet bowl turns red, there’s nothing to worry about.  Even though he saw a hypervascular legion in his bladder during the cystoscopy (just got my hand on his report).  Even though my husband was a long time smoker.  Even though my husband was in printing and dealing with chemicals for long hours 6 days a week. 
I have been with him for 19 years and married for 17.  We have 2 teenagers and we built our life together, from nothing, with no help.  Just the 2 of us.  I have never been separated more than 2 days from him and i can count them with 1 hand.  
I grew up in an extremely abusive household, both parents had (have) severe mental illness (both refuse to admit and seek help).  Being the oldest of the 4 kids, my parents handed me the task of caring and supporting my siblings.  My father would play emotional games; mind games, etc, every single day.  My mom would physically abuse me, every single day.
So, I suffer from depression most of my life (still in therapy)
I have been a fighter my entire life.  Lived day by day and some times min by min.  
I fought mentally and made it through.  
I never experienced what really feels like living and not surviving before meeting my husband.  
Long story short, I don’t know what to do, what to say.  I just wait for him to sleep and i  cry.  I don’t really know why.  My brain doesn’t want to accept it.  My emotions are all over the place.  
I want his cancer.  I don’t want to see him suffer.
I am just in a place that i can’t even describe.  I want to wake up from it.
So how can I be there for him without being emotional?
How can i support him? 
Giving my history of abuse, i come across as “cold, emotionless, etc”  but deep down i am raw, and feel pain more intense.  
I need to lear how to be supportive of his emotional needs; what goes through his mind; worries; etc.  And the best place and people to ask are you guys.
I know my husband is worried more about me than anything else and i do not want that right now.</t>
        </is>
      </c>
      <c r="D5797" t="n">
        <v>1</v>
      </c>
      <c r="E5797" t="n">
        <v>35</v>
      </c>
      <c r="F5797">
        <f>HYPERLINK("https://www.reddit.com/r/cancer/comments/dta136/new_to_this_new_to_cancer_new_to_reddit/")</f>
        <v/>
      </c>
      <c r="G5797" t="inlineStr">
        <is>
          <t>2019-11-07 20:19:19</t>
        </is>
      </c>
      <c r="H5797" t="inlineStr"/>
    </row>
    <row r="5798">
      <c r="A5798" t="inlineStr">
        <is>
          <t>dta5m6</t>
        </is>
      </c>
      <c r="B5798" t="inlineStr">
        <is>
          <t>Thoughts On Sending Case Studies To Doctors?</t>
        </is>
      </c>
      <c r="C5798" t="inlineStr">
        <is>
          <t>Back in April my dad was diagnosed with stage 4 non small cell lung cancer. He has been going through treatment (keytruda + systemic chrome) and until a few weeks ago was showing good results. Then he began to have headaches and extreme fatigue. It was chalked up to side effects initially. Last Tuesday we took him to the hospital because he was sleeping 22-23 hours a day and was extremely confused when he was awake, forgetting family members, the year, etc. Finally on Monday he was diagnosed with leptomeningeal disease. The outlook is not great for this, but the doctors are willing to help him fight. 
My question is what are your thoughts on doing research and sending findings to the doctors? I found this study: https://www.frontiersin.org/articles/10.3389/fonc.2019.00819/full and it is very similar to my dads case. The doctors did not even mention this medicine and seem to be looking into more standard treatments that can prolong QOL for months. Does it come across as condescending or rude? Or do you think they’d see it as helpful or at least in good faith from a son who wants a little more time with his dad?</t>
        </is>
      </c>
      <c r="D5798" t="n">
        <v>1</v>
      </c>
      <c r="E5798" t="n">
        <v>5</v>
      </c>
      <c r="F5798">
        <f>HYPERLINK("https://www.reddit.com/r/cancer/comments/dta5m6/thoughts_on_sending_case_studies_to_doctors/")</f>
        <v/>
      </c>
      <c r="G5798" t="inlineStr">
        <is>
          <t>2019-11-07 20:30:36</t>
        </is>
      </c>
      <c r="H5798" t="inlineStr"/>
    </row>
    <row r="5799">
      <c r="A5799" t="inlineStr">
        <is>
          <t>dtajsh</t>
        </is>
      </c>
      <c r="B5799" t="inlineStr">
        <is>
          <t>Moms home on hospice</t>
        </is>
      </c>
      <c r="C5799" t="inlineStr">
        <is>
          <t>After much drama over getting an oxygen delivery to the house, my momma is finally home, in her bed and resting. 
I know that hospice is exactly what she wants and will give her the most peaceful death possible, but I am scared shitless to be without my mom. I love her so much and I don’t know how I’m going to let her go.</t>
        </is>
      </c>
      <c r="D5799" t="n">
        <v>1</v>
      </c>
      <c r="E5799" t="n">
        <v>2</v>
      </c>
      <c r="F5799">
        <f>HYPERLINK("https://www.reddit.com/r/cancer/comments/dtajsh/moms_home_on_hospice/")</f>
        <v/>
      </c>
      <c r="G5799" t="inlineStr">
        <is>
          <t>2019-11-07 21:06:44</t>
        </is>
      </c>
      <c r="H5799" t="inlineStr"/>
    </row>
    <row r="5800">
      <c r="A5800" t="inlineStr">
        <is>
          <t>dtakoo</t>
        </is>
      </c>
      <c r="B5800" t="inlineStr">
        <is>
          <t>Metastasis</t>
        </is>
      </c>
      <c r="C5800" t="inlineStr">
        <is>
          <t>It’s starting to spread. First from the liver to the hip bone. Now to his spine. Please tell me this isn’t it. Someone give me a little hope.</t>
        </is>
      </c>
      <c r="D5800" t="n">
        <v>1</v>
      </c>
      <c r="E5800" t="n">
        <v>2</v>
      </c>
      <c r="F5800">
        <f>HYPERLINK("https://www.reddit.com/r/cancer/comments/dtakoo/metastasis/")</f>
        <v/>
      </c>
      <c r="G5800" t="inlineStr">
        <is>
          <t>2019-11-07 21:08:59</t>
        </is>
      </c>
      <c r="H5800" t="inlineStr"/>
    </row>
    <row r="5801">
      <c r="A5801" t="inlineStr">
        <is>
          <t>dtb2hf</t>
        </is>
      </c>
      <c r="B5801" t="inlineStr">
        <is>
          <t>My mother, her father, and all his brothers</t>
        </is>
      </c>
      <c r="C5801" t="inlineStr">
        <is>
          <t>Cancer seems to run in the family. My mother has recently recovered from breast cancer this year. In July my grandfather was diagnosed with stage 4 kidney cancer that had spread to his hip. A week ago they gave him 2 weeks to live. He is currently under home care and he is never alone. Someone is in the room at all times. As I take my turn sitting next to him in the recliner I snap my head his direction every time he coughs or breathes a little to hard. My eyes lock on to his chest to watch it rise and fall and a sense of relief rolls over me. I do this every few minutes. 
All of his brothers have passed from cancer except for the oldest. My mother was tested to see if it was genetic but that did it seem to be the case. 
This reddit has helped me remember that I am not the one with cancer. Someone always has it worse. And to spend as much time with him as I can.</t>
        </is>
      </c>
      <c r="D5801" t="n">
        <v>1</v>
      </c>
      <c r="E5801" t="n">
        <v>3</v>
      </c>
      <c r="F5801">
        <f>HYPERLINK("https://www.reddit.com/r/cancer/comments/dtb2hf/my_mother_her_father_and_all_his_brothers/")</f>
        <v/>
      </c>
      <c r="G5801" t="inlineStr">
        <is>
          <t>2019-11-07 21:54:57</t>
        </is>
      </c>
      <c r="H5801" t="inlineStr"/>
    </row>
    <row r="5802">
      <c r="A5802" t="inlineStr">
        <is>
          <t>dtb2jq</t>
        </is>
      </c>
      <c r="B5802" t="inlineStr">
        <is>
          <t>I’m really scared I have bone cancer.</t>
        </is>
      </c>
      <c r="C5802" t="inlineStr">
        <is>
          <t>I got into a car accident 3 months ago. I have a huge bump on my leg and was told it was just a hemotoma. I got an mri, and the doctor said that it looks really funny and that there is stuff all the way up my leg. He said it looks like cancer. He ordered another emergency mri. I had to get a more advanced mri this evening hooked up to an IV. I’m really scared. I mean what are the odds right? It probably is just tissue damage right? Someone make me feel better :(</t>
        </is>
      </c>
      <c r="D5802" t="n">
        <v>1</v>
      </c>
      <c r="E5802" t="n">
        <v>7</v>
      </c>
      <c r="F5802">
        <f>HYPERLINK("https://www.reddit.com/r/cancer/comments/dtb2jq/im_really_scared_i_have_bone_cancer/")</f>
        <v/>
      </c>
      <c r="G5802" t="inlineStr">
        <is>
          <t>2019-11-07 21:55:06</t>
        </is>
      </c>
      <c r="H5802" t="inlineStr"/>
    </row>
    <row r="5803">
      <c r="A5803" t="inlineStr">
        <is>
          <t>dtej2k</t>
        </is>
      </c>
      <c r="B5803" t="inlineStr">
        <is>
          <t>Double mastectomy</t>
        </is>
      </c>
      <c r="C5803" t="inlineStr">
        <is>
          <t>I had a double mastectomy with reconstruction yesterday. Holy hell it hurts a lot. Now i just need to wait for the pathology results to come back to dermine next steps. I'm glad this part is over, though, even if it is going to suck for a while.</t>
        </is>
      </c>
      <c r="D5803" t="n">
        <v>1</v>
      </c>
      <c r="E5803" t="n">
        <v>7</v>
      </c>
      <c r="F5803">
        <f>HYPERLINK("https://www.reddit.com/r/cancer/comments/dtej2k/double_mastectomy/")</f>
        <v/>
      </c>
      <c r="G5803" t="inlineStr">
        <is>
          <t>2019-11-08 04:07:24</t>
        </is>
      </c>
      <c r="H5803" t="inlineStr"/>
    </row>
    <row r="5804">
      <c r="A5804" t="inlineStr">
        <is>
          <t>dtfkv5</t>
        </is>
      </c>
      <c r="B5804" t="inlineStr">
        <is>
          <t>Post cancer follow up stress</t>
        </is>
      </c>
      <c r="C5804" t="inlineStr">
        <is>
          <t>I am wondering if others feel anxiety every time they go back to the oncologist. I have been in remission for several years and really have no reason to think anything is wrong at this point. However, every time I come back for my routine checkup every 6 months, I get anxiety and worry. Although irrational, I still don’t like it.</t>
        </is>
      </c>
      <c r="D5804" t="n">
        <v>1</v>
      </c>
      <c r="E5804" t="n">
        <v>24</v>
      </c>
      <c r="F5804">
        <f>HYPERLINK("https://www.reddit.com/r/cancer/comments/dtfkv5/post_cancer_follow_up_stress/")</f>
        <v/>
      </c>
      <c r="G5804" t="inlineStr">
        <is>
          <t>2019-11-08 05:40:55</t>
        </is>
      </c>
      <c r="H5804" t="inlineStr"/>
    </row>
    <row r="5805">
      <c r="A5805" t="inlineStr">
        <is>
          <t>dth2fy</t>
        </is>
      </c>
      <c r="B5805" t="inlineStr">
        <is>
          <t>I have my full check up today...</t>
        </is>
      </c>
      <c r="C5805" t="inlineStr">
        <is>
          <t>I was fine leading up to today’s appointment but now I’m just having a full blown panic attack. 
Just asking for all the good vibes and prayers (if you believe in that sort of thing) that all the results come back normal and clean.
3 years of fighting this treacherous disease and I am ready to move on and forward.</t>
        </is>
      </c>
      <c r="D5805" t="n">
        <v>1</v>
      </c>
      <c r="E5805" t="n">
        <v>6</v>
      </c>
      <c r="F5805">
        <f>HYPERLINK("https://www.reddit.com/r/cancer/comments/dth2fy/i_have_my_full_check_up_today/")</f>
        <v/>
      </c>
      <c r="G5805" t="inlineStr">
        <is>
          <t>2019-11-08 07:36:43</t>
        </is>
      </c>
      <c r="H5805" t="inlineStr"/>
    </row>
    <row r="5806">
      <c r="A5806" t="inlineStr">
        <is>
          <t>dthpw7</t>
        </is>
      </c>
      <c r="B5806" t="inlineStr">
        <is>
          <t>Cancer support groups</t>
        </is>
      </c>
      <c r="C5806" t="inlineStr">
        <is>
          <t>Anyone find them useful?
Maybe it’s a typical English thing, but the ones I went too, I’d just sit around and have a cup of tea with a staff member and a chat.
I watched American movies about cancer and maybe it’s just because it’s Hollywood but people would sit in a circle like an AA meeting and talk about their feelings and experiences.
Just wondering the differences between cultures.
I think English people are more stoic and less emotional “I think”.</t>
        </is>
      </c>
      <c r="D5806" t="n">
        <v>1</v>
      </c>
      <c r="E5806" t="n">
        <v>9</v>
      </c>
      <c r="F5806">
        <f>HYPERLINK("https://www.reddit.com/r/cancer/comments/dthpw7/cancer_support_groups/")</f>
        <v/>
      </c>
      <c r="G5806" t="inlineStr">
        <is>
          <t>2019-11-08 08:22:11</t>
        </is>
      </c>
      <c r="H5806" t="inlineStr"/>
    </row>
    <row r="5807">
      <c r="A5807" t="inlineStr">
        <is>
          <t>dtijg9</t>
        </is>
      </c>
      <c r="B5807" t="inlineStr">
        <is>
          <t>Genetic Testing</t>
        </is>
      </c>
      <c r="C5807" t="inlineStr">
        <is>
          <t>Hello,
My sister was diagnosed with stage 4 ovarian cancer about a year ago. She told us (her siblings) to get a genetic test done to see if we were carriers of that gene. I'm sorry but I don't really understand the process. I asked my family doctor for one and he said they don't do that. So do i need a referral or what? Has anyone had family or done this themselves? What happens if i do have that gene?? I think it's suppose to check for ovarian cancer and breast cancer.</t>
        </is>
      </c>
      <c r="D5807" t="n">
        <v>1</v>
      </c>
      <c r="E5807" t="n">
        <v>4</v>
      </c>
      <c r="F5807">
        <f>HYPERLINK("https://www.reddit.com/r/cancer/comments/dtijg9/genetic_testing/")</f>
        <v/>
      </c>
      <c r="G5807" t="inlineStr">
        <is>
          <t>2019-11-08 09:19:19</t>
        </is>
      </c>
      <c r="H5807" t="inlineStr"/>
    </row>
    <row r="5808">
      <c r="A5808" t="inlineStr">
        <is>
          <t>dtj35p</t>
        </is>
      </c>
      <c r="B5808" t="inlineStr">
        <is>
          <t>Stage 4 lung cancer- should I request clinical trials?</t>
        </is>
      </c>
      <c r="C5808" t="inlineStr">
        <is>
          <t>My Dad has just this week been diagnosed with stage 4 adrenocarcinoma in his right lung- it has spread to his pleura and adjoining lymph nodes. His decline over the past few weeks has been rapid but he is otherwise fit and healthy. He’s 68. I’m finding it hard to take in! He was tired but fine just a few weeks ago before getting pneumonia and a blood clot (DVT) in his leg. He is due to start chemo in 3.5 weeks- permetrexed abd carboplatin. Does anyone know whether I should push for clinical trials before this begins? Thanks in advance. We are in the UK (Scotland).</t>
        </is>
      </c>
      <c r="D5808" t="n">
        <v>1</v>
      </c>
      <c r="E5808" t="n">
        <v>15</v>
      </c>
      <c r="F5808">
        <f>HYPERLINK("https://www.reddit.com/r/cancer/comments/dtj35p/stage_4_lung_cancer_should_i_request_clinical/")</f>
        <v/>
      </c>
      <c r="G5808" t="inlineStr">
        <is>
          <t>2019-11-08 09:58:02</t>
        </is>
      </c>
      <c r="H5808" t="inlineStr"/>
    </row>
    <row r="5809">
      <c r="A5809" t="inlineStr">
        <is>
          <t>dtjc0s</t>
        </is>
      </c>
      <c r="B5809" t="inlineStr">
        <is>
          <t>Young adult with Family</t>
        </is>
      </c>
      <c r="C5809" t="inlineStr">
        <is>
          <t>Are there any other young adults with families in here? How do you cope and manage? I’m a caregiver to my husband (28) who has sarcoma and we also have a 2 year old. Also any advice on how to deal with Daddy being sick to a 2 year old? It’s all she’s ever known but I’m sure she will have questions/feelings when she’s older.</t>
        </is>
      </c>
      <c r="D5809" t="n">
        <v>1</v>
      </c>
      <c r="E5809" t="n">
        <v>10</v>
      </c>
      <c r="F5809">
        <f>HYPERLINK("https://www.reddit.com/r/cancer/comments/dtjc0s/young_adult_with_family/")</f>
        <v/>
      </c>
      <c r="G5809" t="inlineStr">
        <is>
          <t>2019-11-08 10:14:58</t>
        </is>
      </c>
      <c r="H5809" t="inlineStr"/>
    </row>
    <row r="5810">
      <c r="A5810" t="inlineStr">
        <is>
          <t>dtjmex</t>
        </is>
      </c>
      <c r="B5810" t="inlineStr">
        <is>
          <t>Today is two months since I saw my father take his last breath</t>
        </is>
      </c>
      <c r="C5810" t="inlineStr">
        <is>
          <t>Does it become easier? My aunt who lost her daughter, my cousin, told me it gets harder. I think she's the only one who has told me the truth. I'm about to lose it at work.</t>
        </is>
      </c>
      <c r="D5810" t="n">
        <v>1</v>
      </c>
      <c r="E5810" t="n">
        <v>0</v>
      </c>
      <c r="F5810">
        <f>HYPERLINK("https://www.reddit.com/r/cancer/comments/dtjmex/today_is_two_months_since_i_saw_my_father_take/")</f>
        <v/>
      </c>
      <c r="G5810" t="inlineStr">
        <is>
          <t>2019-11-08 10:35:33</t>
        </is>
      </c>
      <c r="H5810" t="inlineStr"/>
    </row>
    <row r="5811">
      <c r="A5811" t="inlineStr">
        <is>
          <t>dtkwi5</t>
        </is>
      </c>
      <c r="B5811" t="inlineStr">
        <is>
          <t>Traveling to see Dad.</t>
        </is>
      </c>
      <c r="C5811" t="inlineStr">
        <is>
          <t>Hello everyone.... I’m new here...my Dad has been diagnosed with HCC last FEB and he was hiding this so that I don’t get worried and as I’m not living with family ( I’m living in another country for work ).... now he told me as his cancer advanced and the options seem limited... he is on Sorafenib ( full dose 800mg ) which cause side effects... now I’m traveling to see him and spend sometime with him.... How can I support him and help him in this battle.... he is depressed and me too but I know that I have to do something to motivate him... any ideas ?</t>
        </is>
      </c>
      <c r="D5811" t="n">
        <v>1</v>
      </c>
      <c r="E5811" t="n">
        <v>5</v>
      </c>
      <c r="F5811">
        <f>HYPERLINK("https://www.reddit.com/r/cancer/comments/dtkwi5/traveling_to_see_dad/")</f>
        <v/>
      </c>
      <c r="G5811" t="inlineStr">
        <is>
          <t>2019-11-08 12:03:03</t>
        </is>
      </c>
      <c r="H5811" t="inlineStr"/>
    </row>
    <row r="5812">
      <c r="A5812" t="inlineStr">
        <is>
          <t>dtlztq</t>
        </is>
      </c>
      <c r="B5812" t="inlineStr">
        <is>
          <t>The Kominsky Method (spoilers)</t>
        </is>
      </c>
      <c r="C5812" t="inlineStr">
        <is>
          <t>So I just finished 8 months of chemo and am now in the famous waiting for 3 months to go by and see if the cancer comes back phase. I have been watching the Kominsky method and it is fun and funny.  Early on his friend's wife dies of cancer and I get it. It's part  of life whatever. But now Sandy has cancer? I mean really Netflix? Can we just be allowed to watch a comedy where no one has cancer? That would be great! Sorry just a vent. I was so disappointed last night I was tired from work and just wanted to relax and laugh.</t>
        </is>
      </c>
      <c r="D5812" t="n">
        <v>1</v>
      </c>
      <c r="E5812" t="n">
        <v>3</v>
      </c>
      <c r="F5812">
        <f>HYPERLINK("https://www.reddit.com/r/cancer/comments/dtlztq/the_kominsky_method_spoilers/")</f>
        <v/>
      </c>
      <c r="G5812" t="inlineStr">
        <is>
          <t>2019-11-08 13:18:08</t>
        </is>
      </c>
      <c r="H5812" t="inlineStr"/>
    </row>
    <row r="5813">
      <c r="A5813" t="inlineStr">
        <is>
          <t>dtn9jn</t>
        </is>
      </c>
      <c r="B5813" t="inlineStr">
        <is>
          <t>do i have melanoma. noticed this weird mole on my back</t>
        </is>
      </c>
      <c r="C5813" t="inlineStr">
        <is>
          <t>mole doesnt hurt or anything but i do notice its presence when im laying on my seat
http://imgur.com/a/ylI87ZT</t>
        </is>
      </c>
      <c r="D5813" t="n">
        <v>1</v>
      </c>
      <c r="E5813" t="n">
        <v>1</v>
      </c>
      <c r="F5813">
        <f>HYPERLINK("https://www.reddit.com/r/cancer/comments/dtn9jn/do_i_have_melanoma_noticed_this_weird_mole_on_my/")</f>
        <v/>
      </c>
      <c r="G5813" t="inlineStr">
        <is>
          <t>2019-11-08 14:49:09</t>
        </is>
      </c>
      <c r="H5813" t="inlineStr"/>
    </row>
    <row r="5814">
      <c r="A5814" t="inlineStr">
        <is>
          <t>dtohyv</t>
        </is>
      </c>
      <c r="B5814" t="inlineStr">
        <is>
          <t>sex after chemo?</t>
        </is>
      </c>
      <c r="C5814" t="inlineStr">
        <is>
          <t>Hi everyone :) I finished chemo in feb for Ewing’s sarcoma (24F). 
I haven’t been with anyone since I started treatment in 2018 and I am just now trying to date. I am feeling nervous about this aspect of my relationships now. 
Any ladies out there have any info/tips on returning to normalcy being intimate? I feel like my whole body just feels differently and I am not sure how to approach this new *~normal~*. 
Also, not really sure how to rock this hairstyle. Anyone have post chemo hair growth pics?
Thanks and lots of love for any insight u have. Xx</t>
        </is>
      </c>
      <c r="D5814" t="n">
        <v>1</v>
      </c>
      <c r="E5814" t="n">
        <v>3</v>
      </c>
      <c r="F5814">
        <f>HYPERLINK("https://www.reddit.com/r/cancer/comments/dtohyv/sex_after_chemo/")</f>
        <v/>
      </c>
      <c r="G5814" t="inlineStr">
        <is>
          <t>2019-11-08 16:23:15</t>
        </is>
      </c>
      <c r="H5814" t="inlineStr"/>
    </row>
    <row r="5815">
      <c r="A5815" t="inlineStr">
        <is>
          <t>dtombu</t>
        </is>
      </c>
      <c r="B5815" t="inlineStr">
        <is>
          <t>IVF, Immunotherapy, and Melanoma (Update)</t>
        </is>
      </c>
      <c r="C5815" t="inlineStr">
        <is>
          <t xml:space="preserve"> I'll occasionally get emails from individuals asking some questions as a response to [this post](https://www.reddit.com/r/cancer/comments/8dfuqk/ivf_immunotherapy_and_melanoma/). I typed up an update in response to a question and decided to post it here for those folks who come across it on a search. 
Just yesterday, my wife completed her 20th treatment of immunotherapy. She was able to get through the 4 treatments of Nivolumab and Ipilinumab and is now on a single dosage therapy.
The good news is that these medicines have been going through trials now for a while and new data is coming back all the time concerning the best dosage and schedule for treatment. What was once a 4 hour treatment for her is now done in just a half hour.
We did go with the embryo preservation. We had to pay for this out of pocket, but it turned out to be a good thing that we did. One of the unexpected side effects of the treatment was that my wife stopped producing estrogen completely. We don't know if it will ever come back. She went through about 8 months of hot flashes and early menopause before she was put on hormone therapy. She is now able to sleep through the night, but it looks like we will need to look at surrogacy in the future, if that even works (we only harvested 4 viable embryos since we were rushed).
Everyone has different reactions to the medicine, but the oncologist has said that studies are showing those that have reactions respond better to treatment than those that do not. Her "reactions" have included hair loss, menopause, arthritis, migraines, dizziness, loss of weight and appetite, itchy skin, hyperthyroidism, and adrenal insufficiency. She will remain on meds her entire life.
HOWEVER, the tumors have receded. Her lymph nodes and lungs look completely clear. The tumor in her liver is half the size it once was. The treatments are working.
She is also able to work full-time (with sick days and opting for FMLA). She has an endocrinologist who told her that he is her new thyroid, so with medication she's been able to sleep better and the extra estrogen has halted her pre-menopause symptoms. She is getting better.
I'll say this: if your loved one is lucky enough to respond to immunotherapy and their body can handle the toxicity, then all of this shit becomes worth it.</t>
        </is>
      </c>
      <c r="D5815" t="n">
        <v>1</v>
      </c>
      <c r="E5815" t="n">
        <v>0</v>
      </c>
      <c r="F5815">
        <f>HYPERLINK("https://www.reddit.com/r/cancer/comments/dtombu/ivf_immunotherapy_and_melanoma_update/")</f>
        <v/>
      </c>
      <c r="G5815" t="inlineStr">
        <is>
          <t>2019-11-08 16:32:56</t>
        </is>
      </c>
      <c r="H5815" t="inlineStr"/>
    </row>
    <row r="5816">
      <c r="A5816" t="inlineStr">
        <is>
          <t>dtovo4</t>
        </is>
      </c>
      <c r="B5816" t="inlineStr">
        <is>
          <t>In need of good vibes</t>
        </is>
      </c>
      <c r="C5816" t="inlineStr">
        <is>
          <t>I'm going to try and keep this brief, but here's my backstory. I'm only 31, have been completely healthy my entire life, but in May of this year I was diagnosed with diffuse large B cell Lymphoma, HLH and MDS. I spent six weeks in the hospital dealing with the early stages. I only received one dose of EPOCH chemo while I was in the hospital and it was undoubtedly the worst thing I've experienced so far, outside of a bone marrow biopsy.   
After leaving the hospital I was set to receive six outpatient doses of RCHOP. I only received four of those treatments because when I arrived for my fifth my labs showed a decrease in WBC and Platelets and an increase in Bilirubin. I went back the following week and the case was the same, the RCHOP stopped being effective and my lesions, which previously had decreased by half, were showing signs of growth. No good.  
Today I left the hospital after a three and a half day inpatient RICE treatment. It wasn't bad at all, minimal nausea and vomiting, mostly just a lot of sleep. I have one more inpatient RICE treatment before I get another CT scan to monitor the lesion size. If decreases are detected I'll discuss a bone marrow transplant. If not, I'll discuss CAR T cell therapy. Anyways, I could really use some good vibes.  
TLDR: I'm 31, diagnosed with NHL in May, got chemo, chemo stopped working, just began a different chemo regimen, could use some good vibes.</t>
        </is>
      </c>
      <c r="D5816" t="n">
        <v>1</v>
      </c>
      <c r="E5816" t="n">
        <v>8</v>
      </c>
      <c r="F5816">
        <f>HYPERLINK("https://www.reddit.com/r/cancer/comments/dtovo4/in_need_of_good_vibes/")</f>
        <v/>
      </c>
      <c r="G5816" t="inlineStr">
        <is>
          <t>2019-11-08 16:54:03</t>
        </is>
      </c>
      <c r="H5816" t="inlineStr"/>
    </row>
    <row r="5817">
      <c r="A5817" t="inlineStr">
        <is>
          <t>dtp06g</t>
        </is>
      </c>
      <c r="B5817" t="inlineStr">
        <is>
          <t>Rant - I feel like my family has been forsaken.</t>
        </is>
      </c>
      <c r="C5817" t="inlineStr">
        <is>
          <t>When my dad got diagnosed with stage IV pancreatic cancer, it's like we became totally forgotten. Thank god my mom has insurance, but it's not enough. My dad can no longer work his construction job, we can no longer pay for our house, we either take out a home equity loan or we lose our home. It costs 800 dollars a month for him to get oxygen, and he has 10's of thousands in medical payments now. And his care is becoming so demanding that my mom is thinking of leaving her job. My dad has contemplated suicide because he feels like such a burden to us, he's not. I would do anything to keep him here.   
But I just feel as though everyone (except for you guys here) and the government has turned their backs on us. The government, our tribe, the community that we have abided laws for, paid taxes for, help support our entire lives has deserted us in such a dire moment. Like, fuck those people man...We should look out for each other, and there's none of it. 
&amp;amp;#x200B;
Rant over. I love you guys. I'm not even the one with the cancer, so I don't want to sound selfish for being angry. And for those battling this thing, I'm thinking about you all collectively and sending you light.</t>
        </is>
      </c>
      <c r="D5817" t="n">
        <v>1</v>
      </c>
      <c r="E5817" t="n">
        <v>26</v>
      </c>
      <c r="F5817">
        <f>HYPERLINK("https://www.reddit.com/r/cancer/comments/dtp06g/rant_i_feel_like_my_family_has_been_forsaken/")</f>
        <v/>
      </c>
      <c r="G5817" t="inlineStr">
        <is>
          <t>2019-11-08 17:03:56</t>
        </is>
      </c>
      <c r="H5817" t="inlineStr"/>
    </row>
    <row r="5818">
      <c r="A5818" t="inlineStr">
        <is>
          <t>dtqrbn</t>
        </is>
      </c>
      <c r="B5818" t="inlineStr">
        <is>
          <t>Those who lost a loved one after a long term battle with cancer...did you feel any relief?</t>
        </is>
      </c>
      <c r="C5818" t="inlineStr">
        <is>
          <t>My mother was diagnosed 7 years ago with stage IV colon cancer. She has other serious health issues as well. She had a recurrence 2 years ago and her health has declined more since then.
I don't want to sound selfish or callous. I feel horrible for my mom. The thought of losing her breaks me. But I have been worried sick about losing her every day for as long as I can remember now. I don't remember what life was like before this.
So selfishly, I guess I hope that when the unthinkable happens...I'll feel relief. That I won't have to see her suffer anymore, but also that I won't have to wonder when it's going to happen and when I'm going to lose her and how I will react.
Did anyone who lost someone after a long battle feel this way? Is it just wishful thinking and I'm going to be as much of a wreck as I fear I am?</t>
        </is>
      </c>
      <c r="D5818" t="n">
        <v>1</v>
      </c>
      <c r="E5818" t="n">
        <v>6</v>
      </c>
      <c r="F5818">
        <f>HYPERLINK("https://www.reddit.com/r/cancer/comments/dtqrbn/those_who_lost_a_loved_one_after_a_long_term/")</f>
        <v/>
      </c>
      <c r="G5818" t="inlineStr">
        <is>
          <t>2019-11-08 19:41:57</t>
        </is>
      </c>
      <c r="H5818" t="inlineStr"/>
    </row>
    <row r="5819">
      <c r="A5819" t="inlineStr">
        <is>
          <t>dtrrhy</t>
        </is>
      </c>
      <c r="B5819" t="inlineStr">
        <is>
          <t>When should you be concerned about a lump?</t>
        </is>
      </c>
      <c r="C5819" t="inlineStr">
        <is>
          <t>A hard, slightly painful lump about the size of the tip of a dime or penny appeared on my forehead. It definitely doesn’t seem like acne, and it appeared in one day. Is this something I should be worried about? What are signs I should go see a doctor about it? Also would I want to see a general doctor or a dermatologist? Thank you, this is really worrying me!</t>
        </is>
      </c>
      <c r="D5819" t="n">
        <v>1</v>
      </c>
      <c r="E5819" t="n">
        <v>3</v>
      </c>
      <c r="F5819">
        <f>HYPERLINK("https://www.reddit.com/r/cancer/comments/dtrrhy/when_should_you_be_concerned_about_a_lump/")</f>
        <v/>
      </c>
      <c r="G5819" t="inlineStr">
        <is>
          <t>2019-11-08 21:22:56</t>
        </is>
      </c>
      <c r="H5819" t="inlineStr"/>
    </row>
    <row r="5820">
      <c r="A5820" t="inlineStr">
        <is>
          <t>dtsvhp</t>
        </is>
      </c>
      <c r="B5820" t="inlineStr">
        <is>
          <t>Possible loss against Cancer and cooping with it.</t>
        </is>
      </c>
      <c r="C5820" t="inlineStr">
        <is>
          <t>Hi all,
I really need this forum to get this off my chest.  I been seeing someone for some time now. Just last week she found out by accident that she has cancer.  When she got her PT scan, early thoughts was that it was Lymphoma. She went for her biopsy this past Monday and she was able to describe it to me as the size of a baseball in her chest that has been apparently growing for two years and that it's mostly "inactive", meaning I guess it potentially spread to other parts of her body, on that day she didn't know.  They spun her blood around and based on the characteristics of how the blood was moving, the doctor was willing to bet that it was Hodgkin's Lymphoma, she's also 34 btw, and they were going to send her blood to a lab to confirm it. Her and I had a date this past Tuesday and it was fantastic, this was the moment I knew this was my girl, and after her telling me some of this news, I figured she had a battle ahead of her, but I felt very optimistic that she could beat this. She was going in today (Friday) for her first session. I text her saying I'm here for you and can chat with her anytime.  A couple hours past, she text me saying "I can't talk a lot today, I didn't get great news, I have a lot to process". While I don't know what her prognosis is, I'm assuming the worst for her just off the vibe of the text. I plan to give her some space and I will reach out to her Sunday evening in hopes she will open up and tell me what news she got, I am praying to god (and I hope you will do the same for me and her) that it's anything but her being on borrowed time now.  This world is missing great people like this woman, and it's awful that her and I could be missing on what could be an amazing relationship.  The timing couldn't have been any worse.  Ever since she sent me that text, I have struggled to keep myself together assuming the worst.  I know I need to show her how strong I am, but my emotions and feelings for her run deep and it has been a tough day.  I hope that I am speaking very prematurely, but if it is the end, I don't know how to handle all this with the emotions and how to comfort her knowing that she is coming to a close herself. I really need someone to talk to about this, I myself am very emotional as I type this, knowing that someone you just started to love could be taken away from you and there is nothing you can do about it....</t>
        </is>
      </c>
      <c r="D5820" t="n">
        <v>1</v>
      </c>
      <c r="E5820" t="n">
        <v>10</v>
      </c>
      <c r="F5820">
        <f>HYPERLINK("https://www.reddit.com/r/cancer/comments/dtsvhp/possible_loss_against_cancer_and_cooping_with_it/")</f>
        <v/>
      </c>
      <c r="G5820" t="inlineStr">
        <is>
          <t>2019-11-08 23:30:39</t>
        </is>
      </c>
      <c r="H5820" t="inlineStr"/>
    </row>
    <row r="5821">
      <c r="A5821" t="inlineStr">
        <is>
          <t>dtttj0</t>
        </is>
      </c>
      <c r="B5821" t="inlineStr">
        <is>
          <t>My mom's starting chemotherapy next week</t>
        </is>
      </c>
      <c r="C5821" t="inlineStr">
        <is>
          <t>My mom's been diagnosed with stage 1 cervical cancer (I believe that's the correct term). She begins chemotherapy and radiation next week Wednesday. What should I be expecting? I didn't really ask her in depth any questions because I've kinda just been coping with it by ignoring it as much as I can. I've basically taken over most of the stuff she did. Cleaning, laundry, stuff like that. And with alot of younger siblings who slack on their chores, basically all day I'm at home cleaning or helping someone with something. I keep myself busy and I rarely have anytime to even really process anything. Being at home all day and having to see her barely able to stand for long has been difficult though. So I just wanted some advice on what I should expect. She said everyone apparently reacts differently to it but I'd still like to hear others experience with it.</t>
        </is>
      </c>
      <c r="D5821" t="n">
        <v>1</v>
      </c>
      <c r="E5821" t="n">
        <v>1</v>
      </c>
      <c r="F5821">
        <f>HYPERLINK("https://www.reddit.com/r/cancer/comments/dtttj0/my_moms_starting_chemotherapy_next_week/")</f>
        <v/>
      </c>
      <c r="G5821" t="inlineStr">
        <is>
          <t>2019-11-09 01:24:54</t>
        </is>
      </c>
      <c r="H5821" t="inlineStr"/>
    </row>
    <row r="5822">
      <c r="A5822" t="inlineStr">
        <is>
          <t>dtuku1</t>
        </is>
      </c>
      <c r="B5822" t="inlineStr">
        <is>
          <t>Dealing with stress</t>
        </is>
      </c>
      <c r="C5822" t="inlineStr">
        <is>
          <t>My mum has been diagnosed with womb cancer, scans are good and she will almost definitely live, she needs an operation to fix it and will be unable to do anything for about a month, not even able to get out of bed on her own. Even though it's going to turn out fine eventually, it's still really stressful and I had an accident at work because of it, potentially costing me half a months pay which I wanted to give to her. Does anyone have any help in reducing stress?</t>
        </is>
      </c>
      <c r="D5822" t="n">
        <v>1</v>
      </c>
      <c r="E5822" t="n">
        <v>4</v>
      </c>
      <c r="F5822">
        <f>HYPERLINK("https://www.reddit.com/r/cancer/comments/dtuku1/dealing_with_stress/")</f>
        <v/>
      </c>
      <c r="G5822" t="inlineStr">
        <is>
          <t>2019-11-09 03:00:18</t>
        </is>
      </c>
      <c r="H5822" t="inlineStr"/>
    </row>
    <row r="5823">
      <c r="A5823" t="inlineStr">
        <is>
          <t>dtupaq</t>
        </is>
      </c>
      <c r="B5823" t="inlineStr">
        <is>
          <t>My Story</t>
        </is>
      </c>
      <c r="C5823" t="inlineStr">
        <is>
          <t>I have never had cancer myself. But my mom has, here is the stroy.
My mom had cancer twice (ovarian, then kidney).
First time (ovarian) was like 9-10  (I think I was 11) years ago. She had been feeling pain in her lower abdomen, and went to the doctor, they did a scan, and there it was. A huge tumor in one of her ovaries. Luckily, it was only stage 1, they caught it very early (which is probably what saved her life). I was young, and had no idea what was happening, and was happy that I was spending a lot of time at my friend's house (a girl who I had a crush on at the time). And that after I knew what was happening, I was talking to said friend, and this other kid overheard the conversation, and told me that he hoped she died, I still haven't forgiven him, probably never will. They ended up having to take basically the entire reproductive system out because of the size of the tumor. 
Then, the second time (kidney) was this year. She had to go in for an annual check on her numbers (I forget the actual name for them) for her ovarian cancer, and they were higher than the past few years. They ran a bunch of tests over a few weeks.  The n ew ws wasn't good. I'm 20 now, and it scared the living fuck out of me to hear that she had cancer again. Me and some friends had just pulled up to one of their houses in my truck when she called me with the news. They basically watched the color drain from my face. They asked me what was wrong. I didn't answer at the time. I just slowly got out of my truck, slammed the shit out of my door, and almost broke my hand on the window as I punched it. I was surprised that both my hand and the window survived the hit intact. Luckily, it was confined to her kidney, and hadn't spread.  They had to take the whole kidney.
She managed to pull through both times, and I'm grateful to God for that, even though I haven't prayed in years, I should start again. I don't know if I can survive hearing those words again. From anyone I know. Fuck cancer, I can't wait for the day that we erase it from existence.</t>
        </is>
      </c>
      <c r="D5823" t="n">
        <v>1</v>
      </c>
      <c r="E5823" t="n">
        <v>3</v>
      </c>
      <c r="F5823">
        <f>HYPERLINK("https://www.reddit.com/r/cancer/comments/dtupaq/my_story/")</f>
        <v/>
      </c>
      <c r="G5823" t="inlineStr">
        <is>
          <t>2019-11-09 03:15:34</t>
        </is>
      </c>
      <c r="H5823" t="inlineStr"/>
    </row>
    <row r="5824">
      <c r="A5824" t="inlineStr">
        <is>
          <t>dtvduo</t>
        </is>
      </c>
      <c r="B5824" t="inlineStr">
        <is>
          <t>4 years cancer free today</t>
        </is>
      </c>
      <c r="C5824" t="inlineStr">
        <is>
          <t>This day 4 years ago, I was 14. I finished treatment for Acute Myeloid Leukemia. I'm really happy today, no one really knows but I just wanted to say it somewhere :) 
Thanks x</t>
        </is>
      </c>
      <c r="D5824" t="n">
        <v>1</v>
      </c>
      <c r="E5824" t="n">
        <v>31</v>
      </c>
      <c r="F5824">
        <f>HYPERLINK("https://www.reddit.com/r/cancer/comments/dtvduo/4_years_cancer_free_today/")</f>
        <v/>
      </c>
      <c r="G5824" t="inlineStr">
        <is>
          <t>2019-11-09 04:35:15</t>
        </is>
      </c>
      <c r="H5824" t="inlineStr"/>
    </row>
    <row r="5825">
      <c r="A5825" t="inlineStr">
        <is>
          <t>dtwzt6</t>
        </is>
      </c>
      <c r="B5825" t="inlineStr">
        <is>
          <t>Delayed Tamoxifen side effects?</t>
        </is>
      </c>
      <c r="C5825" t="inlineStr">
        <is>
          <t>I started on Tamoxifen in beginning of October. I had usual hot flashes and very little sweats maybe I would wake with a little thigh muscle pain in 1 leg . I considered myself lucky. But this week the pain has started to progress. First it was waking up with ankle pain then I noticed knee pain . But last night was horrible my shoulders, legs, knees, ankles, and fingers hurt so bad I could not fall back to sleep. Now my back hurts.
   Is it normal for it to take a month to see side effects? I am afraid to continue taking it I don't want pain to progress. Maybe decreasing dose might help? I don't know what to do 😣</t>
        </is>
      </c>
      <c r="D5825" t="n">
        <v>1</v>
      </c>
      <c r="E5825" t="n">
        <v>8</v>
      </c>
      <c r="F5825">
        <f>HYPERLINK("https://www.reddit.com/r/cancer/comments/dtwzt6/delayed_tamoxifen_side_effects/")</f>
        <v/>
      </c>
      <c r="G5825" t="inlineStr">
        <is>
          <t>2019-11-09 07:01:45</t>
        </is>
      </c>
      <c r="H5825" t="inlineStr"/>
    </row>
    <row r="5826">
      <c r="A5826" t="inlineStr">
        <is>
          <t>du1efh</t>
        </is>
      </c>
      <c r="B5826" t="inlineStr">
        <is>
          <t>Need ideas of things to buy for a 13yo starting Chemo</t>
        </is>
      </c>
      <c r="C5826" t="inlineStr">
        <is>
          <t>Getting him a Nintendo Switch and some games. Any idea will help. Im at a complete loss. Thx</t>
        </is>
      </c>
      <c r="D5826" t="n">
        <v>1</v>
      </c>
      <c r="E5826" t="n">
        <v>10</v>
      </c>
      <c r="F5826">
        <f>HYPERLINK("https://www.reddit.com/r/cancer/comments/du1efh/need_ideas_of_things_to_buy_for_a_13yo_starting/")</f>
        <v/>
      </c>
      <c r="G5826" t="inlineStr">
        <is>
          <t>2019-11-09 12:40:12</t>
        </is>
      </c>
      <c r="H5826" t="inlineStr"/>
    </row>
    <row r="5827">
      <c r="A5827" t="inlineStr">
        <is>
          <t>du1t2r</t>
        </is>
      </c>
      <c r="B5827" t="inlineStr">
        <is>
          <t>Insurance?</t>
        </is>
      </c>
      <c r="C5827" t="inlineStr">
        <is>
          <t>Not sure if this is the right place to ask this specific question. I didnt see any mention of it in the rules for this sub. 
Any suggestions on which insurance company/policy/etc is best for someone fighting? TYIA</t>
        </is>
      </c>
      <c r="D5827" t="n">
        <v>1</v>
      </c>
      <c r="E5827" t="n">
        <v>8</v>
      </c>
      <c r="F5827">
        <f>HYPERLINK("https://www.reddit.com/r/cancer/comments/du1t2r/insurance/")</f>
        <v/>
      </c>
      <c r="G5827" t="inlineStr">
        <is>
          <t>2019-11-09 13:12:02</t>
        </is>
      </c>
      <c r="H5827" t="inlineStr"/>
    </row>
    <row r="5828">
      <c r="A5828" t="inlineStr">
        <is>
          <t>du2q7s</t>
        </is>
      </c>
      <c r="B5828" t="inlineStr">
        <is>
          <t>Everything came to an end today, and my Grandmother is finally at peace</t>
        </is>
      </c>
      <c r="C5828" t="inlineStr">
        <is>
          <t>My grandmother’s fourth bout with cancer ended today, three hours ago. She passed at around 2:55pm listening to her favourite songs and surrounded by her three children, her two grandchildren, and her husband. I know saying “She was waiting for everyone to get home before she passed” is so cliche, but I think it’s true. She had the biggest heart, and she was my best friend. 
Her last bout of cancer was in the 2000’s. She was also part of a $17.5 million class action lawsuit in 2008 where 425 victims of Newfoundland and Labrador had their breast cancer results and testing botched between 1997-2005. She’s been to hell and back, and fought through it all. 
I start volunteering at the Canadian Cancer Society Resource Room in my city in a couple of weeks and I know she’d be so proud. I’ll be helping patients with wigs and other resources who need it. 
This fall, I’ve learned that university courses can be retaken, but if I miss moments with my family.... Well, I won’t get them back. I know my motivation is going to go out the window, but I know she’d want me to focus on school as much as possible and not to worry too much. 
Words are hard, some of this might not even make sense. It doesn’t feel real yet. I’m spending the next few days with my family and I’m thankful to have them all with me, especially those who live away that I don’t get to see often. Reading all of your stories throughout this hard time has really helped, so I’m grateful the community.</t>
        </is>
      </c>
      <c r="D5828" t="n">
        <v>1</v>
      </c>
      <c r="E5828" t="n">
        <v>1</v>
      </c>
      <c r="F5828">
        <f>HYPERLINK("https://www.reddit.com/r/cancer/comments/du2q7s/everything_came_to_an_end_today_and_my/")</f>
        <v/>
      </c>
      <c r="G5828" t="inlineStr">
        <is>
          <t>2019-11-09 14:22:09</t>
        </is>
      </c>
      <c r="H5828" t="inlineStr"/>
    </row>
    <row r="5829">
      <c r="A5829" t="inlineStr">
        <is>
          <t>du3v8h</t>
        </is>
      </c>
      <c r="B5829" t="inlineStr">
        <is>
          <t>I miss my mom.</t>
        </is>
      </c>
      <c r="C5829" t="inlineStr">
        <is>
          <t>A couple of weeks ago I posted about my mom's terrible struggle with neuroendocrine cancer. It all came to an end on Halloween. 
I had only been back in town almost a week when my dad called and said that my mom's decline was getting too quick and the doctors were doing everything they could. The neurologist, the nephrologist, the oncology team, everyone did everything they could, but Monday my mom was moved into hospice care. Thank goodness for them--caring, compassionate, lovely people, all of them. They said mom probably had about two weeks. 
Thursday--Halloween--I was in a city a couple hours away for work and had just finished dinner when my dad called. It was over. He had been just sitting there, idly chatting to my mom (who had been unconscious for the whole day), and noticed that she just...stopped breathing. It was very peaceful. No struggle, no pain, just...slipping away from us. I drove home that night and the next morning my husband put me on a plane home. 
I wish I had been able to be with my mom at the end, but I'm glad I was able to visit her a couple of weeks beforehand--that's the last time she was really conscious and talking and even a little bit by her old self. That's how I want to remember her--her ordinary, normal self. Not lying in a hospital bed, near death. Dad was with her, her friends had been in to see her that day and the days before, and...it was an OK way for her to go. 
The funeral was Wednesday and I was back at work for a little bit today, and again tomorrow. It's bizarre. I don't know what to do with myself. I don't know what to say to people. People don't know what to say to me, either. Only one person said anything to me. Everyone else is just studiously ignoring me. I feel like a leper. How can I go back to work like everything is normal and pretend like things are OK? How am I supposed to behave like I used to? I don't remember. I don't remember how to act like things are OK and I'm not worried sick about my mom. I don't remember what that's like. She was sick since last Christmas. 
I've been through a death before so I know that this is the GOOD time. This is when people are around and available. Where will everyone be in a month or two or six, when I'm still grieving and they've forgotten about me? I'm afraid. I don't know how to go forward and I wish I could just call my mom and ask her.</t>
        </is>
      </c>
      <c r="D5829" t="n">
        <v>1</v>
      </c>
      <c r="E5829" t="n">
        <v>12</v>
      </c>
      <c r="F5829">
        <f>HYPERLINK("https://www.reddit.com/r/cancer/comments/du3v8h/i_miss_my_mom/")</f>
        <v/>
      </c>
      <c r="G5829" t="inlineStr">
        <is>
          <t>2019-11-09 15:51:44</t>
        </is>
      </c>
      <c r="H5829" t="inlineStr"/>
    </row>
    <row r="5830">
      <c r="A5830" t="inlineStr">
        <is>
          <t>du3xty</t>
        </is>
      </c>
      <c r="B5830" t="inlineStr">
        <is>
          <t>How can I get checked for cancer?</t>
        </is>
      </c>
      <c r="C5830" t="inlineStr">
        <is>
          <t>I’m a 17 year old male living in the UK and I’m kinda concerned about cancer, I know that a lot of cancer is symptomless and can be treated if diagnosed early enough, and recently I’ve been kinda worried about it but I don’t know how to even start getting an appointment booked. I’ve looked online but haven’t found anything particularly useful, was just wondering if anyone knew what I can do to put my mind to rest. Cheers in advance :)</t>
        </is>
      </c>
      <c r="D5830" t="n">
        <v>1</v>
      </c>
      <c r="E5830" t="n">
        <v>18</v>
      </c>
      <c r="F5830">
        <f>HYPERLINK("https://www.reddit.com/r/cancer/comments/du3xty/how_can_i_get_checked_for_cancer/")</f>
        <v/>
      </c>
      <c r="G5830" t="inlineStr">
        <is>
          <t>2019-11-09 15:57:37</t>
        </is>
      </c>
      <c r="H5830" t="inlineStr"/>
    </row>
    <row r="5831">
      <c r="A5831" t="inlineStr">
        <is>
          <t>du4qm2</t>
        </is>
      </c>
      <c r="B5831" t="inlineStr">
        <is>
          <t>Friends mother diagnosed with CLL, needs many blood transfusions, has anyone else gone through something similar?</t>
        </is>
      </c>
      <c r="C5831" t="inlineStr">
        <is>
          <t>My dear lifelong friend's mother (in her 70s) was diagnosed recently with CLL. In the last few weeks she's received several emergency blood transfusions. Last Sunday she was hospitalized receiving a transfusion (4 units) which brought her hgb back up to over 8 (she was in the 4 range). Today, 6 days later, she is back at the ER with hgb in the 5 range and is needing more blood.  
She gets her PET scan this week and also will begin Rituximab. 
From what I've read, CLL is very treatable and many patients survive for years. But I'm finding many things regarding patients that have needed repeated blood transfusions. Is this normal for CLL? Will the treatment help her to start manufacturing her own blood better? Has anyone else here had a similar experience, or know of someone who has? 
Thank you.</t>
        </is>
      </c>
      <c r="D5831" t="n">
        <v>1</v>
      </c>
      <c r="E5831" t="n">
        <v>7</v>
      </c>
      <c r="F5831">
        <f>HYPERLINK("https://www.reddit.com/r/cancer/comments/du4qm2/friends_mother_diagnosed_with_cll_needs_many/")</f>
        <v/>
      </c>
      <c r="G5831" t="inlineStr">
        <is>
          <t>2019-11-09 17:06:18</t>
        </is>
      </c>
      <c r="H5831" t="inlineStr"/>
    </row>
    <row r="5832">
      <c r="A5832" t="inlineStr">
        <is>
          <t>du5mt5</t>
        </is>
      </c>
      <c r="B5832" t="inlineStr">
        <is>
          <t>I wanted to share a quick story with you guys</t>
        </is>
      </c>
      <c r="C5832" t="inlineStr">
        <is>
          <t>I’m casually drinking some beer with my brother while eating some macaroni he cooked up for us. 
And I just remembered the first time I drank with my dad. We were at his buddies toy museum about 1.5 miles from the house. This was during the last presidential election. He was laying down on a cot full of blankets while I kept switching seats. His friends girlfriend kept giving me beer. It was the first time he ever saw me drink and was surprised for some reason but he was cool with it. It was our first drink together and we cheered as we sipped on our canned beer and watched a debate. 
My dad was never much of a drinker. But I’d give anything to cheers with him. 
I cheered to the sky tonight. And I never finish the bottom of my drink because that bit is reserved for him. 
I miss you so much dad..</t>
        </is>
      </c>
      <c r="D5832" t="n">
        <v>1</v>
      </c>
      <c r="E5832" t="n">
        <v>3</v>
      </c>
      <c r="F5832">
        <f>HYPERLINK("https://www.reddit.com/r/cancer/comments/du5mt5/i_wanted_to_share_a_quick_story_with_you_guys/")</f>
        <v/>
      </c>
      <c r="G5832" t="inlineStr">
        <is>
          <t>2019-11-09 18:26:41</t>
        </is>
      </c>
      <c r="H5832" t="inlineStr"/>
    </row>
    <row r="5833">
      <c r="A5833" t="inlineStr">
        <is>
          <t>du72xz</t>
        </is>
      </c>
      <c r="B5833" t="inlineStr">
        <is>
          <t>What type of doctor should I go to first?</t>
        </is>
      </c>
      <c r="C5833" t="inlineStr">
        <is>
          <t>So I have a family history of cancer. Both grandprents died from cancer, my aunt died of cancer when she was just 33, and my brother also had cancer. 
Now I’ve strarted to see some changes in my body (kind of crusty moles?). I’ve suffered from severe insomnia for the last couple of weeks, my energy seems to be decreasing every day, and have tingly sensations in my arms and somtimes my head. 
Any recomendations of what type of doctor I should go to?</t>
        </is>
      </c>
      <c r="D5833" t="n">
        <v>1</v>
      </c>
      <c r="E5833" t="n">
        <v>10</v>
      </c>
      <c r="F5833">
        <f>HYPERLINK("https://www.reddit.com/r/cancer/comments/du72xz/what_type_of_doctor_should_i_go_to_first/")</f>
        <v/>
      </c>
      <c r="G5833" t="inlineStr">
        <is>
          <t>2019-11-09 20:50:15</t>
        </is>
      </c>
      <c r="H5833" t="inlineStr"/>
    </row>
    <row r="5834">
      <c r="A5834" t="inlineStr">
        <is>
          <t>du9669</t>
        </is>
      </c>
      <c r="B5834" t="inlineStr">
        <is>
          <t>My countries social system sucks</t>
        </is>
      </c>
      <c r="C5834" t="inlineStr">
        <is>
          <t>Hey guys!
I'm currently trying to get back on my feet and get a rehab. So far so nice. The downside of this is that until I'm working full-time again I'll only be paid 68% of my last paycheck. That's 396€ after taxes. (My normal payckeck is 580€ after taxes because I'm currently in an apprenticeship). I want to cry. How am I supposed to pay my bills? How are we (hubby and I) supposed to live with ~200€ missing per month? We just got a rise in rent and our finances aren't great. I feel like I'm being punished for being sick. 
Fyi I'm German, so our system is probably very different from yours. 
I don't know what to do. Maybe it's best to just skip rehab and get back to work, we can't afford something else.</t>
        </is>
      </c>
      <c r="D5834" t="n">
        <v>1</v>
      </c>
      <c r="E5834" t="n">
        <v>6</v>
      </c>
      <c r="F5834">
        <f>HYPERLINK("https://www.reddit.com/r/cancer/comments/du9669/my_countries_social_system_sucks/")</f>
        <v/>
      </c>
      <c r="G5834" t="inlineStr">
        <is>
          <t>2019-11-10 00:58:52</t>
        </is>
      </c>
      <c r="H5834" t="inlineStr"/>
    </row>
    <row r="5835">
      <c r="A5835" t="inlineStr">
        <is>
          <t>dua6ak</t>
        </is>
      </c>
      <c r="B5835" t="inlineStr">
        <is>
          <t>Unexpected Turn of Events</t>
        </is>
      </c>
      <c r="C5835" t="inlineStr">
        <is>
          <t>My wife initially went in for a gallbladder removal where they found on the XRAY a cyst near the heart so they started observation.  Three years later the cyst had greatly grown in size and my wife started showing signs of myasthenia gravis.  The Dr at the tiny town rural hospital didnt know what to do so he referred my wife to the Heart Center of the Rockies in Loveland, CO.  Here they did several tests with the state of the art equipment they had on hand and determined that it was a tumor but didnt know exactly what it was since it was so far from the thymus itself.  Surgery was scheduled and took place a month later where the doctor had to crack the chest to remove a very large tumor next to her heart and about two months later after much research and review by other doctors and specialists they determined that the mass was a B3 Thymoma with a Type 2 Recission.  It was then that the radio-oncologist spoke to us and highly recommended that radiotherapy be started immediately for a course of six weeks, a dose everyday via precision 3D radiotherapy.    
I was devastated at this news and couldnt even focus on drinking a can of tea as I waited out in the lobby since they were getting my wife ready for her treatments on the machine which will be taking place next week.  
Right now Im just trying to focus on her comforts while she moves in to a house next to the hospital where they allow cancer patients to stay if they cant afford the hotel rates, the houses being $20/night.  The other headache is trying to figure out what to do with our dog (110lb WGSD) while I travel on my weekends to be with my wife (2 1/2 hour drive one way) since the housing has a strict no pet policy.  I feel as if a giant thumb is constantly pushing down on me without any sign of reprieve and Ive found myself just sitting and staring at my computer screen with a game at the start screen but I just no longer have any desire to play, I cant help the thoughts of anger and pain going through my mind.  What will be of us in 5, 10, 15 years?  How will this affect our 4yr old daughter?  Do I try to toe the line with my job to be with my wife more which puts me at risk of losing said job and all of its benefits including the insurance thats paying for her treatments?  
What have you guys done to keep your mind off the inevitable?</t>
        </is>
      </c>
      <c r="D5835" t="n">
        <v>1</v>
      </c>
      <c r="E5835" t="n">
        <v>9</v>
      </c>
      <c r="F5835">
        <f>HYPERLINK("https://www.reddit.com/r/cancer/comments/dua6ak/unexpected_turn_of_events/")</f>
        <v/>
      </c>
      <c r="G5835" t="inlineStr">
        <is>
          <t>2019-11-10 03:06:59</t>
        </is>
      </c>
      <c r="H5835" t="inlineStr"/>
    </row>
    <row r="5836">
      <c r="A5836" t="inlineStr">
        <is>
          <t>duhonw</t>
        </is>
      </c>
      <c r="B5836" t="inlineStr">
        <is>
          <t>Switching treatments?</t>
        </is>
      </c>
      <c r="C5836" t="inlineStr">
        <is>
          <t>Does anyone have experience with changing treatments partway through because you didn't feel the initial option was right for you (or a loved one you were caring for)? I'm doing chemotherapy for lymphoma and I am 1/3 of the way through my treatment but I feel like it has completely messed up my life. I want to see about switching to radiation therapy because it should be less taxing on my body. I know there are greater risks associated with radiation, but the chemo has really, really messed me up. I don't have the mental strength to make it another four months on chemo. Has anyone had a similar experience?</t>
        </is>
      </c>
      <c r="D5836" t="n">
        <v>1</v>
      </c>
      <c r="E5836" t="n">
        <v>5</v>
      </c>
      <c r="F5836">
        <f>HYPERLINK("https://www.reddit.com/r/cancer/comments/duhonw/switching_treatments/")</f>
        <v/>
      </c>
      <c r="G5836" t="inlineStr">
        <is>
          <t>2019-11-10 13:24:16</t>
        </is>
      </c>
      <c r="H5836" t="inlineStr"/>
    </row>
    <row r="5837">
      <c r="A5837" t="inlineStr">
        <is>
          <t>duihau</t>
        </is>
      </c>
      <c r="B5837" t="inlineStr">
        <is>
          <t>FUCK you cancer</t>
        </is>
      </c>
      <c r="C5837" t="inlineStr">
        <is>
          <t>I think the hardest part about this whole ordeal is that I am seeing this beautiful soul go through tremendous amounts of pain. This beautiful soul that wants nothing more than to live. This beautiful that will do anything in their power to carry on.</t>
        </is>
      </c>
      <c r="D5837" t="n">
        <v>1</v>
      </c>
      <c r="E5837" t="n">
        <v>20</v>
      </c>
      <c r="F5837">
        <f>HYPERLINK("https://www.reddit.com/r/cancer/comments/duihau/fuck_you_cancer/")</f>
        <v/>
      </c>
      <c r="G5837" t="inlineStr">
        <is>
          <t>2019-11-10 14:21:24</t>
        </is>
      </c>
      <c r="H5837" t="inlineStr"/>
    </row>
    <row r="5838">
      <c r="A5838" t="inlineStr">
        <is>
          <t>duj4dt</t>
        </is>
      </c>
      <c r="B5838" t="inlineStr">
        <is>
          <t>Filing a complaint with the state insurance commissioner</t>
        </is>
      </c>
      <c r="C5838" t="inlineStr">
        <is>
          <t>Has anyone here filed a complaint with their state insurance commissioner?  BCBS has been a nightmare to deal with for the last year and a half.  It's been nothing but delayed misinformation, denials of standard care for stage 3 colon cancer, unhelpful representatives with no call back, etc.  The list goes on and on and it is adding to the stress of having cancer itself.  Did filing a complaint help? Did anything change? Were they helpful in any way after you started to 'make some noise'? 
The back story is that my wife has Stage 3 colon cancer and has been undergoing treatment for the last year and a half.  3 surgeries, 16 chemo sessions so far with more to go, and all the scans and imaging you all are familiar with.  The insurance plan we have is very good but that doesn't seem to make a difference when they are denying legit MRI and CT scans.  All the treatment she has received has been per doctors orders with nothing elective or experimental pursued.  The denied bills are piling up and BCBS/EVICore is total junk to deal with.  We've appealed their denials multiple times and the process appears to be purposely convoluted with no one knowing anything on their end every time you call.  We've been patient with them but I'm done with that now.</t>
        </is>
      </c>
      <c r="D5838" t="n">
        <v>1</v>
      </c>
      <c r="E5838" t="n">
        <v>17</v>
      </c>
      <c r="F5838">
        <f>HYPERLINK("https://www.reddit.com/r/cancer/comments/duj4dt/filing_a_complaint_with_the_state_insurance/")</f>
        <v/>
      </c>
      <c r="G5838" t="inlineStr">
        <is>
          <t>2019-11-10 15:10:37</t>
        </is>
      </c>
      <c r="H5838" t="inlineStr"/>
    </row>
    <row r="5839">
      <c r="A5839" t="inlineStr">
        <is>
          <t>dujs9n</t>
        </is>
      </c>
      <c r="B5839" t="inlineStr">
        <is>
          <t>I’m supposed to write a LiveStrong testimonial and I feel too dumb to do it?</t>
        </is>
      </c>
      <c r="C5839" t="inlineStr">
        <is>
          <t>I’m grateful for LiveStrong; it seriously changed my life. I’ve had a while to do the testimonial but the last couple weeks have been awful with helping my sister with some bullshit I shouldn’t have, all while fighting an autoimmune flare-up and an emergency root canal while I was out of state. The chemo brain hasn’t really faded yet (and might not for a while? I’m still getting maintenance infusions and have another year left of them). I was so excited when they first asked me to do it - on my way to my sister’s. I then spent 2 weeks having what little energy I had sucked out of me by her and her kids that now I’m totally uninspired and don’t really care anymore. The worst part is that I feel like it’s a foreshadowing for things to come since they’re supposed to move in with my mom and me in the spring. I hate to make it about me and I know they have nowhere else to go but my immune system is still so compromised and my energy still such trash that babies and toddlers are really hard to be around (I know that moms do this all the time and I respect that but I’m not used to that and I’m deliberately child-free so my system wilds out when it’s exposed to pre-school germs.) I’m having a hard time not feeling hopeless about what’s to come and I haven’t really felt depressed the whole time since I’ve been diagnosed. Idk I’ll keep trying on this testimonial but so far I’ve just been staring at a blank screen for a while.</t>
        </is>
      </c>
      <c r="D5839" t="n">
        <v>1</v>
      </c>
      <c r="E5839" t="n">
        <v>2</v>
      </c>
      <c r="F5839">
        <f>HYPERLINK("https://www.reddit.com/r/cancer/comments/dujs9n/im_supposed_to_write_a_livestrong_testimonial_and/")</f>
        <v/>
      </c>
      <c r="G5839" t="inlineStr">
        <is>
          <t>2019-11-10 16:00:04</t>
        </is>
      </c>
      <c r="H5839" t="inlineStr"/>
    </row>
    <row r="5840">
      <c r="A5840" t="inlineStr">
        <is>
          <t>duk52s</t>
        </is>
      </c>
      <c r="B5840" t="inlineStr">
        <is>
          <t>Grandmother has 2 months to live. What can I do for her/with her? Ideas?</t>
        </is>
      </c>
      <c r="C5840" t="inlineStr">
        <is>
          <t>Hello Everyone,
A little background. My grandmother had uterine cancer two years ago and, after a surgery and lots of kemo, she has been in remission. At her one year check-up, they found cancer all over her body. They were saying it was 50/50 but after one round of radiation, they said they won't be continuing treatments as it wouldn't help her. The cancer has become even more aggressive, and she now has been giving the diagnosis of "we will try to keep you around through the holidays."
My grandmother loves to travel and go on trips, but I know that's not possible for her with her condition the way it is. What really angers me is that she always wanted to go to Europe, and she had a cruise booked several times but had to cancel last minute a few times due to other family members getting sick. Se always said going to Europe was on her bucket list. What can I do for her to make that dream come true? We live outside of Buffalo, New York. Any ideas? 
I love my grandmother, she was a very prominent person raising me. My parents went through a nasty divorce when I was younger that lasted years (they are both much better people after seperating) and my grandparents essentially raised me. She has always been my rock and, to be honest, tears are streaming down my face just typing this. 
I want to make her last few months here the best of her life. Please, anything you can think of that I can do for her would be greatly appreciated. 
Thank you to anything who reads this and shares their ideas. You are all excellent people. To all of those who have gone through something similar, I am truly sorry for what you had to go through. I couldn't wish this upon my worse enemy.</t>
        </is>
      </c>
      <c r="D5840" t="n">
        <v>1</v>
      </c>
      <c r="E5840" t="n">
        <v>15</v>
      </c>
      <c r="F5840">
        <f>HYPERLINK("https://www.reddit.com/r/cancer/comments/duk52s/grandmother_has_2_months_to_live_what_can_i_do/")</f>
        <v/>
      </c>
      <c r="G5840" t="inlineStr">
        <is>
          <t>2019-11-10 16:25:59</t>
        </is>
      </c>
      <c r="H5840" t="inlineStr"/>
    </row>
    <row r="5841">
      <c r="A5841" t="inlineStr">
        <is>
          <t>dum0la</t>
        </is>
      </c>
      <c r="B5841" t="inlineStr">
        <is>
          <t>Tomorrow I see a specialized psychologist!</t>
        </is>
      </c>
      <c r="C5841" t="inlineStr">
        <is>
          <t>After diagnosis in June, two surgeries and radiotherapy I’m going to see the one doctor I’ve been waiting on: a psychologist! My regular therapist is wonderful but this is just out of her scope of knowledge.
Since diagnosis I’ve felt so betrayed by my body, so let down by what she’s been doing to herself. Previously I was unbelievably confident and had a wonderful sense of self and love for my body. Not so much anymore. 
Tonight I wanted to share that I’m excited to be seeing someone who is well regarded and very well trained in helping me navigate these unbelievably complex emotions about my body.</t>
        </is>
      </c>
      <c r="D5841" t="n">
        <v>1</v>
      </c>
      <c r="E5841" t="n">
        <v>0</v>
      </c>
      <c r="F5841">
        <f>HYPERLINK("https://www.reddit.com/r/cancer/comments/dum0la/tomorrow_i_see_a_specialized_psychologist/")</f>
        <v/>
      </c>
      <c r="G5841" t="inlineStr">
        <is>
          <t>2019-11-10 18:52:30</t>
        </is>
      </c>
      <c r="H5841" t="inlineStr"/>
    </row>
    <row r="5842">
      <c r="A5842" t="inlineStr">
        <is>
          <t>dun8oa</t>
        </is>
      </c>
      <c r="B5842" t="inlineStr">
        <is>
          <t>In 12 hours I'll be a bionic man!</t>
        </is>
      </c>
      <c r="C5842" t="inlineStr">
        <is>
          <t>Having part of my femur (and tumor) removed tomorrow. Being replaced with a custom made titanium endoprosthesis. I won't be as cool as Wolverine. But my super powers will likely be limping and not running for the remainder of my life.
With that said, I am thankful that so far it appears my treatment is working and I will still have a mostly functional leg.
Fuck cancer. Positive vibes only.</t>
        </is>
      </c>
      <c r="D5842" t="n">
        <v>1</v>
      </c>
      <c r="E5842" t="n">
        <v>22</v>
      </c>
      <c r="F5842">
        <f>HYPERLINK("https://www.reddit.com/r/cancer/comments/dun8oa/in_12_hours_ill_be_a_bionic_man/")</f>
        <v/>
      </c>
      <c r="G5842" t="inlineStr">
        <is>
          <t>2019-11-10 20:33:48</t>
        </is>
      </c>
      <c r="H5842" t="inlineStr"/>
    </row>
    <row r="5843">
      <c r="A5843" t="inlineStr">
        <is>
          <t>duo9px</t>
        </is>
      </c>
      <c r="B5843" t="inlineStr">
        <is>
          <t>Blood Tests That Can Detect the Major 8 Types Of Cancer</t>
        </is>
      </c>
      <c r="C5843" t="inlineStr">
        <is>
          <t>The major causes of death nowadays are cancer. The report from the WHO states that “cancers are one of the top ten leading causes of death globally.” Where a lot of people are already fighting with cancer, awareness is also increasing every day. More and more people are starting up with the campaigns of cancer awareness programs so that we can minimize the danger as much as possible. We should not ignore the basic and vital blood tests for our complete health. Look for cheap private blood tests in London in order to get the best deals on the complete blood test packages...
Read More: [https://www.dookyweb.com/blood-tests-that-can-detect-the-major-8-types-of-cancer/](https://www.dookyweb.com/blood-tests-that-can-detect-the-major-8-types-of-cancer/)  
https://preview.redd.it/whdprb2e00y31.jpg?width=600&amp;amp;format=pjpg&amp;amp;auto=webp&amp;amp;s=479fc0790d3ab54c1696a5905c2d9481f06926ca</t>
        </is>
      </c>
      <c r="D5843" t="n">
        <v>1</v>
      </c>
      <c r="E5843" t="n">
        <v>0</v>
      </c>
      <c r="F5843">
        <f>HYPERLINK("https://www.reddit.com/r/cancer/comments/duo9px/blood_tests_that_can_detect_the_major_8_types_of/")</f>
        <v/>
      </c>
      <c r="G5843" t="inlineStr">
        <is>
          <t>2019-11-10 22:12:24</t>
        </is>
      </c>
      <c r="H5843" t="inlineStr"/>
    </row>
    <row r="5844">
      <c r="A5844" t="inlineStr">
        <is>
          <t>duo9x4</t>
        </is>
      </c>
      <c r="B5844" t="inlineStr">
        <is>
          <t>My parents don't believe cancer treatments</t>
        </is>
      </c>
      <c r="C5844" t="inlineStr">
        <is>
          <t>They always tell me so and so died due to spread few months after surgery. Or another person's cancer spread soon after the doctor took samples from tumor. They just believe one would live longer if not treated or know about it. 
Previously I didn't care. Now I suspect I have colon cancer symptoms, how do I convince them otherwise?</t>
        </is>
      </c>
      <c r="D5844" t="n">
        <v>1</v>
      </c>
      <c r="E5844" t="n">
        <v>8</v>
      </c>
      <c r="F5844">
        <f>HYPERLINK("https://www.reddit.com/r/cancer/comments/duo9x4/my_parents_dont_believe_cancer_treatments/")</f>
        <v/>
      </c>
      <c r="G5844" t="inlineStr">
        <is>
          <t>2019-11-10 22:12:59</t>
        </is>
      </c>
      <c r="H5844" t="inlineStr"/>
    </row>
    <row r="5845">
      <c r="A5845" t="inlineStr">
        <is>
          <t>duqd3m</t>
        </is>
      </c>
      <c r="B5845" t="inlineStr">
        <is>
          <t>About to start treatment with young kids</t>
        </is>
      </c>
      <c r="C5845" t="inlineStr">
        <is>
          <t>Hey folks, I'm dealing with a stage 4 NET, and I'm about to undergo my first round of PRRT treatment. The list of side effects looks... unpleasant, but I'm pretty confident I can deal with that.
The problem is the post-treatment safety protocol. For a couple of days after each infusion, I'm supposed to avoid contact with others. That means no sleeping in the same bed as my wife (which sucks), limiting time spent with visitors, avoiding crowded areas, and no close contact with young children. 
That last one will be the hardest, since i have a 3yo and a 1yo. We've got both sets of grandparents helping out, so I'm not even particularly worried about the practical aspects. It's more that they struggle with being told "no" when it's "no ice cream for breakfast" or "no you can't climb into the oven" - I can't imagine how they are going to react to hearing "no, daddy can't cuddle you today".
Has anyone been through a similar protocol with young kids? How did you make it work, and how did you help your kids to understand what was happening?</t>
        </is>
      </c>
      <c r="D5845" t="n">
        <v>1</v>
      </c>
      <c r="E5845" t="n">
        <v>8</v>
      </c>
      <c r="F5845">
        <f>HYPERLINK("https://www.reddit.com/r/cancer/comments/duqd3m/about_to_start_treatment_with_young_kids/")</f>
        <v/>
      </c>
      <c r="G5845" t="inlineStr">
        <is>
          <t>2019-11-11 02:01:53</t>
        </is>
      </c>
      <c r="H5845" t="inlineStr"/>
    </row>
    <row r="5846">
      <c r="A5846" t="inlineStr">
        <is>
          <t>dur4nf</t>
        </is>
      </c>
      <c r="B5846" t="inlineStr">
        <is>
          <t>How did you know you were strong enough to start chemo?</t>
        </is>
      </c>
      <c r="C5846" t="inlineStr">
        <is>
          <t>My mom had a full hysterectomy for ovarian cancer a month ago. They want to start on chemo next week even after complications: shy bladder+three weeks with catheter+uti+sepsis and a punctured ling they sent her home with after detecting it during sepsis (hope came from installing the chemo port).
She now out of the hospital and I’m taking care of her trying to get her ready for chemo, but she still is very weak with the small hole in lunch and wheeezing. 
She’s finally peeing on own but not pooping without a laxative and still have pin and bloating in her abdomen post-hysterectomy.
I’ll speak with the doctor firsthand this week but all the secondhand info (from my often delirious mother and her elderly friends) has suggested to me the doctor may be pushing it too fast. I just find it weird that’d they’d start up on chemo before she has an in-person follow up with her oncologist/surgeon. Is that normal for a stage 1C2?
Thanks.</t>
        </is>
      </c>
      <c r="D5846" t="n">
        <v>1</v>
      </c>
      <c r="E5846" t="n">
        <v>14</v>
      </c>
      <c r="F5846">
        <f>HYPERLINK("https://www.reddit.com/r/cancer/comments/dur4nf/how_did_you_know_you_were_strong_enough_to_start/")</f>
        <v/>
      </c>
      <c r="G5846" t="inlineStr">
        <is>
          <t>2019-11-11 03:26:33</t>
        </is>
      </c>
      <c r="H5846" t="inlineStr"/>
    </row>
    <row r="5847">
      <c r="A5847" t="inlineStr">
        <is>
          <t>dus22m</t>
        </is>
      </c>
      <c r="B5847" t="inlineStr">
        <is>
          <t>Dad is getting his scan in a few hours.</t>
        </is>
      </c>
      <c r="C5847" t="inlineStr">
        <is>
          <t>Not gonna lie, im pretty nervous. Its his first CT scan after the surgery and chemo. I just hope it hasnt come back and that the chemo worked.</t>
        </is>
      </c>
      <c r="D5847" t="n">
        <v>1</v>
      </c>
      <c r="E5847" t="n">
        <v>12</v>
      </c>
      <c r="F5847">
        <f>HYPERLINK("https://www.reddit.com/r/cancer/comments/dus22m/dad_is_getting_his_scan_in_a_few_hours/")</f>
        <v/>
      </c>
      <c r="G5847" t="inlineStr">
        <is>
          <t>2019-11-11 05:00:10</t>
        </is>
      </c>
      <c r="H5847" t="inlineStr"/>
    </row>
    <row r="5848">
      <c r="A5848" t="inlineStr">
        <is>
          <t>dut0ud</t>
        </is>
      </c>
      <c r="B5848" t="inlineStr">
        <is>
          <t>NG I Feeding tube?</t>
        </is>
      </c>
      <c r="C5848" t="inlineStr">
        <is>
          <t>Hi everyone, hopefully I’m not out-of-place with this, I don’t actually have Cancer; I have lupus. But nobody on r/lupus is replying and this is a very time-sensitive question. I’m a teenage girl, so I hope you can understand this is really scary for me. 
I’m desperate for guidance, information and advice. I somehow dropped to a BMI of 13 in a week which has put a lot of stress on my heart. My doctors are heavily pressuring me to have a feeding tube put in voluntarily (with undertones of “if you don’t, it’ll be involuntary”) and I’m pretty scared.
Has anybody here had to have a feeding tube before? Does it chafe? Does it injure your throat or annoy you? Has it left you with any damage to your throat? Did you have any side effects as a result of it? What was the general experience like for you? I don’t know the right questions to ask, but I want to know everything—honestly. 
I truly apologise if I shouldn’t be posting here, but this is really time-sensitive (I’m supposed to have it put in in 6 hours) and I’m scared. Please forgive me if this comes off as insensitive or inappropriate, I’ll understand if mods delete.</t>
        </is>
      </c>
      <c r="D5848" t="n">
        <v>1</v>
      </c>
      <c r="E5848" t="n">
        <v>7</v>
      </c>
      <c r="F5848">
        <f>HYPERLINK("https://www.reddit.com/r/cancer/comments/dut0ud/ng_i_feeding_tube/")</f>
        <v/>
      </c>
      <c r="G5848" t="inlineStr">
        <is>
          <t>2019-11-11 06:21:44</t>
        </is>
      </c>
      <c r="H5848" t="inlineStr"/>
    </row>
    <row r="5849">
      <c r="A5849" t="inlineStr">
        <is>
          <t>duvm93</t>
        </is>
      </c>
      <c r="B5849" t="inlineStr">
        <is>
          <t>Parents shoving their ideology down my throat</t>
        </is>
      </c>
      <c r="C5849" t="inlineStr">
        <is>
          <t>So I'm an atheist for reasons unrelated to having cancer, and recently I was diagnosed with brain tumors that my hematologist said are irremovable and the best they can do is try to stabilize them and prevent them from growing. Now, my parents are super religious and are forcing me to do all this stuff like write letters to God and listen to religious podcasts to try and get me to believe in miracles since they believe only God can cute me, which is fine but I don't want to be forced into doing that stuff, I'm perfectly content with my atheist lifestyle, and would love if they could just accept that</t>
        </is>
      </c>
      <c r="D5849" t="n">
        <v>1</v>
      </c>
      <c r="E5849" t="n">
        <v>44</v>
      </c>
      <c r="F5849">
        <f>HYPERLINK("https://www.reddit.com/r/cancer/comments/duvm93/parents_shoving_their_ideology_down_my_throat/")</f>
        <v/>
      </c>
      <c r="G5849" t="inlineStr">
        <is>
          <t>2019-11-11 09:27:13</t>
        </is>
      </c>
      <c r="H5849" t="inlineStr"/>
    </row>
    <row r="5850">
      <c r="A5850" t="inlineStr">
        <is>
          <t>duw4vc</t>
        </is>
      </c>
      <c r="B5850" t="inlineStr">
        <is>
          <t>Hey, my sister has cancer (leukemia) and it would make her so happy if she got even 100 followers on tiktok. Please go follow her</t>
        </is>
      </c>
      <c r="C5850" t="inlineStr">
        <is>
          <t>Her account name is caitlind2007. She also has a Facebook fundraiser for clic Sargent. It is called Caitlin Rocks</t>
        </is>
      </c>
      <c r="D5850" t="n">
        <v>1</v>
      </c>
      <c r="E5850" t="n">
        <v>0</v>
      </c>
      <c r="F5850">
        <f>HYPERLINK("https://www.reddit.com/r/cancer/comments/duw4vc/hey_my_sister_has_cancer_leukemia_and_it_would/")</f>
        <v/>
      </c>
      <c r="G5850" t="inlineStr">
        <is>
          <t>2019-11-11 10:02:06</t>
        </is>
      </c>
      <c r="H5850" t="inlineStr"/>
    </row>
    <row r="5851">
      <c r="A5851" t="inlineStr">
        <is>
          <t>duwi39</t>
        </is>
      </c>
      <c r="B5851" t="inlineStr">
        <is>
          <t>hospital choice help</t>
        </is>
      </c>
      <c r="C5851" t="inlineStr">
        <is>
          <t>Patient located in NYC with stomach cancer stage iv. which hospital should he go, MSK, NY-Presbyterian, Mount Sinai?</t>
        </is>
      </c>
      <c r="D5851" t="n">
        <v>1</v>
      </c>
      <c r="E5851" t="n">
        <v>5</v>
      </c>
      <c r="F5851">
        <f>HYPERLINK("https://www.reddit.com/r/cancer/comments/duwi39/hospital_choice_help/")</f>
        <v/>
      </c>
      <c r="G5851" t="inlineStr">
        <is>
          <t>2019-11-11 10:25:54</t>
        </is>
      </c>
      <c r="H5851" t="inlineStr"/>
    </row>
    <row r="5852">
      <c r="A5852" t="inlineStr">
        <is>
          <t>duz894</t>
        </is>
      </c>
      <c r="B5852" t="inlineStr">
        <is>
          <t>Survivor story: Someone at work noticed my scar today</t>
        </is>
      </c>
      <c r="C5852" t="inlineStr">
        <is>
          <t>I have been cancer free for 8 years now. I had my yearly check up last week and everything still looks good. I was 21 when I started having headaches accompanied with blindness in my right eye and the inability to speak during the headache. I remember trying to say the word humming bird. I could think of the word, but my mouth couldn’t form the word, if that makes sense.
I had an astrocytoma, which is a low grade glioma brain tumor. I’m grateful I’m still around, and even though the cancer will likely come back one day, I’m happy for the time I have. 
I was pondering over this after a coworker noticed my surgical scar (my surgeon did an amazing job). I wish the best for everyone, thanks for reading.</t>
        </is>
      </c>
      <c r="D5852" t="n">
        <v>1</v>
      </c>
      <c r="E5852" t="n">
        <v>15</v>
      </c>
      <c r="F5852">
        <f>HYPERLINK("https://www.reddit.com/r/cancer/comments/duz894/survivor_story_someone_at_work_noticed_my_scar/")</f>
        <v/>
      </c>
      <c r="G5852" t="inlineStr">
        <is>
          <t>2019-11-11 13:20:10</t>
        </is>
      </c>
      <c r="H5852" t="inlineStr"/>
    </row>
    <row r="5853">
      <c r="A5853" t="inlineStr">
        <is>
          <t>dv1b86</t>
        </is>
      </c>
      <c r="B5853" t="inlineStr">
        <is>
          <t>Having a bad day</t>
        </is>
      </c>
      <c r="C5853" t="inlineStr">
        <is>
          <t>Today was not a good day. I’m too in my head lately, I think. I was at work and finally got ahold of the hospital to schedule my PET scan. I don’t know if the stress just got to me, or if my hormones are just wacky from the hysterectomy, but next thing I know, the tears are rolling and I’m crying and trying to work at the same time. It was embarrassing, but my manager happened to come by to speak to me about something and saw me. She was understanding and ended up sending me home early, but I’m still embarrassed. Hopefully tomorrow will be a better day...</t>
        </is>
      </c>
      <c r="D5853" t="n">
        <v>1</v>
      </c>
      <c r="E5853" t="n">
        <v>4</v>
      </c>
      <c r="F5853">
        <f>HYPERLINK("https://www.reddit.com/r/cancer/comments/dv1b86/having_a_bad_day/")</f>
        <v/>
      </c>
      <c r="G5853" t="inlineStr">
        <is>
          <t>2019-11-11 15:50:30</t>
        </is>
      </c>
      <c r="H5853" t="inlineStr"/>
    </row>
    <row r="5854">
      <c r="A5854" t="inlineStr">
        <is>
          <t>dv2vji</t>
        </is>
      </c>
      <c r="B5854" t="inlineStr">
        <is>
          <t>Scholarship Opportunity for Cancer Survivors and Current Fighters</t>
        </is>
      </c>
      <c r="C5854" t="inlineStr">
        <is>
          <t>Hi r/cancer!
We are SOAR (Students for Oncological Aid and Relief), a student led, non-profit organization. We recognize that cancer patients are forced to fight a vicious battle, a battle that they should never have to fight alone. Our mission is to bring joy to cancer patients across the nation; for while we can't cure the disease or alleviate the pain, we can show them that they are not forgotten.
Cancer is a battle that often leaves families in debt, without a way to pay for higher education. To help ease this fiscal burden, SOAR provides scholarships (of up to $1,000) to any current high school senior who is a cancer survivor/current fighter, so that they can experience the benefits of a college/university life. All we ask of the student is their story.
Although this doesn't apply to many people on this subreddit, if you know anyone who is eligible for this scholarship, please let them know. Many cancer scholarships are hyper-specific, pertaining to only patients who have participated in certain programs or fall under certain criteria. This scholarship is open to anyone who has/had cancer.
The application for the scholarship can be found [here](https://www.soarabove.co/scholarship).
Thank you for reading,
The SOAR Team.</t>
        </is>
      </c>
      <c r="D5854" t="n">
        <v>1</v>
      </c>
      <c r="E5854" t="n">
        <v>1</v>
      </c>
      <c r="F5854">
        <f>HYPERLINK("https://www.reddit.com/r/cancer/comments/dv2vji/scholarship_opportunity_for_cancer_survivors_and/")</f>
        <v/>
      </c>
      <c r="G5854" t="inlineStr">
        <is>
          <t>2019-11-11 17:45:42</t>
        </is>
      </c>
      <c r="H5854" t="inlineStr"/>
    </row>
    <row r="5855">
      <c r="A5855" t="inlineStr">
        <is>
          <t>dv32dk</t>
        </is>
      </c>
      <c r="B5855" t="inlineStr">
        <is>
          <t>My girlfriend...</t>
        </is>
      </c>
      <c r="C5855" t="inlineStr">
        <is>
          <t>Hello everyone,
I decided to type my girlfriend’s story here because she made me promise to not talk about it to my parents. I really needed to talk about it to some people that understands and talking to my best friends wasn’t enough for me.
So to give you a little background, I am 17 and my girlfriend is 17 too. We’ve been together for two years now and I keep falling in love with her every day. 
This summer, she told me that it’s been 2 months she didn’t get her periods, so I immediately thought that she was pregnant or something, even though we’ve always been very careful about protection. So we decided that she takes a pregnancy test and it turned out that she wasn’t pregnant. We thought it was normal, because we’re still teenagers, irregular cycle are kinda normal. In October, she got her periods and we were happy. Two weeks, three weeks, a month, a month and a half, she is still in her periods. Now we understood that something wasn’t normal. She decided to go see her doctor and ask her what is up with her. At the beginning, the doctor said that she might be anemic so she made some blood tests but it turned out she isn’t. She went back to the doctor and she said that she might have leukemia. She remade tests and it turned out that she has upcoming leukemia. The doctor gave her a medicine for a while and she said that if the medicine doesn’t work she will have to do chemotherapy.
What are her survival rates ? I keep promising her that everything will be fine and that she will get through it and kick it ass but I need someone to comfort me.
Thank you for reading if you actually did, I am sorry for any english error, it is not my main language.</t>
        </is>
      </c>
      <c r="D5855" t="n">
        <v>1</v>
      </c>
      <c r="E5855" t="n">
        <v>2</v>
      </c>
      <c r="F5855">
        <f>HYPERLINK("https://www.reddit.com/r/cancer/comments/dv32dk/my_girlfriend/")</f>
        <v/>
      </c>
      <c r="G5855" t="inlineStr">
        <is>
          <t>2019-11-11 17:59:54</t>
        </is>
      </c>
      <c r="H5855" t="inlineStr"/>
    </row>
    <row r="5856">
      <c r="A5856" t="inlineStr">
        <is>
          <t>dv35yv</t>
        </is>
      </c>
      <c r="B5856" t="inlineStr">
        <is>
          <t>Open Enrollment</t>
        </is>
      </c>
      <c r="C5856" t="inlineStr">
        <is>
          <t>I was diagnosed with cancer last month and our family’s open enrollment period for insurance just begun.  Treatment will include chemotherapy, surgery, and radiation.  
We’ve only ever had PPOs.  I’m hesitant to choose an HSA but it may make sense..  any advice?</t>
        </is>
      </c>
      <c r="D5856" t="n">
        <v>1</v>
      </c>
      <c r="E5856" t="n">
        <v>18</v>
      </c>
      <c r="F5856">
        <f>HYPERLINK("https://www.reddit.com/r/cancer/comments/dv35yv/open_enrollment/")</f>
        <v/>
      </c>
      <c r="G5856" t="inlineStr">
        <is>
          <t>2019-11-11 18:07:26</t>
        </is>
      </c>
      <c r="H5856" t="inlineStr"/>
    </row>
    <row r="5857">
      <c r="A5857" t="inlineStr">
        <is>
          <t>dv3mv6</t>
        </is>
      </c>
      <c r="B5857" t="inlineStr">
        <is>
          <t>2020 &amp;amp; Beyond: Cancer Developments</t>
        </is>
      </c>
      <c r="C5857" t="inlineStr">
        <is>
          <t>Okay so I am no doctor or researcher but I lived in an area that was devastated by HIV/AIDS in the 80's and early 90's.
Then protese inhibitors came on the scene and the death rates just almost overnight stopped..
Then integrase inhibitors came on the scene and the massive side effects stopped.
Then once daily pills came on the scene to make dosing easier.
These advanced to the point were people were living around 5-10 years less than the normal population with almost no side effects while only 10-20 years ago it was a death sentence and you were going to die in a very painful manner most of the time.
Now the new stuff that is coming out is once monthly or once every few month injections!
This was what I got to live through seeing in my area and now I am curious what is going on with cancer in 2020 and beyond.  Not things in the air but actual developments.  Were are we right now with this disease and were are we going in the near future.
It seems like Cancer is really in the public spotlight right now and I have many friends that are currently struggling some are older and I know this may be a different kind of thing but others are young and although much rarer some are dealing with skin cancer from sun exposure and others from lung cancer from smoking and some just had genetic vulnerability i guess to this horrific thing.
I'd love to learn more!
Please help enlighten me and others that may want to know were we are, what 2020 is bringing and what is on the soon to be horizon that is tangible :)
Thank you so much for those that are knowledgeable and well read.</t>
        </is>
      </c>
      <c r="D5857" t="n">
        <v>1</v>
      </c>
      <c r="E5857" t="n">
        <v>7</v>
      </c>
      <c r="F5857">
        <f>HYPERLINK("https://www.reddit.com/r/cancer/comments/dv3mv6/2020_beyond_cancer_developments/")</f>
        <v/>
      </c>
      <c r="G5857" t="inlineStr">
        <is>
          <t>2019-11-11 18:43:37</t>
        </is>
      </c>
      <c r="H5857" t="inlineStr"/>
    </row>
    <row r="5858">
      <c r="A5858" t="inlineStr">
        <is>
          <t>dv3o0c</t>
        </is>
      </c>
      <c r="B5858" t="inlineStr">
        <is>
          <t>Anyone else have this hairloss problem?</t>
        </is>
      </c>
      <c r="C5858" t="inlineStr">
        <is>
          <t>Hi, I recently completed my chemo for Ewing’s Sarcoma 6 months ago. My hair is growing back but it’s still super fine and I have barely any hair on the top of my head, and you can see the outline of my scalp. The problem I’m having is that my hairline is much further back than what it was before, and I’m only 19. I’m at college and it’s really affecting my confidence. Anyone else had this problem and had it return to normal? I’ve been taking biotin and vitamin A every day as well.</t>
        </is>
      </c>
      <c r="D5858" t="n">
        <v>1</v>
      </c>
      <c r="E5858" t="n">
        <v>3</v>
      </c>
      <c r="F5858">
        <f>HYPERLINK("https://www.reddit.com/r/cancer/comments/dv3o0c/anyone_else_have_this_hairloss_problem/")</f>
        <v/>
      </c>
      <c r="G5858" t="inlineStr">
        <is>
          <t>2019-11-11 18:46:19</t>
        </is>
      </c>
      <c r="H5858" t="inlineStr"/>
    </row>
    <row r="5859">
      <c r="A5859" t="inlineStr">
        <is>
          <t>dv3uyh</t>
        </is>
      </c>
      <c r="B5859" t="inlineStr">
        <is>
          <t>Suicide</t>
        </is>
      </c>
      <c r="C5859" t="inlineStr">
        <is>
          <t>It’s not something I’m considering yet myself or do I encourage it...
My mets have returned to my brain and I don’t know the exact size yet or how many or a treatment plan until I see my oncologist and a neurologist. I don’t know if it can be treated yet.
I’ve been reading about ICP (inter cranial pressure) and how intense the pain can be with brain tumours.
I remember 10 yrs ago a friends neighbor who had brain cancer, bashed him self to death by repeatedly hitting his head against a wall due to the severity of the pain.
I’ve thought to myself if the pain is too much and pain killers are ineffective I’ll probably end my pain as quickly as possible.
Anyone has similar thoughts?</t>
        </is>
      </c>
      <c r="D5859" t="n">
        <v>1</v>
      </c>
      <c r="E5859" t="n">
        <v>41</v>
      </c>
      <c r="F5859">
        <f>HYPERLINK("https://www.reddit.com/r/cancer/comments/dv3uyh/suicide/")</f>
        <v/>
      </c>
      <c r="G5859" t="inlineStr">
        <is>
          <t>2019-11-11 19:02:14</t>
        </is>
      </c>
      <c r="H5859" t="inlineStr"/>
    </row>
    <row r="5860">
      <c r="A5860" t="inlineStr">
        <is>
          <t>dv3xdp</t>
        </is>
      </c>
      <c r="B5860" t="inlineStr">
        <is>
          <t>A little poem I wrote for my dad in hopes that I can fix his heart.</t>
        </is>
      </c>
      <c r="C5860" t="inlineStr">
        <is>
          <t>I try not to let you see the tears as you fade away,
I want you to think that we will be okay.
As you try not to let me see the fear in your eyes,
The laughs and promises, a mere disguise.
I'm so tired but you are too.
I hide those feelings with what you're going through.
I swallow this lump in my throat and wipe my tears,
I can carry all your worries and fears,
Just like you did for your little girls.
If it means you can be blissfully happy again,
I'll beg the Lord and say amen.
I feel super vulnerable with this poem as I've never written poetry before. This is about my dad who has terminal cancer, and went from being happy, hilarious, and just  blissful and at ease to being fearful, angry and bitter.. rightfully so, I couldn't imagine what he feels mentally or physically. But i just hate cancer, and am pissed off it changed my best friend.</t>
        </is>
      </c>
      <c r="D5860" t="n">
        <v>1</v>
      </c>
      <c r="E5860" t="n">
        <v>6</v>
      </c>
      <c r="F5860">
        <f>HYPERLINK("https://www.reddit.com/r/cancer/comments/dv3xdp/a_little_poem_i_wrote_for_my_dad_in_hopes_that_i/")</f>
        <v/>
      </c>
      <c r="G5860" t="inlineStr">
        <is>
          <t>2019-11-11 19:07:42</t>
        </is>
      </c>
      <c r="H5860" t="inlineStr"/>
    </row>
    <row r="5861">
      <c r="A5861" t="inlineStr">
        <is>
          <t>dv428l</t>
        </is>
      </c>
      <c r="B5861" t="inlineStr">
        <is>
          <t>I'm awful at being supportive.</t>
        </is>
      </c>
      <c r="C5861" t="inlineStr">
        <is>
          <t>I live with someone who has terminal cancer. They have chosen to keep almost the entire thing largely a secret from everyone except for me. Meaning that I get the day to day updates on everything that is happening. When we get bad news, my first instinct is to question what is going on so as to get a better understanding or to help offer a solution or attempt to brainstorm a solution etc. Anything besides "Wow I'm really sorry that sucks!". The shittiest part about this whole experience for both of us is that that is typically the most accurate and helpful response. 
I understand the value of just being a shoulder to cry on and a friend to listen to. I just can't seem to shake how it feels when I kind of just frown, furrow my brow and shrug my shoulders in apology for their misfortune. I feel like an asshole doing this because there isn't anything more I can do for them. They have told me repeatedly that they just want to have their pain and suffering shared and validated at the very least. Unfortunately, I'm completely trash at that. Responding with "damn, im so sorry" every time something shitty happens (and it has happened a lot) rings so apathetic and hollow to me that it feels better off not saying a damn thing at all. 
I really can't help but feel patronizing when I am so used to being a pragmatic practical problem solver addressing someone with an unsolvable problem. 
Anyways, it would really help me out if someone could chime in and suggest to me what someone in my friend's position would like to hear or feel. We are getting close to the end here and I want to be able to support them better because, despite my best efforts, I feel that I have kind of let them down in this way. I have been able to help a lot of other practical ways throughout this whole experience but being a supportive listener is something I could use some help with. 
Thank You</t>
        </is>
      </c>
      <c r="D5861" t="n">
        <v>1</v>
      </c>
      <c r="E5861" t="n">
        <v>8</v>
      </c>
      <c r="F5861">
        <f>HYPERLINK("https://www.reddit.com/r/cancer/comments/dv428l/im_awful_at_being_supportive/")</f>
        <v/>
      </c>
      <c r="G5861" t="inlineStr">
        <is>
          <t>2019-11-11 19:18:40</t>
        </is>
      </c>
      <c r="H5861" t="inlineStr"/>
    </row>
    <row r="5862">
      <c r="A5862" t="inlineStr">
        <is>
          <t>dv8rzx</t>
        </is>
      </c>
      <c r="B5862" t="inlineStr">
        <is>
          <t>Have cancer/had cancer point?</t>
        </is>
      </c>
      <c r="C5862" t="inlineStr">
        <is>
          <t>So at what point do you transition from dealing with cancer to being a cancer survivor?  Is this something your oncologist says, or is it just a matter of time?</t>
        </is>
      </c>
      <c r="D5862" t="n">
        <v>1</v>
      </c>
      <c r="E5862" t="n">
        <v>15</v>
      </c>
      <c r="F5862">
        <f>HYPERLINK("https://www.reddit.com/r/cancer/comments/dv8rzx/have_cancerhad_cancer_point/")</f>
        <v/>
      </c>
      <c r="G5862" t="inlineStr">
        <is>
          <t>2019-11-12 03:34:30</t>
        </is>
      </c>
      <c r="H5862" t="inlineStr"/>
    </row>
    <row r="5863">
      <c r="A5863" t="inlineStr">
        <is>
          <t>dvapt6</t>
        </is>
      </c>
      <c r="B5863" t="inlineStr">
        <is>
          <t>Husband diagnosed with Hairy Cell Leukemia</t>
        </is>
      </c>
      <c r="C5863" t="inlineStr">
        <is>
          <t>He was diagnosed on Friday. He is only 44, and I'm freaking out. Just trying to figure out what to expect from the disease/treatment/etc., so I can support him in the best way possible. Our lives just changed. We have 2 young children,  and I'm scared.</t>
        </is>
      </c>
      <c r="D5863" t="n">
        <v>1</v>
      </c>
      <c r="E5863" t="n">
        <v>8</v>
      </c>
      <c r="F5863">
        <f>HYPERLINK("https://www.reddit.com/r/cancer/comments/dvapt6/husband_diagnosed_with_hairy_cell_leukemia/")</f>
        <v/>
      </c>
      <c r="G5863" t="inlineStr">
        <is>
          <t>2019-11-12 06:30:13</t>
        </is>
      </c>
      <c r="H5863" t="inlineStr"/>
    </row>
    <row r="5864">
      <c r="A5864" t="inlineStr">
        <is>
          <t>dvb1y5</t>
        </is>
      </c>
      <c r="B5864" t="inlineStr">
        <is>
          <t>Cancer treatment idea - where do I post?</t>
        </is>
      </c>
      <c r="C5864" t="inlineStr">
        <is>
          <t>I lost my wife to lung cancer May 5, 2019.  She was just 30 and never smoked.  Her cancer kept evolving resistance to her treatments, she put up a nearly 3 year fight and never lost her kindness, humanity.  I came up with an idea that her oncologists liked, they said I should go back to school to pursue it- but even if it worked it wouldn't be achievable in time for my wife.  I am physically disabled and struggling to take care of our three kids, ages 7, 4 and 2- so I am not sure when I might get around to it.  So I am looking to post it here, see what people think, maybe someone will run with it or it will inspire new ideas.  
The basic idea is to do whole genome sequencing of a patients normal and metastatic cells.  Then, compare the genomes and find a short DNA sequence that the normal cells have, but the cancer cells have lost due to mutation (and passed to its successors.)  Then you would make a poison with a known antidote, but the antidote can only be activated by the presence of the DNA sequence you found.  The poison/antidote pair would be packaged together (maybe on a plasmid), small enough to enter cell membranes.  Maybe use PCR or some other process to make enough copies to serve as an infusion.  If it entered a normal cell, it would get poisoned, but it would also be able to activate the antidote.  If it entered a cancer cell, it would get poisoned and die because it can't activate the antidote.  There are examples of poison/antidote systems in nature, like wtf4 (a meiotic driver in some yeasts.)  
I designed the idea so that it's as agnostic of how the cancer works as possible.  It seemed the targeted therapies they threw at my wife's cancer were quickly useless as it would just serve as a selection pressure which the cancer could evolve around.  This idea strips cancer of its genetic variability, effectively halting its ability to evolve resistance.  If the cancer miraculously evolved, you wouldn't have to re-develop a drug that exploits some metabolic pathway or targets a surface antigen that could easily change.  You would just need to re-sequence the cancer, do a slight modification to the sequence the antidote recognizes.  It's also highly specific, like a targeted therapy so it would have fewer side effects.  Of course, you couldn't do this for a single patient and use the infusion for other patients too.  It would have to be done de novo for each patient, so it's personalized medicine.   
Anyhow, as the title states, just looking for somewhere to post this.  I'll delete it if it doesn't belong here, just want to know where to leave this.  I tried doing some research on which subreddit to do this, but I ran out of time.</t>
        </is>
      </c>
      <c r="D5864" t="n">
        <v>1</v>
      </c>
      <c r="E5864" t="n">
        <v>26</v>
      </c>
      <c r="F5864">
        <f>HYPERLINK("https://www.reddit.com/r/cancer/comments/dvb1y5/cancer_treatment_idea_where_do_i_post/")</f>
        <v/>
      </c>
      <c r="G5864" t="inlineStr">
        <is>
          <t>2019-11-12 06:56:30</t>
        </is>
      </c>
      <c r="H5864" t="inlineStr"/>
    </row>
    <row r="5865">
      <c r="A5865" t="inlineStr">
        <is>
          <t>dvbalp</t>
        </is>
      </c>
      <c r="B5865" t="inlineStr">
        <is>
          <t>Stage 4 Glioblastoma</t>
        </is>
      </c>
      <c r="C5865" t="inlineStr">
        <is>
          <t>I was just wondering if anyone here has this diagnosis or knows someone who does and can share any information on how this cancer affected the person and how quickly? I know everyone is different with how they will react to treatments and the cancer itself, but maybe hearing some real stories or anything at all would help me a lot as this cancer does not have great life expectancy from the date of diagnosis. 
It is my mom who has it and we just got the official pathology report back yesterday.</t>
        </is>
      </c>
      <c r="D5865" t="n">
        <v>1</v>
      </c>
      <c r="E5865" t="n">
        <v>2</v>
      </c>
      <c r="F5865">
        <f>HYPERLINK("https://www.reddit.com/r/cancer/comments/dvbalp/stage_4_glioblastoma/")</f>
        <v/>
      </c>
      <c r="G5865" t="inlineStr">
        <is>
          <t>2019-11-12 07:14:30</t>
        </is>
      </c>
      <c r="H5865" t="inlineStr"/>
    </row>
    <row r="5866">
      <c r="A5866" t="inlineStr">
        <is>
          <t>dvbs60</t>
        </is>
      </c>
      <c r="B5866" t="inlineStr">
        <is>
          <t>2nd doctor insurance question</t>
        </is>
      </c>
      <c r="C5866" t="inlineStr">
        <is>
          <t>My father currently doing chem in one hospital, I am wondering if he go to another hospital see another doctor for comparing treatment option at the same time, will insurance cover for it?</t>
        </is>
      </c>
      <c r="D5866" t="n">
        <v>1</v>
      </c>
      <c r="E5866" t="n">
        <v>1</v>
      </c>
      <c r="F5866">
        <f>HYPERLINK("https://www.reddit.com/r/cancer/comments/dvbs60/2nd_doctor_insurance_question/")</f>
        <v/>
      </c>
      <c r="G5866" t="inlineStr">
        <is>
          <t>2019-11-12 07:50:41</t>
        </is>
      </c>
      <c r="H5866" t="inlineStr"/>
    </row>
    <row r="5867">
      <c r="A5867" t="inlineStr">
        <is>
          <t>dvdkvz</t>
        </is>
      </c>
      <c r="B5867" t="inlineStr">
        <is>
          <t>Longtime Girlfriend's mother has stage 4 ovarian cancer</t>
        </is>
      </c>
      <c r="C5867" t="inlineStr">
        <is>
          <t>My girlfriend and I have been dating for over 5 years. I am going to marry her one day but we are both seniors in college and she plans to attend medical school. 
I don't even know what to do. I am heartbroken. I don't know hot to support my girlfriend. She is an only child and we are so dependent on each other. How do I even support her through these tough times? Stage 4 ovarian is rough. The worst part is that her mom had her ovaries and uterus all removed 12 years ago when she was first diagnosed with ovarian cancer. I'm hoping for someone to shed some light on what I can do to support my girlfriend.</t>
        </is>
      </c>
      <c r="D5867" t="n">
        <v>1</v>
      </c>
      <c r="E5867" t="n">
        <v>1</v>
      </c>
      <c r="F5867">
        <f>HYPERLINK("https://www.reddit.com/r/cancer/comments/dvdkvz/longtime_girlfriends_mother_has_stage_4_ovarian/")</f>
        <v/>
      </c>
      <c r="G5867" t="inlineStr">
        <is>
          <t>2019-11-12 09:56:59</t>
        </is>
      </c>
      <c r="H5867" t="inlineStr"/>
    </row>
    <row r="5868">
      <c r="A5868" t="inlineStr">
        <is>
          <t>dvdnzc</t>
        </is>
      </c>
      <c r="B5868" t="inlineStr">
        <is>
          <t>My momma...</t>
        </is>
      </c>
      <c r="C5868" t="inlineStr">
        <is>
          <t>At the age of 55, 3 months after being diagnosed with stage 4 lung cancer, my mom died yesterday. 
The public is so weird. People I dont know seem to want me to share my personal feelings. One person went as far as to command me to tell someone something. The world is going on like I didnt just experience the worst thing in my life so far.
Im 29. I've never been away from my mom for more than a week. 
How does life go on? 
I cant eat. Cant get out of bed. My body hurts so bad from being so dehydrated that I cant even open  a bottle of water.
What the fuck.</t>
        </is>
      </c>
      <c r="D5868" t="n">
        <v>1</v>
      </c>
      <c r="E5868" t="n">
        <v>8</v>
      </c>
      <c r="F5868">
        <f>HYPERLINK("https://www.reddit.com/r/cancer/comments/dvdnzc/my_momma/")</f>
        <v/>
      </c>
      <c r="G5868" t="inlineStr">
        <is>
          <t>2019-11-12 10:02:52</t>
        </is>
      </c>
      <c r="H5868" t="inlineStr"/>
    </row>
    <row r="5869">
      <c r="A5869" t="inlineStr">
        <is>
          <t>dve95h</t>
        </is>
      </c>
      <c r="B5869" t="inlineStr">
        <is>
          <t>My wife is having a cone procedure next week and we’re both freaking out</t>
        </is>
      </c>
      <c r="C5869" t="inlineStr">
        <is>
          <t>She had an abnormal pap about a month ago and had the LEEP procedure two weeks ago. She went in today and found out she has to have the cone procedure and see an oncologist. She’s a highly anxious person and I’m wondering how to keep her calm other than telling her it’s going to be ok. What should we expect?</t>
        </is>
      </c>
      <c r="D5869" t="n">
        <v>1</v>
      </c>
      <c r="E5869" t="n">
        <v>1</v>
      </c>
      <c r="F5869">
        <f>HYPERLINK("https://www.reddit.com/r/cancer/comments/dve95h/my_wife_is_having_a_cone_procedure_next_week_and/")</f>
        <v/>
      </c>
      <c r="G5869" t="inlineStr">
        <is>
          <t>2019-11-12 10:43:07</t>
        </is>
      </c>
      <c r="H5869" t="inlineStr"/>
    </row>
    <row r="5870">
      <c r="A5870" t="inlineStr">
        <is>
          <t>dvfb53</t>
        </is>
      </c>
      <c r="B5870" t="inlineStr">
        <is>
          <t>Feeling after diagnosis</t>
        </is>
      </c>
      <c r="C5870" t="inlineStr">
        <is>
          <t>My mum has been diagnosed with cancer and I'm just wondering what you guys felt after a family members diagnosis, cause I feel numb and am just continuing life as normal but feel strange about doing so.</t>
        </is>
      </c>
      <c r="D5870" t="n">
        <v>1</v>
      </c>
      <c r="E5870" t="n">
        <v>3</v>
      </c>
      <c r="F5870">
        <f>HYPERLINK("https://www.reddit.com/r/cancer/comments/dvfb53/feeling_after_diagnosis/")</f>
        <v/>
      </c>
      <c r="G5870" t="inlineStr">
        <is>
          <t>2019-11-12 11:55:30</t>
        </is>
      </c>
      <c r="H5870" t="inlineStr"/>
    </row>
    <row r="5871">
      <c r="A5871" t="inlineStr">
        <is>
          <t>dvfn4g</t>
        </is>
      </c>
      <c r="B5871" t="inlineStr">
        <is>
          <t>HIPEC</t>
        </is>
      </c>
      <c r="C5871" t="inlineStr">
        <is>
          <t>anyone have experience with HIPEC therapy? Can stomach can spread to liver and ascites still have a option to do that?</t>
        </is>
      </c>
      <c r="D5871" t="n">
        <v>1</v>
      </c>
      <c r="E5871" t="n">
        <v>0</v>
      </c>
      <c r="F5871">
        <f>HYPERLINK("https://www.reddit.com/r/cancer/comments/dvfn4g/hipec/")</f>
        <v/>
      </c>
      <c r="G5871" t="inlineStr">
        <is>
          <t>2019-11-12 12:18:29</t>
        </is>
      </c>
      <c r="H5871" t="inlineStr"/>
    </row>
    <row r="5872">
      <c r="A5872" t="inlineStr">
        <is>
          <t>dvfu2o</t>
        </is>
      </c>
      <c r="B5872" t="inlineStr">
        <is>
          <t>Coughing up Blood during Immunotherapy?</t>
        </is>
      </c>
      <c r="C5872" t="inlineStr">
        <is>
          <t>Hay all. So long story short, my Mum is suffering from both Lung Cancer and Melanoma (Unsure of the stage, but both have reached lymph nodes). She has been having immunotherapy (Nivolumab) for a few weeks now and had a new batch of the stuff this morning. She has coughed up bits of blood over the last few weeks, normally red lines within the mucus, but according to her the blood seems to be getting a bit more apparent and redder today. We have mentioned to the nurses and doctors before about the small bits of blood, and they just told us to tell them if it is green. 
So my question is, is coughing up blood a normal side effect of her immunotherapy? Should we contact them again? I can see she is a little worried about it/ Thanks!</t>
        </is>
      </c>
      <c r="D5872" t="n">
        <v>1</v>
      </c>
      <c r="E5872" t="n">
        <v>2</v>
      </c>
      <c r="F5872">
        <f>HYPERLINK("https://www.reddit.com/r/cancer/comments/dvfu2o/coughing_up_blood_during_immunotherapy/")</f>
        <v/>
      </c>
      <c r="G5872" t="inlineStr">
        <is>
          <t>2019-11-12 12:31:36</t>
        </is>
      </c>
      <c r="H5872" t="inlineStr"/>
    </row>
    <row r="5873">
      <c r="A5873" t="inlineStr">
        <is>
          <t>dvgm4l</t>
        </is>
      </c>
      <c r="B5873" t="inlineStr">
        <is>
          <t>SEXUAL HEALING</t>
        </is>
      </c>
      <c r="C5873" t="inlineStr">
        <is>
          <t>Hello Fellow Cancer Warriors! I was diagnosed with Hodgkin's Lymphoma in July 2019 and have been undergoing some aggressive chemo for the past 3 months. However, I decided to own my journey, "fight fear with funny", and just talk openly and frankly about cancer and mental health during treatment.
I've gotten a ton of questions from family, friends, and other strangers about having sex while going through chemotherapy. For the record, I don't recommend having sex DURING chemotherapy. It would be SUPER awkward and will probably land you in jail... which could be fun if you're into that I guess.
 BUT, my doctor said that you can still have sex but not for at least 48 hours after chemo to make sure all the medication is out of your system. I've basically gotten into the habit of jerking off like 5 times in those 48 hours (which is super painful) to make sure I don't have anything in my man-butter.
I was wondering if anyone was given different advice OR if you have a funny story to share about naughty encounters while undergoing treatment?
Also, check out this episode of CHEMO TALK, which I film every 2 weeks during chemotherapy, where I talk about "Sex and Cancer" (sounds like a terrifying, Soderbergh film :P)  and let me know what you think! Always looking for people to join me as guests and suggest topics!
[https://youtu.be/EwARw\_Ac3RE](https://youtu.be/EwARw_Ac3RE)</t>
        </is>
      </c>
      <c r="D5873" t="n">
        <v>1</v>
      </c>
      <c r="E5873" t="n">
        <v>0</v>
      </c>
      <c r="F5873">
        <f>HYPERLINK("https://www.reddit.com/r/cancer/comments/dvgm4l/sexual_healing/")</f>
        <v/>
      </c>
      <c r="G5873" t="inlineStr">
        <is>
          <t>2019-11-12 13:21:12</t>
        </is>
      </c>
      <c r="H5873" t="inlineStr"/>
    </row>
    <row r="5874">
      <c r="A5874" t="inlineStr">
        <is>
          <t>dvhvam</t>
        </is>
      </c>
      <c r="B5874" t="inlineStr">
        <is>
          <t>My mom has cancer.</t>
        </is>
      </c>
      <c r="C5874" t="inlineStr">
        <is>
          <t>My mom has cancer and I've been playing a losing game of denial. I'm 27 and my mom is 52.
She was diagnosed with metastatic lung cancer in March of this year (2019). Through out this whole process, the doctors have been hesitant to say stage 4, but it's stage 4. I moved in with her and her partner to help out with whatever was needed. 
In September it was found in her leg, just below her knee. A week later following scans, they found more in an adrenal gland. Her mobility is almost gone now; she uses a wheel chair to get around clinics/hospitals, but she still walks with a cane around the house. 
She's undergone one round of chemo and two rounds of radiation. She started the second round of chemo about a month ago but it hit her so hard that we've been playing recovery since then. Her blood counts tanked so hard she got a transfusion about two weeks ago.
That marks the point where all of this became frighteningly real for me. For her, it was already real but that period of time really did a number on her spirits. But now... I finally realize she could leave at any moment. On top of the cancer she has a number of other health conditions that could be triggered any moment. 
I'm writing all of this for myself and whomever chooses to read it. I'm coming here because I don't know what to do. My thoughts are spiraling every day and I can only have so many heartfelt conversations with loved ones who tell me to be strong or tell me that I'm being a good son. I know I need to be thankful that I even have loved ones and people who care...but I'm just so lost and feel alone. I know I should be thankful she's fought this hard since March. 
I don't know how to talk to my mom any more. It feels like she's all but given up..her days are spent on the couch with oxygen strapped to her face, loopy from pain meds or sleeping from extreme fatigue or some combination of things only felt by her. Time spent alone together is usually accompanied by Netflix. If we're in the car, it's usually because we're on the way to or from an appointment.. And it's painfully quiet. I do my best to make her laugh whenever possible and still joke around.. But I'm tired, she's tired. I know she's tired. I can see the exhaustion in her face as she tries to smile for me.
She doesn't have the energy for much any more...I try to talk to her about my day and she's around for a few minutes, but eventually rolls over and slips back into sleep. She seems to get weaker every day. Food hardly stays down. I make her anything she wants, even if it's only a whim of hers. Any food is better than no food, I feel.
These last two weeks have me afraid. I work part time and I'm so afraid she's going to slip away while I'm making shitty food for someone else's business or that she'll slip into a coma one night during dinner and never wake up.
I don't want our last conversations to be about what meds she's taken today or if the food stayed down. I don't want her to feel like she can't tell me anything... Although she probably does because I've not reacted well to any conversation about her death. Who the furniture goes to, where I'm gonna live, what I'm gonna do next...Answering any of those is an admission of reality, that one day I'll have to answer all the questions and she won't be around to tell me I'm silly or wrong or irrational. And I feel so shitty for having brushed those conversations off months ago. Naively, I thought the medicines were going to cure her and I'd get to introduce her to my grandkids some day...now I just want her to live until I can show her parts of the country that she's never seen.
I asked her to go see a movie with me the other day in an attempt to make some good, fresh memories, but she wasn't able to get up for long so we just chose one to watch together on Netflix. That was okay...we had some laughs and some talk, but she fell asleep shortly after. 
I'm lost. I needed to type this stuff before I imploded. 
I love my mom. She sacrificed so much for me, I just want to be here for her...If anyone has advice or tips or anything about how to talk to her.. Please, I'm all ears.</t>
        </is>
      </c>
      <c r="D5874" t="n">
        <v>1</v>
      </c>
      <c r="E5874" t="n">
        <v>6</v>
      </c>
      <c r="F5874">
        <f>HYPERLINK("https://www.reddit.com/r/cancer/comments/dvhvam/my_mom_has_cancer/")</f>
        <v/>
      </c>
      <c r="G5874" t="inlineStr">
        <is>
          <t>2019-11-12 14:41:05</t>
        </is>
      </c>
      <c r="H5874" t="inlineStr"/>
    </row>
    <row r="5875">
      <c r="A5875" t="inlineStr">
        <is>
          <t>dvikub</t>
        </is>
      </c>
      <c r="B5875" t="inlineStr">
        <is>
          <t>Husband has metastatic adenocarcinoma but the primary tumor has not been found. Taking days to a week between each test. He is in pain and losing hope.</t>
        </is>
      </c>
      <c r="C5875" t="inlineStr">
        <is>
          <t>My husband has two tumors on his liver causing him pain.  One they said was 9.5 cm.  We are in small town South Carolina and drive over an hour to every appointment.  They know it is metastatic adenocarcinoma because of the biopsy on the big tumor on his liver.  They haven't located the primary tumor and aren't treating him until they find it so they know what to do.  
The issue we are having is that it takes so long between each test.   The ones he has gotten quickly is because I basically beg the schedulers to help us.   The oncologist seems fine and keeps stressing we need to move quickly with how much my husband is in pain, but every time the onocologist orders another test it takes a couple of days to a week.  Insurance denied the PET scan and the onocologist said they will appeal it after they go through a couple cycles of treatment.  My husband is either in pain or a morphine haze all the time and just wants to know if he can get treatment or if all hope is lost.
Today, we talked to someone from Cancer Treatment Center of America in Atlanta and they made it sound like they would do back-to-back tests around what was already done and get a diagnosis/start treatment.  I've been reading about them and there are mixed reviews about their effectiveness.  I contacted the Mayo Clinic Cancer Center in Jacksonville, FL and they said it would be a month to two months for the first consultation. 
I feel we are in crisis mode at this point and just aren't making much progress.  I don't know what to do to get his diagnosis and get his treatment started as quickly as possible.  Do I stick with the way things are going, go to the CTCA and see how that goes, or is there any other advisement to help us?
TL;DR - From your experience, what is our best course of action to move as quickly as possible to locate a primary adenocarcinoma tumor and get treatment started?</t>
        </is>
      </c>
      <c r="D5875" t="n">
        <v>1</v>
      </c>
      <c r="E5875" t="n">
        <v>4</v>
      </c>
      <c r="F5875">
        <f>HYPERLINK("https://www.reddit.com/r/cancer/comments/dvikub/husband_has_metastatic_adenocarcinoma_but_the/")</f>
        <v/>
      </c>
      <c r="G5875" t="inlineStr">
        <is>
          <t>2019-11-12 15:28:29</t>
        </is>
      </c>
      <c r="H5875" t="inlineStr"/>
    </row>
    <row r="5876">
      <c r="A5876" t="inlineStr">
        <is>
          <t>dvitou</t>
        </is>
      </c>
      <c r="B5876" t="inlineStr">
        <is>
          <t>My Nephew is Dying</t>
        </is>
      </c>
      <c r="C5876" t="inlineStr">
        <is>
          <t>My nephew has chordoma. They diagnosed him in June. He turned 10 in August. He's had a ton of surgeries and they got 80-90% of the tumor. They've been doing surgeries to fuse some of the bone the tumor ate away. My sister just called with the worst news.  The tumor is growing again. They're starting radiation immediately instead of doing the next surgery and if it doesn't slow it down, they say he has 2 months. And they say they can never get rid of it. They can just give him pills to prolong his life.
This isn't fair. A little boy was just essentially given a death sentence. I'm upset and I'm angry and I want to throw things and curse God and I can't even imagine how my sister is handling it. My nephew doesn't know. She doesn't want to tell him.</t>
        </is>
      </c>
      <c r="D5876" t="n">
        <v>1</v>
      </c>
      <c r="E5876" t="n">
        <v>5</v>
      </c>
      <c r="F5876">
        <f>HYPERLINK("https://www.reddit.com/r/cancer/comments/dvitou/my_nephew_is_dying/")</f>
        <v/>
      </c>
      <c r="G5876" t="inlineStr">
        <is>
          <t>2019-11-12 15:46:12</t>
        </is>
      </c>
      <c r="H5876" t="inlineStr"/>
    </row>
    <row r="5877">
      <c r="A5877" t="inlineStr">
        <is>
          <t>dvj81w</t>
        </is>
      </c>
      <c r="B5877" t="inlineStr">
        <is>
          <t>What degree to get if wanting to help develop cures for different cancers?</t>
        </is>
      </c>
      <c r="C5877" t="inlineStr">
        <is>
          <t>Title. Am interested in monitoring cellular activity through microscopes, and am also interested in biochemistry. Sorry if this is a bad sub, but anyone have any ideas?</t>
        </is>
      </c>
      <c r="D5877" t="n">
        <v>1</v>
      </c>
      <c r="E5877" t="n">
        <v>4</v>
      </c>
      <c r="F5877">
        <f>HYPERLINK("https://www.reddit.com/r/cancer/comments/dvj81w/what_degree_to_get_if_wanting_to_help_develop/")</f>
        <v/>
      </c>
      <c r="G5877" t="inlineStr">
        <is>
          <t>2019-11-12 16:14:36</t>
        </is>
      </c>
      <c r="H5877" t="inlineStr"/>
    </row>
    <row r="5878">
      <c r="A5878" t="inlineStr">
        <is>
          <t>dvk818</t>
        </is>
      </c>
      <c r="B5878" t="inlineStr">
        <is>
          <t>I hate the neuropathy</t>
        </is>
      </c>
      <c r="C5878" t="inlineStr">
        <is>
          <t>I got neuropathy in all of my finger tips (it comes and goes, not constant), my oncologist is puzzles that it didn't start until about 1 month post chemo. Anyway, it's been about 7 months since my chemo, so it's looking like I'll have this for the rest of my life. 
My question is this: does it get worse when the weather gets colder? The flair ups have been getting more frequent and severe. It's a pins/needles and burning sensation. Just about unbearable.
I tried gabapentin for a little bit but i have horrible memory so I didn't take the meds regularly. I vape CBD oil regularly as it is. Problem is, the cbd isn't seeming to work like it did (for the neuropathy) so I might have to go back to the gabapentin :(</t>
        </is>
      </c>
      <c r="D5878" t="n">
        <v>1</v>
      </c>
      <c r="E5878" t="n">
        <v>7</v>
      </c>
      <c r="F5878">
        <f>HYPERLINK("https://www.reddit.com/r/cancer/comments/dvk818/i_hate_the_neuropathy/")</f>
        <v/>
      </c>
      <c r="G5878" t="inlineStr">
        <is>
          <t>2019-11-12 17:29:51</t>
        </is>
      </c>
      <c r="H5878" t="inlineStr"/>
    </row>
    <row r="5879">
      <c r="A5879" t="inlineStr">
        <is>
          <t>dvkesj</t>
        </is>
      </c>
      <c r="B5879" t="inlineStr">
        <is>
          <t>Feeling Hopeless and Afraid</t>
        </is>
      </c>
      <c r="C5879" t="inlineStr">
        <is>
          <t>My mom has been fighting pancreatic cancer for 27 months now; yesterday her oncologist told us that she is now too weak for chemo after suffering a stroke and there's almost nothing they can do. She may have just a few months left with us and it's crushing me. I feel like I've lost all sense of direction in my life now; my mother is the bedrock of our family and it will be devastating when she leaves us. My friends and colleagues are supportive but these days I feel like I just don't know how I can keep on going like everything is OK while dealing with the reality that my beloved mother will be gone soon. I guess I'm just looking to hear from others who can relate or who can help me feel better because I'm feeling pretty bad tonight. I don't know why this had to happen to our family. I feel so scared.</t>
        </is>
      </c>
      <c r="D5879" t="n">
        <v>1</v>
      </c>
      <c r="E5879" t="n">
        <v>4</v>
      </c>
      <c r="F5879">
        <f>HYPERLINK("https://www.reddit.com/r/cancer/comments/dvkesj/feeling_hopeless_and_afraid/")</f>
        <v/>
      </c>
      <c r="G5879" t="inlineStr">
        <is>
          <t>2019-11-12 17:44:44</t>
        </is>
      </c>
      <c r="H5879" t="inlineStr"/>
    </row>
    <row r="5880">
      <c r="A5880" t="inlineStr">
        <is>
          <t>dvkm5t</t>
        </is>
      </c>
      <c r="B5880" t="inlineStr">
        <is>
          <t>Help deciphering cervical pathology report please</t>
        </is>
      </c>
      <c r="C5880" t="inlineStr">
        <is>
          <t>Hi all,
I had a colposcopy last week and my GYN took a biopsy from an area of my cervix that was actively bleeding, and that appeared different than the rest of my cervix. The pathology report just became available to me today, and I was looking for any info that would help decipher it - specifically what "P16" positive means. 
&amp;amp;#x200B;
**CERVICAL BIOPSY, 6 O'CLOCK: FOCAL SQUAMOUS ATYPIA WITH CHANGES SUGGESTIVE OF LOW-GRADE SQUAMOUS INTRAEPITHELIAL LESION (CIN 1). P16 IS FOCALLY AND WEAKLY POSITIVE ON IMMUNOHISTOCHEMICAL STAIN (CONTROLS STAINED APPROPRIATELY).** 
&amp;amp;#x200B;
Any info would be appreciated, thank you so much in advance.</t>
        </is>
      </c>
      <c r="D5880" t="n">
        <v>1</v>
      </c>
      <c r="E5880" t="n">
        <v>1</v>
      </c>
      <c r="F5880">
        <f>HYPERLINK("https://www.reddit.com/r/cancer/comments/dvkm5t/help_deciphering_cervical_pathology_report_please/")</f>
        <v/>
      </c>
      <c r="G5880" t="inlineStr">
        <is>
          <t>2019-11-12 18:00:46</t>
        </is>
      </c>
      <c r="H5880" t="inlineStr"/>
    </row>
    <row r="5881">
      <c r="A5881" t="inlineStr">
        <is>
          <t>dvlycw</t>
        </is>
      </c>
      <c r="B5881" t="inlineStr">
        <is>
          <t>Fuck off with your herbal remedies</t>
        </is>
      </c>
      <c r="C5881" t="inlineStr">
        <is>
          <t>I was talking about my nephew in a mom's group because I'm really upset and I was just looking for . . . I don't even know.  Someone to listen to me bitch, I guess?
Some girl decided to message me about this "miracle herb" her mom sells.  Seriously?  You think that's appropriate?  What the hell is wrong with people?  She's now blocked from the group but how low do you have to be to take advantage of someone's grief and desperation to make a quick buck?</t>
        </is>
      </c>
      <c r="D5881" t="n">
        <v>1</v>
      </c>
      <c r="E5881" t="n">
        <v>47</v>
      </c>
      <c r="F5881">
        <f>HYPERLINK("https://www.reddit.com/r/cancer/comments/dvlycw/fuck_off_with_your_herbal_remedies/")</f>
        <v/>
      </c>
      <c r="G5881" t="inlineStr">
        <is>
          <t>2019-11-12 19:50:58</t>
        </is>
      </c>
      <c r="H5881" t="inlineStr"/>
    </row>
    <row r="5882">
      <c r="A5882" t="inlineStr">
        <is>
          <t>dvmzj4</t>
        </is>
      </c>
      <c r="B5882" t="inlineStr">
        <is>
          <t>I’m lost.</t>
        </is>
      </c>
      <c r="C5882" t="inlineStr">
        <is>
          <t xml:space="preserve">
Lost.  Lost.  
Last Thursday my wife picks up our youngest (7yr)  from school because he puked at lunch.  
He’s been doing things at random times.  No other symptoms.  This time I agreed take him to the doctor again.  While they’re they referred her to a different pediatrician. She decides that because he claims to have fallen down at school, but no one saw it, and no signs of a contusion that it may be post concussive syndrome.  So she orders him to the ER for a CT. Behold, a massive tumor in the 4th ventricle. She immediately alerts the Iowa university stead family children’s historical.  So my son and I depart in the ambulance to be transported to Iowa city (we live and work in Marshalltown, IA).  
Upon arrival he’s bumped to class a surgery for a right ventricle external shut (this will for the CSF to drain and lower the ice.  
That was al Thursday night.  Fast forward to tonight, he’s undergoing a 12-14 hour surgery to attempt to reduce a 4.5 cm to 3 can tumor.  
I’m scaredy that tomorrow morning he won’t survive the operation.</t>
        </is>
      </c>
      <c r="D5882" t="n">
        <v>1</v>
      </c>
      <c r="E5882" t="n">
        <v>3</v>
      </c>
      <c r="F5882">
        <f>HYPERLINK("https://www.reddit.com/r/cancer/comments/dvmzj4/im_lost/")</f>
        <v/>
      </c>
      <c r="G5882" t="inlineStr">
        <is>
          <t>2019-11-12 21:24:28</t>
        </is>
      </c>
      <c r="H5882" t="inlineStr"/>
    </row>
    <row r="5883">
      <c r="A5883" t="inlineStr">
        <is>
          <t>dvno8p</t>
        </is>
      </c>
      <c r="B5883" t="inlineStr">
        <is>
          <t>Going to the ER for lumps?</t>
        </is>
      </c>
      <c r="C5883" t="inlineStr">
        <is>
          <t>*Sigh* hey everyone, I’ve been reading some posts here and there because I feel like I’m going to be on this sub in the future lol.
Anyway, I have 2 lumps on my right arm ( #1 on forearm, #2 near elbow) and one on my left arm (#3 on left elbow). I got an ultrasound done already and will meet with my surgeon on Monday to see if I need to get an MRI done Bc these lumps haven’t disappeared.
I now found my fourth lump, which is on my right inner elbow.  I’ve had three lumps show up including this new one since September. Do you think this would warrant a procedure to be done in the ER?
Not sure if I should ask here because idk what experiences you guys have had before you realized it was something serious. 
Take care everyone :l</t>
        </is>
      </c>
      <c r="D5883" t="n">
        <v>1</v>
      </c>
      <c r="E5883" t="n">
        <v>6</v>
      </c>
      <c r="F5883">
        <f>HYPERLINK("https://www.reddit.com/r/cancer/comments/dvno8p/going_to_the_er_for_lumps/")</f>
        <v/>
      </c>
      <c r="G5883" t="inlineStr">
        <is>
          <t>2019-11-12 22:32:07</t>
        </is>
      </c>
      <c r="H5883" t="inlineStr"/>
    </row>
    <row r="5884">
      <c r="A5884" t="inlineStr">
        <is>
          <t>dvtcir</t>
        </is>
      </c>
      <c r="B5884" t="inlineStr">
        <is>
          <t>stage 4 question</t>
        </is>
      </c>
      <c r="C5884" t="inlineStr">
        <is>
          <t>when doctor said stage 4 metastasis, does it mean not operable, terminal, life is over?</t>
        </is>
      </c>
      <c r="D5884" t="n">
        <v>1</v>
      </c>
      <c r="E5884" t="n">
        <v>14</v>
      </c>
      <c r="F5884">
        <f>HYPERLINK("https://www.reddit.com/r/cancer/comments/dvtcir/stage_4_question/")</f>
        <v/>
      </c>
      <c r="G5884" t="inlineStr">
        <is>
          <t>2019-11-13 07:30:01</t>
        </is>
      </c>
      <c r="H5884" t="inlineStr"/>
    </row>
    <row r="5885">
      <c r="A5885" t="inlineStr">
        <is>
          <t>dvtmeu</t>
        </is>
      </c>
      <c r="B5885" t="inlineStr">
        <is>
          <t>THE SURGEON GOT ALL THE CANCER!!!</t>
        </is>
      </c>
      <c r="C5885" t="inlineStr">
        <is>
          <t>Hi everyone! I can't even begin to contain my joy right now. This past Thursday, my dad had surgery to remove 3 liver tumors (metastatic colorectal cancer). After a grueling 5 hours of surgery, the surgeon came out to speak to us.
He didn't bring us to a private speaking room, which was my first sign it was good news. He told us there were only 2 tumors, the third one was just a benign cyst. He removed the tumors and used ablation to burn off the affected areas to ensure everything was destroyed. Since the 3rd one turned out to be a cyst, instead of removed 50% of his liver, they only had to remove 5% of his liver!
Recovery has been okay so far, 5 days in the hospital. Now he's home recovering trying to make it back to normalcy. I want to thank Dr. Gellar with UPMC in Pittsburgh. He's such an amazing liver surgeon and I believe he has saved my dad's life. If anyone has any questions or any advice, please feel free. 
Most importantly, FUCK CANCER</t>
        </is>
      </c>
      <c r="D5885" t="n">
        <v>1</v>
      </c>
      <c r="E5885" t="n">
        <v>10</v>
      </c>
      <c r="F5885">
        <f>HYPERLINK("https://www.reddit.com/r/cancer/comments/dvtmeu/the_surgeon_got_all_the_cancer/")</f>
        <v/>
      </c>
      <c r="G5885" t="inlineStr">
        <is>
          <t>2019-11-13 07:49:40</t>
        </is>
      </c>
      <c r="H5885" t="inlineStr"/>
    </row>
    <row r="5886">
      <c r="A5886" t="inlineStr">
        <is>
          <t>dvu7ip</t>
        </is>
      </c>
      <c r="B5886" t="inlineStr">
        <is>
          <t>where to go for 2nd opinion online</t>
        </is>
      </c>
      <c r="C5886" t="inlineStr">
        <is>
          <t>is there a place to look for 2nd opinion online?
i found mdanderson has one  pathology program.
 [https://www.mdanderson.org/for-physicians/refer-a-patient/second-opinion-pathology.html](https://www.mdanderson.org/for-physicians/refer-a-patient/second-opinion-pathology.html) 
#</t>
        </is>
      </c>
      <c r="D5886" t="n">
        <v>1</v>
      </c>
      <c r="E5886" t="n">
        <v>1</v>
      </c>
      <c r="F5886">
        <f>HYPERLINK("https://www.reddit.com/r/cancer/comments/dvu7ip/where_to_go_for_2nd_opinion_online/")</f>
        <v/>
      </c>
      <c r="G5886" t="inlineStr">
        <is>
          <t>2019-11-13 08:30:16</t>
        </is>
      </c>
      <c r="H5886" t="inlineStr"/>
    </row>
    <row r="5887">
      <c r="A5887" t="inlineStr">
        <is>
          <t>dvv1d1</t>
        </is>
      </c>
      <c r="B5887" t="inlineStr">
        <is>
          <t>Chose to Reject Further Treatment</t>
        </is>
      </c>
      <c r="C5887" t="inlineStr">
        <is>
          <t>I know this is pretty common with terminal patients, but of course when it happens to someone in your life, you just can’t fathom why they would want to give up. 
One of my patients has metastatic colon cancer. No family. Hardly has any friends. 57 years old. So we made her our family. Made sure we took care of her and let her know we’re going to do everything we can to make sure she’s comfortable and getting the best treatment. 
Overtime, she’s had her ups and downs, feeling like she’s not going to be able to beat it, to being excited and happy with how she’s progressing. This was happening over at least 8 months, since I’ve been there. 
She received great news. Her tumor is shrinking! We were all so beyond happy. She’s finally, truly getting better. 
A week ago, she comes in and tells us she had to go to the ER because she was having shortness of breath. Well, turns out the cancer spread to her lungs. And we didn’t know. She got the news from the ER doctor. She was devastated, as you can imagine. 
We continued giving her treatment that day. I sat with her and she said, “Well, it’s just time to get back on the high horse,” with a smile. Everything was going on as routine. Scheduled her for next week’s treatment. She headed out. Next week comes along. We’re trying to get ahold of her. Now when someone who’s sick doesn’t answer, you can only think of the worst it seems. Then, we finally got ahold of her. 
Turns out her insurance changed. So we couldn’t see her. Well, the new doctor suggested hospice. We called her and told her she absolutely did not need hospice and we will take care of her and figure out her insurance. She seemed panicked on the phone saying there’s about 10 different staff members in her room pressuring her to go on hospice. 57 year old on hospice? That’s the best idea you got?? Sorry, just venting frustration. 
She finally understood our explaining that she didn’t have to be on hospice. We waited to hear from her on what we would do from that point forward. Days went by and we hear nothing. We called the hospital she was at. They informed us: she has been transferred to hospice care. 
....
A day goes by before we get ahold of her. Finally we get in touch, so beyond happy to hear her voice. We also gave her the great news that her insurance was resolved and she could come to our office and resume  treatment. Our excitement had us distracted by what she was saying. She went on and told us that she was actually able to eat. She finished her whole breakfast. That her friends stopped by and gave her flowers. That she may never see another room but that one. That it may be her last day there, she doesn’t know. But that she’ll come back once she’s better. .....it’s hospice.....you don’t go there to heal. You go there to die. 
She was at peace. She was done with this battle. This was her time, her victory with her fight. It’s her life, her choices, and we had to be okay with it. And that was that. 
“Let’s keep in touch okay?” I told her after our private call. “Let’s keep in touch,” she told me, as I could hear her smile on the other end.</t>
        </is>
      </c>
      <c r="D5887" t="n">
        <v>1</v>
      </c>
      <c r="E5887" t="n">
        <v>10</v>
      </c>
      <c r="F5887">
        <f>HYPERLINK("https://www.reddit.com/r/cancer/comments/dvv1d1/chose_to_reject_further_treatment/")</f>
        <v/>
      </c>
      <c r="G5887" t="inlineStr">
        <is>
          <t>2019-11-13 09:28:00</t>
        </is>
      </c>
      <c r="H5887" t="inlineStr"/>
    </row>
    <row r="5888">
      <c r="A5888" t="inlineStr">
        <is>
          <t>dvvbqf</t>
        </is>
      </c>
      <c r="B5888" t="inlineStr">
        <is>
          <t>Can't eat because of dry mouth</t>
        </is>
      </c>
      <c r="C5888" t="inlineStr">
        <is>
          <t>So my problem is that I basically eat nothing because my mouth is so dry. I hope someone got advice for me what to eat or what to do against it.</t>
        </is>
      </c>
      <c r="D5888" t="n">
        <v>1</v>
      </c>
      <c r="E5888" t="n">
        <v>5</v>
      </c>
      <c r="F5888">
        <f>HYPERLINK("https://www.reddit.com/r/cancer/comments/dvvbqf/cant_eat_because_of_dry_mouth/")</f>
        <v/>
      </c>
      <c r="G5888" t="inlineStr">
        <is>
          <t>2019-11-13 09:48:31</t>
        </is>
      </c>
      <c r="H5888" t="inlineStr"/>
    </row>
    <row r="5889">
      <c r="A5889" t="inlineStr">
        <is>
          <t>dvvhvp</t>
        </is>
      </c>
      <c r="B5889" t="inlineStr">
        <is>
          <t>American Cancer Society fucking sucks!</t>
        </is>
      </c>
      <c r="C5889" t="inlineStr">
        <is>
          <t>How can a a "charity"with millions of dollars not help someone who has colon cancer with medical supplies?
Just got out of the hospital after an ileoscopy and with only a dew bags and the nurse said I should call the ACS for help till my insurance gets me more.I call them and all they can do is give me a few phone numbers that I could have found online to free samples and that's it.
What the fuck? This is the extent of your help ACS?Have donated to them for years even before I had cancer cause I thought they help people  but that ends today.Fuck the American Cancer Society!!!</t>
        </is>
      </c>
      <c r="D5889" t="n">
        <v>1</v>
      </c>
      <c r="E5889" t="n">
        <v>11</v>
      </c>
      <c r="F5889">
        <f>HYPERLINK("https://www.reddit.com/r/cancer/comments/dvvhvp/american_cancer_society_fucking_sucks/")</f>
        <v/>
      </c>
      <c r="G5889" t="inlineStr">
        <is>
          <t>2019-11-13 09:59:58</t>
        </is>
      </c>
      <c r="H5889" t="inlineStr"/>
    </row>
    <row r="5890">
      <c r="A5890" t="inlineStr">
        <is>
          <t>dvwm9d</t>
        </is>
      </c>
      <c r="B5890" t="inlineStr">
        <is>
          <t>How you can help fight cancer while you sleep.</t>
        </is>
      </c>
      <c r="C5890" t="inlineStr">
        <is>
          <t>Recently I discovered this app, [Dreamlab](https://www.vodafone.com.au/foundation/dreamlab), available for both [Android](https://c00.adobe.com/v3/e14b4ed1ba2f2c62a0eec3f78662fbd44e1bfcca544634e705afbe1c2fc3360a/start?a_dl=5db789b34c74aaf855bc9b38&amp;amp;cmp=g3y7kqii)and [Ios](https://c00.adobe.com/v3/e14b4ed1ba2f2c62a0eec3f78662fbd44e1bfcca544634e705afbe1c2fc3360a/start?a_dl=5db787714c74aaf855bc9b2c&amp;amp;cmp=g3y7kqii).
It basically uses your phone while it's charging (only when the battery level is over 80%) to download and process small data packs to ultimately send the to the research teams. 
The project is powered by the [Vodafone Foundation](https://www.vodafone.com/about/vodafone-foundation) and involves the [DRUGS project at the Imperial college of London](https://www.imperial.ac.uk/news/186028/your-smartphone-could-help-speed-cancer/), the [Genome in 3D project at AIRC](https://www.airc.it/news/dreamlab-lapp-di-fondazione-vodafone-per-aiutare-la-ricerca-0519) (Italy) and the [Demystify project at The Garvan Institute](https://www.garvan.org.au/news-events/news/dreamlab-delivers-a-new-way-to-make-sense-of-cancer) (Australia), so it's no joke.
I honestly think that is an opportunity to help a greater cause whitout doing anything at all (it doesn't even take battery percent), and I invite you to join the project.
I tried to keep this as short as possible, if you have any dobuts check out the Dreamlab faqs ([1](https://www.vodafone.co.uk/cs/groups/public/documents/webcontent/vfcon091304.pdf) &amp;amp; [2](https://www.vodafone.co.uk/cs/groups/public/documents/webcontent/vfcon084921.pdf))</t>
        </is>
      </c>
      <c r="D5890" t="n">
        <v>1</v>
      </c>
      <c r="E5890" t="n">
        <v>8</v>
      </c>
      <c r="F5890">
        <f>HYPERLINK("https://www.reddit.com/r/cancer/comments/dvwm9d/how_you_can_help_fight_cancer_while_you_sleep/")</f>
        <v/>
      </c>
      <c r="G5890" t="inlineStr">
        <is>
          <t>2019-11-13 11:13:44</t>
        </is>
      </c>
      <c r="H5890" t="inlineStr"/>
    </row>
    <row r="5891">
      <c r="A5891" t="inlineStr">
        <is>
          <t>dvx19b</t>
        </is>
      </c>
      <c r="B5891" t="inlineStr">
        <is>
          <t>Cancer and the Case of the Disappearing Friends</t>
        </is>
      </c>
      <c r="C5891" t="inlineStr">
        <is>
          <t>Hello Fellow Cancer Warriors and Allies!
I recently experienced a huge shock when I shared by cancer diagnosis with my friends circle and **lost about 80% of my friends (including someone I considered a best friend)!!!** They just disappeared - ghosted and never to be heard from. It was incredibly hurtful and really hit me hard. I began to do some research and uncovered that this very common behaviour is one of cancer's dirty little secrets that nobody talks about. At a time when people need support the most, how could you just abandon them? 
However, I would love to hear about your experiences in this regard. Did your friends rally around you or did you feel abandoned? What were some of the strategies you adopted? Did you friends return once you beat cancer? If so, how did you respond to them?
As a mental health advocate, I am so curious about this "phenomenon" and am really trying to advocate for mental health support amongst cancer patients. I was so perplexed that I actually made a video about it for my web series "CHEMO TALK", including some personal strategies that I came up with. Check out my video and let me know your thoughts.
[https://youtu.be/6\_aUNPWpNuc](https://youtu.be/6_aUNPWpNuc)
If you have any interesting topics you think I should cover OR would like to collab for an episode please let me know!</t>
        </is>
      </c>
      <c r="D5891" t="n">
        <v>1</v>
      </c>
      <c r="E5891" t="n">
        <v>15</v>
      </c>
      <c r="F5891">
        <f>HYPERLINK("https://www.reddit.com/r/cancer/comments/dvx19b/cancer_and_the_case_of_the_disappearing_friends/")</f>
        <v/>
      </c>
      <c r="G5891" t="inlineStr">
        <is>
          <t>2019-11-13 11:41:17</t>
        </is>
      </c>
      <c r="H5891" t="inlineStr"/>
    </row>
    <row r="5892">
      <c r="A5892" t="inlineStr">
        <is>
          <t>dvy0wa</t>
        </is>
      </c>
      <c r="B5892" t="inlineStr">
        <is>
          <t>Here we go</t>
        </is>
      </c>
      <c r="C5892" t="inlineStr">
        <is>
          <t>I had my first chemo treatment today and I’m so glad I won’t have to do today again. I have a blood clot/s in my shoulder around my chemo port (previously posted about this  yesterday).
The nurses had prepared me for surgery yesterday at 6:30am to have my port-a-cath  removed (no food/water). Then at 6:30pm the surgeon decided to keep it in, work on dissolving the clot/s with double dose of blood thinners and start Chemo ASAP. I was terrified but I just thought the sooner the better, let’s do this! ! ! 
Then we couldn’t find a vein for the IV line to start the Chemo (poked and prodded 5 times). I think hospital/nerves/dehydrated from fasting the day before didn’t help as I don’t normally have issues with blood tests and or finding veins 
We ended up doing an ultrasound IV in my left upper arm. We managed to get one of the two 250ml treatments through but then my arm started to begin to get extremely painful, cramp and swell up to the point of ice pack, endone and tears. So we stopped treatment. Beyond sad. I was beginning to feel totally helpless
After the nurses spoke to my Oncologist, Surgeon and a cardiovascular surgeon. (luckily they were a meeting together discussing my treatment) They decided we should try use the port. I was a little nervous thinking it was going to be just as bad as my arm. But!! I’m so glad we did, it worked perfectly 🤗 
I’m feeling very bashed, bruised, and nauseous but still smiling 🌸 Proof! Picture below 💞
It’s been such a bumpy road, with a long way to go, but I’m proud I got through today 🌸💞
(38, Stage 3, Triple Negative Breast/lymph glands cancer)</t>
        </is>
      </c>
      <c r="D5892" t="n">
        <v>1</v>
      </c>
      <c r="E5892" t="n">
        <v>3</v>
      </c>
      <c r="F5892">
        <f>HYPERLINK("https://www.reddit.com/r/cancer/comments/dvy0wa/here_we_go/")</f>
        <v/>
      </c>
      <c r="G5892" t="inlineStr">
        <is>
          <t>2019-11-13 12:47:48</t>
        </is>
      </c>
      <c r="H5892" t="inlineStr"/>
    </row>
    <row r="5893">
      <c r="A5893" t="inlineStr">
        <is>
          <t>dvyvko</t>
        </is>
      </c>
      <c r="B5893" t="inlineStr">
        <is>
          <t>Cause of death. Need to talk.</t>
        </is>
      </c>
      <c r="C5893" t="inlineStr">
        <is>
          <t>Tomorrow it's 3 weeks since my dad unexpectedly passed away. My mum read his death certificate, and told me cause of death is listed as "esophageal rupture/hemoptysis." Naturally, I'm googling this because it was so unexpected and I need closure. I'm reading that half of perforated esophaguses is from medical procedures such as endoscopy, which he had sometime after treatment was finished, when the ENT told him he was "in the clear." Also I read that it can be caused by tumors, which obviously, he had (it was gone at this point but I'm sure they probably leave a mess behind?). 
Either way, if these are known causes for esophageal rupture, why weren't they keeping an eye on his esophagus? 😞 He was being treated for thrush in his last 2 weeks, could it be the thrush was an infection of his esophagus from it being ruptured? They wanted to give him a scan a few days before he died, to make sure the thrush wasn't in his jaw. He declined, since his scheduled scan was in less than a week. Dare I ask, could they have spotted the scan had he not declined and he would still be here? 
I'm just so upset. I'm angry. I'm torn. I appreciate any comments, be they similar experiences or any knowledge about these things. Thanks so much in advance.</t>
        </is>
      </c>
      <c r="D5893" t="n">
        <v>1</v>
      </c>
      <c r="E5893" t="n">
        <v>8</v>
      </c>
      <c r="F5893">
        <f>HYPERLINK("https://www.reddit.com/r/cancer/comments/dvyvko/cause_of_death_need_to_talk/")</f>
        <v/>
      </c>
      <c r="G5893" t="inlineStr">
        <is>
          <t>2019-11-13 13:44:14</t>
        </is>
      </c>
      <c r="H5893" t="inlineStr"/>
    </row>
    <row r="5894">
      <c r="A5894" t="inlineStr">
        <is>
          <t>dvzxx7</t>
        </is>
      </c>
      <c r="B5894" t="inlineStr">
        <is>
          <t>Can an ultrasound miss neck or throat cancer?</t>
        </is>
      </c>
      <c r="C5894" t="inlineStr">
        <is>
          <t>I have had what felt like flu twice in last 2 months, followed by a dry cough that isn’t going anywhere. Small amount of Blood in phelm and later saliva. Had been through the antibiotics which helped a bit. Doctors noticed slight swelling on right side of my neck and asked for an ultrasound. The ultrasound was normal. I am not sure what the swelling is from.Just worried it isn’t lymphoma or some form of throat cancer that an ultrasound would miss</t>
        </is>
      </c>
      <c r="D5894" t="n">
        <v>1</v>
      </c>
      <c r="E5894" t="n">
        <v>7</v>
      </c>
      <c r="F5894">
        <f>HYPERLINK("https://www.reddit.com/r/cancer/comments/dvzxx7/can_an_ultrasound_miss_neck_or_throat_cancer/")</f>
        <v/>
      </c>
      <c r="G5894" t="inlineStr">
        <is>
          <t>2019-11-13 14:54:34</t>
        </is>
      </c>
      <c r="H5894" t="inlineStr"/>
    </row>
    <row r="5895">
      <c r="A5895" t="inlineStr">
        <is>
          <t>dvzzo7</t>
        </is>
      </c>
      <c r="B5895" t="inlineStr">
        <is>
          <t>Potential Testimonial for Pharma Company</t>
        </is>
      </c>
      <c r="C5895" t="inlineStr">
        <is>
          <t>Hi all, a niche question, but I have the opportunity to potentially provide testimonial/video on my cancer experience and/or experience with a particular (newer) cancer drug for a pharma company. As you can imagine, I have a lot of questions/concerns.
Has anyone on here done something similar? Do you have any regrets about doing so? Is there anything I should know going in? What sort of compensation were you offered? Feel free to comment or reach out via chat.</t>
        </is>
      </c>
      <c r="D5895" t="n">
        <v>1</v>
      </c>
      <c r="E5895" t="n">
        <v>2</v>
      </c>
      <c r="F5895">
        <f>HYPERLINK("https://www.reddit.com/r/cancer/comments/dvzzo7/potential_testimonial_for_pharma_company/")</f>
        <v/>
      </c>
      <c r="G5895" t="inlineStr">
        <is>
          <t>2019-11-13 14:58:05</t>
        </is>
      </c>
      <c r="H5895" t="inlineStr"/>
    </row>
    <row r="5896">
      <c r="A5896" t="inlineStr">
        <is>
          <t>dw0o6t</t>
        </is>
      </c>
      <c r="B5896" t="inlineStr">
        <is>
          <t>My mom has cancer...</t>
        </is>
      </c>
      <c r="C5896" t="inlineStr">
        <is>
          <t>She was diagnosed last month with squamous cell in her tonsil. She was going to forego any treatment after joining a Facebook group and reading all of the radiation horror stories. I expressed my feelings that I think she should at least try. My sister was the opposite and supported her decision either way. We both live 2.5 hours away for reference.
She’s starting radiation soon and getting things ready to stop working/get financial help and expecting the worst of radiation. 
She has since more or less blamed me for going through with this and having to stop working and filling out forms for car payment and a loan payment that she took on for my sister. 
I just feel terrible for expressing my opinion about not just throwing in the towel and being to blame that she has to go through this and not being able to uproot my life and career to take care of her like my sister can..
Sorry to vent but I can’t talk to her some days without getting guilt tripped. And it feels horrible.</t>
        </is>
      </c>
      <c r="D5896" t="n">
        <v>1</v>
      </c>
      <c r="E5896" t="n">
        <v>0</v>
      </c>
      <c r="F5896">
        <f>HYPERLINK("https://www.reddit.com/r/cancer/comments/dw0o6t/my_mom_has_cancer/")</f>
        <v/>
      </c>
      <c r="G5896" t="inlineStr">
        <is>
          <t>2019-11-13 15:46:02</t>
        </is>
      </c>
      <c r="H5896" t="inlineStr"/>
    </row>
    <row r="5897">
      <c r="A5897" t="inlineStr">
        <is>
          <t>dw3eg9</t>
        </is>
      </c>
      <c r="B5897" t="inlineStr">
        <is>
          <t>My momma</t>
        </is>
      </c>
      <c r="C5897" t="inlineStr">
        <is>
          <t>My momma is gone. She decided at the end to go without treatment. Thursday she was discharged from the hospital on hospice and Tuesday she was gone at 6:55am. Her boyfriend and I held her hands as she took her last breath. She is now free of all the pain and in a better place. Momma, I miss you already, I love you so much. I hope you continue to be proud of me while you watch me from above. ❤️</t>
        </is>
      </c>
      <c r="D5897" t="n">
        <v>1</v>
      </c>
      <c r="E5897" t="n">
        <v>15</v>
      </c>
      <c r="F5897">
        <f>HYPERLINK("https://www.reddit.com/r/cancer/comments/dw3eg9/my_momma/")</f>
        <v/>
      </c>
      <c r="G5897" t="inlineStr">
        <is>
          <t>2019-11-13 19:19:59</t>
        </is>
      </c>
      <c r="H5897" t="inlineStr"/>
    </row>
    <row r="5898">
      <c r="A5898" t="inlineStr">
        <is>
          <t>dw45mm</t>
        </is>
      </c>
      <c r="B5898" t="inlineStr">
        <is>
          <t>Taste after radiation treatment to the mouth area.</t>
        </is>
      </c>
      <c r="C5898" t="inlineStr">
        <is>
          <t>I am almost three years out since radiation treatment and my taste hasn't really come back in any meaningful way. It can sorta be there for a few bites later in the day and then go away but, most stuff just tastes odd if not bad or like nothing at all. Has anyone had it come completely after a few years ? 
I suspect this is just what I have to deal with since there has been nothing but, minor changes in the last year or so. My doctors can't really say and I have really good ones.</t>
        </is>
      </c>
      <c r="D5898" t="n">
        <v>1</v>
      </c>
      <c r="E5898" t="n">
        <v>10</v>
      </c>
      <c r="F5898">
        <f>HYPERLINK("https://www.reddit.com/r/cancer/comments/dw45mm/taste_after_radiation_treatment_to_the_mouth_area/")</f>
        <v/>
      </c>
      <c r="G5898" t="inlineStr">
        <is>
          <t>2019-11-13 20:24:19</t>
        </is>
      </c>
      <c r="H5898" t="inlineStr"/>
    </row>
    <row r="5899">
      <c r="A5899" t="inlineStr">
        <is>
          <t>dw4sk9</t>
        </is>
      </c>
      <c r="B5899" t="inlineStr">
        <is>
          <t>stage 4 carcinoma unknown primary</t>
        </is>
      </c>
      <c r="C5899" t="inlineStr">
        <is>
          <t>I'm 34 and in pretty good health several weeks ago I was diagnosed with stage 4 adenocarcinoma with metastases to my spine and multiple lymph nodes.  I've done an endoscopy, colonoscopy, mammogram, pelvic ultrasound, pap smear, and they can't find the primary tumor.  Negative for the common tumor markers.  Nothing remarkable in the genomic sequencing of the tumor tissue.  Waiting on genetic testing for hereditary cancer, but unlikely based on family history. Just had my blood drawn for blood biopsy.  I know I shouldn't google, but carcinoma where they don't identify the primary seems very bad.  I'm scared.</t>
        </is>
      </c>
      <c r="D5899" t="n">
        <v>1</v>
      </c>
      <c r="E5899" t="n">
        <v>0</v>
      </c>
      <c r="F5899">
        <f>HYPERLINK("https://www.reddit.com/r/cancer/comments/dw4sk9/stage_4_carcinoma_unknown_primary/")</f>
        <v/>
      </c>
      <c r="G5899" t="inlineStr">
        <is>
          <t>2019-11-13 21:23:41</t>
        </is>
      </c>
      <c r="H5899" t="inlineStr"/>
    </row>
    <row r="5900">
      <c r="A5900" t="inlineStr">
        <is>
          <t>dw4tgh</t>
        </is>
      </c>
      <c r="B5900" t="inlineStr">
        <is>
          <t>Any tips for getting through chemo?</t>
        </is>
      </c>
      <c r="C5900" t="inlineStr">
        <is>
          <t>I'm super stressed about starting chemo, so I was wondering if anyone can tell me what kinds of food, exercise, activities, etc that helped them. 
I know I should drink a lot of water (I already bought a half day bottle) because chemo can make you retain water. Is the swelling really bad? 
I'm also a gym rat and a vegetarian, so I'm not sure if that's good or not. I'm definitely one of those people who gets depressed if they don't exercise for an extended amount of time. Did anyone have issues exercising? 
I'm willing to eat fish if it will help, but I really don't like how meat makes me feel. I definitely have a sensitive stomach. Are there any foods that may be beneficial or easier to keep down during chemo?
I know everyone handles chemo differently, but I'm the kind of person who worries constantly if I don't have some kind of game plan, so any advice is appreciated. :)</t>
        </is>
      </c>
      <c r="D5900" t="n">
        <v>1</v>
      </c>
      <c r="E5900" t="n">
        <v>24</v>
      </c>
      <c r="F5900">
        <f>HYPERLINK("https://www.reddit.com/r/cancer/comments/dw4tgh/any_tips_for_getting_through_chemo/")</f>
        <v/>
      </c>
      <c r="G5900" t="inlineStr">
        <is>
          <t>2019-11-13 21:26:11</t>
        </is>
      </c>
      <c r="H5900" t="inlineStr"/>
    </row>
    <row r="5901">
      <c r="A5901" t="inlineStr">
        <is>
          <t>dw6n4v</t>
        </is>
      </c>
      <c r="B5901" t="inlineStr">
        <is>
          <t>I'm Struggling, it's my Mom</t>
        </is>
      </c>
      <c r="C5901" t="inlineStr">
        <is>
          <t>Hello, I don't post very much on reddit but I just need some support right now.
My mom was diagnosed couple months ago with stage 4 lung cancer that had spread to her brain. We found out because she had a seizure out of no where,. Was given 4 months to live, so we started the fight. She finished 10 treatments of radiation and we thought she was doing bel , haff the great day's last week but Saturday she woke up and I could tell something wasn't right, went to thet ER and they said it was a focal seizure</t>
        </is>
      </c>
      <c r="D5901" t="n">
        <v>1</v>
      </c>
      <c r="E5901" t="n">
        <v>10</v>
      </c>
      <c r="F5901">
        <f>HYPERLINK("https://www.reddit.com/r/cancer/comments/dw6n4v/im_struggling_its_my_mom/")</f>
        <v/>
      </c>
      <c r="G5901" t="inlineStr">
        <is>
          <t>2019-11-14 00:32:51</t>
        </is>
      </c>
      <c r="H5901" t="inlineStr"/>
    </row>
    <row r="5902">
      <c r="A5902" t="inlineStr">
        <is>
          <t>dw84r5</t>
        </is>
      </c>
      <c r="B5902" t="inlineStr">
        <is>
          <t>How to help a friend that has to deal with his mother’s cancer?</t>
        </is>
      </c>
      <c r="C5902" t="inlineStr">
        <is>
          <t xml:space="preserve">  
Hello everyone! 
So I met this wonderful guy (both 23), we were dating for the past months. Long story short, we are both scared of experiencing our first relationship, but he seemed since the beginning pretty sure about it (I was the one that wanted to slow down). Last week I decided to talk to him, I told him that I was ready and that I wanted a relationship. He replied that he has mixed feelings and prefers me as a friend, but he insisted that we stay in touch because I was special, that he really likes me… in other words he really wants me as a friend. We have common friends, so I found out that he was really into me, that nobody had seen him so happy and open with a girl and that he hasn’t told anyone about our “breakup”, not even his best friend. 
When we were still dating the boy told me that his mother has cancer, that in the past he suffered a lot, but everything is fine now (he literally told me exactly these words) and avoided any further explanations. A few weeks ago he told me that he had to rush at the hospital because his mother had a surgery and had some complications afterwards (he didn’t told me about the surgery). He told me that everything went well, and that his mother could go home again, so I asked him for other info, I wanted him to talk about it. He replied that he didn’t knew anything else because de doesn’t want to know (about his mother real conditions) and the discussion ended there. 
I suspect that he is terrorised about loosing his mother (as it should be), he refuses in anyway to face the problem, and he is suffering a lot about it. 
I know that we don’t know each other so well, so I can understand that he doesn’t want to talk with me, but still I want to be his friend and be there if he needs me. How can I help him? I think that he should learn how to face his mother illness, maybe go to a therapist, be open about it and be strong for his mother. This is such a delicate topic, I don’t know how to approach the problem and how to talk without hurting him, I don’t want to make things worse, but I can feel that he is suffering. What should I do? Should I mind my own business and go on with my life? Or I should push a bit, be patient and try to break his walls?
Thank you 😊</t>
        </is>
      </c>
      <c r="D5902" t="n">
        <v>1</v>
      </c>
      <c r="E5902" t="n">
        <v>2</v>
      </c>
      <c r="F5902">
        <f>HYPERLINK("https://www.reddit.com/r/cancer/comments/dw84r5/how_to_help_a_friend_that_has_to_deal_with_his/")</f>
        <v/>
      </c>
      <c r="G5902" t="inlineStr">
        <is>
          <t>2019-11-14 03:15:02</t>
        </is>
      </c>
      <c r="H5902" t="inlineStr"/>
    </row>
    <row r="5903">
      <c r="A5903" t="inlineStr">
        <is>
          <t>dw8jp5</t>
        </is>
      </c>
      <c r="B5903" t="inlineStr">
        <is>
          <t>Expecting the worst, hoping for the best</t>
        </is>
      </c>
      <c r="C5903" t="inlineStr">
        <is>
          <t>New to this sub, and it has been a real help reading through all the posts. Recently diagnosed with kidney cancer, seeing doc in 24 hours for treatment plan etc, then in two weeks for a lung biopsy on a nodule there to see about metastasis. Sigh, been the worst month ever for my wife and I.
I am very nervous, but oddly at peace at the same time even though I am not sleeping well. The mental highs and lows of this are something I would never had expected, and very intense.
Thank you all for the posts, they have really helped my frame of mind, just knowing we are not alone in this is cathartic. Cancer indeed sucks.</t>
        </is>
      </c>
      <c r="D5903" t="n">
        <v>1</v>
      </c>
      <c r="E5903" t="n">
        <v>5</v>
      </c>
      <c r="F5903">
        <f>HYPERLINK("https://www.reddit.com/r/cancer/comments/dw8jp5/expecting_the_worst_hoping_for_the_best/")</f>
        <v/>
      </c>
      <c r="G5903" t="inlineStr">
        <is>
          <t>2019-11-14 03:59:14</t>
        </is>
      </c>
      <c r="H5903" t="inlineStr"/>
    </row>
    <row r="5904">
      <c r="A5904" t="inlineStr">
        <is>
          <t>dw9gbf</t>
        </is>
      </c>
      <c r="B5904" t="inlineStr">
        <is>
          <t>Looking for clinical trial. Does it matter what dr we see?</t>
        </is>
      </c>
      <c r="C5904" t="inlineStr">
        <is>
          <t>Hi all,
My husband’s oncologist did foundation 1 testing on his tumor and found he qualifies for a list of 10 trials. 
She referred us to a local Sarah Cannon Institute office. (It is based in TN but we’re not in TN). 
When I looked up the trials in his list, Sarah Cannon is not participating in any of those. A different local center, UCHEALTH, is participating in the ones listed for our state. 
So, shouldn’t he get an appointment at UCHealth and not Sarah Cannon? Or can the Sarah Cannon dr set him up with a trial through a different hospital?
 We already scheduled an appointment at Sarah Cannon but I’m concerned it will be a waste of time. I am not sure how this works. 
Thanks in advance for advice.</t>
        </is>
      </c>
      <c r="D5904" t="n">
        <v>1</v>
      </c>
      <c r="E5904" t="n">
        <v>2</v>
      </c>
      <c r="F5904">
        <f>HYPERLINK("https://www.reddit.com/r/cancer/comments/dw9gbf/looking_for_clinical_trial_does_it_matter_what_dr/")</f>
        <v/>
      </c>
      <c r="G5904" t="inlineStr">
        <is>
          <t>2019-11-14 05:20:43</t>
        </is>
      </c>
      <c r="H5904" t="inlineStr"/>
    </row>
    <row r="5905">
      <c r="A5905" t="inlineStr">
        <is>
          <t>dwa1kf</t>
        </is>
      </c>
      <c r="B5905" t="inlineStr">
        <is>
          <t>What are some foods a cancer patient would like that’s light on the stomach but filling? More info below.</t>
        </is>
      </c>
      <c r="C5905" t="inlineStr">
        <is>
          <t>My grandmother has cancer for the third time. Multiple myeloma. She finally got a port put in and just start treatments using that. The doctor said this time she may lose her hair and all that stuff. I talked to her yesterday and she said no food sounds good and with her being alone (family lives all over) she tends to eat fast food for convenience. She doesn’t have the energy to cook much. 
 Anyways, I’m thinking of being some soup to her and maybe some oatmeal. Anyone have any other suggestions of things that I can maybe bring to her for a quick and easy meal? She doesn’t have tons of money to buy stuff, so I’d like to buy things premade kind of that she can do little to no effort. 
Thanks in advanced.</t>
        </is>
      </c>
      <c r="D5905" t="n">
        <v>1</v>
      </c>
      <c r="E5905" t="n">
        <v>11</v>
      </c>
      <c r="F5905">
        <f>HYPERLINK("https://www.reddit.com/r/cancer/comments/dwa1kf/what_are_some_foods_a_cancer_patient_would_like/")</f>
        <v/>
      </c>
      <c r="G5905" t="inlineStr">
        <is>
          <t>2019-11-14 06:11:38</t>
        </is>
      </c>
      <c r="H5905" t="inlineStr"/>
    </row>
    <row r="5906">
      <c r="A5906" t="inlineStr">
        <is>
          <t>dwa3cq</t>
        </is>
      </c>
      <c r="B5906" t="inlineStr">
        <is>
          <t>November is National Caregiver Month - I'm sharing my story being a caregiver to my Mom, who has a rare blood cancer</t>
        </is>
      </c>
      <c r="C5906" t="inlineStr">
        <is>
          <t xml:space="preserve"> 
November is National Family Caregivers Month - What does it mean to be a caregiver? Well here are some real life examples:
I am a 35 year old taking care of my 65 year old mother, Ruth who will be turning 66 next month. We have a very close bond, my Mom is my best friend. In 2017 she was diagnosed with Essential Thrombocythemia. Then in 2019 the blood cancer progressed to MPN/MDS Crossover.
· I have accompanied my Mom to every single doctor appointment since fall 2016. I record it on my phone &amp;amp; take detailed notes. I prepare an agenda for each appointment as well. I created spreadsheets to track her blood levels &amp;amp; vitals. I have been by her side during every single chemo session.
· I give my Mom back massages &amp;amp; foot massages to help her relax. I use peppermint foot cream &amp;amp; she loves it. We do tai chi together &amp;amp; light cardio like geriatric exercises. It’s always good to get the blood circulation going. We enjoy cooking together &amp;amp; listening to music. When Ruth is feeling well enough, we go for light walks &amp;amp; enjoy spending time outside.
· I sat right next to her in April of this year when she had a bone marrow biopsy. I wanted to hold her hand. I soon learned I have vasovagal, as my blood pressure dropped quite low and I fainted. In July my Mom had another bone marrow biopsy, I went in the room but kept the curtain closed in between. I kept saying over &amp;amp; over again “You’re going to be okay, I’m right here.”
· I watch endless webinars online to learn as much as possible. I engage in conversations with others in the blood cancer community. Even though some may share the same rare blood cancer diagnosis, the genetic mutations truly make it a heterogeneous disease. I always ask questions, I always want to learn more. I will never stop talking about blood cancer.
· The true definition of a caregiver is one who puts someone else’s needs before their own. And only real love can do that, right from the heart. And one thing I can share with you is that I do that with joy because my Mom, Ruth is the most amazing &amp;amp; incredible woman so she shouldn’t have to go through this alone. I will always be right beside her. Sometimes I might even annoy her lol, but I’m always right there just incase she needs me. And I will do my best to make her laugh as often as possible.
· I’m a caregiver that steps in when people make irksome and insensitive remarks about my Mom’s illness. A caregiver chimes in when my Mom is exhausted &amp;amp; doesn’t have the strength or patience to explain. A caregiver knows when a wheelchair is needed. A caregiver has called the doctors on call many times at 2:00 or 3:00 in the morning. A caregiver has driven twice the speed limit at 4:00 AM to CVS to pick up medication. A caregiver that works full time &amp;amp; had 21 vacation days this year &amp;amp; I used up every single one of them for doctor appointments. A caregiver that ended friendships that were becoming surface &amp;amp; draining. A caregiver that has cleaned my Mom’s puke up from the floor. A caregiver that has become witness to blood cancer living in our home, taking up more &amp;amp; more space as the illness progresses. A caregiver that talks more about medical terminology than small talk. A caregiver that always wants to know the vitals. A caregiver that feels a deep pain in my heart when my Mom is suffering throughout this illness. A caregiver that wants to infuse every moment with love &amp;amp; peace. A caregiver that wants other people to know one day you may be caregiver. Just like Suleika Jaouad said in her beautiful &amp;amp; meaningful Ted Talk, "Every single one of us will have our life interrupted, whether it's by the ripcord of a diagnosis or another kind of trauma. We need to find ways to live in the in-between place managing whatever body and mind we currently have"
· I’m a caregiver that knows when to speak up &amp;amp; when to shut up. I’m a caregiver that will push my Mom to fight harder &amp;amp; will encourage her to rest when needed. I’m a caregiver that has so much love in my heart, I would take years off my life &amp;amp; give it to my Mom. I’m a caregiver that would give my Mom my health &amp;amp; my youth if I had the power to do so. I’m a caregiver &amp;amp; I’m the best damn caregiver out there. So, hold the ones you love tightly &amp;amp; tell them often how much you love them. And when the time comes for you to be a caretaker one day, know that it’s the hardest yet most beautiful &amp;amp; special thing one can do for someone they love dearly. In the end, we’re all just walking each other home.
Link: [https://www.pvreporter.com/mpn-caregiver-spotlight/?fbclid=IwAR27Vf9-d9PflfXCksNhfgiUthK2eStmOwBvodERL2vANib9cjsZfjaMY90](https://www.pvreporter.com/mpn-caregiver-spotlight/?fbclid=IwAR27Vf9-d9PflfXCksNhfgiUthK2eStmOwBvodERL2vANib9cjsZfjaMY90)
*Processing img d43pb8i8uny31...*</t>
        </is>
      </c>
      <c r="D5906" t="n">
        <v>1</v>
      </c>
      <c r="E5906" t="n">
        <v>0</v>
      </c>
      <c r="F5906">
        <f>HYPERLINK("https://www.reddit.com/r/cancer/comments/dwa3cq/november_is_national_caregiver_month_im_sharing/")</f>
        <v/>
      </c>
      <c r="G5906" t="inlineStr">
        <is>
          <t>2019-11-14 06:15:27</t>
        </is>
      </c>
      <c r="H5906" t="inlineStr"/>
    </row>
    <row r="5907">
      <c r="A5907" t="inlineStr">
        <is>
          <t>dwagbu</t>
        </is>
      </c>
      <c r="B5907" t="inlineStr">
        <is>
          <t>Don't work in healthcare if you're a conspiracy theorist</t>
        </is>
      </c>
      <c r="C5907" t="inlineStr">
        <is>
          <t>Got registered to get my port out. The lady doing it? Conspiracy theorist 🙄 would not shut up about how "the government secretly has the cure for cancer and just won't release it. " Honey, no. I work in healthcare. Our top priority is minimizing the suffering of our patients. There's plenty of ethical oncologists out there who wouldn't tolerate that kind of crap. Marijuana is great but it's NOT a miracle drug like so many people make it out to be. There's MANY different types of cancer too, so there's never going to be one magical drug that cures all kinds of cancer.</t>
        </is>
      </c>
      <c r="D5907" t="n">
        <v>1</v>
      </c>
      <c r="E5907" t="n">
        <v>36</v>
      </c>
      <c r="F5907">
        <f>HYPERLINK("https://www.reddit.com/r/cancer/comments/dwagbu/dont_work_in_healthcare_if_youre_a_conspiracy/")</f>
        <v/>
      </c>
      <c r="G5907" t="inlineStr">
        <is>
          <t>2019-11-14 06:44:36</t>
        </is>
      </c>
      <c r="H5907" t="inlineStr"/>
    </row>
    <row r="5908">
      <c r="A5908" t="inlineStr">
        <is>
          <t>dwb0fo</t>
        </is>
      </c>
      <c r="B5908" t="inlineStr">
        <is>
          <t>Can I talk about tongue cancer?</t>
        </is>
      </c>
      <c r="C5908" t="inlineStr">
        <is>
          <t>Hi all, I'm new here. Looking for somewhere to vent. Had a second carcinoma in situ removed from my tongue. Second one in a year. Is this serious enough to discuss here? Anyone else have experience with it?
Thanks!</t>
        </is>
      </c>
      <c r="D5908" t="n">
        <v>1</v>
      </c>
      <c r="E5908" t="n">
        <v>12</v>
      </c>
      <c r="F5908">
        <f>HYPERLINK("https://www.reddit.com/r/cancer/comments/dwb0fo/can_i_talk_about_tongue_cancer/")</f>
        <v/>
      </c>
      <c r="G5908" t="inlineStr">
        <is>
          <t>2019-11-14 07:27:07</t>
        </is>
      </c>
      <c r="H5908" t="inlineStr"/>
    </row>
    <row r="5909">
      <c r="A5909" t="inlineStr">
        <is>
          <t>dwe3nv</t>
        </is>
      </c>
      <c r="B5909" t="inlineStr">
        <is>
          <t>The update nobody asked for</t>
        </is>
      </c>
      <c r="C5909" t="inlineStr">
        <is>
          <t>I'm regaining control. Fuck cancer, fuck chemo, fuck my giant bald spot from radiation and wearing hats all the time. Im going back to school this spring semester. I left my girlfriend up in VT to do senior year alone and Im really upset that that's how it has to be right now, I've never felt so guilty about anything in my life; but Im going to try to change this shitty hand that lives dealt me. I put up a post about feeling defeated because I had no idea that the chemo would make me feel so terrible that I'd have to change my plans and not do the second semester, which I had been excited for. I then put up another post a little bit later that was basically me saying I think I did a terrible job eating and sleeping regularly which made the chemo and weeks after a lot harder. Now I'm on day 4 of an even higher dose of chemo and I'm doing alright because I've been eating well, my stomachs a little uneasy here and there but overall I feel pretty good - Im walking around and making food for myself which is a huge change from last time. This turned into a bit of a rant, but the point of it is that I want to fight the good fight and put up with chemo and go to school. This is specific to me and my living situation, but basically the opportunity for the perfect room in my girlfriends apartment just popped up out of nowhere a few nights ago (her roommates been considering moving for work) and it really got me excited to take care of myself and go back to school for the semester. Im confident that Im going to be able to keep myself mentally and physically able to do school. Im very excited and I just wanted to rant to my internet cancer stranger friends like I have been for the past few months. Thanks for reading, if you made it through this.
TL;DR: Cancer and chemo kept me from returning to school but an opportunity to pick up where I left off just arose and I'm taking it up without skipping a beat. Sorry for the rant, I'm just glad it was a positive rant this time and not a really upset one.</t>
        </is>
      </c>
      <c r="D5909" t="n">
        <v>1</v>
      </c>
      <c r="E5909" t="n">
        <v>15</v>
      </c>
      <c r="F5909">
        <f>HYPERLINK("https://www.reddit.com/r/cancer/comments/dwe3nv/the_update_nobody_asked_for/")</f>
        <v/>
      </c>
      <c r="G5909" t="inlineStr">
        <is>
          <t>2019-11-14 11:02:48</t>
        </is>
      </c>
      <c r="H5909" t="inlineStr"/>
    </row>
    <row r="5910">
      <c r="A5910" t="inlineStr">
        <is>
          <t>dwegf5</t>
        </is>
      </c>
      <c r="B5910" t="inlineStr">
        <is>
          <t>2 years tomorrow!!</t>
        </is>
      </c>
      <c r="C5910" t="inlineStr">
        <is>
          <t>Tomorrow will be exactly 2 years ago I got my 'official' diagnosis.  I will never forget that phone call.
I had had my craniotomy 6 days prior, and had been home from the hospital for 2 days.  Before my surgery they told me, "Next Friday, you'll come back to get your biopsy results".  It didn't quite go that way.
Before surgery, they told me if "*X* bad thing happens during surgery, you'll be moved to the ICU instead of this room".  I don't remember what it was, but it happened, and that next morning, I woke up in the ICU.  
A doctor who I had never seen face-to-face, but was involved with my surgery, came into my room, said "It looks like cancer", then turned around and walked away.
I was released from the hospital that Monday, with the plan for me to return to the hospital to meet my oncologist and get my biopsy results on Friday.  That Wednesday, my wife was at work, and my kids were at school.  I was home alone all day.
I got a phone call from the hospital.  I figured they were just calling to remind me of my appointment.  NOPE.  They verified it was me on the line, and told me "Biopsy results are back early.  You have Glioblastoma.  Get your affairs in order, you have a few months".
Being home alone, I broke down.  Then I spent the next 2 days reading about this monster in my brain.  Friday finally rolls around, and my wife and I go to my appointment.  I knew about all there is to know about this beast, I knew my prognosis, I knew it all.  I told my oncologist, who I was meeting for the first time, "I'm gonna kick this thing".  He replied, "No, you're not".
Well, I'm still here.  My tumor stayed stable for about 6 months.  Then it steadily shrank for another 6 months.  A year ago, my doc stopped chemo, my only 'treatment' now is cannabis oil and a few vitamins and supplements, it's still not growing.  I started out with a lemon sized tumor, and now it's a marble.
TL:DR, never give up hope.  Live and Love as much as you can, nobody knows when their number will come up, cancer or not.</t>
        </is>
      </c>
      <c r="D5910" t="n">
        <v>1</v>
      </c>
      <c r="E5910" t="n">
        <v>16</v>
      </c>
      <c r="F5910">
        <f>HYPERLINK("https://www.reddit.com/r/cancer/comments/dwegf5/2_years_tomorrow/")</f>
        <v/>
      </c>
      <c r="G5910" t="inlineStr">
        <is>
          <t>2019-11-14 11:27:54</t>
        </is>
      </c>
      <c r="H5910" t="inlineStr"/>
    </row>
    <row r="5911">
      <c r="A5911" t="inlineStr">
        <is>
          <t>dwfhz9</t>
        </is>
      </c>
      <c r="B5911" t="inlineStr">
        <is>
          <t>Need some insight as my father is on life support</t>
        </is>
      </c>
      <c r="C5911" t="inlineStr">
        <is>
          <t>My father is 60 and has been battling stage IV neck cancer for 2 years. Last week he was grasping for breath and they had to rush him to ICU to sedate and place on a breathing machine. A few days later they did a tracheotomy and placed him back on the machine because he wasn’t responding to weening off. His blood pressure has been very low so he has a line with several medications to try to maintain. In addition the cancer is spreading as he cannot have treatment and now he has pneumonia in both lungs. All in all he is in horrible shape and I hope his suffering ends soon.
My mother doesn’t provide many updates when I am not there with them and at times I feel like she is overly positive which I understand. I am wanting to know realistically how long he has? No one knows for sure I know but looking for the honest truth of what I should expect. I have never gone through this with a loved one and I don’t know much about what this could look like long term. The other fear I have is my mother never worked and my dad always did.  She will get his retirement but I fear Medicaid may not cover anything after this so I  just all out of sorts. Look for the hard truth of what could happen. Thanks so much</t>
        </is>
      </c>
      <c r="D5911" t="n">
        <v>1</v>
      </c>
      <c r="E5911" t="n">
        <v>2</v>
      </c>
      <c r="F5911">
        <f>HYPERLINK("https://www.reddit.com/r/cancer/comments/dwfhz9/need_some_insight_as_my_father_is_on_life_support/")</f>
        <v/>
      </c>
      <c r="G5911" t="inlineStr">
        <is>
          <t>2019-11-14 12:41:36</t>
        </is>
      </c>
      <c r="H5911" t="inlineStr"/>
    </row>
    <row r="5912">
      <c r="A5912" t="inlineStr">
        <is>
          <t>dwfnot</t>
        </is>
      </c>
      <c r="B5912" t="inlineStr">
        <is>
          <t>When are Carcinoid tumours fatal?</t>
        </is>
      </c>
      <c r="C5912" t="inlineStr">
        <is>
          <t>From what I gather they have a pretty good survival rate unless they become symptomatic and that means it’s probably too advanced? Is that accurate?</t>
        </is>
      </c>
      <c r="D5912" t="n">
        <v>1</v>
      </c>
      <c r="E5912" t="n">
        <v>10</v>
      </c>
      <c r="F5912">
        <f>HYPERLINK("https://www.reddit.com/r/cancer/comments/dwfnot/when_are_carcinoid_tumours_fatal/")</f>
        <v/>
      </c>
      <c r="G5912" t="inlineStr">
        <is>
          <t>2019-11-14 12:52:59</t>
        </is>
      </c>
      <c r="H5912" t="inlineStr"/>
    </row>
    <row r="5913">
      <c r="A5913" t="inlineStr">
        <is>
          <t>dwfoxt</t>
        </is>
      </c>
      <c r="B5913" t="inlineStr">
        <is>
          <t>Officially finished treatment (almost)</t>
        </is>
      </c>
      <c r="C5913" t="inlineStr">
        <is>
          <t>June 1st 2018 I was diagnosed with Breast Cancer following testing it became a diagnosis of Stage 3 Grade 3 Triple Negative Invasive Ductal Carcinoma.
The last 18 months have been an interesting ride.  Starting with Chemo, then surgery, radiotherapy and more chemo.
Saw my medical oncologist yesterday and she doesn't need to see me again until September next year.  I still have a few days left of my chemo pills (Capecitabine/Xeloda), but then I'm done with active treatment.
While 10 months seems a long time before a follow-up, I'm having scans and seeing my surgeon in January, followed by a review with my radiation oncologist in May – so I'm effectively on 4 monthly reviews just split between different parts of my treatment team.  Plus I'll be seeing my GP regularly to deal with some of the lingering side effects and improving my health in general.
In some ways, it feels strange – I've been concentrating on treatments for so long and now suddenly my life won't be resolving around doctors appointments, hospital visits and remembering to take medication at set times each day.
I want to thank everyone in this community, it has been a great source of information and comfort, and while I intend to stick around for a while yet, I'm hoping it will be to offer support rather than seeking it.
Good luck to you all.</t>
        </is>
      </c>
      <c r="D5913" t="n">
        <v>1</v>
      </c>
      <c r="E5913" t="n">
        <v>3</v>
      </c>
      <c r="F5913">
        <f>HYPERLINK("https://www.reddit.com/r/cancer/comments/dwfoxt/officially_finished_treatment_almost/")</f>
        <v/>
      </c>
      <c r="G5913" t="inlineStr">
        <is>
          <t>2019-11-14 12:55:20</t>
        </is>
      </c>
      <c r="H5913" t="inlineStr"/>
    </row>
    <row r="5914">
      <c r="A5914" t="inlineStr">
        <is>
          <t>dwghaq</t>
        </is>
      </c>
      <c r="B5914" t="inlineStr">
        <is>
          <t>What is the difference between Hodgkins and non-hodgkins lymphoma?</t>
        </is>
      </c>
      <c r="C5914" t="inlineStr">
        <is>
          <t>I’ve heard that hodgkins is easier to treat? I’ve always wondered what the difference was and I recently read a story about someone with it</t>
        </is>
      </c>
      <c r="D5914" t="n">
        <v>1</v>
      </c>
      <c r="E5914" t="n">
        <v>4</v>
      </c>
      <c r="F5914">
        <f>HYPERLINK("https://www.reddit.com/r/cancer/comments/dwghaq/what_is_the_difference_between_hodgkins_and/")</f>
        <v/>
      </c>
      <c r="G5914" t="inlineStr">
        <is>
          <t>2019-11-14 13:50:58</t>
        </is>
      </c>
      <c r="H5914" t="inlineStr"/>
    </row>
    <row r="5915">
      <c r="A5915" t="inlineStr">
        <is>
          <t>dwglyw</t>
        </is>
      </c>
      <c r="B5915" t="inlineStr">
        <is>
          <t>Daughter of mother with cancer</t>
        </is>
      </c>
      <c r="C5915" t="inlineStr">
        <is>
          <t>I feel selfish feeling all these emotions when it's my mum who is doing the fighting. Mum was diagnosed with Ovarian cancer back in April; had the tumours removed and was about to finish chemo but it's returned, this time on the kidney and bladder.  I felt strong emotionally at first and cared for mum full time from April until August before returning to work. That's when I mentally started to go downhill feeling anxious and not quite right. No-one told me about the fear that doesn't go away once a person has cancer. Fear it's going to come back, fear if you feel happy for a while you'll jinx it and something bad will happen. It's strange, like you're in the twilight zone or on a ride you can't get off. Just want to go back to a sense of normality.  I've been referred to therapy &amp;amp; hopefully it will help.</t>
        </is>
      </c>
      <c r="D5915" t="n">
        <v>1</v>
      </c>
      <c r="E5915" t="n">
        <v>4</v>
      </c>
      <c r="F5915">
        <f>HYPERLINK("https://www.reddit.com/r/cancer/comments/dwglyw/daughter_of_mother_with_cancer/")</f>
        <v/>
      </c>
      <c r="G5915" t="inlineStr">
        <is>
          <t>2019-11-14 13:59:55</t>
        </is>
      </c>
      <c r="H5915" t="inlineStr"/>
    </row>
    <row r="5916">
      <c r="A5916" t="inlineStr">
        <is>
          <t>dwhdc1</t>
        </is>
      </c>
      <c r="B5916" t="inlineStr">
        <is>
          <t>Just found out lump on my face is cutaneous squamous cell carcinoma. Can be removed by surgery. Is this "real" cancer?</t>
        </is>
      </c>
      <c r="C5916" t="inlineStr">
        <is>
          <t>After browsing this sub, it seems like that technically, yes, cSCC is "real" cancer in the sense that it can potentially spread and be life threatening, but it's unlikely and the cure (surgery) is pretty simple and effective.
&amp;amp;#x200B;
So I feel like a bit of a fraud letting anybody know that I have "cancer".  It seems like I'm telling people that I broke a bone, and then they ask which one and I have to tell them that it's my little finger rather than a femur or some other big bone.  Or telling people that I've been stabbed, and they ask with what - expecting a serious knife injury story - and I tell them that I pricked myself with a needle while doing some sewing.
&amp;amp;#x200B;
Any thoughts on how to change my mindset, or whether it needs to be changed at all?  Compared to almost every other post in this sub, operable cSCC is basically a walk in the park.  I'm inclined to tell nobody that I've been diagnosed to be honest, and explain any facial scarring after the fact.  To tell people that I have cancer implies that I'm seriously ill when I'm actually not, and I don't want to claim to be a "cancer survivor" when all I had done was some outpatient Mohs surgery that will be uncomfortable, but basically nothing compared to real cancer survivors who have gone through multiple rounds of chemo, radiation, and significant surgery.
&amp;amp;#x200B;
Don't know how to approach this.  I think I'll just say that I had a mole removed or something, and not mention cancer at all.</t>
        </is>
      </c>
      <c r="D5916" t="n">
        <v>1</v>
      </c>
      <c r="E5916" t="n">
        <v>11</v>
      </c>
      <c r="F5916">
        <f>HYPERLINK("https://www.reddit.com/r/cancer/comments/dwhdc1/just_found_out_lump_on_my_face_is_cutaneous/")</f>
        <v/>
      </c>
      <c r="G5916" t="inlineStr">
        <is>
          <t>2019-11-14 14:53:04</t>
        </is>
      </c>
      <c r="H5916" t="inlineStr"/>
    </row>
    <row r="5917">
      <c r="A5917" t="inlineStr">
        <is>
          <t>dwhdn8</t>
        </is>
      </c>
      <c r="B5917" t="inlineStr">
        <is>
          <t>Hello Again</t>
        </is>
      </c>
      <c r="C5917" t="inlineStr">
        <is>
          <t>So, my mom just stared chemo last week and she has been getting really bad headaches. Nothing seems to help. 
So I thought I'd turn to the community to see what helps your headaches/migraines? 
Keep in mind that I don't want everyone to tell me weed, she needs another alternative.</t>
        </is>
      </c>
      <c r="D5917" t="n">
        <v>1</v>
      </c>
      <c r="E5917" t="n">
        <v>2</v>
      </c>
      <c r="F5917">
        <f>HYPERLINK("https://www.reddit.com/r/cancer/comments/dwhdn8/hello_again/")</f>
        <v/>
      </c>
      <c r="G5917" t="inlineStr">
        <is>
          <t>2019-11-14 14:53:43</t>
        </is>
      </c>
      <c r="H5917" t="inlineStr"/>
    </row>
    <row r="5918">
      <c r="A5918" t="inlineStr">
        <is>
          <t>dwi6wp</t>
        </is>
      </c>
      <c r="B5918" t="inlineStr">
        <is>
          <t>It’s over now</t>
        </is>
      </c>
      <c r="C5918" t="inlineStr">
        <is>
          <t>Hi guys...
Maybe a few of you remember me posting about my husband. M29, osteosarcoma. 
Anyway, he passed yesterday morning. 
I just want to thank you guys for everything and let you guys know if I can be a resource at all, don’t hesitate to reach out. 
Wishing all of you the best of luck, and as many prayers as you need. 
Thanks again. God bless you, and fuck cancer.</t>
        </is>
      </c>
      <c r="D5918" t="n">
        <v>1</v>
      </c>
      <c r="E5918" t="n">
        <v>40</v>
      </c>
      <c r="F5918">
        <f>HYPERLINK("https://www.reddit.com/r/cancer/comments/dwi6wp/its_over_now/")</f>
        <v/>
      </c>
      <c r="G5918" t="inlineStr">
        <is>
          <t>2019-11-14 15:52:13</t>
        </is>
      </c>
      <c r="H5918" t="inlineStr"/>
    </row>
    <row r="5919">
      <c r="A5919" t="inlineStr">
        <is>
          <t>dwihyl</t>
        </is>
      </c>
      <c r="B5919" t="inlineStr">
        <is>
          <t>Have you ever told someone your lab results, only to smack yourself in the face for telling anyone later?</t>
        </is>
      </c>
      <c r="C5919" t="inlineStr">
        <is>
          <t>Background: 
Had thyroid cancer and a total thyroidectomy in January. My Endocrinologist has been monitoring a lymph node since then and we biopsied it last week. 
The nurse called and said they found abnormal cells and high Thyroglobulin levels; and that my Endo is going over the samples with the pathologist before calling me to discuss anything.
My mistake? Telling my MIL the results when she called. Why? Because THEN I had to tell my husband, and then it didn’t feel right to not tell my family. Sooo tonight, my husband gives me “that” sad face. A split second, but I caught it. It’s the unwanted over-attention. I want a sounding board/vent person, but not trying to burden other people with worry. It didn’t define my day. It isn’t the end of the world.
I (kind of) wish I waited until the doctor called with specifics. even then, it feels cringeworthy to tell anyone.  I hate  “the look”, discussion about it, or weirdness that others do to cope and feel like I end up overcompensating to cheer them up. I’d rather things just move along, keep focus on the controllables, be happy. 
What about you guys?</t>
        </is>
      </c>
      <c r="D5919" t="n">
        <v>1</v>
      </c>
      <c r="E5919" t="n">
        <v>1</v>
      </c>
      <c r="F5919">
        <f>HYPERLINK("https://www.reddit.com/r/cancer/comments/dwihyl/have_you_ever_told_someone_your_lab_results_only/")</f>
        <v/>
      </c>
      <c r="G5919" t="inlineStr">
        <is>
          <t>2019-11-14 16:15:37</t>
        </is>
      </c>
      <c r="H5919" t="inlineStr"/>
    </row>
    <row r="5920">
      <c r="A5920" t="inlineStr">
        <is>
          <t>dwiklp</t>
        </is>
      </c>
      <c r="B5920" t="inlineStr">
        <is>
          <t>Liver cancer</t>
        </is>
      </c>
      <c r="C5920" t="inlineStr">
        <is>
          <t>Hey everyone,
Joined this subreddit a few months ago after I started to accept that my dad is going to pass away of Hepatocellular carcinoma. He's a young stud at 60 years of age and my best friend for 34 years.
He decided months ago that he would like to remain at home and have care come to the house. I am so fortunate to have an amazing extended family to help my dad through this time as it's hard for any one person to remain at his side.
There is a nurse that comes daily to the house and also a nurse that stays overnight so my family can get some rest. My dad is very restless and will sit for a few moments then lay back then sit back up and continue this ALL day and night. He hasn't eaten a decent meal in weeks and yesterday the doctors said that his kidneys are starting to fail.
The doctors told us they expect 1-2 weeks remain and that we should begin to get his affairs in order. I have never been so confused, upset, sad and hopeless all at the same time. My dad is my hero and to see this fucking cancer break him down slowly over the years is very difficult to cope with.
I honestly wish all of you the very best in your lives and all your loved ones. We are all against this cancer demon together.
Love you Dad.</t>
        </is>
      </c>
      <c r="D5920" t="n">
        <v>1</v>
      </c>
      <c r="E5920" t="n">
        <v>5</v>
      </c>
      <c r="F5920">
        <f>HYPERLINK("https://www.reddit.com/r/cancer/comments/dwiklp/liver_cancer/")</f>
        <v/>
      </c>
      <c r="G5920" t="inlineStr">
        <is>
          <t>2019-11-14 16:21:19</t>
        </is>
      </c>
      <c r="H5920" t="inlineStr"/>
    </row>
    <row r="5921">
      <c r="A5921" t="inlineStr">
        <is>
          <t>dwio96</t>
        </is>
      </c>
      <c r="B5921" t="inlineStr">
        <is>
          <t>Helen: My mom's cancer story</t>
        </is>
      </c>
      <c r="C5921" t="inlineStr">
        <is>
          <t>When my mother Helen was diagnosed with lung cancer back in 2012, I remember feeling overwhelmed, not knowing who to turn to, and where to get advice. Simple things like what to eat became complicated for my mom. Whatever healthcare services and resources available locally were all we had access to.
My mom, unfortunately, passed away. Since then, I’ve often wondered about what we could have done to improve our situation. Then I started thinking about how we could make things better for people going through their cancer journey. I wanted to help other people in similar situations find the best resources they need to fight their battle against cancer!
During the past few years, I’ve met really amazing people: physicians, scientists, engineers, healthcare professionals, cancer survivors, and people who have been deeply affected by cancer.  
Together, we created a platform named after my mom, [HelenHealth.co](https://l.facebook.com/l.php?u=https%3A%2F%2Fslack-redir.net%2Flink%3Furl%3Dhttp%253A%252F%252FHelenHealth.co%26fbclid%3DIwAR0Ty3jEGClLLYOZG5lgB-0qE1V-JXWEl01u8RmT24EUWWVcmkCD6JSclR0&amp;amp;h=AT2ZTMOeTezLeOWkySYhvjB6AklgCKIARWfiJ1UsoGlLdmS4X5sD8hRfH9dNATPjUuI_wjqQimhajVoOHVdV3E_hmUY7MKz-9omgwyN_LFmo0DQNgNz8MQGKjp7jnnctuz28x8a4jdETM5fxekqWU_eV) that connects people with the best oncology resources in the world.  
Also, please join our Helen Health Cancer Community: [https://www.facebook.com/groups/402067120441730/](https://slack-redir.net/link?url=https%3A%2F%2Fwww.facebook.com%2Fgroups%2F402067120441730%2F&amp;amp;fbclid=IwAR3ThleMLIiIYpVRGfBg8c8ZoA6C7y6OBIdvAh08q_gVhTVN-LvnDGqL5Tw)T  
Thanks so much in advance!</t>
        </is>
      </c>
      <c r="D5921" t="n">
        <v>1</v>
      </c>
      <c r="E5921" t="n">
        <v>0</v>
      </c>
      <c r="F5921">
        <f>HYPERLINK("https://www.reddit.com/r/cancer/comments/dwio96/helen_my_moms_cancer_story/")</f>
        <v/>
      </c>
      <c r="G5921" t="inlineStr">
        <is>
          <t>2019-11-14 16:29:10</t>
        </is>
      </c>
      <c r="H5921" t="inlineStr"/>
    </row>
    <row r="5922">
      <c r="A5922" t="inlineStr">
        <is>
          <t>dwiw4v</t>
        </is>
      </c>
      <c r="B5922" t="inlineStr">
        <is>
          <t>I apologize in advance for 99999th fuck cancer post</t>
        </is>
      </c>
      <c r="C5922" t="inlineStr">
        <is>
          <t>But FUCK Cancer. My mom got diagnosed with cholangiocarcinoma 10 months ago. She went through months of chemo and suffering to find out that it’s spreading everywhere. She has 3 biliary drainage put in just to keep up with the tumor growing fast. She weighs about 80 pounds now and there is nothing left to try per her doctors. I feel like shit because i cant do shit for her. So fuck you cancer.</t>
        </is>
      </c>
      <c r="D5922" t="n">
        <v>1</v>
      </c>
      <c r="E5922" t="n">
        <v>14</v>
      </c>
      <c r="F5922">
        <f>HYPERLINK("https://www.reddit.com/r/cancer/comments/dwiw4v/i_apologize_in_advance_for_99999th_fuck_cancer/")</f>
        <v/>
      </c>
      <c r="G5922" t="inlineStr">
        <is>
          <t>2019-11-14 16:46:33</t>
        </is>
      </c>
      <c r="H5922" t="inlineStr"/>
    </row>
    <row r="5923">
      <c r="A5923" t="inlineStr">
        <is>
          <t>dwjsz4</t>
        </is>
      </c>
      <c r="B5923" t="inlineStr">
        <is>
          <t>I feel like it’s so much harder to watch someone go through cancer than it is to have it yourself.</t>
        </is>
      </c>
      <c r="C5923" t="inlineStr">
        <is>
          <t>I don’t know, it’s just been tough lately. One of my closest friends got the diagnosis last summer, he did chemo and a few surgeries and he’s recovered really well which I’m infinitely thankful for. But everything was just so terrible during that time. My grandfather got the diagnosis a year ago, he’s almost 80 and he responded to the treatment really well at first. It was terminal so we thought he only had months, but he’s been doing really well...until 2 weeks ago. His body is shutting down, he was put in hospice 3 days ago, they’re saying he’s gonna pass any day now. I’m not really eating, not really sleeping (as evidenced by the fact that it’s 3am right now), I can’t really focus at work. He can barely talk anymore, he’s lost so much weight, it’s like I’m watching as he’s vanishing in front of my eyes. I’m 25 years old and I’ve never lost anyone before. I keep thinking that it should be me on that bed. I’ve tried not to think about death too much previously in my life, and I don’t know what I was expecting but I don’t know, these feelings are all new to me and it just sucks I guess. I think I just needed to share.</t>
        </is>
      </c>
      <c r="D5923" t="n">
        <v>1</v>
      </c>
      <c r="E5923" t="n">
        <v>5</v>
      </c>
      <c r="F5923">
        <f>HYPERLINK("https://www.reddit.com/r/cancer/comments/dwjsz4/i_feel_like_its_so_much_harder_to_watch_someone/")</f>
        <v/>
      </c>
      <c r="G5923" t="inlineStr">
        <is>
          <t>2019-11-14 18:01:30</t>
        </is>
      </c>
      <c r="H5923" t="inlineStr"/>
    </row>
    <row r="5924">
      <c r="A5924" t="inlineStr">
        <is>
          <t>dwlj44</t>
        </is>
      </c>
      <c r="B5924" t="inlineStr">
        <is>
          <t>Help. I think my roommate is lying about having cancer.</t>
        </is>
      </c>
      <c r="C5924" t="inlineStr">
        <is>
          <t>First of all, I’m sorry if I come off as insensitive. And I truly empathize with those experiencing cancer. My aunt and cousin both recently died of colon cancer last year. 
So yes, as my title says. I think she’s lying about having cancer, but I don’t know how to truly know if it’s true. She says she goes to radiation on Mondays but she is in and out within 10 - 15 minutes. She began saying she has cancer within a week of her break up with her boyfriend. She says she has a brain tumor and she cut her hair within the first week of radiation but stated that the doctor cut it to do an MRI on her. I don’t know if they do that at the doctors. She also bought a bunch of wigs. Furthermore, she never eats and says that it’s because of her loss of appetite due to radiation. She stopped eating within the first week of her radiation. All this began about two months ago. 
I don’t know if she’s just doing all this to make her boyfriend feel bad (my intuition tells me so) or I don’t know if she’s for real. Is there any medicine someone on radiation or a brain tumor takes. Right now, I’ve just seen her taking Levetiracetam and Lorazepam. She never eats or drinks water. I don’t know what to do. She told me she went to the doctor today and they told her the amount for her treatment, but I don’t know if she is being truthful or not. Does insurance pay for treatment or does she have to pay out of pocket. Last time I checked, she has insurance, but she says she has to pay out of pocket and told me she is not going to be able to pay rent. I don’t know if I’m being taken advantage of too. I feel so ambivalent. I don’t know where else to go for advice.</t>
        </is>
      </c>
      <c r="D5924" t="n">
        <v>1</v>
      </c>
      <c r="E5924" t="n">
        <v>19</v>
      </c>
      <c r="F5924">
        <f>HYPERLINK("https://www.reddit.com/r/cancer/comments/dwlj44/help_i_think_my_roommate_is_lying_about_having/")</f>
        <v/>
      </c>
      <c r="G5924" t="inlineStr">
        <is>
          <t>2019-11-14 20:27:30</t>
        </is>
      </c>
      <c r="H5924" t="inlineStr"/>
    </row>
    <row r="5925">
      <c r="A5925" t="inlineStr">
        <is>
          <t>dwlr1z</t>
        </is>
      </c>
      <c r="B5925" t="inlineStr">
        <is>
          <t>2019.... The year the hits just kept on coming.</t>
        </is>
      </c>
      <c r="C5925" t="inlineStr">
        <is>
          <t>On Dec. 1 2018 while on a trip to Monterrey MX my wife suddenly lost mobility to the left side of her body. An MRI revealed a large tumor on the right side of her brain. The Drs gave her steroids to reduce the inflammation and movement to her left side was restored.
She had a brain biopsy done in the US on Jan 1st 2019 but the biopsy was inconclusive. This was likely because of the steroids that were administered in MX to reduce the swelling in her brain. The neurosurgeon did monthly brain MRIs until May 14th when a large tumor that developed on the back of her brain was detected. The tumor was removed and a diagnosis of Primary CNS Lymphoma was made. She started high dose methotrexate chemotherapy a week later. 
After she went home following chemo cycle 1, she wound up back in the ER for a nosebleed that wouldn't stop and dehydration. 
During cycle 2, while she was in the hospital receiving the chemo, she fainted in the bathroom; falling backwards striking her head on the sink in the exact location of her last brain surgery. 
During cycle 3 there was a problem with the picc line that resulted in an infection in her arm that almost killed her. She came home after 20 days in the hospital only to return 8 days later for her 4th and final chemo cycle. 
A week after cycle 4 was completed, she wound up back in the ER with an acute sinus infection and migrane headaches. She started feeling a bit better before WBRT started on Monday then yesterday she began complaining about severe abdominal pain. So now here we sit in the ER waiting on a diagnosis. I feel so bad for her. I'm hoping she can catch a break soon. She's so tired...</t>
        </is>
      </c>
      <c r="D5925" t="n">
        <v>1</v>
      </c>
      <c r="E5925" t="n">
        <v>10</v>
      </c>
      <c r="F5925">
        <f>HYPERLINK("https://www.reddit.com/r/cancer/comments/dwlr1z/2019_the_year_the_hits_just_kept_on_coming/")</f>
        <v/>
      </c>
      <c r="G5925" t="inlineStr">
        <is>
          <t>2019-11-14 20:48:31</t>
        </is>
      </c>
      <c r="H5925" t="inlineStr"/>
    </row>
    <row r="5926">
      <c r="A5926" t="inlineStr">
        <is>
          <t>dwr6pc</t>
        </is>
      </c>
      <c r="B5926" t="inlineStr">
        <is>
          <t>Drs found a lump during my mom's mammogram.</t>
        </is>
      </c>
      <c r="C5926" t="inlineStr">
        <is>
          <t>That was Wednesday. Today around 1 (ET) she is scheduled for a biopsy. I'm scared. I want to be strong for my mom. I have questions. How long is the biopsy? How long for the test results? How and what can I do?</t>
        </is>
      </c>
      <c r="D5926" t="n">
        <v>1</v>
      </c>
      <c r="E5926" t="n">
        <v>6</v>
      </c>
      <c r="F5926">
        <f>HYPERLINK("https://www.reddit.com/r/cancer/comments/dwr6pc/drs_found_a_lump_during_my_moms_mammogram/")</f>
        <v/>
      </c>
      <c r="G5926" t="inlineStr">
        <is>
          <t>2019-11-15 06:02:27</t>
        </is>
      </c>
      <c r="H5926" t="inlineStr"/>
    </row>
    <row r="5927">
      <c r="A5927" t="inlineStr">
        <is>
          <t>dwrzpd</t>
        </is>
      </c>
      <c r="B5927" t="inlineStr">
        <is>
          <t>vitamin supplement</t>
        </is>
      </c>
      <c r="C5927" t="inlineStr">
        <is>
          <t>can patient under chemo take vitamin supplement?</t>
        </is>
      </c>
      <c r="D5927" t="n">
        <v>1</v>
      </c>
      <c r="E5927" t="n">
        <v>4</v>
      </c>
      <c r="F5927">
        <f>HYPERLINK("https://www.reddit.com/r/cancer/comments/dwrzpd/vitamin_supplement/")</f>
        <v/>
      </c>
      <c r="G5927" t="inlineStr">
        <is>
          <t>2019-11-15 07:06:12</t>
        </is>
      </c>
      <c r="H5927" t="inlineStr"/>
    </row>
    <row r="5928">
      <c r="A5928" t="inlineStr">
        <is>
          <t>dwsiru</t>
        </is>
      </c>
      <c r="B5928" t="inlineStr">
        <is>
          <t>Update on herpes simplex cure research (HSV is indirectly linked to certain cancers)</t>
        </is>
      </c>
      <c r="C5928" t="inlineStr">
        <is>
          <t>&amp;amp;#x200B;
Hello Members,
I want to share with you an important update about progress in gene editing to cure diseases.  The Fred Hutch Cancer Research Center has been working on a cure for herpex simplex (which can cause oral and genital lesions, among other issues).  This research is partly funded bvy the National Institute of Health (NIH) and is also being supported by private funding from the community of herpes patients, including at r/Herpes.
Why is this news of relevance to cancer?  Herpes simplex does not directly cause cancer.  However, genital HSV is known to increase the risk of acquiring HIV when exposed, and HIV greatly increases the risk of certain cancers.  So HSV is in the casual chain for cancers as an indirect cause. This is why the Fred Hutch Cancer Research Center is conducting this research alongside their direct cancer cure research.
Further, it's well known that HSV can reactivate in patients who are undergoing chemotherpay or radiation therapy which can suppress the immune system which is keeping HSV in check. This can make the experience of cancer patients more miserable. So curing HSV would be of benefit to cancer patients as well (please note that around half of people in the US have HSV1 (oral or genital herpes) while 1 in 8 have HSV2 (usually genital herpes).
The good news is that, the HSV cure research is going well.  Dr. Keith Jerome, whose team at FHC is conducting this research and is currently testing the gene editing treatment in mice, has been able to remove over 50% to 90% of latent HSV in mice neurons, effectively partially curing mice from herpes simplex.
Our community of HSV patients has been active in supporting this research which, as I noted, also has implications for cancer prevention and treatment.  Our donations have enabled the team at FHC to expedite their research and begin testing it in guinea pigs before the funds for that were available from the NIH.
If you have a chance, please check out this presentation by Dr. Keith Jerome:  [https://www.youtube.com/watch?v=Tk5EO6RerCk&amp;amp;feature=youtu.be](https://www.youtube.com/watch?v=Tk5EO6RerCk&amp;amp;feature=youtu.be) 
Mens Health Magazine also had a nice writeup on this research [here](https://www.menshealth.com/health/a26306319/herpes-cure-gene-editing/).  
Foinally, if you are interested in helping this effort, our fund raiser is here.</t>
        </is>
      </c>
      <c r="D5928" t="n">
        <v>1</v>
      </c>
      <c r="E5928" t="n">
        <v>13</v>
      </c>
      <c r="F5928">
        <f>HYPERLINK("https://www.reddit.com/r/cancer/comments/dwsiru/update_on_herpes_simplex_cure_research_hsv_is/")</f>
        <v/>
      </c>
      <c r="G5928" t="inlineStr">
        <is>
          <t>2019-11-15 07:44:46</t>
        </is>
      </c>
      <c r="H5928" t="inlineStr"/>
    </row>
    <row r="5929">
      <c r="A5929" t="inlineStr">
        <is>
          <t>dwsix8</t>
        </is>
      </c>
      <c r="B5929" t="inlineStr">
        <is>
          <t>Stem Cell Transplant in my future</t>
        </is>
      </c>
      <c r="C5929" t="inlineStr">
        <is>
          <t>Hello, this is my first post on here so I will try not to make it too long or rambling. I was diagnosed with stage 4 Follicular Lymphoma back in May of 2017. I went threw 6 months of chemo and went into remission. All was well until Jan. of 2019 when my lymph nodes were swollen once again. By May it was in my bone marrow and spleen. Not only was it back but it was more bulky and being it came back so fast, he treated it with RChop and I am once again in remission. I had my first maintenance Retuxin 2 days ago. He recommends a stem cell transplant and that I should apply for disability. Whaaat?! Now I'm really worried and anxious. Has anyone else experienced any of this. Thank you!</t>
        </is>
      </c>
      <c r="D5929" t="n">
        <v>1</v>
      </c>
      <c r="E5929" t="n">
        <v>4</v>
      </c>
      <c r="F5929">
        <f>HYPERLINK("https://www.reddit.com/r/cancer/comments/dwsix8/stem_cell_transplant_in_my_future/")</f>
        <v/>
      </c>
      <c r="G5929" t="inlineStr">
        <is>
          <t>2019-11-15 07:45:07</t>
        </is>
      </c>
      <c r="H5929" t="inlineStr"/>
    </row>
    <row r="5930">
      <c r="A5930" t="inlineStr">
        <is>
          <t>dwslnr</t>
        </is>
      </c>
      <c r="B5930" t="inlineStr">
        <is>
          <t>Had sex with a girl I’ve known for over a year and I feel bad about it</t>
        </is>
      </c>
      <c r="C5930" t="inlineStr">
        <is>
          <t>They was always attraction between us but cos of my cancer I had low self esteem and didn’t want to put any more people through the pain.
I’ve posted before I have stage 4 melanoma. Mets have returned to my brain
I pushed the girl away several months ago and she thought I hate her
I had a few drinks with friends and she was there. I’ve told her before it wasn’t true that I disliked her.
She sat next to me and one thing lead to another. We were both tipsy and next thing I’m back at my home with her in a Uber and we spend most of the night having sex.’
I really enjoyed it. I like her a lot and it felt like we was making love not not just fucking.
Now she’s saying I’m best she’s ever had and she loves me.
I feel bad cos I have an appointment on Monday and I’m not sure yet if I can continue treatment.
I feel selfish but everyone deserves love in their life’s right?
She’s only 25 and she could have anyone. She’s very attractive. Not sure why she chose me tbh
I mean I’m not bad looking but I have cancer lol</t>
        </is>
      </c>
      <c r="D5930" t="n">
        <v>1</v>
      </c>
      <c r="E5930" t="n">
        <v>13</v>
      </c>
      <c r="F5930">
        <f>HYPERLINK("https://www.reddit.com/r/cancer/comments/dwslnr/had_sex_with_a_girl_ive_known_for_over_a_year_and/")</f>
        <v/>
      </c>
      <c r="G5930" t="inlineStr">
        <is>
          <t>2019-11-15 07:50:51</t>
        </is>
      </c>
      <c r="H5930" t="inlineStr"/>
    </row>
    <row r="5931">
      <c r="A5931" t="inlineStr">
        <is>
          <t>dwsxzp</t>
        </is>
      </c>
      <c r="B5931" t="inlineStr">
        <is>
          <t>Pensi</t>
        </is>
      </c>
      <c r="C5931" t="inlineStr">
        <is>
          <t>A
Analy
Gay</t>
        </is>
      </c>
      <c r="D5931" t="n">
        <v>1</v>
      </c>
      <c r="E5931" t="n">
        <v>0</v>
      </c>
      <c r="F5931">
        <f>HYPERLINK("https://www.reddit.com/r/cancer/comments/dwsxzp/pensi/")</f>
        <v/>
      </c>
      <c r="G5931" t="inlineStr">
        <is>
          <t>2019-11-15 08:15:13</t>
        </is>
      </c>
      <c r="H5931" t="inlineStr"/>
    </row>
    <row r="5932">
      <c r="A5932" t="inlineStr">
        <is>
          <t>dwuujc</t>
        </is>
      </c>
      <c r="B5932" t="inlineStr">
        <is>
          <t>Sharing your cancer diagnosis/experience in the workplace</t>
        </is>
      </c>
      <c r="C5932" t="inlineStr">
        <is>
          <t>Hi, 2 years ago I had lymphoma and then high dose chemo/stem cell transplant.  Last year I had thyroid cancer.  Now this is behind me and everything is in remission.  I am in middle mgmt at a large company and am usually managing 20-30 people.  The people who were on my team in 2017 know my story because it was pretty obvious and I shared my diagnosis openly.  A few years later, I'm in a different team and most people don't know about my past.  I really debate a lot about sharing this.  In general, I don't want to share this including my current health challenges resulting from the cancer as I feel it looks like a 'weakness' (just being honest, even if that's kind of lame).   On the other hand, I've started to think I should use my status in the company and share openly about my diagnosis to make it easier for other people to talk about health challenges / disabilities they may have.   I think I am in a position of some privilege (director level position, long tenure in the company, ..) and I should use this to be a voice for people who are have recurring illnesses or disabilities.  Being open about this in my company might make it easier for other people to talk with their manager about their challenges.
I'm not worried about losing my job or even future opportunities.  I live in a European country and have a work contract and even have some special legal status because of my diagnosis, and I even shared my cancer story during the interview for my current team (as I transferred within the company).  
It's more just a question of what are the pros/cons of sharing my past.  I don't want people feeling sorry for me or anything like that.  It's not a fun conversation to share the pain I went through so it's not something I look forward to share with people unless there's a real reason.  But here I just wonder if sharing could be a good thing.
I'm interested to hear what others think and what experiences you may have had by sharing your diagnosis in the workplace.</t>
        </is>
      </c>
      <c r="D5932" t="n">
        <v>1</v>
      </c>
      <c r="E5932" t="n">
        <v>6</v>
      </c>
      <c r="F5932">
        <f>HYPERLINK("https://www.reddit.com/r/cancer/comments/dwuujc/sharing_your_cancer_diagnosisexperience_in_the/")</f>
        <v/>
      </c>
      <c r="G5932" t="inlineStr">
        <is>
          <t>2019-11-15 10:33:28</t>
        </is>
      </c>
      <c r="H5932" t="inlineStr"/>
    </row>
    <row r="5933">
      <c r="A5933" t="inlineStr">
        <is>
          <t>dwuvbm</t>
        </is>
      </c>
      <c r="B5933" t="inlineStr">
        <is>
          <t>Hello I’m scared</t>
        </is>
      </c>
      <c r="C5933" t="inlineStr">
        <is>
          <t>So basically, I had a spot under my armpit about 2 weeks ago. I proceeded to pop it and pus and blood came out. Turned in to a lump that the doctors have said is scar tissue. I don’t have any pain or anything there at all, just a slight redness that is getting better by the day. I have lost my appetite I don’t know if it’s from stress or what. I am autistic so my mind isn’t letting me be myself right now. I also found lumps behind my ear but the doctor said they’re fine and there’s nothing to worry about. 
Anyways, fast forwarding. My mouth is very dry but I am not thirsty or anything. I don’t know if this is a side effect from not eating. I keep feeling around my whole body and can’t stop. I keep thinking everything is swollen but I’m not sure because I haven’t felt around my body like this. 
I don’t feel poorly at all, I don’t have any sweats, sickness, nausea, fatigue and all of that stuff. I feel fine but myself won’t let me rest. 
I had psoriasis and it disappeared after a couple years but with the helps of creams. I noticed I was getting some of it back, stress related? anyway that too has also gone now. 
My question is; does this sound serious? is my mind playing tricks on me? Any help would be appreciated. I keep crying every day and I don’t know what to do. My girlfriend knows I am distant and she doesn’t know how to help me as in her eyes I’m just the same. I don’t feel or look any different to her.</t>
        </is>
      </c>
      <c r="D5933" t="n">
        <v>1</v>
      </c>
      <c r="E5933" t="n">
        <v>3</v>
      </c>
      <c r="F5933">
        <f>HYPERLINK("https://www.reddit.com/r/cancer/comments/dwuvbm/hello_im_scared/")</f>
        <v/>
      </c>
      <c r="G5933" t="inlineStr">
        <is>
          <t>2019-11-15 10:35:10</t>
        </is>
      </c>
      <c r="H5933" t="inlineStr"/>
    </row>
    <row r="5934">
      <c r="A5934" t="inlineStr">
        <is>
          <t>dwx262</t>
        </is>
      </c>
      <c r="B5934" t="inlineStr">
        <is>
          <t>My mom was just diagnosed with cancer. What do I do?</t>
        </is>
      </c>
      <c r="C5934" t="inlineStr">
        <is>
          <t>We just got a phone call that my mother has cancer I’m assuming in her breast after she went in for a check up and found a lump in her breast they then did a test on it and found out it’s cancer. Where do I go from here? I don’t think she has the best healthcare. Please help me reddit.</t>
        </is>
      </c>
      <c r="D5934" t="n">
        <v>1</v>
      </c>
      <c r="E5934" t="n">
        <v>5</v>
      </c>
      <c r="F5934">
        <f>HYPERLINK("https://www.reddit.com/r/cancer/comments/dwx262/my_mom_was_just_diagnosed_with_cancer_what_do_i_do/")</f>
        <v/>
      </c>
      <c r="G5934" t="inlineStr">
        <is>
          <t>2019-11-15 13:16:37</t>
        </is>
      </c>
      <c r="H5934" t="inlineStr"/>
    </row>
    <row r="5935">
      <c r="A5935" t="inlineStr">
        <is>
          <t>dwy8w3</t>
        </is>
      </c>
      <c r="B5935" t="inlineStr">
        <is>
          <t>Supporting my classmate by shaving my head</t>
        </is>
      </c>
      <c r="C5935" t="inlineStr">
        <is>
          <t>Hello. I'd really appreciate if someone answered me, excuse my english, it isn't my native language :)))
My mother beat cancer when I was around 7 and my father is still beating cancer [since I was 4 and now I'm 15 :) ] 
My mother had kemo and father had radiotherapy and smart medications (if that's what it's called in english), so I know the struggle
So I started high school two months ago and this girl from my class got the diagnosis (cancer of lymph modes) a month after and we weren't very close the first month of school, everyone just started to meet new people but we like started to become friends
So she started kemo in the past month and I've been in touch with her and supported her the way I could, I would text her and talk to her
And because of the kemo she started to lose hair and she is going to shave her head this sunday
So I was thinking would it be a way of support if I shaved my head too
I thought about shaving my head before because of some problems (I have trichotillomania)
It takes a lot of strenght because I'm a girl with about 40 cm of hair but I don't want to tell anyone around me if I'm not sure enough I'll do it
So I'm asking you, what do you think about it, would it mean to her and would I make other people aware of cancer and how not anyone is saved from it, that it can happen to everyone
Also I wish everyone the best and NEVER GIVE UP, everything does make sense and it's all a part of life :)) thank you</t>
        </is>
      </c>
      <c r="D5935" t="n">
        <v>1</v>
      </c>
      <c r="E5935" t="n">
        <v>28</v>
      </c>
      <c r="F5935">
        <f>HYPERLINK("https://www.reddit.com/r/cancer/comments/dwy8w3/supporting_my_classmate_by_shaving_my_head/")</f>
        <v/>
      </c>
      <c r="G5935" t="inlineStr">
        <is>
          <t>2019-11-15 14:45:27</t>
        </is>
      </c>
      <c r="H5935" t="inlineStr"/>
    </row>
    <row r="5936">
      <c r="A5936" t="inlineStr">
        <is>
          <t>dwyvvs</t>
        </is>
      </c>
      <c r="B5936" t="inlineStr">
        <is>
          <t>Just received a call from the doctor after my dad's X-ray</t>
        </is>
      </c>
      <c r="C5936" t="inlineStr">
        <is>
          <t>My dad had been coughing for almost 2 months now and decided to go see the doctor. He was prescribed a chest X-ray and the doctor called me back saying there is a 2 inch growth on his upper left lung. He's not open on the weekends, so he is going to refer him to see a lung specialist and to get a CAT scan on Monday.
I haven't told anyone other than my brother. I don't know what to do now. What scenarios should I prepare for? Should I look for a more renown lung doctor? Do I need to do something now?</t>
        </is>
      </c>
      <c r="D5936" t="n">
        <v>1</v>
      </c>
      <c r="E5936" t="n">
        <v>3</v>
      </c>
      <c r="F5936">
        <f>HYPERLINK("https://www.reddit.com/r/cancer/comments/dwyvvs/just_received_a_call_from_the_doctor_after_my/")</f>
        <v/>
      </c>
      <c r="G5936" t="inlineStr">
        <is>
          <t>2019-11-15 15:34:43</t>
        </is>
      </c>
      <c r="H5936" t="inlineStr"/>
    </row>
    <row r="5937">
      <c r="A5937" t="inlineStr">
        <is>
          <t>dx09qz</t>
        </is>
      </c>
      <c r="B5937" t="inlineStr">
        <is>
          <t>A loved one has a lump on his arm and they seem to be drawing everything out as long as possible. Is this normal?</t>
        </is>
      </c>
      <c r="C5937" t="inlineStr">
        <is>
          <t>So. Male loved one. Lump on arm. He made an appointment like a month ago, first of all. So he goes in expecting to see a doctor and instead sees a very young person with the job title "tech." I'm guessing CNA? This kid looks at the lump and says, "Yep, that's a lump. Let's make another appointment next week to see the doctor." 
WTF? How about someone has a lump and they see a doctor the same week? 
Is it standard procedure to procrastinate when it might be cancer?
TV drills it into our heads that we have to catch cancer early and then attack it right away.
I live in the USA, if that matters.</t>
        </is>
      </c>
      <c r="D5937" t="n">
        <v>1</v>
      </c>
      <c r="E5937" t="n">
        <v>11</v>
      </c>
      <c r="F5937">
        <f>HYPERLINK("https://www.reddit.com/r/cancer/comments/dx09qz/a_loved_one_has_a_lump_on_his_arm_and_they_seem/")</f>
        <v/>
      </c>
      <c r="G5937" t="inlineStr">
        <is>
          <t>2019-11-15 17:31:30</t>
        </is>
      </c>
      <c r="H5937" t="inlineStr"/>
    </row>
    <row r="5938">
      <c r="A5938" t="inlineStr">
        <is>
          <t>dx0dno</t>
        </is>
      </c>
      <c r="B5938" t="inlineStr">
        <is>
          <t>Things with my Dad are starting to look pretty bad. What do I do if he doesn't have a lot of time left?</t>
        </is>
      </c>
      <c r="C5938" t="inlineStr">
        <is>
          <t>My dad has a pretty rare (less than 1 in a million) cancer and it's very aggressive and it's been in kind of a holding pattern but at the last appointment the doctors said we may be running out of treatment options. There's another medicine they're going to try but the odds aren't great. I was wondering if anyone who has been through something like this has any insight on a couple of things:
Does anyone know of a good book or website or something about getting closure or thinks to talk about with someone who is terminally ill?
Is there anything you're glad you did or wish you did? 
I'm trying to be strong for my mom and my siblings and for him, and I've been putting off talking about "if this is it" kind of stuff with him until we know we're out of options. Should I just go ahead and talk to him?
Is there anything else that might help him or my family?
I'm just feeling really lost right now and I don't have any reference point for this. Also, just fuck cancer.</t>
        </is>
      </c>
      <c r="D5938" t="n">
        <v>1</v>
      </c>
      <c r="E5938" t="n">
        <v>13</v>
      </c>
      <c r="F5938">
        <f>HYPERLINK("https://www.reddit.com/r/cancer/comments/dx0dno/things_with_my_dad_are_starting_to_look_pretty/")</f>
        <v/>
      </c>
      <c r="G5938" t="inlineStr">
        <is>
          <t>2019-11-15 17:40:59</t>
        </is>
      </c>
      <c r="H5938" t="inlineStr"/>
    </row>
    <row r="5939">
      <c r="A5939" t="inlineStr">
        <is>
          <t>dx233g</t>
        </is>
      </c>
      <c r="B5939" t="inlineStr">
        <is>
          <t>The What if's? .. 2nd,3rd or more..</t>
        </is>
      </c>
      <c r="C5939" t="inlineStr">
        <is>
          <t>Hello everyone I hope all of you are doing well. I'm posting because I have a couple of questions for some of you out there. 
&amp;amp;#x200B;
1. Those of you whom have had cancer return for the 2nd time or more,how did you deal with the fact it came back? what were your thoughts? 
2. Did your treatments change and or become more aggressive? 
I'm asking not because the cancer returned ,but because the doc said there is a 50 % chance of it returning.. I have mild anxiety because of this and the first time I was diagnosed .</t>
        </is>
      </c>
      <c r="D5939" t="n">
        <v>1</v>
      </c>
      <c r="E5939" t="n">
        <v>8</v>
      </c>
      <c r="F5939">
        <f>HYPERLINK("https://www.reddit.com/r/cancer/comments/dx233g/the_what_ifs_2nd3rd_or_more/")</f>
        <v/>
      </c>
      <c r="G5939" t="inlineStr">
        <is>
          <t>2019-11-15 20:16:55</t>
        </is>
      </c>
      <c r="H5939" t="inlineStr"/>
    </row>
    <row r="5940">
      <c r="A5940" t="inlineStr">
        <is>
          <t>dx45j5</t>
        </is>
      </c>
      <c r="B5940" t="inlineStr">
        <is>
          <t>Has anyone here has experience/knowledge of immunotherapy treatment for cervical cancer?</t>
        </is>
      </c>
      <c r="C5940" t="inlineStr">
        <is>
          <t>My sister has been battling this thing for 2 years now. She got diagnosed when pregnant and has a premature baby at 27 weeks or so.  They encounter the mass during one of the ultrasounds, after the pregnancy she went through a hysterectomy to get rid of it at once. Months later the tumor grew back so last year she went through radiation and chemo in the middle of this, doctors performed a colostomy because of some complications, then a blood clot formed in her leg, and finally after some months things were looking up.
Now this year, again the mass is there, the doctors are now trying immunotherapy, they were supposed to combine it with chemo but she is to weak to do everything at once. 
She’s on heavy drugs because of pain and those come with problems of their own, most of her day she’s asleep and getting her to eat is becoming a struggle. (Hence the weakness) 
I guess my question/ request is if anyone has some relevant information on immunotherapy, does it work? How it works? Any success stories out here? I’m just very sad and hope this works.</t>
        </is>
      </c>
      <c r="D5940" t="n">
        <v>1</v>
      </c>
      <c r="E5940" t="n">
        <v>4</v>
      </c>
      <c r="F5940">
        <f>HYPERLINK("https://www.reddit.com/r/cancer/comments/dx45j5/has_anyone_here_has_experienceknowledge_of/")</f>
        <v/>
      </c>
      <c r="G5940" t="inlineStr">
        <is>
          <t>2019-11-16 00:10:12</t>
        </is>
      </c>
      <c r="H5940" t="inlineStr"/>
    </row>
    <row r="5941">
      <c r="A5941" t="inlineStr">
        <is>
          <t>dx4qcx</t>
        </is>
      </c>
      <c r="B5941" t="inlineStr">
        <is>
          <t>What can be done when a cancer patient won't eat?</t>
        </is>
      </c>
      <c r="C5941" t="inlineStr">
        <is>
          <t>What can be done if a cancer patient refuses to eat more than a few bites of food per day and is killing themselves through starvation?
A family member of mine refuses to eat food, but does not complain of nausea or stomach problems.  They simply complain that they "aren't hungry" and have gotten to the point that they can no longer walk without being assisted and are losing their mental faculties.</t>
        </is>
      </c>
      <c r="D5941" t="n">
        <v>1</v>
      </c>
      <c r="E5941" t="n">
        <v>8</v>
      </c>
      <c r="F5941">
        <f>HYPERLINK("https://www.reddit.com/r/cancer/comments/dx4qcx/what_can_be_done_when_a_cancer_patient_wont_eat/")</f>
        <v/>
      </c>
      <c r="G5941" t="inlineStr">
        <is>
          <t>2019-11-16 01:23:54</t>
        </is>
      </c>
      <c r="H5941" t="inlineStr"/>
    </row>
    <row r="5942">
      <c r="A5942" t="inlineStr">
        <is>
          <t>dx5z6n</t>
        </is>
      </c>
      <c r="B5942" t="inlineStr">
        <is>
          <t>A message to you caretakers out there.</t>
        </is>
      </c>
      <c r="C5942" t="inlineStr">
        <is>
          <t>I appreciate you. 
I have cancer, I had a bone marrow transplant which is said to be one of the hardest treatments you can get. 
I have lived through is nothing compared to what my wife has done for me during this time. 
I understand how hard it is to be a caretaker and I want you all to know how much you mean. And I want you to know you deserve recognition and thanks. You have it worse than the patient and the patients are flooded with sympathy and encouragement while you are left unnoticed. 
You are the true hero. We patients are just along for the ride. 
Thank you.</t>
        </is>
      </c>
      <c r="D5942" t="n">
        <v>1</v>
      </c>
      <c r="E5942" t="n">
        <v>17</v>
      </c>
      <c r="F5942">
        <f>HYPERLINK("https://www.reddit.com/r/cancer/comments/dx5z6n/a_message_to_you_caretakers_out_there/")</f>
        <v/>
      </c>
      <c r="G5942" t="inlineStr">
        <is>
          <t>2019-11-16 03:52:24</t>
        </is>
      </c>
      <c r="H5942" t="inlineStr"/>
    </row>
    <row r="5943">
      <c r="A5943" t="inlineStr">
        <is>
          <t>dx7rv2</t>
        </is>
      </c>
      <c r="B5943" t="inlineStr">
        <is>
          <t>UK jury summons - advice</t>
        </is>
      </c>
      <c r="C5943" t="inlineStr">
        <is>
          <t>TLDR: is cancer a valid excuse to not attend jury duty in the UK?
So my dad has stage 4 oesophageal cancer, it’s spread to his liver, stomach, and we’ve just found out that he has another lesion on his brain. 
Today he got a letter about being summoned for jury duty and he’s now panicking about that pressure. His mental health hasn’t been great since the diagnosis 10 months ago. 
Is cancer a valid reason to not attend jury duty? It’s likely he’ll never be in remission so I don’t think he’ll ever be able to do it. 
Thanks!</t>
        </is>
      </c>
      <c r="D5943" t="n">
        <v>1</v>
      </c>
      <c r="E5943" t="n">
        <v>7</v>
      </c>
      <c r="F5943">
        <f>HYPERLINK("https://www.reddit.com/r/cancer/comments/dx7rv2/uk_jury_summons_advice/")</f>
        <v/>
      </c>
      <c r="G5943" t="inlineStr">
        <is>
          <t>2019-11-16 06:49:47</t>
        </is>
      </c>
      <c r="H5943" t="inlineStr"/>
    </row>
    <row r="5944">
      <c r="A5944" t="inlineStr">
        <is>
          <t>dx7swr</t>
        </is>
      </c>
      <c r="B5944" t="inlineStr">
        <is>
          <t>My father may have a kidney cancer.</t>
        </is>
      </c>
      <c r="C5944" t="inlineStr">
        <is>
          <t>I'm still not sure if it is a ”cancer”, because his doctor hasn’t given us any diagnosis yet. My father (73-year-old) recently did an ultrasound and found out that his right kidney might have approx 3.5cm tumor. I and my mother was freaking out... she was so worried about if he will die from the cancer. I tried to comfort her, but at the same time I was also depressed and worried. He is the only father, and I just don't want him to suffer 
He will be going for a further diagnostic tests. Dr said that if it’s a cancerous cell then he needs to take the whole kidney out.  
What we can, for now, is just waiting, and after all those scans and checks we’ll know if it was cancer or not / possible treatment/ stage of cancer etc.Basically... we don't know anything it. 
But I feel horrible, not able to do anything for my father. 
I’d like to know: 
about how long it may take for cancer to spread from the kidney to lymph/ another part of the body?
Anyone experienced this, I'd be happy to hear your story! 
He still has appetite, and able to do his daily activities which are a very good thing. I just need to hope that my father will going to ok, and continue with fishing hobbies.</t>
        </is>
      </c>
      <c r="D5944" t="n">
        <v>1</v>
      </c>
      <c r="E5944" t="n">
        <v>0</v>
      </c>
      <c r="F5944">
        <f>HYPERLINK("https://www.reddit.com/r/cancer/comments/dx7swr/my_father_may_have_a_kidney_cancer/")</f>
        <v/>
      </c>
      <c r="G5944" t="inlineStr">
        <is>
          <t>2019-11-16 06:52:13</t>
        </is>
      </c>
      <c r="H5944" t="inlineStr"/>
    </row>
    <row r="5945">
      <c r="A5945" t="inlineStr">
        <is>
          <t>dx99p0</t>
        </is>
      </c>
      <c r="B5945" t="inlineStr">
        <is>
          <t>Any cancer specific motivational/uplifting subreddit?</t>
        </is>
      </c>
      <c r="C5945" t="inlineStr">
        <is>
          <t>So I’m in the journey of being more proactive on how to comfort and support my gf who was diagnosed with Melanoma and have been through a lot of rough emotional patches since the treatment is not necessarily responding as forecasted.
In my journey I decided that I could try to find some cancer specific motivational post on reddit that I can share with her daily. I was looking but couldn’t find much aside from regular motivation subs. I wanted to come here looking for guidance and perhaps ideas!
I would truly appreciate your input.</t>
        </is>
      </c>
      <c r="D5945" t="n">
        <v>1</v>
      </c>
      <c r="E5945" t="n">
        <v>3</v>
      </c>
      <c r="F5945">
        <f>HYPERLINK("https://www.reddit.com/r/cancer/comments/dx99p0/any_cancer_specific_motivationaluplifting/")</f>
        <v/>
      </c>
      <c r="G5945" t="inlineStr">
        <is>
          <t>2019-11-16 08:49:44</t>
        </is>
      </c>
      <c r="H5945" t="inlineStr"/>
    </row>
    <row r="5946">
      <c r="A5946" t="inlineStr">
        <is>
          <t>dxbt7g</t>
        </is>
      </c>
      <c r="B5946" t="inlineStr">
        <is>
          <t>Why sparkling water?</t>
        </is>
      </c>
      <c r="C5946" t="inlineStr">
        <is>
          <t>I’ve noticed people here talking about drinking a lot of sparkling water/bubbling water. I’m guessing cancer treatment has something to do with it. My mother drinks it _a lot_, and she’s on medications for her cancer.
I’ve told her that it seems to be popular with people who are suffering from cancer, but she doesn’t really believe me. 
So why is it that sparkling water is so appealing during this stage of life?</t>
        </is>
      </c>
      <c r="D5946" t="n">
        <v>1</v>
      </c>
      <c r="E5946" t="n">
        <v>10</v>
      </c>
      <c r="F5946">
        <f>HYPERLINK("https://www.reddit.com/r/cancer/comments/dxbt7g/why_sparkling_water/")</f>
        <v/>
      </c>
      <c r="G5946" t="inlineStr">
        <is>
          <t>2019-11-16 12:00:54</t>
        </is>
      </c>
      <c r="H5946" t="inlineStr"/>
    </row>
    <row r="5947">
      <c r="A5947" t="inlineStr">
        <is>
          <t>dxcnpe</t>
        </is>
      </c>
      <c r="B5947" t="inlineStr">
        <is>
          <t>Batteling stomack cancer</t>
        </is>
      </c>
      <c r="C5947" t="inlineStr">
        <is>
          <t>... I find out next week if I will be in " Remission". I really hope and pray the news is good and that my stomach cancer will go away.</t>
        </is>
      </c>
      <c r="D5947" t="n">
        <v>1</v>
      </c>
      <c r="E5947" t="n">
        <v>4</v>
      </c>
      <c r="F5947">
        <f>HYPERLINK("https://www.reddit.com/r/cancer/comments/dxcnpe/batteling_stomack_cancer/")</f>
        <v/>
      </c>
      <c r="G5947" t="inlineStr">
        <is>
          <t>2019-11-16 13:02:24</t>
        </is>
      </c>
      <c r="H5947" t="inlineStr"/>
    </row>
    <row r="5948">
      <c r="A5948" t="inlineStr">
        <is>
          <t>dxfedn</t>
        </is>
      </c>
      <c r="B5948" t="inlineStr">
        <is>
          <t>How long did your chemo brain last?</t>
        </is>
      </c>
      <c r="C5948" t="inlineStr">
        <is>
          <t>I had a germ cell tumor when I was 17 and received three rounds of BEP. I obviously had issues with Brain fog, but I thought it faded away. 
Well, I’m in college now and have the hardest time concentrating and paying attention. Wondering if it could still be the brain fog?? Curious about other people’s experiences. Thanks:)</t>
        </is>
      </c>
      <c r="D5948" t="n">
        <v>1</v>
      </c>
      <c r="E5948" t="n">
        <v>11</v>
      </c>
      <c r="F5948">
        <f>HYPERLINK("https://www.reddit.com/r/cancer/comments/dxfedn/how_long_did_your_chemo_brain_last/")</f>
        <v/>
      </c>
      <c r="G5948" t="inlineStr">
        <is>
          <t>2019-11-16 16:34:41</t>
        </is>
      </c>
      <c r="H5948" t="inlineStr"/>
    </row>
    <row r="5949">
      <c r="A5949" t="inlineStr">
        <is>
          <t>dxfrsg</t>
        </is>
      </c>
      <c r="B5949" t="inlineStr">
        <is>
          <t>Re: SCT Consultations - What Questions Are Important to Ask?</t>
        </is>
      </c>
      <c r="C5949" t="inlineStr">
        <is>
          <t>Greetings All,
I will be taking my Mother on 11/26 for an SCT Consultation at Mt Sinai in NYC. We will be meeting with Dr. Alla Keyzner. Dr. Mascarenhas is my Mom's MPN Specialist since March of this year. My Mother is 65, turning 66 on December 9th. Her Essential Thrombocythemia dx progressed to MPN/MDS Crossover (MDS = bone marrow failure) earlier this year after two bone marrow biopsies were completed at Mt Sinai. She has received 3 rounds of Vidaza at her local hema/onco in Stamford, CT. 
Below is a list of questions I have prepared so far:
\-Explain RIC Transplant due to my Mother's age
\-Discuss Survival rate for 65+
\-Discuss Quality of Life
\-My Mother has 4 genetic mutations: RUNX1, STAG2, SF3B1, JAK2. Higher chance of relapse b/c of this?
\-My Mother has COPD (light emphysema), mild/moderate stenosis in the carotid arteries, pre-diabetic. All of these things factor in to the co-morbidities. I know a Pulmonary Function Test will be one of the items on the to do list after the Consultation. 
\-When is the ideal timing? When is another BMB needed?
\-Medicare Insurance will cover SCT?
\-2 cats concern?
\-Discuss risk of GVHD
I will say my Mom has shared her concerns, fears &amp;amp; hesitations with me about the entire SCT process. The Vidaza has been hard on her &amp;amp; taken a toll on her body. She fears the conditioning process for the transplant, that she may not be strong enough to survive that. One doesn't have a crystal ball, it would be helpful especially in these situations. In regards to quality of life. Since the Vidaza is working (blasts are now at 0), what offers more QOL - riding it out until the hypomethylating agent treatment lasts? And then perhaps the clinical trial route? Or move forward with the SCT, knowing the risk - especially the low survival rate for that age. It's such a personal decision. And I stand behind my Mother, no matter what she decides. We both want to go to the SCT Consultation to learn as much as possible &amp;amp; to see what the HLA matching process will be like. There is a chance she isn't even eligible for the transplant. We just won't know until the appointments take place. 
I am taking her in December to meet with Dr. Raoul Tibes at NYU Langone - Perlmutter Cancer Center. He is an MDS Center of Excellence doctor. We are looking forward to meeting with him, seeking another opinion. Earlier this year in July, I took my Mom to see Dr. Gail Roboz at NY Presbyterian. She is also an MDS COE doctor. Dr. Mascarenhas is great &amp;amp; we are quite happy with him. However, his specialty is more in line with MPNs. Being that my Mom has an MPN/MDS Crossover &amp;amp; how rare that is, we find it imperative she have a local hema/onco, MPN Specialist &amp;amp; also an MDS Specialist.   
My list of questions will lengthen over the next few weeks as the appointment approaches. Anyone with any tips or suggestions as to questions I should ask would be greatly appreciated. Thank you!
PS - Below is a link. My story of being a caregiver was featured on PV Reporter. 
[https://www.pvreporter.com/mpn-caregiver-spotlight/?fbclid=IwAR3emlV8TQnZRItMDuE5jOHd906cwJkRNEEksTUGIFLMMNQIR1EQVZK8uWs](https://www.pvreporter.com/mpn-caregiver-spotlight/?fbclid=IwAR3emlV8TQnZRItMDuE5jOHd906cwJkRNEEksTUGIFLMMNQIR1EQVZK8uWs)</t>
        </is>
      </c>
      <c r="D5949" t="n">
        <v>1</v>
      </c>
      <c r="E5949" t="n">
        <v>1</v>
      </c>
      <c r="F5949">
        <f>HYPERLINK("https://www.reddit.com/r/cancer/comments/dxfrsg/re_sct_consultations_what_questions_are_important/")</f>
        <v/>
      </c>
      <c r="G5949" t="inlineStr">
        <is>
          <t>2019-11-16 17:05:29</t>
        </is>
      </c>
      <c r="H5949" t="inlineStr"/>
    </row>
    <row r="5950">
      <c r="A5950" t="inlineStr">
        <is>
          <t>dxg8ci</t>
        </is>
      </c>
      <c r="B5950" t="inlineStr">
        <is>
          <t>Is anyone else absolutely exhausted from all the negatives of cancer?</t>
        </is>
      </c>
      <c r="C5950" t="inlineStr">
        <is>
          <t>Not holding my tongue anymore. I’ve lurked here for a year or so- I’ve read and empathized with others, but I’m so tired of faking having a positive with everyone. Maybe someone here can understand. Apparently we aren’t aloud to be angry and pissed off. 
I was diagnosed with SCC a year and a half ago. I did Mitomycin C and Xeloda plus a horrid radiation treatment. Know what it cost me? Everything.
Know what I hate about having cancer more than anything else? The absolute financial ruin that decimated what’s left of your sanity and integrity. I literally hate it. 
A Middle Aged professional with a nice little apartment and just okay health insurance gets diagnosed with cancer. This after nearly a year of not feeling well and having to finally throw down with doctors to figure out what’s wrong with me. Almost all that time was spent waiting on referrals and then appointments which take forever. Once pathology had come back though, then you can get an appointment on a moments notice. 
I had three cats, a nice apartment, a decent savings and it’s all fucking gone. My life has been reduced to Raman, water and rationing eggs. That’s the face of cancer I see every day. 
I had to move from the east coast to rural Kansas because I couldn’t afford to live there any longer. Dropping two of your three cats off at the shelter because you can’t afford vet visits much less food was a real treat. I cried more over that than my diagnosis and treatment.
I’ve quit talking to family members and friends because I quite literally have nothing to say to them that isn’t an expletive. “How are you?” Oh I’m just fucking great. The radiation has left me with some pretty severe problems in my ass, want me to talk about it?
Or how about- I’m great - went to Walmart today and spent a good ten minutes debating between chicken and beef Raman and calculating tax. How was your day?
Im tired of the political bullshit surrounding healthcare. Who here thinks they should lose their home because they were unfortunate enough to get cancer? I don’t. I am so tired of it being a debate. Why is it a debate? Why is one person who has amazing insurance and a better financial situation - better than someone else who doesn’t?
I’m tired of checking the mail. I put it off as long as possible. God knows what disaster lurks within the mailbox. It’s nothing but anxiety. Oh hey it’s your insurance provider with more good news! We covered nothing of this procedure. Enjoy! 
I’ve pretty much given up dealing with specialists. 100 miles round trip isn’t just a lesson in stupidity, it’s not able to be maintained.
I feel defeated and that makes me angry. Being told it’ll be fine or it’ll get better makes me angry. Feeling impoverished makes me angry. Feeling tired all of the time makes me angry. I’m just angry and can’t stand it.
Screw the upcoming holidays. Everyone is gathering in Connecticut- too far and too much of a drive not to mention all of the other considerations. 
I’m angry and you know what? We are allowed to Be. I’m allowed to be angry. 
Cancer isn’t fun. There was no great eye opening life experience for me. I didn’t learn anything profound. 
Cancer is ruin. That’s all it is. That’s it’s job and it’s okay to be pissed I got it.</t>
        </is>
      </c>
      <c r="D5950" t="n">
        <v>1</v>
      </c>
      <c r="E5950" t="n">
        <v>43</v>
      </c>
      <c r="F5950">
        <f>HYPERLINK("https://www.reddit.com/r/cancer/comments/dxg8ci/is_anyone_else_absolutely_exhausted_from_all_the/")</f>
        <v/>
      </c>
      <c r="G5950" t="inlineStr">
        <is>
          <t>2019-11-16 17:44:08</t>
        </is>
      </c>
      <c r="H5950" t="inlineStr"/>
    </row>
    <row r="5951">
      <c r="A5951" t="inlineStr">
        <is>
          <t>dxgdxl</t>
        </is>
      </c>
      <c r="B5951" t="inlineStr">
        <is>
          <t>I Lost My Mom</t>
        </is>
      </c>
      <c r="C5951" t="inlineStr">
        <is>
          <t xml:space="preserve"> I originally posted this in another subreddit, but figured it belonged better here...
Backstory:  I am 19 years old (M) and currently in my junior year of college. I  have 1 brother (22) who graduated last year and is working on our family  farm for now. My dad was a dentist for the last 20 years but officially  sold his practice about a month ago. He ended up retiring at 50 since  he was beginning to have a lot of anxiety from work and my mother was  the office manager/bookkeeper.
So  here it goes... My mom died about a month and a half ago after being  diagnosed with stage 4 lung cancer only four months prior. It was a huge  shock to us for many reasons. First, she never smoked and very rarely  drank. Also, she had survived breast cancer about 7 years ago after  having a double mastectomy, so what are the odds that she would be  diagnosed again (this cancer was 100% not from the breast cancer  before). She was an amazing mother, wife, and person overall. She moved  here from Vietnam during the Fall of Saigon. She grew up practically  independent from a young age with very little support but managed to  attend UVA (where she met my dad) and become a pharmacist. To this day,  the only real family she ever had was us and my dad's side. I also have a  girlfriend of 4 years who was also very close with my mother.
We  kind of knew what was going to happen after she was diagnosed, but we  really had no idea it would all happen so fast. Luckily, it was during  the summer, so I was home from school and able to take care of her and  spend lots of time together. During the first month or so, I did  relatively well emotionally considering the situation and made it my  main focus to help my dad and brother (I am naturally very empathetic  and caring, probably because of my mom). This helped me keep things off  my mind as much as possible as I've been coming home each weekend to  help clean and make home-cooked meals (I love to cook and am a pretty  good one, too).
However, I am  beginning to feel everything set in a little deeper. My dad and I have a  great relationship, but I was always a Momma's boy, so she was my go-to  person in all situations. Now that she's gone, it really sucks to not  be able to share stories with or simply talk to. For example, I'm a very  good student (4.0 GPA w/ calculus and organic chemistry, 1490 SAT,  etc.) but I am very humble about it. The only person I would brag to was  my mother (and girlfriend). So when I get a good grade or anything  similar, the little piece of telling her is gone.
On  a lot of my rides home, I start thinking to myself, both good and bad.  For example, I realized recently that the worst part about it is that I  was there to witness the entire thing happen. I had to watch my mother's  life slowly decline to the point where she couldn't even stand on her  own. Also, with holidays coming up, I've realized that they are never  going to be the same. She was always the one to shop for our gifts, so I  honestly have no idea what is going to happen this year, but I know for  sure that a big part of it will be missing. There are plenty of other  things I've thought of, but it's just hard to recall them at the moment.
One  of the positive things I try to remind myself of is that we did  absolutely everything we could have done, and we never gave up on her.  She was actually able to spend her last few days at home with us.  Another thing is that she 100% knew how much we loved her and how much  she loved us till the very last day. My very last words to her were "I  love you more", which is something she started saying about a month or  two after the diagnosis. Another moment I'll never forget is when I told  her she was the perfect the mother and she told me back that I was the  perfect son, which is how our bond always was.
There's  many more things I would love to say, but it's hard to think of them  right now. I mainly just wanted to let it all out since I'm the type of  person who doesn't show emotion easily to others besides my girlfriend.  I'm also sure that others have gone through similar situations.
Thank you and I will try my best to respond to comments as often as I can.</t>
        </is>
      </c>
      <c r="D5951" t="n">
        <v>1</v>
      </c>
      <c r="E5951" t="n">
        <v>12</v>
      </c>
      <c r="F5951">
        <f>HYPERLINK("https://www.reddit.com/r/cancer/comments/dxgdxl/i_lost_my_mom/")</f>
        <v/>
      </c>
      <c r="G5951" t="inlineStr">
        <is>
          <t>2019-11-16 17:57:06</t>
        </is>
      </c>
      <c r="H5951" t="inlineStr"/>
    </row>
    <row r="5952">
      <c r="A5952" t="inlineStr">
        <is>
          <t>dxibql</t>
        </is>
      </c>
      <c r="B5952" t="inlineStr">
        <is>
          <t>My mother could have breast cancer</t>
        </is>
      </c>
      <c r="C5952" t="inlineStr">
        <is>
          <t>It’s not confirmed, unlikely, but possible. She sees the doctor again in 6 months. I feel really fucking awful right now because if she does have it, I feel like I should have been a better son. I should have listened to her, kept my grades up, and not neglected my chores. I should have been better while she was here. I should have loved her more. I know some of you probably can’t relate to my guilt but I needed to write this down where people would be supportive. I LOVE YOU MOM NO MATTER WHAT.</t>
        </is>
      </c>
      <c r="D5952" t="n">
        <v>1</v>
      </c>
      <c r="E5952" t="n">
        <v>0</v>
      </c>
      <c r="F5952">
        <f>HYPERLINK("https://www.reddit.com/r/cancer/comments/dxibql/my_mother_could_have_breast_cancer/")</f>
        <v/>
      </c>
      <c r="G5952" t="inlineStr">
        <is>
          <t>2019-11-16 20:54:41</t>
        </is>
      </c>
      <c r="H5952" t="inlineStr"/>
    </row>
    <row r="5953">
      <c r="A5953" t="inlineStr">
        <is>
          <t>dxk25r</t>
        </is>
      </c>
      <c r="B5953" t="inlineStr">
        <is>
          <t>As a family member is there anything good you heard?</t>
        </is>
      </c>
      <c r="C5953" t="inlineStr">
        <is>
          <t>All I hear when people find out is condolences and that she's gonna be okay, she's a fighter, she kicks butt, we're gonna get through this. I don't wanna be ungrateful, I appreciate the positivity, I just wish someone could say something that I would actually listen to. Did any of you ever hear something that made a difference?</t>
        </is>
      </c>
      <c r="D5953" t="n">
        <v>1</v>
      </c>
      <c r="E5953" t="n">
        <v>7</v>
      </c>
      <c r="F5953">
        <f>HYPERLINK("https://www.reddit.com/r/cancer/comments/dxk25r/as_a_family_member_is_there_anything_good_you/")</f>
        <v/>
      </c>
      <c r="G5953" t="inlineStr">
        <is>
          <t>2019-11-17 00:22:14</t>
        </is>
      </c>
      <c r="H5953" t="inlineStr"/>
    </row>
    <row r="5954">
      <c r="A5954" t="inlineStr">
        <is>
          <t>dxki7i</t>
        </is>
      </c>
      <c r="B5954" t="inlineStr">
        <is>
          <t>Lost my hair unexpectedly on folfox.</t>
        </is>
      </c>
      <c r="C5954" t="inlineStr">
        <is>
          <t>So I'm on folfox for colon cancer.  Hair loss is generally mild with it.  Mine?  Not so much.  It came out in clumps on my 3rd treatment.  And accelerated on my 4th.  I had long hair that was dyed purple.  Turned pink as I was advised that dying it during chemo was a possible issue.  
So......I disliked the depressing hair loss.  I'd lost about 1/2 with no signs of slowing, and it looked awful.   Sooo.....shaved it all off.  And I'm now rocking the bald look.  So far it's been popular with folks.  
Oncologist said she had another patient who also lost a lot on folfox.  But it was rare.  So this is my second rare side effect.  Other one was a random hiccup or two every day, which I found entertaining.   Anyone else lose a lot on folfox?  I suspect mine might be due to having dyed hair beforehand.</t>
        </is>
      </c>
      <c r="D5954" t="n">
        <v>1</v>
      </c>
      <c r="E5954" t="n">
        <v>7</v>
      </c>
      <c r="F5954">
        <f>HYPERLINK("https://www.reddit.com/r/cancer/comments/dxki7i/lost_my_hair_unexpectedly_on_folfox/")</f>
        <v/>
      </c>
      <c r="G5954" t="inlineStr">
        <is>
          <t>2019-11-17 01:21:55</t>
        </is>
      </c>
      <c r="H5954" t="inlineStr"/>
    </row>
    <row r="5955">
      <c r="A5955" t="inlineStr">
        <is>
          <t>dxlyno</t>
        </is>
      </c>
      <c r="B5955" t="inlineStr">
        <is>
          <t>Stage 4 prostate cancer - drug side effects so bad I wish I had never had treatments. Drs never warned me, and I sometimes think of suicide. I always knew sex was important but didn’t realize was most important thing in the world to me. I don’t want to keep living if it means no sex.</t>
        </is>
      </c>
      <c r="C5955" t="inlineStr">
        <is>
          <t>I have struggled mightily but am about to give up.   I was always very high libido, married 42 years to a woman who liked sex almost as much as I did.   I so love her.  We used to have sex 5-6 times a week, as recently as a year ago.  I’m 61 yo.   No sex, ever, is killing me.   My will to live is gone.  I cry all the time.   Feel like an empty shell,   No one anywhere can help.   I could stop the treatments and my testosterone would eventually return.   Fucking doctors took out my prostate before they knew I was stage IV, so now even if I got my balls back, my dick is broken and won’t ever work again.   I want to just die.   I have lost hope.  
Has anyone ever stopped Lupron treatments after only 6 months?   I hate my doctors, I don’t trust them.   I’m just a fucking widget on their assembly line.   I need sex!   Fucking doctors took it away.</t>
        </is>
      </c>
      <c r="D5955" t="n">
        <v>1</v>
      </c>
      <c r="E5955" t="n">
        <v>11</v>
      </c>
      <c r="F5955">
        <f>HYPERLINK("https://www.reddit.com/r/cancer/comments/dxlyno/stage_4_prostate_cancer_drug_side_effects_so_bad/")</f>
        <v/>
      </c>
      <c r="G5955" t="inlineStr">
        <is>
          <t>2019-11-17 04:26:21</t>
        </is>
      </c>
      <c r="H5955" t="inlineStr"/>
    </row>
    <row r="5956">
      <c r="A5956" t="inlineStr">
        <is>
          <t>dxrxpe</t>
        </is>
      </c>
      <c r="B5956" t="inlineStr">
        <is>
          <t>MIL can’t swallow food and an ultrasound showed a 10 cm mass on her esophagus. Her doctors say it looks like cancer. Will she have options?</t>
        </is>
      </c>
      <c r="C5956" t="inlineStr">
        <is>
          <t>My partner’s mom was complaining of having food getting caught after she swallowed. She went to the doc who ordered an urgent Ultrasound. It showed a 10 cm mass on her esophagus that they said has the shape and appearance of cancer. She is going for a biopsy tomorrow to confirm. 
This is incredibly devastating because my partner’s dad just passed away four years ago of the esophageal cancer. It has spread to other parts of his body by the time it was diagnosed and he lived for about 10 months. He refused surgery on the esophagus because of the other cancer. 
Just looking for what to expect for her.  My partner and I were not together when his dad died, and I don’t want to ask him too many questions about this as he is obviously really worried for his mom. He had dinner with her last night and she couldn’t even eat thin crust pizza. Google makes it look pretty hopeless...</t>
        </is>
      </c>
      <c r="D5956" t="n">
        <v>1</v>
      </c>
      <c r="E5956" t="n">
        <v>0</v>
      </c>
      <c r="F5956">
        <f>HYPERLINK("https://www.reddit.com/r/cancer/comments/dxrxpe/mil_cant_swallow_food_and_an_ultrasound_showed_a/")</f>
        <v/>
      </c>
      <c r="G5956" t="inlineStr">
        <is>
          <t>2019-11-17 12:22:06</t>
        </is>
      </c>
      <c r="H5956" t="inlineStr"/>
    </row>
    <row r="5957">
      <c r="A5957" t="inlineStr">
        <is>
          <t>dxsq4y</t>
        </is>
      </c>
      <c r="B5957" t="inlineStr">
        <is>
          <t>How did your cancer symptoms present?</t>
        </is>
      </c>
      <c r="C5957" t="inlineStr">
        <is>
          <t>Did your cancer symptoms appear overnight? Or did they more gradually get worse?
I’ll remove this question if this question is not allowed here. 
I’m trying to understand this disease.</t>
        </is>
      </c>
      <c r="D5957" t="n">
        <v>1</v>
      </c>
      <c r="E5957" t="n">
        <v>3</v>
      </c>
      <c r="F5957">
        <f>HYPERLINK("https://www.reddit.com/r/cancer/comments/dxsq4y/how_did_your_cancer_symptoms_present/")</f>
        <v/>
      </c>
      <c r="G5957" t="inlineStr">
        <is>
          <t>2019-11-17 13:16:35</t>
        </is>
      </c>
      <c r="H5957" t="inlineStr"/>
    </row>
    <row r="5958">
      <c r="A5958" t="inlineStr">
        <is>
          <t>dxt17k</t>
        </is>
      </c>
      <c r="B5958" t="inlineStr">
        <is>
          <t>My Mom Finished WBRT This Week</t>
        </is>
      </c>
      <c r="C5958" t="inlineStr">
        <is>
          <t>My Mom was diagnosed with LCNEC (Large-cell Neuroendocrine Carcinoma) back in March. Treatment for the primary tumour worked unexpectedly well but her most recent CT scan showed aggressive brain mets. This Thursday, she finished her 5 treatments of whole brain radiation therapy and was hospitalized for 3 days due to her high blood pressure, low heart rate and a lung infection.
While this whole experience has been heart-wrenching for myself (22F) and three sisters (24, 15, 14) this past week has been exceptionally hard and a wake-up call for what the coming weeks and months are going to bring. Knowing that there are no more treatment options available for her extensive brain mets and seeing how frail she has become so quickly (she is down to around 80 lbs and can no longer stand up without help) has been very scary for us all, but especially for the younger two girls but for the most part they refuse to talk about their feelings in typical teenager fashion.
I guess I really just came here to vent to a community that understands how this is all just really shitty. I barely know how to help myself through this time, let alone be there as a support for my two younger sisters who still live at home while both I and my older sister live 2-5 hours away from our family for school. They are still so young and are distancing themselves from the situation and from Mom. They stay in their rooms when not at school and find any excuse to leave the house. While I am happy they are able to spend time with friends and maintain some level of normalcy during this time, they are old enough to help my Dad with some simple house chores (dishes, laundry) instead of him holding the entire responsibility for the household AND for Mom's care. I also worry they will regret not spending more time with Mom after she passes.
I mostly just feel tired at this point. Tired from trying to balance my final year of university, dealing with the reality of what our family is going through, trying to be there for my sisters, tired from constantly being sad, tired of driving home every weekend for visits that are mostly just to help out at home and give my dad and break, and the fact that visits leave me more emotionally drained because I never know which goodbye will be the last.
I would say I can't even begin to imagine how my Mom feels, but when we had a moment alone in the hospital this week she told me that she's done. No more needles, no more chemo, no more.</t>
        </is>
      </c>
      <c r="D5958" t="n">
        <v>1</v>
      </c>
      <c r="E5958" t="n">
        <v>6</v>
      </c>
      <c r="F5958">
        <f>HYPERLINK("https://www.reddit.com/r/cancer/comments/dxt17k/my_mom_finished_wbrt_this_week/")</f>
        <v/>
      </c>
      <c r="G5958" t="inlineStr">
        <is>
          <t>2019-11-17 13:37:42</t>
        </is>
      </c>
      <c r="H5958" t="inlineStr"/>
    </row>
    <row r="5959">
      <c r="A5959" t="inlineStr">
        <is>
          <t>dxtvuz</t>
        </is>
      </c>
      <c r="B5959" t="inlineStr">
        <is>
          <t>Any advice for transitioning back home?</t>
        </is>
      </c>
      <c r="C5959" t="inlineStr">
        <is>
          <t>Hello!
My sister in law has been in the hospital for 1.5 months after surgery, a rough recovery and now two rounds of chemo and will be returning home for her third round.
Our house has two apartments, one upstairs (which is where she’d normally come back to) and a recently vacated apartment downstairs where she will need to stay since she’s not strong enough to climb the stairs safely.
We have a bed set up for her in the living room of the apartment as the only bedroom is quite cramped and gets poor light.
I wanted to see if any others on here have any advice on how to best set up the space so that she is comfortable and not feeling like she’s just in a bed in an empty apartment.
I’m thinking we will set up a tv and other seating for us to spend time with her but wanted to see what other considerations we should think about (eg privacy), especially those that might not be super intuitive as its out first time caretaking like this from home.
Thank you for any advice or tips!</t>
        </is>
      </c>
      <c r="D5959" t="n">
        <v>1</v>
      </c>
      <c r="E5959" t="n">
        <v>8</v>
      </c>
      <c r="F5959">
        <f>HYPERLINK("https://www.reddit.com/r/cancer/comments/dxtvuz/any_advice_for_transitioning_back_home/")</f>
        <v/>
      </c>
      <c r="G5959" t="inlineStr">
        <is>
          <t>2019-11-17 14:38:51</t>
        </is>
      </c>
      <c r="H5959" t="inlineStr"/>
    </row>
    <row r="5960">
      <c r="A5960" t="inlineStr">
        <is>
          <t>dxufbv</t>
        </is>
      </c>
      <c r="B5960" t="inlineStr">
        <is>
          <t>Momma passed on Tuesday</t>
        </is>
      </c>
      <c r="C5960" t="inlineStr">
        <is>
          <t>My mom passed away from stage 4 lung cancer on Tuesday the 12th. From diagnosis to death it was just over a month. I’m 27 years old, so I’m not completely dependent on my mom, but she was still the person I considered to be my best friend. She was buried yesterday. Everyone in my family and her friends all say I’m handling it so well but I personally do not think I am. Part of me wishes I could die so I could go be with my mom, but I know that’s not what she wanted for me and she would want me to live my life to the fullest with my new fiancé. Sorry I’m rambling I’m just having a very hard time coping with all this.</t>
        </is>
      </c>
      <c r="D5960" t="n">
        <v>1</v>
      </c>
      <c r="E5960" t="n">
        <v>10</v>
      </c>
      <c r="F5960">
        <f>HYPERLINK("https://www.reddit.com/r/cancer/comments/dxufbv/momma_passed_on_tuesday/")</f>
        <v/>
      </c>
      <c r="G5960" t="inlineStr">
        <is>
          <t>2019-11-17 15:19:14</t>
        </is>
      </c>
      <c r="H5960" t="inlineStr"/>
    </row>
    <row r="5961">
      <c r="A5961" t="inlineStr">
        <is>
          <t>dxwb5f</t>
        </is>
      </c>
      <c r="B5961" t="inlineStr">
        <is>
          <t>New chemo</t>
        </is>
      </c>
      <c r="C5961" t="inlineStr">
        <is>
          <t>My husband is starting a new chemo plan tomorrow. He’s been on oral chemo for awhile and tolerated it okay. This new one will be IV so he’s back at the infusion clinic. So I know he’s not going to feel well at all. It just breaks my heart. No point in this post I guess. F cancer. 💔🙁</t>
        </is>
      </c>
      <c r="D5961" t="n">
        <v>1</v>
      </c>
      <c r="E5961" t="n">
        <v>22</v>
      </c>
      <c r="F5961">
        <f>HYPERLINK("https://www.reddit.com/r/cancer/comments/dxwb5f/new_chemo/")</f>
        <v/>
      </c>
      <c r="G5961" t="inlineStr">
        <is>
          <t>2019-11-17 17:48:24</t>
        </is>
      </c>
      <c r="H5961" t="inlineStr"/>
    </row>
    <row r="5962">
      <c r="A5962" t="inlineStr">
        <is>
          <t>dxxe6q</t>
        </is>
      </c>
      <c r="B5962" t="inlineStr">
        <is>
          <t>Does anyone know how to get financial help for cancer treatment, it’s for a friend who lives in Venezuela</t>
        </is>
      </c>
      <c r="C5962" t="inlineStr">
        <is>
          <t>I’m not sure if there is any way to get help in Venezuela, the treatments are not even close to the cost in the US (where I live) but they are continuos $50, $90, $100. I can’t help her anymore, she has uterus cancer.</t>
        </is>
      </c>
      <c r="D5962" t="n">
        <v>1</v>
      </c>
      <c r="E5962" t="n">
        <v>7</v>
      </c>
      <c r="F5962">
        <f>HYPERLINK("https://www.reddit.com/r/cancer/comments/dxxe6q/does_anyone_know_how_to_get_financial_help_for/")</f>
        <v/>
      </c>
      <c r="G5962" t="inlineStr">
        <is>
          <t>2019-11-17 19:14:10</t>
        </is>
      </c>
      <c r="H5962" t="inlineStr"/>
    </row>
    <row r="5963">
      <c r="A5963" t="inlineStr">
        <is>
          <t>dxxj2r</t>
        </is>
      </c>
      <c r="B5963" t="inlineStr">
        <is>
          <t>My Nephew is Gone</t>
        </is>
      </c>
      <c r="C5963" t="inlineStr">
        <is>
          <t>He was only 10. He was supposed to have time! And then all of a sudden, he's gone. I can't believe it. I know it's true, but it doesn't feel true. I don't understand how this could happen to such a sweet little boy. He was so full of life. It's not fair and it's not ok.</t>
        </is>
      </c>
      <c r="D5963" t="n">
        <v>1</v>
      </c>
      <c r="E5963" t="n">
        <v>13</v>
      </c>
      <c r="F5963">
        <f>HYPERLINK("https://www.reddit.com/r/cancer/comments/dxxj2r/my_nephew_is_gone/")</f>
        <v/>
      </c>
      <c r="G5963" t="inlineStr">
        <is>
          <t>2019-11-17 19:25:24</t>
        </is>
      </c>
      <c r="H5963" t="inlineStr"/>
    </row>
    <row r="5964">
      <c r="A5964" t="inlineStr">
        <is>
          <t>dxz0b9</t>
        </is>
      </c>
      <c r="B5964" t="inlineStr">
        <is>
          <t>Junior Cancer Charity Ideas</t>
        </is>
      </c>
      <c r="C5964" t="inlineStr">
        <is>
          <t>I am a 19 year old daughter of a two-time cancer survivor who is also on the board of a pediatric cancer charity. My father just asked me to put together a group of younger individuals (think children of the board members, recipients, siblings, friends, etc.) to form our own "sub-charity" as he put it. He believes that it would be a nice opportunity to get the younger members of our community involved in this charity and for the recipients (on average the recipients are 13 or under) and their siblings to have a support system filled with individuals who have been through cancer themselves. 
I am 100% on board and extremely excited to found this sub-charity and I am full of ideas of how I can involve local high schoolers and middle schoolers (our charity has already held fundraising events at both of these schools), while also providing this support system for the recipients and their siblings. Our fundraising season doesn't begin until Spring, but I would like to start planning events such as socials and fundraising events now rather than last minute seeing as how I am currently out of state for university. A lot of my ideas are fundraising-related, along the lines of making arts and crafts to sell at local shops or around town, but I was wondering if anyone has any other ideas or advice they could give me. I want to make sure that I am able to offer as much as I can to these children because I know how hard this time is for them and their families.</t>
        </is>
      </c>
      <c r="D5964" t="n">
        <v>1</v>
      </c>
      <c r="E5964" t="n">
        <v>1</v>
      </c>
      <c r="F5964">
        <f>HYPERLINK("https://www.reddit.com/r/cancer/comments/dxz0b9/junior_cancer_charity_ideas/")</f>
        <v/>
      </c>
      <c r="G5964" t="inlineStr">
        <is>
          <t>2019-11-17 21:45:27</t>
        </is>
      </c>
      <c r="H5964" t="inlineStr"/>
    </row>
    <row r="5965">
      <c r="A5965" t="inlineStr">
        <is>
          <t>dxzoba</t>
        </is>
      </c>
      <c r="B5965" t="inlineStr">
        <is>
          <t>My mom cancer levels are rising</t>
        </is>
      </c>
      <c r="C5965" t="inlineStr">
        <is>
          <t>My mom has stage IV cancer and it has been the hardest thing my family has had to deal with. When she first found out her cancer level was 127 then 2 months later it was at 153 then she started chemo and now a month later they’re at 370. I don’t know what to do I feel hopeless... has  anyone been diagnosed with stage four then been cancer free? Or seen a jump in their levels after chemo? Does this mean the chemo isn’t working? I just need to understand more</t>
        </is>
      </c>
      <c r="D5965" t="n">
        <v>1</v>
      </c>
      <c r="E5965" t="n">
        <v>7</v>
      </c>
      <c r="F5965">
        <f>HYPERLINK("https://www.reddit.com/r/cancer/comments/dxzoba/my_mom_cancer_levels_are_rising/")</f>
        <v/>
      </c>
      <c r="G5965" t="inlineStr">
        <is>
          <t>2019-11-17 22:56:09</t>
        </is>
      </c>
      <c r="H5965" t="inlineStr"/>
    </row>
    <row r="5966">
      <c r="A5966" t="inlineStr">
        <is>
          <t>dy0far</t>
        </is>
      </c>
      <c r="B5966" t="inlineStr">
        <is>
          <t>Does anyone have any suggestions with what to do with a specific unused medication?</t>
        </is>
      </c>
      <c r="C5966" t="inlineStr">
        <is>
          <t>My mom received her monthly refill for her Verzenio 50mg in the mail before finding out she would not be taking it. The medication costs about $15,000 out of pocket and after experiencing how difficult it was for us financially I was wondering if there would be a way to give it to someone who needs it. I can’t phantom the idea of a month’s worth of chemo going down in the trash when some people who need it can not afford it.</t>
        </is>
      </c>
      <c r="D5966" t="n">
        <v>1</v>
      </c>
      <c r="E5966" t="n">
        <v>18</v>
      </c>
      <c r="F5966">
        <f>HYPERLINK("https://www.reddit.com/r/cancer/comments/dy0far/does_anyone_have_any_suggestions_with_what_to_do/")</f>
        <v/>
      </c>
      <c r="G5966" t="inlineStr">
        <is>
          <t>2019-11-18 00:22:42</t>
        </is>
      </c>
      <c r="H5966" t="inlineStr"/>
    </row>
    <row r="5967">
      <c r="A5967" t="inlineStr">
        <is>
          <t>dy2d3i</t>
        </is>
      </c>
      <c r="B5967" t="inlineStr">
        <is>
          <t>Mom isn’t doing well</t>
        </is>
      </c>
      <c r="C5967" t="inlineStr">
        <is>
          <t>So a little background, my mom (53) got diagnosed with Glioblastoma (stage IV brain cancer) a month ago and has gone downhill since then, obviously. I live a couple states away but went home to see her last week and she can barely speak and walk. She can’t write or drive anymore and has lost control of the right side of her body. I’ve always been super close with my mom my whole life and it just seems so unreal how much she has changed in just a matter of weeks. 
We made funeral arrangements last week too and I know she doesn’t have much longer left but I feel like I don’t know what to do. I kind of just treat her like I’ve always done and talk about the same stuff. I just feel so disconnected because she can hardly talk on the phone anymore. When I was home she asked me, “Is there anything you want to know about me before I die?” I was completely speechless. I had no idea what I didn’t know about her. I feel like I know everything about her but feel like there is still so much we haven’t gotten to experience.
So do you guys have any advice? Is there anything who wish you asked a loved one before they passed?</t>
        </is>
      </c>
      <c r="D5967" t="n">
        <v>1</v>
      </c>
      <c r="E5967" t="n">
        <v>5</v>
      </c>
      <c r="F5967">
        <f>HYPERLINK("https://www.reddit.com/r/cancer/comments/dy2d3i/mom_isnt_doing_well/")</f>
        <v/>
      </c>
      <c r="G5967" t="inlineStr">
        <is>
          <t>2019-11-18 04:08:58</t>
        </is>
      </c>
      <c r="H5967" t="inlineStr"/>
    </row>
    <row r="5968">
      <c r="A5968" t="inlineStr">
        <is>
          <t>dy4xim</t>
        </is>
      </c>
      <c r="B5968" t="inlineStr">
        <is>
          <t>Is there an alternative to colonoscopy for colon cancer testing?</t>
        </is>
      </c>
      <c r="C5968" t="inlineStr">
        <is>
          <t>Backstory/Extra Information  
My grandmother recently had two tests done, I'm not sure what they were, that were 99% positive for colon cancer. She was referred to a specialist who refuses to see her until she has a colonoscopy. She refuses to have a colonoscopy because apparently in the past she had 3 different colonoscopies and in all 3 the prep almost killed her. It made her feel violently ill and then when they went to put her under her blood pressure and heart rate would drop so low they would immediately have to bring her back. The doctor at the time said that she was having an allergic reaction to one of the ingredients in the laxative and the nurse told her that that ingredient is in all laxatives. She has dementia and it has been a nightmare trying to get information out of her for this. I'm going to call and talk to the clinic on her behalf. However, before I do I would either like to find an alternative to the colonoscopy or an alternative to the prep. She has very limited mobility and right now this clinic is her only option. She's a state away and we're waiting on an apartment to open up near me so we can move her here where I can take care of her. My father is moving close to her in January and said he'll transport her to a different clinic after he moves. Neither of them is taking this very seriously because she "doesn't feel sick." She is also saying she will refuse chemo, but I'm trying to tackle one issue at a time.
My Questions:
1. Is there an alternative to colonoscopy prep that doesn't use a laxative?
2. Is there an alternative assessment for colon cancer that isn't a colonoscopy?
3. How fast does colon cancer generally spread?</t>
        </is>
      </c>
      <c r="D5968" t="n">
        <v>1</v>
      </c>
      <c r="E5968" t="n">
        <v>1</v>
      </c>
      <c r="F5968">
        <f>HYPERLINK("https://www.reddit.com/r/cancer/comments/dy4xim/is_there_an_alternative_to_colonoscopy_for_colon/")</f>
        <v/>
      </c>
      <c r="G5968" t="inlineStr">
        <is>
          <t>2019-11-18 07:51:10</t>
        </is>
      </c>
      <c r="H5968" t="inlineStr"/>
    </row>
    <row r="5969">
      <c r="A5969" t="inlineStr">
        <is>
          <t>dy58l9</t>
        </is>
      </c>
      <c r="B5969" t="inlineStr">
        <is>
          <t>Rémission!!</t>
        </is>
      </c>
      <c r="C5969" t="inlineStr">
        <is>
          <t>I finally hit remission and it’s the best feeling ever!!!</t>
        </is>
      </c>
      <c r="D5969" t="n">
        <v>1</v>
      </c>
      <c r="E5969" t="n">
        <v>21</v>
      </c>
      <c r="F5969">
        <f>HYPERLINK("https://www.reddit.com/r/cancer/comments/dy58l9/rémission/")</f>
        <v/>
      </c>
      <c r="G5969" t="inlineStr">
        <is>
          <t>2019-11-18 08:12:45</t>
        </is>
      </c>
      <c r="H5969" t="inlineStr"/>
    </row>
    <row r="5970">
      <c r="A5970" t="inlineStr">
        <is>
          <t>dy5x7t</t>
        </is>
      </c>
      <c r="B5970" t="inlineStr">
        <is>
          <t>How do you deal with dying?</t>
        </is>
      </c>
      <c r="C5970" t="inlineStr">
        <is>
          <t>Knowing that people like me will live a long, healthy life?</t>
        </is>
      </c>
      <c r="D5970" t="n">
        <v>1</v>
      </c>
      <c r="E5970" t="n">
        <v>4</v>
      </c>
      <c r="F5970">
        <f>HYPERLINK("https://www.reddit.com/r/cancer/comments/dy5x7t/how_do_you_deal_with_dying/")</f>
        <v/>
      </c>
      <c r="G5970" t="inlineStr">
        <is>
          <t>2019-11-18 09:03:05</t>
        </is>
      </c>
      <c r="H5970" t="inlineStr"/>
    </row>
    <row r="5971">
      <c r="A5971" t="inlineStr">
        <is>
          <t>dy6byh</t>
        </is>
      </c>
      <c r="B5971" t="inlineStr">
        <is>
          <t>Platelets</t>
        </is>
      </c>
      <c r="C5971" t="inlineStr">
        <is>
          <t>I have been diagnosed with ALL and am 3 weeks into chemotherapy. My platelets have reduced continuously. Is there anything I can do or that would be suggested to particularly increase platelets? 
The doctor obviously said platelet transfusion is always there but I am skeptical about it. What has been your experience with platelet transfusion?
Considering that 2 weeks are left in phase 1 of my chemotherapy, how many times do you think I would need a transfusion?</t>
        </is>
      </c>
      <c r="D5971" t="n">
        <v>1</v>
      </c>
      <c r="E5971" t="n">
        <v>16</v>
      </c>
      <c r="F5971">
        <f>HYPERLINK("https://www.reddit.com/r/cancer/comments/dy6byh/platelets/")</f>
        <v/>
      </c>
      <c r="G5971" t="inlineStr">
        <is>
          <t>2019-11-18 09:31:28</t>
        </is>
      </c>
      <c r="H5971" t="inlineStr"/>
    </row>
    <row r="5972">
      <c r="A5972" t="inlineStr">
        <is>
          <t>dy80oa</t>
        </is>
      </c>
      <c r="B5972" t="inlineStr">
        <is>
          <t>Cancer Treatment Related Cardiac Problems</t>
        </is>
      </c>
      <c r="C5972" t="inlineStr">
        <is>
          <t>Hi there, 
Did anyone suffer cardiac related health problems after receiving cancer treatment? After my chemo and radiation I was diagnosed with Cardiac LV ejection Fraction 21%-40% (my actual percentage was 35%). Now that I’m on heart meds that’s improved, and I’ll have to be on heart meds for the rest of my life; any pregnancy I have will be high risk, too.
The meds make me slow, tired, and dizzy. I still have lingering nausea from treatment. I get extra stressed, personally, because cardiac issues killed literally everyone on my fathers side of the family, from my paternal great-grandmother onwards (she died of a heart attack at around 45). I never knew heart damage was a side effect of treatment until I had cancer. 
Additionally, my cancer, grey zone lymphoma, has a very high reoccurrence rate. I’m in remission but I’m still very much at risk for it to come back, and will be for at least another year. If it comes back the treatment would have to revolve around the damage to my heart. 
Has anyone else experienced similar issues? What helped with processing them?</t>
        </is>
      </c>
      <c r="D5972" t="n">
        <v>1</v>
      </c>
      <c r="E5972" t="n">
        <v>8</v>
      </c>
      <c r="F5972">
        <f>HYPERLINK("https://www.reddit.com/r/cancer/comments/dy80oa/cancer_treatment_related_cardiac_problems/")</f>
        <v/>
      </c>
      <c r="G5972" t="inlineStr">
        <is>
          <t>2019-11-18 11:28:12</t>
        </is>
      </c>
      <c r="H5972" t="inlineStr"/>
    </row>
    <row r="5973">
      <c r="A5973" t="inlineStr">
        <is>
          <t>dy8f3n</t>
        </is>
      </c>
      <c r="B5973" t="inlineStr">
        <is>
          <t>Just a quick ipdate, coming off my 4th folfox session</t>
        </is>
      </c>
      <c r="C5973" t="inlineStr">
        <is>
          <t>Toes are a bit tingly, occasional difficulty with fine motor shit in my fingers, drinking warm water like its going out of style, but most importantly next up is my scan, a week from today! Who’s ready for steadily increasing scanxiety? Not my husband, that’s for sure. 
So, what’s the tastiest thing you’ve eaten recently? My mom made a baked chicken dish with carrots and artichoke hearts and potatoes and egg noodles that went down real smooth.</t>
        </is>
      </c>
      <c r="D5973" t="n">
        <v>1</v>
      </c>
      <c r="E5973" t="n">
        <v>2</v>
      </c>
      <c r="F5973">
        <f>HYPERLINK("https://www.reddit.com/r/cancer/comments/dy8f3n/just_a_quick_ipdate_coming_off_my_4th_folfox/")</f>
        <v/>
      </c>
      <c r="G5973" t="inlineStr">
        <is>
          <t>2019-11-18 11:54:53</t>
        </is>
      </c>
      <c r="H5973" t="inlineStr"/>
    </row>
    <row r="5974">
      <c r="A5974" t="inlineStr">
        <is>
          <t>dybrpf</t>
        </is>
      </c>
      <c r="B5974" t="inlineStr">
        <is>
          <t>Coping After Treatment</t>
        </is>
      </c>
      <c r="C5974" t="inlineStr">
        <is>
          <t>Hey. I know this is a big topic, but I'm struggling with explaining my feelings, emotions, and physical side effects with my family since chemo is over. Most of them believe this is "all over" now that I'm done with chemo, but thats unfortunately not the case due to hormone therapy &amp;amp; maybe another surgery. I've been told I am abrasive, using a victim mentality, and am defensive. 
How do you manage your stress, anxiety, anger, and fear ?</t>
        </is>
      </c>
      <c r="D5974" t="n">
        <v>1</v>
      </c>
      <c r="E5974" t="n">
        <v>12</v>
      </c>
      <c r="F5974">
        <f>HYPERLINK("https://www.reddit.com/r/cancer/comments/dybrpf/coping_after_treatment/")</f>
        <v/>
      </c>
      <c r="G5974" t="inlineStr">
        <is>
          <t>2019-11-18 15:42:10</t>
        </is>
      </c>
      <c r="H5974" t="inlineStr"/>
    </row>
    <row r="5975">
      <c r="A5975" t="inlineStr">
        <is>
          <t>dycw4p</t>
        </is>
      </c>
      <c r="B5975" t="inlineStr">
        <is>
          <t>Struggling after cancer treatment</t>
        </is>
      </c>
      <c r="C5975" t="inlineStr">
        <is>
          <t>Does anybody feel like a totally different person after cancer treatment?  I am bipolar and am struggling several months after surgery. I heard the Judi Collins song "Clouds" the other day and realized the last line is exactly how i felt: I really don't know life at all.  Sometimes I feel kind of unhinged, getting upset about stupid things, etc.  Really upset.  But it's not all bad. I feel like I survived something very difficult, which is true.  I am in therapy and taking medication, so that's not the issue. I'd be alot worse probably if not for that.  But I would like to regain a little more equilibrium.</t>
        </is>
      </c>
      <c r="D5975" t="n">
        <v>1</v>
      </c>
      <c r="E5975" t="n">
        <v>7</v>
      </c>
      <c r="F5975">
        <f>HYPERLINK("https://www.reddit.com/r/cancer/comments/dycw4p/struggling_after_cancer_treatment/")</f>
        <v/>
      </c>
      <c r="G5975" t="inlineStr">
        <is>
          <t>2019-11-18 17:06:26</t>
        </is>
      </c>
      <c r="H5975" t="inlineStr"/>
    </row>
    <row r="5976">
      <c r="A5976" t="inlineStr">
        <is>
          <t>dyd0ze</t>
        </is>
      </c>
      <c r="B5976" t="inlineStr">
        <is>
          <t>Should we be concerned about 'next steps'? (72F, Stage 4 Esophageal)</t>
        </is>
      </c>
      <c r="C5976" t="inlineStr">
        <is>
          <t>Hi all, I'm hoping maybe someone might be able to shed some light on our situation.  My MIL had her esophagus removed about a year ago after undergoing chemo/radiation for Stage 1 Esophageal cancer.  They got it all out and scans were clean.  Then in February, things popped up and it turns out she is/was actually stage 4, with it spreading to her lungs.  Last scans done a few months ago showed tumors had grown very slightly but not aggressively.  But here's where we're a little confused...
They are not doing any kind of treatment.  Nothing.  Oncologist said that she is healthy right now so "no reason to start a treatment that will make her feel bad".  We asked about best and worst case scenarios and were given: "best- she dies from something other than cancer" and "worst-she dies from this".  My MIL is an incredibly fit, active older woman and is probably back to 80% of what she was before the surgery.  She told us from the beginning she wasn't ready to die and would fight - but now here we are...not fighting?  
Is it a normal course of treatment (or lack thereof) to *not take any steps* to keep the tumors at bay?  Should we push for further details and/or a 2nd opinion?  I have family in medicine, that were outright shocked at the lack of any kind of treatment and now I'm really questioning if we should be worried...</t>
        </is>
      </c>
      <c r="D5976" t="n">
        <v>1</v>
      </c>
      <c r="E5976" t="n">
        <v>6</v>
      </c>
      <c r="F5976">
        <f>HYPERLINK("https://www.reddit.com/r/cancer/comments/dyd0ze/should_we_be_concerned_about_next_steps_72f_stage/")</f>
        <v/>
      </c>
      <c r="G5976" t="inlineStr">
        <is>
          <t>2019-11-18 17:16:59</t>
        </is>
      </c>
      <c r="H5976" t="inlineStr"/>
    </row>
    <row r="5977">
      <c r="A5977" t="inlineStr">
        <is>
          <t>dydmhh</t>
        </is>
      </c>
      <c r="B5977" t="inlineStr">
        <is>
          <t>The Fall - Matthew Pinder (feat. Judah Tha Lion) (Official Video)</t>
        </is>
      </c>
      <c r="C5977" t="inlineStr">
        <is>
          <t>This is a two song video by a friend of mine who lost his mother to cancer last year. It's sung from her perspective and I cry every time I watch it. It really helped me understand the impact cancer can have on a person and their family.</t>
        </is>
      </c>
      <c r="D5977" t="n">
        <v>1</v>
      </c>
      <c r="E5977" t="n">
        <v>0</v>
      </c>
      <c r="F5977">
        <f>HYPERLINK("https://www.reddit.com/r/cancer/comments/dydmhh/the_fall_matthew_pinder_feat_judah_tha_lion/")</f>
        <v/>
      </c>
      <c r="G5977" t="inlineStr">
        <is>
          <t>2019-11-18 17:58:51</t>
        </is>
      </c>
      <c r="H5977" t="inlineStr"/>
    </row>
    <row r="5978">
      <c r="A5978" t="inlineStr">
        <is>
          <t>dyegj3</t>
        </is>
      </c>
      <c r="B5978" t="inlineStr">
        <is>
          <t>How do you deal with knowing that your loved one will make love to someone else as soon as you pass away?</t>
        </is>
      </c>
      <c r="C5978" t="inlineStr">
        <is>
          <t>You will be forgotten nearly instantly and another person will get to enjoy everything you’ve worked for including your kids. How do you deal with that?</t>
        </is>
      </c>
      <c r="D5978" t="n">
        <v>1</v>
      </c>
      <c r="E5978" t="n">
        <v>1</v>
      </c>
      <c r="F5978">
        <f>HYPERLINK("https://www.reddit.com/r/cancer/comments/dyegj3/how_do_you_deal_with_knowing_that_your_loved_one/")</f>
        <v/>
      </c>
      <c r="G5978" t="inlineStr">
        <is>
          <t>2019-11-18 19:03:58</t>
        </is>
      </c>
      <c r="H5978" t="inlineStr"/>
    </row>
    <row r="5979">
      <c r="A5979" t="inlineStr">
        <is>
          <t>dyes44</t>
        </is>
      </c>
      <c r="B5979" t="inlineStr">
        <is>
          <t>Do insurance companies/oncologists test for thc?</t>
        </is>
      </c>
      <c r="C5979" t="inlineStr">
        <is>
          <t>Mom is 71, just diagnosed with stage 4 pancreatic cancer. She can't eat without vomiting. She's on fentanyl patches and still in complete agony. My brother suggested "special cookies" but my mom is afraid if she were tested that she'd lose her insurance coverage.  I also read thc is bad for cancer.  Any input? Sorry I'm just very lost, scared,  and sad.  Thank you</t>
        </is>
      </c>
      <c r="D5979" t="n">
        <v>1</v>
      </c>
      <c r="E5979" t="n">
        <v>33</v>
      </c>
      <c r="F5979">
        <f>HYPERLINK("https://www.reddit.com/r/cancer/comments/dyes44/do_insurance_companiesoncologists_test_for_thc/")</f>
        <v/>
      </c>
      <c r="G5979" t="inlineStr">
        <is>
          <t>2019-11-18 19:30:27</t>
        </is>
      </c>
      <c r="H5979" t="inlineStr"/>
    </row>
    <row r="5980">
      <c r="A5980" t="inlineStr">
        <is>
          <t>dyf2b9</t>
        </is>
      </c>
      <c r="B5980" t="inlineStr">
        <is>
          <t>Help?</t>
        </is>
      </c>
      <c r="C5980" t="inlineStr">
        <is>
          <t>About a week ago my mother had one large dose of radiation to help get rid of 3 small tumours in the brain she also has a tumour on the lung which they thought was small cell at first but luckily it’s not, back to the point of the post she had treatment last Monday and about Friday she started losing her voice we were warned of side effects but didn’t expect it to be this severe, she can’t get comfortable and she literally cannot speak and when she tries it’s usually a harsh voice (not like her normal voice whatsoever) she cannot swallow properly either and her cough sounds TERRIBLE, I’m scared for her I don’t know how to help her or make her feel better and idk how long this will last, can someone just give me a bit of advice? It’ll be greatly appreciated &amp;lt;3</t>
        </is>
      </c>
      <c r="D5980" t="n">
        <v>1</v>
      </c>
      <c r="E5980" t="n">
        <v>5</v>
      </c>
      <c r="F5980">
        <f>HYPERLINK("https://www.reddit.com/r/cancer/comments/dyf2b9/help/")</f>
        <v/>
      </c>
      <c r="G5980" t="inlineStr">
        <is>
          <t>2019-11-18 19:54:39</t>
        </is>
      </c>
      <c r="H5980" t="inlineStr"/>
    </row>
    <row r="5981">
      <c r="A5981" t="inlineStr">
        <is>
          <t>dyhrmk</t>
        </is>
      </c>
      <c r="B5981" t="inlineStr">
        <is>
          <t>Can my mother have cataract surgery while undergoing chemotherapy?</t>
        </is>
      </c>
      <c r="C5981" t="inlineStr">
        <is>
          <t>my mom has stage 4 stomach cancer and is undergoing treatment with ramucirumab and paclitaxel. Is it safe for her to remove her cataract while going for treatment? the optometrist mention that there is a higher risk for her to get an infection and possibly go blind. The oncologist suggested her not to go through the surgery, but my mom'd rather have a good quality of life if it's her last few months. But I'm worried that the surgery might not go well and deteriorate her life more. What are the chances that the surgery will not go well? If you or someone you know have undergo cataract surgery while on treatment please let me know how it went.</t>
        </is>
      </c>
      <c r="D5981" t="n">
        <v>1</v>
      </c>
      <c r="E5981" t="n">
        <v>1</v>
      </c>
      <c r="F5981">
        <f>HYPERLINK("https://www.reddit.com/r/cancer/comments/dyhrmk/can_my_mother_have_cataract_surgery_while/")</f>
        <v/>
      </c>
      <c r="G5981" t="inlineStr">
        <is>
          <t>2019-11-19 00:37:25</t>
        </is>
      </c>
      <c r="H5981" t="inlineStr"/>
    </row>
    <row r="5982">
      <c r="A5982" t="inlineStr">
        <is>
          <t>dyiip6</t>
        </is>
      </c>
      <c r="B5982" t="inlineStr">
        <is>
          <t>What to expect after Esophagal cancer?</t>
        </is>
      </c>
      <c r="C5982" t="inlineStr">
        <is>
          <t>My dad was diagnosed in Feb this year. Had surgery (1/18 nodes positive) and 12 rounds of chemo. Latest scan shows that he's NED. I've seen the stats though and am aware that esophageal cancer has afairly high recurrence rate. 
Not sure what to expect now. I'm happy that thongs are ok right now but I can't help but feel alittle afraid too.
To those who have been through this or know someone else who had, can yoy share some insight on what your experience has been like and what to expect?
Thanks and best of luck to everyone here.</t>
        </is>
      </c>
      <c r="D5982" t="n">
        <v>1</v>
      </c>
      <c r="E5982" t="n">
        <v>5</v>
      </c>
      <c r="F5982">
        <f>HYPERLINK("https://www.reddit.com/r/cancer/comments/dyiip6/what_to_expect_after_esophagal_cancer/")</f>
        <v/>
      </c>
      <c r="G5982" t="inlineStr">
        <is>
          <t>2019-11-19 02:07:33</t>
        </is>
      </c>
      <c r="H5982" t="inlineStr"/>
    </row>
    <row r="5983">
      <c r="A5983" t="inlineStr">
        <is>
          <t>dyjen8</t>
        </is>
      </c>
      <c r="B5983" t="inlineStr">
        <is>
          <t>My mom has non-Hodgkins lymphoma, and after 7 years of “watch and wait”, I think it’s go time.</t>
        </is>
      </c>
      <c r="C5983" t="inlineStr">
        <is>
          <t>Hi everyone. Like the title says, after 7 years of watching and waiting, she has finally started to show symptoms (night sweats and a lump in her neck)
We’re waiting to hear what her treatment will be. As I’m sure you all know, waiting is the worst part. 
I’m absolutely terrified, so is she. I guess I’m just looking for some support, maybe if I could hear other successful treatment stories it could ease this pain. We’ve had the “let’s do this” talk. 
And I plan to be there with her the entire step of the way. 
Interesting side note; my mom and her best friend have been best friends for 58 years, and her friend is going through chemo for Hodgkin’s lymphoma right now. I told them they don’t have to do EVERYTHING together, sheesh.</t>
        </is>
      </c>
      <c r="D5983" t="n">
        <v>1</v>
      </c>
      <c r="E5983" t="n">
        <v>13</v>
      </c>
      <c r="F5983">
        <f>HYPERLINK("https://www.reddit.com/r/cancer/comments/dyjen8/my_mom_has_nonhodgkins_lymphoma_and_after_7_years/")</f>
        <v/>
      </c>
      <c r="G5983" t="inlineStr">
        <is>
          <t>2019-11-19 03:50:16</t>
        </is>
      </c>
      <c r="H5983" t="inlineStr"/>
    </row>
    <row r="5984">
      <c r="A5984" t="inlineStr">
        <is>
          <t>dyjqle</t>
        </is>
      </c>
      <c r="B5984" t="inlineStr">
        <is>
          <t>Stomach cancer bile reflux rant</t>
        </is>
      </c>
      <c r="C5984" t="inlineStr">
        <is>
          <t>Screw cancer and it's unpredictable ups and downs. I just got parasentesis Thursday to relieve some pressure and thought it would be routine. I have been eating and drinking normally up to then. Since Friday though its been nonstop bloating and bile reflux, unable to keep food or drink down at all. Here I am waking up every two hours to puke bile, otherwise it's just a sensation of liquid going back up my esophagus. And I've got chemo in the morning. Just end me already.</t>
        </is>
      </c>
      <c r="D5984" t="n">
        <v>1</v>
      </c>
      <c r="E5984" t="n">
        <v>4</v>
      </c>
      <c r="F5984">
        <f>HYPERLINK("https://www.reddit.com/r/cancer/comments/dyjqle/stomach_cancer_bile_reflux_rant/")</f>
        <v/>
      </c>
      <c r="G5984" t="inlineStr">
        <is>
          <t>2019-11-19 04:24:13</t>
        </is>
      </c>
      <c r="H5984" t="inlineStr"/>
    </row>
    <row r="5985">
      <c r="A5985" t="inlineStr">
        <is>
          <t>dyju81</t>
        </is>
      </c>
      <c r="B5985" t="inlineStr">
        <is>
          <t>Dad Just Found Out He Has Stage 4 Melanoma</t>
        </is>
      </c>
      <c r="C5985" t="inlineStr">
        <is>
          <t>He had a biopsy a week or so ago and it came back stage 4 Melanoma. I didn't know they could determine it's stage 4 without a full body scan. He has an appointment with a cancer doctor next week. He hasn't been feeling well for awhile. I'm honestly just confused and scared. For context he has had 2 Mohs procedures and about 20 cancerous spots removed.</t>
        </is>
      </c>
      <c r="D5985" t="n">
        <v>1</v>
      </c>
      <c r="E5985" t="n">
        <v>14</v>
      </c>
      <c r="F5985">
        <f>HYPERLINK("https://www.reddit.com/r/cancer/comments/dyju81/dad_just_found_out_he_has_stage_4_melanoma/")</f>
        <v/>
      </c>
      <c r="G5985" t="inlineStr">
        <is>
          <t>2019-11-19 04:34:16</t>
        </is>
      </c>
      <c r="H5985" t="inlineStr"/>
    </row>
    <row r="5986">
      <c r="A5986" t="inlineStr">
        <is>
          <t>dyjubs</t>
        </is>
      </c>
      <c r="B5986" t="inlineStr">
        <is>
          <t>Blood cancer/multiple myeloma screening -- why screen for cancer??</t>
        </is>
      </c>
      <c r="C5986" t="inlineStr">
        <is>
          <t>As someone with a large family history of cancer (7+ members), I'm eager to participate in screenings to see if I'm at risk for anything. I've seen too many aunts/grandparents/siblings struggle with late stage treatment, so it's important to me that I get screened, particularly for blood cancers... I know that some people would rather not know, but i always felt that the unknown was scarier than knowing early
With this being said, there seems to be a new screening study from the Dana Farber Cancer Institute that lets people screen for blood cancers for free. Its called the PROMISE Study and my whole family is participating because family members of patients are eligible and the screening involves a kit that is sent to your house (i.e. no travel). The website is www.enroll.promisestudy.org
Has anyone heard of this study? I'm eager to join, but wanted to gather some facts first... It seems like a great opportunity for my personal medical history, but I hadn't heard of it until recently so I thought I'd ask. 
Also, any thoughts on screening? I'm always interested in talking with fellow caregivers about why they chose to screen or not. 
Sorry for the ramble-- thanks everyone!!</t>
        </is>
      </c>
      <c r="D5986" t="n">
        <v>1</v>
      </c>
      <c r="E5986" t="n">
        <v>0</v>
      </c>
      <c r="F5986">
        <f>HYPERLINK("https://www.reddit.com/r/cancer/comments/dyjubs/blood_cancermultiple_myeloma_screening_why_screen/")</f>
        <v/>
      </c>
      <c r="G5986" t="inlineStr">
        <is>
          <t>2019-11-19 04:34:33</t>
        </is>
      </c>
      <c r="H5986" t="inlineStr"/>
    </row>
    <row r="5987">
      <c r="A5987" t="inlineStr">
        <is>
          <t>dyl0l3</t>
        </is>
      </c>
      <c r="B5987" t="inlineStr">
        <is>
          <t>Adenoid Cystic Carcinoma</t>
        </is>
      </c>
      <c r="C5987" t="inlineStr">
        <is>
          <t>My Dad was diagnosed with Adenoid Cystic Carcinoma back in October. To this day, it has spread up into his sinus and is pushing on his inner ear. What they first thought was just removing a few teeth and the roof of his mouth, has now turned into them removing his nose and basically his face. He said the tumor feels like having a second tongue in his mouth. They are moving quickly, but it seems like the cancer is moving quicker.
We had dinner together the other night  and he unloaded a lot of his feelings about the situation. He makes a lot of jokes about it, and it seems to keep his spirits up, but he mentioned that hes missing a lot of work because hes crying all the time. It's hard to see someone I've NEVER seen cry before, cry. I keep positive for him as much as I can, and dont offer advice, but listen when he needs to vent. 
I just dont know how to help him, or myself (as selfish as that is right now), deal with this. What are the next few months going to look like for us?</t>
        </is>
      </c>
      <c r="D5987" t="n">
        <v>1</v>
      </c>
      <c r="E5987" t="n">
        <v>9</v>
      </c>
      <c r="F5987">
        <f>HYPERLINK("https://www.reddit.com/r/cancer/comments/dyl0l3/adenoid_cystic_carcinoma/")</f>
        <v/>
      </c>
      <c r="G5987" t="inlineStr">
        <is>
          <t>2019-11-19 06:20:43</t>
        </is>
      </c>
      <c r="H5987" t="inlineStr"/>
    </row>
    <row r="5988">
      <c r="A5988" t="inlineStr">
        <is>
          <t>dym6fe</t>
        </is>
      </c>
      <c r="B5988" t="inlineStr">
        <is>
          <t>Is it possible to have cervical cancer after normal paps? (Irregular bleeding - doc doesn’t know why)</t>
        </is>
      </c>
      <c r="C5988" t="inlineStr">
        <is>
          <t>Bear with me:
I’ve had irregular bleeding between periods for two months. First, i got a full second period in the middle of my cycle. The next month, I’m spotting literally every single day of the month. I went to my primary and did the following:
Pregnancy test
Uti test
stds/bv tests
Pelvic mri
Pelvic ultrasound 
Full bloodwork including hormone tests
Everything came back negative and unremarkable. I am a 28 year old woman wirh no other health issues besides some acne and hair loss (I really thought this was hormonal). I also have very painful periods, but this has been the case since I was a teenager. Sometimes sex hurts, but I don’t bleed after it.
My last pap was in June and it was normal. No HPV. 
However, I did need two LEEP procedures into the past (2014 and 2015). Since then, my paps have been normal. I am in a monogamous relationship. 
Could I have cervical or another gynecological cancer? When I needed the first Leep, I literally had a clear pap a year before and in one year it progressed to CIN3!! I am so careful about paps yet that still happened.
My pcp and gyno needed a lot of pushing to do these tests and they just told me to “watch it” but this much bleeding cannot be normal???</t>
        </is>
      </c>
      <c r="D5988" t="n">
        <v>1</v>
      </c>
      <c r="E5988" t="n">
        <v>0</v>
      </c>
      <c r="F5988">
        <f>HYPERLINK("https://www.reddit.com/r/cancer/comments/dym6fe/is_it_possible_to_have_cervical_cancer_after/")</f>
        <v/>
      </c>
      <c r="G5988" t="inlineStr">
        <is>
          <t>2019-11-19 07:50:18</t>
        </is>
      </c>
      <c r="H5988" t="inlineStr"/>
    </row>
    <row r="5989">
      <c r="A5989" t="inlineStr">
        <is>
          <t>dymk98</t>
        </is>
      </c>
      <c r="B5989" t="inlineStr">
        <is>
          <t>FUCK CANCER!!!</t>
        </is>
      </c>
      <c r="C5989" t="inlineStr">
        <is>
          <t>FUCK YOU CANCER!!!</t>
        </is>
      </c>
      <c r="D5989" t="n">
        <v>1</v>
      </c>
      <c r="E5989" t="n">
        <v>26</v>
      </c>
      <c r="F5989">
        <f>HYPERLINK("https://www.reddit.com/r/cancer/comments/dymk98/fuck_cancer/")</f>
        <v/>
      </c>
      <c r="G5989" t="inlineStr">
        <is>
          <t>2019-11-19 08:17:52</t>
        </is>
      </c>
      <c r="H5989" t="inlineStr"/>
    </row>
    <row r="5990">
      <c r="A5990" t="inlineStr">
        <is>
          <t>dyonuj</t>
        </is>
      </c>
      <c r="B5990" t="inlineStr">
        <is>
          <t>Has anyone refused chemo treatment after their operation?</t>
        </is>
      </c>
      <c r="C5990" t="inlineStr">
        <is>
          <t>My operation went well and the sugeon told me she got all the cancer out.  But Im still expected to go to this cancer place. I havent gone but I suspect its to begin chemo therapy.  I dont want to do it. The side effects are horrible I hear.  
Has anyone refused the chemo therapy and how did it work out for you?</t>
        </is>
      </c>
      <c r="D5990" t="n">
        <v>1</v>
      </c>
      <c r="E5990" t="n">
        <v>16</v>
      </c>
      <c r="F5990">
        <f>HYPERLINK("https://www.reddit.com/r/cancer/comments/dyonuj/has_anyone_refused_chemo_treatment_after_their/")</f>
        <v/>
      </c>
      <c r="G5990" t="inlineStr">
        <is>
          <t>2019-11-19 10:45:00</t>
        </is>
      </c>
      <c r="H5990" t="inlineStr"/>
    </row>
    <row r="5991">
      <c r="A5991" t="inlineStr">
        <is>
          <t>dypl97</t>
        </is>
      </c>
      <c r="B5991" t="inlineStr">
        <is>
          <t>Recommendation for an European hospital specializing in prostate cancer and urology</t>
        </is>
      </c>
      <c r="C5991" t="inlineStr">
        <is>
          <t>Dear all,
My father was diagnosed with a prostate cancer more than a year ago. After a year of mishaps and mistreatment, his condition is pretty bad. He started relatively healthy and mobile.
Now, his health is extremely fragile -- has two catheters (in urethra and stoma from the left kidney, while the right one got botched), kidneys on a verge of a total failure, and psychologically failing. This Friday we're taking him for the first checkup before the radiation starts. The checkup was pending on removal of seminal sacs, which was pending on hyponatremia... He spent a lot of time in hospitals while his health only turned to worse and he suffered a lot.
Long story short, this Friday we'll find out when his radiation will start. Since he lives in Serbia and the medical system there is quite overloaded, I'm afraid it will take a lot of time, and his kidneys might completely fail. I also regret not taking better steps earlier. Thus, I'd like to move him to a better hospital in Europe where he would receive proper treatment and avoid wasting time, hopefully saving his kidneys and getting rid of the prostate cancer.
Does anyone knows good hospitals in Europe (preferably close to Serbia) that are specialized in urology/nephrology (would like to save his kidneys if possible and remove catheters) and are good in treating prostate cancer.
Thank you!</t>
        </is>
      </c>
      <c r="D5991" t="n">
        <v>1</v>
      </c>
      <c r="E5991" t="n">
        <v>2</v>
      </c>
      <c r="F5991">
        <f>HYPERLINK("https://www.reddit.com/r/cancer/comments/dypl97/recommendation_for_an_european_hospital/")</f>
        <v/>
      </c>
      <c r="G5991" t="inlineStr">
        <is>
          <t>2019-11-19 11:46:29</t>
        </is>
      </c>
      <c r="H5991" t="inlineStr"/>
    </row>
    <row r="5992">
      <c r="A5992" t="inlineStr">
        <is>
          <t>dypydr</t>
        </is>
      </c>
      <c r="B5992" t="inlineStr">
        <is>
          <t>Weight gain</t>
        </is>
      </c>
      <c r="C5992" t="inlineStr">
        <is>
          <t>Can cancer cause not gaining weight?</t>
        </is>
      </c>
      <c r="D5992" t="n">
        <v>1</v>
      </c>
      <c r="E5992" t="n">
        <v>4</v>
      </c>
      <c r="F5992">
        <f>HYPERLINK("https://www.reddit.com/r/cancer/comments/dypydr/weight_gain/")</f>
        <v/>
      </c>
      <c r="G5992" t="inlineStr">
        <is>
          <t>2019-11-19 12:10:13</t>
        </is>
      </c>
      <c r="H5992" t="inlineStr"/>
    </row>
    <row r="5993">
      <c r="A5993" t="inlineStr">
        <is>
          <t>dyq48g</t>
        </is>
      </c>
      <c r="B5993" t="inlineStr">
        <is>
          <t>Third time</t>
        </is>
      </c>
      <c r="C5993" t="inlineStr">
        <is>
          <t>It's not me but my mother. She was diagnosed with a tumor in her right arm after a scan. A scan that was supposed to check if the lung tumor she is treating had, indeed, diminished in size (it did).
And some years before this she battled a intestine cancer and, thankfully, won. 
My sister is loosing her patience with me because I'm borderline freaking out. I'm tired and scared and don't want to see her go through the chemo and surgery again.
It's in the bone and I was told it IS treatable but I'm still so damn scared.
Any advice on how to stay calm?</t>
        </is>
      </c>
      <c r="D5993" t="n">
        <v>1</v>
      </c>
      <c r="E5993" t="n">
        <v>3</v>
      </c>
      <c r="F5993">
        <f>HYPERLINK("https://www.reddit.com/r/cancer/comments/dyq48g/third_time/")</f>
        <v/>
      </c>
      <c r="G5993" t="inlineStr">
        <is>
          <t>2019-11-19 12:21:14</t>
        </is>
      </c>
      <c r="H5993" t="inlineStr"/>
    </row>
    <row r="5994">
      <c r="A5994" t="inlineStr">
        <is>
          <t>dyqthd</t>
        </is>
      </c>
      <c r="B5994" t="inlineStr">
        <is>
          <t>Treatments aren’t working</t>
        </is>
      </c>
      <c r="C5994" t="inlineStr">
        <is>
          <t>Yesterday my grandpa’s oncologist told him that the immunotherapy and radiation treatments he has been going through aren’t working. The cancer just keeps developing. To make matters worse, he just had a surgery on his spine to reduce the pressure on his nerves for two new tumors. This means he will have absolutely no treatment at all while he is healing.
The future looks so bleak. I’m trying to be positive but how can I be? My gramps is still in good spirits but I can’t help but think he’s just telling us what we want to hear. I’m so crushed you guys. I can’t keep it together. The last thing I want is for him to be in pain. He can’t walk anymore. He can’t do the things he loves to do. 
My heart just breaks every time I go see him even though I want to spend as much time with him as I possibly can. To make matters worse I am in my final semester of college and I’m doing absolutely terribly in all of my classes. Please take me out of this hell that I’m in. Why couldn’t God just give me the cancer? Not my beautiful grandpa. 
Man, fuck life. So often I just want to give up.</t>
        </is>
      </c>
      <c r="D5994" t="n">
        <v>2</v>
      </c>
      <c r="E5994" t="n">
        <v>1</v>
      </c>
      <c r="F5994">
        <f>HYPERLINK("https://www.reddit.com/r/cancer/comments/dyqthd/treatments_arent_working/")</f>
        <v/>
      </c>
      <c r="G5994" t="inlineStr">
        <is>
          <t>2019-11-19 13:08:01</t>
        </is>
      </c>
      <c r="H5994" t="inlineStr"/>
    </row>
    <row r="5995">
      <c r="A5995" t="inlineStr">
        <is>
          <t>dyr3qc</t>
        </is>
      </c>
      <c r="B5995" t="inlineStr">
        <is>
          <t>Terrified for biopsy</t>
        </is>
      </c>
      <c r="C5995" t="inlineStr">
        <is>
          <t>I apologize in advance if this isn't the right place for this. I just got a call about an hour ago and don't want to scare my friends or family or boyfriend so I'm coming here. If this isn't appropriate please remove.
I went in to my regular doctor for a checkup on my antidepressant as I was out of refills. We got through that in just a couple minutes (I've been on it for over a year, it's all routine at this point) and the nurse noticed I hadn't had a physical this year, so we went ahead and did it right then. Everything was fine but as a female, physicals of course include pap smears. I hadn't heard anything about results for over a week so I stopped thinking about it. Today, I spoke with one of my doctor's nurses. The tests showed abnormal cells that are HPV-positive and I'm headed in on December 4 for a biopsy.
The thing is, I've had some pains come and go in my abdomen, near the appendix area. I brought it to the attention of my doctor about a year ago and we came to the conclusion that I was lacking fiber in my diet. I didn't care about what I ate at the time (have since cleaned that up) but that's what I've been figuring it was since then.. now I believe otherwise.
I might just sound paranoid, but I'm really scared, and really hoping that someone can offer some support or wise words. If anyone is able to do so, I thank you so very much.
Edited to add: I'm only 25. I turn 26 in a few short weeks, and I've been blessed to be on my parents' health insurance.. but now the law is I have to get my own, which scares me even more because I literally can't afford to have cancer. Who can?</t>
        </is>
      </c>
      <c r="D5995" t="n">
        <v>1</v>
      </c>
      <c r="E5995" t="n">
        <v>8</v>
      </c>
      <c r="F5995">
        <f>HYPERLINK("https://www.reddit.com/r/cancer/comments/dyr3qc/terrified_for_biopsy/")</f>
        <v/>
      </c>
      <c r="G5995" t="inlineStr">
        <is>
          <t>2019-11-19 13:26:50</t>
        </is>
      </c>
      <c r="H5995" t="inlineStr"/>
    </row>
    <row r="5996">
      <c r="A5996" t="inlineStr">
        <is>
          <t>dyrz75</t>
        </is>
      </c>
      <c r="B5996" t="inlineStr">
        <is>
          <t>Online 2nd opinion recomendation</t>
        </is>
      </c>
      <c r="C5996" t="inlineStr">
        <is>
          <t>Hi everyone, is there online 2nd opinion diagnosis service you recommend. Appreciated.</t>
        </is>
      </c>
      <c r="D5996" t="n">
        <v>0</v>
      </c>
      <c r="E5996" t="n">
        <v>9</v>
      </c>
      <c r="F5996">
        <f>HYPERLINK("https://www.reddit.com/r/cancer/comments/dyrz75/online_2nd_opinion_recomendation/")</f>
        <v/>
      </c>
      <c r="G5996" t="inlineStr">
        <is>
          <t>2019-11-19 14:25:04</t>
        </is>
      </c>
      <c r="H5996" t="inlineStr"/>
    </row>
    <row r="5997">
      <c r="A5997" t="inlineStr">
        <is>
          <t>dys8pe</t>
        </is>
      </c>
      <c r="B5997" t="inlineStr">
        <is>
          <t>364 days cancer free and then a then a phone call to say it’s back</t>
        </is>
      </c>
      <c r="C5997" t="inlineStr">
        <is>
          <t>Here we go again</t>
        </is>
      </c>
      <c r="D5997" t="n">
        <v>2</v>
      </c>
      <c r="E5997" t="n">
        <v>11</v>
      </c>
      <c r="F5997">
        <f>HYPERLINK("https://www.reddit.com/r/cancer/comments/dys8pe/364_days_cancer_free_and_then_a_then_a_phone_call/")</f>
        <v/>
      </c>
      <c r="G5997" t="inlineStr">
        <is>
          <t>2019-11-19 14:43:08</t>
        </is>
      </c>
      <c r="H5997" t="inlineStr"/>
    </row>
    <row r="5998">
      <c r="A5998" t="inlineStr">
        <is>
          <t>dyvg0b</t>
        </is>
      </c>
      <c r="B5998" t="inlineStr">
        <is>
          <t>Remission Aftermath</t>
        </is>
      </c>
      <c r="C5998" t="inlineStr">
        <is>
          <t>My dad has brain cancer and went through numerous amount of brain surgeries. Finally he was placed into remission for god knows how long, but he is still depressed and quiet. He is a 60 year old man, and all he does is sleep on the couch and open his eyes now and then and looks around the room and goes back to sleep. He doesn't smile or talk at all anymore. He is dead silent nowadays, is it old age or why is he still depressed after remission?</t>
        </is>
      </c>
      <c r="D5998" t="n">
        <v>1</v>
      </c>
      <c r="E5998" t="n">
        <v>2</v>
      </c>
      <c r="F5998">
        <f>HYPERLINK("https://www.reddit.com/r/cancer/comments/dyvg0b/remission_aftermath/")</f>
        <v/>
      </c>
      <c r="G5998" t="inlineStr">
        <is>
          <t>2019-11-19 18:42:41</t>
        </is>
      </c>
      <c r="H5998" t="inlineStr"/>
    </row>
    <row r="5999">
      <c r="A5999" t="inlineStr">
        <is>
          <t>dyvtpx</t>
        </is>
      </c>
      <c r="B5999" t="inlineStr">
        <is>
          <t>Can you sell a cancerous testicle?</t>
        </is>
      </c>
      <c r="C5999" t="inlineStr">
        <is>
          <t>Can it be patched up and sold for 30k or am I hosed?</t>
        </is>
      </c>
      <c r="D5999" t="n">
        <v>1</v>
      </c>
      <c r="E5999" t="n">
        <v>2</v>
      </c>
      <c r="F5999">
        <f>HYPERLINK("https://www.reddit.com/r/cancer/comments/dyvtpx/can_you_sell_a_cancerous_testicle/")</f>
        <v/>
      </c>
      <c r="G5999" t="inlineStr">
        <is>
          <t>2019-11-19 19:12:25</t>
        </is>
      </c>
      <c r="H5999" t="inlineStr"/>
    </row>
    <row r="6000">
      <c r="A6000" t="inlineStr">
        <is>
          <t>dywf2g</t>
        </is>
      </c>
      <c r="B6000" t="inlineStr">
        <is>
          <t>Looking for perspective</t>
        </is>
      </c>
      <c r="C6000" t="inlineStr">
        <is>
          <t>My mom has been diagnosed with breast cancer twice, both when I was younger. I didn’t really understand what was happening as I was only a toddler the first time and about 10 the second time around, and I wish I was there for her(I’m in high school now). She has been cured, but she will be having a follow up (I think to reconstruct and do implant stuff) and I plan to go to the hospital with her this time.  I don’t want to make her uncomfortable asking about it because it has been a challenge for my family and especially on her. I just want to have a better understanding of what she went through and where she is now. Is going through cancer going to be something that is uncomfortable and raw for a long time? I’m assuming she is still pretty affected by it now that she has another surgery, but I just don’t really know how to communicate with her.</t>
        </is>
      </c>
      <c r="D6000" t="n">
        <v>1</v>
      </c>
      <c r="E6000" t="n">
        <v>4</v>
      </c>
      <c r="F6000">
        <f>HYPERLINK("https://www.reddit.com/r/cancer/comments/dywf2g/looking_for_perspective/")</f>
        <v/>
      </c>
      <c r="G6000" t="inlineStr">
        <is>
          <t>2019-11-19 19:59:58</t>
        </is>
      </c>
      <c r="H6000" t="inlineStr"/>
    </row>
    <row r="6001">
      <c r="A6001" t="inlineStr">
        <is>
          <t>dywk7g</t>
        </is>
      </c>
      <c r="B6001" t="inlineStr">
        <is>
          <t>Will make it to 49 on Saturday and the best wife I. The world book a surprise trip for us to Denver!</t>
        </is>
      </c>
      <c r="C6001" t="inlineStr">
        <is>
          <t>Looking for ideas on activities a term cancer patient can beat enjoy being in a legal state.</t>
        </is>
      </c>
      <c r="D6001" t="n">
        <v>1</v>
      </c>
      <c r="E6001" t="n">
        <v>5</v>
      </c>
      <c r="F6001">
        <f>HYPERLINK("https://www.reddit.com/r/cancer/comments/dywk7g/will_make_it_to_49_on_saturday_and_the_best_wife/")</f>
        <v/>
      </c>
      <c r="G6001" t="inlineStr">
        <is>
          <t>2019-11-19 20:11:23</t>
        </is>
      </c>
      <c r="H6001" t="inlineStr"/>
    </row>
    <row r="6002">
      <c r="A6002" t="inlineStr">
        <is>
          <t>dywxg8</t>
        </is>
      </c>
      <c r="B6002" t="inlineStr">
        <is>
          <t>About big pharma sacandal and cll must read</t>
        </is>
      </c>
      <c r="C6002" t="inlineStr">
        <is>
          <t>I recently diagnosed with cll. Iam pharmacist by theway. after doing some few searchs i found there is some possible cure and no one ever talk about.and the people who doing the research dont even bother them selves to explain the component of the mix they use. I think its genoside done by some selfish money sucking buisnessman so that is the link
 i am not kidding
Please tell me i am wrong.. Or share your thoughts we only have us. I was having a dream to buy a bmw car.
https://www.researchgate.net/publication/10709493_Sustained_complete_remission_of_CLL_associated_with_the_use_of_a_Chinese_herbal_extract_Case_report_and_mechanistic_analysis</t>
        </is>
      </c>
      <c r="D6002" t="n">
        <v>1</v>
      </c>
      <c r="E6002" t="n">
        <v>13</v>
      </c>
      <c r="F6002">
        <f>HYPERLINK("https://www.reddit.com/r/cancer/comments/dywxg8/about_big_pharma_sacandal_and_cll_must_read/")</f>
        <v/>
      </c>
      <c r="G6002" t="inlineStr">
        <is>
          <t>2019-11-19 20:43:19</t>
        </is>
      </c>
      <c r="H6002" t="inlineStr"/>
    </row>
    <row r="6003">
      <c r="A6003" t="inlineStr">
        <is>
          <t>dyyvak</t>
        </is>
      </c>
      <c r="B6003" t="inlineStr">
        <is>
          <t>She’s got 30-50%</t>
        </is>
      </c>
      <c r="C6003" t="inlineStr">
        <is>
          <t>How do I even begin...? My little cousin, who had a double mastectomy and beat cancer a year ago, has cancer in spinal fluid. There is a port in her scull to administer chemo. I only learned about this two days ago, and I’m completely ... I don’t even know. I feel like my brain is on flat line. I love her like a sister and I’m lost. We grew apart later on and this news is just .. I don’t know... my mother wants me to text her and I have no idea what to say after years...</t>
        </is>
      </c>
      <c r="D6003" t="n">
        <v>1</v>
      </c>
      <c r="E6003" t="n">
        <v>0</v>
      </c>
      <c r="F6003">
        <f>HYPERLINK("https://www.reddit.com/r/cancer/comments/dyyvak/shes_got_3050/")</f>
        <v/>
      </c>
      <c r="G6003" t="inlineStr">
        <is>
          <t>2019-11-19 23:53:04</t>
        </is>
      </c>
      <c r="H6003" t="inlineStr"/>
    </row>
    <row r="6004">
      <c r="A6004" t="inlineStr">
        <is>
          <t>dyzy4k</t>
        </is>
      </c>
      <c r="B6004" t="inlineStr">
        <is>
          <t>Missed an important appointment</t>
        </is>
      </c>
      <c r="C6004" t="inlineStr">
        <is>
          <t>I’m on the NHS if that makes any difference. I’m really worried because I overlaid this morning as I’ve not been sleeping well recently and I forgot to set the alarm.
Receptionist called to say they will rebook</t>
        </is>
      </c>
      <c r="D6004" t="n">
        <v>1</v>
      </c>
      <c r="E6004" t="n">
        <v>0</v>
      </c>
      <c r="F6004">
        <f>HYPERLINK("https://www.reddit.com/r/cancer/comments/dyzy4k/missed_an_important_appointment/")</f>
        <v/>
      </c>
      <c r="G6004" t="inlineStr">
        <is>
          <t>2019-11-20 01:54:05</t>
        </is>
      </c>
      <c r="H6004" t="inlineStr"/>
    </row>
    <row r="6005">
      <c r="A6005" t="inlineStr">
        <is>
          <t>dz4983</t>
        </is>
      </c>
      <c r="B6005" t="inlineStr">
        <is>
          <t>Mom has stage 3C breast cancer. Everyone in denial.</t>
        </is>
      </c>
      <c r="C6005" t="inlineStr">
        <is>
          <t>Hi again guys. 
So my mother was told she had breast cancer in July, but it was a small lump so nothing to worry about. Then she had another test, and it was larger than we thought, but still it is nothing to worry about. 
Well a couple of weeks ago, she had her double mastectomy. Pathology came back that she has both ILC and IDC. It was well over 5cm. Also, the lymph node they took out was positive, but again we were told not to worry. 
She had another surgery for more lymph node dissection after being postponed due to having staph infection from first surgery. Surgeon called yesterday and stated that of the 18 lymph nodes taken out, 13 were positive. 50/50 shot of long term survival.
Every step of the way we have gotten more bad news. Not one test has been done that the end results was good news: not as bad as we thought, or even the same as we thought! Losing hope, but everyone else in my family seems all peachy-keen and we just "need to be positive". Luckily, I have my husband who lets me have my moments. 
I'm not trying to be negative, because I know that she still has a good chance. However, everyone is like in denial that this may not end the way we want it to. I'm just frustrated that when I express my concerns, it's "just be positive". Or about how I'm not allowed to talk about the survival percent the doctor gave (I know it's not perfect). But am I wrong for "being negative"? 
Thanks in advance Reddit.</t>
        </is>
      </c>
      <c r="D6005" t="n">
        <v>1</v>
      </c>
      <c r="E6005" t="n">
        <v>12</v>
      </c>
      <c r="F6005">
        <f>HYPERLINK("https://www.reddit.com/r/cancer/comments/dz4983/mom_has_stage_3c_breast_cancer_everyone_in_denial/")</f>
        <v/>
      </c>
      <c r="G6005" t="inlineStr">
        <is>
          <t>2019-11-20 08:18:51</t>
        </is>
      </c>
      <c r="H6005" t="inlineStr"/>
    </row>
    <row r="6006">
      <c r="A6006" t="inlineStr">
        <is>
          <t>dz6o07</t>
        </is>
      </c>
      <c r="B6006" t="inlineStr">
        <is>
          <t>Aussie company creates virus that can kill every type of cancer</t>
        </is>
      </c>
      <c r="C6006" t="inlineStr">
        <is>
          <t>https://www.ladbible.com/news/news-aussie-company-creates-virus-that-can-kill-every-type-of-cancer-20191108</t>
        </is>
      </c>
      <c r="D6006" t="n">
        <v>1</v>
      </c>
      <c r="E6006" t="n">
        <v>0</v>
      </c>
      <c r="F6006">
        <f>HYPERLINK("https://www.reddit.com/r/cancer/comments/dz6o07/aussie_company_creates_virus_that_can_kill_every/")</f>
        <v/>
      </c>
      <c r="G6006" t="inlineStr">
        <is>
          <t>2019-11-20 11:08:55</t>
        </is>
      </c>
      <c r="H6006" t="inlineStr"/>
    </row>
    <row r="6007">
      <c r="A6007" t="inlineStr">
        <is>
          <t>dz76f2</t>
        </is>
      </c>
      <c r="B6007" t="inlineStr">
        <is>
          <t>Stage IV success stories? Looking for hope.</t>
        </is>
      </c>
      <c r="C6007" t="inlineStr">
        <is>
          <t>Hi everyone! I've posted here a decent amount about my dad. I'll add a little background about him here.
February 2018, he was diagnosed with stage 3C colorectal cancer. The plan was chemo, radiation, then rectal surgery. However, after the chemo and radiation, he had a complete response to the treatment and no longer required surgery (yay!). He was declared cancer free December 2018.
Flash forward to May 2019, they found 3 very, very small Mets to the liver (unsure exact size). I was devastated, because obviously this brought us to stage IV which greatly reduces odds. He went through many rounds of chemo and had liver resection a little over two weeks. The surgeon seemed extremely confident he got all the cancer. They only took 5% of his liver. He has some mop up chemo left before he's done.
This brings me to the point of my post. The surgeons gave him just over a 50% of a fire cure and the cancer never coming back. For stage IV, these are fastic odds. But I'm still scared to death. I'd love to just hear some positivity from others!</t>
        </is>
      </c>
      <c r="D6007" t="n">
        <v>1</v>
      </c>
      <c r="E6007" t="n">
        <v>6</v>
      </c>
      <c r="F6007">
        <f>HYPERLINK("https://www.reddit.com/r/cancer/comments/dz76f2/stage_iv_success_stories_looking_for_hope/")</f>
        <v/>
      </c>
      <c r="G6007" t="inlineStr">
        <is>
          <t>2019-11-20 11:44:11</t>
        </is>
      </c>
      <c r="H6007" t="inlineStr"/>
    </row>
    <row r="6008">
      <c r="A6008" t="inlineStr">
        <is>
          <t>dz9b9e</t>
        </is>
      </c>
      <c r="B6008" t="inlineStr">
        <is>
          <t>Please help and share anything you have found comforting when letting go of a loved on to cancer.</t>
        </is>
      </c>
      <c r="C6008" t="inlineStr">
        <is>
          <t>Hi all.. I just wanted to reach out to see if anyone wouldn't mind sharing any comforting quotes or anything which has offered comfort when letting go of a loved one to cancer. a very special person in my life is loosing her mum to liver cancer and things are deteriorating so anything of comfort or prayers very much appreciated.. Thank you.</t>
        </is>
      </c>
      <c r="D6008" t="n">
        <v>1</v>
      </c>
      <c r="E6008" t="n">
        <v>4</v>
      </c>
      <c r="F6008">
        <f>HYPERLINK("https://www.reddit.com/r/cancer/comments/dz9b9e/please_help_and_share_anything_you_have_found/")</f>
        <v/>
      </c>
      <c r="G6008" t="inlineStr">
        <is>
          <t>2019-11-20 14:22:31</t>
        </is>
      </c>
      <c r="H6008" t="inlineStr"/>
    </row>
    <row r="6009">
      <c r="A6009" t="inlineStr">
        <is>
          <t>dz9t5u</t>
        </is>
      </c>
      <c r="B6009" t="inlineStr">
        <is>
          <t>I have to go back for another biopsy</t>
        </is>
      </c>
      <c r="C6009" t="inlineStr">
        <is>
          <t>I dont know who reads these but I posted last week about my tongue biopsy. The results say it's dysplasia this time, which is great because that means I watched myself well and called the doc when I thought something was wrong. The bad news is that they didn't get it all and I have to go back Friday for them to take more tissue. I'm so disappointed and frustrated. Then I feel guilty because there are so many people who have worse situations than me. So I guess I'm thankful it isn't worse than it is right now but also scared of the future.
Thanks for reading. Happy Thanksgiving</t>
        </is>
      </c>
      <c r="D6009" t="n">
        <v>1</v>
      </c>
      <c r="E6009" t="n">
        <v>6</v>
      </c>
      <c r="F6009">
        <f>HYPERLINK("https://www.reddit.com/r/cancer/comments/dz9t5u/i_have_to_go_back_for_another_biopsy/")</f>
        <v/>
      </c>
      <c r="G6009" t="inlineStr">
        <is>
          <t>2019-11-20 14:58:56</t>
        </is>
      </c>
      <c r="H6009" t="inlineStr"/>
    </row>
    <row r="6010">
      <c r="A6010" t="inlineStr">
        <is>
          <t>dza34g</t>
        </is>
      </c>
      <c r="B6010" t="inlineStr">
        <is>
          <t>Dad has been battling stage 4 renal cell carcinoma for 3 1/2 years. I hate not knowing how long he'll actually live.</t>
        </is>
      </c>
      <c r="C6010" t="inlineStr">
        <is>
          <t>So like the intro says my Dad has been battling stage 4 renal cell carcinoma for roughly 3 1/2 years. I drove him to an ER nearby our place super late one night and he was sent home, then he went to the doctor the next day who admitted him to the hospital. His kidney had to be removed but the cancer had already spread by then. Since then, he's being doing treatment, but he's not getting any better or any worse. The doctors overseeing his cancer battle can't give a life prognosis. To put it short, I hate living with all of this. They have said he will never recover from it completely, but they can't give a expectancy on how long he actually has. So this uncertainty and dread is just lingering in my head all the time. As negative or harsh as this may sound, I just want to know how long he actually has left being here with me because I want to move on with my life. And I hate that nobody can answer that for me. The whole thing has only been confusing to me, and my Mom being puzzled to why I'm so confused by all of this just irritates me more. Sometimes it feels like I'm being punished in some kind of way for bad karma or something. Why can't all of this just be so straightforward?</t>
        </is>
      </c>
      <c r="D6010" t="n">
        <v>1</v>
      </c>
      <c r="E6010" t="n">
        <v>5</v>
      </c>
      <c r="F6010">
        <f>HYPERLINK("https://www.reddit.com/r/cancer/comments/dza34g/dad_has_been_battling_stage_4_renal_cell/")</f>
        <v/>
      </c>
      <c r="G6010" t="inlineStr">
        <is>
          <t>2019-11-20 15:18:40</t>
        </is>
      </c>
      <c r="H6010" t="inlineStr"/>
    </row>
    <row r="6011">
      <c r="A6011" t="inlineStr">
        <is>
          <t>dzaptz</t>
        </is>
      </c>
      <c r="B6011" t="inlineStr">
        <is>
          <t>Can you get checked at ER?</t>
        </is>
      </c>
      <c r="C6011" t="inlineStr">
        <is>
          <t>So my GI doctor is referring me to an oncologist tosay because my left groin lymph node has swollen to over an inch or larger. This started a week ago.
Still waiting to see if and when the Oncologist would actually see me around this holiday time. If it's more than a week away, can I just go to ER to do the scans and biopsies and the such?</t>
        </is>
      </c>
      <c r="D6011" t="n">
        <v>1</v>
      </c>
      <c r="E6011" t="n">
        <v>3</v>
      </c>
      <c r="F6011">
        <f>HYPERLINK("https://www.reddit.com/r/cancer/comments/dzaptz/can_you_get_checked_at_er/")</f>
        <v/>
      </c>
      <c r="G6011" t="inlineStr">
        <is>
          <t>2019-11-20 16:05:13</t>
        </is>
      </c>
      <c r="H6011" t="inlineStr"/>
    </row>
    <row r="6012">
      <c r="A6012" t="inlineStr">
        <is>
          <t>dzaz7j</t>
        </is>
      </c>
      <c r="B6012" t="inlineStr">
        <is>
          <t>How to Help Dad?</t>
        </is>
      </c>
      <c r="C6012" t="inlineStr">
        <is>
          <t>My dad has brain cancer and it’s affecting him a lot. He can’t do a lot of the things he used to do and he sleeps a lot. I noticed that he feels like a burden a lot because he is always apologizing for not being able to do things. I was wondering if anyone here had any ideas on what I could do to make him feel better? I just want him to know that we all still love him and he’s the same guy that he was before the cancer. Thanks so much!</t>
        </is>
      </c>
      <c r="D6012" t="n">
        <v>1</v>
      </c>
      <c r="E6012" t="n">
        <v>0</v>
      </c>
      <c r="F6012">
        <f>HYPERLINK("https://www.reddit.com/r/cancer/comments/dzaz7j/how_to_help_dad/")</f>
        <v/>
      </c>
      <c r="G6012" t="inlineStr">
        <is>
          <t>2019-11-20 16:25:51</t>
        </is>
      </c>
      <c r="H6012" t="inlineStr"/>
    </row>
    <row r="6013">
      <c r="A6013" t="inlineStr">
        <is>
          <t>dzb418</t>
        </is>
      </c>
      <c r="B6013" t="inlineStr">
        <is>
          <t>My uncle just got diagnosed with multiple myeloma. I didn't hear a survival chance but I was told that 90% of the biopsied cells were cancerous... he's got like.... months, doesn't he?</t>
        </is>
      </c>
      <c r="C6013" t="inlineStr">
        <is>
          <t>He's already pretty weak, pale, and broke his clavicle just walking to town with a backpack on.... that, plus the biopsy results makes me think he's already got one foot in the grave... 😞</t>
        </is>
      </c>
      <c r="D6013" t="n">
        <v>1</v>
      </c>
      <c r="E6013" t="n">
        <v>2</v>
      </c>
      <c r="F6013">
        <f>HYPERLINK("https://www.reddit.com/r/cancer/comments/dzb418/my_uncle_just_got_diagnosed_with_multiple_myeloma/")</f>
        <v/>
      </c>
      <c r="G6013" t="inlineStr">
        <is>
          <t>2019-11-20 16:36:05</t>
        </is>
      </c>
      <c r="H6013" t="inlineStr"/>
    </row>
    <row r="6014">
      <c r="A6014" t="inlineStr">
        <is>
          <t>dzcike</t>
        </is>
      </c>
      <c r="B6014" t="inlineStr">
        <is>
          <t>Im starting to feel guilty for losing hope.</t>
        </is>
      </c>
      <c r="C6014" t="inlineStr">
        <is>
          <t>Last year my mom was diagnosed with a rare/aggressive form of cancer, and ever since then our lives have been turned upside down, to say the least.
My mom went through radiation, chemo, and is currently on immunotherapy. Tomorrow, we get the result of her latest pet scan and discuss her new game plan. Her doctors have mentioned before that the next steps will most likely be a different type of chemo or possible clinical trials. 
To be honest, I feel at this point she has been through so much, I don’t think she should go through another cycle of chemo and I feel like clinical trials are pointless, Especially in her case because her cancer is so rare. I know it’s ultimately not my decision and I don’t plan to voice my opinion. However I do feel like stopping treatment is a valid option, but I feel extremely guilty about it. It makes me sad that I’m not as optimistic as my family members. I’ve lost hope and the guilt is getting to me. I feel like I don’t have anyone to talk to about it. I never realized how destructive this disease could be, not only to the patients, but their family too.</t>
        </is>
      </c>
      <c r="D6014" t="n">
        <v>1</v>
      </c>
      <c r="E6014" t="n">
        <v>1</v>
      </c>
      <c r="F6014">
        <f>HYPERLINK("https://www.reddit.com/r/cancer/comments/dzcike/im_starting_to_feel_guilty_for_losing_hope/")</f>
        <v/>
      </c>
      <c r="G6014" t="inlineStr">
        <is>
          <t>2019-11-20 18:28:10</t>
        </is>
      </c>
      <c r="H6014" t="inlineStr"/>
    </row>
    <row r="6015">
      <c r="A6015" t="inlineStr">
        <is>
          <t>dzcjh0</t>
        </is>
      </c>
      <c r="B6015" t="inlineStr">
        <is>
          <t>Ovarian Cancer</t>
        </is>
      </c>
      <c r="C6015" t="inlineStr">
        <is>
          <t>My mom got a blood test back saying she is cancer positive. They discovered a tumor in her ovaries. I don’t know what stage she is in. The MRI tests are later this week. We don’t even have insurance and are not financially stable. I’m scared and right now I’m trying to stay positive but it’s difficult to concentrate in school when my mom’s health is not good right now. :(</t>
        </is>
      </c>
      <c r="D6015" t="n">
        <v>1</v>
      </c>
      <c r="E6015" t="n">
        <v>2</v>
      </c>
      <c r="F6015">
        <f>HYPERLINK("https://www.reddit.com/r/cancer/comments/dzcjh0/ovarian_cancer/")</f>
        <v/>
      </c>
      <c r="G6015" t="inlineStr">
        <is>
          <t>2019-11-20 18:30:16</t>
        </is>
      </c>
      <c r="H6015" t="inlineStr"/>
    </row>
    <row r="6016">
      <c r="A6016" t="inlineStr">
        <is>
          <t>dzds8q</t>
        </is>
      </c>
      <c r="B6016" t="inlineStr">
        <is>
          <t>Multiple Myeloma. Feels like my mom doesn’t need my help and I want to be there. Any advice?</t>
        </is>
      </c>
      <c r="C6016" t="inlineStr">
        <is>
          <t>I’m the youngest of four and my mom has multiple myeloma. She has been in ICU, oncology flor, rehab center, living at home, and is soon going back to the hospital for in patient care for the next three to five months. I want to be there for her but it feels like my Moma and my siblings want me to figure out my life before i help our mom. Anybody been in a similar situation or has any insight into helping me figure out how I can be there while still helping my mom?
I’ve talked to my friends about it and nobody’s been in a similar situation so I don’t know how to help or navigate the situation affectively</t>
        </is>
      </c>
      <c r="D6016" t="n">
        <v>1</v>
      </c>
      <c r="E6016" t="n">
        <v>7</v>
      </c>
      <c r="F6016">
        <f>HYPERLINK("https://www.reddit.com/r/cancer/comments/dzds8q/multiple_myeloma_feels_like_my_mom_doesnt_need_my/")</f>
        <v/>
      </c>
      <c r="G6016" t="inlineStr">
        <is>
          <t>2019-11-20 20:12:51</t>
        </is>
      </c>
      <c r="H6016" t="inlineStr"/>
    </row>
    <row r="6017">
      <c r="A6017" t="inlineStr">
        <is>
          <t>dzf5c2</t>
        </is>
      </c>
      <c r="B6017" t="inlineStr">
        <is>
          <t>Dad had a stroke, and they found stage 4 hepatic cancer.</t>
        </is>
      </c>
      <c r="C6017" t="inlineStr">
        <is>
          <t>I don't really know where else to share this. My dad had a stroke night before last. Yesterday during testing, they discovered he also has stage 4 hepatic cancer. At first, his wife blocked all information from me and my brother about everything. Eventually, we cornered her and she finally told us, but swore us to secrecy. She said he didn't want the rest of the family to know. To keep SOME line of communication open from her, we agreed. The family knows he had a stroke, but they have no idea about the cancer. His brother is actively dying from the same cancer, and may pass anytime now. 
This is a terrible burden to carry. I have a close relationship with my mom, but I can't tell her or anyone else. I has to share this somewhere. I had to get it out of me somehow.</t>
        </is>
      </c>
      <c r="D6017" t="n">
        <v>1</v>
      </c>
      <c r="E6017" t="n">
        <v>4</v>
      </c>
      <c r="F6017">
        <f>HYPERLINK("https://www.reddit.com/r/cancer/comments/dzf5c2/dad_had_a_stroke_and_they_found_stage_4_hepatic/")</f>
        <v/>
      </c>
      <c r="G6017" t="inlineStr">
        <is>
          <t>2019-11-20 22:22:05</t>
        </is>
      </c>
      <c r="H6017" t="inlineStr"/>
    </row>
    <row r="6018">
      <c r="A6018" t="inlineStr">
        <is>
          <t>dzfrt2</t>
        </is>
      </c>
      <c r="B6018" t="inlineStr">
        <is>
          <t>My mom has stage 4 BC.</t>
        </is>
      </c>
      <c r="C6018" t="inlineStr">
        <is>
          <t>We found out in May that my 62 year old mother has breast cancer. At the time they said it was stage 2 but after she had her CT scan a couple weeks later, they said it had metastasized to her liver and pelvic bone and is now labeled a stage 4. My mom can barely walk at this point, needs help getting out of chairs into her wheel chair, and in and the doctor used the word "deteriorating" and started talking  about hospice. I'm unable to go to many of her appointments because I work days and it's a new job, so luckily enough my sister can always take her. My father is breaking down, they've been together for 37 years. Hes becoming depressed so we are just as worried about him as we are our mom.. In 7 months my mom went from happy and vibrant  to fragile  and sad. I dont really talk about it much because everytime I do, I just breakdown and I feel like I cant do that. I keep this brave face on but on the inside I am breaking.    I have this deep feeling that this time next year, she wont be here and its killing me...</t>
        </is>
      </c>
      <c r="D6018" t="n">
        <v>1</v>
      </c>
      <c r="E6018" t="n">
        <v>15</v>
      </c>
      <c r="F6018">
        <f>HYPERLINK("https://www.reddit.com/r/cancer/comments/dzfrt2/my_mom_has_stage_4_bc/")</f>
        <v/>
      </c>
      <c r="G6018" t="inlineStr">
        <is>
          <t>2019-11-20 23:28:36</t>
        </is>
      </c>
      <c r="H6018" t="inlineStr"/>
    </row>
    <row r="6019">
      <c r="A6019" t="inlineStr">
        <is>
          <t>dzfzzz</t>
        </is>
      </c>
      <c r="B6019" t="inlineStr">
        <is>
          <t>How to communicate with someone dealing with cancer.</t>
        </is>
      </c>
      <c r="C6019" t="inlineStr">
        <is>
          <t>I’ve post on this board before. There is someone I truly care for (we’ve been “seeing “ each other for two months now) that found out she has stage 3 mediastinal large B cell lymphoma. I got creamed last Sunday for saying what I thought was the right thing, sometimes the right thing is not the right thing to say at all. If she hadn’t done it yet, she’s getting a port put in before thanksgiving. She mentioned to me that this week would be a little crazy, I was hoping to take her out this weekend to have some normal fun before the battle begins. I called and text her today and had no response, I’m figuring she has so much going on that she needs some space to do her own thing before all this 🤞. I don’t know how much space I should give her while trying to be involved someway. I’m worried that in some ways, while she says I’m not being overwhelming, I can help but think I am. I want to be apart of this with her cause I hope that once she beats this, we can continue to grow our relationship and that we can have something special afterward.</t>
        </is>
      </c>
      <c r="D6019" t="n">
        <v>1</v>
      </c>
      <c r="E6019" t="n">
        <v>19</v>
      </c>
      <c r="F6019">
        <f>HYPERLINK("https://www.reddit.com/r/cancer/comments/dzfzzz/how_to_communicate_with_someone_dealing_with/")</f>
        <v/>
      </c>
      <c r="G6019" t="inlineStr">
        <is>
          <t>2019-11-20 23:53:18</t>
        </is>
      </c>
      <c r="H6019" t="inlineStr"/>
    </row>
    <row r="6020">
      <c r="A6020" t="inlineStr">
        <is>
          <t>dzi6nu</t>
        </is>
      </c>
      <c r="B6020" t="inlineStr">
        <is>
          <t>My mother has cancer help me to help her beat him please</t>
        </is>
      </c>
      <c r="C6020" t="inlineStr">
        <is>
          <t>Donar ahora
Help me help beat my breast cancer, my world
objetivo de 5000 $
Donar ahora
Compartir
This is my mother a warrior woman who raised me and my two siblings alone since our father was an absent man, I remember as a child how she struggled to give us what was necessary, how she did a thousand different jobs just to feed us, selling clothes, food, spent her days walking miles looking for sustenance, She had no support from anyone, literally nobody, she comes from a humble family, I the oldest daughter promised, I swore that one day I would give her the life she deserved, a nice home and no worries, because she apart of being a great mother, she is a beautiful daughter, a good friend a great human being, and I will not deny that rage consumes me, the pain of seeing someone like her go through this, the worst of all is that I am far away from her, three years ago I fled the humanitarian crisis facing my country Venezuela, I fled for a better future for me and her, to fulfill that promise I made as a child, my two brothers came with me, then she came to visit us but she had to go back to the living hell that my country has turned into, because as I said she is a great human being and could not leave her parents alone, her dog and her cat, the plan was to return with them go to Chile in the country where I am, but everything became difficult and now even more when we found out that she has breast cancer, that's why today I ask you to read this, please help us, she is in stage 1 is in time to overcome this damn disease, the treatments are very expensive, chemo, medication, and also one of us has to go to where she is to give her support, she is alone, without her children and we do not have the money, it is impossible with the salary we earn, it is incredible that life has a price, please help us! is urgent, we need money urgently, she is in stage 1 let's not let it go further, God bless you
https://www.gofundme.com/f/help-me-help-beat-my-breast-cancer-my-world?utm_source=customer&amp;amp;utm_medium=copy_link&amp;amp;utm_campaign=p_cf+share-flow-1</t>
        </is>
      </c>
      <c r="D6020" t="n">
        <v>1</v>
      </c>
      <c r="E6020" t="n">
        <v>0</v>
      </c>
      <c r="F6020">
        <f>HYPERLINK("https://www.reddit.com/r/cancer/comments/dzi6nu/my_mother_has_cancer_help_me_to_help_her_beat_him/")</f>
        <v/>
      </c>
      <c r="G6020" t="inlineStr">
        <is>
          <t>2019-11-21 03:50:23</t>
        </is>
      </c>
      <c r="H6020" t="inlineStr"/>
    </row>
    <row r="6021">
      <c r="A6021" t="inlineStr">
        <is>
          <t>dzi81r</t>
        </is>
      </c>
      <c r="B6021" t="inlineStr">
        <is>
          <t>Lung cancer</t>
        </is>
      </c>
      <c r="C6021" t="inlineStr">
        <is>
          <t>Have this occasional cough maybe 6-7 times a day, chest pains that jumps around my chest not in a fixed spot and have slight shortness of breath ,have been a smoker for 2 years and im 19 now , wanted to quit but having major health anxiety causing me to smoke more to calm myself down.  What does a lung cancer cough/ chest pain feel like , is this shortness of breath more of anxiety related and do lack of sleep / anxiety cause chest pain or is that related to other conditions? Overthinking causing me to lose sleep :( Is a lung cancer cough constant or can happen occasionally too? I have morning sinus and been teling mysef its probably post nasal drip but just health anxiety things.</t>
        </is>
      </c>
      <c r="D6021" t="n">
        <v>1</v>
      </c>
      <c r="E6021" t="n">
        <v>5</v>
      </c>
      <c r="F6021">
        <f>HYPERLINK("https://www.reddit.com/r/cancer/comments/dzi81r/lung_cancer/")</f>
        <v/>
      </c>
      <c r="G6021" t="inlineStr">
        <is>
          <t>2019-11-21 03:53:48</t>
        </is>
      </c>
      <c r="H6021" t="inlineStr"/>
    </row>
    <row r="6022">
      <c r="A6022" t="inlineStr">
        <is>
          <t>dzjjn4</t>
        </is>
      </c>
      <c r="B6022" t="inlineStr">
        <is>
          <t>Should I tell my partner I MAY have cancer?</t>
        </is>
      </c>
      <c r="C6022" t="inlineStr">
        <is>
          <t>OK. M47 Ex smoker, quit 7.5 years ago. I've had a cough for about 2 months which got worse on the last couple of weeks to the point I went to see my doctor and am currently off work(going back tomorrow). 
Doctor sent me for a chest x-ray which I had yesterday, and said to get in touch if I don't improve in a couple of days. I spoke to him today, and was surprised he already had the x-ray results (UK NHS). He pretty much told me over the phone he suspects I have lung cancer, which was a shock as I was gearing myself up for COPD. So he sent me for a blood test and I need to await the results and an appointment for a scan. 
Now what? Obviously I can't think 100% straight at the moment. I did confide in my partner my concerns I may have COPD, but do I await diagnosis before I say anything about lung cancer? The last thing I want is for her to worry. We have twin 5 year old girls.</t>
        </is>
      </c>
      <c r="D6022" t="n">
        <v>1</v>
      </c>
      <c r="E6022" t="n">
        <v>16</v>
      </c>
      <c r="F6022">
        <f>HYPERLINK("https://www.reddit.com/r/cancer/comments/dzjjn4/should_i_tell_my_partner_i_may_have_cancer/")</f>
        <v/>
      </c>
      <c r="G6022" t="inlineStr">
        <is>
          <t>2019-11-21 05:47:28</t>
        </is>
      </c>
      <c r="H6022" t="inlineStr"/>
    </row>
    <row r="6023">
      <c r="A6023" t="inlineStr">
        <is>
          <t>dzk9fi</t>
        </is>
      </c>
      <c r="B6023" t="inlineStr">
        <is>
          <t>Struggling with the aftermath</t>
        </is>
      </c>
      <c r="C6023" t="inlineStr">
        <is>
          <t>Hello everyone! This will probably be a long one, but I need this off of my chest and maybe you have some advise.  
So during my year abroad, this march it turned out my father had cancer in his neck. It was a pretty aggressive one and the doctors had problems localizing it. He had three operations, radiation therapy AND a light chemo therapy. Even though I skyped once a month with my family and saw him then, I did not really notice how hard it has been on my dad, because I only saw him BEFORE radiation &amp;amp; chemo therapy. So when I arrived back home this summer, I had a huge shock. He turned from a slightly over-weight tall man into, well, basically a ghostly shadow of himself. Later I got told I actually did not see him at his worst, I don't want to imagine how that was.  
Anyway after I overcame the first hard phase of dealing with the new situation it seemed like all was going well. Though he is struggling to gain more weight, he can eat pretty normally now (as in: a lot of his taste has come back) and overall seems stronger and healthier. The doctors are all super positive about how it went for him and confirmed that (for now) he is "cancer-free". Due to his illness he was able to retire a year early and could live comparably stress-free now.  
But my father always was a pessimist. He still feels like the cancer is there, does not really trust the doctors, talks about how this could be his last Christmas and if it could not be worse, he is combining his fear of cancer/death with his "climate grief" - whenever we talk about anything that slightly concerns the topic, he starts talking about how climate change is going to ruin the earth and how in ten years we will face mass starvation and so on and so far. I do believe in climate change, but he is almost making me sick of the topic by talking everyday about the incoming apocalypse that will ruin my future.  
Although I try my best to stay positive and be considerate of his feelings, it is getting harder and harder to handle for me and my mother. He and my mother are having a lot of arguments over the smallest things, which then turn into a fight that turns out to be about his cancer. I tried to explain to him that yes, the cancer could come back, his cells have the potential of mutating, but right now it's not there. That if he really believes this could be his last Christmas he should enjoy it. My mother pointed out that his old friend lived 6 years with pancreatic cancer and was able to meet his grandson, probably because he stayed optimistic. But whatever we say it bounces right off of him or he misunderstands what we try to tell him. I get that he must feel like we take everything too lightly, that the lost of control and fear of a return of the cancer is horrifying. He is deeply pessimistic and we are convinced optimists, of course that leads to conflict. That would be hard on it's own, but I fear that this negative spiral will make his condition worse than it has to be.  
There would be more to unpack, this cancer has brought up a lot of personal problems in the family. The most difficult thing for me is how bad my father is at communicating and how stubborn he is. Today my mother brought up that maybe a family therapy would be good to get everything sorted out, but he is convinced he does not need it. He also doesn't want to visit a self-help group or anything similar.
To be fair, he has his good days. Sometimes he almost sounds like he reached a point where he at least plans with being alive the next year, but then it all comes crushing back.
I want to support my father, but I feel like I am getting to a point where I cannot handle this without destroying my own mental health. I know that he is still the one who suffers the most, that's exactly why I am so desperate to find a way forward. But if I (or my mother) can't help him, he does not really want help from outside and obviously he cannot change his mind on his own, what can be done?</t>
        </is>
      </c>
      <c r="D6023" t="n">
        <v>1</v>
      </c>
      <c r="E6023" t="n">
        <v>0</v>
      </c>
      <c r="F6023">
        <f>HYPERLINK("https://www.reddit.com/r/cancer/comments/dzk9fi/struggling_with_the_aftermath/")</f>
        <v/>
      </c>
      <c r="G6023" t="inlineStr">
        <is>
          <t>2019-11-21 06:44:01</t>
        </is>
      </c>
      <c r="H6023" t="inlineStr"/>
    </row>
    <row r="6024">
      <c r="A6024" t="inlineStr">
        <is>
          <t>dzkciw</t>
        </is>
      </c>
      <c r="B6024" t="inlineStr">
        <is>
          <t>Knitted hats for chemo patient</t>
        </is>
      </c>
      <c r="C6024" t="inlineStr">
        <is>
          <t>Hi, all.
My aunt has lung cancer and is currently undergoing chemotherapy. I've been tasked with making her some hats to keep her head warm, and I'm trying to figure out what's best.
Obviously I need to use soft yarn, but my funds are pretty limited and yarn can be expensive. I had the thought of making hats out of the yarn I already have and then sewing a lining in, but I'm not sure if fleece lining would be too warm, or too rough on the skin.
Do you guys have any advice or thoughts?
Thanks!</t>
        </is>
      </c>
      <c r="D6024" t="n">
        <v>1</v>
      </c>
      <c r="E6024" t="n">
        <v>14</v>
      </c>
      <c r="F6024">
        <f>HYPERLINK("https://www.reddit.com/r/cancer/comments/dzkciw/knitted_hats_for_chemo_patient/")</f>
        <v/>
      </c>
      <c r="G6024" t="inlineStr">
        <is>
          <t>2019-11-21 06:50:50</t>
        </is>
      </c>
      <c r="H6024" t="inlineStr"/>
    </row>
    <row r="6025">
      <c r="A6025" t="inlineStr">
        <is>
          <t>dzl1x2</t>
        </is>
      </c>
      <c r="B6025" t="inlineStr">
        <is>
          <t>Osteomyelitis, Cancer? Waiting on a Biopsy? Any thoughts would be appreciated. Sorry for the length.</t>
        </is>
      </c>
      <c r="C6025" t="inlineStr">
        <is>
          <t>I realize that this may not be the place to ask for thoughts. I just need anyone who may have had a similar story or any ideas. I’m racking my brain on what’s going on, because I feel worse than when I went into the hospital. Sigh 
So, in April/May... I had some tooth pain from a cracked filling in the last tooth on my left. I went to the dentist. She fixed it said that the root looks good, maybe come back later for a crown. 
A couple weeks later I get severe pain in that tooth only with pressure not hot or cold. It radiates to my face, ear and head. I go back to the dentist, they X-ray and say nope the tooth looks fine. Maybe it’s your sinuses. So I go to ent as now a lump is beginning to form under my submandibular triangle. ENT said,” do you have TMJ I said yea, he says that’s what it is-the pain and the lump. I think ok cool just my TMJ. The pain subsides, the lump stays. But every couple weeks, to months the pain comes back and my face swells. Then finally at the beginning of November it swelled so bad that my face became numb. I finally went to the ER. 
ER does a CT and the CT states. 
“While there is no fracture there is a large periapical abscess in the lower mandible on the left with near complete destruction of the inner cortex and a small draining sinus coming from the last molar which is somewhat carious. No evidence of neoplasm, no evidence for drainable abscess  in the soft tissues. But there is a significant amount of induration in the deep space.”
* lump is located like 2 teeth in front of the tooth(submandibular triangle region)  that was in question. It can only be seen or felt outside of my mouth. It is hard, irregular and attached to jaw bone.) *  it doesn’t hurt but with certain movements it feels like it catches on something and hurts. My jaw is clicking and sometimes it hurts to open mouth 
* CT scan of neck before leaving the hospital said 
Paranasal sinuses are normal, nasopharyngeal soft tissue is normal. Paranoid and submandibular gland is normal
A fe subcentimeter reactive nodes are seen level 1 and 2 regions 
Minimal thinning along lingual surface no focal collections identified 
Normal enhancement of thyroid, mild reversal of the normal cervical lordotic curve, seen without bony abnormalities. Lung apices are clear the vessels are widely patent bilaterally. 
ER says it’s osteomyelitis, but they don’t have a OMFS doc, so they transport me to another hospital. 
At this hospital they continue giving me antibiotics and say I may go into surgery for a bone biopsy. OMFS comes and sees me and say, “ well , sometimes the radiologist can read things wrong and we are going to just pull the tooth and it should all resolve. 
OMFS comes to pull the tooth, he comes over and feels the lump and says, “ hm when did this lump get here.” Uhhhh - that’s why I came to the hospital in the first place for the lump and swelling!?!? He says hmm, well we will pull the tooth and hopefully the lump resolves. 
Tooth is pulled, lump doesn’t resolve, swelling in cheek goes down, lump stays. They discharge me after 4 days of back and forth. No biopsy, tooth pulled and oral antibiotics. 
I come home and I feel like crap. Now, 5 days after beginning the IV  antibiotic, I switch to the oral antibiotic and I have an allergic reaction to it. I have a penicillin allergy and this was like a distant cousin. 
It’s was now Monday and I have an appointment that Weds. with a jaw specialist. I was having severe back pain, body pain, flu like symptoms rash etc. Lump is still there. I go to see the jaw specialist. He states he doesn’t like how it feels and wants a biopsy. I’m waiting now to hear back from him for how he wants to do the biopsy and when to schedule it. 
This brings me today. Since being home I’m having all the symptoms that I have had for like 3 years, except all at once. 
-gum pain-pain in neck, head  and shoulders, what feels like bursitis in left shoulder and left hip or joint pain. I’m exhausted-achy, lightheaded when getting up, I have night sweats and numbness in extremities. 
Before all this started I thought maybe I had PoTs or RA since I have had peripheral neuropathy  issues. I have also had strange periods with heavy bleeding, horrible cramps etc. I have thought that I was like peri menopausal. I went to to gyno last March, they said they see cysts forming but are normal, they did a uterine biopsy and it was normal etc....
I’m unsure  since my last child I just haven’t seemed “right”.
History: 
-Had a miscarriage and D&amp;amp;C 
-Finally got pregnant
-She came early, 2 months early to be exact. 
They tested placenta, and nothing. They had no idea why she came early.
-After c-section( which was my second )I had a strange internal bleed when my entire butt, vaginal area and legs where black and blue and eventually black. Doc said she never seen that before. 
After baby comes home, I loose a lot of weight due to other stressors, 
I have increase in Peripheral neuropathy especially in my legs. I have some veins removed in legs, but it persists. 
I can’t get pregnant and progressively feel weaker and weaker. Like 3 years ago I was a cross-fit maniac and now I am just, kind of blah I exercise regularly eat healthy but lack energy and stamina. 
-I also have night sweats 
-thickness in cheek
-swollen lymph node near ear and pelvic region, but not large or rock hard 
-IBS
- strange and heavy periods 
Anyway, I smoked in college, but like “o I’m drunk, sure I’ll have a cig type smoking”, I used to drink, like normal drinking on special occasions, I haven’t drank in 3+ years though 
My CBCs before I left the hospital came back normalish, but everything was on the lower side. I have had consistently lower blood pressure as of late, like hypotension low at times. Some of those docs, thought cancer. 
I don’t know, any idea of what I may be looking at here? Waiting is like torture, I just want to know and feel better.
Any help ideas are greatly appreciated.</t>
        </is>
      </c>
      <c r="D6025" t="n">
        <v>1</v>
      </c>
      <c r="E6025" t="n">
        <v>8</v>
      </c>
      <c r="F6025">
        <f>HYPERLINK("https://www.reddit.com/r/cancer/comments/dzl1x2/osteomyelitis_cancer_waiting_on_a_biopsy_any/")</f>
        <v/>
      </c>
      <c r="G6025" t="inlineStr">
        <is>
          <t>2019-11-21 07:41:44</t>
        </is>
      </c>
      <c r="H6025" t="inlineStr"/>
    </row>
    <row r="6026">
      <c r="A6026" t="inlineStr">
        <is>
          <t>dzlxav</t>
        </is>
      </c>
      <c r="B6026" t="inlineStr">
        <is>
          <t>Downregulation of Human Endogenous Retrovirus Type K (HERV-K) Viral env RNA in Pancreatic Cancer Cells Decreases Cell Proliferation and Tumor Growth. - PubMed</t>
        </is>
      </c>
      <c r="C6026" t="inlineStr">
        <is>
          <t>Short hairpin RNA was employed to knockdown the expression of he human endogenous retrovirus type K (HERV-K) in pancreatic cancer cells. HERV-K *env* (envelope) expression was detected in seven pancreatic cancer cell lines and in 80% of pancreatic cancer patient biopsies. HERV-K viral RNA levels were significantly higher in pancreatic cancer patient sera (*N* = 106) than in normal donor sera (*N* = 40). Importantly, growth rates of three pancreatic cancer cell lines were significantly reduced after HERV-K knockdown by shRNA targeting HERV-K *env*, and there was reduced metastasis to lung after treatment. Furthermore, downregulation of HERV-K Env  protein expression by shRNA also resulted in decreased expression of RAS, p-ERK, p-RSK, and p-AKT in several pancreatic cancer cells or  tumors. These results demonstrate that HERV-K  influences signal transduction via the RAS-ERK-RSK pathway in pancreatic  cancer. The article highlights the potentially important role of HERV-K in  tumorigenesis and progression of pancreatic cancer, and indicate that  HERV-K viral proteins may be attractive biomarkers and  tumor-associated antigens of pancreatic cancer</t>
        </is>
      </c>
      <c r="D6026" t="n">
        <v>1</v>
      </c>
      <c r="E6026" t="n">
        <v>0</v>
      </c>
      <c r="F6026">
        <f>HYPERLINK("https://www.reddit.com/r/cancer/comments/dzlxav/downregulation_of_human_endogenous_retrovirus/")</f>
        <v/>
      </c>
      <c r="G6026" t="inlineStr">
        <is>
          <t>2019-11-21 08:39:09</t>
        </is>
      </c>
      <c r="H6026" t="inlineStr"/>
    </row>
    <row r="6027">
      <c r="A6027" t="inlineStr">
        <is>
          <t>dzm2ve</t>
        </is>
      </c>
      <c r="B6027" t="inlineStr">
        <is>
          <t>Immunotherapeutic potential of anti-human endogenous retrovirus-K envelope protein antibodies in targeting breast tumors.</t>
        </is>
      </c>
      <c r="C6027" t="inlineStr">
        <is>
          <t>The envelope (env) protein of the human  endogenous retrovirus type K (HERV-K) family is commonly expressed on  the surface of breast cancer cells. The expression of the human  endogenous retrovirus type K (HERV-K) env protein in malignant breast cancer cell lines was substantially higher than nonmalignant breast cells. Anti-HERV-K-specific monoclonal antibodies inhibited growth and induced apoptosis of breast cancer cells in vitro. Mice treated with the monoclonal antibodies showed significantly reduced growth of tumors compared with mice treated with control immunoglobulin. HERV-K expression was detected in 148 (66%) of 223 primary breast  tumors, and a higher rate of lymph node metastasis was associated with  HERV-K-positive compared with HERV-K-negative tumors (43% vs 23%, P =  .003).
[https://www.ncbi.nlm.nih.gov/pubmed/22247020](https://www.ncbi.nlm.nih.gov/pubmed/22247020)</t>
        </is>
      </c>
      <c r="D6027" t="n">
        <v>1</v>
      </c>
      <c r="E6027" t="n">
        <v>1</v>
      </c>
      <c r="F6027">
        <f>HYPERLINK("https://www.reddit.com/r/cancer/comments/dzm2ve/immunotherapeutic_potential_of_antihuman/")</f>
        <v/>
      </c>
      <c r="G6027" t="inlineStr">
        <is>
          <t>2019-11-21 08:49:43</t>
        </is>
      </c>
      <c r="H6027" t="inlineStr"/>
    </row>
    <row r="6028">
      <c r="A6028" t="inlineStr">
        <is>
          <t>dzm57c</t>
        </is>
      </c>
      <c r="B6028" t="inlineStr">
        <is>
          <t>Purchase insurance</t>
        </is>
      </c>
      <c r="C6028" t="inlineStr">
        <is>
          <t>Can we buy health insurance by ourselffrom exchange market place to get treated in sloan or mdanderson.</t>
        </is>
      </c>
      <c r="D6028" t="n">
        <v>1</v>
      </c>
      <c r="E6028" t="n">
        <v>8</v>
      </c>
      <c r="F6028">
        <f>HYPERLINK("https://www.reddit.com/r/cancer/comments/dzm57c/purchase_insurance/")</f>
        <v/>
      </c>
      <c r="G6028" t="inlineStr">
        <is>
          <t>2019-11-21 08:54:12</t>
        </is>
      </c>
      <c r="H6028" t="inlineStr"/>
    </row>
    <row r="6029">
      <c r="A6029" t="inlineStr">
        <is>
          <t>dzolqd</t>
        </is>
      </c>
      <c r="B6029" t="inlineStr">
        <is>
          <t>Health insurance after being diagnosed with cancer. Need help</t>
        </is>
      </c>
      <c r="C6029" t="inlineStr">
        <is>
          <t>Diagnosed with cancer recently. I have Cigna, and my health insurance won't let me bump up to a plan with more coverage. What do I do?</t>
        </is>
      </c>
      <c r="D6029" t="n">
        <v>1</v>
      </c>
      <c r="E6029" t="n">
        <v>3</v>
      </c>
      <c r="F6029">
        <f>HYPERLINK("https://www.reddit.com/r/cancer/comments/dzolqd/health_insurance_after_being_diagnosed_with/")</f>
        <v/>
      </c>
      <c r="G6029" t="inlineStr">
        <is>
          <t>2019-11-21 11:38:58</t>
        </is>
      </c>
      <c r="H6029" t="inlineStr"/>
    </row>
    <row r="6030">
      <c r="A6030" t="inlineStr">
        <is>
          <t>dzpdwf</t>
        </is>
      </c>
      <c r="B6030" t="inlineStr">
        <is>
          <t>We want to get off Mr Cancer's wild ride</t>
        </is>
      </c>
      <c r="C6030" t="inlineStr">
        <is>
          <t>My fiancee has been in the hospital for officially 3 weeks. We're in Canada so to expedite the process the doctors decided to admit us and keep us here. Officially being discharged today so we have that going for us, which is nice.
4.5 weeks ago we went into ER to see why she was feeling numbness.
3 weeks ago we got an MRI done and was sent straight back to ER and was told there is a malignant mass. Possibly lymphoma. Told to stay in the hospital to expedite process of seeing doctor's.
2 weeks ago, preliminary results come back as melanoma, with mets to the ovaries and 2 nearby lymph nodes.
1 week ago we did surgery to take out the mass. Been dealing with the pain from the laminectomy, and mass removal from t5-t8.
Today the medical oncologist told us it was a clear cell sarcoma.
We are now waiting to see the sarcoma specialist to discuss prognosis, treatment plan, and everything in between. That's 2 weeks out from now.
I hate cancer. I'm just so angry. My fiancee is only 26 and we were looking to get married within the next year but from all my research things are not looking good. It's hard to deal with everything. I can't imagine what she is going through right now either. I don't know what I'm asking for really. Just looking to hear from others I guess. Thanks everyone and FUCK CANCER!!</t>
        </is>
      </c>
      <c r="D6030" t="n">
        <v>1</v>
      </c>
      <c r="E6030" t="n">
        <v>11</v>
      </c>
      <c r="F6030">
        <f>HYPERLINK("https://www.reddit.com/r/cancer/comments/dzpdwf/we_want_to_get_off_mr_cancers_wild_ride/")</f>
        <v/>
      </c>
      <c r="G6030" t="inlineStr">
        <is>
          <t>2019-11-21 12:29:20</t>
        </is>
      </c>
      <c r="H6030" t="inlineStr"/>
    </row>
    <row r="6031">
      <c r="A6031" t="inlineStr">
        <is>
          <t>dzpqtr</t>
        </is>
      </c>
      <c r="B6031" t="inlineStr">
        <is>
          <t>My dad passed away a month ago</t>
        </is>
      </c>
      <c r="C6031" t="inlineStr">
        <is>
          <t>I don't know how to start and why I'm posting here. Please excuse some mistakes, I'm German. 
I think I need some emotional support by total strangers. 
Here is the story: my dad had some back pain back in July and went to see the doctor. After some back and forth he went to the hospital to check what's really going on. This was at the first of August.
Turns out he has pancreatic and liver cancer. It got clear pretty fast, that there won't be a way to heal it. He tried one chemotherapy, but that made everything worse. We had a good time together. He finally passed away on the 18th of October. His funeral was Sea funeral in the month sea. He had long relationship with the sea and water in general as he wind surfed quite a lot.
I love you, Dad. I will always miss you.
And to add to this fucking misery, I lost my best friend in June thanks to a motorcycle accident.
Luckily I have a great girlfriend and friends, but all this does not help. I don't know what to do anymore.
Fuck Cancer and all of this shit.</t>
        </is>
      </c>
      <c r="D6031" t="n">
        <v>1</v>
      </c>
      <c r="E6031" t="n">
        <v>7</v>
      </c>
      <c r="F6031">
        <f>HYPERLINK("https://www.reddit.com/r/cancer/comments/dzpqtr/my_dad_passed_away_a_month_ago/")</f>
        <v/>
      </c>
      <c r="G6031" t="inlineStr">
        <is>
          <t>2019-11-21 12:52:11</t>
        </is>
      </c>
      <c r="H6031" t="inlineStr"/>
    </row>
    <row r="6032">
      <c r="A6032" t="inlineStr">
        <is>
          <t>dzrgih</t>
        </is>
      </c>
      <c r="B6032" t="inlineStr">
        <is>
          <t>Endometrial cancer symptoms..?</t>
        </is>
      </c>
      <c r="C6032" t="inlineStr">
        <is>
          <t>Yesterday I had a biopsy done for endometrial cancer and I was curious if anyone could shed some light on their signs and symptoms? Also share your experience with having the biopsy performed. For me, mine was absolutely the most horrific pain I have ever experienced. I’m not exaggerating, I do have endometriosis so I understand pain and this was nothing like that. This was something I’ve never felt before. —-</t>
        </is>
      </c>
      <c r="D6032" t="n">
        <v>1</v>
      </c>
      <c r="E6032" t="n">
        <v>3</v>
      </c>
      <c r="F6032">
        <f>HYPERLINK("https://www.reddit.com/r/cancer/comments/dzrgih/endometrial_cancer_symptoms/")</f>
        <v/>
      </c>
      <c r="G6032" t="inlineStr">
        <is>
          <t>2019-11-21 14:45:42</t>
        </is>
      </c>
      <c r="H6032" t="inlineStr"/>
    </row>
    <row r="6033">
      <c r="A6033" t="inlineStr">
        <is>
          <t>dzsjal</t>
        </is>
      </c>
      <c r="B6033" t="inlineStr">
        <is>
          <t>So... I've been MIA for a month due to hospitalization. But I'm out now and am very proud to announce that after 2.5 years of being "dangerously underweight" I've put on 15lbs! YAY!</t>
        </is>
      </c>
      <c r="C6033" t="inlineStr">
        <is>
          <t>Because of fucking cancer and its awesome side affects, ive been hovering around 95lbs (at 5ft 9in) for about 2 years. I've been diagnosed as "medically malnourished" and as "failure to thrive". I've been hospitalized many times due to heart issues due to low potassium, and they have been unable to do surgeries and procedures due to me being too weak to perform safely. Ive had TPN lines 5 separate times, and several feeding tubes in desperate attempts to get my nutrition and health back up to safe levels. 
And now, just by eating alone, I have FINALLY put on 15lbs! I'm up to 113lbs! **I'm on my way guys!**
Just wanted to share my little bit of good news. Its good to be out of hospital! I missed you guys! Hope everyone is well! And fuck cancer!</t>
        </is>
      </c>
      <c r="D6033" t="n">
        <v>1</v>
      </c>
      <c r="E6033" t="n">
        <v>23</v>
      </c>
      <c r="F6033">
        <f>HYPERLINK("https://www.reddit.com/r/cancer/comments/dzsjal/so_ive_been_mia_for_a_month_due_to/")</f>
        <v/>
      </c>
      <c r="G6033" t="inlineStr">
        <is>
          <t>2019-11-21 16:03:32</t>
        </is>
      </c>
      <c r="H6033" t="inlineStr"/>
    </row>
    <row r="6034">
      <c r="A6034" t="inlineStr">
        <is>
          <t>dzst8w</t>
        </is>
      </c>
      <c r="B6034" t="inlineStr">
        <is>
          <t>It'd been a long few months</t>
        </is>
      </c>
      <c r="C6034" t="inlineStr">
        <is>
          <t>This year has been a bit crazy for me what with the nearly dying a bunch and the cancer diagnosis.
I want to make the backstory short so as not to bore you all, but it is a bit long.
I was a long distance runner training for my next marathon and I was in really good shape. But, in May I had a torn aorta due to a genetic defect that created weak spots along my aorta. I was rushed to the hospital and had to have open heart surgery. By the time they figured out what was wrong with me, I should have been dead. But I made it to the operating room. The doctor did an amazing job, but my body did not. All my organs started shutting down. I was placed in a medically induced coma for three weeks. During that time, all my muscles atrophied (apparently it does not take a long time at all). Right before they were able to pull me out of the coma, I had a stroke, which caused me to lose my left peripheral vision. Coming out of the coma I had ICU delirium (I had no idea where I was, who I was, when it was, or what was going on. I would swear to you that I was in Tuscon, AZ - a place I have never visited or had any desire to go - that I was in the Dominican Republic,that I was at my friends' houses, and that I spent a night in a veterinary hospital). It was during this time they found out that I had colon cancer. My parents and wife took it rough, given everything else that happened to me. However, this is where the delirium actually helped out. After all I had been through, there was cancer! It was the funniest thing in the world in my screwed up mind. By the time I got my mind back, I had already kind of dealt with the news, so it was a bit easier to accept.
As I was relearning how to walk in rehab (long distance runner to having to relearn how to walk with someone holding me up in a matter of a month. Muscles really do atrophy that fast) was when the knowledge that I had cancer really hit me. It took the wind out of my sails for a few days. But there was so much else to focus on. I just had to keep putting one foot in front of the other. Literally.
After finding a great cancer surgeon and oncologist, I had my surgery set for Aug. 16 (my wife's birthday). I tried to change it because, even though it was straight forward, anything could happen during surgery and I really didn't want to die on her birthday. But, by the fact I am typing this, I am figure you can guess I made it through. This time with no complications.
Unfortunately the cancer they thought was stage 1 or possibly 2 was actually stage 3. It had just begun to spread. I was told if I did nothing, there was a 60% chance the cancer would never spread and I'd be fine. If I went through chemo, there was an 80% chance I would be fine.
With all I went through, I decided not to roll the dice. So here I am, 4 treatments into a 12 treatment regiment, dealing with the side effects of chemo.  People ask how I am doing and I tell them that, to be honest, as weird as it sounds, chemo is not the worst thing I have been through this year. It's just another thing. It's just something else to deal with. 
I am covered with scars now and sick as can be after each of the chemo treatments. But I know I am one of the lucky ones. I will come out on the other side of this. Cancer will not claim me. But it could have. Being so sick nearly killed me a dozen times over. However, it also saved my life. I would not have known I had cancer if I had not ended up in the hospital. Crazy silver lining, eh? And hey, I've got some great stories to tell.
If you made it this far, thanks for reading. I hope you have a great day and that good things happen to you.</t>
        </is>
      </c>
      <c r="D6034" t="n">
        <v>1</v>
      </c>
      <c r="E6034" t="n">
        <v>6</v>
      </c>
      <c r="F6034">
        <f>HYPERLINK("https://www.reddit.com/r/cancer/comments/dzst8w/itd_been_a_long_few_months/")</f>
        <v/>
      </c>
      <c r="G6034" t="inlineStr">
        <is>
          <t>2019-11-21 16:23:54</t>
        </is>
      </c>
      <c r="H6034" t="inlineStr"/>
    </row>
    <row r="6035">
      <c r="A6035" t="inlineStr">
        <is>
          <t>dzvn6n</t>
        </is>
      </c>
      <c r="B6035" t="inlineStr">
        <is>
          <t>So I have to ask for answers</t>
        </is>
      </c>
      <c r="C6035" t="inlineStr">
        <is>
          <t>And I'm not entirely sure this would be the right/best place to ask.  
My fiancee was recently diagnosed stage III squamous cell carcinoma of the anus. She starts radiation+chemo in a couple of weeks, seven week program.  
She's already wheelchair bound from a severe stroke a few years ago. She has a few other pre-existing health issues.  Enough so that I'm prepping for End of Life protocols, with the assumption that successful treatment will allow her to maybe see her birthday next year. Maybe.
I've been the primary caregiver for a couple of years already. I'm reducing my hours at work for at least as long as the treatment lasts. 
My questions would be, what should I really be expecting during the treatments? How bad can it get? How messy will home life be? What interpersonal complications might I expect? 
I'm not one to appreciate sugar-coated answers. I'm seeking the pure brutality of truth, here. I need to know worst-case scenarios, and I will work backward from there.  
Feel free to DM me responses of you don't want to post publicly. Or to direct me to a more appropriate place to ask.</t>
        </is>
      </c>
      <c r="D6035" t="n">
        <v>1</v>
      </c>
      <c r="E6035" t="n">
        <v>6</v>
      </c>
      <c r="F6035">
        <f>HYPERLINK("https://www.reddit.com/r/cancer/comments/dzvn6n/so_i_have_to_ask_for_answers/")</f>
        <v/>
      </c>
      <c r="G6035" t="inlineStr">
        <is>
          <t>2019-11-21 20:09:15</t>
        </is>
      </c>
      <c r="H6035" t="inlineStr"/>
    </row>
    <row r="6036">
      <c r="A6036" t="inlineStr">
        <is>
          <t>dzvxz9</t>
        </is>
      </c>
      <c r="B6036" t="inlineStr">
        <is>
          <t>SSDI &amp;amp; The Future</t>
        </is>
      </c>
      <c r="C6036" t="inlineStr">
        <is>
          <t>Had a 2nd reoccurrence on cancer, but doing alright now. I’m on ssdi &amp;amp; medicaid right now. Do I only have these options for my future?
1) stay on ssdi &amp;amp; medicaid for life and enjoy what life I have left?
2) Try their back to work program and keep medicaid?
3) Try creating my own business (one I want) 
            -but does that mean I have to drop ssdi and.     
medicaid?
            -how does one created a business and get good healthcare to cover cost of scans and all that through the year?</t>
        </is>
      </c>
      <c r="D6036" t="n">
        <v>1</v>
      </c>
      <c r="E6036" t="n">
        <v>5</v>
      </c>
      <c r="F6036">
        <f>HYPERLINK("https://www.reddit.com/r/cancer/comments/dzvxz9/ssdi_the_future/")</f>
        <v/>
      </c>
      <c r="G6036" t="inlineStr">
        <is>
          <t>2019-11-21 20:34:40</t>
        </is>
      </c>
      <c r="H6036" t="inlineStr"/>
    </row>
    <row r="6037">
      <c r="A6037" t="inlineStr">
        <is>
          <t>dzw66h</t>
        </is>
      </c>
      <c r="B6037" t="inlineStr">
        <is>
          <t>My mom</t>
        </is>
      </c>
      <c r="C6037" t="inlineStr">
        <is>
          <t>My mom has paceriatix cancer and liver cancer. She has 5 months. I cant stop crying. Regret is poring in cause i could have been a better son. I need help. I can stop crying. Im there for her now. Fuck do we not realize how fraglie life is. Idk what elae to say. Im broken. I cant stop cryimg when im alone. Fuck cancer man. This is such bullshit.</t>
        </is>
      </c>
      <c r="D6037" t="n">
        <v>1</v>
      </c>
      <c r="E6037" t="n">
        <v>5</v>
      </c>
      <c r="F6037">
        <f>HYPERLINK("https://www.reddit.com/r/cancer/comments/dzw66h/my_mom/")</f>
        <v/>
      </c>
      <c r="G6037" t="inlineStr">
        <is>
          <t>2019-11-21 20:55:35</t>
        </is>
      </c>
      <c r="H6037" t="inlineStr"/>
    </row>
    <row r="6038">
      <c r="A6038" t="inlineStr">
        <is>
          <t>dzxhkh</t>
        </is>
      </c>
      <c r="B6038" t="inlineStr">
        <is>
          <t>Mom diagnosed with Stage 4 Lung cancer</t>
        </is>
      </c>
      <c r="C6038" t="inlineStr">
        <is>
          <t>Hello all, 
I thought I would post on here, my mother was diagnosed yesterday with stage 4 lung cancer, after surviving a devastating PE, 4 months ago, however those 4 months she got worse, loads of coughing, requesting doctors to recheck her symptoms, and their response was "it's normal" but, I suspect this is due to her being obese that they didn't look for cancer at the time as a possibility. We finally got a second opinion and last week she got rechecked into hospital for an array of symptoms that appeared (excessive bleeding, etc.)   
Now, she has been diagnosed with stage 4 lung cancer, due to them draining her lungs of excess fluid. They are doing further tests to see if its spread elsewhere (colonoscopy, biopsy, etc.)   
But, I am her eldest son, and she's always relied on me to calm her and be her rock, but, this is the first time, I feel rocked to my core with every emotion on the planet, from pure anger, sadness and anxiety. The whole family is looking to me for support and it's just a lot to take in. My mother is 57 years old, and has a steady partner, (Whose an alcoholic but his really good to her and me) They have a 17 year old daughter, who is my sister. And the pressure is immense on me to be the supportive son.   
I haven't given up on her yet, as we don't know timelines or how aggressive it is just yet. I am super proud of her, since after the PE, she lost 29kg's in 4 months to better her health, and now she is probably going to go on the toughest journey of her life. 
I would love some advice or morale support that isn't my family or partner, so far, my partner has been exceptional in being my support and rock, and I have broken down in front of her but, remaining strong for my mom and not showing my terror. 
&amp;amp;#x200B;
Thank you...</t>
        </is>
      </c>
      <c r="D6038" t="n">
        <v>1</v>
      </c>
      <c r="E6038" t="n">
        <v>11</v>
      </c>
      <c r="F6038">
        <f>HYPERLINK("https://www.reddit.com/r/cancer/comments/dzxhkh/mom_diagnosed_with_stage_4_lung_cancer/")</f>
        <v/>
      </c>
      <c r="G6038" t="inlineStr">
        <is>
          <t>2019-11-21 23:07:35</t>
        </is>
      </c>
      <c r="H6038" t="inlineStr"/>
    </row>
    <row r="6039">
      <c r="A6039" t="inlineStr">
        <is>
          <t>e003co</t>
        </is>
      </c>
      <c r="B6039" t="inlineStr">
        <is>
          <t>Made it through chemo! But there's still more work to do.</t>
        </is>
      </c>
      <c r="C6039" t="inlineStr">
        <is>
          <t>I had my last chemo infusion yesterday which is amazing but terrifying. I'm a jumble of emotions and find myself crying a lot, and I'm not really sure why. I'm going from seeing my oncologist every 2 weeks to not seeing her again for 3. I start tamoxifen in two weeks to block my hormone production since my tumors were 100% estrogen fed. Not looking forward to starting menopause at 32, but it's certainly better than cancer recurrance. I do know that logically. 
I'm worried my support system doesn't realize that I'm not done even though I'm no longer getting chemo. I still have to have another surgery for reconstruction, my port needs to be removed, chemo effects don't go away overnight, I can't have kids, the drugs I'm going in will permanently change my lifestyle, sex drive, and possibly cause pain and other more serious side effects I don't want to think about. But everyone's just so happy I'm done with active infusions. The cancer, for now, is gone. And that's worth celebrating.
But I'm worried we didn't get it all even though I was essentially doing cleanup chemo based on a high oncotype score after the tumor was removed in my mastectomy this summer. It hadn't reached my lymph nodes, but my score was high and I'm young so we hit it with everything just to be sure. 
Does the paranoia go away? How do I convince myself I don't need to call my RN for every random ache or pain thinking it's the cancer coming back? I should be celebrating, but mostly I feel like I've been thrown to the wolves to fend for myself. Everyone here is so lovely and helpful and I'm sure many of you are going through this too or went through it already. Any advice?</t>
        </is>
      </c>
      <c r="D6039" t="n">
        <v>1</v>
      </c>
      <c r="E6039" t="n">
        <v>10</v>
      </c>
      <c r="F6039">
        <f>HYPERLINK("https://www.reddit.com/r/cancer/comments/e003co/made_it_through_chemo_but_theres_still_more_work/")</f>
        <v/>
      </c>
      <c r="G6039" t="inlineStr">
        <is>
          <t>2019-11-22 04:06:10</t>
        </is>
      </c>
      <c r="H6039" t="inlineStr"/>
    </row>
    <row r="6040">
      <c r="A6040" t="inlineStr">
        <is>
          <t>e00ulo</t>
        </is>
      </c>
      <c r="B6040" t="inlineStr">
        <is>
          <t>Dealing with quack 'cure' pushing relative</t>
        </is>
      </c>
      <c r="C6040" t="inlineStr">
        <is>
          <t>Hi all. My dad is in the end stages of lung cancer and I'm just looking for some advice on a family issue. Dad's been diagnosed and in chemo/treatment for about a year but he's been supremely quiet on the specific details (stage, progress etc). When he ended up in intensive care with very bad pneumonia a few weeks ago, it was a huge shock to the family. He was frankly on the verge of dying. 
His wife basically found out the truth and extent of his metastases last week - it's been extremely rough on his family. I'm the adult child from a previous marriage, so I don't live with them and don't see the daily struggle, although previously and in general we are very close and in constant contact. 
So stepmom confides in me often, I seem to be one of her closest and biggest sources of emotional support (at my offering), and she has said that dad's brother is completely nuts with pushing alternative 'cures'. When the truth came out, he started very aggressively advocating some sort of bicarb cure etc. He comes over to their house every day because the elderly parents live there too. Stepmom finally got him to drop the bicarb thing after a confrontational discussion but now he seems to be talking about a lemon water thing.
So my question is - how would you deal with an emotional family member, pushing quack cures? I realize he's probably in some sort of anticipatory grief/denial, desperate to help his brother. But the only thing he's doing is upsetting stepmom and putting another thing on her already heavily overburdened shoulders. I'm wondering how to get through to him that he's being disruptive, not helpful? Please share any experience or wise words you may have on this matter, I'm very grateful for any advice.</t>
        </is>
      </c>
      <c r="D6040" t="n">
        <v>1</v>
      </c>
      <c r="E6040" t="n">
        <v>22</v>
      </c>
      <c r="F6040">
        <f>HYPERLINK("https://www.reddit.com/r/cancer/comments/e00ulo/dealing_with_quack_cure_pushing_relative/")</f>
        <v/>
      </c>
      <c r="G6040" t="inlineStr">
        <is>
          <t>2019-11-22 05:17:38</t>
        </is>
      </c>
      <c r="H6040" t="inlineStr"/>
    </row>
    <row r="6041">
      <c r="A6041" t="inlineStr">
        <is>
          <t>e02cnu</t>
        </is>
      </c>
      <c r="B6041" t="inlineStr">
        <is>
          <t>“Groundglass opacities” in lungs on CT scan?</t>
        </is>
      </c>
      <c r="C6041" t="inlineStr">
        <is>
          <t>I promise I’m not panicking, but I’m...*very concerned.*
I’m 3 years NED from stage 1b cervical cancer. I’ve had a cough for a month. 
Experience with this finding? Knowledge of groundglass opacities? 
Thank you.</t>
        </is>
      </c>
      <c r="D6041" t="n">
        <v>1</v>
      </c>
      <c r="E6041" t="n">
        <v>15</v>
      </c>
      <c r="F6041">
        <f>HYPERLINK("https://www.reddit.com/r/cancer/comments/e02cnu/groundglass_opacities_in_lungs_on_ct_scan/")</f>
        <v/>
      </c>
      <c r="G6041" t="inlineStr">
        <is>
          <t>2019-11-22 07:18:52</t>
        </is>
      </c>
      <c r="H6041" t="inlineStr"/>
    </row>
    <row r="6042">
      <c r="A6042" t="inlineStr">
        <is>
          <t>e03o0s</t>
        </is>
      </c>
      <c r="B6042" t="inlineStr">
        <is>
          <t>I was diagnosed with skin caner</t>
        </is>
      </c>
      <c r="C6042" t="inlineStr">
        <is>
          <t>I was diagnosed with melanoma and honestly i dont care. Its rare because melanoma isnt common to get in younger people but... i have it.</t>
        </is>
      </c>
      <c r="D6042" t="n">
        <v>1</v>
      </c>
      <c r="E6042" t="n">
        <v>10</v>
      </c>
      <c r="F6042">
        <f>HYPERLINK("https://www.reddit.com/r/cancer/comments/e03o0s/i_was_diagnosed_with_skin_caner/")</f>
        <v/>
      </c>
      <c r="G6042" t="inlineStr">
        <is>
          <t>2019-11-22 08:54:06</t>
        </is>
      </c>
      <c r="H6042" t="inlineStr"/>
    </row>
    <row r="6043">
      <c r="A6043" t="inlineStr">
        <is>
          <t>e06dau</t>
        </is>
      </c>
      <c r="B6043" t="inlineStr">
        <is>
          <t>Ready to go</t>
        </is>
      </c>
      <c r="C6043" t="inlineStr">
        <is>
          <t>Back to rant, after a week of being unable to drink water and feeling as weak as I have been lm ready for the suffering to stop</t>
        </is>
      </c>
      <c r="D6043" t="n">
        <v>1</v>
      </c>
      <c r="E6043" t="n">
        <v>5</v>
      </c>
      <c r="F6043">
        <f>HYPERLINK("https://www.reddit.com/r/cancer/comments/e06dau/ready_to_go/")</f>
        <v/>
      </c>
      <c r="G6043" t="inlineStr">
        <is>
          <t>2019-11-22 11:59:09</t>
        </is>
      </c>
      <c r="H6043" t="inlineStr"/>
    </row>
    <row r="6044">
      <c r="A6044" t="inlineStr">
        <is>
          <t>e071hp</t>
        </is>
      </c>
      <c r="B6044" t="inlineStr">
        <is>
          <t>Correlation and causation , my cancer and vaccination</t>
        </is>
      </c>
      <c r="C6044" t="inlineStr">
        <is>
          <t>I work as a researcher at a German university , here for getting fieldwork research funding you need to produce yellow card (vaccination passport) with all basic vaccinations done. I had all the vaccination in my country growing up but I did not have a yellow card from home so i had to make a new one and repeat all the necessary vaccinations to get necessary paperwork to get the funding from university. 
I got few vaccinations in mid December and in a week i had swollen lymph nodes in my neck, i knew that this can be a simple immune response to vaccination, i also got a bit of fever. The fever went away but the lymph nodes kept on increasing in size very slowly. Next month i went to my doctor and he recommended a specialist but told me that not to worry. Then i had to complete some paperwork and research so i got busy. In march , I was in field abroad when i finally did a biopsy of a lymph node and sent it for testing, one week later I was diagnosed with T cell lymphoma (T cells are heavily involved in immune and vaccination activity) . 
Now being a student of science I am not a anti vaxer by any means but i do see a correlation and I think that my cancer might, might!! Have been caused by the vaccinations. 
I just want to know if others see this correlation also or its just me looking for an explanation. 
(My family does not have any history of cancer)</t>
        </is>
      </c>
      <c r="D6044" t="n">
        <v>1</v>
      </c>
      <c r="E6044" t="n">
        <v>8</v>
      </c>
      <c r="F6044">
        <f>HYPERLINK("https://www.reddit.com/r/cancer/comments/e071hp/correlation_and_causation_my_cancer_and/")</f>
        <v/>
      </c>
      <c r="G6044" t="inlineStr">
        <is>
          <t>2019-11-22 12:44:21</t>
        </is>
      </c>
      <c r="H6044" t="inlineStr"/>
    </row>
    <row r="6045">
      <c r="A6045" t="inlineStr">
        <is>
          <t>e07qz9</t>
        </is>
      </c>
      <c r="B6045" t="inlineStr">
        <is>
          <t>I need advice on how to deal.</t>
        </is>
      </c>
      <c r="C6045" t="inlineStr">
        <is>
          <t>My mom was diagnosed with cancer two months ago. We lived in Florida when it was confirmed and she moved up north to get treatment and stay with her family. She is very specific about what details she shares with me about it.(assuming it is to keep me calm as this is a time where she needs to stay positive). 
Shortly after that, a car hit mine while driving and totaled it. I have six herniated discs and have been going to pt 3 times a week for 3 months.
I started thinking something was amiss when her boyfriend started spending large amounts of money to buy a diesel pickup truck and a 28k rv. This was money meant to be for them to get a house and live happily ever after.
I started getting angry because had I been in his situation, regardless of where my girl/wife was, I’d be by her side. Hes staying in Florida and isn’t moving to be near her because of the cold winters. He’s making a trip to bring her bigger stuff up and put it in storage. I’m not going to get into the details of her lowlife boyfriend as this post is about her and me trying to get a hold of my emotions, especially around her. Her and the pups are everything that’s important to me. I don’t care about the materialistic stuff.
I have mixed feelings that jump from anger to sadness and it’s hard for me to keep my composure around her. She is my anchor and no matter where I am in the world, all roads lead back to her. She raised me as a single mom. 
I pulled a straight shot from Florida to her. (18 + hour drive) to bring her some of her stuff and her dogs. Upon arriving, everyone was surprised because her lowlife boyfriend failed to communicate with her. The intention was to get there before thanksgiving and spend time with her. 
At this point when I arrived, my aunt pulled me aside to tell me what my mom couldn’t. It was stage 4. 
This has destroyed my composure about this situation.
Turns out she really can’t keep her dogs because she can’t be around the germs and it has fallen on me to figure things out. One dog, I have a place for. A friend said her and her husband had no problems watching him for me, I just have to fly him across the country. Unfortunately my moms other dog is a different situation. She has a bump on her stomach and I feel like no one would adopt her due to that and her age. It kills me to think that the shelter will put her down. 
So I’m sitting here in her van with two dogs, trying to eat the food I just bought. (Haven’t really been able to eat the last 3 days).  I’m panicking trying to find an apartment and figure things out with her dog.
Does anyone know of a trustworthy service to ship my little guy safely?
Also any other helpful words regarding the situation?
I’ve probably jumped around and missed details. some of my writing might seem incoherent. Sorry.</t>
        </is>
      </c>
      <c r="D6045" t="n">
        <v>1</v>
      </c>
      <c r="E6045" t="n">
        <v>8</v>
      </c>
      <c r="F6045">
        <f>HYPERLINK("https://www.reddit.com/r/cancer/comments/e07qz9/i_need_advice_on_how_to_deal/")</f>
        <v/>
      </c>
      <c r="G6045" t="inlineStr">
        <is>
          <t>2019-11-22 13:33:21</t>
        </is>
      </c>
      <c r="H6045" t="inlineStr"/>
    </row>
    <row r="6046">
      <c r="A6046" t="inlineStr">
        <is>
          <t>e085dc</t>
        </is>
      </c>
      <c r="B6046" t="inlineStr">
        <is>
          <t>Process to diagnosis.</t>
        </is>
      </c>
      <c r="C6046" t="inlineStr">
        <is>
          <t>So, 2 and a half weeks ago, I went to my primary about a lump I’ve had for over a year. It was barely noticeable and never gave me an issue. Over the past few months, it’s grown considerably, and probably the past month, it started to hurt down my arm. I finally made the appointment, and within 3 days, I had gotten an ultrasound, X-ray, CT scan, and bloodwork. She called me in and said “I can’t know for sure without a biopsy, but it doesn’t look good.” So, oncologist the next day. He said it’s one of the 3: thyroid, thymus gland, or lymphoma. But, I have a very large mass on my thyroid, another very large mass on my collarbone area, and small lung nodules. Again, he said “I can’t 100% tell you that you have cancer, but I can 99.9% tell you that you have cancer.” I got a PET scan a few days ago. I finally met with the surgical oncologist yesterday, 11/21, and my surgical biopsy is scheduled for Tuesday, 11/26. Luckily, the PET showed that the cancer hasn’t spread past my thyroid, my left side neck lymph nodes, and my lungs. I’m 20 years old and the only surgery I’ve ever had was my wisdom teeth. This is a full surgery, expected to take 2 hours. They’re biopsing both of my masses and also scoping into my lungs. This is not even 3 weeks in the making and I feel so overwhelmed. I’ve been in so much pain and I’m exhausted. I’ve had nearly daily doctors visits. I’ve had more blood work and IV’s in the past few weeks than I think I’ve had in my entire life. I don’t even have an official diagnosis but yet it’s cancer. I just don’t know which one it is. It’s so overwhelming and I’ve gone through so many emotions over the past few weeks. I think the initial shock has worn off, and now I’m just sad. Trying to be strong sucks.</t>
        </is>
      </c>
      <c r="D6046" t="n">
        <v>1</v>
      </c>
      <c r="E6046" t="n">
        <v>24</v>
      </c>
      <c r="F6046">
        <f>HYPERLINK("https://www.reddit.com/r/cancer/comments/e085dc/process_to_diagnosis/")</f>
        <v/>
      </c>
      <c r="G6046" t="inlineStr">
        <is>
          <t>2019-11-22 14:01:43</t>
        </is>
      </c>
      <c r="H6046" t="inlineStr"/>
    </row>
    <row r="6047">
      <c r="A6047" t="inlineStr">
        <is>
          <t>e08s7a</t>
        </is>
      </c>
      <c r="B6047" t="inlineStr">
        <is>
          <t>My dad has Dermatomyositis cancer</t>
        </is>
      </c>
      <c r="C6047" t="inlineStr">
        <is>
          <t>I just found out 5 minutes ago that my dad has Dermatomyositis cancer (he is 66 years old). This might be a stupid question but are these usually treatable or are these one of those cancers that kill you quickly and there's nothing you can do. Does it depend on a case by case basis?
Is it often treatable and nonlife-threatening?
again, sorry if I sound dumb</t>
        </is>
      </c>
      <c r="D6047" t="n">
        <v>1</v>
      </c>
      <c r="E6047" t="n">
        <v>3</v>
      </c>
      <c r="F6047">
        <f>HYPERLINK("https://www.reddit.com/r/cancer/comments/e08s7a/my_dad_has_dermatomyositis_cancer/")</f>
        <v/>
      </c>
      <c r="G6047" t="inlineStr">
        <is>
          <t>2019-11-22 14:47:45</t>
        </is>
      </c>
      <c r="H6047" t="inlineStr"/>
    </row>
    <row r="6048">
      <c r="A6048" t="inlineStr">
        <is>
          <t>e0b5mt</t>
        </is>
      </c>
      <c r="B6048" t="inlineStr">
        <is>
          <t>Surgeon saying I need a complete laryngectomy and I'm considering Physician Assisted Suicide instead.</t>
        </is>
      </c>
      <c r="C6048" t="inlineStr">
        <is>
          <t>I'm a non-smoker, light drinker and started having a chronic sore throat almost 2 years ago.  
Multiple doctors told me I had acid reflux and have been treating me with acid blockers.  After months waiting and additional tests they "confirmed" acid reflux 3 weeks ago and suggested a TIF procedure to resolve the problem, but it was a 2-3 month wait for the procedure so I went to another doctor at another medical facility to see if I could have it done sooner.
Two weeks later I have a diagnosis of advanced thyroid cancer that has penetrated my larynx.  The doctors are pushing immediate surgery including the complete removal of my voice box.    
I am suddenly faced with completely losing my ability to speak, and having a tube sticking out of my throat for the rest of my life.  
*This sounds like my idea of hell and I am unable to imagine a life worth living in this state.*
Right now I can opt for de-bulking surgery but that is not a cure, it is a short term fix.  The cancer would continue to grow and I'd be dead within months, but I'd have a few good months before then.  When things started getting bad again I could consider physician assisted suicide to end the pain.
If I have the laryngectomy surgery there is a good likelihood of physical recovery, but a very poor prospect of psychological recovery, at least in my case.  Worse, if I am physically cured but no longer want to live the option of physician assisted suicide would no longer be available to me, and that terrifies me more than the prospect of surgery.
Has anyone on here had it, or have family members who have had their larynx removed?  Is there any quality of life left at all?
Any support at all would be appreciated.</t>
        </is>
      </c>
      <c r="D6048" t="n">
        <v>1</v>
      </c>
      <c r="E6048" t="n">
        <v>51</v>
      </c>
      <c r="F6048">
        <f>HYPERLINK("https://www.reddit.com/r/cancer/comments/e0b5mt/surgeon_saying_i_need_a_complete_laryngectomy_and/")</f>
        <v/>
      </c>
      <c r="G6048" t="inlineStr">
        <is>
          <t>2019-11-22 17:47:47</t>
        </is>
      </c>
      <c r="H6048" t="inlineStr"/>
    </row>
    <row r="6049">
      <c r="A6049" t="inlineStr">
        <is>
          <t>e0bd8q</t>
        </is>
      </c>
      <c r="B6049" t="inlineStr">
        <is>
          <t>Lost link to breast cancer survivors’ online group</t>
        </is>
      </c>
      <c r="C6049" t="inlineStr">
        <is>
          <t>Two days ago someone messaged me, asking me to contribute my info to an online breast cancer survivors’ group. For some reason, her message is gone. If the person who messaged me sees this, please message me again so I can log into it. Thank you!</t>
        </is>
      </c>
      <c r="D6049" t="n">
        <v>1</v>
      </c>
      <c r="E6049" t="n">
        <v>0</v>
      </c>
      <c r="F6049">
        <f>HYPERLINK("https://www.reddit.com/r/cancer/comments/e0bd8q/lost_link_to_breast_cancer_survivors_online_group/")</f>
        <v/>
      </c>
      <c r="G6049" t="inlineStr">
        <is>
          <t>2019-11-22 18:04:41</t>
        </is>
      </c>
      <c r="H6049" t="inlineStr"/>
    </row>
    <row r="6050">
      <c r="A6050" t="inlineStr">
        <is>
          <t>e0bhvp</t>
        </is>
      </c>
      <c r="B6050" t="inlineStr">
        <is>
          <t>Watching your Mentor go down in flames... :(</t>
        </is>
      </c>
      <c r="C6050" t="inlineStr">
        <is>
          <t>im not sure if this is the right place or not...My roommate an Chef Mentor is going on his second time of throat cancer..I quit my .Sous Chef and took a lesser position to stay at home more to help out..Now in week 5 of chemo im not there tobe by his side because his ex just got her 4th DUI. On top of that since im the only one with parental right here its been a 180 on my life.
Everyone took off to go see him "the last" maybe but left me with the 7yo.....im asking for help and guidance on how to talk to a kid thats that young...please i dont know what to do.</t>
        </is>
      </c>
      <c r="D6050" t="n">
        <v>1</v>
      </c>
      <c r="E6050" t="n">
        <v>7</v>
      </c>
      <c r="F6050">
        <f>HYPERLINK("https://www.reddit.com/r/cancer/comments/e0bhvp/watching_your_mentor_go_down_in_flames/")</f>
        <v/>
      </c>
      <c r="G6050" t="inlineStr">
        <is>
          <t>2019-11-22 18:15:13</t>
        </is>
      </c>
      <c r="H6050" t="inlineStr"/>
    </row>
    <row r="6051">
      <c r="A6051" t="inlineStr">
        <is>
          <t>e0bn0j</t>
        </is>
      </c>
      <c r="B6051" t="inlineStr">
        <is>
          <t>Any chicks with terminal cancer want to date?</t>
        </is>
      </c>
      <c r="C6051" t="inlineStr">
        <is>
          <t>I’m afraid of long term commitment. 
Hit me up.</t>
        </is>
      </c>
      <c r="D6051" t="n">
        <v>1</v>
      </c>
      <c r="E6051" t="n">
        <v>0</v>
      </c>
      <c r="F6051">
        <f>HYPERLINK("https://www.reddit.com/r/cancer/comments/e0bn0j/any_chicks_with_terminal_cancer_want_to_date/")</f>
        <v/>
      </c>
      <c r="G6051" t="inlineStr">
        <is>
          <t>2019-11-22 18:27:23</t>
        </is>
      </c>
      <c r="H6051" t="inlineStr"/>
    </row>
    <row r="6052">
      <c r="A6052" t="inlineStr">
        <is>
          <t>e0cjmc</t>
        </is>
      </c>
      <c r="B6052" t="inlineStr">
        <is>
          <t>Recently diagnosed and lost</t>
        </is>
      </c>
      <c r="C6052" t="inlineStr">
        <is>
          <t>I am 33 years old. Recently they drained a cyst that came back with carcinoma of the breast, and also did a biopsy on a mass that came back with Invasive Ductal Carcinoma.
There are more cysts that were not touched because they were not causing any pain. So I'm worried I have more going on in both breasts instead of good ol lefty. And they did not give me the size of the mass other than it was described as sizeable. But I guess I'll know more soon.
Overall I am fighting feeling completely numb or a large amount of anxiety- and all I really know is that the big C word is in my body. I have a drs appt on Monday for a genetic test and another for a consultation with a specialist, but I am not sure what to expect or how quickly I can act on this. I am so very worried for my family.
I'm not sure what I am looking for by posting here, but I just feel like I needed to get this out.</t>
        </is>
      </c>
      <c r="D6052" t="n">
        <v>1</v>
      </c>
      <c r="E6052" t="n">
        <v>11</v>
      </c>
      <c r="F6052">
        <f>HYPERLINK("https://www.reddit.com/r/cancer/comments/e0cjmc/recently_diagnosed_and_lost/")</f>
        <v/>
      </c>
      <c r="G6052" t="inlineStr">
        <is>
          <t>2019-11-22 19:45:36</t>
        </is>
      </c>
      <c r="H6052" t="inlineStr"/>
    </row>
    <row r="6053">
      <c r="A6053" t="inlineStr">
        <is>
          <t>e0dphw</t>
        </is>
      </c>
      <c r="B6053" t="inlineStr">
        <is>
          <t>Stage 4 lung cancer</t>
        </is>
      </c>
      <c r="C6053" t="inlineStr">
        <is>
          <t>Hi everyone. I just completed chemo and will be moving on to maintenance. My scans have been stable since Summer. I started out with tumors in both lungs and mets throughout my body. Currently my primary tumor in my left lung is what is left of the cancer and that has shrunk to 8mm which has been the same size since the summer. (Does anyone know why it didn’t shrink further if I had more treatments?).. 
Also should I be pushing my oncologist for a PET scan? I had one when I was diagnosed but since then I have been only having cat scans of my chest and abdomen which now doesn’t make sense to me because if it spread in the first place why wouldn’t they want to make sure it’s not in other areas?.. anyways I see my doctor in two weeks and will definitely address my concerns, I just wanted to see what others have to say here. Thank you:)</t>
        </is>
      </c>
      <c r="D6053" t="n">
        <v>1</v>
      </c>
      <c r="E6053" t="n">
        <v>0</v>
      </c>
      <c r="F6053">
        <f>HYPERLINK("https://www.reddit.com/r/cancer/comments/e0dphw/stage_4_lung_cancer/")</f>
        <v/>
      </c>
      <c r="G6053" t="inlineStr">
        <is>
          <t>2019-11-22 21:38:42</t>
        </is>
      </c>
      <c r="H6053" t="inlineStr"/>
    </row>
    <row r="6054">
      <c r="A6054" t="inlineStr">
        <is>
          <t>e0jwo6</t>
        </is>
      </c>
      <c r="B6054" t="inlineStr">
        <is>
          <t>A Team from MIT Looking for Insights on Pediatric Cancer</t>
        </is>
      </c>
      <c r="C6054" t="inlineStr">
        <is>
          <t>We are a team from MIT working on solving problems (Such as creating an APP) that Pediatric Cancer patients and their families/caretakers face. We were wondering if you would like to fill out the form below to better assist us in this process. We truly believe that the best way to solve such a human-centric problem is to ask people about what their experiences were/are like. Thank you so much for your time.
The form:
[https://forms.gle/ZnRpkB2Va2vPtBLa9](https://forms.gle/ZnRpkB2Va2vPtBLa9)</t>
        </is>
      </c>
      <c r="D6054" t="n">
        <v>1</v>
      </c>
      <c r="E6054" t="n">
        <v>3</v>
      </c>
      <c r="F6054">
        <f>HYPERLINK("https://www.reddit.com/r/cancer/comments/e0jwo6/a_team_from_mit_looking_for_insights_on_pediatric/")</f>
        <v/>
      </c>
      <c r="G6054" t="inlineStr">
        <is>
          <t>2019-11-23 08:16:12</t>
        </is>
      </c>
      <c r="H6054" t="inlineStr"/>
    </row>
    <row r="6055">
      <c r="A6055" t="inlineStr">
        <is>
          <t>e0p6fl</t>
        </is>
      </c>
      <c r="B6055" t="inlineStr">
        <is>
          <t>Lung cancer and fear of discontinuing chemotherapy</t>
        </is>
      </c>
      <c r="C6055" t="inlineStr">
        <is>
          <t>Hey all, I posted here a couple of months ago about my mom. Long story short, she had surgery of the spine that resulted in a large cell lung cancer diagnosis, stage 4. Since then she has undergone more genetic and imaging tests (multiple full body CTs, MRIs and one PET) than I can remember. Oligometastatic disease, so few and limited affected sites, brain all clear.
Her doctors started her on Keytruda, Taxol and Carboplatin. Her body seems to react well. She had control scans after two cycles and all her tumors shrank by 40%. She says she feels better every day and has no side effects from the immunochemotherapy barring hair loss. She has also discontinued all painkillers and gained 10 pounds over the last two months (she even eats during the chemo drip, while I can barely drink water while there with her).
So...next week she will go through her last, fourth cycle. Her oncologist (an incredible doctor, really) wants to leave her on Keytruda alone and move onto consolidating radiotherapy (SBRT or proton, not decided yet) to eradicate the remaining cancer sites.
However, the discontinuation of chemotherapy (carboplatin and paclitaxel) makes me extremely apprehensive and concerned. First and foremost, my mom has improved tremendously on that combination with no notable toxicity (bloodwork included). Second, her PDL1 status is negative, so I am not sure how effectively Keytruda alone will manage her disease.
I raised those concerns with her medical team - they insist on moving to radical treatment and Keytruda monotherapy. Needless to say, I trust them 100% and they have achieved more than I imagined possible in such a short timeframe. We will undoubtedly follow their recommendation, regardless of our fears.
So I wanted to ask...how do you deal with all the anxiety when your treatment changes? 
The only thing I truly want is my old, healthy mom. That’s all. And thank you all for the advice!</t>
        </is>
      </c>
      <c r="D6055" t="n">
        <v>1</v>
      </c>
      <c r="E6055" t="n">
        <v>16</v>
      </c>
      <c r="F6055">
        <f>HYPERLINK("https://www.reddit.com/r/cancer/comments/e0p6fl/lung_cancer_and_fear_of_discontinuing_chemotherapy/")</f>
        <v/>
      </c>
      <c r="G6055" t="inlineStr">
        <is>
          <t>2019-11-23 14:22:26</t>
        </is>
      </c>
      <c r="H6055" t="inlineStr"/>
    </row>
    <row r="6056">
      <c r="A6056" t="inlineStr">
        <is>
          <t>e0rg3t</t>
        </is>
      </c>
      <c r="B6056" t="inlineStr">
        <is>
          <t>Foreskin cancer</t>
        </is>
      </c>
      <c r="C6056" t="inlineStr">
        <is>
          <t>Is there a way to just be circumcised to remove the cancer since it was caught early on?
No one seems to know much online or at the doctors.</t>
        </is>
      </c>
      <c r="D6056" t="n">
        <v>1</v>
      </c>
      <c r="E6056" t="n">
        <v>2</v>
      </c>
      <c r="F6056">
        <f>HYPERLINK("https://www.reddit.com/r/cancer/comments/e0rg3t/foreskin_cancer/")</f>
        <v/>
      </c>
      <c r="G6056" t="inlineStr">
        <is>
          <t>2019-11-23 17:14:52</t>
        </is>
      </c>
      <c r="H6056" t="inlineStr"/>
    </row>
    <row r="6057">
      <c r="A6057" t="inlineStr">
        <is>
          <t>e0ti3j</t>
        </is>
      </c>
      <c r="B6057" t="inlineStr">
        <is>
          <t>Can recurrent clear cell endometrial cancer go into remission? Looking for any hope amidst a dearth of data...</t>
        </is>
      </c>
      <c r="C6057" t="inlineStr">
        <is>
          <t>Hi everyone,
I’ve posted here before, but have never gotten much back in response. Two years ago my mother had a radical hysterectomy to remove clear cell endometrial cancer. It was stage 1a, presumed cured. Within a year it was back, and she’s now on round 9 of carboplatin and taxol. She’s at an integrative center so she’s also doing exercise and nutritional support. Last scan showed almost no disease, and her next scan is this week and the doctors presume she may get a clear scan given how little disease was left, the big drop in her tumor markers, and how well she’s been responding to treatment. We were told there was a chance she wouldn’t respond at all. 
We had been led to believe up until this point that a clean scan is what we were shooting for, and that they would take her off of chemo and move to a maintenance plan after that. However, at the last meeting with the oncologist she basically told my mother that her plan would be to keep her on chemo indefinitely until the cancer either recurred or she could no longer tolerate it.
This then led us to presume that what they’re saying is that they don’t believe that my mother’s cancer can ever go truly into remission, even if she gets a clear scan. So, we have no idea what to do with this information. The internet is completely lacking in any survival rates for recurrent clear cell cancer. There are stats for various stages, but not recurrence that I can find. I know it’s a super rare cancer, and that remission is uncommon and life expectancy is usually 3-5 years, but presumably some live longer and some *have* had remissions in the past, no? Even the stage 4 survival rates for non-recurrent clear cell are not 100%, so presumably some people do survive past 5 years with advanced stages of the disease, but I’m not sure what if anything would be different about recurrent cancer survival rates... 
We’ve also been told that there’s now an immunotherapy drug for endometrial cancer that is out of trial that they would put her on if the  cancer recurs... but I guess the question is... is her cancer just always presumed to recur no matter what, even with immunotherapy? This of course effects what we would do for the long term and whether my mother would pursue further treatment. She does not want to do any more chemo if she gets a clear scan... is the point of both chemo and immunotherapy at this point just buying time and recurrence is inevitable? 
I’m just... I feel like this new information flies in the face of what we had been told up until now and it’s just taken the wind out of our sails a bit.
Anyway... any thoughts from those out there? Anyone have experience in this? Any actual doctors floating around with a take on this?</t>
        </is>
      </c>
      <c r="D6057" t="n">
        <v>1</v>
      </c>
      <c r="E6057" t="n">
        <v>11</v>
      </c>
      <c r="F6057">
        <f>HYPERLINK("https://www.reddit.com/r/cancer/comments/e0ti3j/can_recurrent_clear_cell_endometrial_cancer_go/")</f>
        <v/>
      </c>
      <c r="G6057" t="inlineStr">
        <is>
          <t>2019-11-23 20:05:00</t>
        </is>
      </c>
      <c r="H6057" t="inlineStr"/>
    </row>
    <row r="6058">
      <c r="A6058" t="inlineStr">
        <is>
          <t>e0vr66</t>
        </is>
      </c>
      <c r="B6058" t="inlineStr">
        <is>
          <t>Liver Cancer diagnosis with Liver Resection at age 34</t>
        </is>
      </c>
      <c r="C6058" t="inlineStr">
        <is>
          <t>Hey everyone. I’m a 34 year old male who has never had a cigarette in my life and I haven’t touched alcohol in over a year, barely doing so even before that time. My only Vice is edible cannabis every 3 or 4 weeks. I started having terrible abdominal pain on October 18th and thought it would pass but by October 21st I conceded and went to the ER. After some blood work showed my liver was in distress I had a CT scan that revealed an 18 cm tumor in my liver. Never had any symptoms prior to the 18th and the thought process among doctors was that the pain was due to the large tumor pressing against and putting pressure on other organs, resulting in an inability to eat and an erratic heart rate and rhythm. I was told time after time it appears to be benign and might not even require any removal. Was admitted to the hospital on the 21st, places in the cardiac ward for monitoring due to the heart irregularities, and given a steady stream of opioid pain killers via IV. Before I even met with the surgeon supposed to evaluate my need for removal I was informed by a nurse the next morning that I had been scheduled for liver resection surgery the next morning the 23rd. It moved very fast but was glad to get this “benign” tumor out of me. Surgery went well and the surgeon told me and my family the tumor was benign and I was in the hospital until the 28th when I was discharged without having a follow up appointment scheduled with the surgeon. Two weeks later, after being informed by my primary physician and my workplaces benefits representative how unusual it was to not have a follow up appointment scheduled, I called the surgeons office and was told the earliest appointment was 2 weeks out, which I agreed to. Fast forward 4 hours and I got a call from his office asking if I can come in the next morning instead for an appointment. My girlfriend took the morning off to take me and we were sitting in his office as he walked in and looked at my suture saying it looked fine and then said the reason he asked to see me that day was because they sent my tumor to the Mayo Clinic as a second opinion sort of thing and they had 3 different doctors examine the tumor and all three came back with a diagnosis of liver cancer. He basically just laid it out very nonchalantly and said he’d gotten the call the day before with the results and I’d be referred to an Oncologist but he was “positive he removed it all”. You can imagine this was quite the bomb shell dropped on us as we’d been told all along that it was benign and no mention of it being sent anywhere was made. I was just shocked and it wasn’t until after he’d left and we were alone in the room waiting for the nurse return that my girlfriend put her hand on me and asked me how I was feeling after that news that I just broke down in tears. We’ve been together for 6 years and she’s only seen me cry once before this and I can say that numbers gone up significantly in these last couple of weeks. The oncologist I’ve been referred to has helped wash the negativity of the surgeons poor bedside manner and indifference in delivering the news. He seems genuinely invested and interested in my situation and care. And a follow CT scan came back clean but I am now entering a 5 year phase of “aggressive monitoring” with alternating CT and MRI scans every 3 months to ensure it doesn’t return. Only being 34 and finding out that I had liver cancer has me really anxious and spooked. My family’s reactions range from “I wish they cared more” to “Please stop treating me like I’m going to die tomorrow”. While I’m in a really good spot being free if the tumor and on a monitoring plan I’m terrified/convinced that it’s going to come back. Especially given how young I am and that it’s not like my lifestyle choices contributed heavily to it’s development. Has anybody else had anything similarly happen to them or someone they know? How did you cope with the anxiety? The only person I can speak freely with about this stuff and my feelings on it are my girlfriend but I really don’t want to be the constant Debbie downer as it dominates my thought process when I’m not focused on something really specific. I know this post is long and if you made it this far, I appreciate it. Just needed a spot to put it all out there and see if anybody has any advice or words of wisdom as this is all pretty new and overwhelming for me.</t>
        </is>
      </c>
      <c r="D6058" t="n">
        <v>1</v>
      </c>
      <c r="E6058" t="n">
        <v>10</v>
      </c>
      <c r="F6058">
        <f>HYPERLINK("https://www.reddit.com/r/cancer/comments/e0vr66/liver_cancer_diagnosis_with_liver_resection_at/")</f>
        <v/>
      </c>
      <c r="G6058" t="inlineStr">
        <is>
          <t>2019-11-24 00:05:12</t>
        </is>
      </c>
      <c r="H6058" t="inlineStr"/>
    </row>
    <row r="6059">
      <c r="A6059" t="inlineStr">
        <is>
          <t>e0wfi6</t>
        </is>
      </c>
      <c r="B6059" t="inlineStr">
        <is>
          <t>Guilt</t>
        </is>
      </c>
      <c r="C6059" t="inlineStr">
        <is>
          <t>A little more than a year ago I was diagnosed with cancer, had to amputate a toe. They managed to remove all cancer cells and all I have to do now, except worrying that it is hereditary and that my 3 kids will get it someday, is to do a PET/CT-scan every 6 month.
Earlier this week a friend from church (where my wife is a pastor) passed away from cancer. He got his diagnosis 6-12 months earlier than me, he amputated a toe some time before I did.
Now I feel guilt that I got rid of my cancer, but he died of his... And sadness that cancer once again took someone's life.</t>
        </is>
      </c>
      <c r="D6059" t="n">
        <v>1</v>
      </c>
      <c r="E6059" t="n">
        <v>7</v>
      </c>
      <c r="F6059">
        <f>HYPERLINK("https://www.reddit.com/r/cancer/comments/e0wfi6/guilt/")</f>
        <v/>
      </c>
      <c r="G6059" t="inlineStr">
        <is>
          <t>2019-11-24 01:31:52</t>
        </is>
      </c>
      <c r="H6059" t="inlineStr"/>
    </row>
    <row r="6060">
      <c r="A6060" t="inlineStr">
        <is>
          <t>e0xccl</t>
        </is>
      </c>
      <c r="B6060" t="inlineStr">
        <is>
          <t>Cancer Support Advice</t>
        </is>
      </c>
      <c r="C6060" t="inlineStr">
        <is>
          <t>This is my first post to reddit but idk where to turn: Good morning everyone. One of my best friends who I have known for over 12 years since we were in grade school is currently in the hospital for what we think is a cancer diagnosis. 
The doctors are suggesting they have Ewing’s sarcoma which is a rare but bearable condition. 
I have never known anyone who has gone through cancer treatment and I am trying to be as supportive as I can for them throughout the entire journey. 
Can anyone here help me out with the do’s and don’t a of support. By that I mean do I get them a hospital gift or not, do I frequently visit them in the hospital etc. 
I don’t want to make the situation worse I’m just looking to be the best friend I can be and be as supportive as possible. 
Any comments or tips would be great and a huge help for me. Thanks in advance.</t>
        </is>
      </c>
      <c r="D6060" t="n">
        <v>1</v>
      </c>
      <c r="E6060" t="n">
        <v>4</v>
      </c>
      <c r="F6060">
        <f>HYPERLINK("https://www.reddit.com/r/cancer/comments/e0xccl/cancer_support_advice/")</f>
        <v/>
      </c>
      <c r="G6060" t="inlineStr">
        <is>
          <t>2019-11-24 03:22:56</t>
        </is>
      </c>
      <c r="H6060" t="inlineStr"/>
    </row>
    <row r="6061">
      <c r="A6061" t="inlineStr">
        <is>
          <t>e0xfxw</t>
        </is>
      </c>
      <c r="B6061" t="inlineStr">
        <is>
          <t>My father passed away peacefully this morning. Thanks to everyone in this sub.</t>
        </is>
      </c>
      <c r="C6061" t="inlineStr">
        <is>
          <t>He died at 3:30 am with his brother, niece, and wife by his side. His son and grandchildren were not far, sleeping in the waiting room. 
He isn’t suffering anymore. His last conscious words, in tears; “all my people are here.” 
He was diagnosed with colorectal cancer stage 3c over two and a half years ago. He fought for time and I’m so grateful for it. 
Thank you to everyone. This subreddit has helped me cope more than you know.</t>
        </is>
      </c>
      <c r="D6061" t="n">
        <v>1</v>
      </c>
      <c r="E6061" t="n">
        <v>30</v>
      </c>
      <c r="F6061">
        <f>HYPERLINK("https://www.reddit.com/r/cancer/comments/e0xfxw/my_father_passed_away_peacefully_this_morning/")</f>
        <v/>
      </c>
      <c r="G6061" t="inlineStr">
        <is>
          <t>2019-11-24 03:34:36</t>
        </is>
      </c>
      <c r="H6061" t="inlineStr"/>
    </row>
    <row r="6062">
      <c r="A6062" t="inlineStr">
        <is>
          <t>e0xqjg</t>
        </is>
      </c>
      <c r="B6062" t="inlineStr">
        <is>
          <t>Any AML patients have experience taking Vyxeos?</t>
        </is>
      </c>
      <c r="C6062" t="inlineStr">
        <is>
          <t>My dad is starting this therapy today, since Decitabine and Venetoclax didn’t work. Worried about risks and overall impact on his body. Any info anyone can share is appreciated.</t>
        </is>
      </c>
      <c r="D6062" t="n">
        <v>1</v>
      </c>
      <c r="E6062" t="n">
        <v>3</v>
      </c>
      <c r="F6062">
        <f>HYPERLINK("https://www.reddit.com/r/cancer/comments/e0xqjg/any_aml_patients_have_experience_taking_vyxeos/")</f>
        <v/>
      </c>
      <c r="G6062" t="inlineStr">
        <is>
          <t>2019-11-24 04:07:25</t>
        </is>
      </c>
      <c r="H6062" t="inlineStr"/>
    </row>
    <row r="6063">
      <c r="A6063" t="inlineStr">
        <is>
          <t>e10y0x</t>
        </is>
      </c>
      <c r="B6063" t="inlineStr">
        <is>
          <t>My boyfriends grandmother was just diagnosed. How do I help?</t>
        </is>
      </c>
      <c r="C6063" t="inlineStr">
        <is>
          <t>Title says it.  We're going to visit her tomorrow, and I have no idea what to say or how to help or what to do.  I wasn't close with her, but I do love her to pieces.  Shes a lovely woman, and I don't want to put my foot in my mouth and say the wrong thing.  How should I approach probably the last visit (its stage 4 and they gave her a month/months) that I'll ever have with her?  How can I support my boyfriend and his family through this?</t>
        </is>
      </c>
      <c r="D6063" t="n">
        <v>1</v>
      </c>
      <c r="E6063" t="n">
        <v>0</v>
      </c>
      <c r="F6063">
        <f>HYPERLINK("https://www.reddit.com/r/cancer/comments/e10y0x/my_boyfriends_grandmother_was_just_diagnosed_how/")</f>
        <v/>
      </c>
      <c r="G6063" t="inlineStr">
        <is>
          <t>2019-11-24 08:50:36</t>
        </is>
      </c>
      <c r="H6063" t="inlineStr"/>
    </row>
    <row r="6064">
      <c r="A6064" t="inlineStr">
        <is>
          <t>e110o4</t>
        </is>
      </c>
      <c r="B6064" t="inlineStr">
        <is>
          <t>how does a throat cancer patient die?</t>
        </is>
      </c>
      <c r="C6064" t="inlineStr">
        <is>
          <t>my father have larynx cancer for almost 6 years. Tumor got really big and there is also a metastase in his left lung. 
there are lumps in his throat, chin and cheeks, and 3 holes, one is  tracheostomy and others just happened by themselves, because his lumps get bigger, that makes the holes and you can see the tumors easily when you look at them. He can't go out because people will stare at him, plus there is always a bad smell because of the infections.
He doesn't  show his feelings but I am sure he is in a big pain. I just wonder the possible ways for him to die. It will be painful? there will be blood? or it will take his breath? what should i expect? I am sorry these questions triggers you. I just want to know if anybody here have similar experience. how do these patients die?</t>
        </is>
      </c>
      <c r="D6064" t="n">
        <v>1</v>
      </c>
      <c r="E6064" t="n">
        <v>2</v>
      </c>
      <c r="F6064">
        <f>HYPERLINK("https://www.reddit.com/r/cancer/comments/e110o4/how_does_a_throat_cancer_patient_die/")</f>
        <v/>
      </c>
      <c r="G6064" t="inlineStr">
        <is>
          <t>2019-11-24 08:55:45</t>
        </is>
      </c>
      <c r="H6064" t="inlineStr"/>
    </row>
    <row r="6065">
      <c r="A6065" t="inlineStr">
        <is>
          <t>e11wls</t>
        </is>
      </c>
      <c r="B6065" t="inlineStr">
        <is>
          <t>How do you know when it's time to move on?</t>
        </is>
      </c>
      <c r="C6065" t="inlineStr">
        <is>
          <t>My mom went through 5 years of cancer and died in September. I'm 27 and lived at home while my mom was sick. I wasn't about to go anywhere. My dream is to travel and I want to go to school across the country soon. Working holiday visas usually go to age 30/35, so I only have a couple years left to get them. I'm looking at leaving in january-ish but I'm feeling guilty about leaving. My dad says my brother and I need to live our lives again after they were on hold for the past 5 years, but I feel guilty about leaving him as he has a lot on his plate. My mom died 2 months ago and I'm already looking at leaving him and leaving to go halfway around the world for months/years. 
Do I need to feel guilty about this? Is it ok to keep going on with life like this?</t>
        </is>
      </c>
      <c r="D6065" t="n">
        <v>1</v>
      </c>
      <c r="E6065" t="n">
        <v>0</v>
      </c>
      <c r="F6065">
        <f>HYPERLINK("https://www.reddit.com/r/cancer/comments/e11wls/how_do_you_know_when_its_time_to_move_on/")</f>
        <v/>
      </c>
      <c r="G6065" t="inlineStr">
        <is>
          <t>2019-11-24 09:58:55</t>
        </is>
      </c>
      <c r="H6065" t="inlineStr"/>
    </row>
    <row r="6066">
      <c r="A6066" t="inlineStr">
        <is>
          <t>e122qm</t>
        </is>
      </c>
      <c r="B6066" t="inlineStr">
        <is>
          <t>Doctors Visit went well, but I’m still concerned</t>
        </is>
      </c>
      <c r="C6066" t="inlineStr">
        <is>
          <t>So a couple weeks ago, under my chin, a cyst started to form. The only problem was, it formed right next to a mole (sorta underneath). My doctor took some tests but it will take a while to get back to me. So I had 2 questions...
Is a cyst near a mole normal?
After the pimple above the cyst clears, is it normal for the lump under to stay?</t>
        </is>
      </c>
      <c r="D6066" t="n">
        <v>1</v>
      </c>
      <c r="E6066" t="n">
        <v>0</v>
      </c>
      <c r="F6066">
        <f>HYPERLINK("https://www.reddit.com/r/cancer/comments/e122qm/doctors_visit_went_well_but_im_still_concerned/")</f>
        <v/>
      </c>
      <c r="G6066" t="inlineStr">
        <is>
          <t>2019-11-24 10:11:01</t>
        </is>
      </c>
      <c r="H6066" t="inlineStr"/>
    </row>
    <row r="6067">
      <c r="A6067" t="inlineStr">
        <is>
          <t>e123kh</t>
        </is>
      </c>
      <c r="B6067" t="inlineStr">
        <is>
          <t>When will my beard start growing back?</t>
        </is>
      </c>
      <c r="C6067" t="inlineStr">
        <is>
          <t>I finished my 30th proton treatment at the beginning of october. Head and neck treatment for acinic cell carcinoma. I feel like my beard growing back is my last step to be "back to normal". Anyone have any experience?</t>
        </is>
      </c>
      <c r="D6067" t="n">
        <v>1</v>
      </c>
      <c r="E6067" t="n">
        <v>4</v>
      </c>
      <c r="F6067">
        <f>HYPERLINK("https://www.reddit.com/r/cancer/comments/e123kh/when_will_my_beard_start_growing_back/")</f>
        <v/>
      </c>
      <c r="G6067" t="inlineStr">
        <is>
          <t>2019-11-24 10:12:44</t>
        </is>
      </c>
      <c r="H6067" t="inlineStr"/>
    </row>
    <row r="6068">
      <c r="A6068" t="inlineStr">
        <is>
          <t>e13dln</t>
        </is>
      </c>
      <c r="B6068" t="inlineStr">
        <is>
          <t>Best tools/tips/tricks of recovery?</t>
        </is>
      </c>
      <c r="C6068" t="inlineStr">
        <is>
          <t>I have officially beat stage four cancer!!!! It was looking really bad for a while, but now I have been deemed cancer free and have been done with chemo for 3 weeks. What were some really helpful things for you that you used to get back to your “normal” self? Any tips like, “drinking lots of water” to “using this product to grow my eyelashes” or even “I used this medical procedure (like neurofeedback) to aid in my mental recovery”.  Any and all things are appreciated!</t>
        </is>
      </c>
      <c r="D6068" t="n">
        <v>1</v>
      </c>
      <c r="E6068" t="n">
        <v>9</v>
      </c>
      <c r="F6068">
        <f>HYPERLINK("https://www.reddit.com/r/cancer/comments/e13dln/best_toolstipstricks_of_recovery/")</f>
        <v/>
      </c>
      <c r="G6068" t="inlineStr">
        <is>
          <t>2019-11-24 11:38:14</t>
        </is>
      </c>
      <c r="H6068" t="inlineStr"/>
    </row>
    <row r="6069">
      <c r="A6069" t="inlineStr">
        <is>
          <t>e15oid</t>
        </is>
      </c>
      <c r="B6069" t="inlineStr">
        <is>
          <t>10 Warning Signs That The Cancer Is Growing In Your Body!</t>
        </is>
      </c>
      <c r="C6069" t="inlineStr">
        <is>
          <t>source : link :  [https://www.technoapps.site/10-warning-signs-that-the-cancer-is-growing-in-your-body/](https://www.technoapps.site/10-warning-signs-that-the-cancer-is-growing-in-your-body/) 
&amp;amp;#x200B;
https://preview.redd.it/mhd3zjdrip041.jpg?width=626&amp;amp;format=pjpg&amp;amp;auto=webp&amp;amp;s=f0986bf14bbe0c94c5a9a9eae047c6c8bd3de118
Every time one thing goes wrong with our body, our system responds by causation our aware mind proof that one thing should be worn out to preserve the health and eudaemonia. That’s conjointly the case once one in all the world’s deadliest diseases attacks our body, and yes, we have a tendency to area unit talking regarding cancer.
In this article, we tend area unit progressing to offer you with an inventory of symptoms and signals your body can send you if a tumor has started growing inside your body. This area unit the signs you would like to observe out for, and if you notice any, like a shot, discuss with your doctor or choose a check-up:
Skin cutaneous sensation  
Since the body assesses cancer as a microorganism, the system is fighting it with white blood cells. This causes AN multiplied blood flow that causes cutaneous skin sensation.
Urine Changes  
If all of a sudden, your excrement becomes bloody, foamy and includes a strange odor or color to it, do a medical exam.
Voice Changes  
The voice of a person is, in most cases suffering from cartilaginous structure cancer; therefore, if you notice any amendment, contact a physician.
Wounds Don’t Heal  
Another common cancer symptom could be a wound that’s healing either slowly, or not improving in the slightest degree because cancer has concerned the priority of the system.
A Cough  
Most varieties of cancer area unit delineated by a cough that won’t escape, so if you’re coughing badly for quite 2-3 weeks, it’s time for a medical exam.
Bleeding  
Bleeding in between your period? Well, this suggests it’s time for a medical exam with a doctor.
Tongue or Mouth Lumps  
If you notice any white-colored bumps on your gums within your mouth, they’re another potential explanation for cancer.
Lumps beneath the Skin  
The same goes for any pieces you’ll notice on your skin.
Stool Changes  
If you’ve got an amendment in your stool that lasts for quite a pair of days, this could be another sign that one thing could also be wrong along with your body.
Loss of Appetite/Swallowing drawback  
Anything that causes issues with the organic biological process is of great concern because it affects the body’s ability to require nutrients from the food you’re uptake.
If you would like to seek out a lot of natural remedies, take a glance at the Everyday Root Book!
With 350+ pages, you’ll be able to replace all of the cytotoxic products and medications in your home with healthier, all-natural alternatives.
You will be assured in knowing precisely what’s within the product your family uses and pleased with the money you’ll save monthly.
for more articles about healthy visite that link : [https://www.technoapps.site](https://www.technoapps.site)
thank's.</t>
        </is>
      </c>
      <c r="D6069" t="n">
        <v>1</v>
      </c>
      <c r="E6069" t="n">
        <v>0</v>
      </c>
      <c r="F6069">
        <f>HYPERLINK("https://www.reddit.com/r/cancer/comments/e15oid/10_warning_signs_that_the_cancer_is_growing_in/")</f>
        <v/>
      </c>
      <c r="G6069" t="inlineStr">
        <is>
          <t>2019-11-24 14:11:00</t>
        </is>
      </c>
      <c r="H6069" t="inlineStr"/>
    </row>
    <row r="6070">
      <c r="A6070" t="inlineStr">
        <is>
          <t>e16h2l</t>
        </is>
      </c>
      <c r="B6070" t="inlineStr">
        <is>
          <t>If you are going to take the Death with Dignity drug do not wait!</t>
        </is>
      </c>
      <c r="C6070" t="inlineStr">
        <is>
          <t>This has been without a doubt the toughest last week and a half of my life. 
My girlfriend with rectal cancer that spread to her lungs, liver, and cervical area had always planned to utilize the DWD drug if it came to that. She had always bounced back after every chemotheropy and radiation treatments and even two emergency surgeries. So I have always been optimistic about her beating it, but after the last surgery in December she got a staph infection, was put on heavy antibiotics and was unable to do chemo again until three months ago. At that point she became resistant to irinotecan and began to get hives. there was only one oral chemo that was a viable option that did little except make her feel even more shitty. And that point is when the cancer noticeably spread.
Two months ago her oncologist gave her three to six months. She had taken the initial steps for verbal confirmation to utilize the DWD. We went to the emergency room November 12th for Edema (swelling in legs and feet). She was admitted and immediately put on a saline drip to refill her electrolytes and combat it. After four days in the hospital, she gained 11 lbs in her legs from water retention, pain increased tenfold, delirium was setting in, and she was hardly able to stay awake. Her family decided to put her on hospice. The two days before hospice she was lucid when she was awake. She was adamant about taking the DWD drugs. Being on hospice shortened the wait to five days to obtain them.
Yesterday we obtained the DWD drugs. She is not awake or alert enough to give proper consent, or sip a straw so we are using a squirt bottle to give her water. She can’t control her bowels or urination and is on deaths door. 
This is not my girlfriend.
This isn’t the woman I have loved.
This is not what she wanted.
But I am here for her through it all because I want to make sure she is taken care of. She would’ve taken the DWD drugs the week we were in the hospital but we had to fucking wait. This slow death is much, much harder on everyone especially her. 
If you are contemplating it, have it ready. Have it signed. There isn’t time to wait. 
I wish you all the best and hope you find the peace and insight you need to be emotionally prepared for what is to come your way.</t>
        </is>
      </c>
      <c r="D6070" t="n">
        <v>1</v>
      </c>
      <c r="E6070" t="n">
        <v>17</v>
      </c>
      <c r="F6070">
        <f>HYPERLINK("https://www.reddit.com/r/cancer/comments/e16h2l/if_you_are_going_to_take_the_death_with_dignity/")</f>
        <v/>
      </c>
      <c r="G6070" t="inlineStr">
        <is>
          <t>2019-11-24 15:01:33</t>
        </is>
      </c>
      <c r="H6070" t="inlineStr"/>
    </row>
    <row r="6071">
      <c r="A6071" t="inlineStr">
        <is>
          <t>e17cra</t>
        </is>
      </c>
      <c r="B6071" t="inlineStr">
        <is>
          <t>What do I say to Nana?</t>
        </is>
      </c>
      <c r="C6071" t="inlineStr">
        <is>
          <t xml:space="preserve"> 
My Nana was just diagnosed with terminal cancer. She went in for a check-up and prior to this was very healthy-- I was expecting to have 8-10 good years left with her. The final test has not come back to tell us how long, so she could have 2 weeks or 2 months. I bought her a book of read-later letters to your grandchild. Her book has prompts (a story about our family, my wish for you, etc). I also bought nice stationary and wanted to write letters to her, because her and I are very close but live across the country. For example, it may say “open when the chemo makes you tired” with an uplifting prompt inside. I’ve only thought of 2 things to write: favorite memory together and things I learned from her. I'm her oldest grandchild/granddaughter at 28 years old and I don't want to screw this up.  It’s too personal to ask friends/family for help... I’ve shut a lot of people out as I process. What do I write to my Nana?</t>
        </is>
      </c>
      <c r="D6071" t="n">
        <v>1</v>
      </c>
      <c r="E6071" t="n">
        <v>3</v>
      </c>
      <c r="F6071">
        <f>HYPERLINK("https://www.reddit.com/r/cancer/comments/e17cra/what_do_i_say_to_nana/")</f>
        <v/>
      </c>
      <c r="G6071" t="inlineStr">
        <is>
          <t>2019-11-24 16:05:46</t>
        </is>
      </c>
      <c r="H6071" t="inlineStr"/>
    </row>
    <row r="6072">
      <c r="A6072" t="inlineStr">
        <is>
          <t>e184cb</t>
        </is>
      </c>
      <c r="B6072" t="inlineStr">
        <is>
          <t>Cancer and finances - our story</t>
        </is>
      </c>
      <c r="C6072" t="inlineStr">
        <is>
          <t>Sorry guys, this is super long. Hope it helps someone. 
My husband was diagnosed with colorectal cancer in March 2018, went through surgery, chemo and radiation in the following months, and we found that it had spread to his lungs in June 2019. We are currently waiting for those tumors to get large enough to biopsy.
I thought it might be helpful for someone if I shared our story of trying to negotiate the financial aspects of our situation. I’m not saying everything I did was correct or even helpful, and everybody’s situation is going to be different, so please jump in and share your experiences as well.
When my husband was diagnosed, I didn’t know how we were going to survive financially. We already were living paycheck to paycheck and were up to our noses in debt. Luckily he had fairly decent insurance through his employer with an out of pocket maximum of $4,500, and we had been able to build up a smallish emergency savings ($1200?) before he was diagnosed. I just worried about how I was going to replace his income when he wasn’t able to work.
I hit the internet for research. I thought that there must be some help out there for people in our situation. Unfortunately, I didn’t find any. He wasn’t eligible for Social Security Disability because his cancer (at the time) did not have distant metastases; he wasn’t eligible for unemployment because illnesses are not covered; we couldn’t touch any of our life insurance money because he wasn’t terminal. I didn’t find any organizations that would just give us money to pay our bills. We were on our own. (Note: if you are food insecure, there are resources that will help you. Fortunately we were never at that point.)
So I took a look at our expenses. Only paid the minimum on the credit cards. Took advantage of our credit union’s “skip a payment” for the car loan three times. Requested a medical forbearance on our student loans and was granted a whole year off of payments. Called the mortgage company and told them what was going on. They put us into a loan modification. I was hoping for a refinance to lower the payment amount, but instead received a forbearance of I believe 2 or 3 months (sorry, details are a little hazy). They also started an escrow for my homeowners insurance and property taxes, which I thought was helpful at the time, but now that we are looking at a much higher mortgage payment, I’m not so sure about that.
After the surgery, my husband was off work for a few weeks, and then went back to work. He worked regular hours until his chemo treatment started. He would miss one day every two weeks for his infusion, and called in occasionally when he was feeling rough from the treatment. Overall, he was feeling fairly decent and we were doing okay - not great, but getting by – we were using our savings and using our credit cards for groceries when money ran tight. Then radiation started, and he began missing a lot of work. We were fortunate that his employer paid for his health insurance when he wasn’t able to work, and even sent a check once when he wasn’t able to work at all during a bi-weekly pay period. My parents paid my mortgage one month. Friends helped out with grocery gift cards. We took loans out on our life insurance. We financially white-knuckled our way through summer/fall 2018. 
My husband’s last round of chemo was mid-October 2018. I was expecting a slow but steady return to normal, back to work so we could start to climb out of the hole I dug us into. That proved to be unrealistic. He continued to miss work due to fatigue, neuropathy, and general malaise. The medical bills I had put off were starting to become more insistent and going into collections. I started taking early distributions from my retirement account to keep up with the bills (not recommended, but I was desperate). I negotiated the smallest amounts on the medical bills I possibly could – I remember crying with happiness when one provider accepted a $25/mo payment on a largish amount, and it felt like Christmas when the credit card company offered us a credit limit increase out of the blue. 
He very slowly, very gradually, started making it to work more often, but still missed a lot of days. He had been moved to another position when radiation started – he couldn’t do the work he was hired to do any longer. Now he was working in a closed shop with noxious chemicals and inadequate ventilation, which made him feel worse. He had a CT scan at the 1 year anniversary of his diagnosis, and it showed that he was cancer free – we celebrated and had his port removed. He still wasn’t feeling right though. The blood test in June showed that his CEA was elevated, had doubled since March, and they scheduled a PET scan. The scan showed small tumors in his lungs and a lymph node. Too small to biopsy, they are scanning him every 3 months to monitor them. 
As the summer progressed, my husband began feeling worse and worse. He said after a day of working in the shop around all the chemicals, the next day he would feel hung over, like he had gotten hammered the night before. We were concerned about how the chemicals would affect the tumors. He was wearing himself out pushing himself to go to work as much as possible, and I was looking ahead, knowing at some point that he would need to go through treatment again and the whole process would start over. However, this time he would not be as physically strong as he was, and we were no longer as financially strong as we were. We had no savings, and the cards were still close to being maxed out. We were in a dire situation financially, but I desperately wanted to get him out of that shop and home where he can recover some of his strength before starting treatment again. 
I remembered from my initial research that metastatic cancer was a qualifying condition for Social Security Disability, but I was uncertain because he was still working and I didn’t know if he would be automatically denied because of it. We were in no position for him to go without a paycheck, and he needed the health insurance. I contacted the social worker at the hospital with my questions, and he assured me that it is possible to get approved for disability while still working, and that with the diagnosis of metastatic cancer, he would be fast-tracked through the process, though there was a possibility that the start date of benefits might be 5 months out from date of application. We decided to take the leap and apply, and were happy to hear within a couple of weeks after his interview that benefits would start immediately.  The next step was to secure health insurance through the Healthcare.gov marketplace, and now I am currently working on getting his student loans discharged. He is now at home and starting to regain his strength. He has another scan scheduled for mid-December – we are praying the tumors have not grown and he can continue to recover. 
I hope this helps someone. I know when he was first diagnosed, I searched for a list of things to do to keep us from losing our house and never found it – this isn’t that list, but maybe it will trigger some ideas to help you in your situation.</t>
        </is>
      </c>
      <c r="D6072" t="n">
        <v>1</v>
      </c>
      <c r="E6072" t="n">
        <v>25</v>
      </c>
      <c r="F6072">
        <f>HYPERLINK("https://www.reddit.com/r/cancer/comments/e184cb/cancer_and_finances_our_story/")</f>
        <v/>
      </c>
      <c r="G6072" t="inlineStr">
        <is>
          <t>2019-11-24 17:00:56</t>
        </is>
      </c>
      <c r="H6072" t="inlineStr"/>
    </row>
    <row r="6073">
      <c r="A6073" t="inlineStr">
        <is>
          <t>e1agif</t>
        </is>
      </c>
      <c r="B6073" t="inlineStr">
        <is>
          <t>I'm struggling</t>
        </is>
      </c>
      <c r="C6073" t="inlineStr">
        <is>
          <t>First of all, I am seeing a psychologist specializing in cancer and a psychiatrist.
I never thought I'd use this word, but something has "triggered" my cancer PTSD (diagnosed). I think it's just a perfect storm of things. I started getting really sick around this time last year, my old dog who is my best friend is dying, I'm teaching one of my tutoring students about cells, and I'm starting to get back to work and loving it, but my type of cancer has an 80% chance of coming back, so I feel like I'm always waiting for the other shoe to drop.
My anxiety meds don't seem to be helping. I am fortunate in that I don't know anyone with cancer to talk to. This could be my last Christmas. It's definitely my dog's if he makes it that long.
I need some coping ideas to make it til my next appointment on Monday. I've been diving into work, but it's Thanksgiving break this week so that's not an option.</t>
        </is>
      </c>
      <c r="D6073" t="n">
        <v>1</v>
      </c>
      <c r="E6073" t="n">
        <v>6</v>
      </c>
      <c r="F6073">
        <f>HYPERLINK("https://www.reddit.com/r/cancer/comments/e1agif/im_struggling/")</f>
        <v/>
      </c>
      <c r="G6073" t="inlineStr">
        <is>
          <t>2019-11-24 20:03:04</t>
        </is>
      </c>
      <c r="H6073" t="inlineStr"/>
    </row>
    <row r="6074">
      <c r="A6074" t="inlineStr">
        <is>
          <t>e1crc8</t>
        </is>
      </c>
      <c r="B6074" t="inlineStr">
        <is>
          <t>I haven’t told anyone</t>
        </is>
      </c>
      <c r="C6074" t="inlineStr">
        <is>
          <t>I (30F) just found out cervical cancer and I’m getting an operation in a few weeks, I haven’t told anyone because I don’t think it’s a big deal yet. Even if it becomes a big deal I don’t want to make my family worry. My partner knows, and I told my boss because I’ll be missing work. I also heard that when people treat you like you’re sick, it can affect your chances of getting better. 
Can anyone else relate?</t>
        </is>
      </c>
      <c r="D6074" t="n">
        <v>1</v>
      </c>
      <c r="E6074" t="n">
        <v>9</v>
      </c>
      <c r="F6074">
        <f>HYPERLINK("https://www.reddit.com/r/cancer/comments/e1crc8/i_havent_told_anyone/")</f>
        <v/>
      </c>
      <c r="G6074" t="inlineStr">
        <is>
          <t>2019-11-24 23:48:43</t>
        </is>
      </c>
      <c r="H6074" t="inlineStr"/>
    </row>
    <row r="6075">
      <c r="A6075" t="inlineStr">
        <is>
          <t>e1dui3</t>
        </is>
      </c>
      <c r="B6075" t="inlineStr">
        <is>
          <t>Stage 3 Soft Tissue Sarcoma. What are the survival chances?</t>
        </is>
      </c>
      <c r="C6075" t="inlineStr">
        <is>
          <t>10 year old dianosed with stage 3 soft tissue sarcoma (BCOR alignment). Has started chemo already. 
What are the chances of survival?</t>
        </is>
      </c>
      <c r="D6075" t="n">
        <v>1</v>
      </c>
      <c r="E6075" t="n">
        <v>5</v>
      </c>
      <c r="F6075">
        <f>HYPERLINK("https://www.reddit.com/r/cancer/comments/e1dui3/stage_3_soft_tissue_sarcoma_what_are_the_survival/")</f>
        <v/>
      </c>
      <c r="G6075" t="inlineStr">
        <is>
          <t>2019-11-25 01:48:47</t>
        </is>
      </c>
      <c r="H6075" t="inlineStr"/>
    </row>
    <row r="6076">
      <c r="A6076" t="inlineStr">
        <is>
          <t>e1dvmp</t>
        </is>
      </c>
      <c r="B6076" t="inlineStr">
        <is>
          <t>My father passed away yesterday after battling cancer for a year.</t>
        </is>
      </c>
      <c r="C6076" t="inlineStr">
        <is>
          <t>My father passed away yesterday after a hard year of operations and suffering of sarcoma cancer at the age of 56. I’m 20 years old and I’m devastated I don’t feel like I can be happy again. I’ve lost my mentor and I feel like I have no one in my life to show me how to do everything anymore.</t>
        </is>
      </c>
      <c r="D6076" t="n">
        <v>1</v>
      </c>
      <c r="E6076" t="n">
        <v>4</v>
      </c>
      <c r="F6076">
        <f>HYPERLINK("https://www.reddit.com/r/cancer/comments/e1dvmp/my_father_passed_away_yesterday_after_battling/")</f>
        <v/>
      </c>
      <c r="G6076" t="inlineStr">
        <is>
          <t>2019-11-25 01:52:12</t>
        </is>
      </c>
      <c r="H6076" t="inlineStr"/>
    </row>
    <row r="6077">
      <c r="A6077" t="inlineStr">
        <is>
          <t>e1ex3i</t>
        </is>
      </c>
      <c r="B6077" t="inlineStr">
        <is>
          <t>Medical Malpractice, Negligence, And Greed Led To My Mother’s Death From Cancer</t>
        </is>
      </c>
      <c r="C6077" t="inlineStr">
        <is>
          <t>[http://cancerherald.com/medical-malpractice-negligence-and-greed-led-to-my-mothers-death-from-cancer/](http://cancerherald.com/medical-malpractice-negligence-and-greed-led-to-my-mothers-death-from-cancer/)
*The Cancer Herald* seeks to expose the truth to save lives, including raising awareness on environmental factors that cause cancer which are not discussed enough, analyzing the various medicines, both mainstream and alternative, that can be used to combat cancer, investigating all of the types of cancer and how to identify them early and treat the symptoms, as well as the systemic problems in the oncology and chemotherapy industries that are costing the lives of millions of people.
The reason I am launching *The Cancer Herald* is because my mother died from cancer, and her death could have possibly been avoided, and at the least her situation was made far more difficult by medical malpractice, negligence, and systemic greed in the chemotherapy industry. I am passionate about preventing other people from going through what my mother and family went through.
It started when my mother came to my college to help me pack my things and go home at the end of Graduate school. As she drove me home I noticed that she was visibly shaking. This shaking only worsened, and before long it was interfering with my mother’s ability to function and enjoy life. My mother went to many doctors, who gave her medicines and treatments for diseases that she did not have, and the shaking only got worse.
I then asked my mom if I could access her medical files on her Cleveland Clinic online account, so that I could try and figure out what was really going on with her. I found out that a doctor had conducted a Pap smear over a year earlier, which is a common procedure to diagnose cervical cancer in women.
To my shock, the results showed malignant cells and the possibility of endometrial cancer. The doctor who had conducted the test was either lazy, too busy, but regardless completely negligent, and never followed up with my mom. The cancer could have been stopped very early if this doctor had simply done his job.
The first important lesson I learned from this is to never trust doctors. A patient needs to review their own test results and lab work in order to make sure that the doctor is not missing anything, and a patient’s life can depend on this. The same principal applies to medicines and treatments that a doctor orders, as well as any diagnosis. A patient must always be critical and aggressive to get the treatment they deserve.
I reported the results to my family, and demanded that my mom go through a series of blood tests and magnetic resonance imaging (MRI) in order to conclusively diagnose the cancer and stop it in time. My family derided me for scaring them and my mother like that, they told me how I am not a doctor and cannot say stuff like that, even though the test results for the Pap smear were obvious.
The process of going to doctors to get approved for the tests was very slow, and the insurance company did everything they could to slow down the process, even rejecting requests for the MRI multiple times, even after the blood tests showed traces of protein which may be indicative of cancer.
Finally, the MRI was done, and it revealed tremendous tumors spreading from my mom’s uterus and destroying her body. Notably, she was already in a ton of pain at this point aside from the shakiness.
It took a long time for a surgery to be scheduled, and before the scheduled date my mom began bleeding profusely out of her uterus. She almost died, and had to be rushed in for emergency surgery to remove some of the tumors and stop the bleeding.
I was too scared to go to the hospital for it, because it was highly uncertain if my mom would survive. My dad and sister were there though, and when the doctor pulled out one of the tumors he remarked that it does not look like cancer, and further told my family repeatedly that the tumors were benign. It is extremely unprofessional and negligent to simply look at a tumor and say it is not cancer, since a biopsy needs to be done. My family then proceeded to outright attack me for saying my mom had cancer and giving them all stress. They felt validated by the doctor saying the tumor was not cancer.
It took literally months for the biopsy to come back, and it showed that my mom definitively had cancer. Finally the rest of the family came down to the level where I was, I had been in fear for my mom’s life for many months already, and finally they were too.
My mom had to have another surgery to remove the tumors and her entire uterus, she was permanently weakened after this. It could have been prevented if the Pap smear from well over a year before that had been properly followed up.
Worst of all, the cancer was still spreading throughout my mom’s body after the surgery. The doctors offered no treatments for this, and scheduled a chemotherapy appointment months out to give my mom ‘time to heal’, even though during this time the cancer was rapidly destroying and weakening her. Cutting into the tumors caused the cancer to rapidly spread to the rest of her body.
I stopped all my work and began to research all of the possible cancer treatments. I spent day after day doing this, and often slept very little, for weeks. I eventually determined that [sodium dichloroacetate (DCA)](http://cancerherald.com/sodium-dichloroacetate-dca-has-been-shown-to-restart-glucose-oxidation-in-mitochondria-restarting-apoptosis-and-suppressing-tumors/) was the best chance that my mother had to survive. I determined that radiation was barbaric, and chemotherapy would have killed her since she already had a neurological condition causing severe shaking.
It took lots of fighting with my family to convince them that DCA was the right choice. My mother was on my side and trusted me though, and we began administering DCA twice every day. Time was of the essence, since soon the chemotherapy would start.
My parents went to the first chemo appointment. They put my parents in a special office where the Cleveland Clinic offered to mortgage the family house to pay for the treatment. The doctor then gave my parents a list of medicines and treatments they were going to use, including many rounds of radiation and neurotoxic chemotherapy drugs.
Literally, the hospital was planning to steal my family’s house to pay for treatments that would probably kill my mother.
The 2nd appointment then came, and this was a critical appointment since my mother was going to meet with the doctor to initiate treatment, possibly receiving the first dose of chemo and radiation that day. I did heavy research on the chemo drugs my mother was to receive, determining they would instantly cripple and then kill her. It was irresponsible and negligent to prescribe highly neurotoxic drugs to a patient that was already neuropathic.
We met the doctor, and the doctor described the course of treatment. I interjected by handing the doctor at least 20 research papers on how he cannot give these drugs to a patient like my mom. I did not allow him to administer any medicine.
The doctor was persistent, so I sent the research to everyone at the Cleveland Clinic, and then they backed off.
During this whole time my mother had been taking the DCA, and was getting healthier. I demanded another round of MRIs and blood tests to determine how the cancer was progressing, and this request was rejected by the insurance company multiple times, since they did not want to spend any money on tests until chemo and radiation was underway.
Eventually my mother got the MRI, and the tumors were miraculously shrinking. An MRI a couple of months later showed that all tumors were gone, all thanks to the power of DCA. We were open with the doctors about the DCA, but they did not believe in its efficacy despite the obvious results.
My mother then had an entire year where she was healthy and functioning, and enjoying life. However, the doctors kept on insisting that she stop taking the DCA. My mother kept asking me if she should stop, and I kept saying no, that she had to take it for many years or life.
The doctors convinced my mother and my dad that the DCA was the cause of the shaking, even though the shaking had been a problem well before the cancer was diagnosed. My mom and dad no longer listened to my pleas that the DCA had to be continued.
My mom stopped taking the DCA, and she quickly became severely ill, then paralyzed, and was dead only two months later. As soon as the DCA was stopped the cancer spread everywhere.
Finally, a system which has billions of dollars of funding and thousands of trained medical professionals had killed my mother. From the beginning to the end the health and insurance systems did things that led to my mother’s death. They did nothing to save her, and everything to kill her.
I wanted to file a medical malpractice lawsuit, but was given no chance since the day my mom died all of her hospital records were permanently deleted from the online account.
After my mom died, my family fell apart and has never spoken to each other again, and my life fell apart for years as well.
Now my goal is to help as many people as I can to avoid cancer, treat cancer, and to properly navigate the system. If *The Cancer Herald* can help even one person I will consider it a success, and the goal is to help the entire world. The science and technology is there to help people with cancer, if it is used properly instead of being suppressed by greedy corporations.</t>
        </is>
      </c>
      <c r="D6077" t="n">
        <v>1</v>
      </c>
      <c r="E6077" t="n">
        <v>4</v>
      </c>
      <c r="F6077">
        <f>HYPERLINK("https://www.reddit.com/r/cancer/comments/e1ex3i/medical_malpractice_negligence_and_greed_led_to/")</f>
        <v/>
      </c>
      <c r="G6077" t="inlineStr">
        <is>
          <t>2019-11-25 03:43:06</t>
        </is>
      </c>
      <c r="H6077" t="inlineStr"/>
    </row>
    <row r="6078">
      <c r="A6078" t="inlineStr">
        <is>
          <t>e1f2bl</t>
        </is>
      </c>
      <c r="B6078" t="inlineStr">
        <is>
          <t>Help me understand my histopathological report</t>
        </is>
      </c>
      <c r="C6078" t="inlineStr">
        <is>
          <t xml:space="preserve"> 
Hello, im 22 years old male, family history of breast cancer but nothing else , sorry for my bad english  
I have GERD and very bad dental hygiene
So here's the story :
One day I notice a small bump in my mouth. on the hard palate  
Went to the ENT and i had a biopsy done almost 2 years ago
I got the result , but i didn't understand anything !! he just tell me to come in 6 month for a control ...
I managed to get the conclusion : :
The histological examination revealed a squamous mucosa, whose epithelial reverence was focally ulcerated and replaced by a fibrin-leucocyte coating. On the banks of this ulceration, the epithelium is the seat of a discrete cyto-architectural disorganization with mild to moderate atypia prevailing at the level of the basal layer.  
The under-height chorion is the secret of a discreet inflammatory infiltrate  
PAS staining does not show pathogen
Conclusion:
Mucus ulceration with mild to moderate atypia whose regenerative or dysplastic character is difficult to assert  
Monitoring is necessary
I never returned to control anything, but in august i saw an oral surgeon about it and he told me to not worry about and just monitor it ,he also did a scanner with contrast that come back normal
i just want to know if its a dysplasia, the cancer center where i did the biopsy is not very talkative</t>
        </is>
      </c>
      <c r="D6078" t="n">
        <v>1</v>
      </c>
      <c r="E6078" t="n">
        <v>0</v>
      </c>
      <c r="F6078">
        <f>HYPERLINK("https://www.reddit.com/r/cancer/comments/e1f2bl/help_me_understand_my_histopathological_report/")</f>
        <v/>
      </c>
      <c r="G6078" t="inlineStr">
        <is>
          <t>2019-11-25 03:58:00</t>
        </is>
      </c>
      <c r="H6078" t="inlineStr"/>
    </row>
    <row r="6079">
      <c r="A6079" t="inlineStr">
        <is>
          <t>e1gb72</t>
        </is>
      </c>
      <c r="B6079" t="inlineStr">
        <is>
          <t>Moms boyfriend having trouble...</t>
        </is>
      </c>
      <c r="C6079" t="inlineStr">
        <is>
          <t>So my mom passed away two weeks ago. Her boyfriend seems to be having a hard time coping with her death. She was on hospice her last few days and I believe that she passed peacefully and how she wanted to (at home with everyone with her). Last night her boyfriend was very upset saying he should have pushed her to fight and she shouldn’t have died when she did and he doesn’t think her death was peaceful or comfortable and he’s angry. I know that really he’s just having a hard time coping but it did make me upset that he was saying that stuff. What I really want to know is how can I help him accept this?</t>
        </is>
      </c>
      <c r="D6079" t="n">
        <v>1</v>
      </c>
      <c r="E6079" t="n">
        <v>7</v>
      </c>
      <c r="F6079">
        <f>HYPERLINK("https://www.reddit.com/r/cancer/comments/e1gb72/moms_boyfriend_having_trouble/")</f>
        <v/>
      </c>
      <c r="G6079" t="inlineStr">
        <is>
          <t>2019-11-25 05:50:27</t>
        </is>
      </c>
      <c r="H6079" t="inlineStr"/>
    </row>
    <row r="6080">
      <c r="A6080" t="inlineStr">
        <is>
          <t>e1ijyv</t>
        </is>
      </c>
      <c r="B6080" t="inlineStr">
        <is>
          <t>The love of my life is about to be diagnosed with lymphoma or thymic carcinoma. And my symptoms just started.</t>
        </is>
      </c>
      <c r="C6080" t="inlineStr">
        <is>
          <t>It's been 20 days but it feels like a year already. She'd been complaining of chest, neck and ear pain for almost a year and had been thrown every mediocre medicine and every half baked diagnosis imaginable by doctors who you should want to hunt down and murder one by one. But I'm tired. We're tired. She's beautiful inside and out. And fucking smart. And hilarious. And artsier than Jean Luc Godard with a copy of Husserls Phenomenology stuck up his bum with a Bacon pastel scribble in the folds. She was the fucking ONE. The ONE. The ONE. She is the one and will be the one I hope but my rational self, seeing SUV values of 15 on a 9cmx7cmx5cm thymic mass, expects her to be a was and not an is or a will. 
I'm numb. We're numb. The last 480 hours feels like one long haze of crying, reading, crying again, endless 821 tabs open on ncbi.nlm.nih.gov, call waiting music from health insurance companies, calls to family, crying and rinse and repeat. And it a type of crying we've never done. Doom. It's just too much. We live by ourselves. We are each other's everything with both our families living in our home countries. No one told us it'd be this much. No one told us that in our late 20s while enjoying the good life and making plans for the next 40...you'll suddenly have to learn how to die amidst this flurry of anxiety, paperwork and medical research and have to make decisions that your existence depends on because you live in some ultracapitalist shithole with a decent medical system for the multimillionaires and some crumbs for the rest. Decide your course, if you're right, you'll have a 33% chance of living. If not forget it. Forget her. Forget being alive an what every feeling on Earth feels. Like. And just when you thought it couldn't get worse, you realize your own year an a half long dry cough, drenched night sweats, tingling swollen lymph nodes, sore throat, tinnitus, hoarseness and itchiness along lymphatic pathways point to pretty much the same thing. Maybe it's not so bad. Soulmates till the end. 
Fuck everything. Seriously. Fuck. Everything. Getting shot point blank is better than living like this.</t>
        </is>
      </c>
      <c r="D6080" t="n">
        <v>1</v>
      </c>
      <c r="E6080" t="n">
        <v>14</v>
      </c>
      <c r="F6080">
        <f>HYPERLINK("https://www.reddit.com/r/cancer/comments/e1ijyv/the_love_of_my_life_is_about_to_be_diagnosed_with/")</f>
        <v/>
      </c>
      <c r="G6080" t="inlineStr">
        <is>
          <t>2019-11-25 08:38:27</t>
        </is>
      </c>
      <c r="H6080" t="inlineStr"/>
    </row>
    <row r="6081">
      <c r="A6081" t="inlineStr">
        <is>
          <t>e1jr59</t>
        </is>
      </c>
      <c r="B6081" t="inlineStr">
        <is>
          <t>Going thru testing for Lymphoma right now - sufficient?</t>
        </is>
      </c>
      <c r="C6081" t="inlineStr">
        <is>
          <t>Hi everyone! This isn’t so much of a “do i have it?” post, as much as it’s me wondering if people are taking me seriously/doing proper testing. I lost a cousin a few years ago to lymphoma so I’m not taking any chances.
I have an enlarged lymph node under my ear/behind my jaw that’s been growing all year - thought it was just some hard tissue or something, but really become noticeable around August/September. 
Ultrasound in Sep. found two masses, what was thought to be a cyst, follow up CT found NOTHING. 
Mid October I go see an ENT - tells me it’s nothing to worry about. I push for actual testing and am referred to a cancer ENT - and ultrasound shows growth, not much, but shows the masses are actually two nodes - one larger and another smaller right next to it. 
They do (what I think was) a FNA that came back “clean” and I’m told to go home, that if it grows, they’ll check again and possibly remove it eventually. I ask if any blood testing is necessary etc and they tell me no. Now I’ve found another lymph node somewhat swollen next to my other ear, and realized I had forgotten to mention two nodes in my groin that may or may not be of concern? I have another appointment today and just want to know what to push for / expect. 
Is this sufficient testing? Everything I read from patients on reddit says FNA is unreliable, that it’s necessary to have an excisional biopsy as a “for sure” way to tell, though now reading about lymphedema after lymph removal presents its own worries... :( with so many swollen nodes it’s concerning to say the least. 
Any guidance is greatly appreciated, thanks.</t>
        </is>
      </c>
      <c r="D6081" t="n">
        <v>1</v>
      </c>
      <c r="E6081" t="n">
        <v>1</v>
      </c>
      <c r="F6081">
        <f>HYPERLINK("https://www.reddit.com/r/cancer/comments/e1jr59/going_thru_testing_for_lymphoma_right_now/")</f>
        <v/>
      </c>
      <c r="G6081" t="inlineStr">
        <is>
          <t>2019-11-25 09:55:37</t>
        </is>
      </c>
      <c r="H6081" t="inlineStr"/>
    </row>
    <row r="6082">
      <c r="A6082" t="inlineStr">
        <is>
          <t>e1jtdd</t>
        </is>
      </c>
      <c r="B6082" t="inlineStr">
        <is>
          <t>Father diagnosed last month</t>
        </is>
      </c>
      <c r="C6082" t="inlineStr">
        <is>
          <t>My father was diagnosed with Stage 4 esophageal cancer last month. It has spread to his diaphragm, lungs, and brain. Thankfully, they got all the cancer in his brain with Gamma Knife Radiation. They gave him two different immunotherapy drugs  (Trastuzumab and pertuzumab) as well as docetaxel, 5fu, and oxaliplatin. He was okay after the first round but it seems like this one has been tougher on him.
Does anyone have any tips for making food taste better or for dealing with chemo in general? He has two more rounds before the end of the year. 
He says food tastes like shit and he just feels awful. He's barely sleeping, although weed edibles have helped with that a bit.</t>
        </is>
      </c>
      <c r="D6082" t="n">
        <v>1</v>
      </c>
      <c r="E6082" t="n">
        <v>0</v>
      </c>
      <c r="F6082">
        <f>HYPERLINK("https://www.reddit.com/r/cancer/comments/e1jtdd/father_diagnosed_last_month/")</f>
        <v/>
      </c>
      <c r="G6082" t="inlineStr">
        <is>
          <t>2019-11-25 09:59:37</t>
        </is>
      </c>
      <c r="H6082" t="inlineStr"/>
    </row>
    <row r="6083">
      <c r="A6083" t="inlineStr">
        <is>
          <t>e1kzki</t>
        </is>
      </c>
      <c r="B6083" t="inlineStr">
        <is>
          <t>Christmas Present Ideas For My Dad</t>
        </is>
      </c>
      <c r="C6083" t="inlineStr">
        <is>
          <t>Hey Everyone, I want to get my dad something for Christmas, but I'm having a hard time and would love your help. I'm going to give you some background here, maybe it will help you. Shortly after last xmas, dad was diagnosed with stage IV Pancreatic Cancer. My sister had her baby, in the same hospital, in the same week. He left the hospital after recieving the news and met his first grandson.   
Since then, I, and my sister and her significant other have all moved back in with my parents to help out.   
My dad loves Bigfoot, classic rock, aliens. We love to make pirate music together. Maybe writing him a pirate song where he's this salty old captain? It can be pretty sad, like if I were to write him a song, it would be difficult, so him and I tend to lean toward humor.   
My mom is a kindergarten teacher. A pretty sweet gift would be to win the lotto so she dosn't have to work for the health insurance and we could pay our bills and they could spend time together...  
Any help is much appreciated. Maybe I can even post a pic or video here.   
Love,  
Max</t>
        </is>
      </c>
      <c r="D6083" t="n">
        <v>1</v>
      </c>
      <c r="E6083" t="n">
        <v>3</v>
      </c>
      <c r="F6083">
        <f>HYPERLINK("https://www.reddit.com/r/cancer/comments/e1kzki/christmas_present_ideas_for_my_dad/")</f>
        <v/>
      </c>
      <c r="G6083" t="inlineStr">
        <is>
          <t>2019-11-25 11:16:05</t>
        </is>
      </c>
      <c r="H6083" t="inlineStr"/>
    </row>
    <row r="6084">
      <c r="A6084" t="inlineStr">
        <is>
          <t>e1l5ra</t>
        </is>
      </c>
      <c r="B6084" t="inlineStr">
        <is>
          <t>I might be making a mistake</t>
        </is>
      </c>
      <c r="C6084" t="inlineStr">
        <is>
          <t>My mom has to get a major surgery and it will probably be soon, hopefully while I am on break from school. I want to help take care of her and I want everything to be focused on her, but I am concerned with my own health problems at the same time. 
I’m not even sure if it is anything to worry about but I had thyroid cancer a year and a half ago and it was taken care of. Now I have had a lump in my neck that I believe is a swollen lymph node, and it has been there for almost 2 months. I had gone to my PCP about 2 months ago and she kind of blew me off and said “if it’s still there in a month then come back in.” But I haven’t gone back in because they suck there, I’m 19 but still go to my pediatrician so I personally feel they don’t care as much and feel like I’m too old and should move on. I figured I would just call my endocrinologist.
The problem I’m having is that if for some there is something wrong with me, I don’t want it to happen at the same time as my mom having to deal with health issues. I dont know if that makes sense but I wouldn’t want appointments to interfere and I don’t want her to have to bring me anywhere while she is dealing with her appointments and all that stuff. 
I just want her to have less stress, but I’m nervous about putting off the call to my endocrinologist.</t>
        </is>
      </c>
      <c r="D6084" t="n">
        <v>1</v>
      </c>
      <c r="E6084" t="n">
        <v>2</v>
      </c>
      <c r="F6084">
        <f>HYPERLINK("https://www.reddit.com/r/cancer/comments/e1l5ra/i_might_be_making_a_mistake/")</f>
        <v/>
      </c>
      <c r="G6084" t="inlineStr">
        <is>
          <t>2019-11-25 11:27:05</t>
        </is>
      </c>
      <c r="H6084" t="inlineStr"/>
    </row>
    <row r="6085">
      <c r="A6085" t="inlineStr">
        <is>
          <t>e1ltbp</t>
        </is>
      </c>
      <c r="B6085" t="inlineStr">
        <is>
          <t>Cousin with liver cancer... heard about fenbendazole?</t>
        </is>
      </c>
      <c r="C6085" t="inlineStr">
        <is>
          <t>My cousin has liver cancer and by the sound of it, it doesn't look great. They're approaching last straw and they asked me if I know anything that could help and I found about how dog dewormer fenbendazole can be used as cancer treatment?
does anyone know anything about this? all I found is that you have to use it with vitamin e supplement? it doesn't seem like there is much of side effect... but I still don't know how the regime... I don't know how much you're supposed to take and how many times a day you're supposed to take and etc...
if anyone has some information on this please help</t>
        </is>
      </c>
      <c r="D6085" t="n">
        <v>1</v>
      </c>
      <c r="E6085" t="n">
        <v>9</v>
      </c>
      <c r="F6085">
        <f>HYPERLINK("https://www.reddit.com/r/cancer/comments/e1ltbp/cousin_with_liver_cancer_heard_about_fenbendazole/")</f>
        <v/>
      </c>
      <c r="G6085" t="inlineStr">
        <is>
          <t>2019-11-25 12:08:27</t>
        </is>
      </c>
      <c r="H6085" t="inlineStr"/>
    </row>
    <row r="6086">
      <c r="A6086" t="inlineStr">
        <is>
          <t>e1m8i2</t>
        </is>
      </c>
      <c r="B6086" t="inlineStr">
        <is>
          <t>I’m having gamma knife surgery tomorrow.</t>
        </is>
      </c>
      <c r="C6086" t="inlineStr">
        <is>
          <t>I know what to expect. Had it last year in October. I had 9 mets in the brain and it zapped them all. Last MRI showed 3 mets have appeared and smaller than last time. 
Good news is all my mets in the lungs have now gone. 
Im not looking forward to having a frame screwed on my head. But even more of the boredom of laying still for ages.</t>
        </is>
      </c>
      <c r="D6086" t="n">
        <v>1</v>
      </c>
      <c r="E6086" t="n">
        <v>7</v>
      </c>
      <c r="F6086">
        <f>HYPERLINK("https://www.reddit.com/r/cancer/comments/e1m8i2/im_having_gamma_knife_surgery_tomorrow/")</f>
        <v/>
      </c>
      <c r="G6086" t="inlineStr">
        <is>
          <t>2019-11-25 12:35:30</t>
        </is>
      </c>
      <c r="H6086" t="inlineStr"/>
    </row>
    <row r="6087">
      <c r="A6087" t="inlineStr">
        <is>
          <t>e1mi16</t>
        </is>
      </c>
      <c r="B6087" t="inlineStr">
        <is>
          <t>PSA: unresectable bile duct/cholangiocarcinoma</t>
        </is>
      </c>
      <c r="C6087" t="inlineStr">
        <is>
          <t>Please get on your on oncologist ass with molecular profiling!!! If your specific mutation has a clinical trial(phase 2+), you have a better chance of an overall survival. They can attack that mutation to cripple it.
In the case of my mom, it is too late. The damn oncologist took too long and now she's withering away....</t>
        </is>
      </c>
      <c r="D6087" t="n">
        <v>1</v>
      </c>
      <c r="E6087" t="n">
        <v>1</v>
      </c>
      <c r="F6087">
        <f>HYPERLINK("https://www.reddit.com/r/cancer/comments/e1mi16/psa_unresectable_bile_ductcholangiocarcinoma/")</f>
        <v/>
      </c>
      <c r="G6087" t="inlineStr">
        <is>
          <t>2019-11-25 12:52:27</t>
        </is>
      </c>
      <c r="H6087" t="inlineStr"/>
    </row>
    <row r="6088">
      <c r="A6088" t="inlineStr">
        <is>
          <t>e1mrhw</t>
        </is>
      </c>
      <c r="B6088" t="inlineStr">
        <is>
          <t>G. I. S. T. Is the name of the cancer in my brothers stomach.</t>
        </is>
      </c>
      <c r="C6088" t="inlineStr">
        <is>
          <t>The operation is tomorrow and the tumor is more than 10 cms. 
They will take 1/3 of his stomach away, where the tumor is. 
It seems a very sponge like material and it breaks easily. So he is worried. 
Besides the fact he has cancer. 
Anybody experiencing this cancer by family or friends.</t>
        </is>
      </c>
      <c r="D6088" t="n">
        <v>1</v>
      </c>
      <c r="E6088" t="n">
        <v>3</v>
      </c>
      <c r="F6088">
        <f>HYPERLINK("https://www.reddit.com/r/cancer/comments/e1mrhw/g_i_s_t_is_the_name_of_the_cancer_in_my_brothers/")</f>
        <v/>
      </c>
      <c r="G6088" t="inlineStr">
        <is>
          <t>2019-11-25 13:09:17</t>
        </is>
      </c>
      <c r="H6088" t="inlineStr"/>
    </row>
    <row r="6089">
      <c r="A6089" t="inlineStr">
        <is>
          <t>e1msgw</t>
        </is>
      </c>
      <c r="B6089" t="inlineStr">
        <is>
          <t>Ovarian Cancer</t>
        </is>
      </c>
      <c r="C6089" t="inlineStr">
        <is>
          <t>Hello,
Does anyone here have or has had ovarian cancer maybe in the later stages??
My sister was diagnosed with stage 4 ovarian cancer about a year ago. It took doctors some time to figure out she had ovarian cancer. They first thought she had colon cancer, then lung cancer. It's messed up how there isn't an exact thing doctors can look for that will dictate that one has ovarian cancer. Have any of you gotten better and in remission? I know everyone is different, I'm just worried. I'm also looking into getting a genetic test to check if I'm a carrier.
 I'm not super close to her given that her husband sexually abused me for years so our relationship is strained. Her sickness has brought us as close as possible due to the situation. It sucks that I can't just go over and hang out with her because he's there most of the time. He's very controlling. I think it's very sad how he never wanted her to cut her hair, and now chemo has taken it all...</t>
        </is>
      </c>
      <c r="D6089" t="n">
        <v>1</v>
      </c>
      <c r="E6089" t="n">
        <v>9</v>
      </c>
      <c r="F6089">
        <f>HYPERLINK("https://www.reddit.com/r/cancer/comments/e1msgw/ovarian_cancer/")</f>
        <v/>
      </c>
      <c r="G6089" t="inlineStr">
        <is>
          <t>2019-11-25 13:11:01</t>
        </is>
      </c>
      <c r="H6089" t="inlineStr"/>
    </row>
    <row r="6090">
      <c r="A6090" t="inlineStr">
        <is>
          <t>e1o110</t>
        </is>
      </c>
      <c r="B6090" t="inlineStr">
        <is>
          <t>Goodbye my sweet angel. I Lost my 5 year old daughter last night to complications from the treatment for stage IV alveolar rhabdomyosarcoma. No more tubes, no more pokes, no more drugs making her feel sick. No more pain.</t>
        </is>
      </c>
      <c r="C6090" t="inlineStr">
        <is>
          <t>We had an incredible six months together that I will cherish forever. We knew from the start that this was the likely outcome. That didn't make a difference. I am really having a hard time with it right now. I have been physically sick multiple times today and can't get out of bed. My whole face feels like I went 10 rounds with Mike Tyson from crying for hours. I'm hoping talking about it will help a bit. 
Before the end we had some incredible magic some of you may have possibly heard about on a viral post to r/movies. Disney granted our wish and let us see Frozen 2 a week before it's release in theatres. I will always be grateful for that magic. 
She filled my heart with so much love and happiness. I know her energy is with me always. I'm trying to be as strong as she was and know she is helping me.
Good luck to everyone fighting their own battle. Her strength will be with you along the way.
[Disney wish for my angel](https://www.chch.com/disney-grants-wish-for-5-year-old-girl-at-mcmasters-childrens-hospital/)</t>
        </is>
      </c>
      <c r="D6090" t="n">
        <v>1</v>
      </c>
      <c r="E6090" t="n">
        <v>49</v>
      </c>
      <c r="F6090">
        <f>HYPERLINK("https://www.reddit.com/r/cancer/comments/e1o110/goodbye_my_sweet_angel_i_lost_my_5_year_old/")</f>
        <v/>
      </c>
      <c r="G6090" t="inlineStr">
        <is>
          <t>2019-11-25 14:31:46</t>
        </is>
      </c>
      <c r="H6090" t="inlineStr"/>
    </row>
    <row r="6091">
      <c r="A6091" t="inlineStr">
        <is>
          <t>e1o647</t>
        </is>
      </c>
      <c r="B6091" t="inlineStr">
        <is>
          <t>Likelihood of getting another cancer.</t>
        </is>
      </c>
      <c r="C6091" t="inlineStr">
        <is>
          <t>What’s up! I’ve had cancer for 15 years. Did chemo, radiation therapy, multiple surgeries and all that fun stuff. Recently I was thinking about some things about cancer that I haven’t been able to find proper answers to. If someone’s got answers or is able to point me in the right direction I’d be very grateful! 
Basically, my question is how likely is it to get another cancer after already getting cancer, and does this chance become greater as a direct result of getting that first cancer? 
I know I’ve previously heard that you’re automatically more likely to get cancer again after getting it the first time, but I’m not sure what’s meant by this. If you have cancer, the cancer can spread. If you go NED, the cancer can come back. So getting cancer again seems pretty straight forward.
I have synovial sarcoma which is a soft tissue cancer. I’ve read a bunch of statistics related to synovial sarcoma. While I’m currently NED, I’m infinitely more likely to get cancer again than someone that’s never had cancer...but what about an entirely different cancer?
Am I at a greater risk of getting prostate cancer, leukemia or gastric cancer because of my previous cancer experiences? I’m not talking about the synovial sarcoma cells spreading to those areas, I mean developing any of those specific cancers later in life. My kidneys took a beating during treatment, I suffered from osteoporosis, there’s a long list of side effects that I figure could potentially impact this. 
This post might be all over the place, I’m not a native speaker so that’s gonna be my excuse. Anyway I’m thankful for any insight!</t>
        </is>
      </c>
      <c r="D6091" t="n">
        <v>1</v>
      </c>
      <c r="E6091" t="n">
        <v>1</v>
      </c>
      <c r="F6091">
        <f>HYPERLINK("https://www.reddit.com/r/cancer/comments/e1o647/likelihood_of_getting_another_cancer/")</f>
        <v/>
      </c>
      <c r="G6091" t="inlineStr">
        <is>
          <t>2019-11-25 14:41:15</t>
        </is>
      </c>
      <c r="H6091" t="inlineStr"/>
    </row>
    <row r="6092">
      <c r="A6092" t="inlineStr">
        <is>
          <t>e1ogbs</t>
        </is>
      </c>
      <c r="B6092" t="inlineStr">
        <is>
          <t>Steroids causing anger and rage</t>
        </is>
      </c>
      <c r="C6092" t="inlineStr">
        <is>
          <t>I don’t know what to do and I hoping someone can help. My husband has been in 4th stage nasopharyngeal cancer for several years. The immune therapy worked for awhile but the cancer is back in lymph nodes in his pancreas. Dr has put him on aggressive chemo with steroids. The steroids make him so aggressive and he is acting ....he is acting like a totally different person. It is all I can do to keep him calm. Dr says he must have the steroids but does anyone know an alternative? He is so sick I don’t know how he had the strength to act this way. I am at my wits end. Anyone help please. Thank you for reading this.</t>
        </is>
      </c>
      <c r="D6092" t="n">
        <v>1</v>
      </c>
      <c r="E6092" t="n">
        <v>18</v>
      </c>
      <c r="F6092">
        <f>HYPERLINK("https://www.reddit.com/r/cancer/comments/e1ogbs/steroids_causing_anger_and_rage/")</f>
        <v/>
      </c>
      <c r="G6092" t="inlineStr">
        <is>
          <t>2019-11-25 15:01:17</t>
        </is>
      </c>
      <c r="H6092" t="inlineStr"/>
    </row>
    <row r="6093">
      <c r="A6093" t="inlineStr">
        <is>
          <t>e1prv9</t>
        </is>
      </c>
      <c r="B6093" t="inlineStr">
        <is>
          <t>Not a pleasant day</t>
        </is>
      </c>
      <c r="C6093" t="inlineStr">
        <is>
          <t>... today is my bad day.. today my IBS - ( along with stomach cancer) has been kicking up all day to leaving me.in the bathroom. Or bed with the sweats and clammy hands. - ( I'll get threw it )</t>
        </is>
      </c>
      <c r="D6093" t="n">
        <v>1</v>
      </c>
      <c r="E6093" t="n">
        <v>5</v>
      </c>
      <c r="F6093">
        <f>HYPERLINK("https://www.reddit.com/r/cancer/comments/e1prv9/not_a_pleasant_day/")</f>
        <v/>
      </c>
      <c r="G6093" t="inlineStr">
        <is>
          <t>2019-11-25 16:34:05</t>
        </is>
      </c>
      <c r="H6093" t="inlineStr"/>
    </row>
    <row r="6094">
      <c r="A6094" t="inlineStr">
        <is>
          <t>e1qkck</t>
        </is>
      </c>
      <c r="B6094" t="inlineStr">
        <is>
          <t>Looking for some advice and support</t>
        </is>
      </c>
      <c r="C6094" t="inlineStr">
        <is>
          <t>My girlfriends Hodgkin’s lymphoma has unfortunately returned this past week with other undesirable symptoms. She now has swelling on her brain, has had trouble with her memory, and is in and out of sleep. They started her in chemo again for the past 48 hours. 
I’m trying to figure out how to be supportive and prepare for the future. I’m also trying to figure out how to take care of her, myself, our dog, and our home but I feel like our world is spinning. Any advice is helpful.</t>
        </is>
      </c>
      <c r="D6094" t="n">
        <v>1</v>
      </c>
      <c r="E6094" t="n">
        <v>3</v>
      </c>
      <c r="F6094">
        <f>HYPERLINK("https://www.reddit.com/r/cancer/comments/e1qkck/looking_for_some_advice_and_support/")</f>
        <v/>
      </c>
      <c r="G6094" t="inlineStr">
        <is>
          <t>2019-11-25 17:33:51</t>
        </is>
      </c>
      <c r="H6094" t="inlineStr"/>
    </row>
    <row r="6095">
      <c r="A6095" t="inlineStr">
        <is>
          <t>e1rips</t>
        </is>
      </c>
      <c r="B6095" t="inlineStr">
        <is>
          <t>Thanksgiving Words from My Dad, on the First Anniversary of His Death</t>
        </is>
      </c>
      <c r="C6095" t="inlineStr">
        <is>
          <t>Today is the first anniversary of my dad's death from esophageal cancer. To others, he was a doctor, a neighbor, or just a guy. To me, he was a larger-than-life role model, easily the funniest person I ever met, and fiercely protective of those he loved. He couldn't stand the president of his neighborhood HOA - and anytime he saw a horror film or a Halloween witch portrayed on television, he would refer to it as "a documentary about our HOA president."
When he passed, he left a letter for each of us, written with help from his amazing hospice care workers. We read them aloud to each other on Thanksgiving, and every time I read it, I am grateful for the lessons he taught me. Here is his letter to my twin brother and myself:
"Please don't send flowers or be sad for me, I had a great life. Instead, give yourself the gift of having joy in life. Have a steak or a couple of great tacos and a beer. Fly a kite with your child or run with the family dog. Forgive someone (or yourself) for actions that happened in the past and move on with purpose. Connect with a childhood friend. Tell a teacher how much they meant to you. Live your life, love without fear of being hurt, and laugh every chance you get. Look for the good. Donate your time with a cause you find important. Or just look within to make things a little better inside your heart.
Don't waste time, folks. The number one complaint I see in medicine is not disease, it's loneliness - don't fall into the trap of thinking you have time to spare. Get out of the house. Put down the phone. Don't worry about "likes", replace all that with people you love. Do more, and worry less.
If you want to remember me well, do one kind thing today, whether it's a smile for a stranger, having a bit of patience for someone struggling with their day, or helping a neighbor - even if it's the head of your HOA and she's an old witch. I'll be watching. Remember, I love you, and always will - and there's not a damn thing you can do to change that."
Happy Thanksgiving, Dad.</t>
        </is>
      </c>
      <c r="D6095" t="n">
        <v>1</v>
      </c>
      <c r="E6095" t="n">
        <v>12</v>
      </c>
      <c r="F6095">
        <f>HYPERLINK("https://www.reddit.com/r/cancer/comments/e1rips/thanksgiving_words_from_my_dad_on_the_first/")</f>
        <v/>
      </c>
      <c r="G6095" t="inlineStr">
        <is>
          <t>2019-11-25 18:48:29</t>
        </is>
      </c>
      <c r="H6095" t="inlineStr"/>
    </row>
    <row r="6096">
      <c r="A6096" t="inlineStr">
        <is>
          <t>e1tkv2</t>
        </is>
      </c>
      <c r="B6096" t="inlineStr">
        <is>
          <t>Tattoo after chemo</t>
        </is>
      </c>
      <c r="C6096" t="inlineStr">
        <is>
          <t>I have non Hodgkin lymphoma and will finished my last cycle soon ! I want to get a small tattoo and wondering when I can do it? When I asked my doctor he said I should ask my family... lol so I better not asking him about it</t>
        </is>
      </c>
      <c r="D6096" t="n">
        <v>1</v>
      </c>
      <c r="E6096" t="n">
        <v>3</v>
      </c>
      <c r="F6096">
        <f>HYPERLINK("https://www.reddit.com/r/cancer/comments/e1tkv2/tattoo_after_chemo/")</f>
        <v/>
      </c>
      <c r="G6096" t="inlineStr">
        <is>
          <t>2019-11-25 21:47:18</t>
        </is>
      </c>
      <c r="H6096" t="inlineStr"/>
    </row>
    <row r="6097">
      <c r="A6097" t="inlineStr">
        <is>
          <t>e1tui8</t>
        </is>
      </c>
      <c r="B6097" t="inlineStr">
        <is>
          <t>Did the GI doctor do enough?</t>
        </is>
      </c>
      <c r="C6097" t="inlineStr">
        <is>
          <t>Early Nov went to GI doctor for external hemmorhoid and changed stool frequency and shape. I told him I worried for rectal colon cancer. He gave me steroid for inflammation.
Second visit a week later, now I have a swollen lymph node in groin. The GI doctor immediately refer me to Oncologist.
He never examined inside the anus.
He didn't order blood test until the Oncologist complained that I have no prior medical record.
Nor did he order CT scan. I actually had to go visit a primary physician to get CT arranged.
But both my CT and Oncologist won't be until early December despite the urgent referal. So I feel I wasted two weeks with this GI doctor.</t>
        </is>
      </c>
      <c r="D6097" t="n">
        <v>1</v>
      </c>
      <c r="E6097" t="n">
        <v>11</v>
      </c>
      <c r="F6097">
        <f>HYPERLINK("https://www.reddit.com/r/cancer/comments/e1tui8/did_the_gi_doctor_do_enough/")</f>
        <v/>
      </c>
      <c r="G6097" t="inlineStr">
        <is>
          <t>2019-11-25 22:12:35</t>
        </is>
      </c>
      <c r="H6097" t="inlineStr"/>
    </row>
    <row r="6098">
      <c r="A6098" t="inlineStr">
        <is>
          <t>e1u7dg</t>
        </is>
      </c>
      <c r="B6098" t="inlineStr">
        <is>
          <t>A few hours ago, my mom was diagnosed with Acute myeloid leukemia</t>
        </is>
      </c>
      <c r="C6098" t="inlineStr">
        <is>
          <t>I'm not really sure what to say here. This whole day feels like some bad dream that I can't wake up from. If you have any positive words to say, I'd appreciate it.</t>
        </is>
      </c>
      <c r="D6098" t="n">
        <v>1</v>
      </c>
      <c r="E6098" t="n">
        <v>6</v>
      </c>
      <c r="F6098">
        <f>HYPERLINK("https://www.reddit.com/r/cancer/comments/e1u7dg/a_few_hours_ago_my_mom_was_diagnosed_with_acute/")</f>
        <v/>
      </c>
      <c r="G6098" t="inlineStr">
        <is>
          <t>2019-11-25 22:47:52</t>
        </is>
      </c>
      <c r="H6098" t="inlineStr"/>
    </row>
    <row r="6099">
      <c r="A6099" t="inlineStr">
        <is>
          <t>e1ulce</t>
        </is>
      </c>
      <c r="B6099" t="inlineStr">
        <is>
          <t>How to cope</t>
        </is>
      </c>
      <c r="C6099" t="inlineStr">
        <is>
          <t>My mom is in the hospital right now and the town she is in is 3 hours away and I can’t get to her. I don’t know what to do. I feel terrible that I can’t be there for her and things aren’t looking too good. She’s been there for me my whole life and I can’t even see her. I feel like such a piece of shit.</t>
        </is>
      </c>
      <c r="D6099" t="n">
        <v>1</v>
      </c>
      <c r="E6099" t="n">
        <v>2</v>
      </c>
      <c r="F6099">
        <f>HYPERLINK("https://www.reddit.com/r/cancer/comments/e1ulce/how_to_cope/")</f>
        <v/>
      </c>
      <c r="G6099" t="inlineStr">
        <is>
          <t>2019-11-25 23:29:25</t>
        </is>
      </c>
      <c r="H6099" t="inlineStr"/>
    </row>
    <row r="6100">
      <c r="A6100" t="inlineStr">
        <is>
          <t>e1uxlk</t>
        </is>
      </c>
      <c r="B6100" t="inlineStr">
        <is>
          <t>Diagnosed with CLL and starting Ibrutinib soon. Would like to hear about your experiences.</t>
        </is>
      </c>
      <c r="C6100" t="inlineStr">
        <is>
          <t>CLL is Chronic Lymphocytic Leukemia and Ibrutinib is an oral chemotherapy.
I realize everyone's experience differs, but I'm looking for, well, reassurances about how to deal with possible side effects. My doctor said I could continue to work, and I plan to, but I'd like to hear from fellow patients. I have all the questions, so answer away, if you please.</t>
        </is>
      </c>
      <c r="D6100" t="n">
        <v>1</v>
      </c>
      <c r="E6100" t="n">
        <v>4</v>
      </c>
      <c r="F6100">
        <f>HYPERLINK("https://www.reddit.com/r/cancer/comments/e1uxlk/diagnosed_with_cll_and_starting_ibrutinib_soon/")</f>
        <v/>
      </c>
      <c r="G6100" t="inlineStr">
        <is>
          <t>2019-11-26 00:07:49</t>
        </is>
      </c>
      <c r="H6100" t="inlineStr"/>
    </row>
    <row r="6101">
      <c r="A6101" t="inlineStr">
        <is>
          <t>e1vcn4</t>
        </is>
      </c>
      <c r="B6101" t="inlineStr">
        <is>
          <t>How to grieve</t>
        </is>
      </c>
      <c r="C6101" t="inlineStr">
        <is>
          <t>Hello. I’m 19 (female) and my dad (40) has been diagnosed with glioblastoma, brain cancer. It is not operable &amp;amp; he has 4-6 months to live. Everything is so sudden &amp;amp; I my world has collapsed. No one close to me has ever passed away &amp;amp; im not sure how to support him and help him. He’s just too young to go&amp;amp; such a great man.  He will start chemo next week to hopefully give him some more time. How am I supposed to deal with sickness &amp;amp; death. I can’t wrap my head around it. I’m no prepared, my life is falling apart. Any advice works. Thank you.</t>
        </is>
      </c>
      <c r="D6101" t="n">
        <v>1</v>
      </c>
      <c r="E6101" t="n">
        <v>5</v>
      </c>
      <c r="F6101">
        <f>HYPERLINK("https://www.reddit.com/r/cancer/comments/e1vcn4/how_to_grieve/")</f>
        <v/>
      </c>
      <c r="G6101" t="inlineStr">
        <is>
          <t>2019-11-26 00:57:00</t>
        </is>
      </c>
      <c r="H6101" t="inlineStr"/>
    </row>
    <row r="6102">
      <c r="A6102" t="inlineStr">
        <is>
          <t>e1vr9f</t>
        </is>
      </c>
      <c r="B6102" t="inlineStr">
        <is>
          <t>In remission</t>
        </is>
      </c>
      <c r="C6102" t="inlineStr">
        <is>
          <t>After a painful 6 months of chemotherapy and getting my port taken out I’m finally done with this journey (hopefully forever). To everyone who is still battling I am always here if you need to talk to someone. 
Now it’s time to get my life back</t>
        </is>
      </c>
      <c r="D6102" t="n">
        <v>1</v>
      </c>
      <c r="E6102" t="n">
        <v>7</v>
      </c>
      <c r="F6102">
        <f>HYPERLINK("https://www.reddit.com/r/cancer/comments/e1vr9f/in_remission/")</f>
        <v/>
      </c>
      <c r="G6102" t="inlineStr">
        <is>
          <t>2019-11-26 01:43:48</t>
        </is>
      </c>
      <c r="H6102" t="inlineStr"/>
    </row>
    <row r="6103">
      <c r="A6103" t="inlineStr">
        <is>
          <t>e1x1e6</t>
        </is>
      </c>
      <c r="B6103" t="inlineStr">
        <is>
          <t>70% sure I’m going down boyssss</t>
        </is>
      </c>
      <c r="C6103" t="inlineStr">
        <is>
          <t>Okay. Introduction, I’m 19 years young. Attending college and have my whole life ahead of me. I’m a optimist so I’m thinking I might be able to just scoot around this and continue on. However the way I physically feel sometimes is beginning to worry me. I’ve been vaping/juuling for 2 years. I’m aware of the potential dangers. I’m not coming here to understand more about what vaping can / will do to my body. I’m 100% aware of the negative effects. I’m here to ask, what does lung cancer feel like? Or cancer in general? Not the remedial cancer where you know you’re gonna bounce back and survive. But what does it feel like, to know deep down you are 100% going to die sooner than later? Do you rush around and try to check off your bucket list? Do you even have a bucket list? Do you just sit at home and feel all that pain? Do you get high as fuck or so blind drunk you can’t move? I guess accepting my choices is all I can do. There’s no fighting what’s already started happening. 
I apologize if this comes off as rude. I’m just spitting questions. But the main questions is how does it feel, knowing you are going to die?</t>
        </is>
      </c>
      <c r="D6103" t="n">
        <v>1</v>
      </c>
      <c r="E6103" t="n">
        <v>0</v>
      </c>
      <c r="F6103">
        <f>HYPERLINK("https://www.reddit.com/r/cancer/comments/e1x1e6/70_sure_im_going_down_boyssss/")</f>
        <v/>
      </c>
      <c r="G6103" t="inlineStr">
        <is>
          <t>2019-11-26 04:03:36</t>
        </is>
      </c>
      <c r="H6103" t="inlineStr"/>
    </row>
    <row r="6104">
      <c r="A6104" t="inlineStr">
        <is>
          <t>e1x1e7</t>
        </is>
      </c>
      <c r="B6104" t="inlineStr">
        <is>
          <t>70% sure I’m going down boyssss</t>
        </is>
      </c>
      <c r="C6104" t="inlineStr">
        <is>
          <t>Okay. Introduction, I’m 19 years young. Attending college and have my whole life ahead of me. I’m a optimist so I’m thinking I might be able to just scoot around this and continue on. However the way I physically feel sometimes is beginning to worry me. I’ve been vaping/juuling for 2 years. I’m aware of the potential dangers. I’m not coming here to understand more about what vaping can / will do to my body. I’m 100% aware of the negative effects. I’m here to ask, what does lung cancer feel like? Or cancer in general? Not the remedial cancer where you know you’re gonna bounce back and survive. But what does it feel like, to know deep down you are 100% going to die sooner than later? Do you rush around and try to check off your bucket list? Do you even have a bucket list? Do you just sit at home and feel all that pain? Do you get high as fuck or so blind drunk you can’t move? I guess accepting my choices is all I can do. There’s no fighting what’s already started happening. 
I apologize if this comes off as rude. I’m just spitting questions. But the main questions is how does it feel, knowing you are going to die?</t>
        </is>
      </c>
      <c r="D6104" t="n">
        <v>1</v>
      </c>
      <c r="E6104" t="n">
        <v>13</v>
      </c>
      <c r="F6104">
        <f>HYPERLINK("https://www.reddit.com/r/cancer/comments/e1x1e7/70_sure_im_going_down_boyssss/")</f>
        <v/>
      </c>
      <c r="G6104" t="inlineStr">
        <is>
          <t>2019-11-26 04:03:36</t>
        </is>
      </c>
      <c r="H6104" t="inlineStr"/>
    </row>
    <row r="6105">
      <c r="A6105" t="inlineStr">
        <is>
          <t>e1yjso</t>
        </is>
      </c>
      <c r="B6105" t="inlineStr">
        <is>
          <t>Chemo port</t>
        </is>
      </c>
      <c r="C6105" t="inlineStr">
        <is>
          <t>How did you guys clean yourself? Were you allowed to have a bath? 
Is there some outer covering or device which keeps it moisture free?
My doctor told I can wipe around it with a cloth.</t>
        </is>
      </c>
      <c r="D6105" t="n">
        <v>1</v>
      </c>
      <c r="E6105" t="n">
        <v>21</v>
      </c>
      <c r="F6105">
        <f>HYPERLINK("https://www.reddit.com/r/cancer/comments/e1yjso/chemo_port/")</f>
        <v/>
      </c>
      <c r="G6105" t="inlineStr">
        <is>
          <t>2019-11-26 06:20:06</t>
        </is>
      </c>
      <c r="H6105" t="inlineStr"/>
    </row>
    <row r="6106">
      <c r="A6106" t="inlineStr">
        <is>
          <t>e1yoie</t>
        </is>
      </c>
      <c r="B6106" t="inlineStr">
        <is>
          <t>Can breast cancer spread to the lymph nodes without radiation and/or radiation after the tumour is removed?</t>
        </is>
      </c>
      <c r="C6106" t="inlineStr">
        <is>
          <t>My mom had removed a 6cm tumour (Lumpectomy) and she doesn't want to do radiation or chemo (Because it can destroy the heart and her heart is already damaged - Leaky heart valve, aortic aneurysm and long QT syndrome - Apparently 60% of women with breast cancer die after radiation and chemo because it causes heart attack or congestive heart failure later). She doesn't want to do hormone blocking therapy either (The cancer is caused and fed by too much estrogen and progesterone and she hasn't gone through menopause yet). The cancer spread into her blood and is medium growing (Grade 2-3 I think). She's 55. What would be the life expectancy with chemo and/or radiation and without? Thanks.</t>
        </is>
      </c>
      <c r="D6106" t="n">
        <v>1</v>
      </c>
      <c r="E6106" t="n">
        <v>0</v>
      </c>
      <c r="F6106">
        <f>HYPERLINK("https://www.reddit.com/r/cancer/comments/e1yoie/can_breast_cancer_spread_to_the_lymph_nodes/")</f>
        <v/>
      </c>
      <c r="G6106" t="inlineStr">
        <is>
          <t>2019-11-26 06:30:36</t>
        </is>
      </c>
      <c r="H6106" t="inlineStr"/>
    </row>
    <row r="6107">
      <c r="A6107" t="inlineStr">
        <is>
          <t>e1yxn1</t>
        </is>
      </c>
      <c r="B6107" t="inlineStr">
        <is>
          <t>Can breast cancer spread to the lymph nodes without radiation and/or chemo after the tumour is removed?</t>
        </is>
      </c>
      <c r="C6107" t="inlineStr">
        <is>
          <t>My mom has a 6cm tumour removed (Invasive ductal carcinoma) and she doesn’t want to do radiation or chemo (Because it can destroy the heart and her heart is already damaged - Leaky heart valve, aortic aneurysm and long QT syndrome - She’s on beta blockers to stop her heart from beating too fast and going into arrhythmias - Apparently, 60% women with breast cancer die after radiation and chemo because it causes heart attack or congestive heart failure later). She doesn't want to do hormone blocking therapy either (The cancer is caused and fed by too much estrogen and progesterone and she hasn't gone through menopause yet). The cancer spread into her blood and is medium growing (Grade 2-3 I think). She's 55. What would be the life expectancy with chemo and/or radiation and without or even no hormone replacement therapy? Thanks.</t>
        </is>
      </c>
      <c r="D6107" t="n">
        <v>1</v>
      </c>
      <c r="E6107" t="n">
        <v>9</v>
      </c>
      <c r="F6107">
        <f>HYPERLINK("https://www.reddit.com/r/cancer/comments/e1yxn1/can_breast_cancer_spread_to_the_lymph_nodes/")</f>
        <v/>
      </c>
      <c r="G6107" t="inlineStr">
        <is>
          <t>2019-11-26 06:50:24</t>
        </is>
      </c>
      <c r="H6107" t="inlineStr"/>
    </row>
    <row r="6108">
      <c r="A6108" t="inlineStr">
        <is>
          <t>e1yxya</t>
        </is>
      </c>
      <c r="B6108" t="inlineStr">
        <is>
          <t>Triple Negative Breast Cancer - Any Hope?</t>
        </is>
      </c>
      <c r="C6108" t="inlineStr">
        <is>
          <t>Hey everybody,
I don't really know what to write, but I kind of wanted to vent and also would like some advice on where to go from here.
Back in August, my 61 year old mum was diagnosed with Triple Negative Breast Cancer. It was found during a routine mammogram, and after a few scans they discovered that it was just starting to spread to one single lymph node. They started her on chemotherapy straight away, and she's just finished her first round.
Today she went to the scan to see whether the chemo was working, and it turns out that the tumour isn't shrinking. Her appointment wasn't with a doctor, so we're unsure whether there's just been no progress or whether it's actually spread, because the lady couldn't tell us.
From next week, they're starting her on a different chemotherapy and then hopefully the tumour will shrink from that before they do surgery.
Physically, my mum is doing fine. She's still fully functioning and apart from a little sickness on Saturdays (the day inbetween chemo sessions) and hair loss, you wouldn't know she was ill. She's still finding walking fine, handling stairs fine, eating fine, etc. 
Has anybody else had experience with this? 
Thanks!</t>
        </is>
      </c>
      <c r="D6108" t="n">
        <v>1</v>
      </c>
      <c r="E6108" t="n">
        <v>3</v>
      </c>
      <c r="F6108">
        <f>HYPERLINK("https://www.reddit.com/r/cancer/comments/e1yxya/triple_negative_breast_cancer_any_hope/")</f>
        <v/>
      </c>
      <c r="G6108" t="inlineStr">
        <is>
          <t>2019-11-26 06:51:03</t>
        </is>
      </c>
      <c r="H6108" t="inlineStr"/>
    </row>
    <row r="6109">
      <c r="A6109" t="inlineStr">
        <is>
          <t>e1zcz8</t>
        </is>
      </c>
      <c r="B6109" t="inlineStr">
        <is>
          <t>CT scan pro tip: Outfit</t>
        </is>
      </c>
      <c r="C6109" t="inlineStr">
        <is>
          <t>If you dress in clothes with no fiddly metal bits to them (ie leggings, tshirt, no bra) then you don’t have to change into a weird hospital gown! I find it makes the whole experience slightly more comfortable if you get to do it in your own clothes.</t>
        </is>
      </c>
      <c r="D6109" t="n">
        <v>1</v>
      </c>
      <c r="E6109" t="n">
        <v>35</v>
      </c>
      <c r="F6109">
        <f>HYPERLINK("https://www.reddit.com/r/cancer/comments/e1zcz8/ct_scan_pro_tip_outfit/")</f>
        <v/>
      </c>
      <c r="G6109" t="inlineStr">
        <is>
          <t>2019-11-26 07:22:32</t>
        </is>
      </c>
      <c r="H6109" t="inlineStr"/>
    </row>
    <row r="6110">
      <c r="A6110" t="inlineStr">
        <is>
          <t>e1zrx0</t>
        </is>
      </c>
      <c r="B6110" t="inlineStr">
        <is>
          <t>Chemo fatigue after eating?</t>
        </is>
      </c>
      <c r="C6110" t="inlineStr">
        <is>
          <t>Just curious if anyone else has experienced extreme fatigue after meals while on chemotherapy. Currently on Lomustine for brain cancer.</t>
        </is>
      </c>
      <c r="D6110" t="n">
        <v>1</v>
      </c>
      <c r="E6110" t="n">
        <v>0</v>
      </c>
      <c r="F6110">
        <f>HYPERLINK("https://www.reddit.com/r/cancer/comments/e1zrx0/chemo_fatigue_after_eating/")</f>
        <v/>
      </c>
      <c r="G6110" t="inlineStr">
        <is>
          <t>2019-11-26 07:52:39</t>
        </is>
      </c>
      <c r="H6110" t="inlineStr"/>
    </row>
    <row r="6111">
      <c r="A6111" t="inlineStr">
        <is>
          <t>e20qwf</t>
        </is>
      </c>
      <c r="B6111" t="inlineStr">
        <is>
          <t>Cheno therapy suggestions</t>
        </is>
      </c>
      <c r="C6111" t="inlineStr">
        <is>
          <t>Hey everybody I've been going through some rough chemotherapy for Hodgkins Lymphoma. I was just wondering if anyone has any suggestions about what to do with the terrible taste in mouth that doesn't seem to go away.</t>
        </is>
      </c>
      <c r="D6111" t="n">
        <v>1</v>
      </c>
      <c r="E6111" t="n">
        <v>4</v>
      </c>
      <c r="F6111">
        <f>HYPERLINK("https://www.reddit.com/r/cancer/comments/e20qwf/cheno_therapy_suggestions/")</f>
        <v/>
      </c>
      <c r="G6111" t="inlineStr">
        <is>
          <t>2019-11-26 08:57:18</t>
        </is>
      </c>
      <c r="H6111" t="inlineStr"/>
    </row>
    <row r="6112">
      <c r="A6112" t="inlineStr">
        <is>
          <t>e21f6p</t>
        </is>
      </c>
      <c r="B6112" t="inlineStr">
        <is>
          <t>My mother's triple negative breast cancer has spread to her brain.</t>
        </is>
      </c>
      <c r="C6112" t="inlineStr">
        <is>
          <t>My mom has been fighting breast cancer for years. Its been stubbornly lodged in her breast plate so periodically she must go back to chemotherapy and immunotherapy for several months to shrink it back down but they cannot seem to destroy it completely. I was living with her for the past few years to help her out and provide her company (my dad died suddenly from lung cancer a few years ago).
I had made plans to move from the midwest to the east coast months ago and made the move last week.  My mom had just had a scan done and the docs said everything looked good and she could come off chemo.  It felt good knowing I was leaving at a time that my mom was in good spirits and seemingly good health.
I have been in my new home for one week and last night I got a call from my mom. She said that she felt dizzy last night and fell so she went to the hospital. The doctors did a brain scan and found multiple tumors. I am freaking out right now knowing that I have left her, knowing she is scared, tired and just sick of having cancer. I feel so helpless. If I had gotten this news one week ago I would have cancelled my plans to move and stayed with her but its too late for that now.  I want to be there for her so I am looking for flights next week.  
I am just hoping for the best at this point but I know the prognosis is not great. 6 months or so. And after what happened to my dad (passed away 2 days after diagnosis of lung cancer) I feel like I would be lucky to get that much time.</t>
        </is>
      </c>
      <c r="D6112" t="n">
        <v>1</v>
      </c>
      <c r="E6112" t="n">
        <v>7</v>
      </c>
      <c r="F6112">
        <f>HYPERLINK("https://www.reddit.com/r/cancer/comments/e21f6p/my_mothers_triple_negative_breast_cancer_has/")</f>
        <v/>
      </c>
      <c r="G6112" t="inlineStr">
        <is>
          <t>2019-11-26 09:41:41</t>
        </is>
      </c>
      <c r="H6112" t="inlineStr"/>
    </row>
    <row r="6113">
      <c r="A6113" t="inlineStr">
        <is>
          <t>e21ssc</t>
        </is>
      </c>
      <c r="B6113" t="inlineStr">
        <is>
          <t>MRI (brain) question..</t>
        </is>
      </c>
      <c r="C6113" t="inlineStr">
        <is>
          <t>Does anyone else get super itchy/uncomfortable on their scalp where it touches the pad you are laying on?? I feel like it might be a blood flow issue because it goes away right when I sit up.</t>
        </is>
      </c>
      <c r="D6113" t="n">
        <v>1</v>
      </c>
      <c r="E6113" t="n">
        <v>1</v>
      </c>
      <c r="F6113">
        <f>HYPERLINK("https://www.reddit.com/r/cancer/comments/e21ssc/mri_brain_question/")</f>
        <v/>
      </c>
      <c r="G6113" t="inlineStr">
        <is>
          <t>2019-11-26 10:06:58</t>
        </is>
      </c>
      <c r="H6113" t="inlineStr"/>
    </row>
    <row r="6114">
      <c r="A6114" t="inlineStr">
        <is>
          <t>e21uyo</t>
        </is>
      </c>
      <c r="B6114" t="inlineStr">
        <is>
          <t>How Do You Cope When You Survive? (And A Lot of Other Ranting)</t>
        </is>
      </c>
      <c r="C6114" t="inlineStr">
        <is>
          <t>I remember during chemo all I wanted was one day without my Central Line, without nausea, without feeling like I was going to pass out when I stood. Now here I am exactly one month since chemo ended, and I am an anxious mess.
I was diagnosed with sarcoma in March and since have had surgery, radiation, and chemo. Luckily it was only in one spot so they're hopeful it will never come back. Although, that doesn't stop my body from trying to convince me otherwise.
Every milestone I hit, my Mom smiles and says, "You must be so happy!". It sucks because everyone around me is ecstatic except me. I don't want to seem ungrateful. I guess I would call it cautious optimism? Being realistic? I imagine a small animal creeping out of a cage back into the world. 
I think I what eats at me the most is the guilt. Like many of us, I made befriended people I was treated with. Some that will never *not* be treated in some way. During chemo I had such a Carpe Diem attitude, a tunnel vision that let me zero in on the special moments in my life and really appreciate them. I was so sure of what I wanted to do 'when I was done'. I think now I'm living more in a gray area; afraid to make long-term plans but relieved to have a moment.
Anywho, needed to shout into the void for a second. Coincidentally waiting for therapy. Just started antidepressants. Any coping mechanisms that work for you?</t>
        </is>
      </c>
      <c r="D6114" t="n">
        <v>1</v>
      </c>
      <c r="E6114" t="n">
        <v>8</v>
      </c>
      <c r="F6114">
        <f>HYPERLINK("https://www.reddit.com/r/cancer/comments/e21uyo/how_do_you_cope_when_you_survive_and_a_lot_of/")</f>
        <v/>
      </c>
      <c r="G6114" t="inlineStr">
        <is>
          <t>2019-11-26 10:10:50</t>
        </is>
      </c>
      <c r="H6114" t="inlineStr"/>
    </row>
    <row r="6115">
      <c r="A6115" t="inlineStr">
        <is>
          <t>e21yfu</t>
        </is>
      </c>
      <c r="B6115" t="inlineStr">
        <is>
          <t>oncology</t>
        </is>
      </c>
      <c r="C6115" t="inlineStr">
        <is>
          <t>Father went into ER, and diagnosis with stomach cancer, hospital assigned him a young fellow oncology, Are they as good as the other oncology, Can I request to change a doctor?</t>
        </is>
      </c>
      <c r="D6115" t="n">
        <v>1</v>
      </c>
      <c r="E6115" t="n">
        <v>10</v>
      </c>
      <c r="F6115">
        <f>HYPERLINK("https://www.reddit.com/r/cancer/comments/e21yfu/oncology/")</f>
        <v/>
      </c>
      <c r="G6115" t="inlineStr">
        <is>
          <t>2019-11-26 10:17:29</t>
        </is>
      </c>
      <c r="H6115" t="inlineStr"/>
    </row>
    <row r="6116">
      <c r="A6116" t="inlineStr">
        <is>
          <t>e2207y</t>
        </is>
      </c>
      <c r="B6116" t="inlineStr">
        <is>
          <t>My brother revealed to me that he has found a lump in his right testicle. I dont know how to proceed</t>
        </is>
      </c>
      <c r="C6116" t="inlineStr">
        <is>
          <t>I (25) am from India - State of Kerala.
My brother (18) has been having a lot of stress lately. He was underperforming at college, something very uncharacteristic of him. We were trying to have discussions with him. But he always evaded our questions and showed temper.
As brothers we don't always talk but when we talk, we talk for hours.Today his Professor called me and talked about his low attendance. So naturally we decided to talk as his exams were near.
I talked for more than an hour about stuff related to life and studies and my experiences. And right at the end of the conversation, he said to me that he will tell me the real problem.
He went silent for 5 minutes straight and said he had a lump in the size of 3/4 inch in his testicle. He said he found the lump 3-4 weeks ago.
My parents are sleeping upstairs. I will tell them tomorrow morning first thing and take him to a hospital. But I am in shock now i suppose. I cant imagine how he can keep away information like this for this long.
Please help.</t>
        </is>
      </c>
      <c r="D6116" t="n">
        <v>1</v>
      </c>
      <c r="E6116" t="n">
        <v>8</v>
      </c>
      <c r="F6116">
        <f>HYPERLINK("https://www.reddit.com/r/cancer/comments/e2207y/my_brother_revealed_to_me_that_he_has_found_a/")</f>
        <v/>
      </c>
      <c r="G6116" t="inlineStr">
        <is>
          <t>2019-11-26 10:20:59</t>
        </is>
      </c>
      <c r="H6116" t="inlineStr"/>
    </row>
    <row r="6117">
      <c r="A6117" t="inlineStr">
        <is>
          <t>e22j9x</t>
        </is>
      </c>
      <c r="B6117" t="inlineStr">
        <is>
          <t>Back in the house where I spent 8 months in treatment</t>
        </is>
      </c>
      <c r="C6117" t="inlineStr">
        <is>
          <t>I was diagnosed with stage IV Hodgkin’s lymphoma in the summer of 2016 at the age of 19, went through a rough treatment, and was declared cancer-free the beginning of 2017. My parents were excellent caregivers and my friends were equally excellent and supportive. I lived at home during this time. I returned to college once I finished treatment and graduated this May with my class. I had my first survivorship clinic earlier this year. I’ve got a job I love and a partner who is great at listening when I have my meltdowns and flashbacks and fears of recurrence. 
But I am living at home with my parents again while I save money, and being back in this environment is very difficult. I know things are so different, but I still feel lonely and scared a lot of the time. My friends still live near the college, and being here without them reminds me of the isolation of treatment. It’s winter again, which is when the bulk of my treatment happened, and now that I’m in my parents house things are just feeling so eerily similar sometimes that I have rather bad ptsd episodes. 
I don’t have many friends who’ve experienced treatment, and I don’t know how to cope with feeling like I’m back where I was 3 years ago.</t>
        </is>
      </c>
      <c r="D6117" t="n">
        <v>1</v>
      </c>
      <c r="E6117" t="n">
        <v>2</v>
      </c>
      <c r="F6117">
        <f>HYPERLINK("https://www.reddit.com/r/cancer/comments/e22j9x/back_in_the_house_where_i_spent_8_months_in/")</f>
        <v/>
      </c>
      <c r="G6117" t="inlineStr">
        <is>
          <t>2019-11-26 10:56:30</t>
        </is>
      </c>
      <c r="H6117" t="inlineStr"/>
    </row>
    <row r="6118">
      <c r="A6118" t="inlineStr">
        <is>
          <t>e23fob</t>
        </is>
      </c>
      <c r="B6118" t="inlineStr">
        <is>
          <t>Clothing advice</t>
        </is>
      </c>
      <c r="C6118" t="inlineStr">
        <is>
          <t>My father's chemo has recently caused his skin to become sensitive, especially around his feet (very easily scratched and bumping into things bruises very easily). He like to stay active and he's too stubborn to rest, but most socks are painfully irritable against his skin. I've looked into a number of alternatives with little to no luck and so I came here for help. Does anyone have any experience with comfortable clothing against chemo-sensitive skin? (specifically socks and/or shoes but any data would be useful)</t>
        </is>
      </c>
      <c r="D6118" t="n">
        <v>1</v>
      </c>
      <c r="E6118" t="n">
        <v>4</v>
      </c>
      <c r="F6118">
        <f>HYPERLINK("https://www.reddit.com/r/cancer/comments/e23fob/clothing_advice/")</f>
        <v/>
      </c>
      <c r="G6118" t="inlineStr">
        <is>
          <t>2019-11-26 11:55:47</t>
        </is>
      </c>
      <c r="H6118" t="inlineStr"/>
    </row>
    <row r="6119">
      <c r="A6119" t="inlineStr">
        <is>
          <t>e24xeh</t>
        </is>
      </c>
      <c r="B6119" t="inlineStr">
        <is>
          <t>What is the best thing someone has done for you?</t>
        </is>
      </c>
      <c r="C6119" t="inlineStr">
        <is>
          <t>My 85 years old dad got diagnosed with an extremely aggressive renal cancer, probably caused by an underlying cancer to his prostate. It has spread to his sacrum now, and we suspect it's not in his nodes (groin).
I highly doubt he has much more time with us, and we're hoping he can make it to Christmas and be able to spend time with all of us (children).
My question for the group is, if you have been diagnosed with cancer, what is the one best thing someone has done for you? I would like to help my dad as much as I can, and living abroad, I cannot be with him all the time. We're going to visit in a month and I'd like to make sure we provide him with the best support (physical and psychological). What can I do to help him be at peace in these though times?
Thanks everyone in advance.
David</t>
        </is>
      </c>
      <c r="D6119" t="n">
        <v>1</v>
      </c>
      <c r="E6119" t="n">
        <v>5</v>
      </c>
      <c r="F6119">
        <f>HYPERLINK("https://www.reddit.com/r/cancer/comments/e24xeh/what_is_the_best_thing_someone_has_done_for_you/")</f>
        <v/>
      </c>
      <c r="G6119" t="inlineStr">
        <is>
          <t>2019-11-26 13:32:11</t>
        </is>
      </c>
      <c r="H6119" t="inlineStr"/>
    </row>
    <row r="6120">
      <c r="A6120" t="inlineStr">
        <is>
          <t>e262yi</t>
        </is>
      </c>
      <c r="B6120" t="inlineStr">
        <is>
          <t>Chemos tough</t>
        </is>
      </c>
      <c r="C6120" t="inlineStr">
        <is>
          <t>I’m going through a relapse of my Ewing Sarcoma and chemo is really difficult, how were your experiences with chemo and how did you get through it</t>
        </is>
      </c>
      <c r="D6120" t="n">
        <v>1</v>
      </c>
      <c r="E6120" t="n">
        <v>17</v>
      </c>
      <c r="F6120">
        <f>HYPERLINK("https://www.reddit.com/r/cancer/comments/e262yi/chemos_tough/")</f>
        <v/>
      </c>
      <c r="G6120" t="inlineStr">
        <is>
          <t>2019-11-26 14:45:50</t>
        </is>
      </c>
      <c r="H6120" t="inlineStr"/>
    </row>
    <row r="6121">
      <c r="A6121" t="inlineStr">
        <is>
          <t>e2h9pe</t>
        </is>
      </c>
      <c r="B6121" t="inlineStr">
        <is>
          <t>Trapped in the bathroom</t>
        </is>
      </c>
      <c r="C6121" t="inlineStr">
        <is>
          <t>I finally ventured out to start Thanksgiving shopping today (very late) and I was suddenly overcome with emotion.  
My mom passed a month ago. I knew this would be tough.  But I can't even bring myself to buy the damn groceries, much less start cooking. 
She won't be here - in the kitchen with me, driving me crazy with questions, cleaning up the dishes behind me, making the traditional rolls and desserts that she makes every year, telling me "not to overdo it &amp;amp; keep it simple".
Fuck this disease and this holiday. 
Except that's not an option.  At 47, I'm now the "matriarch".  I have young grandchildren who deserve to have Thanksgiving.  
So as much as I'd really like to curl up in bed and sleep until Monday when I can go back to work &amp;amp; pretend all is well, I can't.  I won't.
Here's to all of us who are "stiff-upper-lipping it" this holiday.  We'll get through, and it'll be a little easier next year.</t>
        </is>
      </c>
      <c r="D6121" t="n">
        <v>1</v>
      </c>
      <c r="E6121" t="n">
        <v>13</v>
      </c>
      <c r="F6121">
        <f>HYPERLINK("https://www.reddit.com/r/cancer/comments/e2h9pe/trapped_in_the_bathroom/")</f>
        <v/>
      </c>
      <c r="G6121" t="inlineStr">
        <is>
          <t>2019-11-27 07:08:16</t>
        </is>
      </c>
      <c r="H6121" t="inlineStr"/>
    </row>
    <row r="6122">
      <c r="A6122" t="inlineStr">
        <is>
          <t>e2hyj9</t>
        </is>
      </c>
      <c r="B6122" t="inlineStr">
        <is>
          <t>Any benefit</t>
        </is>
      </c>
      <c r="C6122" t="inlineStr">
        <is>
          <t>I am wondering if there are any benefit can apply for terminal illness</t>
        </is>
      </c>
      <c r="D6122" t="n">
        <v>1</v>
      </c>
      <c r="E6122" t="n">
        <v>1</v>
      </c>
      <c r="F6122">
        <f>HYPERLINK("https://www.reddit.com/r/cancer/comments/e2hyj9/any_benefit/")</f>
        <v/>
      </c>
      <c r="G6122" t="inlineStr">
        <is>
          <t>2019-11-27 07:57:50</t>
        </is>
      </c>
      <c r="H6122" t="inlineStr"/>
    </row>
    <row r="6123">
      <c r="A6123" t="inlineStr">
        <is>
          <t>e2irtf</t>
        </is>
      </c>
      <c r="B6123" t="inlineStr">
        <is>
          <t>How i get my lover back</t>
        </is>
      </c>
      <c r="C6123" t="inlineStr">
        <is>
          <t>&amp;amp;#x200B;
Hello Everyone
&amp;amp;#x200B;
When i read a testimony online on how Dr.Manbela the great and most powerful spell caster help to bring back Divorce husband or wife EX LOVER. I was wondering how can this be true, Because many has failed me in the past without any result from them. I just let the post pass by and move on the forum. To my notice under again, Some person posted and said tested and trusted spell caster. After reading through the mail it was this same man Dr.Manbela she was talking about. So i have no other option than to really check up how he works.I was totally devastated when my beloved husband left me. It was like my entire world vanishing into sorrow and pain. I know it sounds weird but out of all the spell casters I contacted, he was the only one to give me that impression of being so true and trustful. More than his words,He brought my husband back and he made all my wishes come true. He is now loyal, pays attention to me, he offers me flowers every Sunday, and we often go out at the cinema and the restaurant. my wife came to me and apologized for the wrongs he did and promise never to do it again. Ever since then, everything has returned back to normal. I and my family are living together happily again.. I will be forever thankful for turning my life from hell to heaven! i believe who need help should get to him for help. May God continue to use you to save broken relationship. To every one with marital problem, divorce issues, lost lover or any relationship related issues, you can contact Dr. Manbela spell caster via email address [manbelaspelltemple1@gmail.com](mailto:manbelaspelltemple1@gmail.com) or Whats-app or call number  +2348052205551
Thanks Dr. Manbela</t>
        </is>
      </c>
      <c r="D6123" t="n">
        <v>1</v>
      </c>
      <c r="E6123" t="n">
        <v>0</v>
      </c>
      <c r="F6123">
        <f>HYPERLINK("https://www.reddit.com/r/cancer/comments/e2irtf/how_i_get_my_lover_back/")</f>
        <v/>
      </c>
      <c r="G6123" t="inlineStr">
        <is>
          <t>2019-11-27 08:50:59</t>
        </is>
      </c>
      <c r="H6123" t="inlineStr"/>
    </row>
    <row r="6124">
      <c r="A6124" t="inlineStr">
        <is>
          <t>e2ity4</t>
        </is>
      </c>
      <c r="B6124" t="inlineStr">
        <is>
          <t>It's like watching a brick house crumble</t>
        </is>
      </c>
      <c r="C6124" t="inlineStr">
        <is>
          <t>My mother has cancer. She's had cancer twice before, but Christmas 2017 we found out that it's back. And it's terminal, here to stay. The first time it was melanoma and I was still in elementary school, didn't fully understand what was happening.
"Mom had a mole that she had to have removed, it was bleeding."
I never thought much more of it. Then, when I was 15, she got breast cancer. It was a battle, but she won it.
And then the third time came. Third time's the charm, right? That's when the cancer wins.
The melanoma metastasized. It's in her lungs, her liver... And this time the battle can't be won. All we can do is slow it down. They can't operate on it, because it would be a pointless procedure. The cancer would just continue metastasizing  somewhere else. If the medicine worked, the doctor gave her 10-20 years. That's a good estimate, but it's *if* the medicine works.
This spring we found out there was a tumor in her brain. One small tumor near the brain stem. The doctor changed my mother's medication, and they scanned her again in June. The one small tumor now had two new friends. Another by the brain stem, and another by the frontal lobe.
She may be 60, but she had children late in life. I'm 21, and I have a little sister. She's only 16.
I still live at home for reasons I won't get into now, but also to spend time with my family while I still can. I know the tumors are putting pressure on her brain. She refuses to stop working, but works part time. She's forgetting things. She loses her phone and I have to find it for her, and it's always in the same place. She can't tell which family member she went where with. I'm looking my beautiful, caring mother in the eyes every day and just... watch her wither away. She was so alive. She still works because she's so passionate about helping others. She's too good to die, but nothing in life is fair. I can feel the impeding doom. I can see it in her, but I don't know when it's going to happen. I don't know how long she has. All I can see is the light in my mothers eyes slowly, slowly fade. It can happen tomorrow, it can happen in two years. It's like I'm living inside a brick house, just watching it crumble, crushing me and everything I love. My sister is too young for this and there's already been enough tragedy in this family. I hate this. I hate the cancer. I hate seeing how it eats away at her mind and I'm so helpless. There's nothing anyone can do and I'd rather it be me than her. This brick house is a terrible home.</t>
        </is>
      </c>
      <c r="D6124" t="n">
        <v>1</v>
      </c>
      <c r="E6124" t="n">
        <v>10</v>
      </c>
      <c r="F6124">
        <f>HYPERLINK("https://www.reddit.com/r/cancer/comments/e2ity4/its_like_watching_a_brick_house_crumble/")</f>
        <v/>
      </c>
      <c r="G6124" t="inlineStr">
        <is>
          <t>2019-11-27 08:54:48</t>
        </is>
      </c>
      <c r="H6124" t="inlineStr"/>
    </row>
    <row r="6125">
      <c r="A6125" t="inlineStr">
        <is>
          <t>e2jnj9</t>
        </is>
      </c>
      <c r="B6125" t="inlineStr">
        <is>
          <t>Headdress advice</t>
        </is>
      </c>
      <c r="C6125" t="inlineStr">
        <is>
          <t>Hi guys. My mom (63) was diagnosed with stage 3 ovarian carcinoma a few weeks ago. She is starting chemotherapy in a few weeks, and will lose her hair soon after starting treatment. This is a really big deal for her. We have a few family events coming up (weddings, etc.) and I know she would not want to be seen without her hair. She is so strong and graceful - and also the life of the party! -  I want her to enjoy these gatherings without feeling self-conscious. We are going wig shopping this week, but the thing is, I know most wigs are quite warm and can be uncomfortable in the heat (we live in a country that is currently in summer). I want to ask someone to design her some beautiful turbans that she can use for important events as well as for everyday use. Can anyone give me advice regarding the most breathable, cool, non-irritating fabrics that I can source before approaching a designer? Also, if anyone has any experience with user-friendly headdresses, please share any tips you have. Any advice would be appreciated!</t>
        </is>
      </c>
      <c r="D6125" t="n">
        <v>1</v>
      </c>
      <c r="E6125" t="n">
        <v>4</v>
      </c>
      <c r="F6125">
        <f>HYPERLINK("https://www.reddit.com/r/cancer/comments/e2jnj9/headdress_advice/")</f>
        <v/>
      </c>
      <c r="G6125" t="inlineStr">
        <is>
          <t>2019-11-27 09:46:45</t>
        </is>
      </c>
      <c r="H6125" t="inlineStr"/>
    </row>
    <row r="6126">
      <c r="A6126" t="inlineStr">
        <is>
          <t>e2kxoz</t>
        </is>
      </c>
      <c r="B6126" t="inlineStr">
        <is>
          <t>UPDATE TO: I HAVE A TUMOUR AT 16. PLEASE HELP.</t>
        </is>
      </c>
      <c r="C6126" t="inlineStr">
        <is>
          <t>So Hi. 
I am a 16 year old girl, who found out some months ago that I have a tumour in my chest.
I posted about this on reddit before bc I was really worried and stuff.
So I had my biopsy done last week and got the results.
The tumour is benign! I don't have cancer!
I thank everyone who consoled me with their kind words and explained things to me that my previous doctor failed to properly explain to me.
So my new doctor told me that it would be better to remove the tumour but that I don't have to. 
If I don't remove them, then I will have to go every 6 months for a checkup.
Since the tumour is quite big, I do want to get them removed but haven't discussed it yet with my parents.
My older sister didn't seem all to happy when I told her that I want to get them removed, so how do I convince my parents and sister?
Or should I really just let it stay the way it is and go for a checkup every 6 months?
Please tell me what you guys think!</t>
        </is>
      </c>
      <c r="D6126" t="n">
        <v>1</v>
      </c>
      <c r="E6126" t="n">
        <v>10</v>
      </c>
      <c r="F6126">
        <f>HYPERLINK("https://www.reddit.com/r/cancer/comments/e2kxoz/update_to_i_have_a_tumour_at_16_please_help/")</f>
        <v/>
      </c>
      <c r="G6126" t="inlineStr">
        <is>
          <t>2019-11-27 11:07:21</t>
        </is>
      </c>
      <c r="H6126" t="inlineStr"/>
    </row>
    <row r="6127">
      <c r="A6127" t="inlineStr">
        <is>
          <t>e2l42p</t>
        </is>
      </c>
      <c r="B6127" t="inlineStr">
        <is>
          <t>I'm Scared</t>
        </is>
      </c>
      <c r="C6127" t="inlineStr">
        <is>
          <t>I'm 24, and 2 weeks ago i had a smear (pap) test, which revealed i had CIN2. Went in for a further examination where they said in the consultation room they could remove cells there and then using a LLETZ (a heated loop of metal removes the abnormal cells), but in the examination they said it had infected my vagina as well as cervix.. I need surgery now, with general anaesthetic instead of local.   
I'm terrified, i've never had surgery. I'm frightened the procedure won't work, or the cells on my vaginal wall will become a different form of cancer even if they remove the cells from my cervix; basically, i'm so unsure of everything,and don't know what to expect.  
Has anyone else been in this situation?</t>
        </is>
      </c>
      <c r="D6127" t="n">
        <v>1</v>
      </c>
      <c r="E6127" t="n">
        <v>3</v>
      </c>
      <c r="F6127">
        <f>HYPERLINK("https://www.reddit.com/r/cancer/comments/e2l42p/im_scared/")</f>
        <v/>
      </c>
      <c r="G6127" t="inlineStr">
        <is>
          <t>2019-11-27 11:18:31</t>
        </is>
      </c>
      <c r="H6127" t="inlineStr"/>
    </row>
    <row r="6128">
      <c r="A6128" t="inlineStr">
        <is>
          <t>e2l4b8</t>
        </is>
      </c>
      <c r="B6128" t="inlineStr">
        <is>
          <t>What are the odds my tumor has grown since my MRI?</t>
        </is>
      </c>
      <c r="C6128" t="inlineStr">
        <is>
          <t>I have a BENIGN sacrum tumor. No metastasis. It was discovered in July, and it was around 4cm. I just got a follow up MRI yesterday. What are the odds my tumor has grown since then? 
I’d really like to NOT have surgery, as it will push back my start date for work for the 2nd time. Do these things tend to continuously grow?</t>
        </is>
      </c>
      <c r="D6128" t="n">
        <v>1</v>
      </c>
      <c r="E6128" t="n">
        <v>6</v>
      </c>
      <c r="F6128">
        <f>HYPERLINK("https://www.reddit.com/r/cancer/comments/e2l4b8/what_are_the_odds_my_tumor_has_grown_since_my_mri/")</f>
        <v/>
      </c>
      <c r="G6128" t="inlineStr">
        <is>
          <t>2019-11-27 11:18:54</t>
        </is>
      </c>
      <c r="H6128" t="inlineStr"/>
    </row>
    <row r="6129">
      <c r="A6129" t="inlineStr">
        <is>
          <t>e2o16x</t>
        </is>
      </c>
      <c r="B6129" t="inlineStr">
        <is>
          <t>Battling Cancer with adventure!</t>
        </is>
      </c>
      <c r="C6129" t="inlineStr">
        <is>
          <t>My good neighbours dream is to participate in the  Fjallraven Polar adventure!
He is battling brain cancer but refuse to fade away!
Ive seen this dude run the half marathon during chemo and the week after take his daughter camping!
He  (with friends) also brewed beer for the whole block during "Spring  cleaning" (we clean the street we live on, a festival thing).
He is a good guy and needs your vote for this  to come true:
[https://polar.fjallraven.com/contestant/?id=7679](https://polar.fjallraven.com/contestant/?id=7679)
[https://youtu.be/5LBR5W1UnYI](https://youtu.be/5LBR5W1UnYI)
Thank you so much and sorry shameless plug but, HOPE at all cost!</t>
        </is>
      </c>
      <c r="D6129" t="n">
        <v>1</v>
      </c>
      <c r="E6129" t="n">
        <v>1</v>
      </c>
      <c r="F6129">
        <f>HYPERLINK("https://www.reddit.com/r/cancer/comments/e2o16x/battling_cancer_with_adventure/")</f>
        <v/>
      </c>
      <c r="G6129" t="inlineStr">
        <is>
          <t>2019-11-27 14:29:31</t>
        </is>
      </c>
      <c r="H6129" t="inlineStr"/>
    </row>
    <row r="6130">
      <c r="A6130" t="inlineStr">
        <is>
          <t>e2ot9g</t>
        </is>
      </c>
      <c r="B6130" t="inlineStr">
        <is>
          <t>What’s up with you guys? Not judging but....judging</t>
        </is>
      </c>
      <c r="C6130" t="inlineStr">
        <is>
          <t>Cancer friend keeps going cold on me for things I wouldn’t even think would make him angry. I don’t mind emotions but express them so I know what’s happening. Wtf - this feels like a full time job. Anyone else have this????? IM RESIGNING LOL</t>
        </is>
      </c>
      <c r="D6130" t="n">
        <v>1</v>
      </c>
      <c r="E6130" t="n">
        <v>13</v>
      </c>
      <c r="F6130">
        <f>HYPERLINK("https://www.reddit.com/r/cancer/comments/e2ot9g/whats_up_with_you_guys_not_judging_butjudging/")</f>
        <v/>
      </c>
      <c r="G6130" t="inlineStr">
        <is>
          <t>2019-11-27 15:23:55</t>
        </is>
      </c>
      <c r="H6130" t="inlineStr"/>
    </row>
    <row r="6131">
      <c r="A6131" t="inlineStr">
        <is>
          <t>e2oyku</t>
        </is>
      </c>
      <c r="B6131" t="inlineStr">
        <is>
          <t>Family member might have esophageal cancer</t>
        </is>
      </c>
      <c r="C6131" t="inlineStr">
        <is>
          <t>My father in law has been hospitalized for the past 3 days after fainting at home, vomiting blood, and having blood in his stool.  An endoscopy was done yesterday and they found a mass close to where the esophagus connects to the stomach, it is apparently blocking 2/3 of his esophagus.  A biopsy is in progress.  We’re not really talking about it until the biopsy results are in, but I have done research on my own and I know that the prognosis isn’t looking good.  I don’t know if he had any symptoms before the episode that caused him to go to the hospital.  I read that benign esophageal tumors are rare and only occur in about .5% of all esophageal tumors, and there tend to be few if any symptoms and the masses tend to be small.  I also know that there are often no symptoms in the early stages of esophageal cancer, and that it is very difficult to treat once it progresses past stage I.  The 5-year survival rate for stage II is only about 17%.  The tumor seems to be so large... I guess I’m looking for a glimmer of hope here.  My heart is breaking for my husband.</t>
        </is>
      </c>
      <c r="D6131" t="n">
        <v>1</v>
      </c>
      <c r="E6131" t="n">
        <v>1</v>
      </c>
      <c r="F6131">
        <f>HYPERLINK("https://www.reddit.com/r/cancer/comments/e2oyku/family_member_might_have_esophageal_cancer/")</f>
        <v/>
      </c>
      <c r="G6131" t="inlineStr">
        <is>
          <t>2019-11-27 15:34:54</t>
        </is>
      </c>
      <c r="H6131" t="inlineStr"/>
    </row>
    <row r="6132">
      <c r="A6132" t="inlineStr">
        <is>
          <t>e2qcd4</t>
        </is>
      </c>
      <c r="B6132" t="inlineStr">
        <is>
          <t>This is horrible</t>
        </is>
      </c>
      <c r="C6132" t="inlineStr">
        <is>
          <t>My dads battling cancer for the 4th time now and this time I can actually see and feel the pain. Before he was one of the "luckier" cancer patients I guess. Now he has a feeding tube, a trach, and hes going through chemo again. He used to be a normal guy, owned a business, divorced but still saw his kids. I can see the pain on his eyes not because of cancer but because now all we can do is just watch as he struggles. Its the day before thanksgiving and since ive been in college i spend it with my friends from home because everyones back but now Im spending it in a room with him in my uncles house. Not because I want to be here, which I do, but because now I have to. This is a horrible disease why do I go everyday saying why me.</t>
        </is>
      </c>
      <c r="D6132" t="n">
        <v>1</v>
      </c>
      <c r="E6132" t="n">
        <v>11</v>
      </c>
      <c r="F6132">
        <f>HYPERLINK("https://www.reddit.com/r/cancer/comments/e2qcd4/this_is_horrible/")</f>
        <v/>
      </c>
      <c r="G6132" t="inlineStr">
        <is>
          <t>2019-11-27 17:20:15</t>
        </is>
      </c>
      <c r="H6132" t="inlineStr"/>
    </row>
    <row r="6133">
      <c r="A6133" t="inlineStr">
        <is>
          <t>e2qywz</t>
        </is>
      </c>
      <c r="B6133" t="inlineStr">
        <is>
          <t>Is this bravery?</t>
        </is>
      </c>
      <c r="C6133" t="inlineStr">
        <is>
          <t>I’ve been having some thoughts after my relapse - a few people tell me that I’m brave and strong and a “fighter” because of what I’m going through. But how can I be those things when I didn’t choose to have cancer? Does it make sense to call us all of these things? Aaaaand discuss!</t>
        </is>
      </c>
      <c r="D6133" t="n">
        <v>1</v>
      </c>
      <c r="E6133" t="n">
        <v>10</v>
      </c>
      <c r="F6133">
        <f>HYPERLINK("https://www.reddit.com/r/cancer/comments/e2qywz/is_this_bravery/")</f>
        <v/>
      </c>
      <c r="G6133" t="inlineStr">
        <is>
          <t>2019-11-27 18:09:15</t>
        </is>
      </c>
      <c r="H6133" t="inlineStr"/>
    </row>
    <row r="6134">
      <c r="A6134" t="inlineStr">
        <is>
          <t>e2s4ju</t>
        </is>
      </c>
      <c r="B6134" t="inlineStr">
        <is>
          <t>I’m neutropenic and anxious about it</t>
        </is>
      </c>
      <c r="C6134" t="inlineStr">
        <is>
          <t>According to the bloodwork I just got today; thwy didn’t give me a number but called to warnme i might not bw able to do chemo on friday. I’m wearing gloves to go to the store and eating things well-cooked, how worried do I need to be? Did any of y’all get an infection when you were neutropenic? What happened, how did they deal with it?</t>
        </is>
      </c>
      <c r="D6134" t="n">
        <v>1</v>
      </c>
      <c r="E6134" t="n">
        <v>9</v>
      </c>
      <c r="F6134">
        <f>HYPERLINK("https://www.reddit.com/r/cancer/comments/e2s4ju/im_neutropenic_and_anxious_about_it/")</f>
        <v/>
      </c>
      <c r="G6134" t="inlineStr">
        <is>
          <t>2019-11-27 19:37:32</t>
        </is>
      </c>
      <c r="H6134" t="inlineStr"/>
    </row>
    <row r="6135">
      <c r="A6135" t="inlineStr">
        <is>
          <t>e2sg84</t>
        </is>
      </c>
      <c r="B6135" t="inlineStr">
        <is>
          <t>Gastrectomy best chance of A cure?</t>
        </is>
      </c>
      <c r="C6135" t="inlineStr">
        <is>
          <t>For stomach cancer? I'm stage iv so the odds aren't in my favor but id like to hope</t>
        </is>
      </c>
      <c r="D6135" t="n">
        <v>1</v>
      </c>
      <c r="E6135" t="n">
        <v>4</v>
      </c>
      <c r="F6135">
        <f>HYPERLINK("https://www.reddit.com/r/cancer/comments/e2sg84/gastrectomy_best_chance_of_a_cure/")</f>
        <v/>
      </c>
      <c r="G6135" t="inlineStr">
        <is>
          <t>2019-11-27 20:04:43</t>
        </is>
      </c>
      <c r="H6135" t="inlineStr"/>
    </row>
    <row r="6136">
      <c r="A6136" t="inlineStr">
        <is>
          <t>e2sh2s</t>
        </is>
      </c>
      <c r="B6136" t="inlineStr">
        <is>
          <t>Suggestions needed</t>
        </is>
      </c>
      <c r="C6136" t="inlineStr">
        <is>
          <t>Hi all!! I don’t have cancer, but my neighbor does. She recently found out that she’s in stage 4 and the doctors say she’s got about 6 months or so left. I am an artist and want to create a special art piece for her. I’m having a difficult time trying to come up with what exactly to create. What kind of art would you want to receive with having such little time left?
Thanks!!</t>
        </is>
      </c>
      <c r="D6136" t="n">
        <v>1</v>
      </c>
      <c r="E6136" t="n">
        <v>10</v>
      </c>
      <c r="F6136">
        <f>HYPERLINK("https://www.reddit.com/r/cancer/comments/e2sh2s/suggestions_needed/")</f>
        <v/>
      </c>
      <c r="G6136" t="inlineStr">
        <is>
          <t>2019-11-27 20:06:52</t>
        </is>
      </c>
      <c r="H6136" t="inlineStr"/>
    </row>
    <row r="6137">
      <c r="A6137" t="inlineStr">
        <is>
          <t>e2t5pl</t>
        </is>
      </c>
      <c r="B6137" t="inlineStr">
        <is>
          <t>My friend has cancer</t>
        </is>
      </c>
      <c r="C6137" t="inlineStr">
        <is>
          <t>My friend has cancer and I feel helpless and feel like I can’t do nothing. 
I do t really know what type of cancer she has but she was hospitalized after she had a bulge on her neck. 
She had beaten cancer before but she has it again, she’s not good in an economic way. 
What can I do to help her?</t>
        </is>
      </c>
      <c r="D6137" t="n">
        <v>1</v>
      </c>
      <c r="E6137" t="n">
        <v>3</v>
      </c>
      <c r="F6137">
        <f>HYPERLINK("https://www.reddit.com/r/cancer/comments/e2t5pl/my_friend_has_cancer/")</f>
        <v/>
      </c>
      <c r="G6137" t="inlineStr">
        <is>
          <t>2019-11-27 21:10:10</t>
        </is>
      </c>
      <c r="H6137" t="inlineStr"/>
    </row>
    <row r="6138">
      <c r="A6138" t="inlineStr">
        <is>
          <t>e2t6ae</t>
        </is>
      </c>
      <c r="B6138" t="inlineStr">
        <is>
          <t>Shingles with Cancer? Is it dangerous?</t>
        </is>
      </c>
      <c r="C6138" t="inlineStr">
        <is>
          <t>It's the holidays and so my doctors are MIA it seems in terms of responding to emails. Has anyone dealt with Shingles with cancer? Should I be overly concerned?
About a week ago my lower right rib cage area started aching deep down. I honestly thought it was some liver death as I have been going through hepatic embolizations for the past year and a half and occasionally that happens. However then within the past 48 hours, the pain got a bit more pronounced or sharp and then a small patch of 4 red dots/rash/pimple looking things showed up on my side right next to where the ache was on my rib cage area.
I can't figure out what it could be apart from Shingles (I have had chickenpox as a kid), although if it is Shingles it seems pretty minimal since its just that 1 little spot and not a band. The more concerning thing for me is the ache and pain which feels deep down in me. The little dots are slightly painful/sensitive to the touch but that's it.
Should I be concerned?</t>
        </is>
      </c>
      <c r="D6138" t="n">
        <v>1</v>
      </c>
      <c r="E6138" t="n">
        <v>11</v>
      </c>
      <c r="F6138">
        <f>HYPERLINK("https://www.reddit.com/r/cancer/comments/e2t6ae/shingles_with_cancer_is_it_dangerous/")</f>
        <v/>
      </c>
      <c r="G6138" t="inlineStr">
        <is>
          <t>2019-11-27 21:11:38</t>
        </is>
      </c>
      <c r="H6138" t="inlineStr"/>
    </row>
    <row r="6139">
      <c r="A6139" t="inlineStr">
        <is>
          <t>e2tld7</t>
        </is>
      </c>
      <c r="B6139" t="inlineStr">
        <is>
          <t>What can we do?</t>
        </is>
      </c>
      <c r="C6139" t="inlineStr">
        <is>
          <t>Basically about a month ago we found a tumour on my mums lung, it’s quite large and at first they thought she had small cell because it had spread to her brain but she didn’t have tumours she had lesions, but further testing came to be that it wasn’t small cell (thank god) they kept her in hospital for a week. fast forward to now and we’ve had one large dosage of radiation treatment on the brain and a week of radiation treatment on her lung she lost her voice when she had brain radiation done which confused all of us, yesterday we found out it wasn’t the radiation affecting her voice box it’s her tumour in her lung it’s pushing on her windpipe causing a horrible voice and cough we’re going ahead with chemotherapy now because her tumour is quite big (7 cm I believe not 100% sure) he gave us statistics yesterday with life span and my mother completely broke down and told the doctor she didn’t want to die, he hasn’t given her anything to say that she’s going to die in fact he’s hopeful that she’ll live through out this but he also told us that her cancer isn’t curable and the only thing we can really do at this stage is to stable it shrink it and then maybe do surgery after it’s gotten smaller, I know she’s worried about dying and I know she’s worried leaving behind her kids (4 kids including me being the youngest and 5 grandkids) I know that she’s scared and she won’t admit it but her doctors and nurses sat with her yesterday and held her hand and reassured her I don’t know where I’m going with this but I just need hope, I need hope for me and for her I need to show her that even people who were told the worst could happen that they made it out but I know that it’s pretty unrealistic, I know that this journey is only going to get harder from here but I just need some type of reassurance that everything will be okay.. does anyone have any success stories when they thought the worse would happen or anything like that? I need hope.. that’s all, if u read to here thank u it means a heap &amp;lt;3</t>
        </is>
      </c>
      <c r="D6139" t="n">
        <v>1</v>
      </c>
      <c r="E6139" t="n">
        <v>3</v>
      </c>
      <c r="F6139">
        <f>HYPERLINK("https://www.reddit.com/r/cancer/comments/e2tld7/what_can_we_do/")</f>
        <v/>
      </c>
      <c r="G6139" t="inlineStr">
        <is>
          <t>2019-11-27 21:51:13</t>
        </is>
      </c>
      <c r="H6139" t="inlineStr"/>
    </row>
    <row r="6140">
      <c r="A6140" t="inlineStr">
        <is>
          <t>e2u322</t>
        </is>
      </c>
      <c r="B6140" t="inlineStr">
        <is>
          <t>Fuck you cancer! Why my mother!!!</t>
        </is>
      </c>
      <c r="C6140" t="inlineStr">
        <is>
          <t>My mother got diagnosed with inflammatory breast cancer , which is a rare and severe form of breast cancer. She fought really hard but it was too late. She passed away 2 years ago. I just graduated from my diploma today and I am extremely irritated about her death after 2 years ! Why can't doctors find a cure to this fucking cancers! People try to make reusable rockets to go to moon and stuff, why can't they put that money and effort into cancer research!!</t>
        </is>
      </c>
      <c r="D6140" t="n">
        <v>1</v>
      </c>
      <c r="E6140" t="n">
        <v>0</v>
      </c>
      <c r="F6140">
        <f>HYPERLINK("https://www.reddit.com/r/cancer/comments/e2u322/fuck_you_cancer_why_my_mother/")</f>
        <v/>
      </c>
      <c r="G6140" t="inlineStr">
        <is>
          <t>2019-11-27 22:38:11</t>
        </is>
      </c>
      <c r="H6140" t="inlineStr"/>
    </row>
    <row r="6141">
      <c r="A6141" t="inlineStr">
        <is>
          <t>e2ue41</t>
        </is>
      </c>
      <c r="B6141" t="inlineStr">
        <is>
          <t>21yo randomly finds out she has kidney cancer</t>
        </is>
      </c>
      <c r="C6141" t="inlineStr">
        <is>
          <t>I’m not really sure how to feel right now. I’m really happy but also terrified? Long post ahead TLDR at the bottom. 
Just over a year ago when I was pregnant with my second child the sonographer decided to check my surrounding organs during a dating scan. I still have no idea why a pregnancy scan would look at your kidneys and lungs but boy am I thankful. They saw a lump on my left kidney. 
Around Christmas last year I was having a couple of extra ultrasounds to confirm or deny the lump existing, and blood tests galore. But there were no signs of the lump aside from the ultrasounds. So they decide to leave it alone until after I gave birth. My daughter was born healthy on the 30th of June and I was instantly referred to the Urology Clinic at the neighbouring hospital. Another few months and a CT Scan later the doctors tell me they still have no idea what the lump is, that there was a chance it could be a cancer, or benign, or an angry cyst. 
I stayed hopeful and the doctors moved forward with plans that instead of a biopsy while it was inside me, that it was an easier route to operate and have a laparoscopic partial nephrectomy (partial kidney removal via keyhole surgery) to remove the lump and surrounding tissue regardless of if it was a  cyst or a tumour. 
I had surgery on the 6th of November to remove it and had my first post op appointment yesterday. Surgery went well and they removed everything they wanted to and my kidneys are both still functioning the same as they were previously. So all great news. 
Until they tell me that it was a renal cell carcinoma. One of the most common types of kidney cancer. 
I’m just in this weird mental state at the moment where I’m really happy the surgery was successful and it’s all removed. But to think that I had cancer and had no idea for over a year, that we found it by accident and how bad it could have progressed by the time I had any symptoms. I’m a mum of two (18mo and 4mo) and not only do I now have to get a bunch of tests done in the future but I also need to make sure they’re always getting checked when they’re older due to the hereditary risks. I know other people have it much worse. But I’ve always been healthy and never smoked or done drugs or drank much. Plus I’m a young woman. So I don’t at all fit the bill of ‘most commonly found in men aged 40+’
TLDR:
21yo mum of two randomly found a lump on kidney, had surgery a year later to remove unknown lump. Ends up being RCC kidney cancer. 
I think I just posted this to rant but I’d love to hear from any of you if you’ve got any tips to tackle this mental state associated with the diagnosis.</t>
        </is>
      </c>
      <c r="D6141" t="n">
        <v>1</v>
      </c>
      <c r="E6141" t="n">
        <v>27</v>
      </c>
      <c r="F6141">
        <f>HYPERLINK("https://www.reddit.com/r/cancer/comments/e2ue41/21yo_randomly_finds_out_she_has_kidney_cancer/")</f>
        <v/>
      </c>
      <c r="G6141" t="inlineStr">
        <is>
          <t>2019-11-27 23:06:46</t>
        </is>
      </c>
      <c r="H6141" t="inlineStr"/>
    </row>
    <row r="6142">
      <c r="A6142" t="inlineStr">
        <is>
          <t>e2v941</t>
        </is>
      </c>
      <c r="B6142" t="inlineStr">
        <is>
          <t>Stuck in limbo, not sure what to do, our health care system sucks!</t>
        </is>
      </c>
      <c r="C6142" t="inlineStr">
        <is>
          <t>Last Monday I went to see my GP, for a pap. I hate doctors and usually just ignore all my issues, but after several months of constant bleeding and pain that just won't quit, I gave in. I told her... I think I have cancer, she laughed and we joked and she assured me there are a million things that could cause this. 
Then during the pap, she got very quiet, spent more time than normal down there and kept saying, its ok. 
She finally finished and at this point I am freaking out. She tells me she sees a large mass from my uterus, coming down across my cervix. It is very "friable" and bleeding quite heavily. She then apologizes many times, and has gone completely somber and sad. 
She booked me for an urgent ultra sound, blood work and then to a gyno. 
I leave her office feeling numb. My husband takes me to my blood and ultra sound and at this point I just don't know how to feel. 
Results from blood test are inconclusive. Ultra sound shows that the "mass" has not spread, it is quite large and has over taken by cervical canal and prolapsed the uterus across the cervix. I don't know what this means, but she assures me that it is not spread to my bladder or colon or bowel. So that is good.
Our health care system is currently under a remodel and all tests like biopsies are extremely delayed, we may not hear about the cervical biopsy for another week.
This past weekend I spent a night in the hospital as I was bleeding so much I passed out, they gave me blood and fluids and this drug to stop the bleeding.
Tomorrow is my appointment with the gyno, she is supposed to do more biopsies, and see if she can tell more about the mass, and maybe answer some questions.
But after looking at her reviews online, I don't think I want to go to her, she is the only gyno that can get me in, everyone else is booked months out, but her reviews are full of malpractice suits causing death from negligence, people leave reviews about this Doctor hurting them, botching their surgeries and miss diagnosing them. 
I feel trapped, do I wait for someone else, do I see the psychopath gyno. 
I don't know how I am supposed to feel, I don't even fully understand what is happening.
People just keeps saying don't worry, or you will be fine.
I am not even sure why I am writing this, I just had to get it all out, anything can help at this point.</t>
        </is>
      </c>
      <c r="D6142" t="n">
        <v>1</v>
      </c>
      <c r="E6142" t="n">
        <v>5</v>
      </c>
      <c r="F6142">
        <f>HYPERLINK("https://www.reddit.com/r/cancer/comments/e2v941/stuck_in_limbo_not_sure_what_to_do_our_health/")</f>
        <v/>
      </c>
      <c r="G6142" t="inlineStr">
        <is>
          <t>2019-11-28 00:33:22</t>
        </is>
      </c>
      <c r="H6142" t="inlineStr"/>
    </row>
    <row r="6143">
      <c r="A6143" t="inlineStr">
        <is>
          <t>e2whb6</t>
        </is>
      </c>
      <c r="B6143" t="inlineStr">
        <is>
          <t>Esophageal cancer terminal</t>
        </is>
      </c>
      <c r="C6143" t="inlineStr">
        <is>
          <t>We got the news today that dads cancer is basically terminal. 
He started with 4 cycles of EOX chemotherapy after having a brain metastases removed. His primary tumour was responding well but he was experiencing weakness. They stopped chemo for 6 weeks to see if it was a side effect. It wasn’t. They said he can’t go back onto EOX because it wouldn’t work. He got put on Docetaxel and it hasn’t responded. They’ve stopped chemo altogether. 
They said he’s not eligible for clinical trials such as Keytruda so it’s not an option. 
I can’t leave him to die. What am I going to do? I suffer with OCD so now I’m obsessing over finding treatments that could work and finding a second opinion.
It’s so overwhelming, they said he’ll make Christmas but might not have much time after that. I’m so broken. He doesn’t deserve this, he’s the kindest man I’ve ever known. 
Sorry for the long post, I don’t know what else to do other than break down.</t>
        </is>
      </c>
      <c r="D6143" t="n">
        <v>1</v>
      </c>
      <c r="E6143" t="n">
        <v>4</v>
      </c>
      <c r="F6143">
        <f>HYPERLINK("https://www.reddit.com/r/cancer/comments/e2whb6/esophageal_cancer_terminal/")</f>
        <v/>
      </c>
      <c r="G6143" t="inlineStr">
        <is>
          <t>2019-11-28 02:51:33</t>
        </is>
      </c>
      <c r="H6143" t="inlineStr"/>
    </row>
    <row r="6144">
      <c r="A6144" t="inlineStr">
        <is>
          <t>e2wyga</t>
        </is>
      </c>
      <c r="B6144" t="inlineStr">
        <is>
          <t>could my dad have cancer?</t>
        </is>
      </c>
      <c r="C6144" t="inlineStr">
        <is>
          <t>hello.
so today my dad just got an eye brow shaver in the mail for the both of us and as he was shaving, he noticed a fairly large gray spot on his chin, its on his beard so its not so noticible but could this be any form of skin cancer? we only noticed it today</t>
        </is>
      </c>
      <c r="D6144" t="n">
        <v>1</v>
      </c>
      <c r="E6144" t="n">
        <v>7</v>
      </c>
      <c r="F6144">
        <f>HYPERLINK("https://www.reddit.com/r/cancer/comments/e2wyga/could_my_dad_have_cancer/")</f>
        <v/>
      </c>
      <c r="G6144" t="inlineStr">
        <is>
          <t>2019-11-28 03:44:36</t>
        </is>
      </c>
      <c r="H6144" t="inlineStr"/>
    </row>
    <row r="6145">
      <c r="A6145" t="inlineStr">
        <is>
          <t>e2ydel</t>
        </is>
      </c>
      <c r="B6145" t="inlineStr">
        <is>
          <t>Losing Your Faith</t>
        </is>
      </c>
      <c r="C6145" t="inlineStr">
        <is>
          <t>I wouldn’t have ever called myself religious, but I was always a believer. My family was the one who would go to church on Easter, Mother’s Day, and Christmas. I’ve completely lost my belief after I lost my dad. 
I don’t want to start a fight on this, but am I alone in this? Has anyone else lost their faith after battling cancer or losing a loved one?</t>
        </is>
      </c>
      <c r="D6145" t="n">
        <v>1</v>
      </c>
      <c r="E6145" t="n">
        <v>12</v>
      </c>
      <c r="F6145">
        <f>HYPERLINK("https://www.reddit.com/r/cancer/comments/e2ydel/losing_your_faith/")</f>
        <v/>
      </c>
      <c r="G6145" t="inlineStr">
        <is>
          <t>2019-11-28 06:00:23</t>
        </is>
      </c>
      <c r="H6145" t="inlineStr"/>
    </row>
    <row r="6146">
      <c r="A6146" t="inlineStr">
        <is>
          <t>e2yrfo</t>
        </is>
      </c>
      <c r="B6146" t="inlineStr">
        <is>
          <t>Diagnosed with stage I melanoma</t>
        </is>
      </c>
      <c r="C6146" t="inlineStr">
        <is>
          <t>I just got diagnosed with stage 1 melanoma. Had a mole on my chest that got a small black dot in it, so I had it removed a few weeks ago. The melanoma was 0.9mm thick, so the doctor said the prognosis is extremely good. Just gonna go in next week and have a bit of a wider excision as is standard. 
Just feels weird. I know the risk of anything bad happening is so low that I could just as well get something else that's nasty on those chances. But just like ... suddenly I'm a cancer survivor. I had it, now it's gone. Doctor said I should just try and be positive and move on, which seems right. But still. Just ... feeling really strange.</t>
        </is>
      </c>
      <c r="D6146" t="n">
        <v>1</v>
      </c>
      <c r="E6146" t="n">
        <v>1</v>
      </c>
      <c r="F6146">
        <f>HYPERLINK("https://www.reddit.com/r/cancer/comments/e2yrfo/diagnosed_with_stage_i_melanoma/")</f>
        <v/>
      </c>
      <c r="G6146" t="inlineStr">
        <is>
          <t>2019-11-28 06:32:40</t>
        </is>
      </c>
      <c r="H6146" t="inlineStr"/>
    </row>
    <row r="6147">
      <c r="A6147" t="inlineStr">
        <is>
          <t>e2yzv2</t>
        </is>
      </c>
      <c r="B6147" t="inlineStr">
        <is>
          <t>WHAT IF</t>
        </is>
      </c>
      <c r="C6147" t="inlineStr">
        <is>
          <t>I have a very big question,
what if my cancer have cancer?
Can a cancer have cancer?</t>
        </is>
      </c>
      <c r="D6147" t="n">
        <v>1</v>
      </c>
      <c r="E6147" t="n">
        <v>4</v>
      </c>
      <c r="F6147">
        <f>HYPERLINK("https://www.reddit.com/r/cancer/comments/e2yzv2/what_if/")</f>
        <v/>
      </c>
      <c r="G6147" t="inlineStr">
        <is>
          <t>2019-11-28 06:51:37</t>
        </is>
      </c>
      <c r="H6147" t="inlineStr"/>
    </row>
    <row r="6148">
      <c r="A6148" t="inlineStr">
        <is>
          <t>e2zhbj</t>
        </is>
      </c>
      <c r="B6148" t="inlineStr">
        <is>
          <t>Thank you</t>
        </is>
      </c>
      <c r="C6148" t="inlineStr">
        <is>
          <t>Long story short, I've had a very, very hard month. All that's left to do now is grieve my losses and learn how to carry on without them. I felt so alone this whole time wondering how so many awful things could happen all at once. Then I came here. I read so many stories about people struggling with similar issues as me and somehow I feel better. My heart goes out to all of you who have posted today saying the holiday is hard. It's hard for me, too. For many of us, this is the first holiday without someone we love. Thank you for sharing your stories. I has helped me feel less alone. It's hard scrolling through social media seeing all my friends with their loved ones while I feel empty and lost inside. At least I know I'm not alone. Much love to you all.</t>
        </is>
      </c>
      <c r="D6148" t="n">
        <v>1</v>
      </c>
      <c r="E6148" t="n">
        <v>2</v>
      </c>
      <c r="F6148">
        <f>HYPERLINK("https://www.reddit.com/r/cancer/comments/e2zhbj/thank_you/")</f>
        <v/>
      </c>
      <c r="G6148" t="inlineStr">
        <is>
          <t>2019-11-28 07:30:42</t>
        </is>
      </c>
      <c r="H6148" t="inlineStr"/>
    </row>
    <row r="6149">
      <c r="A6149" t="inlineStr">
        <is>
          <t>e2zid1</t>
        </is>
      </c>
      <c r="B6149" t="inlineStr">
        <is>
          <t>Wishing you all a Happy and Joyous Holiday</t>
        </is>
      </c>
      <c r="C6149" t="inlineStr">
        <is>
          <t>Hey all! I wanted to take a moment and just wish y’all a happy and joyous holiday. The holidays are stressful for me and serve as a reminder to when I was diagnosed. To those out there done with treatment, enjoy being with family and friends. To those in treatment, I hope that today gives you a break from the stressors of cancer and that you can have a day to just be at peace. For family and friends with a loved one fighting, enjoy their company!
I wish you all nothing but positive vibes and good health. Thank you for being here for me the last year!</t>
        </is>
      </c>
      <c r="D6149" t="n">
        <v>1</v>
      </c>
      <c r="E6149" t="n">
        <v>3</v>
      </c>
      <c r="F6149">
        <f>HYPERLINK("https://www.reddit.com/r/cancer/comments/e2zid1/wishing_you_all_a_happy_and_joyous_holiday/")</f>
        <v/>
      </c>
      <c r="G6149" t="inlineStr">
        <is>
          <t>2019-11-28 07:32:43</t>
        </is>
      </c>
      <c r="H6149" t="inlineStr"/>
    </row>
    <row r="6150">
      <c r="A6150" t="inlineStr">
        <is>
          <t>e30m8u</t>
        </is>
      </c>
      <c r="B6150" t="inlineStr">
        <is>
          <t>[advice request] New skin conditions during chemo</t>
        </is>
      </c>
      <c r="C6150" t="inlineStr">
        <is>
          <t>Backstory: me = short-term caregiver. Son. Patient = mother. Just started paclitaxel-carboplatin 6x 3w cycles. Her first dose was Monday. Today is day 4 and she has skin irritation on chest and back of neck. No bleeding. Looks like some scabbing. Neck looks like a rug burn and chest seems to be a dermatitis. Yesterday Clinic nurse said to treat any skin rashes with hydrocortisone cream and CeraVe (ceramide-containing lotion).  
Anything else we can do?
Thanks.</t>
        </is>
      </c>
      <c r="D6150" t="n">
        <v>1</v>
      </c>
      <c r="E6150" t="n">
        <v>7</v>
      </c>
      <c r="F6150">
        <f>HYPERLINK("https://www.reddit.com/r/cancer/comments/e30m8u/advice_request_new_skin_conditions_during_chemo/")</f>
        <v/>
      </c>
      <c r="G6150" t="inlineStr">
        <is>
          <t>2019-11-28 08:53:36</t>
        </is>
      </c>
      <c r="H6150" t="inlineStr"/>
    </row>
    <row r="6151">
      <c r="A6151" t="inlineStr">
        <is>
          <t>e30vxx</t>
        </is>
      </c>
      <c r="B6151" t="inlineStr">
        <is>
          <t>Hair Loss Etiquette</t>
        </is>
      </c>
      <c r="C6151" t="inlineStr">
        <is>
          <t>So my grandmother is receiving chemotherapy treatment, and has recently lost all her hair as a result. She has not indicated that this bothers her in any way, but I don’t know if that’s something she would share with me even if it did. I was considering buying her a nice wig or headscarves as a gift, but I am unsure if that might be too presumptuous of me to think that she would want to cover her head in the first place. Or that by asking first, it might just draw unnecessary attention to something she could be self-conscious about. Anyone care to weigh in on whether I should ask her about it before buying, or is it a good gift idea that simply may or may not go unused?</t>
        </is>
      </c>
      <c r="D6151" t="n">
        <v>1</v>
      </c>
      <c r="E6151" t="n">
        <v>0</v>
      </c>
      <c r="F6151">
        <f>HYPERLINK("https://www.reddit.com/r/cancer/comments/e30vxx/hair_loss_etiquette/")</f>
        <v/>
      </c>
      <c r="G6151" t="inlineStr">
        <is>
          <t>2019-11-28 09:11:57</t>
        </is>
      </c>
      <c r="H6151" t="inlineStr"/>
    </row>
    <row r="6152">
      <c r="A6152" t="inlineStr">
        <is>
          <t>e35pcw</t>
        </is>
      </c>
      <c r="B6152" t="inlineStr">
        <is>
          <t>A Cancer Journey</t>
        </is>
      </c>
      <c r="C6152" t="inlineStr">
        <is>
          <t>It's been almost a year since my Dad was diagnosed with Stage 4 Colon Cancer that metastasized to his Liver, and it's been a tough year for him mentally and physically. 
It all started when my Dad and stepmom noticed a 'knot' underneath his right rib. Went to his GP and she sent him to a Gastrointestinal Specialist to check him out. The first visit they just did xrays and was told that he had tumors covering his left and right lobes on his liver. This man, who was just the nurse because the actual Dr wasn't there, basically told us that it was useless, that nothing would help him. Worst News Ever..😟
We then made an appointment with his now Oncologist, who is amazing by the way, and he said he wouldn't be able to tell us anything without a colonoscopy and a liver biopsy done. The colonoscopy showed a 6cm 'mass', Cancer, 3cm inside his rectum and the liver biopsy did indeed show Cancer. Dads Oncologist told him this news and it broke my heart because my Dad doesn't deserve this horrible disease. The Oncologist, Dr Boniol, told us that without any chemo treatment, he had maybe 3 months to live. This wasn't an option for me. Chemo and Radiation it is. Even Worse News..😥
Dad had an appointment the same day as the colonoscopy to get his Port Placement done. While he was in surgery for that, I walked to the Cancer Center, which is in the same hospital area, and made his appointment for his first round of Chemo. While making the appointment at the Cancer Center I was told insurance hasn't approved treatment yet, so the nurse called Boniol. This great Dr told the nurse to go ahead and schedule the appointment, without insurance approval, because he knows without it my Dad won't make it. Best Dr Ever..💙💚
Chemo first: 12 rounds of FOLFOX and 10 rounds of Avastin is the Chemo he will have. Besides the neuropathy and occasional nausea he was doing great, until his 9th FOLFOX/7th Avastin. He wasn't feeling good and was having trouble swallowing. Dad was taken to the ER because we was scared of something going wrong, boy were we right! His blood sugar was 867 when he was admitted into the hospital and extremely close to, well nothing good. Boniol said the Avastin can sometimes bring out diabetes in someone that already has a mild case of it, we had no idea. Dad was very lucky to be alive on this day. So he now has Colon/Liver Cancer and Diabetes. WTF!!😤
Fast forward to Dad finishing the FOLFOX/Avastin Chemo treatments. He gets his first scan done after Chemo and they show that the Chemo has indeed worked on the Colon Cancer. 👍
Up next will be Sirtex Radiation Beads to treat his Liver Cancer. This will only be 2 rounds of this treatment, one round for each lobe. The Sirtex Beads will be injected directly into his liver, instead of throughout his whole body, and they will then stick to the Cancer and fight it. The 1st treatment went real good for Dad. I mean, he was really low on energy for about a week after but he evened out around the 2nd week. The 2nd treatment hit him worse. His energy level is crazy low and we, my stepmom and I, have noticed that he has started being not as positive at the outcome after all his treatments. He's Scared Now..😰
Almost 2 weeks after his 2nd Radiation treatment, he was having bowel issues, memory loss, trouble swallowing food and he's lost tons of muscle in his body. My stepmom and I took him to the ER and the CT Scan showed 2 spots on his brain and that means, within the past week or so, Dad had a Stroke. He has no idea when he had the Stroke, so we're thinking it happened in his sleep. Which scares all of us because that means he's lucky he even woke up from it.. What's Next..😩
Since the Stroke happened Dad has been an emotional wreck. When anyone tells him that they love him, he gets tears in his eyes. He's scared to death of what's happening to him, I can see it in his eyes. My stepmom and I have been to each and every Dr appointment since this started and we are constantly telling him that it's okay to be scared, because it's the unknown. He has no idea what all this will end up becoming and it scares the shit out of him. 🤯
All the family has repeatedly told him that we are all here for him, for no matter what he needs/wants and not to be scared to talk to any of us, to which he usually replies that he doesn't wanna be a bother to anyone. We have all been trying to assure him that he is no bother at all and that we will all be there for him, even if he doesn't want us to help.😌
Dad told me today that he's glad that I, his only daughter, has been there to help him and my stepmom from the beginning. Said he doesn't want to think of where he'd be if I wasn't there to help them both throughout all of this disease. I told him that he took care of me growing up and that it was my turn to help take care of him.😥
Even after me reassuring him again that he is no bother at all to me if he needs anything from me. This is my Dad and he has been a great Dad. If there is anything I can do to make him forget for a moment about his situation, I will. If there is anything I can do to make sure he knows that I'm not going anywhere, I will. This man is my rock and I will be forever grateful that he was chosen to be my Dad. I will love him forever and will make sure he knows how much I love him forever!💗
Thanks to anyone to reads my families Cancer story and if anyone has any advice on what I can do to help my Dad, please let me know. I appreciate any help to help my Dad.</t>
        </is>
      </c>
      <c r="D6152" t="n">
        <v>1</v>
      </c>
      <c r="E6152" t="n">
        <v>4</v>
      </c>
      <c r="F6152">
        <f>HYPERLINK("https://www.reddit.com/r/cancer/comments/e35pcw/a_cancer_journey/")</f>
        <v/>
      </c>
      <c r="G6152" t="inlineStr">
        <is>
          <t>2019-11-28 14:53:02</t>
        </is>
      </c>
      <c r="H6152" t="inlineStr"/>
    </row>
    <row r="6153">
      <c r="A6153" t="inlineStr">
        <is>
          <t>e35xai</t>
        </is>
      </c>
      <c r="B6153" t="inlineStr">
        <is>
          <t>Anyone here dying of Cancer today?</t>
        </is>
      </c>
      <c r="C6153" t="inlineStr">
        <is>
          <t>RIP.</t>
        </is>
      </c>
      <c r="D6153" t="n">
        <v>1</v>
      </c>
      <c r="E6153" t="n">
        <v>3</v>
      </c>
      <c r="F6153">
        <f>HYPERLINK("https://www.reddit.com/r/cancer/comments/e35xai/anyone_here_dying_of_cancer_today/")</f>
        <v/>
      </c>
      <c r="G6153" t="inlineStr">
        <is>
          <t>2019-11-28 15:10:33</t>
        </is>
      </c>
      <c r="H6153" t="inlineStr"/>
    </row>
    <row r="6154">
      <c r="A6154" t="inlineStr">
        <is>
          <t>e37xrj</t>
        </is>
      </c>
      <c r="B6154" t="inlineStr">
        <is>
          <t>Best friend died of cancer today</t>
        </is>
      </c>
      <c r="C6154" t="inlineStr">
        <is>
          <t>I’m not sure what to say or do. This is the heaviest my heart has felt in a long time. He had some rare form of cancer called vhl. For anyone that’s lost a loved one to this disease I hope you can find peace.</t>
        </is>
      </c>
      <c r="D6154" t="n">
        <v>1</v>
      </c>
      <c r="E6154" t="n">
        <v>12</v>
      </c>
      <c r="F6154">
        <f>HYPERLINK("https://www.reddit.com/r/cancer/comments/e37xrj/best_friend_died_of_cancer_today/")</f>
        <v/>
      </c>
      <c r="G6154" t="inlineStr">
        <is>
          <t>2019-11-28 18:00:54</t>
        </is>
      </c>
      <c r="H6154" t="inlineStr"/>
    </row>
    <row r="6155">
      <c r="A6155" t="inlineStr">
        <is>
          <t>e381ao</t>
        </is>
      </c>
      <c r="B6155" t="inlineStr">
        <is>
          <t>I almost threw up after Thanksgiving dinner</t>
        </is>
      </c>
      <c r="C6155" t="inlineStr">
        <is>
          <t>My dad just got diagnosed with lung cancer and COPD one week ago today. I’ve never seen him so weak. He was awake long enough to eat a quick meal and spent the rest of the evening trying to walk around the house finding a place to take a nap and be most comfortable. I’ve never seen my father who used to be the strongest man I know barely be able to muster up the strength to take two steps. Whoever is going the pick this, I hope you know you’re not alone. This disease is disgusting and all we can do is fight together ❤️❤️ Happy thanksgiving</t>
        </is>
      </c>
      <c r="D6155" t="n">
        <v>1</v>
      </c>
      <c r="E6155" t="n">
        <v>7</v>
      </c>
      <c r="F6155">
        <f>HYPERLINK("https://www.reddit.com/r/cancer/comments/e381ao/i_almost_threw_up_after_thanksgiving_dinner/")</f>
        <v/>
      </c>
      <c r="G6155" t="inlineStr">
        <is>
          <t>2019-11-28 18:08:44</t>
        </is>
      </c>
      <c r="H6155" t="inlineStr"/>
    </row>
    <row r="6156">
      <c r="A6156" t="inlineStr">
        <is>
          <t>e39h8j</t>
        </is>
      </c>
      <c r="B6156" t="inlineStr">
        <is>
          <t>My aunt is near the end in her cancer battle</t>
        </is>
      </c>
      <c r="C6156" t="inlineStr">
        <is>
          <t>She’s in hospice and now on morphine. She hasn’t been awake or conscious since Tuesday. I hate leaving the hospice because I’m worried she’ll die alone. This is just so weird to me and I don’t know how to feel. Sometimes I’m numb and other times I cry</t>
        </is>
      </c>
      <c r="D6156" t="n">
        <v>1</v>
      </c>
      <c r="E6156" t="n">
        <v>2</v>
      </c>
      <c r="F6156">
        <f>HYPERLINK("https://www.reddit.com/r/cancer/comments/e39h8j/my_aunt_is_near_the_end_in_her_cancer_battle/")</f>
        <v/>
      </c>
      <c r="G6156" t="inlineStr">
        <is>
          <t>2019-11-28 20:09:58</t>
        </is>
      </c>
      <c r="H6156" t="inlineStr"/>
    </row>
    <row r="6157">
      <c r="A6157" t="inlineStr">
        <is>
          <t>e3a683</t>
        </is>
      </c>
      <c r="B6157" t="inlineStr">
        <is>
          <t>Immunotherapy for aggressive bladder cancer</t>
        </is>
      </c>
      <c r="C6157" t="inlineStr">
        <is>
          <t>Backstory - a little over a year ago my dad noticed blood in his urine, which turned into clots. He had a cystoscopy that basically said he was fine. They saw some thickening of the bladder wall but attributed it to nothing serious basically. Three months later he stated having blood clots again and they saw severe hydronephrosis in his right kidney, which is what happens when the urine backs up into your kidneys. So turned out that he had a now 5 cm mass that grew in his bladder and blocked the ureter, causing hydro. He had a biopsy and it confirmed bladder cancer that also spread to two lymph nodes in the pelvis. He had three rounds of chemo and then his bladder and lymph nodes removed and urostomy put in. His oncologist was optimistic, but said that there is a high chance of recurrence when the cancer spreads outside the bladder. He then had a year of clear scans with no recurrence or mets. However, his most recent scan showed enlarged lymph nodes in the pelvis and a new soft tissue mass growing at the site where the ureters connect to the urostomy, and also a possible small lung module. Nothing in the liver for now, which I’m thankful for. The doctor is confident that it’s disease progression. He’ll be put on immunotherapy next week and then possibly another round of chemo.  They haven’t discussed his prognosis yet, but said that the new mass is very concerning. 
So my question is, does anyone have any experience with immunotherapy and locally advanced bladder cancer? I know that at this point his cancer is terminal, but I’m hoping for a few good years.</t>
        </is>
      </c>
      <c r="D6157" t="n">
        <v>1</v>
      </c>
      <c r="E6157" t="n">
        <v>9</v>
      </c>
      <c r="F6157">
        <f>HYPERLINK("https://www.reddit.com/r/cancer/comments/e3a683/immunotherapy_for_aggressive_bladder_cancer/")</f>
        <v/>
      </c>
      <c r="G6157" t="inlineStr">
        <is>
          <t>2019-11-28 21:15:20</t>
        </is>
      </c>
      <c r="H6157" t="inlineStr"/>
    </row>
    <row r="6158">
      <c r="A6158" t="inlineStr">
        <is>
          <t>e3b0nd</t>
        </is>
      </c>
      <c r="B6158" t="inlineStr">
        <is>
          <t>Worry for Dad and Insomnia🤬😴</t>
        </is>
      </c>
      <c r="C6158" t="inlineStr">
        <is>
          <t>I wanna start with my Dad, who this is about has Stage 4 Colon Cancer with mets to Liver(diagnosed 1 year ago), Diabetes(diagnosed 6 months ago) and recently had a Stroke(2 weeks ago). He has also went from weighing about 170 lbs at 5'11" to 140 lbs since his initial diagnosis. Needless to say I have plenty of anxiety when it comes to my Dad and his health problems.🤯
...
Today I took my Dad to my grandma's for Thanksgiving and everything was good while we was there. He got to spend time with his mom, his aunts, his little sister and other family members, which is what he needs while he battles his horrible diseases he now has to live with. No it's not fair at all.😢
We was there for about 1 1/2 hours and ended up leaving because he gets tired real easily since his stroke. We're going down the road, I'm driving because he can't anymore, and he says that he's glad he got to see family but he hated that they had to see him so run down from what these diseases have done to his body and mind.☹
I tell him that to his family it doesn't matter how he looks right now, they was just happy to see him and be able to visit with him. I tell him that everything was gonna be okay that recovering from his stroke would take time but he would get to where he wants to be, not feeling helpless and he just wants to be able to use his push mower to mow the grass.🤷‍♀️
Most days are hard for him because this man that raised me and will forever be my Dad and someone I look up to, is scared because he doesn't know what his future holds because of his illnesses. It takes all I have to be positive with him and let him know that no matter what I'm there with/for him and that if he ever needs/wants anything I'll be there then as well.👨‍👧
What's the anxiety that causes my insomnia??🤔
Any time me or anyone else tells my Dad that we love him, he gets tears in his eyes and says that his feminine side is kicking in. Lol. Truth is that he's scared of what's all going on with him and to be honest, no one is really sure how much longer he has to live and I think he thinks about that too much.😭
He told me today, when I told him I loved him and gave him a hug, that he was happy that I have been there for him because, his words, he doesn't know where he'd be now if I wouldn't have stepped in when he was diagnosed with his Cancer. Then we both cried.😥
Since this happened today whenever I close my eyes to try and sleep, all I can see is my Dads face crying and with fear in his eyes. This scares the shit out of me because I know I can't do anything to fix it, just be there for him when he needs me to be. And I will always be there for my Dad. I also start to think of life without him or his funeral, I guess my inner self is being realistic about his situation, and that makes sleep nonexistent.😖
So now I'm awake and can't sleep because I can't stop thinking about my Dad and what he's going through, while the boyfriend is in bed snoring.😴
Anyone have any suggestions on what I can do to keep my mind from racing like it is. Me and no sleep don't mix at all.🤬
Thanks y'all for reading💙</t>
        </is>
      </c>
      <c r="D6158" t="n">
        <v>1</v>
      </c>
      <c r="E6158" t="n">
        <v>4</v>
      </c>
      <c r="F6158">
        <f>HYPERLINK("https://www.reddit.com/r/cancer/comments/e3b0nd/worry_for_dad_and_insomnia/")</f>
        <v/>
      </c>
      <c r="G6158" t="inlineStr">
        <is>
          <t>2019-11-28 22:37:37</t>
        </is>
      </c>
      <c r="H6158" t="inlineStr"/>
    </row>
    <row r="6159">
      <c r="A6159" t="inlineStr">
        <is>
          <t>e3bfgg</t>
        </is>
      </c>
      <c r="B6159" t="inlineStr">
        <is>
          <t>Mother has breast cancer and cannot sleep comfortably, is there anyone here who can recommend a pillow/bed to help her sleep (or anything else that can help her sleep?)</t>
        </is>
      </c>
      <c r="C6159" t="inlineStr">
        <is>
          <t>Hi everyone, my mother has breast cancer and she cannot comfortably sleep at night because of the pain, she loves to sleep on her stomach but cant anymore. She’s exhausted all the time. I’m wondering if anyone here may know of a type of pillow or bed that can help her sleep without putting any pressure on her chest. 
Or if anyone knows of any medication/any other means to help her get some well needed rest at night. Thank you!</t>
        </is>
      </c>
      <c r="D6159" t="n">
        <v>1</v>
      </c>
      <c r="E6159" t="n">
        <v>8</v>
      </c>
      <c r="F6159">
        <f>HYPERLINK("https://www.reddit.com/r/cancer/comments/e3bfgg/mother_has_breast_cancer_and_cannot_sleep/")</f>
        <v/>
      </c>
      <c r="G6159" t="inlineStr">
        <is>
          <t>2019-11-28 23:19:08</t>
        </is>
      </c>
      <c r="H6159" t="inlineStr"/>
    </row>
    <row r="6160">
      <c r="A6160" t="inlineStr">
        <is>
          <t>e3c8e4</t>
        </is>
      </c>
      <c r="B6160" t="inlineStr">
        <is>
          <t>Now what</t>
        </is>
      </c>
      <c r="C6160" t="inlineStr">
        <is>
          <t>I used to be a hypochondriac but these days I don’t know. Was I ever. I was label as such in my childhood so it stuck with me. 
Nothing ever felt right. My nose and ears  were always red. Yet I am black. Even today I try to cover this up. 
My legs and body shakes violently. I can’t remember names. I write everything down. My speech slurs at times. Yet I invent privately, for home. For convenience. 
One day I make an appointment with my family doctor because I was eating coffee from the jar, by the spoonfuls, and I was loosing weight fast. I wasn’t eating. I was falling asleep or better yet blacking out at my desk. And it frightened me. 
She saw me and after realizing I fired my former neurologist (he didn’t care or listen), I decided to “cure” myself. Of course my doctor ask how was that going. 
She referred me to another neurologist. 
We got along just fine. Well not at first. He took my driver privileges away forever. First visit. It was a long visit. He tricked me with his constant testing half of which I don’t remember. I black out during the whole visit. I think he induced seizures.
He has referred me to many other specialist. Including the Cleveland Clinic twice. Different specialties. My neurologist doesn’t ego trip.  
After all the tests, including drug (yeah, I know he slipped that in), we are where we are today. The cancer doctor. 
I had a spinal tap and tested positive for Monoclonal IGG-LAMBDA. Every 3 months I have to give blood. 
I have a collection of doctors and therapist (mental and physical). Not I can add cancer to the collection.</t>
        </is>
      </c>
      <c r="D6160" t="n">
        <v>1</v>
      </c>
      <c r="E6160" t="n">
        <v>3</v>
      </c>
      <c r="F6160">
        <f>HYPERLINK("https://www.reddit.com/r/cancer/comments/e3c8e4/now_what/")</f>
        <v/>
      </c>
      <c r="G6160" t="inlineStr">
        <is>
          <t>2019-11-29 00:49:12</t>
        </is>
      </c>
      <c r="H6160" t="inlineStr"/>
    </row>
    <row r="6161">
      <c r="A6161" t="inlineStr">
        <is>
          <t>e3dabc</t>
        </is>
      </c>
      <c r="B6161" t="inlineStr">
        <is>
          <t>Port/peakline/hickman</t>
        </is>
      </c>
      <c r="C6161" t="inlineStr">
        <is>
          <t>Well I got a port. In the chest connected to my jugular I think. I'm my first round (NH Lymphoma) I felt a little weak and ate less. This second round is rough. Barely ate past few days after getting back from R-ICE treatment. But the worst is the port. It's always in the back of my mind. Gotta be careful around my little kids bc they don't really get it. Can't take baths. Sleeping on stomach is uncomfortable. 
I used to relax in a bath or shower now I'm nervous to get it wet so I go as quick as I can and obvs... No bath.
I need some other way to relax like that... Other than the medicinal cannibus ;)
Thanks for lending your ear, have a great weekend</t>
        </is>
      </c>
      <c r="D6161" t="n">
        <v>1</v>
      </c>
      <c r="E6161" t="n">
        <v>13</v>
      </c>
      <c r="F6161">
        <f>HYPERLINK("https://www.reddit.com/r/cancer/comments/e3dabc/portpeaklinehickman/")</f>
        <v/>
      </c>
      <c r="G6161" t="inlineStr">
        <is>
          <t>2019-11-29 02:51:40</t>
        </is>
      </c>
      <c r="H6161" t="inlineStr"/>
    </row>
    <row r="6162">
      <c r="A6162" t="inlineStr">
        <is>
          <t>e3duu9</t>
        </is>
      </c>
      <c r="B6162" t="inlineStr">
        <is>
          <t>Xeloda after liver resection of cholangiocarcinoma?</t>
        </is>
      </c>
      <c r="C6162" t="inlineStr">
        <is>
          <t>I’m curious if there are other people out there with bile duct cancer who had it totally removed surgically?
My single tumour was operable but now they’ve put me on Xeloda for 6 months.
(I’m BRCA2 with previous breast cancer).
Is anyone else on Xeloda? How are your hands and feet? Did you continue to work while on it?
Is xeloda only used for resectable tumours?</t>
        </is>
      </c>
      <c r="D6162" t="n">
        <v>1</v>
      </c>
      <c r="E6162" t="n">
        <v>12</v>
      </c>
      <c r="F6162">
        <f>HYPERLINK("https://www.reddit.com/r/cancer/comments/e3duu9/xeloda_after_liver_resection_of_cholangiocarcinoma/")</f>
        <v/>
      </c>
      <c r="G6162" t="inlineStr">
        <is>
          <t>2019-11-29 03:58:45</t>
        </is>
      </c>
      <c r="H6162" t="inlineStr"/>
    </row>
    <row r="6163">
      <c r="A6163" t="inlineStr">
        <is>
          <t>e3eq3t</t>
        </is>
      </c>
      <c r="B6163" t="inlineStr">
        <is>
          <t>My mom has cancer. In addition to simply being around and helping out, what are some good Christmas gifts for her?</t>
        </is>
      </c>
      <c r="C6163" t="inlineStr">
        <is>
          <t>I think the odds are significantly in her favor but she hasn't had chemo yet. She has chemo around Christmas. I don't live nearby so I will be away from her until closer to Christmas (she has siblings that live very close).
What are some good gifts I could get for her? I know chemo screws with your appetite, but what are some good snacks/foods to have for her? Also any other suggestions welcome. 
&amp;amp;#x200B;
Thank you</t>
        </is>
      </c>
      <c r="D6163" t="n">
        <v>1</v>
      </c>
      <c r="E6163" t="n">
        <v>10</v>
      </c>
      <c r="F6163">
        <f>HYPERLINK("https://www.reddit.com/r/cancer/comments/e3eq3t/my_mom_has_cancer_in_addition_to_simply_being/")</f>
        <v/>
      </c>
      <c r="G6163" t="inlineStr">
        <is>
          <t>2019-11-29 05:27:15</t>
        </is>
      </c>
      <c r="H6163" t="inlineStr"/>
    </row>
    <row r="6164">
      <c r="A6164" t="inlineStr">
        <is>
          <t>e3h6n0</t>
        </is>
      </c>
      <c r="B6164" t="inlineStr">
        <is>
          <t>Post orchiectomy pain during intimacy</t>
        </is>
      </c>
      <c r="C6164" t="inlineStr">
        <is>
          <t>Looking to chat with others who have pain issues. Keeping it general as this is embarrassing to discuss. Those who know what I am talking about KNOW what I am talking about. It is now starting to cause marital issues. Please PM me. Docs cant figure it out and I am trying to find out if anyone has found a work around with meds or something else. Thank you for any bumps to keep this up for people to see.</t>
        </is>
      </c>
      <c r="D6164" t="n">
        <v>1</v>
      </c>
      <c r="E6164" t="n">
        <v>9</v>
      </c>
      <c r="F6164">
        <f>HYPERLINK("https://www.reddit.com/r/cancer/comments/e3h6n0/post_orchiectomy_pain_during_intimacy/")</f>
        <v/>
      </c>
      <c r="G6164" t="inlineStr">
        <is>
          <t>2019-11-29 08:49:04</t>
        </is>
      </c>
      <c r="H6164" t="inlineStr"/>
    </row>
    <row r="6165">
      <c r="A6165" t="inlineStr">
        <is>
          <t>e3hkkr</t>
        </is>
      </c>
      <c r="B6165" t="inlineStr">
        <is>
          <t>Mums cancer operation went well, now onto further treatment but I’m worried</t>
        </is>
      </c>
      <c r="C6165" t="inlineStr">
        <is>
          <t>My mum (as my post history shows) got diagnosed with breast cancer a few months ago, she had no lumps but it got picked up during her routine mammogram. They performed a lumpectomy a few weeks ago and it was a success.
From what I can tell, the type of cancer she had is Ductal carcinoma in situ. They have recommended she undergoes radiotherapy over the Christmas holidays and It’s all looking very positive.
However I can’t stop worrying. Can this type of cancer be hereditary? I don’t know much about cancer in general really, but I know my grandmother and great aunt both had breast cancer as their primary diagnoses but eventually died from their secondaries, lung cancer. Following on from my mums diagnoses, I’m beginning to worry that it may be hereditary.
I don’t know if this is completely unfounded or not, but I think I’m panicking about it because I have kids (an almost 2yo girl and a boy due in march) and I’m just not sure what to do. I’m not old enough to get a mammogram done (I’m 24, you get invited to your first mammogram/smear at 26 in the UK from what I can tell) and I’m just a bit nervous because I don’t want my kids to go through what we’ve been through or potentially lose their mum.</t>
        </is>
      </c>
      <c r="D6165" t="n">
        <v>1</v>
      </c>
      <c r="E6165" t="n">
        <v>5</v>
      </c>
      <c r="F6165">
        <f>HYPERLINK("https://www.reddit.com/r/cancer/comments/e3hkkr/mums_cancer_operation_went_well_now_onto_further/")</f>
        <v/>
      </c>
      <c r="G6165" t="inlineStr">
        <is>
          <t>2019-11-29 09:15:42</t>
        </is>
      </c>
      <c r="H6165" t="inlineStr"/>
    </row>
    <row r="6166">
      <c r="A6166" t="inlineStr">
        <is>
          <t>e3iia4</t>
        </is>
      </c>
      <c r="B6166" t="inlineStr">
        <is>
          <t>My dad has gut cancer with tracheostomy. Doctors aren't very supportive, can't radiotherapy due to low weight and he doesn't want to take medical supplements. Any advice?</t>
        </is>
      </c>
      <c r="C6166" t="inlineStr">
        <is>
          <t>Is it a lost cause or still something to do?</t>
        </is>
      </c>
      <c r="D6166" t="n">
        <v>1</v>
      </c>
      <c r="E6166" t="n">
        <v>0</v>
      </c>
      <c r="F6166">
        <f>HYPERLINK("https://www.reddit.com/r/cancer/comments/e3iia4/my_dad_has_gut_cancer_with_tracheostomy_doctors/")</f>
        <v/>
      </c>
      <c r="G6166" t="inlineStr">
        <is>
          <t>2019-11-29 10:21:13</t>
        </is>
      </c>
      <c r="H6166" t="inlineStr"/>
    </row>
    <row r="6167">
      <c r="A6167" t="inlineStr">
        <is>
          <t>e3iu4z</t>
        </is>
      </c>
      <c r="B6167" t="inlineStr">
        <is>
          <t>My father passed from cancer today.</t>
        </is>
      </c>
      <c r="C6167" t="inlineStr">
        <is>
          <t>My father passed away today. He was diagnosed with Stage 3 Pancreatic Cancer back in March, 2019. He had a whipple to remove most of it. He fought like hell. He was on the road to recovery and headed towards remission. The doctors declared that he would be cancer free by the end of his treatment. But out of nowhere, he got sicker and sicker. He lost over 90lbs. The cancer spread out of nowhere, and along with it, brought an internal infection that was anti-biotic resistant. There was nothing they could do. I’m just thankful that I got to drive down to SLC to say goodbye to him. I’m thankful that he was lucid enough for us to exchange our goodbyes. But watching him pass has been the most excruciating pain I’ve ever felt. For the longest time, we didn’t get along. My dad had the hardest time when I came out and married my husband. It was a long road of acceptance, but I’m happy that the last year, we finally got along as a father and son. The hardest words I’ve ever heard are “I’ll miss you son. I’m so proud of you.”  I guess my lesson here is to enjoy what moments you have. Sure, we didn’t get along my teen years, but I will always treasure the last year I had with him. Forgive the past, because people make mistakes. I love you dad, and I’ll miss you every day. So for anyone reading this, let go of the past and make room for forgiveness and kindness. Don’t take the good moments for granted. Because you never know when they’ll be taken away from you.</t>
        </is>
      </c>
      <c r="D6167" t="n">
        <v>1</v>
      </c>
      <c r="E6167" t="n">
        <v>20</v>
      </c>
      <c r="F6167">
        <f>HYPERLINK("https://www.reddit.com/r/cancer/comments/e3iu4z/my_father_passed_from_cancer_today/")</f>
        <v/>
      </c>
      <c r="G6167" t="inlineStr">
        <is>
          <t>2019-11-29 10:44:22</t>
        </is>
      </c>
      <c r="H6167" t="inlineStr"/>
    </row>
    <row r="6168">
      <c r="A6168" t="inlineStr">
        <is>
          <t>e3k16s</t>
        </is>
      </c>
      <c r="B6168" t="inlineStr">
        <is>
          <t>Mother just diagnosed with carcinoma - what is the most helpful thing I can do for her first appointments?</t>
        </is>
      </c>
      <c r="C6168" t="inlineStr">
        <is>
          <t>First post ever to Reddit and nothing I ever thought I would post about.
My (38F) Mother (63) has had worrying symptoms for months that were initially chalked up to a muscle strain and stress by several ER doctors. They included shortness of breath, fainting spells, rapid heart rate, chest and shoulder pain and weight loss. Once they culminated in a rapidly growing mass on her anterior chest and her doctor saw that she had lost more than 10% of her body weight she was finally sent for an emergency MRI yesterday. Well, she heard from her doctor today and she has a carcinoma and a growth on her clavicle. 
Because my mother isn't great with medical terminology I have no idea what type of carcinoma this could be (which I also assume won't be told to her/confirmed without more testing anyway) but her doctor has said she has never seen anything like this in her 40 years of practice (involvement of the clavicle). I am going to an appointment with her and her family doctor Tuesday and we should be hearing soon about her first appointment at our regional cancer centre.
Does anyone have any suggestions of how I can best provide support at these first appointments and going forward? I'm an epidemiologist so I have a good grasp of medical terminology and I research drug safety which I know will be useful as her treatment begins. I ordered my Mother a CanPlan Cancer Planner and myself a "Fuck this cancer shit" notebook (note my morbid sense of humour) to write down information and keep track of future appointments. I'm printing out common questions to bring and will also be reaching out to our cancer center's counseling service to set up some appointments for myself and my Father who is devastated, in addition to finding out more about supports for my Mother. I will also be seeking out more specific resources once I know more about the type of carcinoma, stage etc.
Is there anything else I can do to prepare? I hate feeling so powerless and just want to do whatever I can to both advocate for her and comfort her.</t>
        </is>
      </c>
      <c r="D6168" t="n">
        <v>1</v>
      </c>
      <c r="E6168" t="n">
        <v>0</v>
      </c>
      <c r="F6168">
        <f>HYPERLINK("https://www.reddit.com/r/cancer/comments/e3k16s/mother_just_diagnosed_with_carcinoma_what_is_the/")</f>
        <v/>
      </c>
      <c r="G6168" t="inlineStr">
        <is>
          <t>2019-11-29 12:05:05</t>
        </is>
      </c>
      <c r="H6168" t="inlineStr"/>
    </row>
    <row r="6169">
      <c r="A6169" t="inlineStr">
        <is>
          <t>e3ldd6</t>
        </is>
      </c>
      <c r="B6169" t="inlineStr">
        <is>
          <t>Finally moving forward</t>
        </is>
      </c>
      <c r="C6169" t="inlineStr">
        <is>
          <t>I got my feed tube removed at yesterday’s appointment . I had it for 9 months . For a while there I thought it would never go away , I only started to eat solid food 3 months ago , 2months ago I wanted it out and argued with the doctors but they wouldn’t take it out as I had lost 2 kg between appointments. I took it as a challenge and I gained 5kgs between appointments this time . 
 For reference I started my chemo/radiation on my throat feb 6th , feb 28th ( the next day after my tube feed went in ) I had a massive pulmonary embolism and almost died . I lost left leg function after they gave me the clot buster (internal bleeding from collapsing on a tile floor in the hospital bathroom) but the clot buster saved my life. I spent 5days in intensive care , 25 in medical Surveillance unit and a final 7 in a general ward before being released. I finished radiation April 3rd or 4th . I came out in a wheelchair , moved to a walker , then to a cane before walking again in June . I am 48years old.  I’m sure I missed some things m but this is a good breakdown of my year , I am still fighting strength issues m and some fatigue , dry mouth ( terrible dry mouth) and a gummed up throat , eating is hard , I have to swallow water to get food down , but it’s better than the alternative . Shortly after I was done treatments  a work friend passed away from the same cancer , I found out he was in palatine care while I was in the hospital , put it all into perspective for me . All in all I am starting to feel better (finally) and hope to return to work in the new year .</t>
        </is>
      </c>
      <c r="D6169" t="n">
        <v>1</v>
      </c>
      <c r="E6169" t="n">
        <v>8</v>
      </c>
      <c r="F6169">
        <f>HYPERLINK("https://www.reddit.com/r/cancer/comments/e3ldd6/finally_moving_forward/")</f>
        <v/>
      </c>
      <c r="G6169" t="inlineStr">
        <is>
          <t>2019-11-29 13:37:18</t>
        </is>
      </c>
      <c r="H6169" t="inlineStr"/>
    </row>
    <row r="6170">
      <c r="A6170" t="inlineStr">
        <is>
          <t>e3o193</t>
        </is>
      </c>
      <c r="B6170" t="inlineStr">
        <is>
          <t>Marijuana as for chemo nausea?</t>
        </is>
      </c>
      <c r="C6170" t="inlineStr">
        <is>
          <t>I’m starting my 3rd cycle of CP-V chemotherapy for my brain tumor and I’m so tired of being constipated from the anti-nausea meds (Ondansetron). I live in WA and I was thinking about switching over to a more natural medication that doesn’t screw up my guts. Do any of you guys have experience of using marijuana or CBD oil during chemo for nausea? Did it work? Any downsides?</t>
        </is>
      </c>
      <c r="D6170" t="n">
        <v>1</v>
      </c>
      <c r="E6170" t="n">
        <v>15</v>
      </c>
      <c r="F6170">
        <f>HYPERLINK("https://www.reddit.com/r/cancer/comments/e3o193/marijuana_as_for_chemo_nausea/")</f>
        <v/>
      </c>
      <c r="G6170" t="inlineStr">
        <is>
          <t>2019-11-29 16:43:39</t>
        </is>
      </c>
      <c r="H6170" t="inlineStr"/>
    </row>
    <row r="6171">
      <c r="A6171" t="inlineStr">
        <is>
          <t>e3o58q</t>
        </is>
      </c>
      <c r="B6171" t="inlineStr">
        <is>
          <t>Update and maybe some advice needed.</t>
        </is>
      </c>
      <c r="C6171" t="inlineStr">
        <is>
          <t>I went for gamma knife surgery last Tuesday and they found 13 mets. I was laid down for 4 hrs in the machine and they’re confident due to the mets being really small, they would all be gone. 
I don’t plan on going to work for a month cos I’m going to Amsterdam then Dubai.
Shouldn’t be an issue with work should it?</t>
        </is>
      </c>
      <c r="D6171" t="n">
        <v>1</v>
      </c>
      <c r="E6171" t="n">
        <v>2</v>
      </c>
      <c r="F6171">
        <f>HYPERLINK("https://www.reddit.com/r/cancer/comments/e3o58q/update_and_maybe_some_advice_needed/")</f>
        <v/>
      </c>
      <c r="G6171" t="inlineStr">
        <is>
          <t>2019-11-29 16:52:38</t>
        </is>
      </c>
      <c r="H6171" t="inlineStr"/>
    </row>
    <row r="6172">
      <c r="A6172" t="inlineStr">
        <is>
          <t>e3ofkh</t>
        </is>
      </c>
      <c r="B6172" t="inlineStr">
        <is>
          <t>do environmental factors/lifestyle cause benign tumors?</t>
        </is>
      </c>
      <c r="C6172" t="inlineStr">
        <is>
          <t>lets say a year long smoker/drinker gets diagnosed with a tumor, what are the chances of the tumor being benign/malignant ? or is that tumor always cancerous considering hos lifestyle?</t>
        </is>
      </c>
      <c r="D6172" t="n">
        <v>1</v>
      </c>
      <c r="E6172" t="n">
        <v>1</v>
      </c>
      <c r="F6172">
        <f>HYPERLINK("https://www.reddit.com/r/cancer/comments/e3ofkh/do_environmental_factorslifestyle_cause_benign/")</f>
        <v/>
      </c>
      <c r="G6172" t="inlineStr">
        <is>
          <t>2019-11-29 17:16:55</t>
        </is>
      </c>
      <c r="H6172" t="inlineStr"/>
    </row>
    <row r="6173">
      <c r="A6173" t="inlineStr">
        <is>
          <t>e3opbq</t>
        </is>
      </c>
      <c r="B6173" t="inlineStr">
        <is>
          <t>Is THC really effective against Cancer?</t>
        </is>
      </c>
      <c r="C6173" t="inlineStr">
        <is>
          <t>Ive remember that even the FDA (or any other similiar organization) admitted that THC can make Cancer cells exploding
Ive readed a lot of stories from Cancer survivors who cured themselves with THC oil 
Especially when it Comes to Skin Cancer, rick Simpson supposedly cured several Cancer patients with his THC oil including himself
Ive also readed a article About how sodium bicarbonate can Cure cancer
[https://www.bibliotecapleyades.net/salud/salud\_defeatcancer30.htm](https://www.bibliotecapleyades.net/salud/salud_defeatcancer30.htm)
What do you guys think About that?</t>
        </is>
      </c>
      <c r="D6173" t="n">
        <v>1</v>
      </c>
      <c r="E6173" t="n">
        <v>0</v>
      </c>
      <c r="F6173">
        <f>HYPERLINK("https://www.reddit.com/r/cancer/comments/e3opbq/is_thc_really_effective_against_cancer/")</f>
        <v/>
      </c>
      <c r="G6173" t="inlineStr">
        <is>
          <t>2019-11-29 17:39:44</t>
        </is>
      </c>
      <c r="H6173" t="inlineStr"/>
    </row>
    <row r="6174">
      <c r="A6174" t="inlineStr">
        <is>
          <t>e3qytz</t>
        </is>
      </c>
      <c r="B6174" t="inlineStr">
        <is>
          <t>My sister called me today and said she’s been diagnosed with stage 3 oral cancer.</t>
        </is>
      </c>
      <c r="C6174" t="inlineStr">
        <is>
          <t>I’m the family black sheep. I rarely reach out and vice versa, we’re just very different, not necessarily out of malice towards each other. My sister is the bridge between that. She’s always been there for me and trying to protect me, even though I’ve been a little shit to her. I’m a bitter, broken young man and I’ve just started to put the pieces back together again. 
    She’s struggled her whole life with the same mental illnesses I do, understands my plight dealing with PTSD because she’s the only one who has dealt with stuff like murder and rape like me. She’s never talked down to me for being a male rape survivor and she isn’t afraid to call me out when I’m being a dumbass. Our relationship is rocky as hell but she’s probably the only person on this planet I love. 
     From the calls we’ve had the past couple days from her initial appointment to today, when she’s got her diagnosis, she’s hinted at that if it’s bad enough, she’s just going to “ live out the rest of her days”
She’s 27. 
Despite her being good at talking to me and helping me through my struggle, I’ve never been able to reciprocate. I feel like I started to the past few days but I also feel like I could be doing so much more. I guess I wanna say I feel useless and I’m hurting for my sister. What are some ways you guys were able to piece together your feelings about sibling and loved ones diagnosis and what can I do to try to save my sister. I’m scared for her and I’m scared of the pain that’s gonna come for me if something *more horrible  happens to her. I don’t want her to go through this pain on top of everything else, and beyond everything, I know exactly how she feels about not wanting to go through more struggle. We’ve both been through so much and I feel like I can feel her pain sometimes, even if I terrible at saying it. She’s the best of the five of us and I’ve been a horrible brother.</t>
        </is>
      </c>
      <c r="D6174" t="n">
        <v>1</v>
      </c>
      <c r="E6174" t="n">
        <v>6</v>
      </c>
      <c r="F6174">
        <f>HYPERLINK("https://www.reddit.com/r/cancer/comments/e3qytz/my_sister_called_me_today_and_said_shes_been/")</f>
        <v/>
      </c>
      <c r="G6174" t="inlineStr">
        <is>
          <t>2019-11-29 20:58:51</t>
        </is>
      </c>
      <c r="H6174" t="inlineStr"/>
    </row>
    <row r="6175">
      <c r="A6175" t="inlineStr">
        <is>
          <t>e3rjr9</t>
        </is>
      </c>
      <c r="B6175" t="inlineStr">
        <is>
          <t>Trying to understand lymphoma</t>
        </is>
      </c>
      <c r="C6175" t="inlineStr">
        <is>
          <t>I’ve post on here before. Someone I am seeing has stage III mediastinal large B cell lymphoma. She says she has a the large tumor in her chest, 1 in the spleen, a mini one behind her rib and 1 lymph swollen in her groin. Early on she said had the cancer around the organs, not in it, I honestly do know if that still is the case or like she said, she has it in her spleen. If it’s in just the one organ, outside of it being in ANY organ, is this the best case of a worse case scenario? She’s only stage iii because it’s in two hemispheres of her body. She opted for this form of chemo because this was the best chance to kill it and she stayed away from radiation because it most likely could create other cancers like breast. She will have 18 weeks of E CHO plus R chemo, which I guess, 5 straight days at a time and will do 6 rounds of it. Has anyone dealt with anything similar to this? What was the result of your situation? I been looking for her and can’t find a concrete number of what her survival rate is with this.</t>
        </is>
      </c>
      <c r="D6175" t="n">
        <v>1</v>
      </c>
      <c r="E6175" t="n">
        <v>8</v>
      </c>
      <c r="F6175">
        <f>HYPERLINK("https://www.reddit.com/r/cancer/comments/e3rjr9/trying_to_understand_lymphoma/")</f>
        <v/>
      </c>
      <c r="G6175" t="inlineStr">
        <is>
          <t>2019-11-29 21:54:55</t>
        </is>
      </c>
      <c r="H6175" t="inlineStr"/>
    </row>
    <row r="6176">
      <c r="A6176" t="inlineStr">
        <is>
          <t>e3swgl</t>
        </is>
      </c>
      <c r="B6176" t="inlineStr">
        <is>
          <t>Is it normal to get cancer diagnosis and then have to wait until actual oncologist and specialist assessment/treatment?</t>
        </is>
      </c>
      <c r="C6176" t="inlineStr">
        <is>
          <t>My mum has just been diagnosed with cancer on Wednesday. We live in a small rural town in Victoria and the doctors arent specialised - but have said their isnt a great outlook. We are now waiting until Tuesday before an actual oncologist will assess her and look at managing and maybe treatment. This waiting game is torturous and cruel, time is precious in this case and we just have to sit around and wait. Don't know what to do. I want to know is this normal in the setting of diagnosis and actual assessment/treatment by appropriate specialists (which Im sad to think it is), but also, is there anything I can do to get things moving faster. I feel helpless.</t>
        </is>
      </c>
      <c r="D6176" t="n">
        <v>1</v>
      </c>
      <c r="E6176" t="n">
        <v>19</v>
      </c>
      <c r="F6176">
        <f>HYPERLINK("https://www.reddit.com/r/cancer/comments/e3swgl/is_it_normal_to_get_cancer_diagnosis_and_then/")</f>
        <v/>
      </c>
      <c r="G6176" t="inlineStr">
        <is>
          <t>2019-11-30 00:04:28</t>
        </is>
      </c>
      <c r="H6176" t="inlineStr"/>
    </row>
    <row r="6177">
      <c r="A6177" t="inlineStr">
        <is>
          <t>e3tpo9</t>
        </is>
      </c>
      <c r="B6177" t="inlineStr">
        <is>
          <t>Papillary thyroid cancer</t>
        </is>
      </c>
      <c r="C6177" t="inlineStr">
        <is>
          <t>Hey everyone! I’ve decide d to make this post because this is a cancer that is prevalent in many people yet not spoken of as much. I was diagnosed with papillary thyroid cancer when I was 18. It’s a young age to develop this cancer yet in today’s age not as uncommon as you may think I exhibited many symptoms of the cancer that may have been explained through puberty or regular viruses. My blood work never showed any sign of cancer for many years until my mother realized a large mass on my neck. I waS in my freshman year of college and thought I had gained the freshman 15 like many others and brushed it off as fat. But my mother knew better and took me to the doctor. We got and ultrasound and later a biopsy. It turned out I had cancer, the same cancer as my grandmother when she was in her 40s. I was devastated and struggled through the many doctor visits. Finding a surgeon was the hardest part, luckily my sister helped in finding a surgeon to fit me in their schedule she before I was told I wouldn’t be able to see them till the following year. I had a full compromise of my thyroid, it was dead and my hashimotos made it worse. I had a full thyroidectomy and had 12 lymph nodes extracted as well as two cancerous modules on my esophagus and a compromised parathyroid. 8/12 lymph nodes were compromised, through luck it has stayed at stage one. After my surgery I was on bed rest for 2-3 weeks and in after a month and a half I underwent radiation. I went on a low sodium diet for two weeks and underwent the radiation. I was quarantined for a week and a half and the radiation was 2 pills. I had to get two rectal injections beforehand to inhibit my thyroid medication, if not I would have have to been off of it for two weeks. I felt depressed, lonely, upset, and scared throughout the  whole situation. I spent my 19th birthday alone as I had my radiation.  But I will say the struggle isn’t for nothing. I can now say I have been cancer free for 2 months now. For the next 3-5 years I will be struggling to maintain my hormone balance with my doctor, consulting them for everything. But I will say it’s better to fight and complete the treatments than to trap yourself in sadness. I did that, I was madly depressed and on the brink of suicide but it had fight left in me. This cancer is treatable yet a struggle. If anyone reading this has this form of cancer or knows someone who does, please don’t lose hope! Fight and work for the end. I will be there as well ❤️</t>
        </is>
      </c>
      <c r="D6177" t="n">
        <v>1</v>
      </c>
      <c r="E6177" t="n">
        <v>10</v>
      </c>
      <c r="F6177">
        <f>HYPERLINK("https://www.reddit.com/r/cancer/comments/e3tpo9/papillary_thyroid_cancer/")</f>
        <v/>
      </c>
      <c r="G6177" t="inlineStr">
        <is>
          <t>2019-11-30 01:25:16</t>
        </is>
      </c>
      <c r="H6177" t="inlineStr"/>
    </row>
    <row r="6178">
      <c r="A6178" t="inlineStr">
        <is>
          <t>e3wg4x</t>
        </is>
      </c>
      <c r="B6178" t="inlineStr">
        <is>
          <t>Lost my mom to breast cancer on Halloween</t>
        </is>
      </c>
      <c r="C6178" t="inlineStr">
        <is>
          <t>I was taking care of my mom in the last stages on her cancer. I watched her slowly get worse, then the last week go crashing down. 
She died on Halloween, amid a heavy rain storm with gusting winds, on a hospital bed in my dining room (I don’t have a bedroom downstairs.) 
I was alone the evening she died up until her last few breaths when my aunt walked in.  My husband got stuck at work late that night, I was in denial it was happening up until an hour before.
The in home hospice call line gave me tips to try to help her breath better, but I think about it everyday if I only made it worse.
When my aunt walked in, I was panicking, I hope that wasn’t the last thing she heard. Those last few moments were absolutely awful.</t>
        </is>
      </c>
      <c r="D6178" t="n">
        <v>1</v>
      </c>
      <c r="E6178" t="n">
        <v>6</v>
      </c>
      <c r="F6178">
        <f>HYPERLINK("https://www.reddit.com/r/cancer/comments/e3wg4x/lost_my_mom_to_breast_cancer_on_halloween/")</f>
        <v/>
      </c>
      <c r="G6178" t="inlineStr">
        <is>
          <t>2019-11-30 05:43:27</t>
        </is>
      </c>
      <c r="H6178" t="inlineStr"/>
    </row>
    <row r="6179">
      <c r="A6179" t="inlineStr">
        <is>
          <t>e3whmj</t>
        </is>
      </c>
      <c r="B6179" t="inlineStr">
        <is>
          <t>The Developmental Impacts on Children with Chronically Ill Parents</t>
        </is>
      </c>
      <c r="C6179" t="inlineStr">
        <is>
          <t>The purpose of this sample survey is to conduct research on the developmental impacts of chronically ill parents on their children. The following survey is completely anonymous and the information collected will be used for research purposes only.
The survey should only take 5-10 minutes, and your responses are completely anonymous.
If you have any questions about the survey, please email at; victoria.thacker@ocsbstudent.ca
Your participation is much appreciated.
[The Developmental Impacts on Children with Chronically Ill Parents](https://forms.gle/BiZqg6ogvsz15Wnk7)</t>
        </is>
      </c>
      <c r="D6179" t="n">
        <v>1</v>
      </c>
      <c r="E6179" t="n">
        <v>0</v>
      </c>
      <c r="F6179">
        <f>HYPERLINK("https://www.reddit.com/r/cancer/comments/e3whmj/the_developmental_impacts_on_children_with/")</f>
        <v/>
      </c>
      <c r="G6179" t="inlineStr">
        <is>
          <t>2019-11-30 05:46:43</t>
        </is>
      </c>
      <c r="H6179" t="inlineStr"/>
    </row>
    <row r="6180">
      <c r="A6180" t="inlineStr">
        <is>
          <t>e3xapf</t>
        </is>
      </c>
      <c r="B6180" t="inlineStr">
        <is>
          <t>My father just lost his battle.</t>
        </is>
      </c>
      <c r="C6180" t="inlineStr">
        <is>
          <t>My father had been fighting stomach and esophageal cancer since last October.  He did one round of chemo and radiation last Christmas and seemed to have come out on the other side. His cancer came back in September and he tried one last round of chemo that really knocked him down. He was diagnosed with wasting syndrome shortly after. 
He started hospice care at home on november 1st and passed away November 24th. 
I am so lost.  He was my rock, and it's the hardest thing to watch your father wither away to 80 pounds. 
I know he is no longer suffering and in a way, it's sort of a relief. But I am also angry with him. He kept a lot from me as to how bad it really was towards the end, and living 800 miles away made it so much worse. I had just lost my daughter in august to a brain bleed when I was 34 weeks pregnant, so in his own way he didnt want me to suffer any more bad news. 
I'm sorry this is so long and I feel like I'm just rambling, but this year has truly been shit.</t>
        </is>
      </c>
      <c r="D6180" t="n">
        <v>1</v>
      </c>
      <c r="E6180" t="n">
        <v>3</v>
      </c>
      <c r="F6180">
        <f>HYPERLINK("https://www.reddit.com/r/cancer/comments/e3xapf/my_father_just_lost_his_battle/")</f>
        <v/>
      </c>
      <c r="G6180" t="inlineStr">
        <is>
          <t>2019-11-30 06:40:30</t>
        </is>
      </c>
      <c r="H6180" t="inlineStr"/>
    </row>
    <row r="6181">
      <c r="A6181" t="inlineStr">
        <is>
          <t>e3xqv2</t>
        </is>
      </c>
      <c r="B6181" t="inlineStr">
        <is>
          <t>Here we go again.</t>
        </is>
      </c>
      <c r="C6181" t="inlineStr">
        <is>
          <t>In 2016/7 I went from working in McDonald's to a nursery and then had to stop working because I had cancer and couldn't move properly.
This year I went from working in burger king, to a nursery and then I hurt my ankle really badly and I've been signed off if work. Now I found out that what my first gp thought was piles might actually be something else and I could have cancer again. 
If I have cancer again I will have to have a stoma which is what I am terrified of, moreso than anything else. Sorry just needed to rant.</t>
        </is>
      </c>
      <c r="D6181" t="n">
        <v>1</v>
      </c>
      <c r="E6181" t="n">
        <v>5</v>
      </c>
      <c r="F6181">
        <f>HYPERLINK("https://www.reddit.com/r/cancer/comments/e3xqv2/here_we_go_again/")</f>
        <v/>
      </c>
      <c r="G6181" t="inlineStr">
        <is>
          <t>2019-11-30 07:08:18</t>
        </is>
      </c>
      <c r="H6181" t="inlineStr"/>
    </row>
    <row r="6182">
      <c r="A6182" t="inlineStr">
        <is>
          <t>e3yz4m</t>
        </is>
      </c>
      <c r="B6182" t="inlineStr">
        <is>
          <t>ASCUS before cancer</t>
        </is>
      </c>
      <c r="C6182" t="inlineStr">
        <is>
          <t>My pap smear in May came back with atypical squamous cells of unknown significance. I know this doesn't tell me much at the moment and I just need to go back and check on it more often. I was just wondering if anyone had or knew someone who had this result and it ending up in cervical/other female cancer. My mom passed from ovarian cancer 2 months ago so I'm a little paranoid about it.</t>
        </is>
      </c>
      <c r="D6182" t="n">
        <v>1</v>
      </c>
      <c r="E6182" t="n">
        <v>11</v>
      </c>
      <c r="F6182">
        <f>HYPERLINK("https://www.reddit.com/r/cancer/comments/e3yz4m/ascus_before_cancer/")</f>
        <v/>
      </c>
      <c r="G6182" t="inlineStr">
        <is>
          <t>2019-11-30 08:27:54</t>
        </is>
      </c>
      <c r="H6182" t="inlineStr"/>
    </row>
    <row r="6183">
      <c r="A6183" t="inlineStr">
        <is>
          <t>e40lpk</t>
        </is>
      </c>
      <c r="B6183" t="inlineStr">
        <is>
          <t>How do I deal with an upcoming loss?</t>
        </is>
      </c>
      <c r="C6183" t="inlineStr">
        <is>
          <t>In August time my Dad was diagnosed with a brain tumour. I was absolutely devastated when I heard the news as we were away on holiday and he started having seizures and we thought he was just dehydrated. Get to hospital and he has Glioblastoma.
Fast forward to September and he has his surgery, now he’s just gotten so much worse. They couldn’t get it all out and he will be gone next year according to the doctors. He is constantly back and forth from hospital, multiple seizures all the time. He is hallucinating so bad. He keeps seeing the devil, keeps thinking he’s dead and asking when he’s being buried. Seeing him in the hospital bed drained and slowly deteriorating is taking its toll. 
He had spleen cancer last year but this is the worst thing me and my family have had to go through. I cannot think about my life without my dad. Not having him at my wedding, not having him meet my kids.
I’m starting counselling when it’s sorted but how do I cope with this? I’m an emotional wreck. I feel like I’m going to go on a downwards spiral. I have so many supportive people around me including my mum and my 2 siblings, also my girlfriend, but I feel like I’m still going to plummet. Help me please.</t>
        </is>
      </c>
      <c r="D6183" t="n">
        <v>1</v>
      </c>
      <c r="E6183" t="n">
        <v>3</v>
      </c>
      <c r="F6183">
        <f>HYPERLINK("https://www.reddit.com/r/cancer/comments/e40lpk/how_do_i_deal_with_an_upcoming_loss/")</f>
        <v/>
      </c>
      <c r="G6183" t="inlineStr">
        <is>
          <t>2019-11-30 10:03:28</t>
        </is>
      </c>
      <c r="H6183" t="inlineStr"/>
    </row>
    <row r="6184">
      <c r="A6184" t="inlineStr">
        <is>
          <t>e425ee</t>
        </is>
      </c>
      <c r="B6184" t="inlineStr">
        <is>
          <t>mom w/ stage 4 breast cancer had a breakdown on my partner and i (her caregivers). how can i make things better?</t>
        </is>
      </c>
      <c r="C6184" t="inlineStr">
        <is>
          <t>i'm not quite sure what i'm looking for here honestly. i'm coming from a desperate place of wanting to understand why my mom, who has never called me names or hurt me, wanted to do so last night. let me start with some long winded background.
my mom is divorced from a crazy ex husband who was abusive to both her and myself. said ex husband loves to not pay his support on time. he's been especially bad about it these past couple months, and went far enough to invite himself over to thanksgiving dinner in a creepy letter he sent both her and myself. mom's cancer diagnosis was at least a decade plus after the divorce and battling it. sometime in the fall of 2015 she was diagnosed with stage 4 metastatic breast cancer, her2 positive. she had long rounds of chemo/immunotherapy and then had a double masectomy in may 2016. the amount of pills they had her on caused hallucinations and nearly an overdose, so she went back in the hospital. fast forward a couple years into the future, they find spots on her brain (last year in 2018). they did radiation and the spots basically stopped growing. all was good. they were watching a spot in her lung. spot in lung finally got angry enough that it warranted being removed and biopsy'd. turns out its a new form of cancer. that's where we're at now, with this info coming to us right before thanksgiving.
all while this is going on, i'm unemployed taking care of her up until my boyfriend moves in (pays rent and cellphone and internet) with us in august 2019 to be with me and also help care for her. things were great, until that week her beloved dog passed away of lung cancer suddenly. about a month later, we get a letter from her ex husband that hes going to hold her in contempt of court for not selling the house we live in. she gets a lawyer, and starts winding up to fight it and garnish his paychecks. meanwhile, i manage to get a job at the local ymca. things are looking good.
what set her off (i think) was the stress of the possibility of her ex showing up at the door. bf had a plan of action to protect us in this case, and he was more than happy to also cook dinner for thanksgiving so we could at least enjoy some food. things were find, with her stress poking through in the form of shouting. next day i decide to buy a game with my paypal credit, and it accidentally bounces to her card, which was on my account because i sent a friend money for weed. a complete accident. now i have been known to pull money from her account. i ask, but she doesnt always remember, then questions and berates me for taking the money. thats fine, i said, now that i have a job i wont have to ask anymore. 
this time was a genuine accident but it sent her over the edge. her new dog wouldnt stop jumping up and down off the bed and when she called me upstairs to talk about it she started shouting. i shouted back (bad choice) and it spiraled into an argument from there where she threatened to get a shitty hotel and some vodka and drink herself to death with her pills. she almost did, but came back in because she forgot her phone. bf expressed concern but also got yelled at. eventually the argument spiraled into calling us irresponsible and that we'd be homeless, being written out of her stuff so we cant touch anything upon her death, and also calling me a lying bitch and telling me to come up the stairs so she could fight me. this lady is a 64 year old woman who's frail as hell but was a kickass chef in her time.
she talked to a friend of mine and said something about loneliness. she also said she wasnt going to apologize for anything. she says shes going to move and get rid of her animals. she told my friend something about hospice care. friend says to pay her back (which is the plan when i'm paid on thursday) and to just deal with her yelling and screaming until then. i feel like i'm missing something. when bf talked to american cancer society's online help they mentioned her being very close to passing. she hasn't mentioned anything like that to us. not sure what to believe.
again this is a super long post and i'm not sure what i'm really looking for other than if people have been in this same situation. my mother is extremely needy and doesn't move much, only really getting up to get food and then go back to bed. when we're together, she constantly talks about death and generally something she's angry about (divorce, politics, cancer). all that aside, she's all i've ever had and i love her, even after this big blowup.
so tldr: i hecked something up and it set my terminal cancer patient mother off on a breakdown. how can i help her feel better about this? what can i do to ease tension in the house? what am i not understanding about her diagnosis? and has anyone else gone through this?</t>
        </is>
      </c>
      <c r="D6184" t="n">
        <v>1</v>
      </c>
      <c r="E6184" t="n">
        <v>7</v>
      </c>
      <c r="F6184">
        <f>HYPERLINK("https://www.reddit.com/r/cancer/comments/e425ee/mom_w_stage_4_breast_cancer_had_a_breakdown_on_my/")</f>
        <v/>
      </c>
      <c r="G6184" t="inlineStr">
        <is>
          <t>2019-11-30 11:42:12</t>
        </is>
      </c>
      <c r="H6184" t="inlineStr"/>
    </row>
    <row r="6185">
      <c r="A6185" t="inlineStr">
        <is>
          <t>e42flj</t>
        </is>
      </c>
      <c r="B6185" t="inlineStr">
        <is>
          <t>How to handle partner's changing smell due to meds etc. and maintain intimacy?</t>
        </is>
      </c>
      <c r="C6185" t="inlineStr">
        <is>
          <t>(Trying to stay vague in case he browses Reddit, but if you need specifics please send me a PM. If there's a more appropriate place for me to put this please let me know!)
My partner was put on some supplements about a month ago, as he has decreased vitamin/mineral absorption. I've noticed in the last week or so that his smell has suddenly changed for the worse - his cum smells much more metallic and salty (this is almost certain due to the supplement), his breath is more musky (almost like a feces kind of scent; comes back quickly after teeth brushing), and his body smells more pungent at night and after sweating. He hasn't had any other new symptoms that I know of. FWIW I haven't switched birth controls or anything else which may effect my sense of smell, but I am more sensitive than most to scents.
I've mentioned the breath a couple times, but it made him self-conscious - just a quick "hey babe you still have some morning breath, let's brush our teeth before doing X". I'm going to tell him that it's a recent change, that it's full-body, and that he should bring it up with his doctor just in case it's significant. He has an appointment this week with his oncologist. **My first question is how do I bring this up in the kindest way possible?** I don't want to hurt him, but I know this will embarrass him. I also don't want to ignore it in case it's a symptom that there's been a change. 
Outside of the medical concern, I don't really know how to deal with it day to day. He practices good hygiene and it's not like he can stop the supplements if they are the cause. Likewise, it shouldn't be on him to get super fresh every time we want to be intimate. But I'm finding myself put off by his new scent. I'm also concerned that it might affect his social life, as I noticed one of his friends trying to stand back when my partner was talking to her. **What are some practical things I/we can do to hide/help the smell so it doesn't affect our sex life?** I was thinking of getting a scented candle and maybe diluting some essential oils and putting them on my nose, making us more mint tea. But that doesn't help him if it's affecting other parts of his life.
If anyone has personal experience with this or has a partner who has gone through a similar thing, please give me any tips you can! Either practical in how to help with the smell or tips on how to bring it up with him.
TL;DR: My boyfriend's scent (breath, cum, sweat) has changed. How do I talk to him about it and what are some things we can do to prevent it from impacting our sex life?</t>
        </is>
      </c>
      <c r="D6185" t="n">
        <v>1</v>
      </c>
      <c r="E6185" t="n">
        <v>14</v>
      </c>
      <c r="F6185">
        <f>HYPERLINK("https://www.reddit.com/r/cancer/comments/e42flj/how_to_handle_partners_changing_smell_due_to_meds/")</f>
        <v/>
      </c>
      <c r="G6185" t="inlineStr">
        <is>
          <t>2019-11-30 12:00:31</t>
        </is>
      </c>
      <c r="H6185" t="inlineStr"/>
    </row>
    <row r="6186">
      <c r="A6186" t="inlineStr">
        <is>
          <t>e42t1m</t>
        </is>
      </c>
      <c r="B6186" t="inlineStr">
        <is>
          <t>My dad is dying of pancreatic cancer after a 2 year fight and he’s not at peace. Just needing to write about it</t>
        </is>
      </c>
      <c r="C6186" t="inlineStr">
        <is>
          <t>Hi reddit,
I’m typing this as I’m next to my dad in his hospice bed in our living room. He’s turning 58 on Monday December 2nd. 
My dad was diagnosed with stage 4 pancreatic cancer in August 2017. He responded really well to his chemo for the first year and a half, but then it stopped working. My dad was trying different treatments for a few more months but they weren’t working. Two months ago, my dad was going in for his treatment (like any other day) but that day the doctors told him they couldn’t do it. His cancer which spread to his liver had gotten so bad that they said they really couldn’t treat him aggressively anymore. At that time he decided to stop treatment and go into hospice care. 
This was two months ago. Two months ago my dad was the lively, booming guy who had a huge presence in any room he was in. Now he is unrecognizable. 
My dad first went into hospice care at the VA. At that time, he was feeling very weak and was at peace with dying and was excited for it. But then after a week he wanted to try coming home for home hospice. He felt better when he was at home, and then no longer felt like he wanted to die. 
It’s been 5 weeks since then and today marks the day my dad can no longer get out of bed, even with my help. He fell down today trying to get to the bathroom and we had to call the fire department to help get him up. Even though he’s lost a lot of weight, he’s a huge guy (probably still 230) and I can’t move him, and neither can my poor mom who just had her gall bladder taken out. 
I don’t know what to do. He wants to cling on to life but it’s slipping away so fast. Sometimes I regret bringing him home, because now he’s not at peace anymore like he once was. Seeing him on the floor today, pissing himself and unable to get up, really fucked with me. 
I’m trying to wrap my head around logistical things (how are we going to do the basic things like getting him to the bathroom?), as well as worrying for my moms future (he had a lot of debts and we live in a state where you are responsible for your spouses credit card debts after death). My mom works as a hairstylist and can’t stop working, even now, to take care of my dad. Luckily my job lets me work remotely so I’ve been spending time at home so she can work. With all this to consider, It’s like there isn’t even room for grief. 
I’m just looking for some words of support from an audience who understands. I don’t know how to be in this position and be strong for my mom while being heart broken about my dad. Thank you for taking the time to read this.</t>
        </is>
      </c>
      <c r="D6186" t="n">
        <v>1</v>
      </c>
      <c r="E6186" t="n">
        <v>24</v>
      </c>
      <c r="F6186">
        <f>HYPERLINK("https://www.reddit.com/r/cancer/comments/e42t1m/my_dad_is_dying_of_pancreatic_cancer_after_a_2/")</f>
        <v/>
      </c>
      <c r="G6186" t="inlineStr">
        <is>
          <t>2019-11-30 12:24:07</t>
        </is>
      </c>
      <c r="H6186" t="inlineStr"/>
    </row>
    <row r="6187">
      <c r="A6187" t="inlineStr">
        <is>
          <t>e434d0</t>
        </is>
      </c>
      <c r="B6187" t="inlineStr">
        <is>
          <t>UPDATE: Help I have a tumour at 16</t>
        </is>
      </c>
      <c r="C6187" t="inlineStr">
        <is>
          <t>Hi! I am a 16 year old girl with a benign tumour in her chest!
So my chest started to suddenly hurt very badly.
It was so bad I started crying and struggled breathing.
I called my doc and she got me an appointment right away.
Turns out that the tumour is so big that it started causing me pain :(
Well when my parents saw me crying because of the pain I didn't even have to say much anymore and they agreed right away to do the surgery. 
So I haven't made an appointment for a surgery yet but I will probably get it removed in January.
My doc recommended me a hospital that is only 20 minutes away. 
I have to get a referral from my gynecologist so I will call her as soon as the weekend is over.
I did call her yesterday but apparently her mother died and she isn't working therefore...
So I will try again this Monday! Wish me luck! 
I never had surgery before! What should I expect?? I am kinda scared...</t>
        </is>
      </c>
      <c r="D6187" t="n">
        <v>1</v>
      </c>
      <c r="E6187" t="n">
        <v>5</v>
      </c>
      <c r="F6187">
        <f>HYPERLINK("https://www.reddit.com/r/cancer/comments/e434d0/update_help_i_have_a_tumour_at_16/")</f>
        <v/>
      </c>
      <c r="G6187" t="inlineStr">
        <is>
          <t>2019-11-30 12:43:25</t>
        </is>
      </c>
      <c r="H6187" t="inlineStr"/>
    </row>
    <row r="6188">
      <c r="A6188" t="inlineStr">
        <is>
          <t>e44zn3</t>
        </is>
      </c>
      <c r="B6188" t="inlineStr">
        <is>
          <t>Did not expect</t>
        </is>
      </c>
      <c r="C6188" t="inlineStr">
        <is>
          <t>I am very new to this, my grandson was just diagnosed with Ewing sarcoma and started his Chemo treatment 3 weeks ago. I go to see him in the hospital all the time. Recently I saw a child maybe 5-6 years old with no one in his room for the 4-5 hours that I was there. There was nothing in his room, just medical equipment. I was just not expecting to see kids in the hospital with nothing. No parents there for him, no personal items, nothing. The nurse told my wife that he is to go home tomorrow, if someone comes to get him. This makes me very very sad. Is there anything I could do or buy for this child? I dont want to over step the rules or boundaries, but I feel that I should do something, even if its something small.</t>
        </is>
      </c>
      <c r="D6188" t="n">
        <v>1</v>
      </c>
      <c r="E6188" t="n">
        <v>6</v>
      </c>
      <c r="F6188">
        <f>HYPERLINK("https://www.reddit.com/r/cancer/comments/e44zn3/did_not_expect/")</f>
        <v/>
      </c>
      <c r="G6188" t="inlineStr">
        <is>
          <t>2019-11-30 14:49:50</t>
        </is>
      </c>
      <c r="H6188" t="inlineStr"/>
    </row>
    <row r="6189">
      <c r="A6189" t="inlineStr">
        <is>
          <t>e45dzu</t>
        </is>
      </c>
      <c r="B6189" t="inlineStr">
        <is>
          <t>I thought I had it all under control but I'm falling apart.</t>
        </is>
      </c>
      <c r="C6189" t="inlineStr">
        <is>
          <t>I started chemo for stage 2a breast cancer in early October and will switch from AC to Taxol a week from Monday. Until this week, I had normalish energy, almost no nausea, and felt super lucky to have an easy go of it.
This week it all went to hell. 30 minutes in front of the stove making the one thing I was sharing at Thanksgiving wiped me out for three days. I have no appetite and I'm popping my anti nausea meds as soon as I'm allowed a new dose. No food sounds good and I'm a whiny bitch and feel sorry for everyone who has to deal with me. I just feel shitty. No fever or rash or any of the things I am supposed to watch out for. 
I know I'll feel better and I'll have a whole new cocktail of poison next week to deal with, but I feel so sorry for myself and like I'm a shitty warrior (which I have mixed feelings about anyway) but I'm tired and cranky and probably need another medible. 
I know it will all change with</t>
        </is>
      </c>
      <c r="D6189" t="n">
        <v>1</v>
      </c>
      <c r="E6189" t="n">
        <v>13</v>
      </c>
      <c r="F6189">
        <f>HYPERLINK("https://www.reddit.com/r/cancer/comments/e45dzu/i_thought_i_had_it_all_under_control_but_im/")</f>
        <v/>
      </c>
      <c r="G6189" t="inlineStr">
        <is>
          <t>2019-11-30 15:16:38</t>
        </is>
      </c>
      <c r="H6189" t="inlineStr"/>
    </row>
    <row r="6190">
      <c r="A6190" t="inlineStr">
        <is>
          <t>e45wub</t>
        </is>
      </c>
      <c r="B6190" t="inlineStr">
        <is>
          <t>RIP Yinyin (Lizzy Winkle) Oct 17, 2014 - Nov 29, 2019</t>
        </is>
      </c>
      <c r="C6190" t="inlineStr">
        <is>
          <t>Yesterday, a beautiful soul, Yinyin, who went by Lizzy Winkle, died due to respiratory failure from leukemia. She was so kind, and she didn’t deserve to die at just age 15. I know I am going to miss her dearly, I can’t believe that her battle ended like this.</t>
        </is>
      </c>
      <c r="D6190" t="n">
        <v>1</v>
      </c>
      <c r="E6190" t="n">
        <v>4</v>
      </c>
      <c r="F6190">
        <f>HYPERLINK("https://www.reddit.com/r/cancer/comments/e45wub/rip_yinyin_lizzy_winkle_oct_17_2014_nov_29_2019/")</f>
        <v/>
      </c>
      <c r="G6190" t="inlineStr">
        <is>
          <t>2019-11-30 15:52:26</t>
        </is>
      </c>
      <c r="H6190" t="inlineStr"/>
    </row>
    <row r="6191">
      <c r="A6191" t="inlineStr">
        <is>
          <t>e47pno</t>
        </is>
      </c>
      <c r="B6191" t="inlineStr">
        <is>
          <t>Brother in law diagnosed with duodenal cancer</t>
        </is>
      </c>
      <c r="C6191" t="inlineStr">
        <is>
          <t>My broher in law has been having stomach pain for last 3 to 4 months. Over the last month he has been vomiting and unable to eat any solid food without vomiting. He has seen doctors a few times and went to ER a few weeks ago and he was just diagnosed yesterday with duodenal cancer. Idk if it is operable yet. I'm feeling worried since this has gone on undiagnosed for months and wondering if anyone has dealt with this cancer or a similar type story of it.</t>
        </is>
      </c>
      <c r="D6191" t="n">
        <v>1</v>
      </c>
      <c r="E6191" t="n">
        <v>5</v>
      </c>
      <c r="F6191">
        <f>HYPERLINK("https://www.reddit.com/r/cancer/comments/e47pno/brother_in_law_diagnosed_with_duodenal_cancer/")</f>
        <v/>
      </c>
      <c r="G6191" t="inlineStr">
        <is>
          <t>2019-11-30 17:44:41</t>
        </is>
      </c>
      <c r="H6191" t="inlineStr"/>
    </row>
    <row r="6192">
      <c r="A6192" t="inlineStr">
        <is>
          <t>e47t99</t>
        </is>
      </c>
      <c r="B6192" t="inlineStr">
        <is>
          <t>Laryngeal cancer and my mom</t>
        </is>
      </c>
      <c r="C6192" t="inlineStr">
        <is>
          <t>Hi everyone,
I read this subreddit quite a bit and have finally found the courage to post. My mom (58F) was diagnosed with laryngeal cancer in late April of this year. She had a total laryngectomy in May then did 6 weeks of radiation and chemo once she was a bit stronger. That wrapped up in early September. I temporarily worked remotely so I could help care for her, but I had to leave in September. I feel guilty, but I haven't been back to visit them until we came home for the Thanksgiving holiday. We have been here since late Tuesday night and need to leave tomorrow. 
Her condition seems much much worse. She can  barely walk on her own, is 88 lbs (5'9), and seems mentally not really there. I didn't know how bad it became until getting here. She hasn't been diagnosed as terminal at this point. She had a PET scan on Tuesday and we are waiting on results. 
I feel incredibly guilty, anxious, and depressed about the entire situation and next steps. I have been so anxious today that I haven't been able to keep liquids down. My dad is an absolute mess being her caregiver (we have home health nurses, OT, and PTs that come out as well). It's hurting me so much to see her declining like this. I'm frustrated with the medical system and how none of her doctors seem to align with each other and I'm exhausted from fighting so hard to be her advocate (something I can do even though I'm not with her) to feel like I'm getting no where. I don't know what to do or where to turn. She's my best friend. I thought I was "ready" for her to go but seeing this decline is the hardest thing I've had to go through. I know she feels awful. 
I'm not sure why I'm posting this. I guess maybe I want to talk to people who understand. I feel so powerless, alone, and heartbroken. 
(Sorry if any of this formatting is weird I'm on Mobile)</t>
        </is>
      </c>
      <c r="D6192" t="n">
        <v>1</v>
      </c>
      <c r="E6192" t="n">
        <v>2</v>
      </c>
      <c r="F6192">
        <f>HYPERLINK("https://www.reddit.com/r/cancer/comments/e47t99/laryngeal_cancer_and_my_mom/")</f>
        <v/>
      </c>
      <c r="G6192" t="inlineStr">
        <is>
          <t>2019-11-30 17:50:32</t>
        </is>
      </c>
      <c r="H6192" t="inlineStr"/>
    </row>
    <row r="6193">
      <c r="A6193" t="inlineStr">
        <is>
          <t>e481qb</t>
        </is>
      </c>
      <c r="B6193" t="inlineStr">
        <is>
          <t>I’ve had cancer for 15 years.</t>
        </is>
      </c>
      <c r="C6193" t="inlineStr">
        <is>
          <t>I’m not sure, I think I’m close to the breaking point. I’ve struggled through this shit for 15 years, and I’m 25. I can’t remember the last time I wasn’t in pain. I can’t remember when I wasn’t thinking about cancer. I hate the way social media works, because I’ve spent my entire life dying to this shit but the only thing that matters is an underdog story. 
My story is not that of an underdog. I will die to this disease. My story will not matter until I’m dead, and at that point the only thing I’ll be is a statistic. I hate this shit. For everything that I’ve lost, and for everything that I’ll lose.</t>
        </is>
      </c>
      <c r="D6193" t="n">
        <v>1</v>
      </c>
      <c r="E6193" t="n">
        <v>23</v>
      </c>
      <c r="F6193">
        <f>HYPERLINK("https://www.reddit.com/r/cancer/comments/e481qb/ive_had_cancer_for_15_years/")</f>
        <v/>
      </c>
      <c r="G6193" t="inlineStr">
        <is>
          <t>2019-11-30 18:04:22</t>
        </is>
      </c>
      <c r="H6193" t="inlineStr"/>
    </row>
    <row r="6194">
      <c r="A6194" t="inlineStr">
        <is>
          <t>e4gla0</t>
        </is>
      </c>
      <c r="B6194" t="inlineStr">
        <is>
          <t>My sister (41) was given yesterday 1-2 weeks.</t>
        </is>
      </c>
      <c r="C6194" t="inlineStr">
        <is>
          <t>Yesterday a doctor came and basically told her, her body is not responding and is even getting worse from treatment, she was diagnose with cervical cancer 2.5 years ago. It was a tumor the size of a tangerine and at first it was keeping to itself, semi-contained. 
Last year it started growing, broke the barrier between the vagina and intestine and a colostomy was needed. She had a round of chemo + radiation and things were looking up, but instead of ‘melting’ the tumor just flattened and dried out, it was sort of dormant. As soon as the treatment was over it started growing again. 
In the last two months she started a ew therapy, but whatever they are trying the tumor is taking as sustenance and at this point is growing insanely fast. It went from the size of a tangerine to going up, pressing the kidneys, pushing her stomach and back.  Last week she was admitted to the hospital again and a nephrostomy on both kidneys was performed.
Cut to last night, when the doctors are officially giving up. She will be sent home soon, to spend her final days with her 20, 17 and 2 year old girls and husband. I will stay with her until she decides is time. I just hope it’s not too painful. 
Fucking fuck cancer</t>
        </is>
      </c>
      <c r="D6194" t="n">
        <v>1</v>
      </c>
      <c r="E6194" t="n">
        <v>23</v>
      </c>
      <c r="F6194">
        <f>HYPERLINK("https://www.reddit.com/r/cancer/comments/e4gla0/my_sister_41_was_given_yesterday_12_weeks/")</f>
        <v/>
      </c>
      <c r="G6194" t="inlineStr">
        <is>
          <t>2019-12-01 04:01:38</t>
        </is>
      </c>
      <c r="H6194" t="inlineStr"/>
    </row>
    <row r="6195">
      <c r="A6195" t="inlineStr">
        <is>
          <t>e4h0cj</t>
        </is>
      </c>
      <c r="B6195" t="inlineStr">
        <is>
          <t>I Have Cancer And I Only Have 3Weeks To Last 😥😥😓😓😞😞</t>
        </is>
      </c>
      <c r="C6195" t="inlineStr">
        <is>
          <t>**I Have Cancer And I Only Have 3Weeks To Last 😥😥😓😓😞😞**</t>
        </is>
      </c>
      <c r="D6195" t="n">
        <v>1</v>
      </c>
      <c r="E6195" t="n">
        <v>0</v>
      </c>
      <c r="F6195">
        <f>HYPERLINK("https://www.reddit.com/r/cancer/comments/e4h0cj/i_have_cancer_and_i_only_have_3weeks_to_last/")</f>
        <v/>
      </c>
      <c r="G6195" t="inlineStr">
        <is>
          <t>2019-12-01 04:44:13</t>
        </is>
      </c>
      <c r="H6195" t="inlineStr"/>
    </row>
    <row r="6196">
      <c r="A6196" t="inlineStr">
        <is>
          <t>e4im4n</t>
        </is>
      </c>
      <c r="B6196" t="inlineStr">
        <is>
          <t>Waiting for a possible Cancer Diagnosis</t>
        </is>
      </c>
      <c r="C6196" t="inlineStr">
        <is>
          <t>Hi everyone, I'm new here. I hope it's okay to post here. I'm not yet an official cancer patient, but it's looking that way and I wanted to reach out for support and just write all this out. I'm 34, female, married with a baby and a 4 year-old. 
I've been feeling ill for the past 4-6 weeks with vague symptoms (low-grade daily fever, chills, night sweats, muscle pain, brain fog, some hair loss, extreme fatigue). I had just begun investigating things with my primary care doc, and some levels in my blood work were concerning.
Then 5 days ago I woke up in the night with terrible abdominal pain. I thought my appendix had burst or I have an Ovarian cyst. I went to the ER alone because my husband had to stay back with our two small children (4 and 10 months). I got there and after ultrasounds they said they believed my ovary had twisted on itself, cutting off its own blood supply and therefore killing the organ. They wanted to do surgery right away. 
During surgery, they found that my ovaries look fine but my Omentum was covered in tumors and large masses. They really opened me up then with a large incision and removed all of it. 
I woke up from surgery to a crying husband and worried doctors. They explained what happened. I was in shock.
The local pathologist is "stumped" by my tumors and said "I've never seen anything like this." He could not determine its origin or if its malignant or benign. So they are sending the samples to a Pathology Library in Michigan (I'm in Colorado) to try to get some answers. They said it will be 10-12 days before we can get some answers or a diagnosis.
So....here we are. I'm home from the hospital now recovering from the surgery. I'm scared and worried and can't stop thinking about it. There still is a chance that all those tumors were benign, but my gut tells me it's something bad. I'm trying to be positive for my family. 
There are some other positive things I'm holding onto. The surgeons said that my other organs looked good, and the did a CT scan right after surgery and that also looked good (which I guess means they could not see any other tumors). I've not yet had a PET scan. I'm grateful to have health insurance (it's not good insurance, but it's there). I also had the weird intuition to buy an AFLAC Cancer Insurance Plan last year, so once I get a diagnosis I can get some cash from that. 
Has anyone else had a long wait? Maybe this is normal. Anything I can do or should do in the meantime?</t>
        </is>
      </c>
      <c r="D6196" t="n">
        <v>1</v>
      </c>
      <c r="E6196" t="n">
        <v>4</v>
      </c>
      <c r="F6196">
        <f>HYPERLINK("https://www.reddit.com/r/cancer/comments/e4im4n/waiting_for_a_possible_cancer_diagnosis/")</f>
        <v/>
      </c>
      <c r="G6196" t="inlineStr">
        <is>
          <t>2019-12-01 07:16:04</t>
        </is>
      </c>
      <c r="H6196" t="inlineStr"/>
    </row>
    <row r="6197">
      <c r="A6197" t="inlineStr">
        <is>
          <t>e4krx9</t>
        </is>
      </c>
      <c r="B6197" t="inlineStr">
        <is>
          <t>Making Chemo Suck Less, Plz Share your "Tips &amp;amp; Tricks"</t>
        </is>
      </c>
      <c r="C6197" t="inlineStr">
        <is>
          <t>So I (22f) just finished cycle 6 of ABVD. Not in the clear yet so we're doing scans &amp;amp; antibiotics, and the worst part: WAITING. 
Anyway I got to thinking about if I had to do chemo again how I'd make it through. Thought maybe some of you might have figured out some tricks I didnt. My tips? 1.) ALWAYS ask for extra fluids with your chemo. I almost always did a liter of saline with my chemo and it just seemed to make the next few days easier because I was hydrated and I could basically just sleep off my chemo. 2.) Always carry gum. Chemo mouth sucks. Mentos "fresh mint" is my go to because its STRONG. 3.) PH balancing soap. I got some designed specifically for women, but it really helped stave off yeast infections. If you do feel an infection coming on, ask for fluconazole from your doctor.  4.) Oral care: Biotin mouthwash. Every day, multiple times a day in the days following chemo. I couldnt stand the baking soda/salt rinses, but the Biotin helped just as much/more with any oral discomfort. Also, get a soft-bristle tooth brush. I had a dental hygienist tell me that when chemo started, but i didnt believe her until I bought it. ALSO also, mark one tooth brush "chemo" and only use it for the 72 hours you excrete chemo after your treatment. Then have a brush for the rest of the time. I noticed my oral infections lasted way shorter after doing that. I also got a water flosser off amazon, $25. Its so gentle on my gums. 5.) Self-care. Dont be afraid to ask for help. If you need to sleep, sleep. Dont bully yourself for being tired or sick. My therapist put it this way: "No one has it worse, just different." I had convinced myself that because my cancer wasnt a death sentence I had no right to complain. But cancer sucks for everyone. And chemo is literal poison. Its okay to feel poisoned afterwards! If you have family or friends, lean on them. If you're facing this alone, reach out to the others you see during treatment, your nurses, your care team. If you need to pull a nurse aside and break down a little bit, they will be there for you. Ask about therapist options, reach out to pallitive care in your hospital. They managed my pain wonderfully. There are so, so many resources for those of us getting treated for cancer. Dont be afraid to use them. If you make it through this, just pay it forward, donate back. 
Anyway thats my Ted Talk. What tips/tricks do you have for surviving chemo?</t>
        </is>
      </c>
      <c r="D6197" t="n">
        <v>1</v>
      </c>
      <c r="E6197" t="n">
        <v>0</v>
      </c>
      <c r="F6197">
        <f>HYPERLINK("https://www.reddit.com/r/cancer/comments/e4krx9/making_chemo_suck_less_plz_share_your_tips_tricks/")</f>
        <v/>
      </c>
      <c r="G6197" t="inlineStr">
        <is>
          <t>2019-12-01 09:51:33</t>
        </is>
      </c>
      <c r="H6197" t="inlineStr"/>
    </row>
    <row r="6198">
      <c r="A6198" t="inlineStr">
        <is>
          <t>e4l7df</t>
        </is>
      </c>
      <c r="B6198" t="inlineStr">
        <is>
          <t>Coping with loss</t>
        </is>
      </c>
      <c r="C6198" t="inlineStr">
        <is>
          <t>I lost my mom to cancer three months ago.
She had pancreatic cancer which I heard it was one of the tougher ones, it was found in 2014, around october, around december she went to hospital for urgent surgery because her bilirubin levels were high.
Anyway the surgery went great and pancreas was cleared and she went to chemo.
She had spots on lungs which were removed and from 2014 to 2019 it was full of chemo, radiation, medicine and tests.
Now she did not show anything and tried to live her life normally which kinda made the death a shock, she went to the seaside, walked, ate, had fun and you know lived normally.
But nothing was great, the cancer was on lungs, but dormant, growing and shrinking from all the therapies, anyway earlier this year it was found out her adrenal glands got infected, and it was considered we do radation therapy, because removal of both glands would result in quite a difficlult life full of pills and medicine (which kinda already was happening).
Also to top it all off, her back were hurting her and we all thought it was probably age and stuff, until she fell one day fracturing one of her spinal disks revelaing that cancer has spread there.
I was not there for a month and everything seemed okay, Until I came back I saw her lying in bed thin and for the first time in 5 years looked like a cancer patient, seven days later she died.
The thing is that while I saw her like that I thought she would pull trough considering how hearthy of a woman she was and how it looked like she brushed most of the things easily, anyway in the back of my mind there was a scary thought she ain't gonna survive.
And the thing is she would puke after every meal, no appetite, everything tasted gross and she looked disinterested, and every night for those 7 days seemed helish not knowing what will happen, and the night before death, she lost her bowel control and had been breathing like she ran a marathon, could not get up, and was really in some fucked up state.
I was really worried she was gonna die in a day or so, and around 21:00 we were having dinner (me, her bf and her parents) and she was eating toast and she asked us if we could get out of the room because she had to go to the toilet ( only her mom and dad stayed) and when me and her bf came back I only saw her last breath, and eyes going dead, and jaw dropping, to say it was quite traumatic, and that was that, the ambulance came and could only diagonise that she has passed.
Now Im doing relativly fine, but the way she went, the things I did not say to her and everything seemed so surreal, still does feel a little like that, like she went to the seaside or something, it feels empty and scary, she died too young (55) and left me (24) and my brother (30) quite in a fragile state, because everyone thought she would pull trough, kinda life seems unfair seeing such a strong woman dying, it just makes me afraid of the future and everything, and sadness just comes in random bursts.
Sorry for the long text, I just needed to went out</t>
        </is>
      </c>
      <c r="D6198" t="n">
        <v>1</v>
      </c>
      <c r="E6198" t="n">
        <v>1</v>
      </c>
      <c r="F6198">
        <f>HYPERLINK("https://www.reddit.com/r/cancer/comments/e4l7df/coping_with_loss/")</f>
        <v/>
      </c>
      <c r="G6198" t="inlineStr">
        <is>
          <t>2019-12-01 10:20:15</t>
        </is>
      </c>
      <c r="H6198" t="inlineStr"/>
    </row>
    <row r="6199">
      <c r="A6199" t="inlineStr">
        <is>
          <t>e4mfk3</t>
        </is>
      </c>
      <c r="B6199" t="inlineStr">
        <is>
          <t>I'm so scared this is going to be my mum's last Christmas</t>
        </is>
      </c>
      <c r="C6199" t="inlineStr">
        <is>
          <t>I don't even know what to write, I just needed to share this fear with somebody who can understand. My mum has been sick for 10 years now, she came back from the hospice last Friday where they treated her with methadone for pain. She's feeling good and she is a warrior, she told me she's not going anywhere because her girls (my sister and I) and my dad need her and that we are the reason she kept fighting all these years, but I'm so scared. I'm trying to stay positive, to be cheerful and to create memories doing things together, but this feeling is not going away. How do you cope with this?</t>
        </is>
      </c>
      <c r="D6199" t="n">
        <v>1</v>
      </c>
      <c r="E6199" t="n">
        <v>8</v>
      </c>
      <c r="F6199">
        <f>HYPERLINK("https://www.reddit.com/r/cancer/comments/e4mfk3/im_so_scared_this_is_going_to_be_my_mums_last/")</f>
        <v/>
      </c>
      <c r="G6199" t="inlineStr">
        <is>
          <t>2019-12-01 11:41:16</t>
        </is>
      </c>
      <c r="H6199" t="inlineStr"/>
    </row>
    <row r="6200">
      <c r="A6200" t="inlineStr">
        <is>
          <t>e4n6du</t>
        </is>
      </c>
      <c r="B6200" t="inlineStr">
        <is>
          <t>My best friend (35M) has Stage IV cancer and says that others "deserve it" more than him. I don't know how to respond.</t>
        </is>
      </c>
      <c r="C6200" t="inlineStr">
        <is>
          <t>The situation fucking sucks. I get it. He never smoked, never drank, always exercised and ate healthy, and last year he was diagnosed with an extremely rare soft tissue sarcoma that had already spread to his lungs. He's got a couple of years left at most and it's the most unfair fucking thing on the entire fucking planet and I'm angry about it every day so I can't fathom how he feels. 
That being said, he's been making a lot of statements lately that I just can't support about other friends of ours, saying the ones who live a unhealthy lifestyle (smoking, drinking, obesity, etc.) deserved to get cancer and he didn't because he always took care of himself. 
I've tried to politely push back a bit and suggest that no one deserves to get a terminal illness. He just gets upset with me and responds that anybody who does something that they know causes a disease deserves to die from it. 
It's hard to listen to this-- and not just because he's basically implying that my grandfather who was a smoker deserved to die of his cancer, or that my cousin who was an alcoholic deserved to die of complications related to alcohol abuse, or even that I, a very fair-skinned person who used to regularly go without sunscreen, deserve to die someday of skin cancer. 
It's also hard to listen to because it's incredibly hypocritical. My friend knows very well that he hasn't been an angel-- he's gay and has had his share of promiscuous, unprotected sex and never once would  have I implied that he "deserved" to get HIV. 
I have kept my mouth shut through all of the questionable moral decisions he's made since he found out he was sick (that's a story for another day).  But he's making it harder and harder to be supportive of him with these nasty things he is saying and implying about people we care about. 
What do I do? Do I try to change his mind about this?  Or should I just accept that since I couldn't possibly know what it's like to face your own mortality I should just let him continue to say hurtful things because he's got so much he is trying to process and make peace with right now? 
Or hell, maybe he does have a point? Maybe we do deserve bad things to happen if we engage in deliberately risky behaviors?</t>
        </is>
      </c>
      <c r="D6200" t="n">
        <v>1</v>
      </c>
      <c r="E6200" t="n">
        <v>8</v>
      </c>
      <c r="F6200">
        <f>HYPERLINK("https://www.reddit.com/r/cancer/comments/e4n6du/my_best_friend_35m_has_stage_iv_cancer_and_says/")</f>
        <v/>
      </c>
      <c r="G6200" t="inlineStr">
        <is>
          <t>2019-12-01 12:29:55</t>
        </is>
      </c>
      <c r="H6200" t="inlineStr"/>
    </row>
    <row r="6201">
      <c r="A6201" t="inlineStr">
        <is>
          <t>e4o1r1</t>
        </is>
      </c>
      <c r="B6201" t="inlineStr">
        <is>
          <t>Healing 🙌🏽🙌🏽🙌🏽</t>
        </is>
      </c>
      <c r="C6201" t="inlineStr">
        <is>
          <t>Someone asked me about my treatment over the holidays. And I couldn’t even recall the drug names!! I was so taken aback, I just giggled. And it felt SO. GOOD. 
I used to know each drug by heart - in which order they were infused, and the length of each infusion. 
I think this is what healing feels like??!</t>
        </is>
      </c>
      <c r="D6201" t="n">
        <v>1</v>
      </c>
      <c r="E6201" t="n">
        <v>6</v>
      </c>
      <c r="F6201">
        <f>HYPERLINK("https://www.reddit.com/r/cancer/comments/e4o1r1/healing/")</f>
        <v/>
      </c>
      <c r="G6201" t="inlineStr">
        <is>
          <t>2019-12-01 13:26:45</t>
        </is>
      </c>
      <c r="H6201" t="inlineStr"/>
    </row>
    <row r="6202">
      <c r="A6202" t="inlineStr">
        <is>
          <t>e4oz1y</t>
        </is>
      </c>
      <c r="B6202" t="inlineStr">
        <is>
          <t>This is it, the last run</t>
        </is>
      </c>
      <c r="C6202" t="inlineStr">
        <is>
          <t>This is it for my poor dad. Esophageal cancer will take him soon. 
This morning my mum and brother went to get some food in whilst my dad was still in bed. We told him to shout or call my phone if he needed anything, as I was in my bedroom resting (I have a chronic illness). I heard a bang and thought it was the dog jumping off my brothers bed, so I listened for more noises. 
About a minute passed and then I heard my dad say “is anyone home?”. I jumped up and ran onto the landing to find him on the floor, throwing up clots of blood, and his eyes rolling back. He wasn’t responding to me so I got him into the recovery position before getting on the phone to the emergency services. He came around and I kept talking to him whilst waiting for the ambulance as all I could think was “keep him conscious and with me”. 
When we got to the hospital, they told us that his blood results are showing his organs are slowly fading. He will need to go into hospice care as this is it. He’s very disoriented and confused. He keeps begging us to help him when we can’t. 
I can’t help but beat myself up. That minute where I was listening, he could have been completely unconscious, and I wasn’t there quick enough to him. He must have been so scared and alone. The scene just keeps playing over and over in my head and it’s torturing me. 
Sorry for the long post. I needed to vent and get it out to people that may understand.</t>
        </is>
      </c>
      <c r="D6202" t="n">
        <v>1</v>
      </c>
      <c r="E6202" t="n">
        <v>6</v>
      </c>
      <c r="F6202">
        <f>HYPERLINK("https://www.reddit.com/r/cancer/comments/e4oz1y/this_is_it_the_last_run/")</f>
        <v/>
      </c>
      <c r="G6202" t="inlineStr">
        <is>
          <t>2019-12-01 14:28:42</t>
        </is>
      </c>
      <c r="H6202" t="inlineStr"/>
    </row>
    <row r="6203">
      <c r="A6203" t="inlineStr">
        <is>
          <t>e4p8zs</t>
        </is>
      </c>
      <c r="B6203" t="inlineStr">
        <is>
          <t>How do you be there for your partner when you feel like a ghost?</t>
        </is>
      </c>
      <c r="C6203" t="inlineStr">
        <is>
          <t>Hi
I’m going through my third round of chemo for lymphatic cancer. 
I feel like I’m invisible most of the time and a ghost of my former self. It feels like this cancer has taken everything away from me that made me who I am. I’m almost there though and hopefully I’m done with the chemo.
My experience of this and my partner’s experience are completely different. So, I was just wondering how others who are going through chemo have still managed to be there and support their partners?</t>
        </is>
      </c>
      <c r="D6203" t="n">
        <v>1</v>
      </c>
      <c r="E6203" t="n">
        <v>4</v>
      </c>
      <c r="F6203">
        <f>HYPERLINK("https://www.reddit.com/r/cancer/comments/e4p8zs/how_do_you_be_there_for_your_partner_when_you/")</f>
        <v/>
      </c>
      <c r="G6203" t="inlineStr">
        <is>
          <t>2019-12-01 14:47:36</t>
        </is>
      </c>
      <c r="H6203" t="inlineStr"/>
    </row>
    <row r="6204">
      <c r="A6204" t="inlineStr">
        <is>
          <t>e4sd75</t>
        </is>
      </c>
      <c r="B6204" t="inlineStr">
        <is>
          <t>Hair not fully growing back</t>
        </is>
      </c>
      <c r="C6204" t="inlineStr">
        <is>
          <t>Has anyone had experience with hair not growing back as full as before, after chemo? Is there anything specific used in cancer patients that’s not the same as male pattern baldness?
My hair was starting to thin prior to chemo but was still fairly full. It’s been about 6 months post chemo and the top of my head never really fully grew back. I know it’s a minor issue but anyone else have this issue and heard of a solution? I don’t see the doctor again till after the first of the year but I wanted to see what others tried.</t>
        </is>
      </c>
      <c r="D6204" t="n">
        <v>1</v>
      </c>
      <c r="E6204" t="n">
        <v>10</v>
      </c>
      <c r="F6204">
        <f>HYPERLINK("https://www.reddit.com/r/cancer/comments/e4sd75/hair_not_fully_growing_back/")</f>
        <v/>
      </c>
      <c r="G6204" t="inlineStr">
        <is>
          <t>2019-12-01 18:44:05</t>
        </is>
      </c>
      <c r="H6204" t="inlineStr"/>
    </row>
    <row r="6205">
      <c r="A6205" t="inlineStr">
        <is>
          <t>e4t11j</t>
        </is>
      </c>
      <c r="B6205" t="inlineStr">
        <is>
          <t>Telling your friends you have cancer is strange</t>
        </is>
      </c>
      <c r="C6205" t="inlineStr">
        <is>
          <t>Is there a right way to do it? Probably not.
I kept it from a lot of my friends during the process of finding out because I was hopeful that whatever was wrong with me could be resolved in a month max.
However, now that I’ve been fully diagnosed (metastatic renal carcinoma) and I started treatment last week, it seems like it’s time to tell the people close to me who I feel need to know.
It was strange calling a friend and eventually just saying, “I have cancer.” And it’s like I have to go through all of those scary initial feelings of finding out I have cancer again with them. 
Anyway, mostly a vent to see if anyone else can relate.</t>
        </is>
      </c>
      <c r="D6205" t="n">
        <v>1</v>
      </c>
      <c r="E6205" t="n">
        <v>24</v>
      </c>
      <c r="F6205">
        <f>HYPERLINK("https://www.reddit.com/r/cancer/comments/e4t11j/telling_your_friends_you_have_cancer_is_strange/")</f>
        <v/>
      </c>
      <c r="G6205" t="inlineStr">
        <is>
          <t>2019-12-01 19:37:13</t>
        </is>
      </c>
      <c r="H6205" t="inlineStr"/>
    </row>
    <row r="6206">
      <c r="A6206" t="inlineStr">
        <is>
          <t>e4t8ds</t>
        </is>
      </c>
      <c r="B6206" t="inlineStr">
        <is>
          <t>Banging your best friends wife because he is dying of Cancer.</t>
        </is>
      </c>
      <c r="C6206" t="inlineStr">
        <is>
          <t>Is this something I should feel bad about? I mean. Someone has to take care of her with his passing.</t>
        </is>
      </c>
      <c r="D6206" t="n">
        <v>1</v>
      </c>
      <c r="E6206" t="n">
        <v>0</v>
      </c>
      <c r="F6206">
        <f>HYPERLINK("https://www.reddit.com/r/cancer/comments/e4t8ds/banging_your_best_friends_wife_because_he_is/")</f>
        <v/>
      </c>
      <c r="G6206" t="inlineStr">
        <is>
          <t>2019-12-01 19:54:02</t>
        </is>
      </c>
      <c r="H6206" t="inlineStr"/>
    </row>
    <row r="6207">
      <c r="A6207" t="inlineStr">
        <is>
          <t>e4tbjh</t>
        </is>
      </c>
      <c r="B6207" t="inlineStr">
        <is>
          <t>Aunt 1500 miles away...</t>
        </is>
      </c>
      <c r="C6207" t="inlineStr">
        <is>
          <t>Back when I lived in Mexico, both of my parents worked to support our family.
My aunt took care of me for 12 years until I moved to the US.
She raised me and shaped me into who I am today.
I am 16 now and was recently told that she (now around 60) had cancer in her kidney.
Nobody is telling me anything, they avoid the subject. I want to know how she is doing. 
We only go back twice a year: in the summer and for Christmas. I have to wait for three weeks until I can see my tia.
I don’t know what I’m going to do without her. Being the only one of the family who is in the US hurts. I haven’t been able to see her or talk to her or hold her hand.
I promised her I was going to take her back to her hometown for a vacation. I promised her we were going to see the mountains. I promised her she was going to see me in my white doctor’s coat when I graduated. 
How am I supposed to keep going when I know all her siblings are struggling to pay her treatment?
I’m worrying about my upcoming ACT and they’re worrying about her life. I feel horrible. 
I want to go back. I don’t want her to leave me. What do I do?</t>
        </is>
      </c>
      <c r="D6207" t="n">
        <v>1</v>
      </c>
      <c r="E6207" t="n">
        <v>1</v>
      </c>
      <c r="F6207">
        <f>HYPERLINK("https://www.reddit.com/r/cancer/comments/e4tbjh/aunt_1500_miles_away/")</f>
        <v/>
      </c>
      <c r="G6207" t="inlineStr">
        <is>
          <t>2019-12-01 20:01:09</t>
        </is>
      </c>
      <c r="H6207" t="inlineStr"/>
    </row>
    <row r="6208">
      <c r="A6208" t="inlineStr">
        <is>
          <t>e4tiy5</t>
        </is>
      </c>
      <c r="B6208" t="inlineStr">
        <is>
          <t>Diagnosed 6 years ago, remission and still get scared</t>
        </is>
      </c>
      <c r="C6208" t="inlineStr">
        <is>
          <t>Today 6 years ago was when i made the announcement that I had been diagnosed with breast cancer.   I will officially be put in full remission/cured the 19th of this month.
It is a weird place to be honestly.  I am no longer having blood work done every 4 months, no more scans once a year and have been able to stop taking the tamoxifen.
Moving to being seen once a year with knowledge that if something doesn't seem right I can make an appointment.
I am terrified of not being followed so closely.  Happy to save the copays ect but.....what if it pops up someplace else?  I was extremely lucky with my initial diagnosis as it was caught very early and treated fast.  Worry about a secondary cancer from the tamoxifen or the radiation treatments or the scans. 
Worry about the brain fog that still hangs around making me crazy.
Just a weird spot.  Happy and scared.</t>
        </is>
      </c>
      <c r="D6208" t="n">
        <v>1</v>
      </c>
      <c r="E6208" t="n">
        <v>2</v>
      </c>
      <c r="F6208">
        <f>HYPERLINK("https://www.reddit.com/r/cancer/comments/e4tiy5/diagnosed_6_years_ago_remission_and_still_get/")</f>
        <v/>
      </c>
      <c r="G6208" t="inlineStr">
        <is>
          <t>2019-12-01 20:18:22</t>
        </is>
      </c>
      <c r="H6208" t="inlineStr"/>
    </row>
    <row r="6209">
      <c r="A6209" t="inlineStr">
        <is>
          <t>e4wigi</t>
        </is>
      </c>
      <c r="B6209" t="inlineStr">
        <is>
          <t>Does my mom have cancer?</t>
        </is>
      </c>
      <c r="C6209" t="inlineStr">
        <is>
          <t>She lives in another city and today when she called she told me that she's gonna have a surgery. I asked what surgery it is and she replied:" Well.. I have a kind of a.. cyst and i have to remove my uterus" 
Does it mean she has cancer??</t>
        </is>
      </c>
      <c r="D6209" t="n">
        <v>1</v>
      </c>
      <c r="E6209" t="n">
        <v>3</v>
      </c>
      <c r="F6209">
        <f>HYPERLINK("https://www.reddit.com/r/cancer/comments/e4wigi/does_my_mom_have_cancer/")</f>
        <v/>
      </c>
      <c r="G6209" t="inlineStr">
        <is>
          <t>2019-12-02 01:08:55</t>
        </is>
      </c>
      <c r="H6209" t="inlineStr"/>
    </row>
    <row r="6210">
      <c r="A6210" t="inlineStr">
        <is>
          <t>e4yuu8</t>
        </is>
      </c>
      <c r="B6210" t="inlineStr">
        <is>
          <t>How can I prepare myself and what should I expect?</t>
        </is>
      </c>
      <c r="C6210" t="inlineStr">
        <is>
          <t>Last night I got a call from my mother. She informed me my great aunt and great uncle are on hospice and have a few weeks left. Unfortunately about 10 years ago I lost contact with a lot ot family which is why I just found this out suddenly. My fiancee and I are going to visit them in a few days but I've never been around anyone their death bed. I have no idea how to prepare myself for it and what to expect to see. I do know my great aunt has brain cancer and from what I was told doesn't really remember anyone. I dont know how to go about talking to her. Hopefully we get the chance to say goodbye and I get the opportunity to shake my great uncle's hand one last time and thank him for saving lives on 9/11. Thank you guys for any tips to help me get as mentally prepared as possible before seeing them.</t>
        </is>
      </c>
      <c r="D6210" t="n">
        <v>1</v>
      </c>
      <c r="E6210" t="n">
        <v>3</v>
      </c>
      <c r="F6210">
        <f>HYPERLINK("https://www.reddit.com/r/cancer/comments/e4yuu8/how_can_i_prepare_myself_and_what_should_i_expect/")</f>
        <v/>
      </c>
      <c r="G6210" t="inlineStr">
        <is>
          <t>2019-12-02 05:08:02</t>
        </is>
      </c>
      <c r="H6210" t="inlineStr"/>
    </row>
    <row r="6211">
      <c r="A6211" t="inlineStr">
        <is>
          <t>e4z2ow</t>
        </is>
      </c>
      <c r="B6211" t="inlineStr">
        <is>
          <t>Am I underreacting?</t>
        </is>
      </c>
      <c r="C6211" t="inlineStr">
        <is>
          <t>Recently my mom told us all she has been diagnosed with cancer. It's a small tumor and it's stage 0 breast cancer, so not "awful," but still not great nonetheless. She's said it'll be an easy operation with only about a 5cm section that needs to be removed and a few sessions of low dosage radiation. 
My girlfriend, bless her heart, said her mom had gone through the same thing (she's doing great btw) and gave my mom her contact info. In the car afterword, she asked me if I'm okay with the news and I said yeah, totally, it'll be cut and dry. She also offered me a book on breast cancer from the Mayo Clinic. I turned that down after we went to her house this past weekend where the book was (about 3 hours away so it's not like we can just swing by and grab it). I told her the usual "Mom's strong, she's gonna be okay, it's gonna be an easy recovery." She kind of cryptically mentioned that it's a bit more than all that and has a bit more of an effect on everything. I guess I sort of knew that it isn't as simple as it seems but still, am I underreacting? Obviously I'm worried for my mom but there's so much research on breast cancer and it's still stage 0. I don't want to psyche my mom out by freaking out myself, but should I be more worried?
Thanks in advance for your replies. I'm still pretty new to this.</t>
        </is>
      </c>
      <c r="D6211" t="n">
        <v>1</v>
      </c>
      <c r="E6211" t="n">
        <v>16</v>
      </c>
      <c r="F6211">
        <f>HYPERLINK("https://www.reddit.com/r/cancer/comments/e4z2ow/am_i_underreacting/")</f>
        <v/>
      </c>
      <c r="G6211" t="inlineStr">
        <is>
          <t>2019-12-02 05:27:06</t>
        </is>
      </c>
      <c r="H6211" t="inlineStr"/>
    </row>
    <row r="6212">
      <c r="A6212" t="inlineStr">
        <is>
          <t>e51dd1</t>
        </is>
      </c>
      <c r="B6212" t="inlineStr">
        <is>
          <t>Looking for participants in a research study for a cancer app</t>
        </is>
      </c>
      <c r="C6212" t="inlineStr">
        <is>
          <t>Hey! 
Hope you don’t mind me asking here! 
I am helping to build a mobile app for people going through cancer treatment to help manage care.
We are now doing research to get relevant feedback to make sure we make the app is as effective as possible. And so I wanted to ask if anyone in this subreddit would be interested in participating in our study?</t>
        </is>
      </c>
      <c r="D6212" t="n">
        <v>1</v>
      </c>
      <c r="E6212" t="n">
        <v>34</v>
      </c>
      <c r="F6212">
        <f>HYPERLINK("https://www.reddit.com/r/cancer/comments/e51dd1/looking_for_participants_in_a_research_study_for/")</f>
        <v/>
      </c>
      <c r="G6212" t="inlineStr">
        <is>
          <t>2019-12-02 08:25:00</t>
        </is>
      </c>
      <c r="H6212" t="inlineStr"/>
    </row>
    <row r="6213">
      <c r="A6213" t="inlineStr">
        <is>
          <t>e544r5</t>
        </is>
      </c>
      <c r="B6213" t="inlineStr">
        <is>
          <t>How to deal</t>
        </is>
      </c>
      <c r="C6213" t="inlineStr">
        <is>
          <t>Hey everybody. This is my first post in this sub. Just wondering, anybody out there have tips on how to manage without a support system or job? Quit my previous job to start a new one, but was hospitalized the day before I was supposed to start. Kinda threw a wrench into things. No family to speak of or friends either. Just kinda lost right now and throwing a line out. I'm approved for cobra, and applied for unemployment/disability although I'm not optimistic about those coming through. Thanks for your time</t>
        </is>
      </c>
      <c r="D6213" t="n">
        <v>1</v>
      </c>
      <c r="E6213" t="n">
        <v>7</v>
      </c>
      <c r="F6213">
        <f>HYPERLINK("https://www.reddit.com/r/cancer/comments/e544r5/how_to_deal/")</f>
        <v/>
      </c>
      <c r="G6213" t="inlineStr">
        <is>
          <t>2019-12-02 11:34:11</t>
        </is>
      </c>
      <c r="H6213" t="inlineStr"/>
    </row>
    <row r="6214">
      <c r="A6214" t="inlineStr">
        <is>
          <t>e54ewm</t>
        </is>
      </c>
      <c r="B6214" t="inlineStr">
        <is>
          <t>Is radiation harder than chemo?</t>
        </is>
      </c>
      <c r="C6214" t="inlineStr">
        <is>
          <t>My mom finished her 12 rounds of chemo 4 strong chemo the one with red color and 8 rounds of taxol and now she will be doing radiation for 1 month and half</t>
        </is>
      </c>
      <c r="D6214" t="n">
        <v>1</v>
      </c>
      <c r="E6214" t="n">
        <v>11</v>
      </c>
      <c r="F6214">
        <f>HYPERLINK("https://www.reddit.com/r/cancer/comments/e54ewm/is_radiation_harder_than_chemo/")</f>
        <v/>
      </c>
      <c r="G6214" t="inlineStr">
        <is>
          <t>2019-12-02 11:52:59</t>
        </is>
      </c>
      <c r="H6214" t="inlineStr"/>
    </row>
    <row r="6215">
      <c r="A6215" t="inlineStr">
        <is>
          <t>e55bcb</t>
        </is>
      </c>
      <c r="B6215" t="inlineStr">
        <is>
          <t>Radiation and chemo simultaneously</t>
        </is>
      </c>
      <c r="C6215" t="inlineStr">
        <is>
          <t>I've already had two new tumors show up since my major surgery two months ago. So now my doctor's are switching me from radiation to a combination of radiation and chemo (concurrent). Has anyone had experience with this? I've seen that it will likely amplify the side effects of both.</t>
        </is>
      </c>
      <c r="D6215" t="n">
        <v>1</v>
      </c>
      <c r="E6215" t="n">
        <v>3</v>
      </c>
      <c r="F6215">
        <f>HYPERLINK("https://www.reddit.com/r/cancer/comments/e55bcb/radiation_and_chemo_simultaneously/")</f>
        <v/>
      </c>
      <c r="G6215" t="inlineStr">
        <is>
          <t>2019-12-02 12:52:31</t>
        </is>
      </c>
      <c r="H6215" t="inlineStr"/>
    </row>
    <row r="6216">
      <c r="A6216" t="inlineStr">
        <is>
          <t>e570xl</t>
        </is>
      </c>
      <c r="B6216" t="inlineStr">
        <is>
          <t>What did/would you do?</t>
        </is>
      </c>
      <c r="C6216" t="inlineStr">
        <is>
          <t>My MIL will not be with us much longer and I want to make sure my wife, her siblings, grandkids and my FIL have ways of remembering her. 
I have already asked her to make them videos before she starts chemo/radiation. Do you have any ideas that helped or would have helped in your families?
Thank you.</t>
        </is>
      </c>
      <c r="D6216" t="n">
        <v>1</v>
      </c>
      <c r="E6216" t="n">
        <v>0</v>
      </c>
      <c r="F6216">
        <f>HYPERLINK("https://www.reddit.com/r/cancer/comments/e570xl/what_didwould_you_do/")</f>
        <v/>
      </c>
      <c r="G6216" t="inlineStr">
        <is>
          <t>2019-12-02 14:47:59</t>
        </is>
      </c>
      <c r="H6216" t="inlineStr"/>
    </row>
    <row r="6217">
      <c r="A6217" t="inlineStr">
        <is>
          <t>e57g7r</t>
        </is>
      </c>
      <c r="B6217" t="inlineStr">
        <is>
          <t>I feel numb after being diagnosed with breast cancer</t>
        </is>
      </c>
      <c r="C6217" t="inlineStr">
        <is>
          <t>I am 32 years old, male. I found out I have invasive ductal carcinoma.
I am going to see a breast surgeon on Friday.... I feel numb, almost like I'm just going through the motions. 
The cancer is hormone positive, the tumor is not aggressive, and it is small. That's all I remember the radiologist on the phone saying.
They did a mammogram, ultrasound and a needle biopsy. All within 2 weeks. 
I "accept" I have cancer I just don't feel bad about it or even afraid... I feel "meh" about it. I'm going to have it removed but the worst part is how in the f*ck at 32 did I get this?</t>
        </is>
      </c>
      <c r="D6217" t="n">
        <v>1</v>
      </c>
      <c r="E6217" t="n">
        <v>29</v>
      </c>
      <c r="F6217">
        <f>HYPERLINK("https://www.reddit.com/r/cancer/comments/e57g7r/i_feel_numb_after_being_diagnosed_with_breast/")</f>
        <v/>
      </c>
      <c r="G6217" t="inlineStr">
        <is>
          <t>2019-12-02 15:17:11</t>
        </is>
      </c>
      <c r="H6217" t="inlineStr"/>
    </row>
    <row r="6218">
      <c r="A6218" t="inlineStr">
        <is>
          <t>e59o9s</t>
        </is>
      </c>
      <c r="B6218" t="inlineStr">
        <is>
          <t>Things seem to be looking bright for my aunt</t>
        </is>
      </c>
      <c r="C6218" t="inlineStr">
        <is>
          <t>My aunt was diagnosed with breast cancer 4 months ago. Thankfully they caught it early so she started chemo right away. She also had a mastectomy.
Now she's finally going through her last round of chemo and I'm so happy for her. These last few months were tough but we got through it.
Sorry for bad english.</t>
        </is>
      </c>
      <c r="D6218" t="n">
        <v>1</v>
      </c>
      <c r="E6218" t="n">
        <v>2</v>
      </c>
      <c r="F6218">
        <f>HYPERLINK("https://www.reddit.com/r/cancer/comments/e59o9s/things_seem_to_be_looking_bright_for_my_aunt/")</f>
        <v/>
      </c>
      <c r="G6218" t="inlineStr">
        <is>
          <t>2019-12-02 17:57:31</t>
        </is>
      </c>
      <c r="H6218" t="inlineStr"/>
    </row>
    <row r="6219">
      <c r="A6219" t="inlineStr">
        <is>
          <t>e5aja6</t>
        </is>
      </c>
      <c r="B6219" t="inlineStr">
        <is>
          <t>whole-brain radiation therapy: seeking information</t>
        </is>
      </c>
      <c r="C6219" t="inlineStr">
        <is>
          <t>//tldr: post (A) number of treatments received (B) how long since the last treatment (C) your journey of change in cognitive functionality//
Hi there,
Up late, tough day. Today is my dad’s 66th birthday, and so far marks the worst day in his cancer journey. 
Just over four weeks ago, whilst mainly asymptomatic, my father was diagnosed with stage 4 aggressive melanoma. Metastasized to 7 brain tumors, a tennis ball sized lung tumor, tumors through the lining of his stomach, and through the lower back lymph nodes. In the words of the doctors, they’ve “never seen someone so healthy with such progression - but they do see surprises of the sort often.” Whatever that means.
So, these past weeks he received 15 treatments of whole-brain radiation therapy. He’s now 10 days out. I’m currently looking at his netted face mask by my bedside.
At first, everything seemed fine. He didn’t have any side effects until the last few treatments when his hair fell out. Big deal. Fast forward ten days, and inch by inch it has gotten much worse. Some examples? He thought he turned 77, not 66. He got lost in his own bedroom, thinking it was the family room. He’ll take his medication, and then ask for it minutes later. He’ll leave the shower with water running. This all happened today; Basically, it’s real bad.
He has moments of coherency, but in the list of how his day was spent - #1 is sleeping (extreme fatigue), #2 is confusion, and #3 is coherency.
My question, if he survives this - am I going to have my dad back? What are our odds? 
If anyone’s been through whole-brain radiation therapy, or has a loved one who has, in the last few years - can you tell me number of treatments and your experience over time? Or lost any recent articles that help would help me understand?
Every article on the internet says one thing then another. I keep reading how far everything’s advanced with the hippocampus protection, etc. but no one really seems to know. Then I see other articles comparing “what’s worse, whole-brain radiation therapy or death?” The articles were inclined to say the latter.
I know “talk to my doctor.” But the doctors seem to state things so factually it’s hard to understand what’s a “chance” and what’s “likely.” There are so many percentages of so many things I feel like we’re playing billiards taking a 6 ball combo shot - but somehow they see the journey and an exit. But here I am still wondering.
I’m 27 and feel way too young to be losing my dad.
The hair loss we can deal with. Even the months of fatigue as energy levels slowly climb back. But the rest, the cognitive function. Please, anything you know can you share?
(If you’re reading this - I’m sorry. No one should have to deal with this f*cking nightmare.)
CEll</t>
        </is>
      </c>
      <c r="D6219" t="n">
        <v>1</v>
      </c>
      <c r="E6219" t="n">
        <v>5</v>
      </c>
      <c r="F6219">
        <f>HYPERLINK("https://www.reddit.com/r/cancer/comments/e5aja6/wholebrain_radiation_therapy_seeking_information/")</f>
        <v/>
      </c>
      <c r="G6219" t="inlineStr">
        <is>
          <t>2019-12-02 19:04:01</t>
        </is>
      </c>
      <c r="H6219" t="inlineStr"/>
    </row>
    <row r="6220">
      <c r="A6220" t="inlineStr">
        <is>
          <t>e5bm0o</t>
        </is>
      </c>
      <c r="B6220" t="inlineStr">
        <is>
          <t>My Ride to Conquer Cancer</t>
        </is>
      </c>
      <c r="C6220" t="inlineStr">
        <is>
          <t>Hello Reddit Fam, 
Some of my friends and I recently registered for the Ride to Conquer Cancer located in Alberta, Canada. The ride is 200 km over 2 days in and around the Rocky Mountains, all to raise money for cancer research. If anyone would care to donate please visit my link:
Thanks everyone!
https://secure.conquercancer.ca/site/TR/Ride/Alberta2020/482861679;jsessionid=00000000.app259c?NONCE_TOKEN=6A42D0349D5DE8ADA91F621688B65D55&amp;amp;px=4631968&amp;amp;pg=personal&amp;amp;fr_id=1771</t>
        </is>
      </c>
      <c r="D6220" t="n">
        <v>1</v>
      </c>
      <c r="E6220" t="n">
        <v>0</v>
      </c>
      <c r="F6220">
        <f>HYPERLINK("https://www.reddit.com/r/cancer/comments/e5bm0o/my_ride_to_conquer_cancer/")</f>
        <v/>
      </c>
      <c r="G6220" t="inlineStr">
        <is>
          <t>2019-12-02 20:28:48</t>
        </is>
      </c>
      <c r="H6220" t="inlineStr"/>
    </row>
    <row r="6221">
      <c r="A6221" t="inlineStr">
        <is>
          <t>e5dpcn</t>
        </is>
      </c>
      <c r="B6221" t="inlineStr">
        <is>
          <t>today I am going to tell a stranger that I have cancer which doesn't even diagnosed yet.</t>
        </is>
      </c>
      <c r="C6221" t="inlineStr">
        <is>
          <t>I don't really know where to post this.sorry for my English.i am a 23 year old male who is extremely thin, have really bad social anxiety and feels insecure all the time.
I think I really messed up my life.i was born and brought up  in a  third world country.last year my parents  spent  all their life savings,took a loan to sent me to a western country for higher studies.the plan was to work(part time) while studying  and pay the remaining fees.i have to complete a 2 year program in order to get the 3 year work permit.for getting the student visa I had to pay the 2 semester fees(for a 4 semester program) and guaranteed income which  I will be getting per month for an year.i came here on 2018 September,but the city was small and there was a lot of students who needed part time.the conclusion is I didn't get any part time job.but I wasn't bothered about it,since the GIC  I was getting monthly was more than enough for my expenses.i knew I can make the remaining tution fees during the summer break of 2019 by doing full time job.the first semester went fine.at the starting of winter semester (2nd semester) I had to study about cancer data(I am doing a statistics course) it went on by me reading about skin cancer.that's when I realised I have a mole on my underarm that have melanoma like symptoms.i have a few sunburns on my back(well  i loved being in sunlight).i researched further about it,the mole  was itchy and has a small lump under it I could  feel.it started to worry me.so I went to the college nurse to show the mole.she told me to book an appointment with a dermatologist.then the deep thinking got me."what if I diagnosed with cancer?? that will break my parents heart.i realised I have to go back  my home(the life which was already miserable) with nothing but   cancer.i couldn't even imagine that situation.so I didn't told anyone about it.i researched if the college health insurance could pay the medical bill.i found  they will only pay for the biopsy and tests.if I diagnosed with cancer they can back out.my dumb self thought,I should wait it out, maybe some miracle can happen.but day by day I started getting depressed and the actual cancer symptoms started to show up(nausea,fatigue).after a few months I was getting back pain and found a lump near my cervical spine.that one really scared me.i realised I am going to have a terrible painful death.i  passed the second semester with minimum grade.then cones the summer break. I had to find a job in order to  pay the next semester fees.i got a full time green house general labour job which was actually easy.but the depression actually got me,all of a sudden I stoped calling my parents and acted like a no-life in front of my roommates who were the only people that I interacted  at that time.my parents called my roommates and asked them "why I am not calling them?"they had no idea.i kept telling my roommates that "I will call my parents you don't have to worry about it".my roommates told them that everything is fine.at that time the only thing I was doing when I had no work was playing video games.i mean couldn't sleep,so after a 12 HR shift I come back to my room and start playing video games.but even before that  I was already playing video games too much so my roommates didn't mind that.with the money I made during summer break I payed the fees and bought some clothes and gadgets which I liked.during these time I was getting calls and messages from my mother and family members.but I didn't took, Any of their calls or replied the messages. my roommates kept telling my family that I have no problem and everything is fine.then the 3rd semester started,i got really depressed with the studies,pain, nausea and the fact that I was being an asshole for not calling my family.my family actually started thinking I am being silly or my roommates made them believe I was being silly.since they couldn't see any problem with me other than playing too much Video Games.well my roommates started to hate me for not calling my parents.now the end of semester is near.i have no money left to pay the fees,I am really sad and depressed,I am not going to the class or group project works(my classmates hates me for that)I am really sad that I want to die.so today I am going to tell the college nurse about all these,I don't know what's gonna happen.
Maybe this all happened because I am dumb as fuck</t>
        </is>
      </c>
      <c r="D6221" t="n">
        <v>1</v>
      </c>
      <c r="E6221" t="n">
        <v>3</v>
      </c>
      <c r="F6221">
        <f>HYPERLINK("https://www.reddit.com/r/cancer/comments/e5dpcn/today_i_am_going_to_tell_a_stranger_that_i_have/")</f>
        <v/>
      </c>
      <c r="G6221" t="inlineStr">
        <is>
          <t>2019-12-02 23:43:12</t>
        </is>
      </c>
      <c r="H6221" t="inlineStr"/>
    </row>
    <row r="6222">
      <c r="A6222" t="inlineStr">
        <is>
          <t>e5drwk</t>
        </is>
      </c>
      <c r="B6222" t="inlineStr">
        <is>
          <t>THOR 707</t>
        </is>
      </c>
      <c r="C6222" t="inlineStr">
        <is>
          <t>Sorry I keep posting on different subreddits but I am so scared. It’s almost 2 am and I can’t sleep and didn’t sleep at all last night cuz tomorrow my Dad starts his clinical trial of THOR 707. I live in Oregon and he lives in Texas so it’s been very hard but I’ve been trying to come out to see him as often as I can. I’m just so scared cuz this is the first test on humans in the US and I’m scared as fuck. So we are here and it’s just me and my Dad. I wish other family members could be here to show support but that’s not happening. So I just can’t sleep and thought I’d post on here. Fuck cancer-</t>
        </is>
      </c>
      <c r="D6222" t="n">
        <v>1</v>
      </c>
      <c r="E6222" t="n">
        <v>21</v>
      </c>
      <c r="F6222">
        <f>HYPERLINK("https://www.reddit.com/r/cancer/comments/e5drwk/thor_707/")</f>
        <v/>
      </c>
      <c r="G6222" t="inlineStr">
        <is>
          <t>2019-12-02 23:50:21</t>
        </is>
      </c>
      <c r="H6222" t="inlineStr"/>
    </row>
    <row r="6223">
      <c r="A6223" t="inlineStr">
        <is>
          <t>e5elhp</t>
        </is>
      </c>
      <c r="B6223" t="inlineStr">
        <is>
          <t>My dilemma: to work or not to work</t>
        </is>
      </c>
      <c r="C6223" t="inlineStr">
        <is>
          <t>So my cancer gives me odds of surviving 5 years at around 30%. As we all know here those odds aren’t much use. We have 2 potential paths - one where the cancer comes back after treatment, and one where it doesn’t return. Many of us don’t know which path we are on. 
The dilemma for me is whether to take the gamble that it won’t come back for a while and return to work. 
Or stop work now and spend time doing all the stuff I haven’t had time to do cause I was working. 
Which way did you go? Any suggestions how to make a decision?
Discuss.</t>
        </is>
      </c>
      <c r="D6223" t="n">
        <v>1</v>
      </c>
      <c r="E6223" t="n">
        <v>18</v>
      </c>
      <c r="F6223">
        <f>HYPERLINK("https://www.reddit.com/r/cancer/comments/e5elhp/my_dilemma_to_work_or_not_to_work/")</f>
        <v/>
      </c>
      <c r="G6223" t="inlineStr">
        <is>
          <t>2019-12-03 01:15:53</t>
        </is>
      </c>
      <c r="H6223" t="inlineStr"/>
    </row>
    <row r="6224">
      <c r="A6224" t="inlineStr">
        <is>
          <t>e5jcig</t>
        </is>
      </c>
      <c r="B6224" t="inlineStr">
        <is>
          <t>Fiance just had thyroidectomy</t>
        </is>
      </c>
      <c r="C6224" t="inlineStr">
        <is>
          <t>We found out several weeks ago she has thyroid cancer. We're about a week out from when the thyroid was removed.  They found cancer in several lymph nodes, so she will be doing a radioactive iodine treatment after the wedding.  She's been so strong through all of it, but yesterday was really depressed. The wedding is about a month out, and she's becoming overwhelmed. We both know it's a very treatable cancer, but I can tell she's pretty scared.  I'm doing everything I can to be supportive,  help with the wedding, and try to ease her anxiety as much as I can. Her throat still bothers her, she says it feels like there's something constantly stuck in it. Any advice on how to alleviate the side effects, or things to expect will be appreciated. I just thought it would be nice for her to hear from others that have gone through it. Thanks!</t>
        </is>
      </c>
      <c r="D6224" t="n">
        <v>1</v>
      </c>
      <c r="E6224" t="n">
        <v>10</v>
      </c>
      <c r="F6224">
        <f>HYPERLINK("https://www.reddit.com/r/cancer/comments/e5jcig/fiance_just_had_thyroidectomy/")</f>
        <v/>
      </c>
      <c r="G6224" t="inlineStr">
        <is>
          <t>2019-12-03 08:15:10</t>
        </is>
      </c>
      <c r="H6224" t="inlineStr"/>
    </row>
    <row r="6225">
      <c r="A6225" t="inlineStr">
        <is>
          <t>e5jvg7</t>
        </is>
      </c>
      <c r="B6225" t="inlineStr">
        <is>
          <t>Do you know a child that has been affected by a parent or guardian's cancer?</t>
        </is>
      </c>
      <c r="C6225" t="inlineStr">
        <is>
          <t>Camp Kesem is a national non-profit that supports children through and beyond their parent's cancer. With chapters all over the country, they provide a free sleepaway camp for these children to have fun and to just be kids for a little while. They do this through empowering student leaders at colleges and universities. This community is amazing. I have volunteered for 5 years, and I am convinced that MAGIC IS REAL. Today is Giving Tuesday - a day where all chapters are campaigning to raise a huge chunk of their funds for the year. Please feel free to reach out if you'd like more information! 
https://www.campkesem.org/</t>
        </is>
      </c>
      <c r="D6225" t="n">
        <v>1</v>
      </c>
      <c r="E6225" t="n">
        <v>5</v>
      </c>
      <c r="F6225">
        <f>HYPERLINK("https://www.reddit.com/r/cancer/comments/e5jvg7/do_you_know_a_child_that_has_been_affected_by_a/")</f>
        <v/>
      </c>
      <c r="G6225" t="inlineStr">
        <is>
          <t>2019-12-03 08:51:56</t>
        </is>
      </c>
      <c r="H6225" t="inlineStr"/>
    </row>
    <row r="6226">
      <c r="A6226" t="inlineStr">
        <is>
          <t>e5klpj</t>
        </is>
      </c>
      <c r="B6226" t="inlineStr">
        <is>
          <t>How do you deal with watching?</t>
        </is>
      </c>
      <c r="C6226" t="inlineStr">
        <is>
          <t>A month ago, my mother was golfing daily, enjoying her retirement, happy and healthy.  Then  she was diagnosed with stage 4 lung cancer that had spread to her bones. 
I've been visiting and helping around the house for the past 3 weeks.  in those 3 weeks she had her first chemo, started radiation, and found out she has zero biomarkers that allow the easier treatment.   She also has Multiple Sclerosis so most of the drug trials are out as well.  It's been a constant stream of bad news.  
In these three weeks she has gone from just having some shoulder pain, but able to live day to day  to laying in bed moaning from pain for most of the day.   She might get 3 hours of non-pain, non nauseous, per day.      
She's on morphine and pot for the pain. it helps a bit but makes her sooo tired.     
Doctors give her 6-12 months if that.  How do you deal with watching this?   I want nothing more than to stay here and be with her until the end, but I have to go back to work and my home.    How do you deal with watching your loved ones in so much pain?   Knowing there is nothing you can actually do to help?</t>
        </is>
      </c>
      <c r="D6226" t="n">
        <v>1</v>
      </c>
      <c r="E6226" t="n">
        <v>6</v>
      </c>
      <c r="F6226">
        <f>HYPERLINK("https://www.reddit.com/r/cancer/comments/e5klpj/how_do_you_deal_with_watching/")</f>
        <v/>
      </c>
      <c r="G6226" t="inlineStr">
        <is>
          <t>2019-12-03 09:40:56</t>
        </is>
      </c>
      <c r="H6226" t="inlineStr"/>
    </row>
    <row r="6227">
      <c r="A6227" t="inlineStr">
        <is>
          <t>e5kp1w</t>
        </is>
      </c>
      <c r="B6227" t="inlineStr">
        <is>
          <t>About to do my (32F) first 30 day hospital stint... feel so unprepared.</t>
        </is>
      </c>
      <c r="C6227" t="inlineStr">
        <is>
          <t>Hello! 
Diagnosed Ph+ AML in August after having some wicked headaches for a couple weeks that sent me to the ER. Didn’t even know I was sick (85% blast cells, HGB of 5). Was quickly put on daily oral chemo (Dastanib) and other then some upset tummy and minor hair thinning, I pretty much feel fine (just super tired!).  I look and act completely healthy to the outside world. 
I am scheduled to be admitted on Thursday to start the process of my allo bone marrow transplant. Doing a week of Fludarabine and Bulsalfan IVs, a rest day, then the BMT.  Should be (minimum) 30 day hospital stay.
I’ll admit- I’ve Searched every blog/article/post I could find on the BMT experience but still feel absolutely unprepared as what is about to come next (which, for an  anxiety OCD planner such as myself, this is the real nightmare lol).  IV chemo (and a hardcore regiment from what I’m told, to boot), Hickman port placement, all of it....to say I’m slightly scared shitless is an understatement lol 
Any helpful hints, tips, tricks that I should know of? I packed all the essentials (pjs for days, my crochet projects and other small little crafts, blanket and pillow, some small snack,etc) but still feel like I’m missing something! 
&amp;lt;3&amp;lt;3&amp;lt;3</t>
        </is>
      </c>
      <c r="D6227" t="n">
        <v>1</v>
      </c>
      <c r="E6227" t="n">
        <v>8</v>
      </c>
      <c r="F6227">
        <f>HYPERLINK("https://www.reddit.com/r/cancer/comments/e5kp1w/about_to_do_my_32f_first_30_day_hospital_stint/")</f>
        <v/>
      </c>
      <c r="G6227" t="inlineStr">
        <is>
          <t>2019-12-03 09:47:23</t>
        </is>
      </c>
      <c r="H6227" t="inlineStr"/>
    </row>
    <row r="6228">
      <c r="A6228" t="inlineStr">
        <is>
          <t>e5lf34</t>
        </is>
      </c>
      <c r="B6228" t="inlineStr">
        <is>
          <t>Is this negligence?</t>
        </is>
      </c>
      <c r="C6228" t="inlineStr">
        <is>
          <t>I hope it’s okay to rant here, I’m a little bit stressed today. 
My dad is in the hospital, he has been admitted because he’s on palliative care and his time is near. He’s been on sodium chloride? And glucose since Sunday. 
Today we arrived at 2pm, his machine was bleeping as the bag is empty. I watched a nurse come over, turn it off, and walk away. It’s been empty now for 4 hours and I’m worried. He’s not eating and drinking, so without these fluids I’m scared his body is going to suffer more than it already is. 
We told the head nurse an hour ago and she didn’t even know it was empty. She checked his notes and they’ve been prescribed to him. We’re still waiting for these bags, for over an hour, and they’re still not here. 
I’m trying to hold it together but naturally due to stress, my anger is very sensitive right now. I feel like he’s being neglected. His organs are literally fading away and he can’t afford to have no fluids for 4 hours. 
Am I overreacting? It feels like because he is dying, they’re just not checking him as often.</t>
        </is>
      </c>
      <c r="D6228" t="n">
        <v>1</v>
      </c>
      <c r="E6228" t="n">
        <v>5</v>
      </c>
      <c r="F6228">
        <f>HYPERLINK("https://www.reddit.com/r/cancer/comments/e5lf34/is_this_negligence/")</f>
        <v/>
      </c>
      <c r="G6228" t="inlineStr">
        <is>
          <t>2019-12-03 10:35:35</t>
        </is>
      </c>
      <c r="H6228" t="inlineStr"/>
    </row>
    <row r="6229">
      <c r="A6229" t="inlineStr">
        <is>
          <t>e5ln50</t>
        </is>
      </c>
      <c r="B6229" t="inlineStr">
        <is>
          <t>What do you do when someone pitches an “alternative cure” to a loved one ....and they buy it?</t>
        </is>
      </c>
      <c r="C6229" t="inlineStr">
        <is>
          <t>Someone my mom knows just told her that his sister who has terminal cancer is taking a dog deworming medication because he did research after he watched a video on YouTube of a man who cured his cancer with it. $7 dog meds from Walmart apparently. My mom ( has Stage IV colon cancer ) and my grandma are super amazed and looking into it now. 
I haven’t said anything because I don’t even know how to start or what to say. 
Any thoughts? Experience? Help...? Do I just ....leave it alone?</t>
        </is>
      </c>
      <c r="D6229" t="n">
        <v>1</v>
      </c>
      <c r="E6229" t="n">
        <v>17</v>
      </c>
      <c r="F6229">
        <f>HYPERLINK("https://www.reddit.com/r/cancer/comments/e5ln50/what_do_you_do_when_someone_pitches_an/")</f>
        <v/>
      </c>
      <c r="G6229" t="inlineStr">
        <is>
          <t>2019-12-03 10:50:36</t>
        </is>
      </c>
      <c r="H6229" t="inlineStr"/>
    </row>
    <row r="6230">
      <c r="A6230" t="inlineStr">
        <is>
          <t>e5lu2w</t>
        </is>
      </c>
      <c r="B6230" t="inlineStr">
        <is>
          <t>Burkitt's Lymphoma News; Hope on the Horizon</t>
        </is>
      </c>
      <c r="C6230" t="inlineStr">
        <is>
          <t>The son of a dear friend was just diagnosed with Burkitt's lymphoma and while learning about it and looking for recent advancements in treatment, I have come across several really innovative medical science. One of the most interesting is that of  [cancer metabolism](https://rafaelpharma.com/research-and-development/cancer-metabolism) therapeutics. Available clinical trials seem to be in various "phases" but I'm curious if anyone has had any experience with treatments of this nature? Seems like a viable opportunity but I'm interested in learning more about the experiences of others.</t>
        </is>
      </c>
      <c r="D6230" t="n">
        <v>1</v>
      </c>
      <c r="E6230" t="n">
        <v>9</v>
      </c>
      <c r="F6230">
        <f>HYPERLINK("https://www.reddit.com/r/cancer/comments/e5lu2w/burkitts_lymphoma_news_hope_on_the_horizon/")</f>
        <v/>
      </c>
      <c r="G6230" t="inlineStr">
        <is>
          <t>2019-12-03 11:03:53</t>
        </is>
      </c>
      <c r="H6230" t="inlineStr"/>
    </row>
    <row r="6231">
      <c r="A6231" t="inlineStr">
        <is>
          <t>e5n9p4</t>
        </is>
      </c>
      <c r="B6231" t="inlineStr">
        <is>
          <t>My mother's last Christmas</t>
        </is>
      </c>
      <c r="C6231" t="inlineStr">
        <is>
          <t>Hey everyone,
My mum has been battling cancer for well over a decade now, but she's losing her battle. She has terminal breast cancer which has metastasised to her bones (mostly her spine), and is starting to attack her brain. She only has a few months left at best.
It is my goal to give her the best Christmas of her life this year, free from any worry, and I wanted to ask for ideas of what do to make everything perfect.
She's from Germany, if it helps.
I already intend to get a beautiful Christmas tree, to smother her in presents, and to cook non-stop, but do you guys have any thoughts on what I could still do?
Thank you so much for your help!
Merry Christmas to you all! Keep fighting, and fuck cancer</t>
        </is>
      </c>
      <c r="D6231" t="n">
        <v>1</v>
      </c>
      <c r="E6231" t="n">
        <v>7</v>
      </c>
      <c r="F6231">
        <f>HYPERLINK("https://www.reddit.com/r/cancer/comments/e5n9p4/my_mothers_last_christmas/")</f>
        <v/>
      </c>
      <c r="G6231" t="inlineStr">
        <is>
          <t>2019-12-03 12:40:56</t>
        </is>
      </c>
      <c r="H6231" t="inlineStr"/>
    </row>
    <row r="6232">
      <c r="A6232" t="inlineStr">
        <is>
          <t>e5nf12</t>
        </is>
      </c>
      <c r="B6232" t="inlineStr">
        <is>
          <t>My friend who died of cancer in June 2019</t>
        </is>
      </c>
      <c r="C6232" t="inlineStr">
        <is>
          <t>Hello all,
I had a friend who pass away from cancer in June 2019. He was a lovely boy. 
It's strange because when we first met each other, we couldn't stand each other and really despised each other (we met each other at secondary school). But then we started talking to each other and we shared more and more classes together and formed a friendship.
Unfortunately he first got cancer when he was 13 years old (I think) and he was off school for quite a while. But when he came back, it was great.
We shared maths class together and science too. He was so fun to be around and he always made me laugh. 
In 2015, we had all left school and we all went our own separate ways. He lived close to my house and when we saw each other we would always talk to each other and just chat about stuff. 
In April 2019, I decided to make a new Facebook account. I added my friend, but he never responded to my friend request. I did wonder why. But the cancer was back. 
Unfortunately this year in June, a day before his birthday, he had died from cancer. As I didn't have him on Facebook, I didn't know right away until someone I knew from school posted a picture of him and said RIP.
I was in complete and utter shock. I just couldn't believe it. He's gone. He's not here anymore. I burst out crying. I just couldn't stop crying.
Since he's gone, every other night I've had nightmares about him. 
Last night I had a nightmare and he was really happy in the dream, but then bust out crying saying he knew he was going to be dying soon.
In my other dreams, he has been playing football with his mates. He appears in my dreams a lot.
Right now I'm crying whilst writing this. He didn't deserve to go. Why couldn't it of been a bad person?
He survived cancer once or twice, but the second or third time, he unfortunately passed because of it.
I wish he was here. I wish he never had cancer. I just God wasn't this cruel.
Everyone who has cancer or who is fighting it, please stay strong and I really hope you survive this terrible disease.</t>
        </is>
      </c>
      <c r="D6232" t="n">
        <v>1</v>
      </c>
      <c r="E6232" t="n">
        <v>0</v>
      </c>
      <c r="F6232">
        <f>HYPERLINK("https://www.reddit.com/r/cancer/comments/e5nf12/my_friend_who_died_of_cancer_in_june_2019/")</f>
        <v/>
      </c>
      <c r="G6232" t="inlineStr">
        <is>
          <t>2019-12-03 12:51:03</t>
        </is>
      </c>
      <c r="H6232" t="inlineStr"/>
    </row>
    <row r="6233">
      <c r="A6233" t="inlineStr">
        <is>
          <t>e5nla9</t>
        </is>
      </c>
      <c r="B6233" t="inlineStr">
        <is>
          <t>Social work resources for people diagnosed with breast cancer</t>
        </is>
      </c>
      <c r="C6233" t="inlineStr">
        <is>
          <t>Hello! I am getting my masters in social work and have a stimulation tomorrow where I will be speaking with an actress who was diagnosed with stage three breast cancer and conduct an initial assessment. I’m not very familiar with oncology social work and was wondering what resources are usually available for people diagnosed with cancer. 
What health insurance will they have if they can no longer work due to their illness? 
The actress is a caregiver to her parents and children and is worried she will no longer be able to care for them. Are there resources that could help with her caregiving responsibilities? 
General financial stress paying for treatment and supporting a household as a single mother. 
Any ideas on specific questions to ask for initial assessment of this patient? 
Any info that could be pertinent on stage III breast cancer would be much appreciated!! Thank you!!</t>
        </is>
      </c>
      <c r="D6233" t="n">
        <v>1</v>
      </c>
      <c r="E6233" t="n">
        <v>2</v>
      </c>
      <c r="F6233">
        <f>HYPERLINK("https://www.reddit.com/r/cancer/comments/e5nla9/social_work_resources_for_people_diagnosed_with/")</f>
        <v/>
      </c>
      <c r="G6233" t="inlineStr">
        <is>
          <t>2019-12-03 13:02:34</t>
        </is>
      </c>
      <c r="H6233" t="inlineStr"/>
    </row>
    <row r="6234">
      <c r="A6234" t="inlineStr">
        <is>
          <t>e5nymw</t>
        </is>
      </c>
      <c r="B6234" t="inlineStr">
        <is>
          <t>How do I switch my mentality from scared child to shoulder to lean on?</t>
        </is>
      </c>
      <c r="C6234" t="inlineStr">
        <is>
          <t>3 years ago my mother was diagnosed with stage 3 breast cancer . After chemo and a mastectomy we were told she was good.. in August I began noticing a slight decline in her health, she did as well so she made an appointment with the oncologist. We just found out today that the breast cancer had metastasized and has spread to her spine. I know that this is the begining of the end. I'm not rushing her to the grave by any means but I know that this is going to be the thing that takes her. I'm terrified. However , out of the 4 of her children, I am the only one she feels she can be brutally honest with about this, the others get the sugar coated version and I get the cold hard facts. We are going tomorrow to figure out a course of action etc.. and I keep waiting for the mentality I have towards this to change.. like I really need to go from terrified child that wants to lock herself away and cry to level headed supporter. And I need it to happen quick. I know this post probably sounds crazy and maybe I'm losing it a bit. It's just I feel like my fight or flight instinct has kicked in and I need to be in fight mode..</t>
        </is>
      </c>
      <c r="D6234" t="n">
        <v>1</v>
      </c>
      <c r="E6234" t="n">
        <v>7</v>
      </c>
      <c r="F6234">
        <f>HYPERLINK("https://www.reddit.com/r/cancer/comments/e5nymw/how_do_i_switch_my_mentality_from_scared_child_to/")</f>
        <v/>
      </c>
      <c r="G6234" t="inlineStr">
        <is>
          <t>2019-12-03 13:26:08</t>
        </is>
      </c>
      <c r="H6234" t="inlineStr"/>
    </row>
    <row r="6235">
      <c r="A6235" t="inlineStr">
        <is>
          <t>e5oaq1</t>
        </is>
      </c>
      <c r="B6235" t="inlineStr">
        <is>
          <t>My daughter’s central line burst during procedure.</t>
        </is>
      </c>
      <c r="C6235" t="inlineStr">
        <is>
          <t>Title says it all! My ten month old daughter had an eye exam under anesthesia to check/treat her tumors. She was diagnosed with bilateral retinoblastoma at 3 weeks old. Today during procedure her broviac burst and they had to perform emergency surgery to remove it.  The old timey OR nurse said in all her 30 years she’s never seen that happened.  I’m currently sitting in the waiting room anxious to see her.  It’s gonna be so weird with no broviac in our lives. She still has cancer in fact two new tumors but they were treated locally and we play the wait and see game.</t>
        </is>
      </c>
      <c r="D6235" t="n">
        <v>1</v>
      </c>
      <c r="E6235" t="n">
        <v>2</v>
      </c>
      <c r="F6235">
        <f>HYPERLINK("https://www.reddit.com/r/cancer/comments/e5oaq1/my_daughters_central_line_burst_during_procedure/")</f>
        <v/>
      </c>
      <c r="G6235" t="inlineStr">
        <is>
          <t>2019-12-03 13:47:52</t>
        </is>
      </c>
      <c r="H6235" t="inlineStr"/>
    </row>
    <row r="6236">
      <c r="A6236" t="inlineStr">
        <is>
          <t>e5oe7t</t>
        </is>
      </c>
      <c r="B6236" t="inlineStr">
        <is>
          <t>Hair loss</t>
        </is>
      </c>
      <c r="C6236" t="inlineStr">
        <is>
          <t>How much do pills influence hair loss? I'm currently undergoing my Maintenance phase of treatment. I take daily mercaptopurine and methotrexate once a week.  Will hair grow normally during this period or will normal hair growth resume after chemotherapy is finalized completely; pills included?</t>
        </is>
      </c>
      <c r="D6236" t="n">
        <v>1</v>
      </c>
      <c r="E6236" t="n">
        <v>2</v>
      </c>
      <c r="F6236">
        <f>HYPERLINK("https://www.reddit.com/r/cancer/comments/e5oe7t/hair_loss/")</f>
        <v/>
      </c>
      <c r="G6236" t="inlineStr">
        <is>
          <t>2019-12-03 13:54:15</t>
        </is>
      </c>
      <c r="H6236" t="inlineStr"/>
    </row>
    <row r="6237">
      <c r="A6237" t="inlineStr">
        <is>
          <t>e5onah</t>
        </is>
      </c>
      <c r="B6237" t="inlineStr">
        <is>
          <t>Anyone else having constant headaches from treatment?</t>
        </is>
      </c>
      <c r="C6237" t="inlineStr">
        <is>
          <t>Hello everyone, I was diagnosed with stage 3 triple negative breast cancer a few months ago and have had a double radical mastectomy (1 lymph node out of 22 was infected) and am now doing TC chemo along with neulasta. For the last two weeks I have been having constant headaches (mainly focused on the right temple) and am terrified that it might be a brain tumor. My oncologist ordered an MRI which I will do as soon as my insurance approves it but I wanted to know if anyone else is experiencing chronic headaches from chemo/neulasta? After the second neulasta shot I developed a new symptom (aching sore legs) and I’m praying that these headaches are just from the neulasta too. I’m looking for some reassurance that it could be from treatments and not a tumor as my oncologist said he’s never seen a patient suffer chronic headaches from neulasta. Thanks in advance</t>
        </is>
      </c>
      <c r="D6237" t="n">
        <v>1</v>
      </c>
      <c r="E6237" t="n">
        <v>5</v>
      </c>
      <c r="F6237">
        <f>HYPERLINK("https://www.reddit.com/r/cancer/comments/e5onah/anyone_else_having_constant_headaches_from/")</f>
        <v/>
      </c>
      <c r="G6237" t="inlineStr">
        <is>
          <t>2019-12-03 14:11:06</t>
        </is>
      </c>
      <c r="H6237" t="inlineStr"/>
    </row>
    <row r="6238">
      <c r="A6238" t="inlineStr">
        <is>
          <t>e5ouvs</t>
        </is>
      </c>
      <c r="B6238" t="inlineStr">
        <is>
          <t>Cancer after Whipple surgery?</t>
        </is>
      </c>
      <c r="C6238" t="inlineStr">
        <is>
          <t>Hi all, my dad had been diagnosed with pancreatic cancer months ago, and thankfully he underwent the Whipple surgery successfully. He also had chemotherapy sessions for 6 months after; however, he was diagnosed today to still have a tumor and it appears to be growing fast. I would appreciate any info on what this could mean or anyone who has experienced this or known someone to experience it.</t>
        </is>
      </c>
      <c r="D6238" t="n">
        <v>1</v>
      </c>
      <c r="E6238" t="n">
        <v>4</v>
      </c>
      <c r="F6238">
        <f>HYPERLINK("https://www.reddit.com/r/cancer/comments/e5ouvs/cancer_after_whipple_surgery/")</f>
        <v/>
      </c>
      <c r="G6238" t="inlineStr">
        <is>
          <t>2019-12-03 14:25:18</t>
        </is>
      </c>
      <c r="H6238" t="inlineStr"/>
    </row>
    <row r="6239">
      <c r="A6239" t="inlineStr">
        <is>
          <t>e5rxw3</t>
        </is>
      </c>
      <c r="B6239" t="inlineStr">
        <is>
          <t>72yo father diagnosed with prostate cancer.</t>
        </is>
      </c>
      <c r="C6239" t="inlineStr">
        <is>
          <t>His father died if prostate cancer at 72. I know medical science has come a long way since my grandfather was diagnosed, but I'm still terrified that this disease is going to take my father's life too. I'm trying to stay positive. They caught it early. If nothing shows up on the bone scan they will move forward with an operation to remove his prostate. I'm told that this is a very survivable cancer. 
I'm asking Santa for Good news this year.</t>
        </is>
      </c>
      <c r="D6239" t="n">
        <v>1</v>
      </c>
      <c r="E6239" t="n">
        <v>3</v>
      </c>
      <c r="F6239">
        <f>HYPERLINK("https://www.reddit.com/r/cancer/comments/e5rxw3/72yo_father_diagnosed_with_prostate_cancer/")</f>
        <v/>
      </c>
      <c r="G6239" t="inlineStr">
        <is>
          <t>2019-12-03 18:01:39</t>
        </is>
      </c>
      <c r="H6239" t="inlineStr"/>
    </row>
    <row r="6240">
      <c r="A6240" t="inlineStr">
        <is>
          <t>e5s7ff</t>
        </is>
      </c>
      <c r="B6240" t="inlineStr">
        <is>
          <t>Need help finding resources for assisted living facilities</t>
        </is>
      </c>
      <c r="C6240" t="inlineStr">
        <is>
          <t>I have a friend who has glioblastoma and is paralyzed partially. Homecare is not an option for him for we’re looking at facilities for him. 
We checked medicare, doctor referrals, and some US news list. We pocked out ones that were familiar with glioblastoma but they were not good facilities for the person for one reason or another. 
It’s your basic public facility, Medicaid/Medicare, but the constant people in/out, his shared room, the issues the other people are dealing with... there was someone in the next room who has limited verbal skills and just moaned constantly - not horrible, except he had a fecal “episode” and the staff had a hard time containing it. The guy can’t be around that with a compromised immune system on chemo/radiation. 
I just need a way to find a list of places I can look at, in the ATL, Georgia area beyond the websites I’ve looked for referrals, so i can cross teference.</t>
        </is>
      </c>
      <c r="D6240" t="n">
        <v>1</v>
      </c>
      <c r="E6240" t="n">
        <v>1</v>
      </c>
      <c r="F6240">
        <f>HYPERLINK("https://www.reddit.com/r/cancer/comments/e5s7ff/need_help_finding_resources_for_assisted_living/")</f>
        <v/>
      </c>
      <c r="G6240" t="inlineStr">
        <is>
          <t>2019-12-03 18:22:12</t>
        </is>
      </c>
      <c r="H6240" t="inlineStr"/>
    </row>
    <row r="6241">
      <c r="A6241" t="inlineStr">
        <is>
          <t>e5t9oj</t>
        </is>
      </c>
      <c r="B6241" t="inlineStr">
        <is>
          <t>I’m a childhood leukemia survivor. How can I give back?</t>
        </is>
      </c>
      <c r="C6241" t="inlineStr">
        <is>
          <t>Back in the 80’s when I was three years old, I was diagnosed with leukemia. I had it for four years. I don’t remember a lot of it, and all of my memories are good. I don’t remember feeling sick or any painful treatment. My parents, on the other hand, have a very different story. It was so hard on them. To me, they are the real heroes. They made all the hard sacrifices. 
Now, being a parent myself, I want to see if there is a way I can give back. I don’t really know what I can do, but I feel like maybe I can share my experience as a way to give kids and their parents hope. Tell me how you feel about this. I’m not sure if it would be helpful, or just come across as me saying “look at me!”
My story, in a nutshell, is that I survived and grew into a normal, capable person. I have a solid career, and a double black diamond snowboarder, have traveled the world to climb mountains, and am getting into mountaineering. I’m wondering if stories like mine give hope in a meaningful and helpful way. I would love to find, curate, and share more stories. I don’t exactly know how yet. Maybe it would be a blog, maybe a book with photos of people with cancer or who survived doing great things. 
I don’t know, really. I guess I’m just wondering at this stage how helpful that sort of thing is for people who are going through the hard times.</t>
        </is>
      </c>
      <c r="D6241" t="n">
        <v>1</v>
      </c>
      <c r="E6241" t="n">
        <v>10</v>
      </c>
      <c r="F6241">
        <f>HYPERLINK("https://www.reddit.com/r/cancer/comments/e5t9oj/im_a_childhood_leukemia_survivor_how_can_i_give/")</f>
        <v/>
      </c>
      <c r="G6241" t="inlineStr">
        <is>
          <t>2019-12-03 19:45:05</t>
        </is>
      </c>
      <c r="H6241" t="inlineStr"/>
    </row>
    <row r="6242">
      <c r="A6242" t="inlineStr">
        <is>
          <t>e5txi6</t>
        </is>
      </c>
      <c r="B6242" t="inlineStr">
        <is>
          <t>Dad has Diffuse B Cell Lymphoma</t>
        </is>
      </c>
      <c r="C6242" t="inlineStr">
        <is>
          <t>After abruptly losing my mom to Stage 4 Pancreatic Cancer early last year, I never thought I'd be back on this sub again, especially so soon.   
My dad informed us on Thanksgiving that he has Diffuse B Cell Lymphoma. He has a suspicious spot in his mouth that his dentist found &amp;amp; referred him out for a biopsy. It tested positive for Diffuse B Cell Lymphoma. I've seen the pathology report &amp;amp; it's dated over a month ago.      
He has not followed up with an oncologist as suggested &amp;amp; is choosing to try to cure it himself with "alternative" medicines. So far he's been using Vitamin C infusions &amp;amp; CBD/THC oil. We have no idea the extent of his cancer. We do know there is a mass in the sinuses &amp;amp; it's coming out in the roof of his mouth.    
He became severely allergic to mosquito bites about 3 years ago. I've been saying that something isn't right. I'm thinking hes been sick for about that long.         
I'm devastated. My mom was too far gone by the time she was diagnosed &amp;amp; wanted to try chemotherapy so badly, but her body couldn't handle it.      
I've done research &amp;amp; this cancer just seems so uncertain to me. Will he be ok? There's no way he can cure this himself, right? I want to tell him he's crazy, but he's not the kind of man that takes well to people telling him what to do.    
I'm afraid he's going to change his mind when it's too late. My birthday is tomorrow &amp;amp; I feel like I'm losing my only parent I have. Everything sucks right now.</t>
        </is>
      </c>
      <c r="D6242" t="n">
        <v>1</v>
      </c>
      <c r="E6242" t="n">
        <v>5</v>
      </c>
      <c r="F6242">
        <f>HYPERLINK("https://www.reddit.com/r/cancer/comments/e5txi6/dad_has_diffuse_b_cell_lymphoma/")</f>
        <v/>
      </c>
      <c r="G6242" t="inlineStr">
        <is>
          <t>2019-12-03 20:40:43</t>
        </is>
      </c>
      <c r="H6242" t="inlineStr"/>
    </row>
    <row r="6243">
      <c r="A6243" t="inlineStr">
        <is>
          <t>e5u0c6</t>
        </is>
      </c>
      <c r="B6243" t="inlineStr">
        <is>
          <t>Best friend died today</t>
        </is>
      </c>
      <c r="C6243" t="inlineStr">
        <is>
          <t>Long time lurker. My best friend died today. This sub really helped me understand her,and I like to think be there for her better than I would have been able to otherwise.
Thank you all.
And fuck cancer all to Hell.</t>
        </is>
      </c>
      <c r="D6243" t="n">
        <v>1</v>
      </c>
      <c r="E6243" t="n">
        <v>4</v>
      </c>
      <c r="F6243">
        <f>HYPERLINK("https://www.reddit.com/r/cancer/comments/e5u0c6/best_friend_died_today/")</f>
        <v/>
      </c>
      <c r="G6243" t="inlineStr">
        <is>
          <t>2019-12-03 20:47:28</t>
        </is>
      </c>
      <c r="H6243" t="inlineStr"/>
    </row>
    <row r="6244">
      <c r="A6244" t="inlineStr">
        <is>
          <t>e5uth3</t>
        </is>
      </c>
      <c r="B6244" t="inlineStr">
        <is>
          <t>Dating with a recent cancer diagnosis</t>
        </is>
      </c>
      <c r="C6244" t="inlineStr">
        <is>
          <t>So, yea, I’ve recently been diagnosed with non hodgkins mantle cell lymphoma, in fact my second round of Rituxan/Treanda is next Monday and Tuesday.  Right after diagnosis, the woman I was dating decided to split, and yes, I’m still angry and upset at the situation.  
I’m conflicted, I’d like to start dating again but I don’t know how to broach the “so you’ve got to know I’ve got cancer and going through chemo” conversation.  As of now, I still look as normal as I ever have and the only side effect I’ve had so far is fatigue, mostly the week following chemo, however I expect it to get more intense the further into treatment I go.
I feel like I’d putting them into an awkward situation, I’m not looking for a caregiver or sympathy, I just want to feel normal again.  
I don’t even know why I’m asking strangers on the internet, maybe it’s part rant, part looking for advice, part looking for conversation.</t>
        </is>
      </c>
      <c r="D6244" t="n">
        <v>1</v>
      </c>
      <c r="E6244" t="n">
        <v>3</v>
      </c>
      <c r="F6244">
        <f>HYPERLINK("https://www.reddit.com/r/cancer/comments/e5uth3/dating_with_a_recent_cancer_diagnosis/")</f>
        <v/>
      </c>
      <c r="G6244" t="inlineStr">
        <is>
          <t>2019-12-03 22:00:24</t>
        </is>
      </c>
      <c r="H6244" t="inlineStr"/>
    </row>
    <row r="6245">
      <c r="A6245" t="inlineStr">
        <is>
          <t>e5v0dy</t>
        </is>
      </c>
      <c r="B6245" t="inlineStr">
        <is>
          <t>My 24 year old sister with stage 4 ovarian cancer is refusing treatment. How do I convince her to get it?</t>
        </is>
      </c>
      <c r="C6245" t="inlineStr">
        <is>
          <t>She quit her job and is living in an apartment by herself. I’m 17 btw. I know she attempted to end her life when she was 16 and almost died. She has depression. I’m worried she’s refusing treatment due to depression.
Physician assisted death is legal in our state. I had to borrow her phone for something, and noticed she researched it extensively. She researched if you can get it if you have depression. She also researched other countries you can get it in.</t>
        </is>
      </c>
      <c r="D6245" t="n">
        <v>1</v>
      </c>
      <c r="E6245" t="n">
        <v>3</v>
      </c>
      <c r="F6245">
        <f>HYPERLINK("https://www.reddit.com/r/cancer/comments/e5v0dy/my_24_year_old_sister_with_stage_4_ovarian_cancer/")</f>
        <v/>
      </c>
      <c r="G6245" t="inlineStr">
        <is>
          <t>2019-12-03 22:18:24</t>
        </is>
      </c>
      <c r="H6245" t="inlineStr"/>
    </row>
    <row r="6246">
      <c r="A6246" t="inlineStr">
        <is>
          <t>e5vv24</t>
        </is>
      </c>
      <c r="B6246" t="inlineStr">
        <is>
          <t>Sweet Lady Cancer</t>
        </is>
      </c>
      <c r="C6246" t="inlineStr">
        <is>
          <t>Sweet lady cancer,
how do you swell within my soul?
Sweetness; lady cancer
let's make a deal before control.
Sweet lady cancer,
you saw my name and took a vow,
Sweet lady cancer,
I saw the doctor, where are you now?
Sweet lady cancer,
you're lying low and hiding in fear,
Sweet lady cancer,
I relish my time while you draw near,
Sweet lady cancer,
you aren't as tough as you once thought.
Sweetness; lady cancer,
you cannot take what you have not got.</t>
        </is>
      </c>
      <c r="D6246" t="n">
        <v>1</v>
      </c>
      <c r="E6246" t="n">
        <v>1</v>
      </c>
      <c r="F6246">
        <f>HYPERLINK("https://www.reddit.com/r/cancer/comments/e5vv24/sweet_lady_cancer/")</f>
        <v/>
      </c>
      <c r="G6246" t="inlineStr">
        <is>
          <t>2019-12-03 23:44:57</t>
        </is>
      </c>
      <c r="H6246" t="inlineStr"/>
    </row>
    <row r="6247">
      <c r="A6247" t="inlineStr">
        <is>
          <t>e5w5ie</t>
        </is>
      </c>
      <c r="B6247" t="inlineStr">
        <is>
          <t>Dating After Cancer</t>
        </is>
      </c>
      <c r="C6247" t="inlineStr">
        <is>
          <t>Last year I was diagnosed with pancreatic cancer. I had whipple surgery and that removed the stage 1 tumor. Now I have a very long scar from my sternum to my navel. I also have small scars from drains. I've lost a lot of weight so my skin has started to sag quite badly for a 37 year old woman. I feel like cancer has aged me.   
I left my boyfriend of 11 years because cancer broke us. We grew apart and that's okay. Now that I'm single and ready to move forward, I've started dating. I have no idea how to introduce the medical side of me to a potential partner. Do you tell them on the first date about your struggle with cancer or do you wait? I went on a second date with a guy tonight and I told him about the cancer stuff and that I have to take insulin shots and I get a lot of blood labs drawn, IV's, etc. He said he was deathly afraid of needles and said if he ever woke up in a hospital with an IV in he would freak out and take it out! Well, I take insulin shots up to 4 times a day everyday. He had been texting me regularly up until this point. I don't think I'm gonna hear back from him and that's really okay with me.  
I matched with a guy on Tinder afterward and we were talking about alcohol so I told him about the time I got really drunk on the night of my 1 year whipple anniversary. Had a great time. I guess it was a way to slip it into the conversation? That sparked the conversation and found out he had pancreatitis so he kinda knows what it feels like to have a very angry pancreas. He was very flirty despite that.   
How about you? How do you introduce the cancer topic to a potential partner?</t>
        </is>
      </c>
      <c r="D6247" t="n">
        <v>1</v>
      </c>
      <c r="E6247" t="n">
        <v>5</v>
      </c>
      <c r="F6247">
        <f>HYPERLINK("https://www.reddit.com/r/cancer/comments/e5w5ie/dating_after_cancer/")</f>
        <v/>
      </c>
      <c r="G6247" t="inlineStr">
        <is>
          <t>2019-12-04 00:17:00</t>
        </is>
      </c>
      <c r="H6247" t="inlineStr"/>
    </row>
    <row r="6248">
      <c r="A6248" t="inlineStr">
        <is>
          <t>e5wokd</t>
        </is>
      </c>
      <c r="B6248" t="inlineStr">
        <is>
          <t>Scared I have colon cancer at 24</t>
        </is>
      </c>
      <c r="C6248" t="inlineStr">
        <is>
          <t xml:space="preserve"> there.
Im female and 24 years of age. This post will be lengthy but please do bear with me. I have been in absolute turmoil with fear and stress over this.
This started at the end of september. I was having back pain shooting through my left flank, just below my ribs.  It felt really deep and sometimes went through to my abdomen. It came and went in a few weeks. I went to the doctors and after googling I'd already scared myself with pancreatic cancer. The doctor gave me a speech how pancreatic cancer is likely to kill anyone who gets it so dont bother worrying. I was in absolute pieces and crying when she said this. I lost my appetite that day COMPLETELY. I could barely eat. My back pain started going further up my back. My stools went yellow.
Prior to this I had lost weight. I wasnt working a year ago. I snacked all day due to depression. I was 9 stone 6. I went down to 9 stone in 6 months after starting work. Then I was 8 stone 10 at the beginning of september. My partner says no wonder because I used to snack all day, never do anything and eat takeaways and I was doing all that less.
My appetite was now at a point where I couldnt eat. I felt heavy pain burning in my stomach, chest and back. I was dry heaving every so often. My stool one day looked yellow, mucusy and had bits of blood laced through it.  My doctor said its no wonder because I had diarrhea the day before and I had stressed myself out so much. For 2 days I had tiny dots/strings of what seemed to be blood in my stool and then it stopped completely. No more blood in my stool since. I had a stool test a few weeks before the bloody stool that was negative.
i went for my abdominal ultrasound and all was fine. I was told I had an ovarian cyst and PCOS but I was ok. Left and had a big fry up breakfast. I felt OK. I couldnt eat as much and dinner was a bit of a challenge too but I went home, but the sonographer said my spleen was enlarged.and I got a 2 week referral to haematology. My doctor scared me so much telling me they were checking for blood cancers.
My neck lymph nodes I have now noticed are palpable but most are moveable. My appetite disappears again. Haematologist says my spleen isnt enlarged and does a neck ultrasound and discharges me. Im worried now I gave off the impression my anxiety caused all my symptoms.
I have had blood tests, ultrasounds, stool and urine now but I get pains in my sides, the back pain radiates to the right and sometimes my abdomen and sometimes poking pains in my abdomen.
eating is such a chore. Everyday I have to make myself. My tummy feels a BIT hungry but I dont want to eat. I dont find anything tastes good. Im so scared I might have colon cancer and have seen people with barey any symptoms end up having stage 4. My doctors dismiss me now because Ive had so many tests. My weight went to 8 stone 3 at its lowest but is around 8 stone 9 now because a few weeks ago I ate a bit more. I was eating about twice a day at most. Now eating is a huge struggle again and Im so scared cancer is the reason but I also know I did have anxiety and then it happened.
sometimes when laying on my back i get pains in my belly around my belly button like prodding pains. And i have pains in the sides of my abdomen. Im scared this is tumours that have spread around my colon.
Since I started worrying about this I feel the need to poop more in the day and my tummy cramps. My stools have a weird vinegar smell to them.
I dont know what to do. Im so frightened.</t>
        </is>
      </c>
      <c r="D6248" t="n">
        <v>1</v>
      </c>
      <c r="E6248" t="n">
        <v>11</v>
      </c>
      <c r="F6248">
        <f>HYPERLINK("https://www.reddit.com/r/cancer/comments/e5wokd/scared_i_have_colon_cancer_at_24/")</f>
        <v/>
      </c>
      <c r="G6248" t="inlineStr">
        <is>
          <t>2019-12-04 01:18:51</t>
        </is>
      </c>
      <c r="H6248" t="inlineStr"/>
    </row>
    <row r="6249">
      <c r="A6249" t="inlineStr">
        <is>
          <t>e5xxpl</t>
        </is>
      </c>
      <c r="B6249" t="inlineStr">
        <is>
          <t>If you don't laugh you cry</t>
        </is>
      </c>
      <c r="C6249" t="inlineStr">
        <is>
          <t>I started chemo yesterday all 105 pounds of me. It went well, broken toe and all. I am on an 80% dose of FOLFOX. 
But this go-round I have my ass bag Pierre Le Poop Sac sitting on my belly.
I am a little confused about how to manage my ass bag and my fanny pack with my chemo baby bottle in it. They kept banging into each other. Cancer Problems.
But I continue to go about my day. Everything good.
By the end of the afternoon, the bouncing of my fanny pack rips the bag off the flange of my ass bag. Fuck me. And not during a period of "low activity".
Off home to take a shower to remove the remnants of my ass bag while attached to my baby bottle.
And now I can't tell if my ass bag is full of poop because the weight of my bottle confuses me when I lie down at night. And there is nothing worse than rolling over on a full shit bag and exploding it.
And all the freaking clothes I have to wear to protect against neuropathy. Canadian Winter and Oxaliplatin, good times. :)
Fuck Cancer</t>
        </is>
      </c>
      <c r="D6249" t="n">
        <v>1</v>
      </c>
      <c r="E6249" t="n">
        <v>24</v>
      </c>
      <c r="F6249">
        <f>HYPERLINK("https://www.reddit.com/r/cancer/comments/e5xxpl/if_you_dont_laugh_you_cry/")</f>
        <v/>
      </c>
      <c r="G6249" t="inlineStr">
        <is>
          <t>2019-12-04 03:34:22</t>
        </is>
      </c>
      <c r="H6249" t="inlineStr"/>
    </row>
    <row r="6250">
      <c r="A6250" t="inlineStr">
        <is>
          <t>e62a93</t>
        </is>
      </c>
      <c r="B6250" t="inlineStr">
        <is>
          <t>It’s bye-bye boobie day</t>
        </is>
      </c>
      <c r="C6250" t="inlineStr">
        <is>
          <t>Long time lurker. I (28F) am in treatment for stage III IDC ER/PR+. Was diagnosed in January 2019 with a massive 11x11cm tumor in my breast with internal mammary and axillary lymph node Mets. Nothing in my genetics, no BRCA. Got some experimental drugs with my chemo and shrank the tumor to just DCIS in my breast. Having unilateral mastectomy today after failed lumpectomy.
I feel like I’ve exhausted all options and am comforted by the fact that I am not the only person who’s gone through this before. Feeling a bit of a weird detachment to my problem breast today. I think in the end it’s going to look just fine, maybe even better than it has these last few months healing from the lumpectomy. I think I’m doing ok.
Anyway, thought I’d share my story today because... idk it’s a big day for me. I’d love to hear from and connect with more young women with breast cancer. And maybe whoever is reading this identifies. I know I’ve identified with a lot of posts on here and it’s really helped me cope.
So... to all my fellow redditors living with cancer... I hope you have a good day!</t>
        </is>
      </c>
      <c r="D6250" t="n">
        <v>1</v>
      </c>
      <c r="E6250" t="n">
        <v>24</v>
      </c>
      <c r="F6250">
        <f>HYPERLINK("https://www.reddit.com/r/cancer/comments/e62a93/its_byebye_boobie_day/")</f>
        <v/>
      </c>
      <c r="G6250" t="inlineStr">
        <is>
          <t>2019-12-04 09:09:02</t>
        </is>
      </c>
      <c r="H6250" t="inlineStr"/>
    </row>
    <row r="6251">
      <c r="A6251" t="inlineStr">
        <is>
          <t>e62w82</t>
        </is>
      </c>
      <c r="B6251" t="inlineStr">
        <is>
          <t>Is it normal to feel that way?</t>
        </is>
      </c>
      <c r="C6251" t="inlineStr">
        <is>
          <t>I was just discharged from hospital this week after staying there for a month. 
I don’t know why, but after being really happy and excited about it, it only feels weird. Like I don’t belong here. Even though I experienced a lot of bitter things in hospital, I kind of miss the conversations with the nurses and fellow patients, playing card games with them and the routine in general. Is it normal to feel that way?</t>
        </is>
      </c>
      <c r="D6251" t="n">
        <v>1</v>
      </c>
      <c r="E6251" t="n">
        <v>7</v>
      </c>
      <c r="F6251">
        <f>HYPERLINK("https://www.reddit.com/r/cancer/comments/e62w82/is_it_normal_to_feel_that_way/")</f>
        <v/>
      </c>
      <c r="G6251" t="inlineStr">
        <is>
          <t>2019-12-04 09:50:51</t>
        </is>
      </c>
      <c r="H6251" t="inlineStr"/>
    </row>
    <row r="6252">
      <c r="A6252" t="inlineStr">
        <is>
          <t>e63d7x</t>
        </is>
      </c>
      <c r="B6252" t="inlineStr">
        <is>
          <t>should see another doctor during treatment?</t>
        </is>
      </c>
      <c r="C6252" t="inlineStr">
        <is>
          <t>stomach caner 4 stage, doctor said not curable, now under 3rd chemo, going to do first scan next month. at this moment should go to another hospital looking for another opinion?</t>
        </is>
      </c>
      <c r="D6252" t="n">
        <v>1</v>
      </c>
      <c r="E6252" t="n">
        <v>3</v>
      </c>
      <c r="F6252">
        <f>HYPERLINK("https://www.reddit.com/r/cancer/comments/e63d7x/should_see_another_doctor_during_treatment/")</f>
        <v/>
      </c>
      <c r="G6252" t="inlineStr">
        <is>
          <t>2019-12-04 10:22:34</t>
        </is>
      </c>
      <c r="H6252" t="inlineStr"/>
    </row>
    <row r="6253">
      <c r="A6253" t="inlineStr">
        <is>
          <t>e63zbv</t>
        </is>
      </c>
      <c r="B6253" t="inlineStr">
        <is>
          <t>Ultrasound (Sonography) – Treatments of Cancer</t>
        </is>
      </c>
      <c r="C6253" t="inlineStr">
        <is>
          <t xml:space="preserve"> Commitment
The sound waves used in the ultrasound are harmless to the patient, a radiation exposure does not occur. However, the ultrasonic waves do not reach deeper organs. In order to investigate organs such as the [prostate](http://www.treatmentsofcancer.com/tag/prostate), fallopian tube or uterus with ultrasound waves, instruments have been developed that are inserted into the natural bodily openings (eg mouth, anus, vagina) and provide images from the interior of the organs (endoscopic ultrasound of the bronchi Endobronchial ultrasound, EBUS).</t>
        </is>
      </c>
      <c r="D6253" t="n">
        <v>1</v>
      </c>
      <c r="E6253" t="n">
        <v>0</v>
      </c>
      <c r="F6253">
        <f>HYPERLINK("https://www.reddit.com/r/cancer/comments/e63zbv/ultrasound_sonography_treatments_of_cancer/")</f>
        <v/>
      </c>
      <c r="G6253" t="inlineStr">
        <is>
          <t>2019-12-04 11:02:39</t>
        </is>
      </c>
      <c r="H6253" t="inlineStr"/>
    </row>
    <row r="6254">
      <c r="A6254" t="inlineStr">
        <is>
          <t>e64376</t>
        </is>
      </c>
      <c r="B6254" t="inlineStr">
        <is>
          <t>Just need some support</t>
        </is>
      </c>
      <c r="C6254" t="inlineStr">
        <is>
          <t>I haven't been officially diagnosed, but I've had a biopsy and bloodwork/CA125 and I'm waiting to find out if a large mass in my uterus is cancer. This is my second go round with this. In September I had a gyno who did all sorts of painful procedures and surgery to me to help end my constant severe anemia and extremely heavy and excessively long menstrual bleeding. Nothing worked and if anything, made it worse. I sought a second opinion and my new gynocologist is baffled at what was done to me, as I have a large mass that didn't just appear overnight (I had a D&amp;amp;C in September) and he has no idea what it is but mentioned Endometrial Cancer because of my symptoms.
I don't really have a support system. My parents are very narcissistic so they are making it all about them on social media. Most of my friends are men who don't really want to discuss my lady parts (haha). I'm a wife and mom of 3 so I'm so worried and scared. My understanding is this is a very treatable cancer via a complete hysterectomy, but I'm going through a whole range of emotions while I sit and twiddle my thumbs and wait for results to come back. It's torturous. I'm just looking for some support from people who understand.</t>
        </is>
      </c>
      <c r="D6254" t="n">
        <v>1</v>
      </c>
      <c r="E6254" t="n">
        <v>12</v>
      </c>
      <c r="F6254">
        <f>HYPERLINK("https://www.reddit.com/r/cancer/comments/e64376/just_need_some_support/")</f>
        <v/>
      </c>
      <c r="G6254" t="inlineStr">
        <is>
          <t>2019-12-04 11:09:39</t>
        </is>
      </c>
      <c r="H6254" t="inlineStr"/>
    </row>
    <row r="6255">
      <c r="A6255" t="inlineStr">
        <is>
          <t>e65jme</t>
        </is>
      </c>
      <c r="B6255" t="inlineStr">
        <is>
          <t>How do I help my father live the best possible life in whatever time he has left with with Stage 4 cancer, and how do I help my Mom, his primary caretaker?</t>
        </is>
      </c>
      <c r="C6255" t="inlineStr">
        <is>
          <t>I recently found out that my father has been diagnosed with Stage 4 metastatic small call and metastatic neuroendocrine cancer. 
I do not live in the same country as my parents, but I'm going home for 3 weeks soon, and then I will take unpaid vacation to be with my family, as much as I can. The doctor told me my father has about 3 months when I spoke to him 2 weeks ago - I still don't completely understand or believe those words - I had found out my father was sick because my Mom started crying on the phone one day, but even after that, my brother and Mom lied to me about his condition (saying things like "he has water in his lungs, it is not serious, we're getting the needed medical care, don't worry.."), and then all of a sudden 3 months?  
Now, I just want to do the best possible - to make my Dad as happy as I can in whatever time he has, help my Mom - age has suddenly started showing on her face in the last few months - I didn't even know what she was going through, help my brother, he's only 23 and has had to deal with everything at home while I moved out for my Masters and got a job in a foreign country. I would just drop this all and go home but I have student loans and I know this kind of financial pressure may do more harm than good.
What can I do to help my family?</t>
        </is>
      </c>
      <c r="D6255" t="n">
        <v>1</v>
      </c>
      <c r="E6255" t="n">
        <v>2</v>
      </c>
      <c r="F6255">
        <f>HYPERLINK("https://www.reddit.com/r/cancer/comments/e65jme/how_do_i_help_my_father_live_the_best_possible/")</f>
        <v/>
      </c>
      <c r="G6255" t="inlineStr">
        <is>
          <t>2019-12-04 12:43:14</t>
        </is>
      </c>
      <c r="H6255" t="inlineStr"/>
    </row>
    <row r="6256">
      <c r="A6256" t="inlineStr">
        <is>
          <t>e65ns0</t>
        </is>
      </c>
      <c r="B6256" t="inlineStr">
        <is>
          <t>How should it feel loosing someone?</t>
        </is>
      </c>
      <c r="C6256" t="inlineStr">
        <is>
          <t>My dad died last year in June, after being diagnosed with bowel cancer in February and given 9-12 months, he died in June.
The battle, whilst short, seemed surreal like we (my family) knew deep down that he wouldn't make it but we couldn't help but think he'd fight it bear and we'd all live happily ever after.
However, he deteriorated quick, at one point becoming a different person, drinking the plasma from his growth.
The hardest thing I've ever heard was my dad, whilst crying (he never cried) saying he didn't want to die. I'll never forget how that sounded ad how much it hurt my chest.
A year later, I don't feel like I've grieved, or even that I need to grieve. I miss my dad immensely and, there are odd occasions when I feel like I could cry but, I don't.
I'm scared that I'm just handling it all too well, that I should be crying daily. Like one day, it'll catch up with me and hit me like a train.
Truth is, I don't know how it should feel and I'm scared that I'm ha sling it differently to how I've seen other people ha dle death.</t>
        </is>
      </c>
      <c r="D6256" t="n">
        <v>1</v>
      </c>
      <c r="E6256" t="n">
        <v>4</v>
      </c>
      <c r="F6256">
        <f>HYPERLINK("https://www.reddit.com/r/cancer/comments/e65ns0/how_should_it_feel_loosing_someone/")</f>
        <v/>
      </c>
      <c r="G6256" t="inlineStr">
        <is>
          <t>2019-12-04 12:50:34</t>
        </is>
      </c>
      <c r="H6256" t="inlineStr"/>
    </row>
    <row r="6257">
      <c r="A6257" t="inlineStr">
        <is>
          <t>e65snz</t>
        </is>
      </c>
      <c r="B6257" t="inlineStr">
        <is>
          <t>My dad starts chemo soon</t>
        </is>
      </c>
      <c r="C6257" t="inlineStr">
        <is>
          <t>I'm sorry, I have no idea what I really want to come of posting. I guess I just need to yell into the void.
My dad is starting chemo for his metastatic prostate cancer next week. I expressed to him today that I'd very much like to go to at least his first treatment, or maybe the class where they'll explain everything to him. He asked me not to. 
While I totally understand and respect that, I'm also a little big scared that he'll downplay his condition. I'm terrified that one day the phone will ring, and he'll be gone, and I won't have been able to take in all the time I could have with him. 
And I'm sitting at my desk crying because I want to buy him concert tickets for Christmas. But the show is in April, and what if he's not around to go?</t>
        </is>
      </c>
      <c r="D6257" t="n">
        <v>1</v>
      </c>
      <c r="E6257" t="n">
        <v>0</v>
      </c>
      <c r="F6257">
        <f>HYPERLINK("https://www.reddit.com/r/cancer/comments/e65snz/my_dad_starts_chemo_soon/")</f>
        <v/>
      </c>
      <c r="G6257" t="inlineStr">
        <is>
          <t>2019-12-04 12:59:18</t>
        </is>
      </c>
      <c r="H6257" t="inlineStr"/>
    </row>
    <row r="6258">
      <c r="A6258" t="inlineStr">
        <is>
          <t>e66lfc</t>
        </is>
      </c>
      <c r="B6258" t="inlineStr">
        <is>
          <t>Do Ascites always mean fatality in ovarian cancer?</t>
        </is>
      </c>
      <c r="C6258" t="inlineStr">
        <is>
          <t>I’m sorry I can’t write more, I have to go in to work in a minute.
My mom (64) just got results back from a CT scan and the doctors are saying it’s likely ovarian cancer. She’s got fluid in her stomach and has been having pain from the past week. 
She had been coughing with walking pneumonia for the past three weeks - can ovarian cysts burst because of that and cause similar symptoms? 
I know that’s not enough to go on but I just don’t know what to do, look up, or think. 
Thank you</t>
        </is>
      </c>
      <c r="D6258" t="n">
        <v>1</v>
      </c>
      <c r="E6258" t="n">
        <v>0</v>
      </c>
      <c r="F6258">
        <f>HYPERLINK("https://www.reddit.com/r/cancer/comments/e66lfc/do_ascites_always_mean_fatality_in_ovarian_cancer/")</f>
        <v/>
      </c>
      <c r="G6258" t="inlineStr">
        <is>
          <t>2019-12-04 13:50:48</t>
        </is>
      </c>
      <c r="H6258" t="inlineStr"/>
    </row>
    <row r="6259">
      <c r="A6259" t="inlineStr">
        <is>
          <t>e66yjo</t>
        </is>
      </c>
      <c r="B6259" t="inlineStr">
        <is>
          <t>Dad diagnosed</t>
        </is>
      </c>
      <c r="C6259" t="inlineStr">
        <is>
          <t>Two weeks ago, my dad was admitted to the hospital thinking he would just get his gall bladder removed and go home soon. Then the doctors found out that he has a tumor in his bile duct. 
He had the ERCP procedure done to put a metal stint and drainage tube in and let the backed up bile leave his body. The doctor said that he believed it was cancer but we had to wait until the biopsy results came back. He was released from the hospital on thanksgiving day and was happy to be home. Today we found out the biopsy results and he has been diagnosed with stage two pancreatic ductal adenocarcinoma. The surgeon has told us that a Whipple procedure will be done soon after chemo. The life expectancy isn’t extremely long even if the procedure is a success . I’m scared that things won’t work out in the end.
These past two weeks have been crazy and My mom and I do not know how to deal with everything that’s been going on. She’s been emotional but tries not to let herself fall apart around me or my dad. I tend to keep things in and not show them but on the inside I’m absolutely terrified. I’m 17 and scared to lose my dad and go through all of this at such a young age. My dad is already telling me to be there for my mom and take care of her. I don’t know what to do and feel like I’m going to explode one day. I try not to think about it but it’s constantly in my head. I can’t imagine what my dad is feeling. 
If you have read this thank you. I needed to vent.</t>
        </is>
      </c>
      <c r="D6259" t="n">
        <v>1</v>
      </c>
      <c r="E6259" t="n">
        <v>5</v>
      </c>
      <c r="F6259">
        <f>HYPERLINK("https://www.reddit.com/r/cancer/comments/e66yjo/dad_diagnosed/")</f>
        <v/>
      </c>
      <c r="G6259" t="inlineStr">
        <is>
          <t>2019-12-04 14:14:43</t>
        </is>
      </c>
      <c r="H6259" t="inlineStr"/>
    </row>
    <row r="6260">
      <c r="A6260" t="inlineStr">
        <is>
          <t>e6757p</t>
        </is>
      </c>
      <c r="B6260" t="inlineStr">
        <is>
          <t>Guess What</t>
        </is>
      </c>
      <c r="C6260" t="inlineStr">
        <is>
          <t># Taking My Life Saving Surgery
&amp;amp;#x200B;
I have been motivated to get a surgery that will boost my life years ahead of me.I will be taking the surgery on December 15. It will be a 6 hour long surgery with 4-10 day recover time.
Special Thanks To:
Anastasiamarks15 ♥❤️❤️❤️💍💍💍
brokensoul12😉😉😉😉
oliverbsdian👍🏻👍🏻
SallyMessi😀😀😀😀</t>
        </is>
      </c>
      <c r="D6260" t="n">
        <v>1</v>
      </c>
      <c r="E6260" t="n">
        <v>7</v>
      </c>
      <c r="F6260">
        <f>HYPERLINK("https://www.reddit.com/r/cancer/comments/e6757p/guess_what/")</f>
        <v/>
      </c>
      <c r="G6260" t="inlineStr">
        <is>
          <t>2019-12-04 14:27:09</t>
        </is>
      </c>
      <c r="H6260" t="inlineStr"/>
    </row>
    <row r="6261">
      <c r="A6261" t="inlineStr">
        <is>
          <t>e67wog</t>
        </is>
      </c>
      <c r="B6261" t="inlineStr">
        <is>
          <t>Aggressive high grade glioma in a 12 year old child</t>
        </is>
      </c>
      <c r="C6261" t="inlineStr">
        <is>
          <t>Can someone help me with understanding what this means?  I received news today that my nephew's tumor came back as an "aggressive high grade glioma".  He has had two surgeries to remove the tumor, the first removing roughly half of it and the second removing all but approximately 10% of it.  His mother has emailed us that he will be starting both chemo and radiation soon.  What I am reading, though, gives very low survivability rates.  One paper listed 15 months.  Of course, I could be misunderstanding what I am reading, so can someone help me out here?</t>
        </is>
      </c>
      <c r="D6261" t="n">
        <v>1</v>
      </c>
      <c r="E6261" t="n">
        <v>4</v>
      </c>
      <c r="F6261">
        <f>HYPERLINK("https://www.reddit.com/r/cancer/comments/e67wog/aggressive_high_grade_glioma_in_a_12_year_old/")</f>
        <v/>
      </c>
      <c r="G6261" t="inlineStr">
        <is>
          <t>2019-12-04 15:20:36</t>
        </is>
      </c>
      <c r="H6261" t="inlineStr"/>
    </row>
    <row r="6262">
      <c r="A6262" t="inlineStr">
        <is>
          <t>e68ds1</t>
        </is>
      </c>
      <c r="B6262" t="inlineStr">
        <is>
          <t>Survey on body image and sexual satisfaction for people with chronic illness and disability</t>
        </is>
      </c>
      <c r="C6262" t="inlineStr">
        <is>
          <t>Hello,
My name is Shannon Hughes and I am a 2nd-year Master's student in the Applied Psychological Science program (MA) at Pacific University. I am currently recruiting participants for my thesis study, in which I am seeking to explore and better understand body image, body exposure, and sexual satisfaction in individuals with chronic physical illness and physical disability. Completion of the survey takes a minimum of 15 minutes and requires one-time participation. Your answers will remain anonymous and confidential.
Eligibility requirements for participation are as follows:  
1. The participant must be 18 years of age or older  
2. The participant must be able to speak, read, and understand English  
3. The participant must self-identify as having a physical disability or chronic physical illness  
4. The participant must have previously been or is sexually active with partner(s) since the onset of the physical disability or chronic physical illness
Please feel free to forward this request for participation to other individuals who meet the participation eligibility requirements. Participation in this study is strictly voluntary and participants may withdraw at any time without penalty. Due to the anonymous nature of the survey, your responses cannot be withdrawn after submission. Please click on the following link to view the informed consent document and to participate in the study: [https://pacificu.co1.qualtrics.com/…/form/SV\_73BHtgGACnFc9Vj](https://pacificu.co1.qualtrics.com/jfe/form/SV_73BHtgGACnFc9Vj?fbclid=IwAR0UiZrWVasz45Lh4V7v9sD8pvz41hUSoVu8aUKSxB6na9IUa1opmN0dxrM)
Thank you for your assistance and support. If you have any questions or concerns regarding the study, please feel free to contact me directly (hugh9483@pacificu.edu). This study has been approved by Pacific University’s Institutional Review Board (IRB Number: 1502375-1).
Thank you,
Shannon Hughes, BS, Principal Investigator  
hugh9483@pacificu.edu
Anne Willis (Pattison), PsyD, Faculty Adviser  
awillis@pacificu.edu</t>
        </is>
      </c>
      <c r="D6262" t="n">
        <v>1</v>
      </c>
      <c r="E6262" t="n">
        <v>3</v>
      </c>
      <c r="F6262">
        <f>HYPERLINK("https://www.reddit.com/r/cancer/comments/e68ds1/survey_on_body_image_and_sexual_satisfaction_for/")</f>
        <v/>
      </c>
      <c r="G6262" t="inlineStr">
        <is>
          <t>2019-12-04 15:54:07</t>
        </is>
      </c>
      <c r="H6262" t="inlineStr"/>
    </row>
    <row r="6263">
      <c r="A6263" t="inlineStr">
        <is>
          <t>e68gmr</t>
        </is>
      </c>
      <c r="B6263" t="inlineStr">
        <is>
          <t>Long distance relationship with cancer patient</t>
        </is>
      </c>
      <c r="C6263" t="inlineStr">
        <is>
          <t>We have been in a relationship  for 13 months now. Right now she is getting  medical treatment  in germany. I want her  to talk  do me but for the most part she won't.  I feel like I'm  doing  most of the  talking with little  no response  from here  through kik. I poured my heart  out to her and said I feel helpless that I can't do anything to help ease her pain. I said  that I'm am here for her if she ever wants to talk   or vent or needs a  virtual  hug and that I loved  her. That was monday. The only response  I got the day was a sad face emoji. I feel shut out and I don't know  what to do.  Should I  try again? Should I leave?  Should I have not even have spoken  to her at all? It's  tearing me apart.  Someone  tell me what to do😥</t>
        </is>
      </c>
      <c r="D6263" t="n">
        <v>1</v>
      </c>
      <c r="E6263" t="n">
        <v>2</v>
      </c>
      <c r="F6263">
        <f>HYPERLINK("https://www.reddit.com/r/cancer/comments/e68gmr/long_distance_relationship_with_cancer_patient/")</f>
        <v/>
      </c>
      <c r="G6263" t="inlineStr">
        <is>
          <t>2019-12-04 16:00:02</t>
        </is>
      </c>
      <c r="H6263" t="inlineStr"/>
    </row>
    <row r="6264">
      <c r="A6264" t="inlineStr">
        <is>
          <t>e68iga</t>
        </is>
      </c>
      <c r="B6264" t="inlineStr">
        <is>
          <t>FUCK CANCER</t>
        </is>
      </c>
      <c r="C6264" t="inlineStr">
        <is>
          <t>Today was the memorial for my dad who died of hepatic cancer.</t>
        </is>
      </c>
      <c r="D6264" t="n">
        <v>1</v>
      </c>
      <c r="E6264" t="n">
        <v>33</v>
      </c>
      <c r="F6264">
        <f>HYPERLINK("https://www.reddit.com/r/cancer/comments/e68iga/fuck_cancer/")</f>
        <v/>
      </c>
      <c r="G6264" t="inlineStr">
        <is>
          <t>2019-12-04 16:04:18</t>
        </is>
      </c>
      <c r="H6264" t="inlineStr"/>
    </row>
    <row r="6265">
      <c r="A6265" t="inlineStr">
        <is>
          <t>e68v2j</t>
        </is>
      </c>
      <c r="B6265" t="inlineStr">
        <is>
          <t>End of Life sedation</t>
        </is>
      </c>
      <c r="C6265" t="inlineStr">
        <is>
          <t>My aunt whos diagnosed with stage 5 cancer has decided to do the end of life sedation today. I was only told briefly about it, but I want to know more. I kept googling it and unable to find what it really meant. There are several types of sedation. Anyone here who has experienced their loved ones going through that? 
&amp;amp;#x200B;
As for me, I am going to visit her the first thing tomorrow morning. It is pretty scary knowing that her time will be ending soon. I am worried about my cousins. The future seems ambiguous. She is my favorite aunt. I feel pretty lonely inside.
&amp;amp;#x200B;
Cancer sucks!</t>
        </is>
      </c>
      <c r="D6265" t="n">
        <v>1</v>
      </c>
      <c r="E6265" t="n">
        <v>2</v>
      </c>
      <c r="F6265">
        <f>HYPERLINK("https://www.reddit.com/r/cancer/comments/e68v2j/end_of_life_sedation/")</f>
        <v/>
      </c>
      <c r="G6265" t="inlineStr">
        <is>
          <t>2019-12-04 16:30:43</t>
        </is>
      </c>
      <c r="H6265" t="inlineStr"/>
    </row>
    <row r="6266">
      <c r="A6266" t="inlineStr">
        <is>
          <t>e69n48</t>
        </is>
      </c>
      <c r="B6266" t="inlineStr">
        <is>
          <t>60 years old with a 27 Oncotype test score.</t>
        </is>
      </c>
      <c r="C6266" t="inlineStr">
        <is>
          <t>Hi all,
My mom (60f) was diagnosed with breast cancer in September. She already had a single mastectomy (affected breast) and she just got the test results for her Oncotype test. The cut off for post menopausal women is 25 and she got 27. The oncologist said that 31 upwards is when chemo is absolutely recommended but between 26-30 it’s offered as an option. 
She really doesn’t want chemo and the doctor seemed very reluctant to force chemo on her decision. She feels very conflicted and she feels that the collateral damage caused by chemo will not outweigh the benefits. 
She will stick with hormone therapy regardless of whether or not she needs chemo. The oncologist said that he would extend the years she’d take hormone therapy to be sure (if that’s her decision). 
Have any of you had limbo-esque oncotype scores?</t>
        </is>
      </c>
      <c r="D6266" t="n">
        <v>1</v>
      </c>
      <c r="E6266" t="n">
        <v>7</v>
      </c>
      <c r="F6266">
        <f>HYPERLINK("https://www.reddit.com/r/cancer/comments/e69n48/60_years_old_with_a_27_oncotype_test_score/")</f>
        <v/>
      </c>
      <c r="G6266" t="inlineStr">
        <is>
          <t>2019-12-04 17:29:12</t>
        </is>
      </c>
      <c r="H6266" t="inlineStr"/>
    </row>
    <row r="6267">
      <c r="A6267" t="inlineStr">
        <is>
          <t>e69yua</t>
        </is>
      </c>
      <c r="B6267" t="inlineStr">
        <is>
          <t>Failed implant after reconstruction</t>
        </is>
      </c>
      <c r="C6267" t="inlineStr">
        <is>
          <t>I had a bilateral mastectomy with implants done on Nov 7th. Today I had to have the implant removed due to sepsis. I am now having a dilemma. Do I do the DIEP Flap reconstruction 3-6 months from now? Do I just have her remove the extra skin and do a prosthesis? 
I seem to be the type of person who has ALL the reactions to things. I can't take a lot of meds and apparently, my body is not happy with implants (the right one is looking a little dodgy, too). I'm wondering if prosthesis is just a better way to go, even if the thought of them makes me very, very uncomfortable. 
I probably should have waited to ask this until my brain was less depressed and scrambled, but this is such a good resoure that I figured I'd post it here.</t>
        </is>
      </c>
      <c r="D6267" t="n">
        <v>1</v>
      </c>
      <c r="E6267" t="n">
        <v>4</v>
      </c>
      <c r="F6267">
        <f>HYPERLINK("https://www.reddit.com/r/cancer/comments/e69yua/failed_implant_after_reconstruction/")</f>
        <v/>
      </c>
      <c r="G6267" t="inlineStr">
        <is>
          <t>2019-12-04 17:53:41</t>
        </is>
      </c>
      <c r="H6267" t="inlineStr"/>
    </row>
    <row r="6268">
      <c r="A6268" t="inlineStr">
        <is>
          <t>e6a505</t>
        </is>
      </c>
      <c r="B6268" t="inlineStr">
        <is>
          <t>Had partially mole removed, it was pre-cancerous. How to proceed?</t>
        </is>
      </c>
      <c r="C6268" t="inlineStr">
        <is>
          <t>I am 25. I was born with two moles in my genitals. Had all my moles checked by a dermatologist. My biggest mole, located in my glans, was partially removed, like 75% of it. Big mole the size of a fingernail. Got a skin disease that makes me very prone to moles and I live in a very sunny place. Got like 4 other "risky" moles I gotta remove.
Doctor just told me this mole was pre-cancerous but that it was entirely removed (which isn't true, there is still 30% left) and that I should calm down and slowly remove all my other moles. Like I still have a thick mole below the mole I just got removed, very likely to be pre-cancerous too.
I don't know how to proceed. This involves private insurance and my doctor says the insurance only allows one mole at a time, and you gotta wait months within mole removals. 
My doctor is basically telling me "either pay me and I remove all moles at once; or go through private insurance and get your moles taken out slowly but FREE".I have to wait till February 2020 to get my next dick mole removed. 4 moles left through my body. Have mixed feelings. I don't trust 100% the doctor diagnosis.</t>
        </is>
      </c>
      <c r="D6268" t="n">
        <v>1</v>
      </c>
      <c r="E6268" t="n">
        <v>3</v>
      </c>
      <c r="F6268">
        <f>HYPERLINK("https://www.reddit.com/r/cancer/comments/e6a505/had_partially_mole_removed_it_was_precancerous/")</f>
        <v/>
      </c>
      <c r="G6268" t="inlineStr">
        <is>
          <t>2019-12-04 18:06:10</t>
        </is>
      </c>
      <c r="H6268" t="inlineStr"/>
    </row>
    <row r="6269">
      <c r="A6269" t="inlineStr">
        <is>
          <t>e6a957</t>
        </is>
      </c>
      <c r="B6269" t="inlineStr">
        <is>
          <t>Having a moment today.</t>
        </is>
      </c>
      <c r="C6269" t="inlineStr">
        <is>
          <t>I've lived through liposarcoma (that I was allegedly too young for), I've dealth with the bipolar, the migraines, the depression, the OCD, the PTSD. For the love of Christ, now you want to try to throw breast cancer at me?
I got the results of the "preventative" MRI today, and they want a biopsy. Of course they do. And of course they want it in the left breast, the one that I felt the lump in in May, but was told it was nothing to worry about.
I just want to throw a tantrum like a 2 year old, because OF COURSE this is happening right now. Fucking hell, can't I catch a break?!
Ok, done whining now.</t>
        </is>
      </c>
      <c r="D6269" t="n">
        <v>1</v>
      </c>
      <c r="E6269" t="n">
        <v>3</v>
      </c>
      <c r="F6269">
        <f>HYPERLINK("https://www.reddit.com/r/cancer/comments/e6a957/having_a_moment_today/")</f>
        <v/>
      </c>
      <c r="G6269" t="inlineStr">
        <is>
          <t>2019-12-04 18:14:53</t>
        </is>
      </c>
      <c r="H6269" t="inlineStr"/>
    </row>
    <row r="6270">
      <c r="A6270" t="inlineStr">
        <is>
          <t>e6bjvn</t>
        </is>
      </c>
      <c r="B6270" t="inlineStr">
        <is>
          <t>My dad is going through chemo/radiation and is very negative and anxious. Any tips?</t>
        </is>
      </c>
      <c r="C6270" t="inlineStr">
        <is>
          <t>My dad is 68 and was recently diagnosed with Nasopharyngeal cancer. He was still working and was planning on retiring soon. He’s stage 3 going through chemo and radiation. He’s on a trial and getting chemo weekly along with radiation 5 times a day. Before treatment he was super anxious. Now he says he can’t stop thinking about the cancer. He says he doesn’t know if he can make it. He’s fatigued and the other chemo side effects are coming along like sore throat, loss of taste and appetite. My mom took him to the ER the other day because he was getting panic attacks. (In the moment my dad was convinced he was dying and having a heart attack. My mother was scared shitless) My mother is raising my nephew and taking care of my dad. It’s super stressful on her. My dad barely sleeps. He’s an Eastern European immigrant. He doesn’t have any friends or family here accept for me, my brother and my mother. I encourage him to keep his mind occupied as to steer away from ruminating and feeding the negative thoughts. He lays around a lot. He seems very fatigued but I think he has enough energy to do somethings. He’s really pessimistic. I don’t live with them but I visit them and talk frequently. I’m at a loss here. I’m becoming worried. Do any survivors or caretakers or anybody with experience have any advice?</t>
        </is>
      </c>
      <c r="D6270" t="n">
        <v>1</v>
      </c>
      <c r="E6270" t="n">
        <v>10</v>
      </c>
      <c r="F6270">
        <f>HYPERLINK("https://www.reddit.com/r/cancer/comments/e6bjvn/my_dad_is_going_through_chemoradiation_and_is/")</f>
        <v/>
      </c>
      <c r="G6270" t="inlineStr">
        <is>
          <t>2019-12-04 19:57:02</t>
        </is>
      </c>
      <c r="H6270" t="inlineStr"/>
    </row>
    <row r="6271">
      <c r="A6271" t="inlineStr">
        <is>
          <t>e6dd0i</t>
        </is>
      </c>
      <c r="B6271" t="inlineStr">
        <is>
          <t>My (24m) Dad 46(m) Went From Walking to Paralyzed in a Matter of Days</t>
        </is>
      </c>
      <c r="C6271" t="inlineStr">
        <is>
          <t>My dad was diagnosed with colorectal cancer 13 years ago and he’s been fighting it ever since. It has now metastasized to his lungs and liver. Around 3 months ago he started experiencing excruciating headaches, light sensitivity, double vision, and several other neurological symptoms. He went to the ER multiple times and also saw his oncologist and general practitioner. They diagnosed him with post concussion syndrome because he had hit his head around this time. He also had a knot in his head which they assumed was from hitting his head. My dad wasn’t sure, but it was in the area around where he hit his head. The drs told my dad to lay in a quiet dark room until the headaches stopped.
After basically being in bed for 20 hours a day for 1.5 months he started experiencing severe pain in his lower back. He went back to the ER and saw his oncologist again, but they weren’t sure what was causing the pain, however they did assure him that it was not cancer. After another 1.5 months of being bedridden, my dad went from being able to walk to being paralyzed from the waist down in a matter of days. The local hospital sent him to a different hospital in a major nearby city. Within a few hours and after several tests, they determined he had cancer in his spine causing the paralysis and that the knot on his head was also cancerous and causing his neurological symptoms. 
He began radiation treatment for the tumor in his spine, and they’re going to attempt it on his head depending on how things go with this spine. He’s in so much pain and ultimately he’s going to die, and most likely sooner than later. I know he’ll never give up, but I hate to see him suffer for nothing. The Dr. said if he were in dads shoes, he would do the treatments. I realize it’s ultimately his decision, but it’s so hard to watch.  We thought he had more time...No one expected this, and we weren’t ready. I guess we were all in denial.</t>
        </is>
      </c>
      <c r="D6271" t="n">
        <v>1</v>
      </c>
      <c r="E6271" t="n">
        <v>3</v>
      </c>
      <c r="F6271">
        <f>HYPERLINK("https://www.reddit.com/r/cancer/comments/e6dd0i/my_24m_dad_46m_went_from_walking_to_paralyzed_in/")</f>
        <v/>
      </c>
      <c r="G6271" t="inlineStr">
        <is>
          <t>2019-12-04 22:40:48</t>
        </is>
      </c>
      <c r="H6271" t="inlineStr"/>
    </row>
    <row r="6272">
      <c r="A6272" t="inlineStr">
        <is>
          <t>e6emgh</t>
        </is>
      </c>
      <c r="B6272" t="inlineStr">
        <is>
          <t>Starving?</t>
        </is>
      </c>
      <c r="C6272" t="inlineStr">
        <is>
          <t>My appetite has been whack since September when I was diagnosed with Acute lymphocytic Leukemia. At first I wasn't eating, which was odd as I was always the person to be hungry. Then I got put on a high dose of steroids for a month where my intake rose up to something like 4000 calories a day. After I was done with steroids my appetite went back to normall, but now it's out of control I feel like I'm hungry even after a full meal (My chemo is still ongoing) and just want to eat the whole day. Anyone have similar experience?</t>
        </is>
      </c>
      <c r="D6272" t="n">
        <v>1</v>
      </c>
      <c r="E6272" t="n">
        <v>4</v>
      </c>
      <c r="F6272">
        <f>HYPERLINK("https://www.reddit.com/r/cancer/comments/e6emgh/starving/")</f>
        <v/>
      </c>
      <c r="G6272" t="inlineStr">
        <is>
          <t>2019-12-05 00:59:21</t>
        </is>
      </c>
      <c r="H6272" t="inlineStr"/>
    </row>
    <row r="6273">
      <c r="A6273" t="inlineStr">
        <is>
          <t>e6f3mf</t>
        </is>
      </c>
      <c r="B6273" t="inlineStr">
        <is>
          <t>Stage IV Lung Cancer Treatment</t>
        </is>
      </c>
      <c r="C6273" t="inlineStr">
        <is>
          <t>Hello everyone,   
So my mother got diagnosed with stage IV lung cancer 2 weeks ago, however, the treatment plan keeps getting rejected by the medical aid &amp;amp; gap cover, and a new treatment gets resubmitted, however, this whole process is taking forever and I've been nagging and harassing the broker, oncology departments &amp;amp; health care constantly. (I've attached a screenshot of what the proposed meds are.)  
We've been told this cancer doubles in size every 6 weeks, so we are 2 weeks in from being told and there is no treatment plan or options due to technicalities, anyone else dealt with this issue? We are based in South Africa... 
&amp;amp;#x200B;
My mother is considering no doing chemo treatment and just self-treating with RSO/CBD Oil (Rick Simpson Oil) and just OD on supplements &amp;amp; healthy diets, etc. She's asked me if I would do it that way, and its so difficult to answer... But, I'll support any decision she makes with her treatment.   
I mean, it can't hurt while we wait? Would love any advice or suggestions...</t>
        </is>
      </c>
      <c r="D6273" t="n">
        <v>1</v>
      </c>
      <c r="E6273" t="n">
        <v>11</v>
      </c>
      <c r="F6273">
        <f>HYPERLINK("https://www.reddit.com/r/cancer/comments/e6f3mf/stage_iv_lung_cancer_treatment/")</f>
        <v/>
      </c>
      <c r="G6273" t="inlineStr">
        <is>
          <t>2019-12-05 01:55:44</t>
        </is>
      </c>
      <c r="H6273" t="inlineStr"/>
    </row>
    <row r="6274">
      <c r="A6274" t="inlineStr">
        <is>
          <t>e6g72v</t>
        </is>
      </c>
      <c r="B6274" t="inlineStr">
        <is>
          <t>Survival after chemotherapy?</t>
        </is>
      </c>
      <c r="C6274" t="inlineStr">
        <is>
          <t>My dad had been diagnosed with a tumor in his liver 7 months after the Whipple surgery. The doctors said that the only thing they can do now is controlled chemotherapy which I know will not end well... But I just want to know if people have been cured that way or atleast had a survival rate of more than 5 years</t>
        </is>
      </c>
      <c r="D6274" t="n">
        <v>1</v>
      </c>
      <c r="E6274" t="n">
        <v>4</v>
      </c>
      <c r="F6274">
        <f>HYPERLINK("https://www.reddit.com/r/cancer/comments/e6g72v/survival_after_chemotherapy/")</f>
        <v/>
      </c>
      <c r="G6274" t="inlineStr">
        <is>
          <t>2019-12-05 03:56:32</t>
        </is>
      </c>
      <c r="H6274" t="inlineStr"/>
    </row>
    <row r="6275">
      <c r="A6275" t="inlineStr">
        <is>
          <t>e6jcwg</t>
        </is>
      </c>
      <c r="B6275" t="inlineStr">
        <is>
          <t>Im terrified my eating issue is cancer</t>
        </is>
      </c>
      <c r="C6275" t="inlineStr">
        <is>
          <t>Im 24. Ive posted previously about symptoms that worry me. Been afraid I have panc cancer, lymphoma and bowel cancer.
At the moment, everytime I eat, I instantly dont want anymore. I never fancy food. I have no appetite. Sometimes my tummy rumbles but I still dont want food.
I had a protein bar today, on my last mouthful i was heaving and drooling into the sink. I keep pooping and peeing a few times a day recently, perhaps the anxiety. Ive had bloods, stool test and chest x ray and abdominal ultrasound that are unremarkable but i cant stop worrying somethings been missed. Can stress really do this to my appetite and gag reflex? Its a nightmare.
I only had blood in my stool once. It was very small pieces that came after i had had alot of diarrhea. Sort of looked like tiny little lines in my stool. Dr said it is probably gastritis and stress and i havent had bloody stool since but my stools have a weird vinegar smell. I get bits that are really small and thin at the end of emptying my bowels but i have experienced that before years ago. I just dont know.
Im so tired. Everyday eating is a chore and i have to make myself. I hate it. Im so scared of dying and everyone is dismissing me now due to anxiety. I dont know whats wrong with me. Can stress really do this? Its been 3 months. I had one day where i relaxed more and ate alot and now its bad again.</t>
        </is>
      </c>
      <c r="D6275" t="n">
        <v>1</v>
      </c>
      <c r="E6275" t="n">
        <v>6</v>
      </c>
      <c r="F6275">
        <f>HYPERLINK("https://www.reddit.com/r/cancer/comments/e6jcwg/im_terrified_my_eating_issue_is_cancer/")</f>
        <v/>
      </c>
      <c r="G6275" t="inlineStr">
        <is>
          <t>2019-12-05 08:14:28</t>
        </is>
      </c>
      <c r="H6275" t="inlineStr"/>
    </row>
    <row r="6276">
      <c r="A6276" t="inlineStr">
        <is>
          <t>e6jfb0</t>
        </is>
      </c>
      <c r="B6276" t="inlineStr">
        <is>
          <t>Oral dysplasia treatment... Co2 laser?</t>
        </is>
      </c>
      <c r="C6276" t="inlineStr">
        <is>
          <t>Does anyone have any experience with Co2 laser treatment for oral dysplasia?</t>
        </is>
      </c>
      <c r="D6276" t="n">
        <v>1</v>
      </c>
      <c r="E6276" t="n">
        <v>4</v>
      </c>
      <c r="F6276">
        <f>HYPERLINK("https://www.reddit.com/r/cancer/comments/e6jfb0/oral_dysplasia_treatment_co2_laser/")</f>
        <v/>
      </c>
      <c r="G6276" t="inlineStr">
        <is>
          <t>2019-12-05 08:19:08</t>
        </is>
      </c>
      <c r="H6276" t="inlineStr"/>
    </row>
    <row r="6277">
      <c r="A6277" t="inlineStr">
        <is>
          <t>e6jp6v</t>
        </is>
      </c>
      <c r="B6277" t="inlineStr">
        <is>
          <t>Breast cancer</t>
        </is>
      </c>
      <c r="C6277" t="inlineStr">
        <is>
          <t>Those that have been diagnosed with breast cancer, what did your lump feel like?</t>
        </is>
      </c>
      <c r="D6277" t="n">
        <v>1</v>
      </c>
      <c r="E6277" t="n">
        <v>22</v>
      </c>
      <c r="F6277">
        <f>HYPERLINK("https://www.reddit.com/r/cancer/comments/e6jp6v/breast_cancer/")</f>
        <v/>
      </c>
      <c r="G6277" t="inlineStr">
        <is>
          <t>2019-12-05 08:38:17</t>
        </is>
      </c>
      <c r="H6277" t="inlineStr"/>
    </row>
    <row r="6278">
      <c r="A6278" t="inlineStr">
        <is>
          <t>e6mizb</t>
        </is>
      </c>
      <c r="B6278" t="inlineStr">
        <is>
          <t>My boyfriend’s dad has just been diagnosed with prostrate cancer. How can I support him through this without making him feel worse?</t>
        </is>
      </c>
      <c r="C6278" t="inlineStr">
        <is>
          <t>My boyfriend and I have been together for about 2 1/2 years so I’m quite close with his family now. Honestly this news has also hit me quite hard but I’m coping. This post is about how to support my boyfriend, not me.
I’m just not too sure how I can support him without constantly reminding him of what’s going on. He only found out on Monday, and as the week is going on the reality does seem to be hitting him harder. 
He also doesn’t want to talk to any of our friends about it, the whole family wants this to all stay very private and don’t really want to tell anybody. I think they probably would’ve preferred I didn’t know as well, but obviously they know that their son needs somebody to lean on during this time. And I want to help. 
I guess I’m looking for any advice on how to handle the whole situation? Also if anybody has any more information on prostate cancer that would be amazing. From my knowledge, he is having the whole prostate removed. Does anybody know what stage this would roughly put him at, if this is the choice he’s made? Thank you all in advance.</t>
        </is>
      </c>
      <c r="D6278" t="n">
        <v>1</v>
      </c>
      <c r="E6278" t="n">
        <v>7</v>
      </c>
      <c r="F6278">
        <f>HYPERLINK("https://www.reddit.com/r/cancer/comments/e6mizb/my_boyfriends_dad_has_just_been_diagnosed_with/")</f>
        <v/>
      </c>
      <c r="G6278" t="inlineStr">
        <is>
          <t>2019-12-05 11:52:43</t>
        </is>
      </c>
      <c r="H6278" t="inlineStr"/>
    </row>
    <row r="6279">
      <c r="A6279" t="inlineStr">
        <is>
          <t>e6mzvi</t>
        </is>
      </c>
      <c r="B6279" t="inlineStr">
        <is>
          <t>Securacath removal.</t>
        </is>
      </c>
      <c r="C6279" t="inlineStr">
        <is>
          <t>Could anyone who’s had a picc line with a securacath tell me what removal is like? Having the line put in was fine even after getting myself worked up - quick local anaesthetic then lay there looking the other way. The removal of the securacath is worrying me slightly though as they don’t numb it. Even during line flushes it’s very painful when they tug the hooks under the skin. I know, I’m a wimp. I just wondered if anyone could tell me their actual experience! 
Despite the inconvenience of having to keep it dry, I’d highly recommend a picc line for chemo. I really feel for the people who have to get jabbed with needles in the hand every time.</t>
        </is>
      </c>
      <c r="D6279" t="n">
        <v>1</v>
      </c>
      <c r="E6279" t="n">
        <v>1</v>
      </c>
      <c r="F6279">
        <f>HYPERLINK("https://www.reddit.com/r/cancer/comments/e6mzvi/securacath_removal/")</f>
        <v/>
      </c>
      <c r="G6279" t="inlineStr">
        <is>
          <t>2019-12-05 12:23:57</t>
        </is>
      </c>
      <c r="H6279" t="inlineStr"/>
    </row>
    <row r="6280">
      <c r="A6280" t="inlineStr">
        <is>
          <t>e6pyyf</t>
        </is>
      </c>
      <c r="B6280" t="inlineStr">
        <is>
          <t>Is this right?</t>
        </is>
      </c>
      <c r="C6280" t="inlineStr">
        <is>
          <t>Recently a close family member made an appointment with an OBGYN for some spots that were concerning. He took sample from near a few of the spots but not directly from them and biopsy came back normal and are from a different issue. There are other spots he didnt sample. He's mostly convinced it's cancer and wants to remove the one spot entirely. Is this normal? I would of thought he'd refer her to an oncologist because that's their area of medicine. We live in a smaller area so not sure how somthing like this should go. I'd greatly appreciate any info from people with experience dealing with this kind of stuff. Just want to make sure she gets the right help</t>
        </is>
      </c>
      <c r="D6280" t="n">
        <v>1</v>
      </c>
      <c r="E6280" t="n">
        <v>2</v>
      </c>
      <c r="F6280">
        <f>HYPERLINK("https://www.reddit.com/r/cancer/comments/e6pyyf/is_this_right/")</f>
        <v/>
      </c>
      <c r="G6280" t="inlineStr">
        <is>
          <t>2019-12-05 15:48:07</t>
        </is>
      </c>
      <c r="H6280" t="inlineStr"/>
    </row>
    <row r="6281">
      <c r="A6281" t="inlineStr">
        <is>
          <t>e6q34p</t>
        </is>
      </c>
      <c r="B6281" t="inlineStr">
        <is>
          <t>The start of my 20s</t>
        </is>
      </c>
      <c r="C6281" t="inlineStr">
        <is>
          <t>On the 24th of june 2019 I was diagnosed with cancer, the kind that affects the glands that produce white blood cells. I am not sure of the proper name of my case. Funnily enough I was also born on 24th of june 1999, so I had quite the start to my 20s.
I was on stage 2, so no surgery was needed (thank god for that). I have to say I never was the centre of attention in anything in my life. I live with my parents until I finish my University studies and for them to help me if chemotherapy got too hard and that happened a lot more than I thought it would. Right after my diagnosis my mom, dad, family and friends started showering me with love and care and I have to say I am still not used to that. I was always overlooked if you get me. No one really thought of me as special to them or that's how I saw life anyway.  Now everything is different I became really close with my dad and really good friend of mine, and there's this girl who I think is taking an interest in me, which to be completely honest I never thought that would happen. 
The Doctors told me I would be taking 12 chemotherapy sessions. Right now as of the time of writing this I only have one more to go. My hair hasn't fallen off though I did have a few terrible weeks when I got sick with a cold or something.
In the end, I do not think that this journey is a bad one. I learned a lot about myself and the people around me. I've come across this subreddit that honestly helped me through a lot of hard times.
As Dumbledore said "Happiness can be found, even in the darkest of times, if one only remembers to turn on the light.". So I would like to say to anyone reading this and going through the treatment, you're a lot stronger than you think you are and your attitude in dealing with this situation is key to getting through this as easily as it can get.
Thank you all for support and love you give each other without even knowing each other's first names. This community truly is a life saver.
If anyone wants to talk to me personally I would not mind.</t>
        </is>
      </c>
      <c r="D6281" t="n">
        <v>1</v>
      </c>
      <c r="E6281" t="n">
        <v>33</v>
      </c>
      <c r="F6281">
        <f>HYPERLINK("https://www.reddit.com/r/cancer/comments/e6q34p/the_start_of_my_20s/")</f>
        <v/>
      </c>
      <c r="G6281" t="inlineStr">
        <is>
          <t>2019-12-05 15:56:11</t>
        </is>
      </c>
      <c r="H6281" t="inlineStr"/>
    </row>
    <row r="6282">
      <c r="A6282" t="inlineStr">
        <is>
          <t>e6smyk</t>
        </is>
      </c>
      <c r="B6282" t="inlineStr">
        <is>
          <t>It's Back</t>
        </is>
      </c>
      <c r="C6282" t="inlineStr">
        <is>
          <t>Seems like a new holiday tradition. This is the 2nd or 3rd year in a row that we've had to hide from the kids, the fact that my remission didn't last. ugh.... bummer.
At least it's not too bad yet, so treatment won't last long (knock on wood haha)
To all the people with the big "C" out there, or here because they are somehow related to a cancer-person, I hope shit gets better in 2020!</t>
        </is>
      </c>
      <c r="D6282" t="n">
        <v>1</v>
      </c>
      <c r="E6282" t="n">
        <v>4</v>
      </c>
      <c r="F6282">
        <f>HYPERLINK("https://www.reddit.com/r/cancer/comments/e6smyk/its_back/")</f>
        <v/>
      </c>
      <c r="G6282" t="inlineStr">
        <is>
          <t>2019-12-05 19:09:14</t>
        </is>
      </c>
      <c r="H6282" t="inlineStr"/>
    </row>
    <row r="6283">
      <c r="A6283" t="inlineStr">
        <is>
          <t>e6sya6</t>
        </is>
      </c>
      <c r="B6283" t="inlineStr">
        <is>
          <t>No hair loss on chemo??</t>
        </is>
      </c>
      <c r="C6283" t="inlineStr">
        <is>
          <t>Hi all, I (29F) was diagnosed with classic Hodgkin’s Lymphoma bulky stage 2 on August 26, 2019. Right now, I’m halfway done with treatments (yay!) another 6 to go. It seems that most people that have gotten the same chemo have lost their hair. I have been using cold caps to avoid this and, luckily, it’s been working. However, I’m finding that since I don’t “look sick” and on most days I feel relatively normal, my family and friends are having a hard time grasping what I am going through. Luckily for me, my husband has been super supportive. My problem is right now, I’m neutropenic and it’s cold and flu season. I’m worried about getting sick and taking the necessary precautions, but I feel like my friends aren’t quite where they need to be/should be with that because it may not quite be “real” for them? For example, friend’s child was sick, hung out with friend and she didn’t tell me her kid was sick until afterwards. Has anyone else had a similar experience?</t>
        </is>
      </c>
      <c r="D6283" t="n">
        <v>1</v>
      </c>
      <c r="E6283" t="n">
        <v>11</v>
      </c>
      <c r="F6283">
        <f>HYPERLINK("https://www.reddit.com/r/cancer/comments/e6sya6/no_hair_loss_on_chemo/")</f>
        <v/>
      </c>
      <c r="G6283" t="inlineStr">
        <is>
          <t>2019-12-05 19:33:48</t>
        </is>
      </c>
      <c r="H6283" t="inlineStr"/>
    </row>
    <row r="6284">
      <c r="A6284" t="inlineStr">
        <is>
          <t>e6vj3j</t>
        </is>
      </c>
      <c r="B6284" t="inlineStr">
        <is>
          <t>Mom was diagnosed today</t>
        </is>
      </c>
      <c r="C6284" t="inlineStr">
        <is>
          <t>Stage 3 pancreatic. Diagnosed with type 2 Diabetes in October. Didnt even tell us kids any of it, my grandma called me tonight. She does this, keeps these things from us to protect us, but itd hurt even worse to receive an unexpected call about her passing. I'm so scared for my mom, that we're going to lose her. It's been over three years since I've seen her beautiful face and been hugged by her, moving away has been a disaster and mistake. I cant help but imagine the worst, because through research I know that best case with this is slim to none. 
At 21, I'm not ready to be an orphan yet, I'm not ready to lose my mom. There's still so much I want to know about her, to learn from her. She's so young still, she's too kind, too loving, too perfect and wholly good to deserve this. I miss her, and I'm scared for her. Flying down in a week to see her, from there I'll have to wing it. Is it worth it to drop this life I've built to be with her for the end? To ditch my job and plants and lease up north for whatever time I get with her? Of course it's worth it, but that doesn't make it a good decision. All I want is to spend every moment with my mom, as long as i can. 
Thanks for reading, I'm sorry.</t>
        </is>
      </c>
      <c r="D6284" t="n">
        <v>1</v>
      </c>
      <c r="E6284" t="n">
        <v>3</v>
      </c>
      <c r="F6284">
        <f>HYPERLINK("https://www.reddit.com/r/cancer/comments/e6vj3j/mom_was_diagnosed_today/")</f>
        <v/>
      </c>
      <c r="G6284" t="inlineStr">
        <is>
          <t>2019-12-05 23:35:34</t>
        </is>
      </c>
      <c r="H6284" t="inlineStr"/>
    </row>
    <row r="6285">
      <c r="A6285" t="inlineStr">
        <is>
          <t>e6wl8i</t>
        </is>
      </c>
      <c r="B6285" t="inlineStr">
        <is>
          <t>Hello all! First post and Infarcts</t>
        </is>
      </c>
      <c r="C6285" t="inlineStr">
        <is>
          <t>Hey everyone!  This honestly is the first time I've ever gotten into any type of cancer group and I've been fighting for two years now so i guess im a little late to my own party 😅  i hope this first post is okay, if not just lemme know Mods.
So as stated, I've been fighting for two years now.   I was diagnosed with Lymphoblastic Lymphoma (non-Hodgkin's). Now, im a 23 year old guy and was pretty healthy before my diagnosis. As a result my body has been up-keeping pretty well through treatment. Once the chemo gets out of my system, my body recovers quicker than some. I've been managing for awhile.  Ya, there are ups and downs and i get really down sometimes and I mourn.  Overall though, I've been taking it and rolling with it.  
Something is starting to concern me though and its the first time I've ever really doubted my treatment and my doctors.  I've started developing bone infarcts (bits of my bone marrow are dying) in my leg.  Its probably due to my use of the steroid Prednisone.  They insist i keep taking the drug with its normal dosage and ill just have to hope they don't get worse.  Worst case scenario is they reach up into my hip and ill need a hip transplant... at freaking 23...
Does anyone here have experience with this type of thing?  I guess anything you all could say would help.  This is just the first time I've actually been scared of my medication.  Im just not sure what to do.  
Thoughts?</t>
        </is>
      </c>
      <c r="D6285" t="n">
        <v>1</v>
      </c>
      <c r="E6285" t="n">
        <v>6</v>
      </c>
      <c r="F6285">
        <f>HYPERLINK("https://www.reddit.com/r/cancer/comments/e6wl8i/hello_all_first_post_and_infarcts/")</f>
        <v/>
      </c>
      <c r="G6285" t="inlineStr">
        <is>
          <t>2019-12-06 01:33:25</t>
        </is>
      </c>
      <c r="H6285" t="inlineStr"/>
    </row>
    <row r="6286">
      <c r="A6286" t="inlineStr">
        <is>
          <t>e6wspd</t>
        </is>
      </c>
      <c r="B6286" t="inlineStr">
        <is>
          <t>It's here. The beginning of the end.</t>
        </is>
      </c>
      <c r="C6286" t="inlineStr">
        <is>
          <t>Mom got diagnosed with gallbladder cancer in June this year and things seem to be turning for the worst now. She underwent two back to back surgeries in the week of diagnosis itself and the stage was established as 3b. She was immediately put on chemo and after 5th cycle, we get to know that the disease has spread despite the chemo. Stage 4. This was a day before the Hindu festival of lights in late October, biggest in the parts of world I come from. We were told she only had another 6-12 months based on how she responds to the changed chemo regimen. A ray of hope emerged with Her2 testing positive and she being prescribed targeted therapy. Was told it could double the initial timeframe that had been given to us. 
Cut to a month later, her condition has deteriorated. Really bad abdomen pain, can hardly swallow anything, acid reflux and what not. Had to rush her to the hospital three days back and the symptoms just keep worsening. Doctors are still examining for a blocked esophagus or a clogged intestine. Both of those are possible terminal events. We could have just a month or two with her now if things don't improve.
Even by a mother-son relationship yardstick, I've been very close to my mother and can't imagine losing her. She's just 55, I'm 28. There's really no one half as close to me as she is. Growing up in a typical Indian middle class household, all the focus was on mine and sibling's education. Just now, when we are beginning to settle in our careers and could give our parents a comfortable life, our world has been completely shaken. Everything else just seems so pointless when I realize I might not be able to see my mom ever again just in a few months' time.</t>
        </is>
      </c>
      <c r="D6286" t="n">
        <v>1</v>
      </c>
      <c r="E6286" t="n">
        <v>7</v>
      </c>
      <c r="F6286">
        <f>HYPERLINK("https://www.reddit.com/r/cancer/comments/e6wspd/its_here_the_beginning_of_the_end/")</f>
        <v/>
      </c>
      <c r="G6286" t="inlineStr">
        <is>
          <t>2019-12-06 01:58:26</t>
        </is>
      </c>
      <c r="H6286" t="inlineStr"/>
    </row>
    <row r="6287">
      <c r="A6287" t="inlineStr">
        <is>
          <t>e71s8v</t>
        </is>
      </c>
      <c r="B6287" t="inlineStr">
        <is>
          <t>What’s your strategy for being visibly sick in public?</t>
        </is>
      </c>
      <c r="C6287" t="inlineStr">
        <is>
          <t>I’m 25f and have acute lymphoblastic leukemia. I’m bald as an egg and rockin’ that moon face (thanks prednisone). I’ve spent the majority of the last few months laying down so I walk slower than my 90yo grandma. I’m in between treatment so don’t have to wear a mask as religiously but it’s still obvious I have cancer (or at least I think it is). I’m going to an art museum later today and am already dreading the pity stares from people, the weird eye contact, and cashiers acting like I’m mentally disabled and deferring all questions to my partner. How do you navigate this? Just keep your head down? Sometimes I’m tempted to just stare back and be like “yep, I’m sick!”.</t>
        </is>
      </c>
      <c r="D6287" t="n">
        <v>1</v>
      </c>
      <c r="E6287" t="n">
        <v>20</v>
      </c>
      <c r="F6287">
        <f>HYPERLINK("https://www.reddit.com/r/cancer/comments/e71s8v/whats_your_strategy_for_being_visibly_sick_in/")</f>
        <v/>
      </c>
      <c r="G6287" t="inlineStr">
        <is>
          <t>2019-12-06 09:37:00</t>
        </is>
      </c>
      <c r="H6287" t="inlineStr"/>
    </row>
    <row r="6288">
      <c r="A6288" t="inlineStr">
        <is>
          <t>e71wg0</t>
        </is>
      </c>
      <c r="B6288" t="inlineStr">
        <is>
          <t>Massage Lotion Bottle Holster for Chemo Bottles</t>
        </is>
      </c>
      <c r="C6288" t="inlineStr">
        <is>
          <t>My SO came home from their massage appointment and gifted me with their therapist's old holster. 
I had been bitching about my chemo bottle fanny pack ass bag disaster all week so I guess they were getting tired of the noise.
For the uninitiated, that is the holster the massage therapist holds their [massage oil in and sits on their hip](https://www.physiosuppliescanada.com/shop/massage-supplies/oil-and-lotion-holster/).
We test drove it on my chemo bottle and it fit like a glove. It was absolutely perfect. Bottle was in there nice and snug and I could move around with it on. Everyone should have one of these.
Cancer sucks. But it is nice when you can find something to make it a little more bearable. 
And any time I can use the expression "happy ending" is always a good day. :)</t>
        </is>
      </c>
      <c r="D6288" t="n">
        <v>1</v>
      </c>
      <c r="E6288" t="n">
        <v>4</v>
      </c>
      <c r="F6288">
        <f>HYPERLINK("https://www.reddit.com/r/cancer/comments/e71wg0/massage_lotion_bottle_holster_for_chemo_bottles/")</f>
        <v/>
      </c>
      <c r="G6288" t="inlineStr">
        <is>
          <t>2019-12-06 09:45:53</t>
        </is>
      </c>
      <c r="H6288" t="inlineStr"/>
    </row>
    <row r="6289">
      <c r="A6289" t="inlineStr">
        <is>
          <t>e72num</t>
        </is>
      </c>
      <c r="B6289" t="inlineStr">
        <is>
          <t>CT scan today</t>
        </is>
      </c>
      <c r="C6289" t="inlineStr">
        <is>
          <t>Officially cancer free, straight from my doctor’s mouth!!! My dad went from nervous waiting for hear the news to weeping in tears from how happy he was that his baby boy (me, 24 years old) was cancer free.</t>
        </is>
      </c>
      <c r="D6289" t="n">
        <v>1</v>
      </c>
      <c r="E6289" t="n">
        <v>22</v>
      </c>
      <c r="F6289">
        <f>HYPERLINK("https://www.reddit.com/r/cancer/comments/e72num/ct_scan_today/")</f>
        <v/>
      </c>
      <c r="G6289" t="inlineStr">
        <is>
          <t>2019-12-06 10:43:12</t>
        </is>
      </c>
      <c r="H6289" t="inlineStr"/>
    </row>
    <row r="6290">
      <c r="A6290" t="inlineStr">
        <is>
          <t>e73es4</t>
        </is>
      </c>
      <c r="B6290" t="inlineStr">
        <is>
          <t>Seeing Oncologist again, should I ask for any specific tests?</t>
        </is>
      </c>
      <c r="C6290" t="inlineStr">
        <is>
          <t>Short background, I’m male in my mid twenties. Found a small rock hard lump in my neck above my collar bone about 7 months ago. About 2 months after discovering it I saw a head and neck specialist per recommendation by my primary care doc. 
They pretty much said “it’s slightly concerning due to the fact it’s very hard and rigid but not big enough to warrant distress” 
Since then, I have found another lump about large grape sized in my chest around my nipple. The lump in the neck has increased by about 30% in size, and the node behind one ear is greatly larger than the other one.  On top of that I’ve experienced extreme itching and have pretty much been tired for a month or two now. 
I have auto immune disorders so it all could be a symptom of that. 
My concern is being just told to wait it out again. Does anyone have any advice for tests I can ask to be performed? I just want answers. I read that I should request a CT scan and a total blood cell count. I am seeing the oncologist this upcoming Tuesday. 
Cheers</t>
        </is>
      </c>
      <c r="D6290" t="n">
        <v>1</v>
      </c>
      <c r="E6290" t="n">
        <v>4</v>
      </c>
      <c r="F6290">
        <f>HYPERLINK("https://www.reddit.com/r/cancer/comments/e73es4/seeing_oncologist_again_should_i_ask_for_any/")</f>
        <v/>
      </c>
      <c r="G6290" t="inlineStr">
        <is>
          <t>2019-12-06 11:39:40</t>
        </is>
      </c>
      <c r="H6290" t="inlineStr"/>
    </row>
    <row r="6291">
      <c r="A6291" t="inlineStr">
        <is>
          <t>e75j2y</t>
        </is>
      </c>
      <c r="B6291" t="inlineStr">
        <is>
          <t>Mammography bill in my mom’s mail?</t>
        </is>
      </c>
      <c r="C6291" t="inlineStr">
        <is>
          <t>Hey reddit, I don’t know if this is the best place to post this.
But I was in my mom’s kitchen and saw a bill from Yale Medicine for a “screening mammography”, “breast uni real time with image” and “screening digital breast tomosynthesis”, and have no idea what any of that means...
Is it just a normal screening women get as they age? Should I be worried? My mother is a very secretive person; she kept her divorce from my dad a secret for YEARS. 
Thank you to anyone with a possible answer.</t>
        </is>
      </c>
      <c r="D6291" t="n">
        <v>1</v>
      </c>
      <c r="E6291" t="n">
        <v>4</v>
      </c>
      <c r="F6291">
        <f>HYPERLINK("https://www.reddit.com/r/cancer/comments/e75j2y/mammography_bill_in_my_moms_mail/")</f>
        <v/>
      </c>
      <c r="G6291" t="inlineStr">
        <is>
          <t>2019-12-06 14:20:15</t>
        </is>
      </c>
      <c r="H6291" t="inlineStr"/>
    </row>
    <row r="6292">
      <c r="A6292" t="inlineStr">
        <is>
          <t>e76qkh</t>
        </is>
      </c>
      <c r="B6292" t="inlineStr">
        <is>
          <t>Seeking advice on how to handle this situation</t>
        </is>
      </c>
      <c r="C6292" t="inlineStr">
        <is>
          <t>Hi! First time posting on this sub.
My uncle has stage 4 lung cancer and it has spread to his lymph nodes and to the bones. He’s undergone 8 rounds of chemo here at the md Anderson in Houston Texas. 
But this last pet scan showed that the second line of chemo wasn’t able to stop the spreading of it any further.
We asked for another test to see if they could determine what sort of mutations are causing this and if there is any targetable treatment he could do.
He’s lost his hair, he’s lost a lot of weight and he’s in pain. 
It truly breaks my heart to see him like this. Does anyone have any advice on what we could do? 
Maybe there’s another hospital we could go to? Treatments that could help?
Thanks for the help...</t>
        </is>
      </c>
      <c r="D6292" t="n">
        <v>1</v>
      </c>
      <c r="E6292" t="n">
        <v>0</v>
      </c>
      <c r="F6292">
        <f>HYPERLINK("https://www.reddit.com/r/cancer/comments/e76qkh/seeking_advice_on_how_to_handle_this_situation/")</f>
        <v/>
      </c>
      <c r="G6292" t="inlineStr">
        <is>
          <t>2019-12-06 15:55:16</t>
        </is>
      </c>
      <c r="H6292" t="inlineStr"/>
    </row>
    <row r="6293">
      <c r="A6293" t="inlineStr">
        <is>
          <t>e775ss</t>
        </is>
      </c>
      <c r="B6293" t="inlineStr">
        <is>
          <t>I feel guilty</t>
        </is>
      </c>
      <c r="C6293" t="inlineStr">
        <is>
          <t>My MIL was just diagnosed w/ stage IV colon cancer today. 
We live near each other, but not close enough to see one another as often as we'd like. When I saw her back in February, she had lost some weight. It wasn't an unusual amount (maybe 20 lbs), but now that I think of it, 20 lbs between Christmas and Valentine's Day is a lot. I KNOW unintentional weight loss means something is wrong, but she assured me she had just changed her eating habits. She didn't want us to worry.
The next time my husband and I spent a significant amount of time with her was about a month ago for my husband's birthday. He and his dad spent the weekend fishing while she and I had a really nice weekend shopping and catching up. Except she had lost 25 more lbs, and she was barely eating. If she did eat, she had to run to the bathroom very soon after. I told her that wasn't normal; that she needs to go to her doctor, but she and my FIL had a trip coming up to visit family and see New England, so she said she would when she got back because she didn't want us to worry.
Except she still put it off. My SIL and I started pestering her, but her sons (our husbands) and her husband didn't push it, and we didn't want to overstep. And again, she didn't want us to worry. 
Now here we are. Everything came to a head today. She went to the ER last night because she couldn't keep any food down yesterday, and we just got a diagnosis about an hour ago. I feel guilty.</t>
        </is>
      </c>
      <c r="D6293" t="n">
        <v>1</v>
      </c>
      <c r="E6293" t="n">
        <v>9</v>
      </c>
      <c r="F6293">
        <f>HYPERLINK("https://www.reddit.com/r/cancer/comments/e775ss/i_feel_guilty/")</f>
        <v/>
      </c>
      <c r="G6293" t="inlineStr">
        <is>
          <t>2019-12-06 16:30:39</t>
        </is>
      </c>
      <c r="H6293" t="inlineStr"/>
    </row>
    <row r="6294">
      <c r="A6294" t="inlineStr">
        <is>
          <t>e77g85</t>
        </is>
      </c>
      <c r="B6294" t="inlineStr">
        <is>
          <t>Well.... I never thought this would happen as a guy</t>
        </is>
      </c>
      <c r="C6294" t="inlineStr">
        <is>
          <t>I'm getting a mistechtamy in a week or two.
I have EP+, HER2- Invasive ductal carcinoma.
..... Fuck cancer.</t>
        </is>
      </c>
      <c r="D6294" t="n">
        <v>1</v>
      </c>
      <c r="E6294" t="n">
        <v>4</v>
      </c>
      <c r="F6294">
        <f>HYPERLINK("https://www.reddit.com/r/cancer/comments/e77g85/well_i_never_thought_this_would_happen_as_a_guy/")</f>
        <v/>
      </c>
      <c r="G6294" t="inlineStr">
        <is>
          <t>2019-12-06 16:54:43</t>
        </is>
      </c>
      <c r="H6294" t="inlineStr"/>
    </row>
    <row r="6295">
      <c r="A6295" t="inlineStr">
        <is>
          <t>e77wvl</t>
        </is>
      </c>
      <c r="B6295" t="inlineStr">
        <is>
          <t>Not sure how to keep putting on a brave face</t>
        </is>
      </c>
      <c r="C6295" t="inlineStr">
        <is>
          <t>I've been dealing with my recovery from acute lymphoblastic leukemia for 8 years. I went through heavy chemo, full body radiation, and a clinical trial for half matched bone marrow transplant. Recovery had its ups and downs, and had a tumor removed from my throat three years ago in my thyroid. While getting checked for a new surgery to repair my ankle, they saw a spot that looked concerning, which is being biopsied for melanoma. They also did a CT scan of my chest as I've been dealing with reduced lung capacity from the radiation I had. The scan came back showing 2 new nodes in my left lung, and a lesion on my spine. Needless to say, it's freaking me out. My parents are elderly. I don't want to worry them as they haven't handled any of my cancer news well over the years, but I don't want to lie either. I haven't really told anyone about this. I'm obviously going to need more tests. I don't post about my health any more of social media because it feels like I'm seeking attention and that isn't my style. I know I wouldn't fare well with more treatments as my organs took a lot of damage the first go around. I want to be positive and put on a strong face but I'm really not sure how to. Cancer takes and it takes and it continues to take some more.  I'm at a loss right now. If this means something bad, how do you know when it's not worth trying to fix it?</t>
        </is>
      </c>
      <c r="D6295" t="n">
        <v>1</v>
      </c>
      <c r="E6295" t="n">
        <v>7</v>
      </c>
      <c r="F6295">
        <f>HYPERLINK("https://www.reddit.com/r/cancer/comments/e77wvl/not_sure_how_to_keep_putting_on_a_brave_face/")</f>
        <v/>
      </c>
      <c r="G6295" t="inlineStr">
        <is>
          <t>2019-12-06 17:35:36</t>
        </is>
      </c>
      <c r="H6295" t="inlineStr"/>
    </row>
    <row r="6296">
      <c r="A6296" t="inlineStr">
        <is>
          <t>e790nx</t>
        </is>
      </c>
      <c r="B6296" t="inlineStr">
        <is>
          <t>hey! just a few questions!</t>
        </is>
      </c>
      <c r="C6296" t="inlineStr">
        <is>
          <t>so my brother has brain cancer (10M) and he has had to have a few timor’s removed and a few parts of his brain removed. as a worrying sister what does the future look like for him? he has been completely cancer free for 3 months but i was wondering what’s going to happen as he gets older? thanks x</t>
        </is>
      </c>
      <c r="D6296" t="n">
        <v>1</v>
      </c>
      <c r="E6296" t="n">
        <v>3</v>
      </c>
      <c r="F6296">
        <f>HYPERLINK("https://www.reddit.com/r/cancer/comments/e790nx/hey_just_a_few_questions/")</f>
        <v/>
      </c>
      <c r="G6296" t="inlineStr">
        <is>
          <t>2019-12-06 19:13:18</t>
        </is>
      </c>
      <c r="H6296" t="inlineStr"/>
    </row>
    <row r="6297">
      <c r="A6297" t="inlineStr">
        <is>
          <t>e79amo</t>
        </is>
      </c>
      <c r="B6297" t="inlineStr">
        <is>
          <t>Cancer free after a stage IV diagnosis. How to stop living in fear that it will return?</t>
        </is>
      </c>
      <c r="C6297" t="inlineStr">
        <is>
          <t>My dad had stage IV colon cancer, and he is officially cancer free after surgery (yay!). But, I can't stop living in fear.
I get scared everyday that the cancer will return with a vengeance. I get scared that this will be his last Christmas. He is cancer free now. Healthy, all things considered. But im honestly lore nervous than ever.
Is this normal? Should I feel this way? Does it ever go away?</t>
        </is>
      </c>
      <c r="D6297" t="n">
        <v>1</v>
      </c>
      <c r="E6297" t="n">
        <v>12</v>
      </c>
      <c r="F6297">
        <f>HYPERLINK("https://www.reddit.com/r/cancer/comments/e79amo/cancer_free_after_a_stage_iv_diagnosis_how_to/")</f>
        <v/>
      </c>
      <c r="G6297" t="inlineStr">
        <is>
          <t>2019-12-06 19:38:31</t>
        </is>
      </c>
      <c r="H6297" t="inlineStr"/>
    </row>
    <row r="6298">
      <c r="A6298" t="inlineStr">
        <is>
          <t>e7bt8l</t>
        </is>
      </c>
      <c r="B6298" t="inlineStr">
        <is>
          <t>Isolation after diagnosis</t>
        </is>
      </c>
      <c r="C6298" t="inlineStr">
        <is>
          <t>I'm 24 and just got diagnosed with kidney cancer. I'm waiting on surgery Dec 11th (not far away.) 
Since I told my social circle they have all abandoned me. My family (outside the nuclear parents and siblings) didn't care at all. It just cut a lot that all these people in my life that I thought would be there for me are just gone. 
It's very isolating to carry the burden of my illness. I don't know the exact stage yet, and I won't know if it's in the blood until labs come back; I have been told it's a possibility which will mean a terminal diagnosis. 
Anyway, I'm posting here to network a bit with people who understand what it's like to go through this.</t>
        </is>
      </c>
      <c r="D6298" t="n">
        <v>1</v>
      </c>
      <c r="E6298" t="n">
        <v>38</v>
      </c>
      <c r="F6298">
        <f>HYPERLINK("https://www.reddit.com/r/cancer/comments/e7bt8l/isolation_after_diagnosis/")</f>
        <v/>
      </c>
      <c r="G6298" t="inlineStr">
        <is>
          <t>2019-12-07 00:14:23</t>
        </is>
      </c>
      <c r="H6298" t="inlineStr"/>
    </row>
    <row r="6299">
      <c r="A6299" t="inlineStr">
        <is>
          <t>e7cs1p</t>
        </is>
      </c>
      <c r="B6299" t="inlineStr">
        <is>
          <t>My wife's best friend just passed due to cancer, she wants to do a donation for Christmas in her honor but we're not sure where.</t>
        </is>
      </c>
      <c r="C6299" t="inlineStr">
        <is>
          <t>My wife only knew her friend for a few years, they were coworkers and she had became ill with breast cancer which she beat, however the cancer returned earlier this year and started attacking her organs and sadly she passed away suddenly earlier this week. My wife is understandably devastated and is going through the part of the grieving process right now where she's kicking herself for not offering to go to Chemo treatments with her and stuff like that. I suggested that other than the little bit of stuff we've already bought eachother for Christmas we take the rest of our "ourselves" budget (around $150) and donate it to a cancer related charity in her friends honor, she agreed it was a good idea, now the issue is what are the best ones to give too?
I'm personally leaning towards some sort of child related one, something to help gives kids in the hospital a Christmas if you will but I'm not sure if my wife has any specific ones in mind (I don't want to pressure her about it right now because of how emotional she still is). Generally I'm just looking for ideas of where to send the donation I guess.</t>
        </is>
      </c>
      <c r="D6299" t="n">
        <v>1</v>
      </c>
      <c r="E6299" t="n">
        <v>11</v>
      </c>
      <c r="F6299">
        <f>HYPERLINK("https://www.reddit.com/r/cancer/comments/e7cs1p/my_wifes_best_friend_just_passed_due_to_cancer/")</f>
        <v/>
      </c>
      <c r="G6299" t="inlineStr">
        <is>
          <t>2019-12-07 02:21:15</t>
        </is>
      </c>
      <c r="H6299" t="inlineStr"/>
    </row>
    <row r="6300">
      <c r="A6300" t="inlineStr">
        <is>
          <t>e7d8ps</t>
        </is>
      </c>
      <c r="B6300" t="inlineStr">
        <is>
          <t>Anybody here in remission receive cisplatin or carboplatin and still have extreme sensitivity to the cold?</t>
        </is>
      </c>
      <c r="C6300" t="inlineStr">
        <is>
          <t>I'm like 4 years in remission now but anything below 40 degrees and I'm absolutely freezing. It's miserable. It's like my whole body and state of mind just gives up</t>
        </is>
      </c>
      <c r="D6300" t="n">
        <v>1</v>
      </c>
      <c r="E6300" t="n">
        <v>3</v>
      </c>
      <c r="F6300">
        <f>HYPERLINK("https://www.reddit.com/r/cancer/comments/e7d8ps/anybody_here_in_remission_receive_cisplatin_or/")</f>
        <v/>
      </c>
      <c r="G6300" t="inlineStr">
        <is>
          <t>2019-12-07 03:22:03</t>
        </is>
      </c>
      <c r="H6300" t="inlineStr"/>
    </row>
    <row r="6301">
      <c r="A6301" t="inlineStr">
        <is>
          <t>e7efgs</t>
        </is>
      </c>
      <c r="B6301" t="inlineStr">
        <is>
          <t>Im losing a dear one and I'm dying inside</t>
        </is>
      </c>
      <c r="C6301" t="inlineStr">
        <is>
          <t>She got cancer few years back and was cancer free for a year, later on she got aggressive leukemia and although she fought like a lioness, the cancer won and now she's at home waiting to leave. 
I don't know how to explain what I feel, the anger, the sadness, the feeling of suffocation I get when I think about it or even the pain I have. This woman is my aunt, but more than an aut, she's my mother, she took care of me since I was 2 months old, my first memories are with her and through the years, she's been my pillar. We live in different continents and we been apart since long but I knew she was there and no matter the adversities of life, in the distance, she was giving me a helping hand and the love I needed. I do my best to be in touch with her through whatsapp but is not enough, I try even to ignore the fact she doesn't have much time left and I hope for a miracle, but I know deep in my soul that the time is near. Nobody can understand the pain I have inside or the stress I feel at this moment. She replaced my parents since I was a baby and now, old as I am, I feel im losing everything. I feel guilty I can't be by her side or the fact I couldn't travel with my kids to see her, in fact, it's her wish to see us and she will die without fullfilling her wish. 
I dunno how to make understand the family that she needs their support and not only the prayers that promises healing. We talked 2 weeks ago and she told me she was scared but needed to be strong for the cause of her family, wishing to die after christmas so she wouldn't spoil their holidays. I got angry and sad, somehow I feel that maybe she doesn't have the support she needs, everyone tries to cope with their own pain but who's bearing her fears and own pain? After all, she's leaving all she loves behind. I might be wrong but the sadness and guilt is killing me inside, who Am I to decide what's wrong or right in this situation?? Im just devasted.</t>
        </is>
      </c>
      <c r="D6301" t="n">
        <v>1</v>
      </c>
      <c r="E6301" t="n">
        <v>1</v>
      </c>
      <c r="F6301">
        <f>HYPERLINK("https://www.reddit.com/r/cancer/comments/e7efgs/im_losing_a_dear_one_and_im_dying_inside/")</f>
        <v/>
      </c>
      <c r="G6301" t="inlineStr">
        <is>
          <t>2019-12-07 05:42:29</t>
        </is>
      </c>
      <c r="H6301" t="inlineStr"/>
    </row>
    <row r="6302">
      <c r="A6302" t="inlineStr">
        <is>
          <t>e7emuz</t>
        </is>
      </c>
      <c r="B6302" t="inlineStr">
        <is>
          <t>Scanxiety over the weekend</t>
        </is>
      </c>
      <c r="C6302" t="inlineStr">
        <is>
          <t>The person closest to me had a CT scan yesterday at 5:30pm. Of course this means we get results on Monday at the earliest. I’m struggling a lot mentally. I’m a nurse so I know what we could be facing. He doesn’t know how bad it could be. And though we tell each other everything, I haven’t told him. 
Bluntly put, this scan will tell us whether or not he’s got any chance at survival. The possible outcomes would be all-clear (that’d be a Christmas miracle, and I want it so very badly), a tough battle ahead (but a chance, no matter how slim), or no chance of a good outcome. 
Praying and hoping and begging the Universe. 
He’s my rock. My anchor. I don’t know how to begin to cope if we get the worst news.
I know we’ve been so blessed the last 4.5 years since the transplant but I want more time please...
How do people cope over the weekend waiting? I don’t know how long the wait will be but it’s already intolerable.</t>
        </is>
      </c>
      <c r="D6302" t="n">
        <v>1</v>
      </c>
      <c r="E6302" t="n">
        <v>1</v>
      </c>
      <c r="F6302">
        <f>HYPERLINK("https://www.reddit.com/r/cancer/comments/e7emuz/scanxiety_over_the_weekend/")</f>
        <v/>
      </c>
      <c r="G6302" t="inlineStr">
        <is>
          <t>2019-12-07 06:02:44</t>
        </is>
      </c>
      <c r="H6302" t="inlineStr"/>
    </row>
    <row r="6303">
      <c r="A6303" t="inlineStr">
        <is>
          <t>e7fwg3</t>
        </is>
      </c>
      <c r="B6303" t="inlineStr">
        <is>
          <t>Most of cancer gone except some pesky nodes</t>
        </is>
      </c>
      <c r="C6303" t="inlineStr">
        <is>
          <t>Hi everyone,
We had hoped for a clear scan for my mother’s cancer, but while most of the recurrence from her endometrial cancer is gone - which is a huge achievement - there are two pesky nodes (6mm each) hanging out in her omentum. 
Her doctor isn’t recommending further chemo (she’s had 9 rounds already) and she’s going there for a consult on Tuesday to discuss next steps... but I don’t have a great feeling about this. Her cancer is extremely rare and aggressive (clear cell endometrial cancer) so any small amount lingering will quickly spread. The only other options as I see it are surgery or immunotherapy, but it doesn’t seem to make sense to do either just to remove two tiny nodes.
Thoughts? I don’t get much traction with posts here, but... just trying again.</t>
        </is>
      </c>
      <c r="D6303" t="n">
        <v>1</v>
      </c>
      <c r="E6303" t="n">
        <v>37</v>
      </c>
      <c r="F6303">
        <f>HYPERLINK("https://www.reddit.com/r/cancer/comments/e7fwg3/most_of_cancer_gone_except_some_pesky_nodes/")</f>
        <v/>
      </c>
      <c r="G6303" t="inlineStr">
        <is>
          <t>2019-12-07 07:55:56</t>
        </is>
      </c>
      <c r="H6303" t="inlineStr"/>
    </row>
    <row r="6304">
      <c r="A6304" t="inlineStr">
        <is>
          <t>e7g0u5</t>
        </is>
      </c>
      <c r="B6304" t="inlineStr">
        <is>
          <t>Recommendations for finger protectors?</t>
        </is>
      </c>
      <c r="C6304" t="inlineStr">
        <is>
          <t>My dad has been on chemo since June 2017 and his finger tips are all split. He can’t use them for anything without causing himself extreme pain. He mentioned that he would like some finger protectors. I looked them up and there are all kinds, so I’m wondering if anyone has experience with a specific one that’s good? 
Thank you!!</t>
        </is>
      </c>
      <c r="D6304" t="n">
        <v>1</v>
      </c>
      <c r="E6304" t="n">
        <v>5</v>
      </c>
      <c r="F6304">
        <f>HYPERLINK("https://www.reddit.com/r/cancer/comments/e7g0u5/recommendations_for_finger_protectors/")</f>
        <v/>
      </c>
      <c r="G6304" t="inlineStr">
        <is>
          <t>2019-12-07 08:06:03</t>
        </is>
      </c>
      <c r="H6304" t="inlineStr"/>
    </row>
    <row r="6305">
      <c r="A6305" t="inlineStr">
        <is>
          <t>e7gw2l</t>
        </is>
      </c>
      <c r="B6305" t="inlineStr">
        <is>
          <t>Family holiday.</t>
        </is>
      </c>
      <c r="C6305" t="inlineStr">
        <is>
          <t>So, I'm on a family holiday this weekend. I almost didn't make it a few times but I did. It seems I made it here only to feel too sick and poorly to do anything.
After a long day of travelling yesterday i had terrible sleep in a foreign bed and am just feeling more and more ill the longer I'm here.
I forced myself out for a nice walk today with everyone but I've had to walk myself back to the house we're staying at because I felt like I was either going to collapse, projectile vomit or just break down in tears in the middle of the bar we went to.
I'm frustrated as I'm trying my best to make sure my wife and family enjoy their holiday (as let's be honest we're not sure how many more I'll be attending). But even through all my effort I am still laid in bed in a dark house on my own feeling terrible.
I'm sorry, I'm not sure why I'm posting this but I feel i had to vent this somewhere and I didn't know where to go to do it. Laid here crying to myself doesn't seem to be making me feel any better so maybe this will... 
I hope everyone is having their best day.
Take care.</t>
        </is>
      </c>
      <c r="D6305" t="n">
        <v>1</v>
      </c>
      <c r="E6305" t="n">
        <v>17</v>
      </c>
      <c r="F6305">
        <f>HYPERLINK("https://www.reddit.com/r/cancer/comments/e7gw2l/family_holiday/")</f>
        <v/>
      </c>
      <c r="G6305" t="inlineStr">
        <is>
          <t>2019-12-07 09:15:06</t>
        </is>
      </c>
      <c r="H6305" t="inlineStr"/>
    </row>
    <row r="6306">
      <c r="A6306" t="inlineStr">
        <is>
          <t>e7hc5b</t>
        </is>
      </c>
      <c r="B6306" t="inlineStr">
        <is>
          <t>Does anyone know the aftermath of buccal carcinoma? Do you know anyone who’s gone through this and how was their recovery?</t>
        </is>
      </c>
      <c r="C6306" t="inlineStr">
        <is>
          <t>My family member was diagnosed with buccal carcinoma in March this year. He has undergone surgery and radiotherapy. 
He visits the doctors and everything is fine until now. I would like to know how is the aftermath of the treatment? What is the 5 years rule? Should we be worried?</t>
        </is>
      </c>
      <c r="D6306" t="n">
        <v>1</v>
      </c>
      <c r="E6306" t="n">
        <v>3</v>
      </c>
      <c r="F6306">
        <f>HYPERLINK("https://www.reddit.com/r/cancer/comments/e7hc5b/does_anyone_know_the_aftermath_of_buccal/")</f>
        <v/>
      </c>
      <c r="G6306" t="inlineStr">
        <is>
          <t>2019-12-07 09:49:39</t>
        </is>
      </c>
      <c r="H6306" t="inlineStr"/>
    </row>
    <row r="6307">
      <c r="A6307" t="inlineStr">
        <is>
          <t>e7hmdf</t>
        </is>
      </c>
      <c r="B6307" t="inlineStr">
        <is>
          <t>Not sure if this is the right place but is a malpractice suit an option?</t>
        </is>
      </c>
      <c r="C6307" t="inlineStr">
        <is>
          <t>A very close family friend was recently diagnosed with ovarian cancer. When she went to the specialist she complained she could not breath and that her legs hurt a lot. The oncologist said it's just a side effect of the cancer. When she went in for chemo it turns out she had blood clots all in her lungs and eventually she got a stroke and now she just went into cardiac arrest and is probably going to pass away in the next few days. 
I feel like if the oncologist had said blood clots were a possible factor, this all could have been avoided but maybe I'm just angry at the world. Is malpractice even an option here?</t>
        </is>
      </c>
      <c r="D6307" t="n">
        <v>1</v>
      </c>
      <c r="E6307" t="n">
        <v>3</v>
      </c>
      <c r="F6307">
        <f>HYPERLINK("https://www.reddit.com/r/cancer/comments/e7hmdf/not_sure_if_this_is_the_right_place_but_is_a/")</f>
        <v/>
      </c>
      <c r="G6307" t="inlineStr">
        <is>
          <t>2019-12-07 10:11:54</t>
        </is>
      </c>
      <c r="H6307" t="inlineStr"/>
    </row>
    <row r="6308">
      <c r="A6308" t="inlineStr">
        <is>
          <t>e7i674</t>
        </is>
      </c>
      <c r="B6308" t="inlineStr">
        <is>
          <t>Looks like I have sarcoma</t>
        </is>
      </c>
      <c r="C6308" t="inlineStr">
        <is>
          <t>Hello everyone. After many months of my doctors' trying to figure out what this large bump in my thigh was, finally my ortho sent me to an oncologist. Oncologist wants me to do a biopsy under a CT scan, and CT other parts of my body, Tuesday, so I don't know if it is sarcoma. But the oncologist used words like "very concerning" and "aggressive."
I'm going through a lot of emotions. Numbness and ugly crying. Even get panicky at times if my start dwelling on it.
My mom was able to come up and come with me to the oncologist. My parents are retired and live about three hours away from me (36m).
I'm pretty scared, no lie. I really don't know what to do, what to think, how to act. I can tell my mom is freaking out. I held it together pretty well after my appointment yesterday, but when I called my dad I lost it, and so did she.
I was supposed to go visit my brother, sister-in-law, and two nieces this weekend. Had to cancel. Told my brother the reason, now he's worrying.
What do I do? Anyone have experience with sarcoma?</t>
        </is>
      </c>
      <c r="D6308" t="n">
        <v>1</v>
      </c>
      <c r="E6308" t="n">
        <v>23</v>
      </c>
      <c r="F6308">
        <f>HYPERLINK("https://www.reddit.com/r/cancer/comments/e7i674/looks_like_i_have_sarcoma/")</f>
        <v/>
      </c>
      <c r="G6308" t="inlineStr">
        <is>
          <t>2019-12-07 10:53:37</t>
        </is>
      </c>
      <c r="H6308" t="inlineStr"/>
    </row>
    <row r="6309">
      <c r="A6309" t="inlineStr">
        <is>
          <t>e7ivi5</t>
        </is>
      </c>
      <c r="B6309" t="inlineStr">
        <is>
          <t>How to put cancer in my resume without milking it.</t>
        </is>
      </c>
      <c r="C6309" t="inlineStr">
        <is>
          <t>I’m gonna be done with my cancer treatment after a surgery in December. By February I’ll be able to work. What I want to know is how do I put it in my resume that for the past year I’ve been doing surgery and chemo and
Just waiting around for news about my treatment. I also don’t want to list it as a skill or something positive. I feel uncomfortable touting about my cancer experience like some sort of special badge. It doesn’t effect my ability to work so it shouldn’t matter. I just want to explain the past year of my life why I didn’t have a job.</t>
        </is>
      </c>
      <c r="D6309" t="n">
        <v>1</v>
      </c>
      <c r="E6309" t="n">
        <v>12</v>
      </c>
      <c r="F6309">
        <f>HYPERLINK("https://www.reddit.com/r/cancer/comments/e7ivi5/how_to_put_cancer_in_my_resume_without_milking_it/")</f>
        <v/>
      </c>
      <c r="G6309" t="inlineStr">
        <is>
          <t>2019-12-07 11:43:28</t>
        </is>
      </c>
      <c r="H6309" t="inlineStr"/>
    </row>
    <row r="6310">
      <c r="A6310" t="inlineStr">
        <is>
          <t>e7jiv6</t>
        </is>
      </c>
      <c r="B6310" t="inlineStr">
        <is>
          <t>Lightening struck twice for this family - any advice appreciated.</t>
        </is>
      </c>
      <c r="C6310" t="inlineStr">
        <is>
          <t>Hi everyone - hope this is ok to post, I’m feeling very lost and weirdly lonely despite being surrounded by lovely people. 
My Mum was diagnosed with a primary brain tumour very recently, and within a week, my stepdad was diagnosed with tongue and throat cancer. 
To put it bluntly; fuck cancer. Fuck it fuck it fuck it. 
Both have had their biopsies and been advised that they will require chemo &amp;amp; radiotherapy(?) and it looks like it will be in a similar timescale. 
I would really appreciate any guidance or advice on “things they don’t tell you about chemo” or “things that can make life a little easier”. Even if it’s hard to hear, being forewarned is better I guess?? 
If there’s anything I can do to help, I want to. 
Thank you for your time if you read this, and thank you if you’re able to offer any guidance. 
Ps. Fuck cancer.</t>
        </is>
      </c>
      <c r="D6310" t="n">
        <v>1</v>
      </c>
      <c r="E6310" t="n">
        <v>28</v>
      </c>
      <c r="F6310">
        <f>HYPERLINK("https://www.reddit.com/r/cancer/comments/e7jiv6/lightening_struck_twice_for_this_family_any/")</f>
        <v/>
      </c>
      <c r="G6310" t="inlineStr">
        <is>
          <t>2019-12-07 12:33:12</t>
        </is>
      </c>
      <c r="H6310" t="inlineStr"/>
    </row>
    <row r="6311">
      <c r="A6311" t="inlineStr">
        <is>
          <t>e7lhje</t>
        </is>
      </c>
      <c r="B6311" t="inlineStr">
        <is>
          <t>Lost the battle this morning</t>
        </is>
      </c>
      <c r="C6311" t="inlineStr">
        <is>
          <t>It was expected in that it was stage 4, unexpected in that it happened so suddenly. I'm devastated. 
This sub has been a real support for me, thank you all.
Fuuuuck cancer. I miss you already.</t>
        </is>
      </c>
      <c r="D6311" t="n">
        <v>1</v>
      </c>
      <c r="E6311" t="n">
        <v>21</v>
      </c>
      <c r="F6311">
        <f>HYPERLINK("https://www.reddit.com/r/cancer/comments/e7lhje/lost_the_battle_this_morning/")</f>
        <v/>
      </c>
      <c r="G6311" t="inlineStr">
        <is>
          <t>2019-12-07 15:07:15</t>
        </is>
      </c>
      <c r="H6311" t="inlineStr"/>
    </row>
    <row r="6312">
      <c r="A6312" t="inlineStr">
        <is>
          <t>e7lq8s</t>
        </is>
      </c>
      <c r="B6312" t="inlineStr">
        <is>
          <t>Dad visiting Oncologist and I have questions about his bloodwork</t>
        </is>
      </c>
      <c r="C6312" t="inlineStr">
        <is>
          <t>My mom just broke to me that my dad (61) will be visiting an oncologist for testing. I looked at his bloodwork and have questions regarding his results. He has high total protein levels, high Gamma globulin levels, and IGG Kappa Monoclonal Protein detected. Obviously, I have no idea what this means but some basic research leads to me things like multiple Myeloma. Obviously I hope for the best and nothing serious comes out, but what is likely hood of him having anything? I'm pretty anxious right now so I wanted to post here and get some answers in layman terms.</t>
        </is>
      </c>
      <c r="D6312" t="n">
        <v>1</v>
      </c>
      <c r="E6312" t="n">
        <v>4</v>
      </c>
      <c r="F6312">
        <f>HYPERLINK("https://www.reddit.com/r/cancer/comments/e7lq8s/dad_visiting_oncologist_and_i_have_questions/")</f>
        <v/>
      </c>
      <c r="G6312" t="inlineStr">
        <is>
          <t>2019-12-07 15:27:14</t>
        </is>
      </c>
      <c r="H6312" t="inlineStr"/>
    </row>
    <row r="6313">
      <c r="A6313" t="inlineStr">
        <is>
          <t>e7n5jf</t>
        </is>
      </c>
      <c r="B6313" t="inlineStr">
        <is>
          <t>Please Pray</t>
        </is>
      </c>
      <c r="C6313" t="inlineStr">
        <is>
          <t>Sorry this is Chases parents. Chase is in a Coma from heart failure
I’m sorry for with this news.
 If you have any questions you may ask</t>
        </is>
      </c>
      <c r="D6313" t="n">
        <v>1</v>
      </c>
      <c r="E6313" t="n">
        <v>2</v>
      </c>
      <c r="F6313">
        <f>HYPERLINK("https://www.reddit.com/r/cancer/comments/e7n5jf/please_pray/")</f>
        <v/>
      </c>
      <c r="G6313" t="inlineStr">
        <is>
          <t>2019-12-07 17:27:53</t>
        </is>
      </c>
      <c r="H6313" t="inlineStr"/>
    </row>
    <row r="6314">
      <c r="A6314" t="inlineStr">
        <is>
          <t>e7nkpm</t>
        </is>
      </c>
      <c r="B6314" t="inlineStr">
        <is>
          <t>What do you get your wife with newly diagnosed terminal cancer for Christmas?</t>
        </is>
      </c>
      <c r="C6314" t="inlineStr">
        <is>
          <t>What do you get  your wife with newly diagnosed terminal cancer for Christmas?</t>
        </is>
      </c>
      <c r="D6314" t="n">
        <v>1</v>
      </c>
      <c r="E6314" t="n">
        <v>12</v>
      </c>
      <c r="F6314">
        <f>HYPERLINK("https://www.reddit.com/r/cancer/comments/e7nkpm/what_do_you_get_your_wife_with_newly_diagnosed/")</f>
        <v/>
      </c>
      <c r="G6314" t="inlineStr">
        <is>
          <t>2019-12-07 18:05:51</t>
        </is>
      </c>
      <c r="H6314" t="inlineStr"/>
    </row>
    <row r="6315">
      <c r="A6315" t="inlineStr">
        <is>
          <t>e7nwag</t>
        </is>
      </c>
      <c r="B6315" t="inlineStr">
        <is>
          <t>Chemotherapy Blanket Question</t>
        </is>
      </c>
      <c r="C6315" t="inlineStr">
        <is>
          <t>My Grandma has cancer and is going through chemotherapy/immunotherapy treatments. She is looking for a battery powered electric blanket that she can take to her treatments to keep her warm, even if she is away from a plug. I have been searching online and I cannot seem to find one that is not for hardcore camping and therefore priced 300+. I am curious if there is a better option of blanket that will keep her warm but not be so spendy. I have seen electric blankets that will work with an external charger and USB port, but I think that may be too much for her to think about... Any ideas?! Thanks!!</t>
        </is>
      </c>
      <c r="D6315" t="n">
        <v>1</v>
      </c>
      <c r="E6315" t="n">
        <v>5</v>
      </c>
      <c r="F6315">
        <f>HYPERLINK("https://www.reddit.com/r/cancer/comments/e7nwag/chemotherapy_blanket_question/")</f>
        <v/>
      </c>
      <c r="G6315" t="inlineStr">
        <is>
          <t>2019-12-07 18:35:31</t>
        </is>
      </c>
      <c r="H6315" t="inlineStr"/>
    </row>
    <row r="6316">
      <c r="A6316" t="inlineStr">
        <is>
          <t>e7o2b5</t>
        </is>
      </c>
      <c r="B6316" t="inlineStr">
        <is>
          <t>Your nurses love you</t>
        </is>
      </c>
      <c r="C6316" t="inlineStr">
        <is>
          <t>Hi all- 
I know this time of the year can be really hard. Isolation, fake joy, grief, fear. I just want to make sure that people here know that your nurses love you. Even if we're appearing stressed, it's  never with you. Please talk to us, please let us know if you're feeling overwhelmed, depressed, anxious. We want to be there for you.
I lost my grandmother on christmas eve and my grandfather on Thanksgiving. These holidays are not the same for me, and if that's the case for the survivors of loved ones, know you're not alone. 
You can message me if feeling lonely or isolated. 
💜</t>
        </is>
      </c>
      <c r="D6316" t="n">
        <v>1</v>
      </c>
      <c r="E6316" t="n">
        <v>19</v>
      </c>
      <c r="F6316">
        <f>HYPERLINK("https://www.reddit.com/r/cancer/comments/e7o2b5/your_nurses_love_you/")</f>
        <v/>
      </c>
      <c r="G6316" t="inlineStr">
        <is>
          <t>2019-12-07 18:49:01</t>
        </is>
      </c>
      <c r="H6316" t="inlineStr"/>
    </row>
    <row r="6317">
      <c r="A6317" t="inlineStr">
        <is>
          <t>e7o521</t>
        </is>
      </c>
      <c r="B6317" t="inlineStr">
        <is>
          <t>Why it's important to not give up</t>
        </is>
      </c>
      <c r="C6317" t="inlineStr">
        <is>
          <t>Since 2017 summer, I am still a son of a mother, who is diagnosed with stage IV, cancer. I was the one to know first in my family to recieve the news that her cancer was already at terminal state and had already spread elsewhere; however, I had to finish my degree (I was studying abroad), so all the care and treatments were left to my father and brother who were able to stay in close proximity. 
Around 2019 summer, I was trying to find jobs in the abroad, but recieved a message from my brother that I should come back and visit cuz this year might be her last. During my absence, I always kept in contact and she seemed to be working to get better.
With that being said, I came back and was charged with taking care of her, but I was wrong to think my presence would lighten up the mood and progression.
The moment I talked with my mother, it was pretty clear she was tired, fed up, and was basically waiting for "peaceful death". I tried to keep my composure and said she has my support no matter what. Plus, she was asking me to take care of the family after she was gone (because I'm the eldest son). This all happened during summer of 2019 and I was jobless.
At this point, I couldn't fully commit to comforting her emotionally because she had no intention of going through pain and suffering to get better. Right now, all she cares is just keeping herself comfortable while waiting to die. I had to go reserve a seat for her cemetry because she wanted it done.
My father is currently on a break from work and I said I can't stay by her side forever as I saw no point in helping someone fully who is wishing to die, so I have a job and take care of her when in need.
With all these stories, I won't deny I am pretty much a messed up person and will go to hell, if there is a hell, but I just wanted to say that treatment requires effort, determination, and belief from patient as well.
Please don't give up like my mom and slowly kill people around you. End of human life is death, but if you live the best and put out your maximum effort on whatever you are facing, you will have full support from people. Be positive, uplifting, caring as a patient as well. It goes both ways.
Oh, and believe me. My dad tried his best to convince her that she will get better and he still seems to believe it somewhat. On the other hand, my brother is just clueless as shit and seems to be avoiding the situation because he is busy with his fucking masters degree. I basically gave up and just worried about my father's sanity as of now. My mom is basically just constanly asking for whatever makes her to be not in pain while not giving shit about anything else.
Thanks for reading this if you've made it this far and hopefully you will live out your best.
-best regards</t>
        </is>
      </c>
      <c r="D6317" t="n">
        <v>1</v>
      </c>
      <c r="E6317" t="n">
        <v>7</v>
      </c>
      <c r="F6317">
        <f>HYPERLINK("https://www.reddit.com/r/cancer/comments/e7o521/why_its_important_to_not_give_up/")</f>
        <v/>
      </c>
      <c r="G6317" t="inlineStr">
        <is>
          <t>2019-12-07 18:55:31</t>
        </is>
      </c>
      <c r="H6317" t="inlineStr"/>
    </row>
    <row r="6318">
      <c r="A6318" t="inlineStr">
        <is>
          <t>e7slez</t>
        </is>
      </c>
      <c r="B6318" t="inlineStr">
        <is>
          <t>Life after cancer</t>
        </is>
      </c>
      <c r="C6318" t="inlineStr">
        <is>
          <t>I am 18F and won cancer recently. I think how I will live now. I want to get pregnant this year. I am just bit scared cancer can come back.</t>
        </is>
      </c>
      <c r="D6318" t="n">
        <v>1</v>
      </c>
      <c r="E6318" t="n">
        <v>0</v>
      </c>
      <c r="F6318">
        <f>HYPERLINK("https://www.reddit.com/r/cancer/comments/e7slez/life_after_cancer/")</f>
        <v/>
      </c>
      <c r="G6318" t="inlineStr">
        <is>
          <t>2019-12-08 03:12:29</t>
        </is>
      </c>
      <c r="H6318" t="inlineStr"/>
    </row>
    <row r="6319">
      <c r="A6319" t="inlineStr">
        <is>
          <t>e7unfj</t>
        </is>
      </c>
      <c r="B6319" t="inlineStr">
        <is>
          <t>How aware are people at the end of their life with Brain Cancer?</t>
        </is>
      </c>
      <c r="C6319" t="inlineStr">
        <is>
          <t>I visited my friend today. I haven't seen him for a few years but I heard he had a terminal brain tumour and was in a hospice.
I wasn't sure what to expect, what to say or do. When I got there, he kind of looked at me and offered his hand which I lightly shook but thinking back, I'm not sure if he even recognised who I was.
He basically watched TV the whole time, not able to move much and didn't really acknowledge me. The only time he did was when I asked if he wanted a beer (which I had bought with me) and he muttered very softly "yes" and I poured some out and helped him drink it.
I guess my question is, it's very sad to see him like this. I'm just wondering, when someone gets to this stage, are they  aware of what's going on? I wasn't sure if he was like still mentally aware and just couldn't move or whether he had lost a lot of his cognition and wasn't really there anymore.</t>
        </is>
      </c>
      <c r="D6319" t="n">
        <v>1</v>
      </c>
      <c r="E6319" t="n">
        <v>5</v>
      </c>
      <c r="F6319">
        <f>HYPERLINK("https://www.reddit.com/r/cancer/comments/e7unfj/how_aware_are_people_at_the_end_of_their_life/")</f>
        <v/>
      </c>
      <c r="G6319" t="inlineStr">
        <is>
          <t>2019-12-08 07:01:02</t>
        </is>
      </c>
      <c r="H6319" t="inlineStr"/>
    </row>
    <row r="6320">
      <c r="A6320" t="inlineStr">
        <is>
          <t>e7xcs7</t>
        </is>
      </c>
      <c r="B6320" t="inlineStr">
        <is>
          <t>How to end cancer completely?</t>
        </is>
      </c>
      <c r="C6320" t="inlineStr">
        <is>
          <t>I have hope humanity can rid of cancer once and for all. The important key to defeat cancer is already found. I researched the topic of aging to elucidate the true mechanism of this process. Why is it linked to cancer? Cancer is an age-associated disease and intertwined with the problem of aging. Doctors usually disinform us that cancer is a result of mutations. You also can see not every case of cancer is marked by mutations because cancer is not caused by mutations but by several oncoviruses integrated into our genome millions of years ago. These viruses induce chronic inflammation. If it is strong enough, chronic inflammation reprograms cells to the unicellular state when they behave in a selfish manner. Inflammation was purposed to increase adaptability and support regeneration but these oncoviruses use this process against us. Cells start to grow in an uncontrollable way because the oncoviruses prevent the return to the normal somatic form. So if we turn them off, cancer will be eliminated. If chronic inflammation is quite low to be controlled by tumor suppressor p53, cells become old. Otherwise, if inflammation is too high, cells become cancerous. That's why if you get old, the odds of cancer increases because chronic inflammation rises with age. In a case, when some organ is damaged at the molecular or tissue level due to radiation, chronic disease, smoking (for lungs), etc this organ is at risk of cancer. So cancer is an anomaly of the aging program when it works in an excess form. Fortunately, we can end this problem completely. If to turn off these oncoviruses, we eliminate both aging and cancer. Gene therapy can achieve this in several years of research if we will focus on this technology.
Genetic engineering tools are improved so fast so we can easily modify the genome with minimal costs. Before 2013, genetic engineering was too ineffective and expensive technology. But now we can see absolutely a different situation. We don’t need even a complete shutdown of these viruses. If we can turn off the viruses in 90–95% cells, we can get a big improvement in the health. Moreover, it is easier to break the viruses than integrate a new gene. CRISPR was evolved as an antiviral tool in prokaryotes so we can use this tool as it is purposed. There are also new methods to deliver CRISPR into cells such as polymer nanoparticles. So we shouldn’t underestimate genetic engineering because this technology even can be greatly improved further. Due to this fact, gene therapy will be affordable almost for all.
[https://medium.com/@chingisochirov/hidden-enemy-in-our-cells-ae84efbdd9b9](https://medium.com/@chingisochirov/hidden-enemy-in-our-cells-ae84efbdd9b9)</t>
        </is>
      </c>
      <c r="D6320" t="n">
        <v>1</v>
      </c>
      <c r="E6320" t="n">
        <v>12</v>
      </c>
      <c r="F6320">
        <f>HYPERLINK("https://www.reddit.com/r/cancer/comments/e7xcs7/how_to_end_cancer_completely/")</f>
        <v/>
      </c>
      <c r="G6320" t="inlineStr">
        <is>
          <t>2019-12-08 10:30:42</t>
        </is>
      </c>
      <c r="H6320" t="inlineStr"/>
    </row>
    <row r="6321">
      <c r="A6321" t="inlineStr">
        <is>
          <t>e7ykd6</t>
        </is>
      </c>
      <c r="B6321" t="inlineStr">
        <is>
          <t>took care of my cousin with cancer this last week, destroyed me, questions about what I noticed</t>
        </is>
      </c>
      <c r="C6321" t="inlineStr">
        <is>
          <t>Hi all, 
Sorry if this is a bit of a jumble but I just got back from helping care for my cousin who has had throat cancer for a few years and am kinda a mess from the whole experience.   He has had horrible pain in his upper leg for like a month now and when I saw how much  pain he was in from it I was periodically taking breaks in the bathroom to cry, I did not want him to see me break down in front of him, he is very strong but I have never seen anyone in the kind of pain he is in.  The started putting him on norcos like 2 weeks ago, he was so against pills forever but finally gave in due to the pain. Those were not working so now on 15mg time release morphine twice a day, still seems to not help much.  
He went to get a scan a couple day ago on his leg, came back the day I had to leave that it is a tumor or cancerous "legion" (I may have that wrong) and they want to zap his leg with radiation to try and help the pain, but his leg is so weak they are afraid it will shatter the bone so they wan to put a  "Stint" (sorry if that is wrong also) in his leg, like a metal rod so then they can zap it.   
I dunno , this just seems like they are torturing him at this point,  the whole situation is so fucked up.  I've never been in so much  mental pain watching my cousin suffer, I would sit by his bed every-night with him and see him in pain in his sleep, when he could sleep, or he was just nodding off from the drugs, I can't really tell.    
Has anyone known anyone or them themselves been in a situation where it has spread to a part of the body and they want to put rods by bones to not shatter them with radiation?? I just want to know if there is any chance at all to live through this, I just don't see how he is going to  make it but i would literally give anything to have him be better and be who he used to be, but  just don't have the hope I used to have say a year ago.  
Much love to anyone dealing with this or helping anyone who is, I have seen allot in my time, but nothing like the pain of this.  My aunt told me when I left to come home that I was the only family member who has seen in person what he is going through, on the phone you can't tell at all.. but in person man, it is so hard.</t>
        </is>
      </c>
      <c r="D6321" t="n">
        <v>1</v>
      </c>
      <c r="E6321" t="n">
        <v>2</v>
      </c>
      <c r="F6321">
        <f>HYPERLINK("https://www.reddit.com/r/cancer/comments/e7ykd6/took_care_of_my_cousin_with_cancer_this_last_week/")</f>
        <v/>
      </c>
      <c r="G6321" t="inlineStr">
        <is>
          <t>2019-12-08 12:00:18</t>
        </is>
      </c>
      <c r="H6321" t="inlineStr"/>
    </row>
    <row r="6322">
      <c r="A6322" t="inlineStr">
        <is>
          <t>e7zew1</t>
        </is>
      </c>
      <c r="B6322" t="inlineStr">
        <is>
          <t>A Recovery From Cancer Through Homeopathy</t>
        </is>
      </c>
      <c r="C6322" t="inlineStr">
        <is>
          <t>Read online life positive magazine archive article -[A Recovery from Cancer Through Homeopathy](https://www.lifepositive.com/recovery-cancer-homeopathy/?utm_source=reddit&amp;amp;utm_medium=recovery-cancer-homeopathy)
&amp;amp;#x200B;
[Recovery From Cancer Through Homeopathy](https://preview.redd.it/07gax3nk4h341.jpg?width=259&amp;amp;format=pjpg&amp;amp;auto=webp&amp;amp;s=82fc0bcd036e7dba6e14a34691a33471978f6b10)</t>
        </is>
      </c>
      <c r="D6322" t="n">
        <v>1</v>
      </c>
      <c r="E6322" t="n">
        <v>0</v>
      </c>
      <c r="F6322">
        <f>HYPERLINK("https://www.reddit.com/r/cancer/comments/e7zew1/a_recovery_from_cancer_through_homeopathy/")</f>
        <v/>
      </c>
      <c r="G6322" t="inlineStr">
        <is>
          <t>2019-12-08 13:02:09</t>
        </is>
      </c>
      <c r="H6322" t="inlineStr"/>
    </row>
    <row r="6323">
      <c r="A6323" t="inlineStr">
        <is>
          <t>e7zqo4</t>
        </is>
      </c>
      <c r="B6323" t="inlineStr">
        <is>
          <t>A Recovery From Cancer Through Homeopathy</t>
        </is>
      </c>
      <c r="C6323" t="inlineStr">
        <is>
          <t>Read online life positive magazine archive article -[A Recovery from Cancer Through Homeopathy](https://www.lifepositive.com/recovery-cancer-homeopathy/)
&amp;amp;#x200B;
[Recovery From Cancer Through Homeopathy](https://preview.redd.it/4e9w943s8h341.jpg?width=259&amp;amp;format=pjpg&amp;amp;auto=webp&amp;amp;s=f6ef8e04539776a37916d9fac71678f127218536)</t>
        </is>
      </c>
      <c r="D6323" t="n">
        <v>1</v>
      </c>
      <c r="E6323" t="n">
        <v>0</v>
      </c>
      <c r="F6323">
        <f>HYPERLINK("https://www.reddit.com/r/cancer/comments/e7zqo4/a_recovery_from_cancer_through_homeopathy/")</f>
        <v/>
      </c>
      <c r="G6323" t="inlineStr">
        <is>
          <t>2019-12-08 13:25:16</t>
        </is>
      </c>
      <c r="H6323" t="inlineStr"/>
    </row>
    <row r="6324">
      <c r="A6324" t="inlineStr">
        <is>
          <t>e82wv4</t>
        </is>
      </c>
      <c r="B6324" t="inlineStr">
        <is>
          <t>For anybody who needs hope or faith in a miracle! In 2011, my dad was diagnosed with Stage 4 Lung Cancer at age 52, and given months to live. He’s still alive today and is a walking miracle. It does happen!</t>
        </is>
      </c>
      <c r="C6324" t="inlineStr">
        <is>
          <t xml:space="preserve">
In 2011, he got diagnosed with stage 4 lung cancer and tumors had also spread to his brain. The hospital he got diagnosed at gave him a couple months to live, and had a extreme chemo and radiation set up. 
My dad quit smoking instantly, and left that hospital. He took all that info and medical records to City Of Hope hospital and got a second opinion. The doctors at City of Hope were astonished at the radiation/chemo intensity and told my dad the other hospital would have made him a vegetable if he had followed through. 
They did surgery to remove the tumors on the brain and some radiation. And gave him low dose chemo and radiation for the lung tumors. 
After that, he was in remission for 3 years. In 2014 he had another mass on his lung. More radiation and a bit of chemo. 
Since then, he has been in remission. Two months ago he had a scan and his doctor was scared because he saw some masses on his brain that resembled cauliflower and we had to do a biopsy to find out what it was. 
A month later ? He had another scan and it was gone. The doctor says it’s a miracle and my dads a walking miracle.
Even though he might not be 100% who he was before the diagnosis, he’s still here. He might not have the same energy, stamina, and mental sharpness as he once did but he’s still here. He loses his balance sometimes, and forgets things. But that’s expected after the surgeries on the brain. He’s my hero and it’s a miracle he’s still here 
So if anybody is fighting this monster, please keep faith that you can beat this no matter what stage it’s at !!!</t>
        </is>
      </c>
      <c r="D6324" t="n">
        <v>1</v>
      </c>
      <c r="E6324" t="n">
        <v>22</v>
      </c>
      <c r="F6324">
        <f>HYPERLINK("https://www.reddit.com/r/cancer/comments/e82wv4/for_anybody_who_needs_hope_or_faith_in_a_miracle/")</f>
        <v/>
      </c>
      <c r="G6324" t="inlineStr">
        <is>
          <t>2019-12-08 17:34:57</t>
        </is>
      </c>
      <c r="H6324" t="inlineStr"/>
    </row>
    <row r="6325">
      <c r="A6325" t="inlineStr">
        <is>
          <t>e84kpg</t>
        </is>
      </c>
      <c r="B6325" t="inlineStr">
        <is>
          <t>itching from the nerve damage is driving me insane.</t>
        </is>
      </c>
      <c r="C6325" t="inlineStr">
        <is>
          <t>but I guess this is surviving.</t>
        </is>
      </c>
      <c r="D6325" t="n">
        <v>1</v>
      </c>
      <c r="E6325" t="n">
        <v>5</v>
      </c>
      <c r="F6325">
        <f>HYPERLINK("https://www.reddit.com/r/cancer/comments/e84kpg/itching_from_the_nerve_damage_is_driving_me_insane/")</f>
        <v/>
      </c>
      <c r="G6325" t="inlineStr">
        <is>
          <t>2019-12-08 19:53:38</t>
        </is>
      </c>
      <c r="H6325" t="inlineStr"/>
    </row>
    <row r="6326">
      <c r="A6326" t="inlineStr">
        <is>
          <t>e8522j</t>
        </is>
      </c>
      <c r="B6326" t="inlineStr">
        <is>
          <t>Question regarding possible skin cancer</t>
        </is>
      </c>
      <c r="C6326" t="inlineStr">
        <is>
          <t>I went to the doctor 2 weeks ago. He felt at this bump I’ve had on my jawline for a while now, and seemed neutral, but worried. Just recently I’ve felt another bump below my earlobe. I’m really freaked out. I’m just 20, about to start college. Idk, I’m just worried. Shouldn’t anyone be? I do pop pimples a lot, even if they aren’t entirely ready. It’s a habit I have yet to conquer. Could me squeezing those spots possibly cause this? Thanks.</t>
        </is>
      </c>
      <c r="D6326" t="n">
        <v>1</v>
      </c>
      <c r="E6326" t="n">
        <v>0</v>
      </c>
      <c r="F6326">
        <f>HYPERLINK("https://www.reddit.com/r/cancer/comments/e8522j/question_regarding_possible_skin_cancer/")</f>
        <v/>
      </c>
      <c r="G6326" t="inlineStr">
        <is>
          <t>2019-12-08 20:36:51</t>
        </is>
      </c>
      <c r="H6326" t="inlineStr"/>
    </row>
    <row r="6327">
      <c r="A6327" t="inlineStr">
        <is>
          <t>e854vu</t>
        </is>
      </c>
      <c r="B6327" t="inlineStr">
        <is>
          <t>CT scan questions</t>
        </is>
      </c>
      <c r="C6327" t="inlineStr">
        <is>
          <t>My mom was diagnosed with stage IV CRC the first week of September. Tomorrow she will have her fifth round of chemo. On the 23, she will have a scan to see if the tumor has shrunk. 
We are still very new to this. I have a 1 yr old so I haven’t been able to make it to her appointments as she was my little ones care taker when I had to go somewhere. My sister goes with her and when ever I have questions that I ask them to please as the doctor...they never do. 
ANYWAY, this will be the first scan since her PET scan in September. Will it be a full body scan? Or do they just focus on there the masses were? Will she get the results that day? Or do we have to wait? Did any of you ever get to see your or your loved ones scans? We haven’t see my moms but I would like to...I’m not quite sure why but for some reason I just want to see this disgusting creature that is eating away at my mother.  I don’t know...
I’m sorry for all the posts....I’m trying to just be happy and positive but the closer we get to the scan the more I find myself getting anxiety...</t>
        </is>
      </c>
      <c r="D6327" t="n">
        <v>1</v>
      </c>
      <c r="E6327" t="n">
        <v>8</v>
      </c>
      <c r="F6327">
        <f>HYPERLINK("https://www.reddit.com/r/cancer/comments/e854vu/ct_scan_questions/")</f>
        <v/>
      </c>
      <c r="G6327" t="inlineStr">
        <is>
          <t>2019-12-08 20:43:47</t>
        </is>
      </c>
      <c r="H6327" t="inlineStr"/>
    </row>
    <row r="6328">
      <c r="A6328" t="inlineStr">
        <is>
          <t>e85k5s</t>
        </is>
      </c>
      <c r="B6328" t="inlineStr">
        <is>
          <t>Biopsy inconclusive— is this a good sign?</t>
        </is>
      </c>
      <c r="C6328" t="inlineStr">
        <is>
          <t>My MIL has a 8 cm mass on her esophagus that has been making it difficult for her to eat. Had an ultrasound and was told it was most likely cancer. Then she had a biopsy and was told that the three samples were inconclusive. I have to think that’s a good sign as a symptomatic cancer that large surely would be apparent in a biopsy, right? Could this just be a massive ulcer?</t>
        </is>
      </c>
      <c r="D6328" t="n">
        <v>1</v>
      </c>
      <c r="E6328" t="n">
        <v>9</v>
      </c>
      <c r="F6328">
        <f>HYPERLINK("https://www.reddit.com/r/cancer/comments/e85k5s/biopsy_inconclusive_is_this_a_good_sign/")</f>
        <v/>
      </c>
      <c r="G6328" t="inlineStr">
        <is>
          <t>2019-12-08 21:23:11</t>
        </is>
      </c>
      <c r="H6328" t="inlineStr"/>
    </row>
    <row r="6329">
      <c r="A6329" t="inlineStr">
        <is>
          <t>e85n5m</t>
        </is>
      </c>
      <c r="B6329" t="inlineStr">
        <is>
          <t>writing this as i sit bedside to my dear mother in ICU</t>
        </is>
      </c>
      <c r="C6329" t="inlineStr">
        <is>
          <t>first off, fuck cancer. like fuck it all to hell. for almost two years, cancer has consumed my mother's and in effect, all of my family's lives. 
diagnosed in march 2018 with an aggressive form of stomach cancer, my mother has gone through countless chemos/radiations and surgeries. because of this horrendous disease, my mother no longer has a stomach, can no longer eat or drink by mouth and just has a super low quality of life compared to what it used to be. 
the ironic thing is that she is cancer free at the moment, but, in her own words, it seems she can beat that fucker only to be taken down by all the awful side effects from the life-saving treatment she received. as i watch her rest, i wonder how much more will she need? how much more torture will she have to go through in an attempt to prolong her life? 
i'm afraid to leave her side, worried that something more can happen if i do. they currently have her sedated but every so often she awakens in a panic, so i grab her hand and tell her it's ok. i don't want her to wake up scared and not see a familiar face. 
i love her so much. and am just brokenhearted about all she's had to endure. 
i'm eternally grateful to this sub, since i know you all understand better than must. my emotions were just getting the best of me (i'm pregnant so i got hormones going haywire) and i had to let it out.
 thank you for being here for me, my mother and for each other. i feel less alone and actually feel better having gotten this out. 
ps. FUCK CANCER</t>
        </is>
      </c>
      <c r="D6329" t="n">
        <v>1</v>
      </c>
      <c r="E6329" t="n">
        <v>0</v>
      </c>
      <c r="F6329">
        <f>HYPERLINK("https://www.reddit.com/r/cancer/comments/e85n5m/writing_this_as_i_sit_bedside_to_my_dear_mother/")</f>
        <v/>
      </c>
      <c r="G6329" t="inlineStr">
        <is>
          <t>2019-12-08 21:31:00</t>
        </is>
      </c>
      <c r="H6329" t="inlineStr"/>
    </row>
    <row r="6330">
      <c r="A6330" t="inlineStr">
        <is>
          <t>e86rey</t>
        </is>
      </c>
      <c r="B6330" t="inlineStr">
        <is>
          <t>Need advice: Mother has HER2-positive breast cancer</t>
        </is>
      </c>
      <c r="C6330" t="inlineStr">
        <is>
          <t>Background: Mother was diagnosed 2 years ago with stage 2 her2+ breast cancer. She has always been scared to take medication much less chemo (even now she’s not even on pain meds). she tried to treat it the “natural way” and was convinced it will work. She’s at a advanced stage with bone, liver and lung Mets.
When we found out it was advance she was going to she was about to start treatment, However a week before treatment she was hospitalized and didn’t make it time
Currently she is in a local hospital because her calcium was to high. Her first three days here the Doctors said she‘ll die very soon because her labs were not improving and had an infection and showed signs of liver damage. Now (day 5 in hospital) all her labs are good, her liver is good and even her primary tumor looks a little smaller. She doesn’t want to take pain meds because she’s scared it will further damage her liver even though she’s in a lot of pain it hurts so bad to see her like this.
A Oncologist will come visit her tomorrow the oncologist couldn’t do anything when he first arrived because of her liver and infection in her blood. He will come tomorrow hopefully and i wanted to know what to ask. Any one else with a similar story? My family and I are praying for a miracle.</t>
        </is>
      </c>
      <c r="D6330" t="n">
        <v>1</v>
      </c>
      <c r="E6330" t="n">
        <v>4</v>
      </c>
      <c r="F6330">
        <f>HYPERLINK("https://www.reddit.com/r/cancer/comments/e86rey/need_advice_mother_has_her2positive_breast_cancer/")</f>
        <v/>
      </c>
      <c r="G6330" t="inlineStr">
        <is>
          <t>2019-12-08 23:27:30</t>
        </is>
      </c>
      <c r="H6330" t="inlineStr"/>
    </row>
    <row r="6331">
      <c r="A6331" t="inlineStr">
        <is>
          <t>e8a2vv</t>
        </is>
      </c>
      <c r="B6331" t="inlineStr">
        <is>
          <t>Will my cousin be okay?</t>
        </is>
      </c>
      <c r="C6331" t="inlineStr">
        <is>
          <t>I’m in 8th grade and my family isn’t giving me a lot of details. They think I’m “too young” to handle it. My cousin who lives on the other side of the country had no idea she had AML. Then she came down with sepsis (I don’t know the exact cause of the sepsis, but they did say that it was direct and that once she showed symptoms, she was already septic. They said it wasn’t from something such as pneumonia or a UTI where you have symptoms before sepsis. My guess is the bacteria in her intestines randomly turned on her or something, I’ve heard that’s happened before to people).
All I know is that the AML is late stage, but I don’t know the exact state. I don’t know if it’s final stage or not.
They aren’t telling me how severe it is, whether or not she has organ failure, or even whether or not she’s in the ICU. They won’t tell me whether or not she’s able to receive chemotherapy right now. Etc.
But like I said, my cousin wasn’t aware she had AML. She never saw a doctor for her symptoms. She’s working towards her PhD. Her boyfriend said he noticed she seemed tired, but she thought it was from stress and all of her schoolwork. This means she’s never gotten chemotherapy or any other treatment for it up to this point. I have no idea if they can give her chemotherapy while she’s being treated for sepsis or not.
We’re flying out soon. The flight is over 5 hours, but then I’ll get some answers. 
Does anyone know if she’ll be okay? Does late stage, untreated AML increase the chance of death from sepsis? If so, how much?
I know sepsis is already serious, but there have been people who have suffered from extreme cases - they were being kept alive by a ventilator, ECMO, and kidney dialysis - and they survived. I don’t know if my cousin’s sepsis is that serious. And if it is, I don’t know if she even has a chance of survival.
Thanks in advanced.</t>
        </is>
      </c>
      <c r="D6331" t="n">
        <v>1</v>
      </c>
      <c r="E6331" t="n">
        <v>0</v>
      </c>
      <c r="F6331">
        <f>HYPERLINK("https://www.reddit.com/r/cancer/comments/e8a2vv/will_my_cousin_be_okay/")</f>
        <v/>
      </c>
      <c r="G6331" t="inlineStr">
        <is>
          <t>2019-12-09 05:40:18</t>
        </is>
      </c>
      <c r="H6331" t="inlineStr"/>
    </row>
    <row r="6332">
      <c r="A6332" t="inlineStr">
        <is>
          <t>e8c1ec</t>
        </is>
      </c>
      <c r="B6332" t="inlineStr">
        <is>
          <t>radiation therapy</t>
        </is>
      </c>
      <c r="C6332" t="inlineStr">
        <is>
          <t>enrolled a clinical trail, now doing chemo and immunethearaypy  for stomach cancer. they will randomly decide whether to give radiation(by roll the dice). should take it or not. Thanks for your advise</t>
        </is>
      </c>
      <c r="D6332" t="n">
        <v>1</v>
      </c>
      <c r="E6332" t="n">
        <v>1</v>
      </c>
      <c r="F6332">
        <f>HYPERLINK("https://www.reddit.com/r/cancer/comments/e8c1ec/radiation_therapy/")</f>
        <v/>
      </c>
      <c r="G6332" t="inlineStr">
        <is>
          <t>2019-12-09 08:19:26</t>
        </is>
      </c>
      <c r="H6332" t="inlineStr"/>
    </row>
    <row r="6333">
      <c r="A6333" t="inlineStr">
        <is>
          <t>e8druo</t>
        </is>
      </c>
      <c r="B6333" t="inlineStr">
        <is>
          <t>The rainiest day of my life</t>
        </is>
      </c>
      <c r="C6333" t="inlineStr">
        <is>
          <t>Today is rain in Maryland that is in synch with my life. I have received the news that I have leukemia AML type.
I need the prayers, and any advice or past experience. Treatments? Prognoses? New discoveries? Any special food to boost immune system? Anything you can recommend...</t>
        </is>
      </c>
      <c r="D6333" t="n">
        <v>1</v>
      </c>
      <c r="E6333" t="n">
        <v>19</v>
      </c>
      <c r="F6333">
        <f>HYPERLINK("https://www.reddit.com/r/cancer/comments/e8druo/the_rainiest_day_of_my_life/")</f>
        <v/>
      </c>
      <c r="G6333" t="inlineStr">
        <is>
          <t>2019-12-09 10:23:53</t>
        </is>
      </c>
      <c r="H6333" t="inlineStr"/>
    </row>
    <row r="6334">
      <c r="A6334" t="inlineStr">
        <is>
          <t>e8ealu</t>
        </is>
      </c>
      <c r="B6334" t="inlineStr">
        <is>
          <t>Thyroid cancer diagnosis</t>
        </is>
      </c>
      <c r="C6334" t="inlineStr">
        <is>
          <t>Just got hit with the cancer news... I had half of my thyroid removed due to a suspicious nodule - it turns out it was cancerous.  The surgeon removed some lymph nodes and those were cancerous also. 
They want to remove the rest of my thyroid. 
I don’t know how to feel about this. I’m extremely worried we caught it late and it spread, seeing as how it already moved to lymph nodes... today is a bad day</t>
        </is>
      </c>
      <c r="D6334" t="n">
        <v>1</v>
      </c>
      <c r="E6334" t="n">
        <v>14</v>
      </c>
      <c r="F6334">
        <f>HYPERLINK("https://www.reddit.com/r/cancer/comments/e8ealu/thyroid_cancer_diagnosis/")</f>
        <v/>
      </c>
      <c r="G6334" t="inlineStr">
        <is>
          <t>2019-12-09 11:01:28</t>
        </is>
      </c>
      <c r="H6334" t="inlineStr"/>
    </row>
    <row r="6335">
      <c r="A6335" t="inlineStr">
        <is>
          <t>e8efk9</t>
        </is>
      </c>
      <c r="B6335" t="inlineStr">
        <is>
          <t>How to deal with fear of getting leukemia?</t>
        </is>
      </c>
      <c r="C6335" t="inlineStr">
        <is>
          <t>i knew a relative who died in his 20s from leukemia. He was healthy, he did not have a known family history of cancers, and he never smoke. I'm 25 and worry about getting leukemia so much. I don't want to die.</t>
        </is>
      </c>
      <c r="D6335" t="n">
        <v>1</v>
      </c>
      <c r="E6335" t="n">
        <v>0</v>
      </c>
      <c r="F6335">
        <f>HYPERLINK("https://www.reddit.com/r/cancer/comments/e8efk9/how_to_deal_with_fear_of_getting_leukemia/")</f>
        <v/>
      </c>
      <c r="G6335" t="inlineStr">
        <is>
          <t>2019-12-09 11:11:41</t>
        </is>
      </c>
      <c r="H6335" t="inlineStr"/>
    </row>
    <row r="6336">
      <c r="A6336" t="inlineStr">
        <is>
          <t>e8evmv</t>
        </is>
      </c>
      <c r="B6336" t="inlineStr">
        <is>
          <t>Skin problems related to hormonal therapy?</t>
        </is>
      </c>
      <c r="C6336" t="inlineStr">
        <is>
          <t>Hi, I need advice on a gift for my father who is currently going through hormonal therapy for prostate cancer.
It's his 2nd time dealing with this stupid cancer. He's a very proud, elegant and classy French man, and I know last time the treatment had really affected his self esteem as it created body image issues (he had always been a well groomed, good looking man who trained everyday).
My question: I want to give him some facial skin cream. He doesn't do spa, but he will lose muscle mass, he will feel like shit, and I know how good it feels to do something for your body AND your body image. 
Is there any particular skin problems you encountered during hormonal treatments? Dry, too oily...
Also, if you have any suggestions for small gifts, it would be appreciated :) thank you!</t>
        </is>
      </c>
      <c r="D6336" t="n">
        <v>1</v>
      </c>
      <c r="E6336" t="n">
        <v>0</v>
      </c>
      <c r="F6336">
        <f>HYPERLINK("https://www.reddit.com/r/cancer/comments/e8evmv/skin_problems_related_to_hormonal_therapy/")</f>
        <v/>
      </c>
      <c r="G6336" t="inlineStr">
        <is>
          <t>2019-12-09 11:43:59</t>
        </is>
      </c>
      <c r="H6336" t="inlineStr"/>
    </row>
    <row r="6337">
      <c r="A6337" t="inlineStr">
        <is>
          <t>e8ewst</t>
        </is>
      </c>
      <c r="B6337" t="inlineStr">
        <is>
          <t>Ommaya reservoir for cns lymphoma</t>
        </is>
      </c>
      <c r="C6337" t="inlineStr">
        <is>
          <t>Can anyone give me an unbiased opinion about the ommaya reservoir? My mom is currently doing inpatient chemo and unable to make decisions for herself. As her poa, I need to decide.</t>
        </is>
      </c>
      <c r="D6337" t="n">
        <v>1</v>
      </c>
      <c r="E6337" t="n">
        <v>0</v>
      </c>
      <c r="F6337">
        <f>HYPERLINK("https://www.reddit.com/r/cancer/comments/e8ewst/ommaya_reservoir_for_cns_lymphoma/")</f>
        <v/>
      </c>
      <c r="G6337" t="inlineStr">
        <is>
          <t>2019-12-09 11:46:19</t>
        </is>
      </c>
      <c r="H6337" t="inlineStr"/>
    </row>
    <row r="6338">
      <c r="A6338" t="inlineStr">
        <is>
          <t>e8f6nv</t>
        </is>
      </c>
      <c r="B6338" t="inlineStr">
        <is>
          <t>Cuticle and Nailcare for a loved one with stage IV cancer</t>
        </is>
      </c>
      <c r="C6338" t="inlineStr">
        <is>
          <t>My mother has stage IV metastatic cervical cancer. She has had nephrostomy tubes for a little over a year now because cancer cells are obstructing her ureters and her bladder is non-functional. In other words she has to drain her kidneys directly out of her back. This being the case, along with growing increasingly frail, she can't reach her feet or hold her hands steady to take care of her nails anymore.
Now my mother has always loved having her nails done. As far back as I can remember she went once a week to have long red artificial nails applied on her fingernails. And as I was coming of age, we'd bond together over pedicures. But she can't comfortably do either of those things anymore unfortunately.  
So it's up to me to clip and maintain her nails for her. I've clipped them a few times now, however her cuticles (or maybe her skin) have grown so that they are halfway swallowing her nails. They don't look dry and ready to be pushed back the way I'm used to, instead the cuticles/skin appear to have a pink color (blood supply). Even after soaking them for 10 minutes, they didn't want to scrape away or be pushed back. I contemplated cutting them away with nippers but decided against it because she is on bloodthinners after a pulmonary embolism she suffered over the summer.  
I'm unsure who else to ask, as I don't often have the opportunity to talk with my mother's doctors. Does anyone have any experience with cancer nailcare and/or overgrown cuticles?  
Thank you</t>
        </is>
      </c>
      <c r="D6338" t="n">
        <v>1</v>
      </c>
      <c r="E6338" t="n">
        <v>4</v>
      </c>
      <c r="F6338">
        <f>HYPERLINK("https://www.reddit.com/r/cancer/comments/e8f6nv/cuticle_and_nailcare_for_a_loved_one_with_stage/")</f>
        <v/>
      </c>
      <c r="G6338" t="inlineStr">
        <is>
          <t>2019-12-09 12:05:50</t>
        </is>
      </c>
      <c r="H6338" t="inlineStr"/>
    </row>
    <row r="6339">
      <c r="A6339" t="inlineStr">
        <is>
          <t>e8fbej</t>
        </is>
      </c>
      <c r="B6339" t="inlineStr">
        <is>
          <t>Tomorrow we find out if my 7 year old niece has cancer. What the hell do I say to my sister? (Her mother.)</t>
        </is>
      </c>
      <c r="C6339" t="inlineStr">
        <is>
          <t>Forgive me for my lack of knowledge, medicine is not my thing. Ill explain as best I can. 
My niece had swollen eyes and a swollen stomach, my sister, a pediatrician, recognised this as something serious and took her to the hospital that she works at. They've tested for everything and so far there is no sign of cancer, however, there's a protein in her stomach that suggests either cancer or infection, and they're sure there's no infection. They've ruled out every potential organ that could cause swelling of this sort, so now they're now speaking with an oncologist who has requested a cytology test - this comes back tomorrow. If positive, she has cancer. 
I have no history of this in my family, I've been very fortunate this way. So I'm asking those who unfortunately have experienced this for advice. 
What do I say to my sister? Being a doctor, it's not like I can feed her a false hope story. She know's exactly what this is going to be like.
What do I say to my niece? What do you say to a 7 year old to comfort them about something like this? 
Despite what this post sounds like, I'm trying to go into this positively, assuming the best. Hopefully, this time tomorrow they'll tell us that it's nothing, or they rule out cancer and find some petty reason for it that's a simple fix. 
I just don't know what to do if they don't.</t>
        </is>
      </c>
      <c r="D6339" t="n">
        <v>1</v>
      </c>
      <c r="E6339" t="n">
        <v>4</v>
      </c>
      <c r="F6339">
        <f>HYPERLINK("https://www.reddit.com/r/cancer/comments/e8fbej/tomorrow_we_find_out_if_my_7_year_old_niece_has/")</f>
        <v/>
      </c>
      <c r="G6339" t="inlineStr">
        <is>
          <t>2019-12-09 12:15:01</t>
        </is>
      </c>
      <c r="H6339" t="inlineStr"/>
    </row>
    <row r="6340">
      <c r="A6340" t="inlineStr">
        <is>
          <t>e8guof</t>
        </is>
      </c>
      <c r="B6340" t="inlineStr">
        <is>
          <t>Progression After Stopping Treatment</t>
        </is>
      </c>
      <c r="C6340" t="inlineStr">
        <is>
          <t>Hello everyone. I'm new to this sub and hoping that you can help me out! My girlfriend's father has just informed that family that he's stopping treatment after a long battle with cancer. The doctors have estimated he has two months to live. We live across the country and my girlfriend is a little worried that the flight we booked before this new (a month from now) won't be enough time to see him while he's coherent. Neither of us have a lot of experience in this area!
While I know everyone's experiences are different, I'm interested in hearing how people you've known have progressed after they decided to stop treatment. Were they mentally sharp for some time? Did their life extend longer than estimated? Anything else you think would be helpful to know we would love to hear.
Thank you in advance! TL;DR -- how did people you know progress after stopping treatment?</t>
        </is>
      </c>
      <c r="D6340" t="n">
        <v>1</v>
      </c>
      <c r="E6340" t="n">
        <v>6</v>
      </c>
      <c r="F6340">
        <f>HYPERLINK("https://www.reddit.com/r/cancer/comments/e8guof/progression_after_stopping_treatment/")</f>
        <v/>
      </c>
      <c r="G6340" t="inlineStr">
        <is>
          <t>2019-12-09 14:05:02</t>
        </is>
      </c>
      <c r="H6340" t="inlineStr"/>
    </row>
    <row r="6341">
      <c r="A6341" t="inlineStr">
        <is>
          <t>e8hc95</t>
        </is>
      </c>
      <c r="B6341" t="inlineStr">
        <is>
          <t>Rant</t>
        </is>
      </c>
      <c r="C6341" t="inlineStr">
        <is>
          <t>Breast cancer awareness as it is is completely wrong for two reasons:
1) the money needs to go on research (not awareness)
2) the “awareness” doesn’t reflect the reality of having cancer AT ALL.
It shows women with short hair, post chemo, all smiley, out doing stuff with a bunch of smiley people. One moment in time. Lots of smiles. That's it. I'm cured. It's all gone. We never have to think about it or mention it ever again. It's over. Get over it. You are cured. Shut up about it. 
That's the only awareness all the millions of funds have conveyed to me. What a waste of fucking money.
*
It doesn't reflect the reality of all these people returning to work, living their lives with the constant potential for the cancer to come back at any time. The dread.
It doesn't reflect living your life with two plans - one, if it doesn't come back this year. Two, if it comes back this year.
It doesn't reflect living your life without risking anything - time and money. Can't get into debt and "leave" my family in debt. Why study or advance my career? Why risk putting effort into anything when it could come back tomorrow?
It doesn’t reflect the hell of scans and waiting for results. The way you learn to read the technicians face, and you know what “we just need to do one more scan” means. The way you take the day off work for these scans and appointments because after the appointment your brain and nerves are fried.
It doesn't reflect the permanent damage. The maiming. Chucking another body part out of a sinking ship. The scars. The dead nerves. The burnt skin.
It doesn't reflect the poison we inbibe each day with a prayer - please god let this pill work.
It doesn't reflect the side effects of these gut wrenching poisons.
It doesn't reflect the friends and family who have to listen to this boring shit for years and years and years.
Rant over.</t>
        </is>
      </c>
      <c r="D6341" t="n">
        <v>1</v>
      </c>
      <c r="E6341" t="n">
        <v>26</v>
      </c>
      <c r="F6341">
        <f>HYPERLINK("https://www.reddit.com/r/cancer/comments/e8hc95/rant/")</f>
        <v/>
      </c>
      <c r="G6341" t="inlineStr">
        <is>
          <t>2019-12-09 14:41:08</t>
        </is>
      </c>
      <c r="H6341" t="inlineStr"/>
    </row>
    <row r="6342">
      <c r="A6342" t="inlineStr">
        <is>
          <t>e8iaeg</t>
        </is>
      </c>
      <c r="B6342" t="inlineStr">
        <is>
          <t>Tumor markers...</t>
        </is>
      </c>
      <c r="C6342" t="inlineStr">
        <is>
          <t>My wife has been fighting HR+ HER2- Metastatic Breast Cancer in her spine for a year and a half now. We just got her most recent blood work back and her tumor markers are up along with her AST and ALT. Does anyone know what this could mean? Has the treatment stopped working? Is her liver shutting down? We've been dealing with this as best we can since 2015 when we first got the diagnosis and I still feel confused about everything most of the time. Any advice or encouragement would be amazing.</t>
        </is>
      </c>
      <c r="D6342" t="n">
        <v>1</v>
      </c>
      <c r="E6342" t="n">
        <v>2</v>
      </c>
      <c r="F6342">
        <f>HYPERLINK("https://www.reddit.com/r/cancer/comments/e8iaeg/tumor_markers/")</f>
        <v/>
      </c>
      <c r="G6342" t="inlineStr">
        <is>
          <t>2019-12-09 15:52:13</t>
        </is>
      </c>
      <c r="H6342" t="inlineStr"/>
    </row>
    <row r="6343">
      <c r="A6343" t="inlineStr">
        <is>
          <t>e8if6l</t>
        </is>
      </c>
      <c r="B6343" t="inlineStr">
        <is>
          <t>Father has been diagnosed with Prostate.</t>
        </is>
      </c>
      <c r="C6343" t="inlineStr">
        <is>
          <t>He’s not giving up how far along it is. (“Family” right?) 
He’s been on Casodex I know this. 
Finding conflicting reports online whether this is for metastatic - or which stage even...
Does anyone know? Is it further than Stage 2? 
He’s been having trouble walking. His legs and hips. Which is why I fear it’s in the bone.</t>
        </is>
      </c>
      <c r="D6343" t="n">
        <v>1</v>
      </c>
      <c r="E6343" t="n">
        <v>3</v>
      </c>
      <c r="F6343">
        <f>HYPERLINK("https://www.reddit.com/r/cancer/comments/e8if6l/father_has_been_diagnosed_with_prostate/")</f>
        <v/>
      </c>
      <c r="G6343" t="inlineStr">
        <is>
          <t>2019-12-09 16:02:18</t>
        </is>
      </c>
      <c r="H6343" t="inlineStr"/>
    </row>
    <row r="6344">
      <c r="A6344" t="inlineStr">
        <is>
          <t>e8j6an</t>
        </is>
      </c>
      <c r="B6344" t="inlineStr">
        <is>
          <t>Does birth control pills gives you some kind of higher chances to make your cancer comeback?</t>
        </is>
      </c>
      <c r="C6344" t="inlineStr">
        <is>
          <t>I’m not really into that topic so I’m sorry if I’m doing something wrong but I’m was talking with my girlfriend about our first time and how he is scared about potential chances of breaking condom so I suggested that we can try with pills (or even both) but she replied that her aunt died because using them after it made aunts cancer comeback to her and she died.My girlfriend had also cancer when she was a kid.Im very interested into that so I’m here to ask the question in title.
Thank you and sorry if I’m asking stupid question about such hard topic.</t>
        </is>
      </c>
      <c r="D6344" t="n">
        <v>1</v>
      </c>
      <c r="E6344" t="n">
        <v>0</v>
      </c>
      <c r="F6344">
        <f>HYPERLINK("https://www.reddit.com/r/cancer/comments/e8j6an/does_birth_control_pills_gives_you_some_kind_of/")</f>
        <v/>
      </c>
      <c r="G6344" t="inlineStr">
        <is>
          <t>2019-12-09 17:01:25</t>
        </is>
      </c>
      <c r="H6344" t="inlineStr"/>
    </row>
    <row r="6345">
      <c r="A6345" t="inlineStr">
        <is>
          <t>e8jlod</t>
        </is>
      </c>
      <c r="B6345" t="inlineStr">
        <is>
          <t>I need to voice my concerns... please hear me out.</t>
        </is>
      </c>
      <c r="C6345" t="inlineStr">
        <is>
          <t>Should I be concerned? I think I might be coming down with something. I get it, I’m only 15 years of age, but we’ve already ruled out all forms of IBD and even stuff like Celiac disease through blood tests. For months now, I’ve had inconsistent bowel movements, often experiencing mucus-y, blood-streaked, sometimes loose stools, and ponder what could’ve changed that makes me feel different than I did before. Pellets are no stranger either. I additionally, on occasion, experience lots of flatulence, which comes out both the front and rear end. After I defecate, I sometimes feel fatigued, and other times I don’t feel the urge to eat at all. We visited my doctor a few weeks ago and they confirmed that it is not a hemmheroid (can’t spell that), nor an anal fissure, so I don’t know what to do. I was given medication to relax my bowels, yet these symptoms still persist. I have trouble focusing, and am sick of feeling frail and uncomfortable with what comes out the chute. Abdominal pain and cramping also occurs; all my parents do is shrug off the thought of any potential cancers or other serious diseases due to me being a mere child. Help?</t>
        </is>
      </c>
      <c r="D6345" t="n">
        <v>1</v>
      </c>
      <c r="E6345" t="n">
        <v>1</v>
      </c>
      <c r="F6345">
        <f>HYPERLINK("https://www.reddit.com/r/cancer/comments/e8jlod/i_need_to_voice_my_concerns_please_hear_me_out/")</f>
        <v/>
      </c>
      <c r="G6345" t="inlineStr">
        <is>
          <t>2019-12-09 17:35:07</t>
        </is>
      </c>
      <c r="H6345" t="inlineStr"/>
    </row>
    <row r="6346">
      <c r="A6346" t="inlineStr">
        <is>
          <t>e8jzam</t>
        </is>
      </c>
      <c r="B6346" t="inlineStr">
        <is>
          <t>Dad Is Scared</t>
        </is>
      </c>
      <c r="C6346" t="inlineStr">
        <is>
          <t>Me, 28 year old Male caretaker for my dad. Dad is 10 months in on stage IV Pancreatic Cancer. He is brave for most of the day, and has been brave my whole life. He gets so scared now, especially at night. He’s afraid of infections, or that he will have a stroke or something else. 
It’s really sad and difficult to watch, but does anyone have any advice on how I can help him? Have others experienced this?
Sincerely
Max</t>
        </is>
      </c>
      <c r="D6346" t="n">
        <v>1</v>
      </c>
      <c r="E6346" t="n">
        <v>4</v>
      </c>
      <c r="F6346">
        <f>HYPERLINK("https://www.reddit.com/r/cancer/comments/e8jzam/dad_is_scared/")</f>
        <v/>
      </c>
      <c r="G6346" t="inlineStr">
        <is>
          <t>2019-12-09 18:05:18</t>
        </is>
      </c>
      <c r="H6346" t="inlineStr"/>
    </row>
    <row r="6347">
      <c r="A6347" t="inlineStr">
        <is>
          <t>e8k4nc</t>
        </is>
      </c>
      <c r="B6347" t="inlineStr">
        <is>
          <t>Biopsy tomorrow....</t>
        </is>
      </c>
      <c r="C6347" t="inlineStr">
        <is>
          <t>I have a soft, moveable lump on the inside of my lip after quitting smoking a month ago. My salivary glands are swollen as well. What do you guys think? 21 F Hispanic/White. Any suggestions or kind words will be appreciated.</t>
        </is>
      </c>
      <c r="D6347" t="n">
        <v>1</v>
      </c>
      <c r="E6347" t="n">
        <v>0</v>
      </c>
      <c r="F6347">
        <f>HYPERLINK("https://www.reddit.com/r/cancer/comments/e8k4nc/biopsy_tomorrow/")</f>
        <v/>
      </c>
      <c r="G6347" t="inlineStr">
        <is>
          <t>2019-12-09 18:17:21</t>
        </is>
      </c>
      <c r="H6347" t="inlineStr"/>
    </row>
    <row r="6348">
      <c r="A6348" t="inlineStr">
        <is>
          <t>e8leei</t>
        </is>
      </c>
      <c r="B6348" t="inlineStr">
        <is>
          <t>F U cancer.</t>
        </is>
      </c>
      <c r="C6348" t="inlineStr">
        <is>
          <t>Thyroid - Over the past few weeks I have watched as your mitotic behavior and cell cycles have become increasingly disruptive to those around you. Your decision to host unhealthy and unwelcome guests like papillary thyroid carcinoma (AKA Big Papa, AKA DJ GottaGo, AKA F.U.CA) I do not support.  If you do not change your lifestyle immediately, you will be forcefully removed from this residence. 
You see, I know people and together we know how to deal with you effectively 100% of the time.  I have a very particular set of skills. Skills gained over a very long career.  Skills that make me a nightmare for cells like you. 
So, if you and Big Papa don’t change your ways, you will encounter a swift, violent end at the edge of a scalpel. This is the flier dropped before the surgical strike Thursday.  You were warned.  
TLDR; papillary thyroid  carcinoma. 100% effective surgery on Thursday.  
PS. FUCK YOU CANCER.</t>
        </is>
      </c>
      <c r="D6348" t="n">
        <v>1</v>
      </c>
      <c r="E6348" t="n">
        <v>2</v>
      </c>
      <c r="F6348">
        <f>HYPERLINK("https://www.reddit.com/r/cancer/comments/e8leei/f_u_cancer/")</f>
        <v/>
      </c>
      <c r="G6348" t="inlineStr">
        <is>
          <t>2019-12-09 20:01:01</t>
        </is>
      </c>
      <c r="H6348" t="inlineStr"/>
    </row>
    <row r="6349">
      <c r="A6349" t="inlineStr">
        <is>
          <t>e8nlw1</t>
        </is>
      </c>
      <c r="B6349" t="inlineStr">
        <is>
          <t>Worried I might have cancer again.</t>
        </is>
      </c>
      <c r="C6349" t="inlineStr">
        <is>
          <t>I survived stage3B Hodgkins Lymphoma. I had 20 tumors in around my lungs, in my mammaries, around my heart, and one on my liver. I've been in remission for almost 8 months. But for the past 2 months I've noticed a gradual increase in chronic vertigo. It started as nothing. A 3 second dizzy spell one day and didnt come back for a while. Now it is daily at least. And it can last 10 minutes to an entire day. My breasts have been increasingly swelling and painful, the skin has changed too. I've noticed that I am nauseous more than I used to be. 
I was doing okay about 2 months ago. I had fought off my first virus on my own and was feeling healthy and proud. But now I'm constantly worried. I'm in increasingly more pain and feeling sick more often. Could I have cancer again? I dont want to get another scan because I can't afford it. Is it worth a scanner am I overthinking?</t>
        </is>
      </c>
      <c r="D6349" t="n">
        <v>1</v>
      </c>
      <c r="E6349" t="n">
        <v>4</v>
      </c>
      <c r="F6349">
        <f>HYPERLINK("https://www.reddit.com/r/cancer/comments/e8nlw1/worried_i_might_have_cancer_again/")</f>
        <v/>
      </c>
      <c r="G6349" t="inlineStr">
        <is>
          <t>2019-12-09 23:40:37</t>
        </is>
      </c>
      <c r="H6349" t="inlineStr"/>
    </row>
    <row r="6350">
      <c r="A6350" t="inlineStr">
        <is>
          <t>e8oiv2</t>
        </is>
      </c>
      <c r="B6350" t="inlineStr">
        <is>
          <t>My MIL has lung cancer (leiomyosarcoma?) what can I expect.</t>
        </is>
      </c>
      <c r="C6350" t="inlineStr">
        <is>
          <t>So she is currently in hk and we don't wanna ask her directly too much. We also cannot contact the doctor directly. All the info we have is that it is leiomyosarcoma in one lung and last scan was at 5 cm diameter. She had just switched to a third type of chemo. Apparently the first 2 worked for a bit then not working and they had to switch. I was told due to the location it is inoperable as well.
Can someone give me more details to this and what to expect?</t>
        </is>
      </c>
      <c r="D6350" t="n">
        <v>1</v>
      </c>
      <c r="E6350" t="n">
        <v>3</v>
      </c>
      <c r="F6350">
        <f>HYPERLINK("https://www.reddit.com/r/cancer/comments/e8oiv2/my_mil_has_lung_cancer_leiomyosarcoma_what_can_i/")</f>
        <v/>
      </c>
      <c r="G6350" t="inlineStr">
        <is>
          <t>2019-12-10 01:34:50</t>
        </is>
      </c>
      <c r="H6350" t="inlineStr"/>
    </row>
    <row r="6351">
      <c r="A6351" t="inlineStr">
        <is>
          <t>e8shb4</t>
        </is>
      </c>
      <c r="B6351" t="inlineStr">
        <is>
          <t>Persistent pain in neck and ear</t>
        </is>
      </c>
      <c r="C6351" t="inlineStr">
        <is>
          <t>Not sure if this is the right place but looking for advice. Around September, I started to feel and on and off ache on the right side of my neck just under my ear and jaw line. At times, I also felt an ache on the right side of my throat. Fast forward 3 months, here are my continuing symptoms:
1. Starting around 1 month ago, on and off ear ache in my right ear. Started about a month ago. Sometimes the ear ache presents in my left ear for short durations.
2. Starting one week ago, throat ache about halfway down my throat on the right side.
2. Continue to have aches under my chin, under jaw line, and under ear. 3. Under my ear (possibly parotid gland) there is a spot that hurts if I press on it.
I’ve been to the the doctor multiple times. Normal blood work. Two rounds of antibiotics. CT scan of neck was negative.
Obviously, I have been fearing the worst and it has been an emotional roller coaster. I don’t know what else to do. Has anyone else had symptoms like this? Can you have neck/throat cancer and still have a negative CT? Just looking for advice, suggestions, or answers.</t>
        </is>
      </c>
      <c r="D6351" t="n">
        <v>1</v>
      </c>
      <c r="E6351" t="n">
        <v>1</v>
      </c>
      <c r="F6351">
        <f>HYPERLINK("https://www.reddit.com/r/cancer/comments/e8shb4/persistent_pain_in_neck_and_ear/")</f>
        <v/>
      </c>
      <c r="G6351" t="inlineStr">
        <is>
          <t>2019-12-10 08:02:49</t>
        </is>
      </c>
      <c r="H6351" t="inlineStr"/>
    </row>
    <row r="6352">
      <c r="A6352" t="inlineStr">
        <is>
          <t>e8w6xz</t>
        </is>
      </c>
      <c r="B6352" t="inlineStr">
        <is>
          <t>Advice on how to deal with my dad’s cancer diagnosis</t>
        </is>
      </c>
      <c r="C6352" t="inlineStr">
        <is>
          <t>My situation starts with the unexpected death of my mother last sunday. After her sudden passing from a heart attack, my dad was not feeling very well and a family friend dragged him to the doctor. She ordered a blood test and two days later, one day after the funeral, we found out he had metastases in his liver. One day later the doctor tells us that it is probably he might have a small cell bronchiocarcinoma (spelling?) that is aggressive but he can’t be sure about it coming from the lungs and more tests need to be done (like a biopsy for example). But either way he straight away gave us a timeline: 3 months without treatment, maybe 1 and a half years with treatment. As you can imagine this was a huge shock for me, after my mom’s death, now my dad is about to die pretty soon. I can’t even wrap my head around the truth and I have no idea how to act, what to do and what to think. I live about 2 and a half hours away from my dad but I’ve been staying with him since the day my mother died. I’m super conflicted as to whether I can and should go home for a couple of days or stay with him. After all, he also lost his wife and then basically found out he will also soon die. It’s just a massive blow. Any advice on what I can do or how to handle this situation is highly appreciated. Sorry for the long rambling.</t>
        </is>
      </c>
      <c r="D6352" t="n">
        <v>1</v>
      </c>
      <c r="E6352" t="n">
        <v>10</v>
      </c>
      <c r="F6352">
        <f>HYPERLINK("https://www.reddit.com/r/cancer/comments/e8w6xz/advice_on_how_to_deal_with_my_dads_cancer/")</f>
        <v/>
      </c>
      <c r="G6352" t="inlineStr">
        <is>
          <t>2019-12-10 12:29:20</t>
        </is>
      </c>
      <c r="H6352" t="inlineStr"/>
    </row>
    <row r="6353">
      <c r="A6353" t="inlineStr">
        <is>
          <t>e8wj19</t>
        </is>
      </c>
      <c r="B6353" t="inlineStr">
        <is>
          <t>No one tells me anything about my grandpa's health. Please advise.</t>
        </is>
      </c>
      <c r="C6353" t="inlineStr">
        <is>
          <t>Hi All, 
No one in my family tells me anything health related - my grandmother had breast cancer twice and no one told me until years after. I'm 30 years old and just want to prepare myself. So I'll say everything I know and, perhaps, you can help me understand how bad it is.
My grandfather was diagnosed a couple weeks ago with stomach cancer after some other complications. They put in a stent so he could digest things more easily. He'll be at a rehab facility for a few weeks, and supposedly released on 12/17 in time for Christmas. As far as I know, they won't be pursuing any treatments (which sounds like the worst), although that may be because he was so weak/down in weight post-surgery? He's 81 years old, average health for his age, and had a kidney transplant about 13 years ago. I don't know anything beyond this (stage of cancer, metastasized area, or expected longevity).
Any words of wisdom or advice are very much appreciated. Thank you for all you do here - it seems like a very friendly, supportive community!</t>
        </is>
      </c>
      <c r="D6353" t="n">
        <v>1</v>
      </c>
      <c r="E6353" t="n">
        <v>8</v>
      </c>
      <c r="F6353">
        <f>HYPERLINK("https://www.reddit.com/r/cancer/comments/e8wj19/no_one_tells_me_anything_about_my_grandpas_health/")</f>
        <v/>
      </c>
      <c r="G6353" t="inlineStr">
        <is>
          <t>2019-12-10 12:53:04</t>
        </is>
      </c>
      <c r="H6353" t="inlineStr"/>
    </row>
    <row r="6354">
      <c r="A6354" t="inlineStr">
        <is>
          <t>e8wje7</t>
        </is>
      </c>
      <c r="B6354" t="inlineStr">
        <is>
          <t>Does anything help with the Itching?</t>
        </is>
      </c>
      <c r="C6354" t="inlineStr">
        <is>
          <t>Hey Everyone, 
Unfortunately, my Fiance was just diagnosed with Hodgkins Lymphoma. One of the symptoms she is having is being itchy. She scratches all day and night, it keeps her up and she is starting to brose because of it. It is so hard for me to watch her like this and I wish there was some way I could hep help her which is why I am turning to Reddit. 
Things that we have tried already 
* Cortozone cream 
* Benadryl
* CeraVe Moisturizing Cream for Itch Relief
* Oatmeal baths
The Cortozone cream does nothing, the Benadryl helps her sleep but that's about it. The CeraVe cream has been the most effective but it only lasts 20-30 min before the itching comes back. The Oatmeal bath works when she is in the bath but the second she comes out it starts again. 
Let me know if you have found something that works, Thanks in advance!</t>
        </is>
      </c>
      <c r="D6354" t="n">
        <v>1</v>
      </c>
      <c r="E6354" t="n">
        <v>17</v>
      </c>
      <c r="F6354">
        <f>HYPERLINK("https://www.reddit.com/r/cancer/comments/e8wje7/does_anything_help_with_the_itching/")</f>
        <v/>
      </c>
      <c r="G6354" t="inlineStr">
        <is>
          <t>2019-12-10 12:53:44</t>
        </is>
      </c>
      <c r="H6354" t="inlineStr"/>
    </row>
    <row r="6355">
      <c r="A6355" t="inlineStr">
        <is>
          <t>e8wxov</t>
        </is>
      </c>
      <c r="B6355" t="inlineStr">
        <is>
          <t>Esophageal Cancer - stage III</t>
        </is>
      </c>
      <c r="C6355" t="inlineStr">
        <is>
          <t>My father in law was just diagnosed with stage III esophageal cancer (adenocarcinoma).  We have known about the cancer for a few weeks now , but just learned today that it's stage III.  The treatment plan is chemo &amp;amp; radiation therapy, followed by surgery.
I  know that his chances aren't great, but I also know that stage III is  better than stage IV.  Looking for others who have been here themselves  or have family members that have been in this situation. I work for a university hospital and have done extensive research on treatments, survival rates, etc.  But  every study varies, and I want to hear from actual people who have experienced this.
Thanks so much</t>
        </is>
      </c>
      <c r="D6355" t="n">
        <v>1</v>
      </c>
      <c r="E6355" t="n">
        <v>0</v>
      </c>
      <c r="F6355">
        <f>HYPERLINK("https://www.reddit.com/r/cancer/comments/e8wxov/esophageal_cancer_stage_iii/")</f>
        <v/>
      </c>
      <c r="G6355" t="inlineStr">
        <is>
          <t>2019-12-10 13:20:48</t>
        </is>
      </c>
      <c r="H6355" t="inlineStr"/>
    </row>
    <row r="6356">
      <c r="A6356" t="inlineStr">
        <is>
          <t>e8x3x9</t>
        </is>
      </c>
      <c r="B6356" t="inlineStr">
        <is>
          <t>My Beautiful Aunty</t>
        </is>
      </c>
      <c r="C6356" t="inlineStr">
        <is>
          <t>My beautiful Aunt was diagnosed with stage 4 cancer a few months ago. It came as a shock to all of us as she was is non smoker, doesn't drink and is a vegetarian 🙁 
A few days ago my cousin found her unconscious and was rushed to hospital and it turns out she had a stroke. The doctors said she is likely to have another stroke within 12 hours and her body would not be able to survive another one.
It's been over a week now. She hasn't had another stroke and that's a miracle in itself as the doctors said she only has days / hours. It's so heart breaking seeing her like this with her right side of he body paralysed. She talks to us every now and then and jokes and says she is OK and she loves us all.
The other day she asked of she can get out of this hospital and go home. We honoured her wishes and she is so happy.
She has the strength and we are all praying and believing in a miracle. 
I created this page for donations to help her and the family as they don't have much. Would mean alot to anyone that could share. 
https://givealittle.co.nz/cause/help-my-sister-beat-cancer
Love you aunty Karan xxxx</t>
        </is>
      </c>
      <c r="D6356" t="n">
        <v>1</v>
      </c>
      <c r="E6356" t="n">
        <v>4</v>
      </c>
      <c r="F6356">
        <f>HYPERLINK("https://www.reddit.com/r/cancer/comments/e8x3x9/my_beautiful_aunty/")</f>
        <v/>
      </c>
      <c r="G6356" t="inlineStr">
        <is>
          <t>2019-12-10 13:32:52</t>
        </is>
      </c>
      <c r="H6356" t="inlineStr"/>
    </row>
    <row r="6357">
      <c r="A6357" t="inlineStr">
        <is>
          <t>e8y7zs</t>
        </is>
      </c>
      <c r="B6357" t="inlineStr">
        <is>
          <t>Cancer Cravings</t>
        </is>
      </c>
      <c r="C6357" t="inlineStr">
        <is>
          <t>I’ve had a lot of weird craving throughout treatment and I wanna see what other people have craved it sounds interesting. 
My newest craving at the moment is pepperoni. I’ve had 2 bags of pepperoni in the past couple days. I just can’t get enough of it lol</t>
        </is>
      </c>
      <c r="D6357" t="n">
        <v>1</v>
      </c>
      <c r="E6357" t="n">
        <v>49</v>
      </c>
      <c r="F6357">
        <f>HYPERLINK("https://www.reddit.com/r/cancer/comments/e8y7zs/cancer_cravings/")</f>
        <v/>
      </c>
      <c r="G6357" t="inlineStr">
        <is>
          <t>2019-12-10 14:54:20</t>
        </is>
      </c>
      <c r="H6357" t="inlineStr"/>
    </row>
    <row r="6358">
      <c r="A6358" t="inlineStr">
        <is>
          <t>e8y9g1</t>
        </is>
      </c>
      <c r="B6358" t="inlineStr">
        <is>
          <t>Just Diagnosed</t>
        </is>
      </c>
      <c r="C6358" t="inlineStr">
        <is>
          <t>So I was just diagnosed with cancer yesterday, it's in my thyroid and lymph nodes, I just feel guilty, like I did something wrong, even though I didn't</t>
        </is>
      </c>
      <c r="D6358" t="n">
        <v>1</v>
      </c>
      <c r="E6358" t="n">
        <v>15</v>
      </c>
      <c r="F6358">
        <f>HYPERLINK("https://www.reddit.com/r/cancer/comments/e8y9g1/just_diagnosed/")</f>
        <v/>
      </c>
      <c r="G6358" t="inlineStr">
        <is>
          <t>2019-12-10 14:57:31</t>
        </is>
      </c>
      <c r="H6358" t="inlineStr"/>
    </row>
    <row r="6359">
      <c r="A6359" t="inlineStr">
        <is>
          <t>e8yphw</t>
        </is>
      </c>
      <c r="B6359" t="inlineStr">
        <is>
          <t>Obtain screening - small cell carcinoma</t>
        </is>
      </c>
      <c r="C6359" t="inlineStr">
        <is>
          <t>Hey all, this is for the professionals in the field in the US. I smoked for 20 years, Vaped for 5, and have been free for 1.5 years. With that length of time, chances are pretty high that I'll develop something, and I'd like to screen, or start trials so that I can save my life with hopefully early detention and potentially help others. What path so I need to chase to at least get screening that's adorable (or covered at least)? Any advice is very much appreciated, TIA!</t>
        </is>
      </c>
      <c r="D6359" t="n">
        <v>1</v>
      </c>
      <c r="E6359" t="n">
        <v>2</v>
      </c>
      <c r="F6359">
        <f>HYPERLINK("https://www.reddit.com/r/cancer/comments/e8yphw/obtain_screening_small_cell_carcinoma/")</f>
        <v/>
      </c>
      <c r="G6359" t="inlineStr">
        <is>
          <t>2019-12-10 15:32:09</t>
        </is>
      </c>
      <c r="H6359" t="inlineStr"/>
    </row>
    <row r="6360">
      <c r="A6360" t="inlineStr">
        <is>
          <t>e8ysxb</t>
        </is>
      </c>
      <c r="B6360" t="inlineStr">
        <is>
          <t>So scared, for my upcoming CT scan</t>
        </is>
      </c>
      <c r="C6360" t="inlineStr">
        <is>
          <t>I have been fighting colon cancer since Feb , 2019.   I have had 2 surgeries, lived with and ostomy, discovered a hernia behind my ostomy during my takedown surgery, spent a week in the hospital with CDiff.  I did over 24 weeks of treatment.
Monday 12/16 I have my CT scan to see if I am in remission.  I get the results on 12/17.   I have never been so scared in my life!  
I have 4 littles kids who I want to see go to high school, college, walk some down the aisle ,  it would be amazing to meet a grandkid...
I fucking hate cancer and how much it has fucked up my body and fucks with my mind!!!
Sorry for the rant! Thanks for listening</t>
        </is>
      </c>
      <c r="D6360" t="n">
        <v>1</v>
      </c>
      <c r="E6360" t="n">
        <v>20</v>
      </c>
      <c r="F6360">
        <f>HYPERLINK("https://www.reddit.com/r/cancer/comments/e8ysxb/so_scared_for_my_upcoming_ct_scan/")</f>
        <v/>
      </c>
      <c r="G6360" t="inlineStr">
        <is>
          <t>2019-12-10 15:39:44</t>
        </is>
      </c>
      <c r="H6360" t="inlineStr"/>
    </row>
    <row r="6361">
      <c r="A6361" t="inlineStr">
        <is>
          <t>e8yv1y</t>
        </is>
      </c>
      <c r="B6361" t="inlineStr">
        <is>
          <t>Fuck Cancer</t>
        </is>
      </c>
      <c r="C6361" t="inlineStr">
        <is>
          <t>So my Mom died in July from her multiple myeloma, and this past week my uncle was diagnosed with leukaemia. I also have several other friends fighting cancer, too. Lung, breast, a weird rare blood cancer I can't remember what it's called, and waiting on tests to come back on another to know more about what's going on.  This year has REALLY sucked. I'm just completely emotionally spent. So Fuck Cancer!</t>
        </is>
      </c>
      <c r="D6361" t="n">
        <v>1</v>
      </c>
      <c r="E6361" t="n">
        <v>10</v>
      </c>
      <c r="F6361">
        <f>HYPERLINK("https://www.reddit.com/r/cancer/comments/e8yv1y/fuck_cancer/")</f>
        <v/>
      </c>
      <c r="G6361" t="inlineStr">
        <is>
          <t>2019-12-10 15:44:46</t>
        </is>
      </c>
      <c r="H6361" t="inlineStr"/>
    </row>
    <row r="6362">
      <c r="A6362" t="inlineStr">
        <is>
          <t>e8yyy1</t>
        </is>
      </c>
      <c r="B6362" t="inlineStr">
        <is>
          <t>Just found out my mom has stage 4 cancer.</t>
        </is>
      </c>
      <c r="C6362" t="inlineStr">
        <is>
          <t>My mom had ovarian cancer a few years ago, was treated, and “cured”. Anyway earlier this year the doctor said it looked like some other cancer had developed. Started her back on treatments. Then my mom claimed she didn’t have cancer at all. Seemed fine for a few months. Now she’s back in hospital and they’ve diagnose stage 4 cancer.
She’s refusing treatment and combative with the hospital people. Just wants to “go home”. Not sure what to do since I can’t convince her to stay in the hospital and follow through with any treatments. The hospital says they can’t give her too much pain medicine since it could slow down her breathing too much. They currently have her strapped down.
I’m just having trouble processing all this and felt like I already went through it with her before. Also not sure what my brother and sisters can do about her. She wouldn’t listen to us before about sticking to her treatments or taking care of herself and can’t force her either.</t>
        </is>
      </c>
      <c r="D6362" t="n">
        <v>1</v>
      </c>
      <c r="E6362" t="n">
        <v>12</v>
      </c>
      <c r="F6362">
        <f>HYPERLINK("https://www.reddit.com/r/cancer/comments/e8yyy1/just_found_out_my_mom_has_stage_4_cancer/")</f>
        <v/>
      </c>
      <c r="G6362" t="inlineStr">
        <is>
          <t>2019-12-10 15:53:33</t>
        </is>
      </c>
      <c r="H6362" t="inlineStr"/>
    </row>
    <row r="6363">
      <c r="A6363" t="inlineStr">
        <is>
          <t>e8zlfi</t>
        </is>
      </c>
      <c r="B6363" t="inlineStr">
        <is>
          <t>Nervously awaiting results</t>
        </is>
      </c>
      <c r="C6363" t="inlineStr">
        <is>
          <t>Saw my oncologist today with a lymnode that’s gotten about 40% bigger in two months, still very hard. I’ve had chest pain for 3 days straight now, abdominal pain for 2-3 weeks.
They found my left tonsil was double the size of my right side, camera up the nose showed swelling in left sinus cavity, left breast tissue swollen as well, some random shooting pain down the legs as well. 
Got chest x rays and abdominal x rays as well as blood work. 
A bit nervous because the oncologist called me after hours today about 20 minutes after I left and I couldn’t answer because I was driving. Tried calling back and it said they were closers. 
Nervous!</t>
        </is>
      </c>
      <c r="D6363" t="n">
        <v>1</v>
      </c>
      <c r="E6363" t="n">
        <v>2</v>
      </c>
      <c r="F6363">
        <f>HYPERLINK("https://www.reddit.com/r/cancer/comments/e8zlfi/nervously_awaiting_results/")</f>
        <v/>
      </c>
      <c r="G6363" t="inlineStr">
        <is>
          <t>2019-12-10 16:44:26</t>
        </is>
      </c>
      <c r="H6363" t="inlineStr"/>
    </row>
    <row r="6364">
      <c r="A6364" t="inlineStr">
        <is>
          <t>e8znyh</t>
        </is>
      </c>
      <c r="B6364" t="inlineStr">
        <is>
          <t>My classmate got cancer... Heres my idea</t>
        </is>
      </c>
      <c r="C6364" t="inlineStr">
        <is>
          <t>Hey everyone, 
I'll juste get straight to the point, one of my classmates just got rediagnosed with cancer. I say rediagnosed, because he actually fought it two years ago and won. He was in a higher grade than me, but due to his treatments he had to retake the year again. More recently, he started showing up less and less to class and we now have the answer no one in the class wanted to hear: his cancer came back.
Now, even though I wasn't especially close to him, i still thought i should do something and gather the whole senior year to show our support. He wasnt really my friend, but i lost my dad to cancer and i know how important it is to show support for not only him, but his family too.
So what we're doing at the moment is a fundraise  to get him a Christmas gift and a big card that everyone is gonna sign. We're not sure about the gift, but we thought buying a huge teddy bear and dressing it with a school hoodie might be a good idea.
Heres where i need your help: Is that a good gift? And the card is gonna be two posters folded together like a book, with pages he'll flip over one after another. This might seem like a stupid question, but can i put except the messages, signatures and picture? We literally have to fill 6 huge pages and me and my partner dont really know what to draw/put... I really want this to be perfect and i appreciate everyone who takes the time to read and reply!</t>
        </is>
      </c>
      <c r="D6364" t="n">
        <v>1</v>
      </c>
      <c r="E6364" t="n">
        <v>3</v>
      </c>
      <c r="F6364">
        <f>HYPERLINK("https://www.reddit.com/r/cancer/comments/e8znyh/my_classmate_got_cancer_heres_my_idea/")</f>
        <v/>
      </c>
      <c r="G6364" t="inlineStr">
        <is>
          <t>2019-12-10 16:50:27</t>
        </is>
      </c>
      <c r="H6364" t="inlineStr"/>
    </row>
    <row r="6365">
      <c r="A6365" t="inlineStr">
        <is>
          <t>e90dl0</t>
        </is>
      </c>
      <c r="B6365" t="inlineStr">
        <is>
          <t>We’re at the end of this road.</t>
        </is>
      </c>
      <c r="C6365" t="inlineStr">
        <is>
          <t>I can feel the desperation bubbling beneath the surface...under all of the anger and sadness. 
We’ve watched him waste away for weeks now. Where once he was always the tallest man in the room, now he’s a poor, frail, shrunken fixture in the corner of it. 
Bilious hatred tinged with defeat. We can’t beat you. He can’t. Cancer has taken everything from my dad and left him a tiny, emaciated shell of who he was even two months ago. His pride, his happiness, his previously indomitable strength—all gone, instead replaced with needing help with even the most basic tasks, intractable sadness, and mottled skin. I hate this to my very core. 
We’re at the end of this road with cancer and the only comfort it brings is the relief of knowing he’ll no longer be suffering. What a shit deal you make, cancer. Fuck you. Fuck you and the horse you rode in on.</t>
        </is>
      </c>
      <c r="D6365" t="n">
        <v>1</v>
      </c>
      <c r="E6365" t="n">
        <v>13</v>
      </c>
      <c r="F6365">
        <f>HYPERLINK("https://www.reddit.com/r/cancer/comments/e90dl0/were_at_the_end_of_this_road/")</f>
        <v/>
      </c>
      <c r="G6365" t="inlineStr">
        <is>
          <t>2019-12-10 17:49:39</t>
        </is>
      </c>
      <c r="H6365" t="inlineStr"/>
    </row>
    <row r="6366">
      <c r="A6366" t="inlineStr">
        <is>
          <t>e911yv</t>
        </is>
      </c>
      <c r="B6366" t="inlineStr">
        <is>
          <t>Success stories?</t>
        </is>
      </c>
      <c r="C6366" t="inlineStr">
        <is>
          <t>I know this may be a long shot, but I’m starting to lose hope that we can save my mum (stage 4 lung cancer non small cell) we start chemo 5 days before Christmas and I’m just struggling so much watching her slowly change is breaking my heart, hearing how she coughs and how she talks just completely destroys me she can barely walk now because the medication she’s on is making her wonky on her feet, I just need some hope.. any type I just need to hear some success stories I just need something for us both I need to show her that she can beat this because a lot of others have beaten it and idk, idk where I was going with this I just so badly need success stories, can anyone help?</t>
        </is>
      </c>
      <c r="D6366" t="n">
        <v>1</v>
      </c>
      <c r="E6366" t="n">
        <v>9</v>
      </c>
      <c r="F6366">
        <f>HYPERLINK("https://www.reddit.com/r/cancer/comments/e911yv/success_stories/")</f>
        <v/>
      </c>
      <c r="G6366" t="inlineStr">
        <is>
          <t>2019-12-10 18:46:23</t>
        </is>
      </c>
      <c r="H6366" t="inlineStr"/>
    </row>
    <row r="6367">
      <c r="A6367" t="inlineStr">
        <is>
          <t>e921x6</t>
        </is>
      </c>
      <c r="B6367" t="inlineStr">
        <is>
          <t>I'm so scared to lose my mom</t>
        </is>
      </c>
      <c r="C6367" t="inlineStr">
        <is>
          <t>My mom has recently been diagnosed with stage 4 uterine carcinosarcoma and I have never felt so much fear in my life. Like some other posts about this tumor, it all started with a (seemingly) check and a physician that thought it was no big deal because uterine cancer has high survivability until the path reports came back. She took 3 weeks to process the news before her next scan and it has already metastasized to pretty large tumor sizes (i.e. .5cm initially to 2.5x2.5 in multiple areas in the peritoneal). I was able to talk her into chemo and we got our first treatment. 
I pray every night she's in the 10% of survivors of advanced disease over 5 years
I pray every night that our follow up at the large academic hospitals will introduce us to a clinical trial I couldn't find on my own that will give me another decade (ideally 2-3) with my mom.
I want to see that 1000W smile light up rooms and hear that infectious laugh spread across everyone we know.
It just hurts to look in your mom's eyes and see her fail to mask her fear as she says she is going to get better. My mom is only 53. We've had a hard life that just started to go in the right direction until this diagnosis. It's not fair. I don't want to talk about who to give your jewelry too if the treatment doesn't work, I want to yell at you for nagging me about not calling my brother enough. 
I want to prank call you randomly and pretend to be the TV shopping network following up about the Nutribullet we bought years ago. 
I want you to visit me in CA and see how my life has started to turn in the direction I'd always dreamed, that my move across the country was in pursuit of a better opportunity - to seek better spoils for all of us to share.
I try to be positive but I can't help but stay up all night looking for more examples of people who survived. 
My sweet, passionate mom. I'm here for you thick and through. I soothe you by sharing the burden of care but frighten you through my extending my stay with no communicable reason for why. I can't say I crave to spend as much time with you as you are because of my fears of the worst. "Go back to California, you say, I'm fine
I retort - Please give me one more night for us together to dine. 
I just wrote this to help me cope. If anyone has dealt with this cancer / knows of any promising treatments / has any positive survival points please share! Currently on a 6 cycle treatment of carbo/taxol in the mid-Atlantic. 
TL:DR - my mom was diagnosed with a rare and super aggressive tumor that has the worst prognosis. I'm overwhelmed with the idea of losing my mom after moving across the country and am scared to go back to CA to lose her soon. Staying more than a month makes my mom think I think she's dying but leaving now is so painful.</t>
        </is>
      </c>
      <c r="D6367" t="n">
        <v>1</v>
      </c>
      <c r="E6367" t="n">
        <v>15</v>
      </c>
      <c r="F6367">
        <f>HYPERLINK("https://www.reddit.com/r/cancer/comments/e921x6/im_so_scared_to_lose_my_mom/")</f>
        <v/>
      </c>
      <c r="G6367" t="inlineStr">
        <is>
          <t>2019-12-10 20:13:03</t>
        </is>
      </c>
      <c r="H6367" t="inlineStr"/>
    </row>
    <row r="6368">
      <c r="A6368" t="inlineStr">
        <is>
          <t>e92vvw</t>
        </is>
      </c>
      <c r="B6368" t="inlineStr">
        <is>
          <t>Experiences With Minoxidil</t>
        </is>
      </c>
      <c r="C6368" t="inlineStr">
        <is>
          <t>Hi,
My really thin hair is starting to bother me a lot, and I was wondering if minoxidil would help it grow faster. Do any of you have experiences with it? If so, what were they like?</t>
        </is>
      </c>
      <c r="D6368" t="n">
        <v>1</v>
      </c>
      <c r="E6368" t="n">
        <v>0</v>
      </c>
      <c r="F6368">
        <f>HYPERLINK("https://www.reddit.com/r/cancer/comments/e92vvw/experiences_with_minoxidil/")</f>
        <v/>
      </c>
      <c r="G6368" t="inlineStr">
        <is>
          <t>2019-12-10 21:34:13</t>
        </is>
      </c>
      <c r="H6368" t="inlineStr"/>
    </row>
    <row r="6369">
      <c r="A6369" t="inlineStr">
        <is>
          <t>e93u5m</t>
        </is>
      </c>
      <c r="B6369" t="inlineStr">
        <is>
          <t>How to wear a wig comfortably?</t>
        </is>
      </c>
      <c r="C6369" t="inlineStr">
        <is>
          <t>I recently got a few wigs to try out but I don’t think I put it on right. It just looked weird and made me upset and self conscious that i have no hair. Has anyone else felt this frustration trying on wigs ?</t>
        </is>
      </c>
      <c r="D6369" t="n">
        <v>1</v>
      </c>
      <c r="E6369" t="n">
        <v>6</v>
      </c>
      <c r="F6369">
        <f>HYPERLINK("https://www.reddit.com/r/cancer/comments/e93u5m/how_to_wear_a_wig_comfortably/")</f>
        <v/>
      </c>
      <c r="G6369" t="inlineStr">
        <is>
          <t>2019-12-10 23:14:58</t>
        </is>
      </c>
      <c r="H6369" t="inlineStr"/>
    </row>
    <row r="6370">
      <c r="A6370" t="inlineStr">
        <is>
          <t>e93uj2</t>
        </is>
      </c>
      <c r="B6370" t="inlineStr">
        <is>
          <t>Insomnia after finishing treatment</t>
        </is>
      </c>
      <c r="C6370" t="inlineStr">
        <is>
          <t>I've been done with chemo for about 7 weeks. Had major orthopedic surgery a month ago. Off all drugs. I'm pretty immobile from surgery, so somewhat bed ridden.
My biggest problem is insomnia, I'm not napping and I'm waking up at normal hours. My mind is surprisingly clear and  not having racing thoughts.
Anyone else run into this? Prior to cancer I was a great sleeper.</t>
        </is>
      </c>
      <c r="D6370" t="n">
        <v>1</v>
      </c>
      <c r="E6370" t="n">
        <v>4</v>
      </c>
      <c r="F6370">
        <f>HYPERLINK("https://www.reddit.com/r/cancer/comments/e93uj2/insomnia_after_finishing_treatment/")</f>
        <v/>
      </c>
      <c r="G6370" t="inlineStr">
        <is>
          <t>2019-12-10 23:16:12</t>
        </is>
      </c>
      <c r="H6370" t="inlineStr"/>
    </row>
    <row r="6371">
      <c r="A6371" t="inlineStr">
        <is>
          <t>e93vey</t>
        </is>
      </c>
      <c r="B6371" t="inlineStr">
        <is>
          <t>Breast Cancer Therapy Market Increased International Technology Trade Opening New Opportunities 2026</t>
        </is>
      </c>
      <c r="C6371" t="inlineStr">
        <is>
          <t xml:space="preserve">  
The Global [***Breast Cancer Therapy Market***](https://www.polarismarketresearch.com/industry-analysis/breast-cancer-therapy-market) is anticipated to reach USD 29.6 Billion by 2026 according to a new research published by Polaris Market Research. In 2017, the targeted therapy segment dominated the global market, in terms of revenue.
Breast cancer is a disorder which is observed as malignant cell growth in the breast area. Such cancer can start at the breast tissue, ducts, or the lobules. In general, cancers developing from lobules are known as lobular carcinomas while cancer developing from the ducts are known as ductal carcinomas. The symptoms of cancer include dimpling of the skin, lumps, alteration in the breast size and impeding of fluid coming from breast. Generally, breast cancer is observed as the common disease in women over the age of 50. Moreover, the breast cancer is second most common disorder among all cancer types. This disease can be diagnosed and controlled by imaging test, physical tests, biopsy and appropriate care.
**Request for a sample of this research report @** [**https://www.polarismarketresearch.com/industry-analysis/breast-cancer-therapy-market/request-for-sample**](https://www.polarismarketresearch.com/industry-analysis/breast-cancer-therapy-market/request-for-sample) 
The global breast cancer therapies market is majorly driven by increasing occurrence of breast cancer cases across the globe. Rising number of breast cancer cases are related with early menarche, protracted exposure to endogenous estrogens, late menopause and late stage at first childbirth which all are anticipated to render high impact on the market growth. In addition, launch of several screening and diagnostic programs and increasing advancement in technology are other factors expected to make a remarkable growth in the market. Moreover, increasing occurrence of obesity in women after menopause, increasing consciousness regarding breast cancer, and lifestyle risk factors (alcohol consumption and smoking) are other circumstances expected to drive the growth in global breast cancer therapies market.
Geographically, North America accounted for the largest share in the global breast cancer therapies market in 2017. The dominance is majorly owing to the increasing R&amp;amp;D funding through private and public organizations along with growing prevalence of breast cancer in the region. Moreover, increasing geriatric population majorly in U.S. and, breast feeding termination at an early stage are factors stimulating the risk factors for breast cancer development which in turn is expected to support the growth of breast cancer therapies market in North America region. Asia Pacific breast cancer therapies market is expected to grow at significant rate during the forecast period due to increasing occurrence of disease coupled with increasing rate of lifestyle changes and health risks associated with it. Moreover, increasing adoption of technology, refining economic settings, and rising awareness regarding disease preventions are other factors boosting the breast cancer therapies market growth across Asia Pacific region.
**Complete Summary with TOC Available @** [**https://www.polarismarketresearch.com/industry-analysis/breast-cancer-therapy-market**](https://www.polarismarketresearch.com/industry-analysis/breast-cancer-therapy-market) 
The leading companies profiled in the Breast Cancer Therapies Market report include AstraZeneca, Bayer AG, Danaher, Bristol Myers Squibb, Eisai Co., Ltd., Merck &amp;amp; Co., Novartis AG, Novocure, Pfizer Inc., and F. Hoffmann-La Roche AG. 
&amp;amp;#x200B;
* **Breast Cancer Therapies      Market Size and Forecast, 2017-2026 by Therapy type**
&amp;amp;#x200B;
* Targeted therapy
* Chemotherapy
* Surgery &amp;amp; radiation       therapy
* Hormonal therapy
* **Breast Cancer Therapies      Market Size and Forecast, 2017-2026 by Region**
&amp;amp;#x200B;
* North America
&amp;amp;#x200B;
* U.S.
* Canada
* Europe
&amp;amp;#x200B;
* Germany
* UK
* France
* Asia-Pacific
&amp;amp;#x200B;
* China
* India
* Japan
* Latin America
&amp;amp;#x200B;
* Brazil
* Middle East &amp;amp; Africa
**Avail discount on this report @** [**https://www.polarismarketresearch.com/industry-analysis/breast-cancer-therapy-market/request-for-discount-pricing**](https://www.polarismarketresearch.com/industry-analysis/breast-cancer-therapy-market/request-for-discount-pricing) 
**About Polaris Market Research**
Polaris Market Research is a global market research and consulting company. We provide unmatched quality of offerings to our clients present globally. The company specializes in providing exceptional market intelligence and in-depth business research services for our clientele spread across different enterprises. We at Polaris are obliged to serve our diverse customer base present across the industries of healthcare, technology, semi-conductors and chemicals among various other industries present around the world. We strive to provide our customers with updated information on innovative technologies, high growth markets, emerging business environments and latest business-centric applications, thereby helping them always to make informed decisions and leverage new opportunities.
**Contact us-**
Polaris Market Research
Phone: 1-646-568-9980
**Email:** [**sales@polarismarketresearch.com**](mailto:sales@polarismarketresearch.com) 
**Web:** [**www.polarismarketresearch.com**](http://www.polarismarketresearch.com/)</t>
        </is>
      </c>
      <c r="D6371" t="n">
        <v>1</v>
      </c>
      <c r="E6371" t="n">
        <v>0</v>
      </c>
      <c r="F6371">
        <f>HYPERLINK("https://www.reddit.com/r/cancer/comments/e93vey/breast_cancer_therapy_market_increased/")</f>
        <v/>
      </c>
      <c r="G6371" t="inlineStr">
        <is>
          <t>2019-12-10 23:18:49</t>
        </is>
      </c>
      <c r="H6371" t="inlineStr"/>
    </row>
    <row r="6372">
      <c r="A6372" t="inlineStr">
        <is>
          <t>e93wow</t>
        </is>
      </c>
      <c r="B6372" t="inlineStr">
        <is>
          <t>Update and an apology</t>
        </is>
      </c>
      <c r="C6372" t="inlineStr">
        <is>
          <t>The apology: Before I had written about my initial diagnosis of breast cancer, but I didn't respond to the comments. I wanted to say I am so thankful for them, and they got me through a really rough patch. At the time I'm afraid I didn't know how to respond and my own anxiousness stopped me. But again, thank you guys. It wasn't for nothing.
The Update: The last couple weeks have been a blur. After an MRI, they discovered a lesion on my sternum. I went through some blood tests and a CT guided biopsy for the lesion. Today I went to my oncologist for the results of all of the above and I was diagnosed with stage 4 metastatic breat cancer.
Stage. 4. 
Now we need to do a PET (?) scan to determine if its anywhere else in my body. And start chemotherapy. I have to gather all my reports for a 2nd opinion. And I cannot express how terrified I am. The doctor told me it's something I will be dealing with the rest of my life. That there is just treatment and management. No cure. 
I am only 33. I have a 4 year old who is not verbal and needs me. My husband is my very best friend and I cannot imagine leaving him. The thought of not being here for my family is killing me. One of the nurse counselors said something about knowing someone who made it 10 years, and it is a ray of hope to hold on to. 10 years!? Only 10!? The survial rate for stage 4 after 5 years is 22%!? This isn't fucking fair. I am so incredibly angry and broken. I don't even really know the full extent of my cancer. What if its worse than just the 2 locations? God. Damnit. 
Honestly. Just fuck cancer.</t>
        </is>
      </c>
      <c r="D6372" t="n">
        <v>1</v>
      </c>
      <c r="E6372" t="n">
        <v>14</v>
      </c>
      <c r="F6372">
        <f>HYPERLINK("https://www.reddit.com/r/cancer/comments/e93wow/update_and_an_apology/")</f>
        <v/>
      </c>
      <c r="G6372" t="inlineStr">
        <is>
          <t>2019-12-10 23:22:44</t>
        </is>
      </c>
      <c r="H6372" t="inlineStr"/>
    </row>
    <row r="6373">
      <c r="A6373" t="inlineStr">
        <is>
          <t>e94j0s</t>
        </is>
      </c>
      <c r="B6373" t="inlineStr">
        <is>
          <t>I no longer have MDS</t>
        </is>
      </c>
      <c r="C6373" t="inlineStr">
        <is>
          <t>I am day 42+ post bone marrow transplant and my day 30 biopsy showed no signs of my MDS. 100% donor cells and after a week I was making my own blood products. I’m having a hard time being happy for myself because being the person I am, I’m waiting for the other shoe to drop. I don’t want to get my hopes up and tell people i’m cancer free out of fear i’ll jinx it somehow. But honestly, I am just ready to live life again .</t>
        </is>
      </c>
      <c r="D6373" t="n">
        <v>1</v>
      </c>
      <c r="E6373" t="n">
        <v>4</v>
      </c>
      <c r="F6373">
        <f>HYPERLINK("https://www.reddit.com/r/cancer/comments/e94j0s/i_no_longer_have_mds/")</f>
        <v/>
      </c>
      <c r="G6373" t="inlineStr">
        <is>
          <t>2019-12-11 00:38:33</t>
        </is>
      </c>
      <c r="H6373" t="inlineStr"/>
    </row>
    <row r="6374">
      <c r="A6374" t="inlineStr">
        <is>
          <t>e95bbd</t>
        </is>
      </c>
      <c r="B6374" t="inlineStr">
        <is>
          <t>writing a note to my mom who probably has a month left</t>
        </is>
      </c>
      <c r="C6374" t="inlineStr">
        <is>
          <t>how do you write everything your mom has done for you in one note? how do you express how much you love someone in one note? how. I had cancer myself and finished treatment just two weeks before my mom was diagnosed. I'm trying to write a note to tell my mom how much she means before passing on to whatever happens after Earth, hopeful heaven because after everything she's done she deserves it. I wish pre-teen would have spent more time with her. I wish she could see me graduate, but that's 4 years from now, and we have 1 month left. Im hoping she can make it to May to see my brother graduate, but that is becoming less and less likely. but i realistically i hope she makes it to christmas  
but anyways, I don't want to regret not saying I love you, or telling her how much she means before she goes, I don't want it to haunt me for the rest of my life. why did my mom not beat this shitshow, but I did? i've been seeing a therapist for the last 1/2 a year because of my own cancer, but this is a whole new thing to deal with
&amp;amp;#x200B;
sorry for the block of text, and how i go on tangents every three seconds. i doubt its readable but at this point i can't give half of a shit about how readable it is, I can't even see my screen at this point bc of the tears :)
&amp;amp;#x200B;
fuck cancer</t>
        </is>
      </c>
      <c r="D6374" t="n">
        <v>1</v>
      </c>
      <c r="E6374" t="n">
        <v>4</v>
      </c>
      <c r="F6374">
        <f>HYPERLINK("https://www.reddit.com/r/cancer/comments/e95bbd/writing_a_note_to_my_mom_who_probably_has_a_month/")</f>
        <v/>
      </c>
      <c r="G6374" t="inlineStr">
        <is>
          <t>2019-12-11 02:16:33</t>
        </is>
      </c>
      <c r="H6374" t="inlineStr"/>
    </row>
    <row r="6375">
      <c r="A6375" t="inlineStr">
        <is>
          <t>e95kkb</t>
        </is>
      </c>
      <c r="B6375" t="inlineStr">
        <is>
          <t>Completely left in the dark and overthinking everything.</t>
        </is>
      </c>
      <c r="C6375" t="inlineStr">
        <is>
          <t>This is my first post here and if it isn't allowed I am so sorry. I'm just completely lost and have noone to talk to and because of that I then sit over analysing and overthinking everything, which we all know is dangerous as we can become utterly irrational.
I have dentures so each evening the cleaning and care of my mouth before bed is a little longer than it was pre dentures. Around 12 weeks ago I discovered a teeny (and I mean teeny, almost needle prick like) black dot in my mouth on my cheek. I assumed it was due to my dentures - possibly I'd bitten my cheek and not realised, pressure from the dentures causing blood blisters etc. It stayed as it was for around 4 weeks. Then one evening I'd noticed it had gotten bigger and darker. I made a note to myself to keep an eye on it and to also be mindful of how I was chewing my food etc as I thought I was damaging my cheek but because these aren't my natural teeth maybe I couldn't feel myself doing it. Rewind to 2 weeks ago and it had again gotten bigger and when talking to a friend of mine, who is a nurse at a local GP Practice, she advised I just get it looked at because she had noticed I'd been clearing my throat almost constantly during conversation for a few weeks, my voice seems to have changed (I hadn't noticed this) and I had been complaining quite a bit over the past couple of months that I felt like I couldnt swallow properly. I was/am finding swallowing a greater effort than usual but I put this down to the colder weather. I don't think any of this is related but my friend is being cautious and asked me to see my GP just in case. So I booked the appointment.
 I walk into my GPs office, explain a couple of things and she gets her Doctor tools out and has a quick glance over my mouth and eyes then sweeps her hands ever so gently (and swiftly might I add) over either side of my neck. This examination lasted less than a minute, she then picks up her phone and calls the Head and Neck Cancer referral team at my local hospital for suspected Cancer and she has booked me into the Head and Neck Cancer surgery department for the following week. 6 days from this initial appointment. From walking into the office to being told I was going to the Head and Neck Cancer surgery was less than 3 minutes. I just sat on the chair completely stunned and speechless. She told me it was just precaution which I am incredibly grateful for (my Dad was shunned for 8 months by his GP about a "chest infection" which turned out to be advanced lung cancer and died 3 weeks after the diagnosis so the speed in this doctors work is exceptional and I am incredibly grateful) but if it is just precaution, why was I put on the "Priority - Urgent - Fast Tracked list" (as stated on my doctors notes) and booked in so quickly? I said my thank yous and left the office because I was just complelty dumbfounded and it didn't occur to me to ask anything more. I suppose what I'm asking is, is this usual? For things to move so fast if it's genuinely only a precaution? I've done a little research for my area and for my district here in the UK there seem to be 3 different categories - A normal referral where my GP would write to the hospital, I'd wait for an appointment and I'd have a consultation. It's stated on the NHS website that these usually take 3 - 6 months depending on the referral. Then there is an Urgent referral where they aim to have you seen and assessed within 2 - 4 weeks. And then there is the Urgent/Immediate/Fast tracked referral where they aim to see you in 5 days. This seems to be the list I have been put on. 
I have a lot of experience with Cancer. My mother, aunties and Grandmothers have all had treatment for Cervical and or Ovarian Cancer. My Dad had Lung and Pericadum (spelling?) Cancer and I cared for him myself at home. My fathers father had the same Cancer as him. I mean I could go on but every family member above the age of 28 on both my mothers and fathers sides have all had some brush with Cancer over the years. Its upsetting to say but it's kind of the norm for our family. So what I'm saying is at the moment I'm not scared, I'm not, I will decide all that if anything even comes from this but I'm just utterly confused. Why the fast track, why no more information? I don't even know what I am expecting from this post but I am on a coffee break at work and I need my brain cogs to stop whirring.
Thank you for reading this ridiculously long and rambled post if you made it this far you're brave and if you made it this far and actually made sense of my ramblings I commend you!</t>
        </is>
      </c>
      <c r="D6375" t="n">
        <v>1</v>
      </c>
      <c r="E6375" t="n">
        <v>13</v>
      </c>
      <c r="F6375">
        <f>HYPERLINK("https://www.reddit.com/r/cancer/comments/e95kkb/completely_left_in_the_dark_and_overthinking/")</f>
        <v/>
      </c>
      <c r="G6375" t="inlineStr">
        <is>
          <t>2019-12-11 02:47:17</t>
        </is>
      </c>
      <c r="H6375" t="inlineStr"/>
    </row>
    <row r="6376">
      <c r="A6376" t="inlineStr">
        <is>
          <t>e97ep4</t>
        </is>
      </c>
      <c r="B6376" t="inlineStr">
        <is>
          <t>Diagnosed yesterday</t>
        </is>
      </c>
      <c r="C6376" t="inlineStr">
        <is>
          <t>And I still can’t believe it. 
Invasive endocervical adenocarcinoma. 
Wtf is happening. I feel fine, I just got married, I just bought a house. What’s going to happen to my husband and my cats? 
I have to wait to speak to a gynecological oncologist for more testing, staging, and I’m so scared. I’m 28, this isn’t supposed to happen, and the timing (2 weeks before Christmas) makes it all worse.</t>
        </is>
      </c>
      <c r="D6376" t="n">
        <v>1</v>
      </c>
      <c r="E6376" t="n">
        <v>7</v>
      </c>
      <c r="F6376">
        <f>HYPERLINK("https://www.reddit.com/r/cancer/comments/e97ep4/diagnosed_yesterday/")</f>
        <v/>
      </c>
      <c r="G6376" t="inlineStr">
        <is>
          <t>2019-12-11 05:57:00</t>
        </is>
      </c>
      <c r="H6376" t="inlineStr"/>
    </row>
    <row r="6377">
      <c r="A6377" t="inlineStr">
        <is>
          <t>e97mfu</t>
        </is>
      </c>
      <c r="B6377" t="inlineStr">
        <is>
          <t>Uncle in Hospice</t>
        </is>
      </c>
      <c r="C6377" t="inlineStr">
        <is>
          <t>Hello everybody so recently my uncle was placed in hospice for cancer.
He first discovered it a few months ago and its already to the point to where they say he has two weeks left.
It's been a really awful year seeing him deteriorate into he has now.
Just asking for any prayers and whatnot would really help.
We need a miracle right now.</t>
        </is>
      </c>
      <c r="D6377" t="n">
        <v>1</v>
      </c>
      <c r="E6377" t="n">
        <v>4</v>
      </c>
      <c r="F6377">
        <f>HYPERLINK("https://www.reddit.com/r/cancer/comments/e97mfu/uncle_in_hospice/")</f>
        <v/>
      </c>
      <c r="G6377" t="inlineStr">
        <is>
          <t>2019-12-11 06:15:36</t>
        </is>
      </c>
      <c r="H6377" t="inlineStr"/>
    </row>
    <row r="6378">
      <c r="A6378" t="inlineStr">
        <is>
          <t>e97tfc</t>
        </is>
      </c>
      <c r="B6378" t="inlineStr">
        <is>
          <t>(Update) CUP that presented in adrenal gland, now liver spots</t>
        </is>
      </c>
      <c r="C6378" t="inlineStr">
        <is>
          <t>So back in August, I posted my [dad's story on here.](https://www.reddit.com/r/cancer/comments/ctlmii/cup_that_presented_in_adrenal_gland_now_liver/)
It's been an up and down ride since then. First, we were told the liver spots weren't cancerous after all. Then, in September, his AFP numbers were found to be around 1,800, suggesting he had some form of germ cell cancer, rare for a man in his 50s. This was a big sigh of relief, considering how easy germ cell cancer supposedly is to treat. After the first cycle of chemo, it went up a bit to 2,000, before finally going back down to 1,700 after the second cycle (what a wonderful day that was). After the third cycle, it went all the way down to 1,000, which put us at ease again.
However, a couple weeks ago, Dad completed his treatments, but his AFP was still at 191 (needs to be 0-8, apparently). We were told that they would monitor it to make sure it kept going down, but if it showed any signs of going back up, he would have to do high dose chemo. We didn't expect it to go up at all at by the time of his first follow-up a little over a week later, but the tests showed his AFP had gone back up to 200. Not a big jump by any means, but enough to justify high dose chemo.
I've been reading a lot about how high dose chemo works, prognosis factors, and survival rates of germ cell and testicular cancers, and it's all making my head hurt because his cancer is so rare and he's in such a weird spot I can't make heads or tails about his chances. 
I'm not too worried about the chemo itself, and even though it will suck having to go see him in a hospital for three weeks, if it has to be done, it has to be done. He was a champ during the standard chemo, and aside from a few scares with low white blood cell counts, he did remarkably well. I have no fear he can handle higher doses.
My fear is that this somehow still won't get rid of the cancer. All of the publications I've read suggest that he has a good prognosis, since his AFP is below 1000 before he'll start it (though I'm not sure if they mean his AFP was below 1000 before the first line chemo or before the high dose chemo, hopefully it's the latter), but I've read too many horror stories of the cancer coming back after treatment. None of us expected the AFP to go back up so quickly, so I'm worried it's a highly aggressive cancer that will relapse just as fast.
The doctors think he's still in a good spot. As one put it, it's the bottom of the ninth in the World Series. Your starting pitcher is getting tired, even though he had a good game. Do you keep him in, or put a reliever in knowing he has the best chance to win the game? 
I'm not sure if this is the right place to ask these kinds of questions, but should I be worried the chemo won't work? 
Thank you, and God bless those of you still fighting this horrible disease.</t>
        </is>
      </c>
      <c r="D6378" t="n">
        <v>1</v>
      </c>
      <c r="E6378" t="n">
        <v>0</v>
      </c>
      <c r="F6378">
        <f>HYPERLINK("https://www.reddit.com/r/cancer/comments/e97tfc/update_cup_that_presented_in_adrenal_gland_now/")</f>
        <v/>
      </c>
      <c r="G6378" t="inlineStr">
        <is>
          <t>2019-12-11 06:32:10</t>
        </is>
      </c>
      <c r="H6378" t="inlineStr"/>
    </row>
    <row r="6379">
      <c r="A6379" t="inlineStr">
        <is>
          <t>e98b8k</t>
        </is>
      </c>
      <c r="B6379" t="inlineStr">
        <is>
          <t>My dad has stage 2 stomach cancer.</t>
        </is>
      </c>
      <c r="C6379" t="inlineStr">
        <is>
          <t>I want to make him a care package. He starts chemo next week. He gets his port in tomorrow. What things would good to put in the care package. It would mean a lot to him</t>
        </is>
      </c>
      <c r="D6379" t="n">
        <v>1</v>
      </c>
      <c r="E6379" t="n">
        <v>4</v>
      </c>
      <c r="F6379">
        <f>HYPERLINK("https://www.reddit.com/r/cancer/comments/e98b8k/my_dad_has_stage_2_stomach_cancer/")</f>
        <v/>
      </c>
      <c r="G6379" t="inlineStr">
        <is>
          <t>2019-12-11 07:13:11</t>
        </is>
      </c>
      <c r="H6379" t="inlineStr"/>
    </row>
    <row r="6380">
      <c r="A6380" t="inlineStr">
        <is>
          <t>e98k2f</t>
        </is>
      </c>
      <c r="B6380" t="inlineStr">
        <is>
          <t>Wildly, Wildly Pissed</t>
        </is>
      </c>
      <c r="C6380" t="inlineStr">
        <is>
          <t>Ok, so I need a second to vent.
I got a call last Weds from my (regular) doctor's office, that the preventive MRI on my breasts came back and they needed to do a biopsy. They scheduled the biopsy for this coming Friday.
I've spent the last week internally (and not so internally) panicking, and pissed at the world that this is happening. Again. Then I got the actual MRI report last night.
When they said they needed to do the biopsy, they led me to believe they found something in my left breast. Nope, it is in my left armpit. And the radiologist was either a) too lazy, or b) too stupid to look at the previous scans that have been of the exact same area. The scans that have not changed in the last 21 months. The scans that say that the lymph node is yes, enlarged, but still too small to warrant a biopsy. The same scans that my oncologist is monitoring every 3-6 months.
This is not the first time they have screwed up like this. First, they missed the original cancer (liposarcoma). Then, they screwed up the surgery. Then, they flat out lied to me to cover up said screw up. Then, in the last 6 weeks, they have missed broken bones on an x-ray not once, but TWICE. Then this.  I'm so monumentally done, and wildly pissed.
Sorry to vent (again), but I'm just so done. This totally sucks.</t>
        </is>
      </c>
      <c r="D6380" t="n">
        <v>1</v>
      </c>
      <c r="E6380" t="n">
        <v>11</v>
      </c>
      <c r="F6380">
        <f>HYPERLINK("https://www.reddit.com/r/cancer/comments/e98k2f/wildly_wildly_pissed/")</f>
        <v/>
      </c>
      <c r="G6380" t="inlineStr">
        <is>
          <t>2019-12-11 07:32:54</t>
        </is>
      </c>
      <c r="H6380" t="inlineStr"/>
    </row>
    <row r="6381">
      <c r="A6381" t="inlineStr">
        <is>
          <t>e98rzb</t>
        </is>
      </c>
      <c r="B6381" t="inlineStr">
        <is>
          <t>New Goal</t>
        </is>
      </c>
      <c r="C6381" t="inlineStr">
        <is>
          <t>Starbucks for life is going on right now (for those that aren’t hooked up to the juice, its a rewards contest where you can win various starbucks related prizes including free drinks for a month, 6 months, a year, or life). Since coffee isn’t linked to worsening prognosis for colon cancer, I’ve been chugging along full tilt and earning entries as I go.  How great would it be to win the “for life” prize and then kick metastatic cancer out of sheer caffienated will to get my money’s worth? On the plus side, if any execs are reading this, you could just gift me starbucks for life, and then hope I kick the bucket before you run too far in the red. I can see it now; the sbux CEO folliwing me to my checkups like “you sure its not getting worse?” And me sipping on my peppermint brulee latte with a big shit-eating grin on my face.</t>
        </is>
      </c>
      <c r="D6381" t="n">
        <v>1</v>
      </c>
      <c r="E6381" t="n">
        <v>6</v>
      </c>
      <c r="F6381">
        <f>HYPERLINK("https://www.reddit.com/r/cancer/comments/e98rzb/new_goal/")</f>
        <v/>
      </c>
      <c r="G6381" t="inlineStr">
        <is>
          <t>2019-12-11 07:50:27</t>
        </is>
      </c>
      <c r="H6381" t="inlineStr"/>
    </row>
    <row r="6382">
      <c r="A6382" t="inlineStr">
        <is>
          <t>e9b2st</t>
        </is>
      </c>
      <c r="B6382" t="inlineStr">
        <is>
          <t>please pray</t>
        </is>
      </c>
      <c r="C6382" t="inlineStr">
        <is>
          <t>My grandpa was diagnosed with Stage 4 Anal Melanoma in 2018. He refused any treatment. For the past 6 months, he hasn't been eating at all, and he lost so much weight. He is basically skin and bones. It's really hard to see my grandpa go through this, he was the healthiest person I have ever known. He used to love food so much, now he doesn't even have an appetite. It's my grandparents' anniversary in the next few days, and my dad is in India right now with my grandpa and our family, and he bought my grandpa and grandma outfits for the special day. And, today, my grandpa told my dad, I want to wear the new clothes right now, cause I don't know how long I have. He wore the outfit, took pics with my family, and all of a sudden  he became delirious, and I am scared, guys.  My entire family is just praying really hard for him.  I have an important exam coming up in Jan end and originally had plans to go visit him in the first week of February. Now, I am really scared about what will happen. I want to see him badly. I am extremely close to my grandparents on both sides, and it's really hard to see my grandpa go through this. My entire family is very tight knit, and my dad is extremely close to his father (my grandpa). Guys, please pray for him.</t>
        </is>
      </c>
      <c r="D6382" t="n">
        <v>1</v>
      </c>
      <c r="E6382" t="n">
        <v>4</v>
      </c>
      <c r="F6382">
        <f>HYPERLINK("https://www.reddit.com/r/cancer/comments/e9b2st/please_pray/")</f>
        <v/>
      </c>
      <c r="G6382" t="inlineStr">
        <is>
          <t>2019-12-11 10:38:37</t>
        </is>
      </c>
      <c r="H6382" t="inlineStr"/>
    </row>
    <row r="6383">
      <c r="A6383" t="inlineStr">
        <is>
          <t>e9bob3</t>
        </is>
      </c>
      <c r="B6383" t="inlineStr">
        <is>
          <t>Worries about getting cancer again</t>
        </is>
      </c>
      <c r="C6383" t="inlineStr">
        <is>
          <t>Hi all, I'm an ALL survivor who is 4 years post BMT. Whenever I get some sort of ache or start feeling off, the fear of being rediagnosed with cancer immediately creeps into my mind. For example a few weeks ago I started having a pain in my shoulder. Instead of thinking of a logical explanation, my mind immediately jumped to bone cancer. The fear lurked in the back of my mind for three days until the pain ceased. Is there any way to stop worrying about these things? Thanks.</t>
        </is>
      </c>
      <c r="D6383" t="n">
        <v>1</v>
      </c>
      <c r="E6383" t="n">
        <v>4</v>
      </c>
      <c r="F6383">
        <f>HYPERLINK("https://www.reddit.com/r/cancer/comments/e9bob3/worries_about_getting_cancer_again/")</f>
        <v/>
      </c>
      <c r="G6383" t="inlineStr">
        <is>
          <t>2019-12-11 11:21:09</t>
        </is>
      </c>
      <c r="H6383" t="inlineStr"/>
    </row>
    <row r="6384">
      <c r="A6384" t="inlineStr">
        <is>
          <t>e9bwfh</t>
        </is>
      </c>
      <c r="B6384" t="inlineStr">
        <is>
          <t>Dad Stage IV Colorectal and Already Doesn’t Know if He Can Do It</t>
        </is>
      </c>
      <c r="C6384" t="inlineStr">
        <is>
          <t>My dad was diagnosed with incurable (but controllable) stage IV rectal cancer about a month to month and a half ago and is only on day three of treatment: chemo pump plus radiation five days a week for three weeks, then infusions and a chemo pump for up to a YEAR. He’s got a nine inch tumor in his liver that is really screwing with his digestion. He’s only on his third day of the chemo pump and is saying he doesn’t know if he can do it. I don’t know if everything‘s just finally sinking in or what, but any advice from somebody who has been in a similar situation? How did this end for them? I think it started to hit him how.....final......this will probably be when is radiation oncologist told him he could give him two to five years.</t>
        </is>
      </c>
      <c r="D6384" t="n">
        <v>1</v>
      </c>
      <c r="E6384" t="n">
        <v>8</v>
      </c>
      <c r="F6384">
        <f>HYPERLINK("https://www.reddit.com/r/cancer/comments/e9bwfh/dad_stage_iv_colorectal_and_already_doesnt_know/")</f>
        <v/>
      </c>
      <c r="G6384" t="inlineStr">
        <is>
          <t>2019-12-11 11:37:12</t>
        </is>
      </c>
      <c r="H6384" t="inlineStr"/>
    </row>
    <row r="6385">
      <c r="A6385" t="inlineStr">
        <is>
          <t>e9cgnn</t>
        </is>
      </c>
      <c r="B6385" t="inlineStr">
        <is>
          <t>I’m tired</t>
        </is>
      </c>
      <c r="C6385" t="inlineStr">
        <is>
          <t>I’m tired of this feeling. I can’t even imagine what it is like to be on the other end. To be the one fighting the cancer. Every time I see you now you’re either asleep or just laying there lifeless. You don’t talk as much. You never eat. I haven’t even heard your laugh in months. I just wish I could take away all of your pain. I wish I could bring you even just an ounce of happiness. I will take anything, even just a smile. 
You said you’re ready to die. I don’t know what to say to that. I don’t want you to go. I don’t want you to leave yet. Why are you giving up? You said you’d fight. I know it’s getting harder. I know you’re just going through the motions but please don’t leave us. I’m here the entire way. Nothing else matters anymore. Nothing is fun anymore. Nothing will make me feel okay unless I know you’re okay. 
But you’re not. And we’re here staring at the ceiling saying nothing and doing nothing while the darkness takes over.
Just please don’t give up.</t>
        </is>
      </c>
      <c r="D6385" t="n">
        <v>1</v>
      </c>
      <c r="E6385" t="n">
        <v>18</v>
      </c>
      <c r="F6385">
        <f>HYPERLINK("https://www.reddit.com/r/cancer/comments/e9cgnn/im_tired/")</f>
        <v/>
      </c>
      <c r="G6385" t="inlineStr">
        <is>
          <t>2019-12-11 12:16:10</t>
        </is>
      </c>
      <c r="H6385" t="inlineStr"/>
    </row>
    <row r="6386">
      <c r="A6386" t="inlineStr">
        <is>
          <t>e9f1de</t>
        </is>
      </c>
      <c r="B6386" t="inlineStr">
        <is>
          <t>My dad was doing well after having a lung removed (squamous cell). I just found out his scan yesterday (I think mri? Or ct?) found a mass in his liver. We're waiting for them to schedule a PET scan. Is it common for lung cancer to spread to the liver? Is there anything else it could be?</t>
        </is>
      </c>
      <c r="C6386" t="inlineStr">
        <is>
          <t>This is actually my step dad but he raised me. He was diagnosed with squamous cell lung cancer around February of this year 2019. They removed his lung, and then he completed chemo and radiation around the end of summer. He's been weak and not feeling well, but ok. All his bloodwork and scans have been alright. They did find a fistula where the lung that was removed didnt heal properly. The lung cavity is filling with air (my details are shaky here) but he was to have surgery the beginning of January to fix it. 
Anyway he had a scan yesterday and it showed a mass on his liver. That's literally all I know. They are calling tomorrow to tell us when the PET scan will be to see if its cancerous. I heard this from my mom, but she doesn't sounf very optimistic. I just want to know what we're looking at here. If it is cancerous, im assuming that makes him stage four and nothing can be done. Is the liver a common place for it to spread? Is there anything else it could even be? He's an ex smoker, late 60's. I'm really upset. I dont even know why im posting this really. We really thought he was going to be ok.</t>
        </is>
      </c>
      <c r="D6386" t="n">
        <v>1</v>
      </c>
      <c r="E6386" t="n">
        <v>4</v>
      </c>
      <c r="F6386">
        <f>HYPERLINK("https://www.reddit.com/r/cancer/comments/e9f1de/my_dad_was_doing_well_after_having_a_lung_removed/")</f>
        <v/>
      </c>
      <c r="G6386" t="inlineStr">
        <is>
          <t>2019-12-11 15:18:16</t>
        </is>
      </c>
      <c r="H6386" t="inlineStr"/>
    </row>
    <row r="6387">
      <c r="A6387" t="inlineStr">
        <is>
          <t>e9fo6k</t>
        </is>
      </c>
      <c r="B6387" t="inlineStr">
        <is>
          <t>Cancer broke my economy</t>
        </is>
      </c>
      <c r="C6387" t="inlineStr">
        <is>
          <t>I used to be fucked anyway, bit somehow managed to dick my way through life. I HAVENT TURNED 25 YET! And I live in a country with excellent health care and all of that crap that I’m so grateful for.. BUT! NOBODY told me how many things could effect my economy with treatment. Like spending over 100 dollars a month on JUST special toothpaste, stuff for spit production, and fucking soaps and creams because you aren’t supposed to use ... SOAP? 
I’m so sad because everyone keeps saying I deserve to relax, but HOW do you relax when steroids made fucking sure NOTHING fits, NOTHING tastes okay, and hey - why not add the amazing cost of ENORMOUS FUCKING BANDAIDS AND BANDAGES because you NEEED to change them, but we’re not fucking paying for it? Like I have spent obnoxious amounts of money on this stuff. My stomach is in knots because Christmas is giving me anxiety. 
At this point I’m praying for me to win the lottery. For me - but also so I can set up every single person in my life that has held me somewhat afloat the last 7 months. I am exhausted. Absolutely exhausted. 
Probably absolutely an unnecessary post.. I just really REALLY. Needed to VENT.. 
I’m not dying, I’m gonna win the lottery, I’m gonna get awesome fake boobs AND THEN I get the kids I’ve wanted so bad. if I say it loud enough, often enough, mean it enough. It’s become a mantra, and I think it gets me through. Day by day. 
Finished radiation last week, more chemo come 2020. I am a bad ass; one boob, knitting needles and glasses. The universe better not mess with me now. 
(Also I’m a mess, so sorry - my brain still does not wanna put together text that makes sense)</t>
        </is>
      </c>
      <c r="D6387" t="n">
        <v>1</v>
      </c>
      <c r="E6387" t="n">
        <v>31</v>
      </c>
      <c r="F6387">
        <f>HYPERLINK("https://www.reddit.com/r/cancer/comments/e9fo6k/cancer_broke_my_economy/")</f>
        <v/>
      </c>
      <c r="G6387" t="inlineStr">
        <is>
          <t>2019-12-11 16:07:56</t>
        </is>
      </c>
      <c r="H6387" t="inlineStr"/>
    </row>
    <row r="6388">
      <c r="A6388" t="inlineStr">
        <is>
          <t>e9gfep</t>
        </is>
      </c>
      <c r="B6388" t="inlineStr">
        <is>
          <t>Hi all, CLL patient here</t>
        </is>
      </c>
      <c r="C6388" t="inlineStr">
        <is>
          <t>I was diagnosed a year ago after having beat ALL as a kid. Apparently it can come back and turn into CLL when you're older. I'm just feeling very alone, I don't really have any friends and I don't want to burden my family. I was just wondering if there was a group or another thread that just has people who have cancer? I'm new to reddit, and this is actually my first post, so I'm still trying to figure everything out. 
Nov 27th was actually my one year of being diagnosed, and I'm just kinda feeling down about it all right now</t>
        </is>
      </c>
      <c r="D6388" t="n">
        <v>1</v>
      </c>
      <c r="E6388" t="n">
        <v>2</v>
      </c>
      <c r="F6388">
        <f>HYPERLINK("https://www.reddit.com/r/cancer/comments/e9gfep/hi_all_cll_patient_here/")</f>
        <v/>
      </c>
      <c r="G6388" t="inlineStr">
        <is>
          <t>2019-12-11 17:09:24</t>
        </is>
      </c>
      <c r="H6388" t="inlineStr"/>
    </row>
    <row r="6389">
      <c r="A6389" t="inlineStr">
        <is>
          <t>e9hbh9</t>
        </is>
      </c>
      <c r="B6389" t="inlineStr">
        <is>
          <t>Ideas for someone undergoing localized radiation treatment?</t>
        </is>
      </c>
      <c r="C6389" t="inlineStr">
        <is>
          <t>My friend has cancer in his lower jaw area and is starting eight weeks of radiation therapy next week.  For those who have gone through similar treatment or know of someone who has, what things can I do to make his life easier?  He's the kind of guy who doesn't like asking for help, so I want to anticipate things to do for him.  I've offered to drive him to appointments, but if there is something you wish someone had done or said that would be helpful, please let me know.</t>
        </is>
      </c>
      <c r="D6389" t="n">
        <v>1</v>
      </c>
      <c r="E6389" t="n">
        <v>8</v>
      </c>
      <c r="F6389">
        <f>HYPERLINK("https://www.reddit.com/r/cancer/comments/e9hbh9/ideas_for_someone_undergoing_localized_radiation/")</f>
        <v/>
      </c>
      <c r="G6389" t="inlineStr">
        <is>
          <t>2019-12-11 18:21:29</t>
        </is>
      </c>
      <c r="H6389" t="inlineStr"/>
    </row>
    <row r="6390">
      <c r="A6390" t="inlineStr">
        <is>
          <t>e9hpnn</t>
        </is>
      </c>
      <c r="B6390" t="inlineStr">
        <is>
          <t>Cathededer duration after surgery</t>
        </is>
      </c>
      <c r="C6390" t="inlineStr">
        <is>
          <t>Looking to see if anyone else can relate on this.  My wife recently had surgery to remove lower tumor growth stage 3 rectal cancer with temp ileostomy.  She is now about 4 weeks since surgery and still requires a cathededer as she is not able to fully void.  The has been a few trials, can get the feeling to go, but only small amounts with retention of around 500ml still.  She has no feeling in some of the lower areas still and no feeling when getting cathededer.  Now we have been told it can take time to get this back to normal after a major surgery, but also get told this doesn't seem normal.  There is also the concern that she is supposed to start chemo again for 4 months and is rather worried about still having a cathededer and other potential complications such as infection due to cathededer while on chemo.  Any info would help or similar experiences, she is pretty stressed with multiple bags attached and complications it seems.  38yr old female stage 3 rectal cancer, tumor removed and couple nodes of question.</t>
        </is>
      </c>
      <c r="D6390" t="n">
        <v>1</v>
      </c>
      <c r="E6390" t="n">
        <v>2</v>
      </c>
      <c r="F6390">
        <f>HYPERLINK("https://www.reddit.com/r/cancer/comments/e9hpnn/cathededer_duration_after_surgery/")</f>
        <v/>
      </c>
      <c r="G6390" t="inlineStr">
        <is>
          <t>2019-12-11 18:54:26</t>
        </is>
      </c>
      <c r="H6390" t="inlineStr"/>
    </row>
    <row r="6391">
      <c r="A6391" t="inlineStr">
        <is>
          <t>e9i7vp</t>
        </is>
      </c>
      <c r="B6391" t="inlineStr">
        <is>
          <t>Gift ideas for a regular customer at my job</t>
        </is>
      </c>
      <c r="C6391" t="inlineStr">
        <is>
          <t>There is a regular that comes into my work. Months ago he told me his wife has cancer. In the initial time when they found out she was unable to get treatment right away because it kept getting pushed back. Shes been getting treatment but he told me today that she just found out she has approx 3 to 6 months left to live.
Hes a great person and I wanted to get him a gift for Christmas. I feel so bad for him. They are both young with a child. I've never been in this situation before so I was wondering if anybody out there had any ideas for a gift maybe they can enjoy before she is gone. Even if it's just something that he can hang on his wall that may be comforting in the future. Or should I just avoid getting him anything at all during this time?</t>
        </is>
      </c>
      <c r="D6391" t="n">
        <v>1</v>
      </c>
      <c r="E6391" t="n">
        <v>4</v>
      </c>
      <c r="F6391">
        <f>HYPERLINK("https://www.reddit.com/r/cancer/comments/e9i7vp/gift_ideas_for_a_regular_customer_at_my_job/")</f>
        <v/>
      </c>
      <c r="G6391" t="inlineStr">
        <is>
          <t>2019-12-11 19:39:51</t>
        </is>
      </c>
      <c r="H6391" t="inlineStr"/>
    </row>
    <row r="6392">
      <c r="A6392" t="inlineStr">
        <is>
          <t>e9jc4c</t>
        </is>
      </c>
      <c r="B6392" t="inlineStr">
        <is>
          <t>How do you get a second opinion?</t>
        </is>
      </c>
      <c r="C6392" t="inlineStr">
        <is>
          <t>Hi everyone!
Recently, I was diagnosed with colorectal cancer. In November, my gastro saw a 4cm mass about 20cm from my anus. This was biopsied and confirmed to be cancer. I've had CT scans, blood work, and an MRI since. The doctors said it hasn't spread and can be removed through a partial colectomy. This was confirmed by all of my doctors, including an oncologist, a radiation oncologist, and a surgeon. There was talks of radiation and chemo to shrink things, but since the scans indicate nothing has spread to my lymph nodes or the like, radiation and chemo were deemed unnecessary.
I'm ecstatic right now because, if all of this is true, I'm in a really good position to beat this relatively easily. While I'm crazy nervous about the surgery, I understand that I've got it way easier than a lot of other people fighting right now and I do feel extremely lucky.
However, I'm nervous something may have been interpreted incorrectly. I'd love to get a second opinion but I'm not sure how. All of the tests and the like are within one hospital network (Amita). I'd like to get a second opinion with another network closer to home (Loyola), but I'm not sure how to start this.
Would anyone be able to share what they believe the next steps are? Is there a formal way to get these results sent easily from one place to another?
Thanks so much for any help y'all can give!</t>
        </is>
      </c>
      <c r="D6392" t="n">
        <v>1</v>
      </c>
      <c r="E6392" t="n">
        <v>26</v>
      </c>
      <c r="F6392">
        <f>HYPERLINK("https://www.reddit.com/r/cancer/comments/e9jc4c/how_do_you_get_a_second_opinion/")</f>
        <v/>
      </c>
      <c r="G6392" t="inlineStr">
        <is>
          <t>2019-12-11 21:32:56</t>
        </is>
      </c>
      <c r="H6392" t="inlineStr"/>
    </row>
    <row r="6393">
      <c r="A6393" t="inlineStr">
        <is>
          <t>e9lomr</t>
        </is>
      </c>
      <c r="B6393" t="inlineStr">
        <is>
          <t>How can I cope better?</t>
        </is>
      </c>
      <c r="C6393" t="inlineStr">
        <is>
          <t>My Dad is in Critical Care and it has been touch and go for the past few days and is relying entirely on machines for breathing for now. He has stage 4 Non Small Cell lung cancer. The cancer itself is not the problem now, immunotherapy has started to attack him instead of the cancer cells so we have to try a steroid treatment to keep it at bay but it hasn't worked yet.
I'm their main support and I'm looking after my mother, who is devastated. I thought I was doing ok coping wise but yesterday it got too much and I had a really good cry, but it turned into full blown sobbing and my knees gave way from under me and it took me a long time to calm down with the (lovely) nurses. They told me I needed to let it all out, but I feel like I should be stronger now for both of them so I was disappointed in myself.
I want to be able to cope better so I can support my mother, I'm already having counselling and taking anxiety pills to take the edge off but if anyone has any other suggestions on how i can be better for both of them, I'd love your input.
I love them so much.</t>
        </is>
      </c>
      <c r="D6393" t="n">
        <v>1</v>
      </c>
      <c r="E6393" t="n">
        <v>7</v>
      </c>
      <c r="F6393">
        <f>HYPERLINK("https://www.reddit.com/r/cancer/comments/e9lomr/how_can_i_cope_better/")</f>
        <v/>
      </c>
      <c r="G6393" t="inlineStr">
        <is>
          <t>2019-12-12 01:57:02</t>
        </is>
      </c>
      <c r="H6393" t="inlineStr"/>
    </row>
    <row r="6394">
      <c r="A6394" t="inlineStr">
        <is>
          <t>e9n3yy</t>
        </is>
      </c>
      <c r="B6394" t="inlineStr">
        <is>
          <t>Doc said he’s not expected to recover</t>
        </is>
      </c>
      <c r="C6394" t="inlineStr">
        <is>
          <t>The mets in my husband’s lungs have grown a little and now there are more of them. They want to proceed with a biopsy and chemo to prolong his life. Said that without treatment, he would have a year to 18 mos. before the tumors would start giving him trouble. Chemo, he thought, would give him 3x that. He had Folfox before and was left with neuropathy, so we discussed Folfiri this time. He didn’t see the point in prolonging his life and I told him that I would like for him to at least try. But I woke up in the early morning today thinking about his quality of life with the time that he has left. If I could choose how he would spend his remaining time, I would want him to do all the things he loves - ice fishing, river fishing, kayaking, camping, sitting by a fire having a beer. Not sitting on the couch being miserable with side effects. Am I being selfish by wanting more time with him, at the cost of his quality of life?</t>
        </is>
      </c>
      <c r="D6394" t="n">
        <v>1</v>
      </c>
      <c r="E6394" t="n">
        <v>13</v>
      </c>
      <c r="F6394">
        <f>HYPERLINK("https://www.reddit.com/r/cancer/comments/e9n3yy/doc_said_hes_not_expected_to_recover/")</f>
        <v/>
      </c>
      <c r="G6394" t="inlineStr">
        <is>
          <t>2019-12-12 04:47:05</t>
        </is>
      </c>
      <c r="H6394" t="inlineStr"/>
    </row>
    <row r="6395">
      <c r="A6395" t="inlineStr">
        <is>
          <t>e9n90h</t>
        </is>
      </c>
      <c r="B6395" t="inlineStr">
        <is>
          <t>Gift for elderly grandmother</t>
        </is>
      </c>
      <c r="C6395" t="inlineStr">
        <is>
          <t xml:space="preserve"> Hey,
I found out this week my grandmother has bone cancer. We don't know anything more yet so fingers are crossed for the best.
After the initial shock had subsided I remembered that I had her for our families secret Santa this year. Perhaps I'm being overdramatic but I suddenly felt a lot more pressure to get a "thoughtful" gift rather than the cafetiere I was planning to.
She has always done so much for me and I wanted to get something that could show that to her. I'm a musician and so my first thought was to record a CD for her. Realistically though that would take too long. Maybe a day trip (creating memories) would be better? I am kinda tearing my hair out about this now!
Am I putting to much pressure on myself to find the "perfect" gift?</t>
        </is>
      </c>
      <c r="D6395" t="n">
        <v>1</v>
      </c>
      <c r="E6395" t="n">
        <v>3</v>
      </c>
      <c r="F6395">
        <f>HYPERLINK("https://www.reddit.com/r/cancer/comments/e9n90h/gift_for_elderly_grandmother/")</f>
        <v/>
      </c>
      <c r="G6395" t="inlineStr">
        <is>
          <t>2019-12-12 05:00:42</t>
        </is>
      </c>
      <c r="H6395" t="inlineStr"/>
    </row>
    <row r="6396">
      <c r="A6396" t="inlineStr">
        <is>
          <t>e9nc9j</t>
        </is>
      </c>
      <c r="B6396" t="inlineStr">
        <is>
          <t>I’m so angry</t>
        </is>
      </c>
      <c r="C6396" t="inlineStr">
        <is>
          <t>It’s 11:30 at night and I’m wide awake I know it’s not late but I’m usual never awake at this time especially recently, but my mums cancer is haunting me so bad these past couple of days I feel so guilty and heartbroken it was only 5 months ago that my mum was saving lives and running around the house cleaning and now she can barely get out of bed and she has to use a wheelchair.. I’m so angry that it’s taking my mum away from me it was only a week before my 17th birthday when we found out about the tumour and it hurts so badly I’m starting to really struggle with all of it and according to my eldest sibling I’m starting to “act out” I had a breakdown the other day and told my sister about how I’m struggling balancing mums illness and my personal relationship and school and family life and I just broke down  and told her “I’ve had 17 years with her why can’t I have 17 years more with her and family and my bf” and she completely went mental on me... I don’t know where I’m going wrong I feel so lost and trapped and I just need a break it’s so hard to watch her transform into someone that I barely know and it’s so heartbreaking to watch her breakdown and I’m just not coping with any of it and I’m struggling juggling everything at once I just want to spend more time with my mum and my family that’s all I want and I’m just so angry that life is doing this to us.. I’m so angry that I can’t find my own tiny bit of hope that we’ll get through this battle I’m just so angry and heartbroken and I don’t know where to go I feel so depressed and alone and stuck and I just wanna be a normal teenager but I know that’s not a possibility I feel so guilty whenever I stay at my bfs or a friends house because I’m constantly worried I’ll miss an important moment or I won’t spend enough time with her my heart is breaking and I’m so stuck and I don’t want this to sound all about me because it’s not it’s about my mum but I’m just struggling so badly, I don’t know where I was going with this but I just don’t understand why I can’t have more years with her cancer frickin sucks.</t>
        </is>
      </c>
      <c r="D6396" t="n">
        <v>1</v>
      </c>
      <c r="E6396" t="n">
        <v>15</v>
      </c>
      <c r="F6396">
        <f>HYPERLINK("https://www.reddit.com/r/cancer/comments/e9nc9j/im_so_angry/")</f>
        <v/>
      </c>
      <c r="G6396" t="inlineStr">
        <is>
          <t>2019-12-12 05:08:55</t>
        </is>
      </c>
      <c r="H6396" t="inlineStr"/>
    </row>
    <row r="6397">
      <c r="A6397" t="inlineStr">
        <is>
          <t>e9o1nc</t>
        </is>
      </c>
      <c r="B6397" t="inlineStr">
        <is>
          <t>Finally have a diagnosis.</t>
        </is>
      </c>
      <c r="C6397" t="inlineStr">
        <is>
          <t>Metastatic papillary thyroid carcinoma. I had a feeling but it’s good to finally know. The surgeon is setting up a team with a medical oncologist, an endocrinologist, and a head/neck surgeon. It’s going to be a long road but I’m happy to finally know.</t>
        </is>
      </c>
      <c r="D6397" t="n">
        <v>1</v>
      </c>
      <c r="E6397" t="n">
        <v>6</v>
      </c>
      <c r="F6397">
        <f>HYPERLINK("https://www.reddit.com/r/cancer/comments/e9o1nc/finally_have_a_diagnosis/")</f>
        <v/>
      </c>
      <c r="G6397" t="inlineStr">
        <is>
          <t>2019-12-12 06:11:48</t>
        </is>
      </c>
      <c r="H6397" t="inlineStr"/>
    </row>
    <row r="6398">
      <c r="A6398" t="inlineStr">
        <is>
          <t>e9o2y2</t>
        </is>
      </c>
      <c r="B6398" t="inlineStr">
        <is>
          <t>The inability not to drive cos of the cancer is killing me.</t>
        </is>
      </c>
      <c r="C6398" t="inlineStr">
        <is>
          <t>Can’t drive due to the treatment and I miss driving so much. Especially in winter. Having to wait 20 mins in the cold rain for a bus just to go to the shops up the road as I’m too tired to walk.
I order almost everything online but feel trapped in my apartment. I get taxis too but they’re expensive.
Anyone else miss driving?</t>
        </is>
      </c>
      <c r="D6398" t="n">
        <v>1</v>
      </c>
      <c r="E6398" t="n">
        <v>21</v>
      </c>
      <c r="F6398">
        <f>HYPERLINK("https://www.reddit.com/r/cancer/comments/e9o2y2/the_inability_not_to_drive_cos_of_the_cancer_is/")</f>
        <v/>
      </c>
      <c r="G6398" t="inlineStr">
        <is>
          <t>2019-12-12 06:14:52</t>
        </is>
      </c>
      <c r="H6398" t="inlineStr"/>
    </row>
    <row r="6399">
      <c r="A6399" t="inlineStr">
        <is>
          <t>e9oasu</t>
        </is>
      </c>
      <c r="B6399" t="inlineStr">
        <is>
          <t>RSO/FECO Consumption?</t>
        </is>
      </c>
      <c r="C6399" t="inlineStr">
        <is>
          <t xml:space="preserve"> Hello,
My dad was recently diagnosed with glioblastoma brain cancer. After TONS of research I have learned that RSO/FECO has worked wonders in reducing the tumor and fighting off this ugly thing. I have a question that I can't seem to find anywhere else, so I am hoping someone in this community can help me out.
I am in a medical soon to be legal state so access is not a problem. I am just looking for suggestions on the best way to consume the oil? Most fourms and literature I see says it needs to be under the tongue for 2-5 minutes and then swallowed for fastest transport through the Blood brain barrier. I don't know how true this or not, but it's what I have seen most often.
Problem is my dad is still in Physical therapy and it won't be easy to administer this way. Any suggestions on a way I can pre dose the oil for easy consumption for my dad? I was thinking getting some gel tabs, but I don't think they would break down fast enough in the mouth...
any suggestions?</t>
        </is>
      </c>
      <c r="D6399" t="n">
        <v>1</v>
      </c>
      <c r="E6399" t="n">
        <v>10</v>
      </c>
      <c r="F6399">
        <f>HYPERLINK("https://www.reddit.com/r/cancer/comments/e9oasu/rsofeco_consumption/")</f>
        <v/>
      </c>
      <c r="G6399" t="inlineStr">
        <is>
          <t>2019-12-12 06:32:59</t>
        </is>
      </c>
      <c r="H6399" t="inlineStr"/>
    </row>
    <row r="6400">
      <c r="A6400" t="inlineStr">
        <is>
          <t>e9qv77</t>
        </is>
      </c>
      <c r="B6400" t="inlineStr">
        <is>
          <t>We don’t even know what’s going on yet -but now I think I love her.</t>
        </is>
      </c>
      <c r="C6400" t="inlineStr">
        <is>
          <t>Hey everyone. 
My best friend of almost 5 years now saw her the doctor the other day. Obviously she’s really stressed and hasn’t told me every detail but something was really wrong with her bloods, and now she is being sent to the cancer center on January 3rd. This is also like a week before her birthday. 
Im really worried. And I’m angry too, angry that her doctor wants her to just sit still with this news brewing in her mind for the holidays! She’s supossed to be looking forward to FINALLY turning 18, but instead she’s sitting in bed literally shaking because she’s just so worried. 
And I’m scared too. I’ve known her for so long, she’s basically a sister. I know I shouldn’t freak out too much now, because all we can do is wait but fuck, man, what if I don’t freak out enough? What if something is really wrong? I’m trying to be supportive and there for her but I’m terrified.  
I think I might love her. Like, really. I mean I’ve had inklings and we’ve always been really close but shit this all made me realize that I’m terrified of her getting hurt. I’m so scared of losing her.</t>
        </is>
      </c>
      <c r="D6400" t="n">
        <v>1</v>
      </c>
      <c r="E6400" t="n">
        <v>0</v>
      </c>
      <c r="F6400">
        <f>HYPERLINK("https://www.reddit.com/r/cancer/comments/e9qv77/we_dont_even_know_whats_going_on_yet_but_now_i/")</f>
        <v/>
      </c>
      <c r="G6400" t="inlineStr">
        <is>
          <t>2019-12-12 09:45:47</t>
        </is>
      </c>
      <c r="H6400" t="inlineStr"/>
    </row>
    <row r="6401">
      <c r="A6401" t="inlineStr">
        <is>
          <t>e9qxd6</t>
        </is>
      </c>
      <c r="B6401" t="inlineStr">
        <is>
          <t>How do you prepare yourself when you know death is coming</t>
        </is>
      </c>
      <c r="C6401" t="inlineStr">
        <is>
          <t>My mom has lungs cancer and brain mts. I thought that terapy was keeping it under control. But just recently it got worse. Today she had her first seizure out of nowhere, barely can speak after it and move her hands. They said she has brain dislocation. My and her life changed in a few minutes. Idk what to do anymore. Shes the only thing that kept me positive and somewhat alive. Shes the only person that cares and loves me (my father passed away long ago). Now shes going to die. I knew she is gonna die, but i didnt expect it to be so soon. I dont know what to do. I feel like im in nightmare that never gonna end. I wish it was me sick instead and not her.</t>
        </is>
      </c>
      <c r="D6401" t="n">
        <v>1</v>
      </c>
      <c r="E6401" t="n">
        <v>6</v>
      </c>
      <c r="F6401">
        <f>HYPERLINK("https://www.reddit.com/r/cancer/comments/e9qxd6/how_do_you_prepare_yourself_when_you_know_death/")</f>
        <v/>
      </c>
      <c r="G6401" t="inlineStr">
        <is>
          <t>2019-12-12 09:50:28</t>
        </is>
      </c>
      <c r="H6401" t="inlineStr"/>
    </row>
    <row r="6402">
      <c r="A6402" t="inlineStr">
        <is>
          <t>e9reb4</t>
        </is>
      </c>
      <c r="B6402" t="inlineStr">
        <is>
          <t>The relief is real!!!</t>
        </is>
      </c>
      <c r="C6402" t="inlineStr">
        <is>
          <t>Just got some encouraging news. My PET scan came back good! I know I’ll never be cured of mesothelioma, but for now... I’m good. The way this situation has unfolded has been so surreal. If I wouldn’t have gone through the endometrial cancer this summer, I probably never would have discovered the mesothelioma until it was too late. It seems by chance we found it really early. I’m lucky to know so I can catch any changes as early as possible. I’m happy for a positive end to a hard year.</t>
        </is>
      </c>
      <c r="D6402" t="n">
        <v>1</v>
      </c>
      <c r="E6402" t="n">
        <v>8</v>
      </c>
      <c r="F6402">
        <f>HYPERLINK("https://www.reddit.com/r/cancer/comments/e9reb4/the_relief_is_real/")</f>
        <v/>
      </c>
      <c r="G6402" t="inlineStr">
        <is>
          <t>2019-12-12 10:24:32</t>
        </is>
      </c>
      <c r="H6402" t="inlineStr"/>
    </row>
    <row r="6403">
      <c r="A6403" t="inlineStr">
        <is>
          <t>e9rurt</t>
        </is>
      </c>
      <c r="B6403" t="inlineStr">
        <is>
          <t>Visiting Your Nurses</t>
        </is>
      </c>
      <c r="C6403" t="inlineStr">
        <is>
          <t>Hey guys
Cross posting in here, and in the Cancer subreddit.
I'm curious how many people will stop in and visit their nursing team at the hospital after completing treatment?    My nurses were incredibly cool, and realistically, the most help out of anyone when it came to treatment. Do other survivors do this? 
I'm not going out of my way, as my oncologist office is part of the hospital where I was treated, and I pop in from time to time when I have follow up appointments with my Doctor.
thanks!</t>
        </is>
      </c>
      <c r="D6403" t="n">
        <v>1</v>
      </c>
      <c r="E6403" t="n">
        <v>7</v>
      </c>
      <c r="F6403">
        <f>HYPERLINK("https://www.reddit.com/r/cancer/comments/e9rurt/visiting_your_nurses/")</f>
        <v/>
      </c>
      <c r="G6403" t="inlineStr">
        <is>
          <t>2019-12-12 10:57:40</t>
        </is>
      </c>
      <c r="H6403" t="inlineStr"/>
    </row>
    <row r="6404">
      <c r="A6404" t="inlineStr">
        <is>
          <t>e9sxtb</t>
        </is>
      </c>
      <c r="B6404" t="inlineStr">
        <is>
          <t>My Personal Chemotherapy Checklist</t>
        </is>
      </c>
      <c r="C6404" t="inlineStr">
        <is>
          <t>Okay, so I wanted to share what items I used and needed during chemotherapy. I am currently in remission but I hope someone might find this useful. Also, please feel free to add to this post! 
Coloring book and markers, Biotene Mouthwash, ginger ale, saltine crackers, a journal to write in, warm socks, anti nausea medication, and wet wipes. I also had a "port pillow", which attached to the seat belt so my port wouldn't be irritated. I had all of this in a tote bag that was similar to a diaper bag. It made it easy organize these items.</t>
        </is>
      </c>
      <c r="D6404" t="n">
        <v>1</v>
      </c>
      <c r="E6404" t="n">
        <v>33</v>
      </c>
      <c r="F6404">
        <f>HYPERLINK("https://www.reddit.com/r/cancer/comments/e9sxtb/my_personal_chemotherapy_checklist/")</f>
        <v/>
      </c>
      <c r="G6404" t="inlineStr">
        <is>
          <t>2019-12-12 12:15:26</t>
        </is>
      </c>
      <c r="H6404" t="inlineStr"/>
    </row>
    <row r="6405">
      <c r="A6405" t="inlineStr">
        <is>
          <t>e9tghd</t>
        </is>
      </c>
      <c r="B6405" t="inlineStr">
        <is>
          <t>Financial Resources help</t>
        </is>
      </c>
      <c r="C6405" t="inlineStr">
        <is>
          <t>My husband was diagnosed with Hairy Cell Leukemia last month. We had a cancer class right before he started chemo last Monday, and they told us to start applying for grants, etc., because Cancer treatment,  even with insurance, can be expensive.  Well, due to the rarity of his cancer, I haven't been able to find squat available to us. If anyone could point me in the right direction,  I would be eternally grateful. I have no idea where to start, and we're still in shock. If it helps, he's 44, and we have young kids. Thank you in advance.</t>
        </is>
      </c>
      <c r="D6405" t="n">
        <v>1</v>
      </c>
      <c r="E6405" t="n">
        <v>4</v>
      </c>
      <c r="F6405">
        <f>HYPERLINK("https://www.reddit.com/r/cancer/comments/e9tghd/financial_resources_help/")</f>
        <v/>
      </c>
      <c r="G6405" t="inlineStr">
        <is>
          <t>2019-12-12 12:53:31</t>
        </is>
      </c>
      <c r="H6405" t="inlineStr"/>
    </row>
    <row r="6406">
      <c r="A6406" t="inlineStr">
        <is>
          <t>e9udpj</t>
        </is>
      </c>
      <c r="B6406" t="inlineStr">
        <is>
          <t>PSA: Cancer has a mental health toll and you should treat that too</t>
        </is>
      </c>
      <c r="C6406" t="inlineStr">
        <is>
          <t>**tl;dr -** *cancer has a mental health and emotional toll, no matter where you are in treatment.  And it also can have a physical (brain chemistry) toll.  All of these factors can lead to, among other issues, depression.  And you should do something about that too.*
I finally went to see my PCP about some depression issues and I'm just really glad I did.  I already feel a weight lifted off my shoulders.  
**For background:**  It's been just about 5 years since I was DXed with stage 4 melanoma.  At the time, immunotherapy was (quite literally) reaching breakthrough status and would be approved for use in stage 4 patients.  When I was first diagnosed and knowing all those stats, I really felt I was going to die.  But, even after a year of unclean scans and then a recurrence 2 years ago, I have been very fortunate to be NED for just about 2 years now.  And rest assured, I am very happy and thankful.
But for the past almost year, I've just been feeling down.  Somewhere between blue and just really, really low.  Easily irritable.  Just so incredibly guilty (for a number of things, but including survival).  Unhappy and sometimes numb.  I didn't have any self-harm thoughts (I'm really happy to survive).  And finally, my wife spent the last 3 months or so urging me to do something about it.  
So finally, I called my PCP yesterday (yesterday!) after a particularly rough week and asked for an appointment and honestly, it was easy.  I spent the rest of yesterday just writing down all the things I was feeling and what they felt like and then explained them to him.  No judgment from him, just honesty. 
He stated that, among other things, it was possible that the possibly years of cancer-induced stress and crisis might have negatively impacted my brain chemistry.  And never mind the fact that it could be other physiological factors but also the pretty significant trauma of cancer itself (and probably confronting my own mortality).  
We discussed options and decided on both drug and therapist treatments as a means to figure it out.  I'm working through all that stuff now.  I should have done this way earlier.  And I feel like I owe this community a (probably another) reminder.  No matter where you are in the treatment process, you're more than just cancer treatment, you've got to treat your whole self.</t>
        </is>
      </c>
      <c r="D6406" t="n">
        <v>1</v>
      </c>
      <c r="E6406" t="n">
        <v>22</v>
      </c>
      <c r="F6406">
        <f>HYPERLINK("https://www.reddit.com/r/cancer/comments/e9udpj/psa_cancer_has_a_mental_health_toll_and_you/")</f>
        <v/>
      </c>
      <c r="G6406" t="inlineStr">
        <is>
          <t>2019-12-12 14:01:13</t>
        </is>
      </c>
      <c r="H6406" t="inlineStr"/>
    </row>
    <row r="6407">
      <c r="A6407" t="inlineStr">
        <is>
          <t>e9upy5</t>
        </is>
      </c>
      <c r="B6407" t="inlineStr">
        <is>
          <t>Having an invisible cancer (getting things out of my chest)</t>
        </is>
      </c>
      <c r="C6407" t="inlineStr">
        <is>
          <t>I was diagnosed with CML since I was 17 (20 now), for those who don’t know treatment is oral chemo that doesn’t really affect your appearance (no hairloss or extreme weight loss.. etc). But I have to take it for the rest of my life. It affected me so much physically and emotionally, I get tired easily, I live with chronic pain, fatigue and brain fog. By the time I think I got used to it it hits me again, some days worse than others. I like the fact that I’m not treated as a patient by my friends, family and professors at uni, after all no one would know unless I tell. But I also hate the fact that they would expect me to function as a healthy human being when I can’t. Even my ex broke up with me bc I couldn’t enjoy our activities n hobbies after a long trip to see him bc I’m tired for the whole weekend...
Some days I can’t move out of my bed or finish my assignments on time, the people at my faculty look at me weird when I apply for extenuating circumstances, my coursemates would say things like you’re lucky for having 10 extra days for assignments and sometimes even get mad bc I have that “privilege” when I’m not that sick, when really in a month I get to have 10 good days (by good days I mean slightly less fatigue and less pain).. It gets to me sometimes, I think of dropping out, but then the only reason I’m getting treatment and good healthcare for free is my student visa. I feel stuck sometimes, I feel like I can’t open up to anyone bc they say things like u look healthy to me, it can’t be that bad, at least you don’t go through chemo, some people have it worse. Which honestly are words I need for motivation, but not when I’m at my worst and need someone who actually acknowledges that I’m going through rough time still and it will be like this for the rest of my life. I know it’s not that bad but it really frustrates me knowing I won’t be my healthy self again anytime soon, if ever..</t>
        </is>
      </c>
      <c r="D6407" t="n">
        <v>1</v>
      </c>
      <c r="E6407" t="n">
        <v>7</v>
      </c>
      <c r="F6407">
        <f>HYPERLINK("https://www.reddit.com/r/cancer/comments/e9upy5/having_an_invisible_cancer_getting_things_out_of/")</f>
        <v/>
      </c>
      <c r="G6407" t="inlineStr">
        <is>
          <t>2019-12-12 14:26:28</t>
        </is>
      </c>
      <c r="H6407" t="inlineStr"/>
    </row>
    <row r="6408">
      <c r="A6408" t="inlineStr">
        <is>
          <t>e9vbbd</t>
        </is>
      </c>
      <c r="B6408" t="inlineStr">
        <is>
          <t>Is cancer in young people genetic?</t>
        </is>
      </c>
      <c r="C6408" t="inlineStr">
        <is>
          <t>Hello, some tears ago I discovered a lump in my hard palate, after a biopsy they found some atypical cell and told me they don't know if it's a true dysplasia or just some reactive lesion
This finding completly destroyed my life because it had considerably aggravate My hypocondria
I just want to know if cancer in young is always genetic or it can bebeczuse  to random chance?
Because if it's always  genetic then I will be probably in great danger my whole life</t>
        </is>
      </c>
      <c r="D6408" t="n">
        <v>1</v>
      </c>
      <c r="E6408" t="n">
        <v>25</v>
      </c>
      <c r="F6408">
        <f>HYPERLINK("https://www.reddit.com/r/cancer/comments/e9vbbd/is_cancer_in_young_people_genetic/")</f>
        <v/>
      </c>
      <c r="G6408" t="inlineStr">
        <is>
          <t>2019-12-12 15:11:32</t>
        </is>
      </c>
      <c r="H6408" t="inlineStr"/>
    </row>
    <row r="6409">
      <c r="A6409" t="inlineStr">
        <is>
          <t>e9vsnb</t>
        </is>
      </c>
      <c r="B6409" t="inlineStr">
        <is>
          <t>In the hands of the Government</t>
        </is>
      </c>
      <c r="C6409" t="inlineStr">
        <is>
          <t>Companies trying to sell coverage in case you get cancer make me furious... In the US, 1 in 2 women and 1 in 3 men will develop cancer in their lifetime and instead of working on the root of the problem there are all these new companies preying on our misfortune and $$$$$...  Odds are... your going to need it.  Risk of developing cancer was way lower not too long ago... our food companies, chemical companies etc need serious makeovers.  What needs established is a way to solve this epidemic... Leaders of our country that CARE! But of course there is no money in that! Ugh!  The world is rotting with greed.
We all know the cure for cancer... It is called eliminating the things that cause it.  Are they doing this? NOPE they just label it and keep it cheap so we can all afford it until we actually develop cancer and cannot afford life at all.  When my dad was fighting cancer I did cancer walks, and all the fundraisers.  Where is all that money going??? Since his passing I havnt given one penny to cancer anything... it is out of our hands.  It's in the hands of the government to DO SOMETHING about it but I got a crazy feeling that it is filling their pockets instead.  Politicians have black hearts.  We need someone powerful to be the Martin Luther king of cancer.  But where are they?
Find me a politician or government official that has a heart and cares about the people of this country and I will back them 1000%  If nothing's done we are going to be a nation crippled with disease while the powers that be just laugh all the way to the bank... Oh wait! We are already there.  Pass some dang laws that matter.. and protect the people.
Everyone is worried about these small outbreaks of diseases... Cancer is the real EPIDEMIC.
Autoimmune diseases also an epidemic 
Same with Mental Health issues.  
What is the government doing for us? Honestly 
Rant over....
And DANG was that a rant..</t>
        </is>
      </c>
      <c r="D6409" t="n">
        <v>1</v>
      </c>
      <c r="E6409" t="n">
        <v>23</v>
      </c>
      <c r="F6409">
        <f>HYPERLINK("https://www.reddit.com/r/cancer/comments/e9vsnb/in_the_hands_of_the_government/")</f>
        <v/>
      </c>
      <c r="G6409" t="inlineStr">
        <is>
          <t>2019-12-12 15:50:07</t>
        </is>
      </c>
      <c r="H6409" t="inlineStr"/>
    </row>
    <row r="6410">
      <c r="A6410" t="inlineStr">
        <is>
          <t>e9wqs9</t>
        </is>
      </c>
      <c r="B6410" t="inlineStr">
        <is>
          <t>Almost made it, 5 yr scan came back with new activity</t>
        </is>
      </c>
      <c r="C6410" t="inlineStr">
        <is>
          <t>Going in for a PET scan on Tuesday to see what is going on. New 5cm growth on my spine at T5. I am just hoping it is still NHL.</t>
        </is>
      </c>
      <c r="D6410" t="n">
        <v>1</v>
      </c>
      <c r="E6410" t="n">
        <v>9</v>
      </c>
      <c r="F6410">
        <f>HYPERLINK("https://www.reddit.com/r/cancer/comments/e9wqs9/almost_made_it_5_yr_scan_came_back_with_new/")</f>
        <v/>
      </c>
      <c r="G6410" t="inlineStr">
        <is>
          <t>2019-12-12 17:08:25</t>
        </is>
      </c>
      <c r="H6410" t="inlineStr"/>
    </row>
    <row r="6411">
      <c r="A6411" t="inlineStr">
        <is>
          <t>e9xbru</t>
        </is>
      </c>
      <c r="B6411" t="inlineStr">
        <is>
          <t>I feel "broken" after my diagnosis</t>
        </is>
      </c>
      <c r="C6411" t="inlineStr">
        <is>
          <t>I don't know how to describe it...but I just feel "broken" after I was diagnosed with breast cancer, as a 32 year old male. A disease I had a 1/1000 shot at getting!. I feel like I am tainted/broken.
&amp;amp;#x200B;
I have EP+, HER2- Invasive ductal carcinoma, Grade 2 - the tumor is small and non aggressive. I am waiting for genetic results to arrive so the surgery can finally be scheduled!!!...afterwards I WILL WORK ON PT EVERY DAY!!! I want a quick recovery and I want to throw this experience away, and never think of it again!!!! I just hope I don't need chemo or radiation.
&amp;amp;#x200B;
When I was first diagnosed I made jokes about it, ignored it, acted like its no big deal.
Don't get me wrong I know it "can" be serious - and obviously the next step is surgery (I finally got the Preop testing, Physical Therapy, and Genetic Testing finished - I am just waiting on the test results to see if BRCA is in my genome - yet another headache!!!) and to get it cut out via mastectomy and have a sentinel biopsy , and "hopefully" never deal with this again.
&amp;amp;#x200B;
Even though I know treatment is ahead, I still feel like I myself am "damaged", and I don't know how to get over this, I've had medical abnormalities before - I've had braces, I've had ear problems from birth and had it fixed by "T" tubes and never felt this way....but this current diagnosis - cancer just throws me off. Even after the tumor is cut out.....I will forever live in fear of it popping up again, or getting lymphodema.
&amp;amp;#x200B;
Am I alone in feeling this way? How did you handle this - I honestly thought this would never happen to me - never in a million years did I think it was possible for me to get cancer.</t>
        </is>
      </c>
      <c r="D6411" t="n">
        <v>1</v>
      </c>
      <c r="E6411" t="n">
        <v>10</v>
      </c>
      <c r="F6411">
        <f>HYPERLINK("https://www.reddit.com/r/cancer/comments/e9xbru/i_feel_broken_after_my_diagnosis/")</f>
        <v/>
      </c>
      <c r="G6411" t="inlineStr">
        <is>
          <t>2019-12-12 17:57:10</t>
        </is>
      </c>
      <c r="H6411" t="inlineStr"/>
    </row>
    <row r="6412">
      <c r="A6412" t="inlineStr">
        <is>
          <t>e9xgq2</t>
        </is>
      </c>
      <c r="B6412" t="inlineStr">
        <is>
          <t>Is a large mass on lungs always cancer?</t>
        </is>
      </c>
      <c r="C6412" t="inlineStr">
        <is>
          <t>Hello!
My father went to see a pulmonologist and he is scheduled for a biopsy next Thursday. He had an X-Ray and CT scan with contrast done. The report said he has a 7 cm mass on his upper left lung. Is this always cancer or can it be something else?
He was a smoker for the past 30 years. He has been having a persistent cough for the last 3 months, however he hasn't smoked in 24 hours, and I noticed his coughing drastically reduced. Can it be something else?</t>
        </is>
      </c>
      <c r="D6412" t="n">
        <v>1</v>
      </c>
      <c r="E6412" t="n">
        <v>25</v>
      </c>
      <c r="F6412">
        <f>HYPERLINK("https://www.reddit.com/r/cancer/comments/e9xgq2/is_a_large_mass_on_lungs_always_cancer/")</f>
        <v/>
      </c>
      <c r="G6412" t="inlineStr">
        <is>
          <t>2019-12-12 18:08:08</t>
        </is>
      </c>
      <c r="H6412" t="inlineStr"/>
    </row>
    <row r="6413">
      <c r="A6413" t="inlineStr">
        <is>
          <t>e9y33x</t>
        </is>
      </c>
      <c r="B6413" t="inlineStr">
        <is>
          <t>My dad has surgery tomorrow</t>
        </is>
      </c>
      <c r="C6413" t="inlineStr">
        <is>
          <t>To confirm that he has lung cancer. It’s scary. My mom and sister will be there. I hope I am prepared, but deep down I feel sick. He will know I love him.</t>
        </is>
      </c>
      <c r="D6413" t="n">
        <v>1</v>
      </c>
      <c r="E6413" t="n">
        <v>0</v>
      </c>
      <c r="F6413">
        <f>HYPERLINK("https://www.reddit.com/r/cancer/comments/e9y33x/my_dad_has_surgery_tomorrow/")</f>
        <v/>
      </c>
      <c r="G6413" t="inlineStr">
        <is>
          <t>2019-12-12 19:00:13</t>
        </is>
      </c>
      <c r="H6413" t="inlineStr"/>
    </row>
    <row r="6414">
      <c r="A6414" t="inlineStr">
        <is>
          <t>e9z5u8</t>
        </is>
      </c>
      <c r="B6414" t="inlineStr">
        <is>
          <t>The Waiting is the Hardest Part (thanks, Tom Petty, that song is in my head now)</t>
        </is>
      </c>
      <c r="C6414" t="inlineStr">
        <is>
          <t>A year ago, my dad lost his ten year battle with esophageal cancer. He was a very upbeat, funny teaching doctor, and posted on this sub fairly often. It was just awful as I watched him get thinner and thinner, and pretty much live in pain, no longer able to eat or swallow. Grueling, horrible way to die. 
Recently, I have been struggling with a near constant cough, and have had some trouble swallowing. Long story short, they did some barium imaging, scoped and biopsied a mass, and now I am in that limbo state where you imagine the worst while waiting to be told what is wrong. Radiologist said nothing because he stormed out of the room because I vomited during the barium swallow (I tried to warn him that I felt like I was going to barf, but he just kept telling me, no I wasn't...) and no one else told me anything. 
If you're a praying person, would you please ask for patience for me? I'm kind of at the end of my rope here. Between several deaths in my family last year, my job going away after the first of next year (and taking my health insurance with it), and trying to find affordable housing, but not wanting to take on a mortgage if this turns out to actually be cancer. 
I feel like everything is up in the air, and I'm just waiting for it to hit me when it comes back down. I'm already in group therapy and individual therapy for grief and loss, just needed to "talk" to some people who understand how the waiting to be told medical test results is super stressful.
Thanks for letting me vent. You guys understand.</t>
        </is>
      </c>
      <c r="D6414" t="n">
        <v>1</v>
      </c>
      <c r="E6414" t="n">
        <v>11</v>
      </c>
      <c r="F6414">
        <f>HYPERLINK("https://www.reddit.com/r/cancer/comments/e9z5u8/the_waiting_is_the_hardest_part_thanks_tom_petty/")</f>
        <v/>
      </c>
      <c r="G6414" t="inlineStr">
        <is>
          <t>2019-12-12 20:33:57</t>
        </is>
      </c>
      <c r="H6414" t="inlineStr"/>
    </row>
    <row r="6415">
      <c r="A6415" t="inlineStr">
        <is>
          <t>e9ze12</t>
        </is>
      </c>
      <c r="B6415" t="inlineStr">
        <is>
          <t>My grandfather was just diagnosed with brain cancer, I have a few questions..</t>
        </is>
      </c>
      <c r="C6415" t="inlineStr">
        <is>
          <t>So my grandfather was diagnosed on the 6th of December with brain cancer, the doctor said he only had 7 months to a year to live, and that he would lose his mind before he goes, basically not exact wording, so I have a few questions..
Sorry this is such a long post my grandmother died from cancer a couple of years ago, my grandfather has always been there for me and has helped me whenever I have needed it, he refuses to do chemo..
Are the doctors typically right on the time they give the person to live or are they typically wrong? 
How long did your loved one live after they were told a time limit?
How did you cope with the news?
Is there anything that I could do that might help him? 
Did your loved one still act and remember the same or did it all change drastically like the doctor said?
I just don't have any of these answers and would love to get some insight into what it is actually like, thank you in advance!</t>
        </is>
      </c>
      <c r="D6415" t="n">
        <v>1</v>
      </c>
      <c r="E6415" t="n">
        <v>6</v>
      </c>
      <c r="F6415">
        <f>HYPERLINK("https://www.reddit.com/r/cancer/comments/e9ze12/my_grandfather_was_just_diagnosed_with_brain/")</f>
        <v/>
      </c>
      <c r="G6415" t="inlineStr">
        <is>
          <t>2019-12-12 20:54:17</t>
        </is>
      </c>
      <c r="H6415" t="inlineStr"/>
    </row>
    <row r="6416">
      <c r="A6416" t="inlineStr">
        <is>
          <t>e9zhgb</t>
        </is>
      </c>
      <c r="B6416" t="inlineStr">
        <is>
          <t>Blood in stools</t>
        </is>
      </c>
      <c r="C6416" t="inlineStr">
        <is>
          <t>Just out of curiosity. If you have Colon cancer are their blood in your stools constantly? I'm 26 and every now and then I'll have stools with dark blood in it. It's not consistent and it usually goes away in a few days and I won't see it again for ba few to several months.</t>
        </is>
      </c>
      <c r="D6416" t="n">
        <v>1</v>
      </c>
      <c r="E6416" t="n">
        <v>6</v>
      </c>
      <c r="F6416">
        <f>HYPERLINK("https://www.reddit.com/r/cancer/comments/e9zhgb/blood_in_stools/")</f>
        <v/>
      </c>
      <c r="G6416" t="inlineStr">
        <is>
          <t>2019-12-12 21:02:35</t>
        </is>
      </c>
      <c r="H6416" t="inlineStr"/>
    </row>
    <row r="6417">
      <c r="A6417" t="inlineStr">
        <is>
          <t>ea2u9o</t>
        </is>
      </c>
      <c r="B6417" t="inlineStr">
        <is>
          <t>My mom has cancer, should I be open about my own problems, or keep it to myself to help her avoid stress?</t>
        </is>
      </c>
      <c r="C6417" t="inlineStr">
        <is>
          <t>My mom has cancer, should I be open about my own problems, or keep it to myself to help her avoid stress?  
Stress affects the immune system apparently, so, should I tell her about stuff that I know she is going to worry about?  
I also don't want to create a situation where she isn't able to feel useful or where she feels we aren't talking, because that might have an adverse effect.  
it might sound stupid but it's the only thing I can do, besides studying her particular form of cancer until I can make treatments for it, which perhaps isn't realistic.</t>
        </is>
      </c>
      <c r="D6417" t="n">
        <v>1</v>
      </c>
      <c r="E6417" t="n">
        <v>14</v>
      </c>
      <c r="F6417">
        <f>HYPERLINK("https://www.reddit.com/r/cancer/comments/ea2u9o/my_mom_has_cancer_should_i_be_open_about_my_own/")</f>
        <v/>
      </c>
      <c r="G6417" t="inlineStr">
        <is>
          <t>2019-12-13 03:28:51</t>
        </is>
      </c>
      <c r="H6417" t="inlineStr"/>
    </row>
    <row r="6418">
      <c r="A6418" t="inlineStr">
        <is>
          <t>ea34xs</t>
        </is>
      </c>
      <c r="B6418" t="inlineStr">
        <is>
          <t>Several primary cancers</t>
        </is>
      </c>
      <c r="C6418" t="inlineStr">
        <is>
          <t>My mom was just diagnosed with brain cancer. She is 64. Since age 40, she’s also battled breast, cervical, and lung cancer (twice). She was a long time heavy smoker. Could smoking have caused all of these cancers, or could there be something genetic? Is that even a thing? I’m worried and want to know what to ask so I can be on top of my own health.</t>
        </is>
      </c>
      <c r="D6418" t="n">
        <v>1</v>
      </c>
      <c r="E6418" t="n">
        <v>10</v>
      </c>
      <c r="F6418">
        <f>HYPERLINK("https://www.reddit.com/r/cancer/comments/ea34xs/several_primary_cancers/")</f>
        <v/>
      </c>
      <c r="G6418" t="inlineStr">
        <is>
          <t>2019-12-13 04:02:14</t>
        </is>
      </c>
      <c r="H6418" t="inlineStr"/>
    </row>
    <row r="6419">
      <c r="A6419" t="inlineStr">
        <is>
          <t>ea457o</t>
        </is>
      </c>
      <c r="B6419" t="inlineStr">
        <is>
          <t>Feeling Lost</t>
        </is>
      </c>
      <c r="C6419" t="inlineStr">
        <is>
          <t>Feeling not so great this morning. My dad died yesterday morning. We expected it (he had pancreatic cancer) but it still hit me like a truck when it became final. 
I’m still in college, and made the decision to try to finish my work because it would just stress me out if I got extensions. I took more adderall than I’ve ever taken before because I couldn’t get myself to focus. I am prescribed but it still felt very addict-y and bad. 
I had already pulled an all nighter because I drove home during reading days (the 2 days in between end of classes and finals the university sets aside for people to study) and I sat by the foot of my dads bed all night and didn’t sleep because I didn’t want to miss any time I had left on this earth with him. After he passed I drove back to school to start working.  
I thought the work would be a welcome distraction but it’s been torture and it’s now my 3rd straight day in a row without sleep and I’m still struggling to finish this paper. There’s no blueprint for what to do when you lose your dad at 22 and I feel like I’m doing everything wrong. I feel so guilty I didn’t take this semester off to spend time with him but he wanted to see me graduate so badly and we hoped he’d make it to the spring so I wanted to be on track. 
I don’t even know how to articulate any of this to people in my life because I feel like I have to be strong for my moms sake and I don’t want to talk to my friends about it because they don’t really get what I’m going through and it feels selfish to burden them with my problems in the middle of finals. I’m so so sad and so so tired and could really use any advice anyone has to offer.</t>
        </is>
      </c>
      <c r="D6419" t="n">
        <v>1</v>
      </c>
      <c r="E6419" t="n">
        <v>3</v>
      </c>
      <c r="F6419">
        <f>HYPERLINK("https://www.reddit.com/r/cancer/comments/ea457o/feeling_lost/")</f>
        <v/>
      </c>
      <c r="G6419" t="inlineStr">
        <is>
          <t>2019-12-13 05:43:04</t>
        </is>
      </c>
      <c r="H6419" t="inlineStr"/>
    </row>
    <row r="6420">
      <c r="A6420" t="inlineStr">
        <is>
          <t>ea4d4e</t>
        </is>
      </c>
      <c r="B6420" t="inlineStr">
        <is>
          <t>Thoughts and prayers!!</t>
        </is>
      </c>
      <c r="C6420" t="inlineStr">
        <is>
          <t>They are desperately needed we’ve had to call an ambulance to come and help mum tonight has been a bad night and I’m heartbroken there is no words we desperately need them!!! Even if you don’t believe in god or anything like that it’s desperately needed!!!</t>
        </is>
      </c>
      <c r="D6420" t="n">
        <v>1</v>
      </c>
      <c r="E6420" t="n">
        <v>42</v>
      </c>
      <c r="F6420">
        <f>HYPERLINK("https://www.reddit.com/r/cancer/comments/ea4d4e/thoughts_and_prayers/")</f>
        <v/>
      </c>
      <c r="G6420" t="inlineStr">
        <is>
          <t>2019-12-13 06:03:07</t>
        </is>
      </c>
      <c r="H6420" t="inlineStr"/>
    </row>
    <row r="6421">
      <c r="A6421" t="inlineStr">
        <is>
          <t>ea4gu7</t>
        </is>
      </c>
      <c r="B6421" t="inlineStr">
        <is>
          <t>Push away ppl when having cancer</t>
        </is>
      </c>
      <c r="C6421" t="inlineStr">
        <is>
          <t>I got diagnosed lymphoma this year April and had my chemo May to December and just finished all:) 
During these time, I pushed away my brother, few friends that judged me for why I had cancer... such as life style
And I also pushed away my bf that I didn’t like so much also my ex bf friendship... also one of my female friend...my reason is cuz I don’t really like them so why I waste time to talk and react
I wonder isn’t I have some problem??? 
But I suddenly so close to my parents that really love me and care.</t>
        </is>
      </c>
      <c r="D6421" t="n">
        <v>1</v>
      </c>
      <c r="E6421" t="n">
        <v>11</v>
      </c>
      <c r="F6421">
        <f>HYPERLINK("https://www.reddit.com/r/cancer/comments/ea4gu7/push_away_ppl_when_having_cancer/")</f>
        <v/>
      </c>
      <c r="G6421" t="inlineStr">
        <is>
          <t>2019-12-13 06:11:58</t>
        </is>
      </c>
      <c r="H6421" t="inlineStr"/>
    </row>
    <row r="6422">
      <c r="A6422" t="inlineStr">
        <is>
          <t>ea5acy</t>
        </is>
      </c>
      <c r="B6422" t="inlineStr">
        <is>
          <t>A leukemia patient writes a musical from his hospital bed!</t>
        </is>
      </c>
      <c r="C6422" t="inlineStr">
        <is>
          <t>I was honored to interview Randall Craig, 59,  on my podcast - HatRadio!, who was diagnosed with the 'bad' leukemia. Upon hearing things weren't going to well, he blurted out, 'I'm going to write a musical.' And he did, predicated on the story of Queen Esther. This is a story of bravery. Tell me what you think. 
[https://link.chtbl.com/XO3Ai5VE](https://link.chtbl.com/XO3Ai5VE)</t>
        </is>
      </c>
      <c r="D6422" t="n">
        <v>1</v>
      </c>
      <c r="E6422" t="n">
        <v>0</v>
      </c>
      <c r="F6422">
        <f>HYPERLINK("https://www.reddit.com/r/cancer/comments/ea5acy/a_leukemia_patient_writes_a_musical_from_his/")</f>
        <v/>
      </c>
      <c r="G6422" t="inlineStr">
        <is>
          <t>2019-12-13 07:21:21</t>
        </is>
      </c>
      <c r="H6422" t="inlineStr"/>
    </row>
    <row r="6423">
      <c r="A6423" t="inlineStr">
        <is>
          <t>ea6eve</t>
        </is>
      </c>
      <c r="B6423" t="inlineStr">
        <is>
          <t>Oxaliplatin a.k.a. Eloxatin</t>
        </is>
      </c>
      <c r="C6423" t="inlineStr">
        <is>
          <t>Hi folk, I’ve just been put on  oxaliplatin yesterday as the next level treatment for my colorectal cancer. So I just wanted to ask anyone first hand advices on side effects. Like what side effects did you experience and how you dealt or treated the symptoms. What’s it like to be on this medication long term? Thank you very much in advance!!!</t>
        </is>
      </c>
      <c r="D6423" t="n">
        <v>1</v>
      </c>
      <c r="E6423" t="n">
        <v>17</v>
      </c>
      <c r="F6423">
        <f>HYPERLINK("https://www.reddit.com/r/cancer/comments/ea6eve/oxaliplatin_aka_eloxatin/")</f>
        <v/>
      </c>
      <c r="G6423" t="inlineStr">
        <is>
          <t>2019-12-13 08:46:50</t>
        </is>
      </c>
      <c r="H6423" t="inlineStr"/>
    </row>
    <row r="6424">
      <c r="A6424" t="inlineStr">
        <is>
          <t>ea6jkz</t>
        </is>
      </c>
      <c r="B6424" t="inlineStr">
        <is>
          <t>Should I visit my father while they take Revlimid?</t>
        </is>
      </c>
      <c r="C6424" t="inlineStr">
        <is>
          <t>My father is taking Revlimid to treat Multiple Myeloma. Because of the high risk of birth defects and such, my wife and toddler won't be visiting while he's taking it. The general rule of thumb is that We have planned a later trip for when he'll be between treatments.
My understanding is that the main risk of being around patients on Revlimid is from bodily fluid exchange, so I'm assuming that I can go visit and help around the house without any risk to my health or future pregnancies with my wife. Am I on the right track here?
The way my mother describes the medication (highly controlled substance, she only handles the storage bag, never the drug itself) has made me a little paranoid. I manage anxiety related to health issues so I'm a little unsure about what's best for all of us.
Thanks for listening.</t>
        </is>
      </c>
      <c r="D6424" t="n">
        <v>1</v>
      </c>
      <c r="E6424" t="n">
        <v>6</v>
      </c>
      <c r="F6424">
        <f>HYPERLINK("https://www.reddit.com/r/cancer/comments/ea6jkz/should_i_visit_my_father_while_they_take_revlimid/")</f>
        <v/>
      </c>
      <c r="G6424" t="inlineStr">
        <is>
          <t>2019-12-13 08:56:31</t>
        </is>
      </c>
      <c r="H6424" t="inlineStr"/>
    </row>
    <row r="6425">
      <c r="A6425" t="inlineStr">
        <is>
          <t>ea6o5t</t>
        </is>
      </c>
      <c r="B6425" t="inlineStr">
        <is>
          <t>I (22F) just started radiation for a malignant brain tumor. How long does it take for side effects such as fatigue to start?</t>
        </is>
      </c>
      <c r="C6425" t="inlineStr">
        <is>
          <t>Had my 3rd treatment today and I'm especially tired today. I wanted to know if this could be related or if it's something else. Thanks.</t>
        </is>
      </c>
      <c r="D6425" t="n">
        <v>1</v>
      </c>
      <c r="E6425" t="n">
        <v>12</v>
      </c>
      <c r="F6425">
        <f>HYPERLINK("https://www.reddit.com/r/cancer/comments/ea6o5t/i_22f_just_started_radiation_for_a_malignant/")</f>
        <v/>
      </c>
      <c r="G6425" t="inlineStr">
        <is>
          <t>2019-12-13 09:05:56</t>
        </is>
      </c>
      <c r="H6425" t="inlineStr"/>
    </row>
    <row r="6426">
      <c r="A6426" t="inlineStr">
        <is>
          <t>ea8lle</t>
        </is>
      </c>
      <c r="B6426" t="inlineStr">
        <is>
          <t>Found a lump...</t>
        </is>
      </c>
      <c r="C6426" t="inlineStr">
        <is>
          <t>I woke up a couple of days ago with a dull ache in one of my testicles. I just thought I’d slept funny or something and it would pass. That was Wednesday and today, Friday, the pain is still there. It’s been really tender to touch, but today I had a good feel and can feel what feels like a small lump on the back of my testicle. I’m going to book in an appointment on Monday but that seems so long away. Anybody had anything similar that they wouldn’t mind sharing?</t>
        </is>
      </c>
      <c r="D6426" t="n">
        <v>1</v>
      </c>
      <c r="E6426" t="n">
        <v>1</v>
      </c>
      <c r="F6426">
        <f>HYPERLINK("https://www.reddit.com/r/cancer/comments/ea8lle/found_a_lump/")</f>
        <v/>
      </c>
      <c r="G6426" t="inlineStr">
        <is>
          <t>2019-12-13 11:30:23</t>
        </is>
      </c>
      <c r="H6426" t="inlineStr"/>
    </row>
    <row r="6427">
      <c r="A6427" t="inlineStr">
        <is>
          <t>ea8rxy</t>
        </is>
      </c>
      <c r="B6427" t="inlineStr">
        <is>
          <t>Seeking gift ideas for a four year old going through chemo and for his parents.</t>
        </is>
      </c>
      <c r="C6427" t="inlineStr">
        <is>
          <t>Hello, my cousin’s four year old son has a very rare type of brain cancer and is on his 3rd round of chemo. 
The holidays are coming up and he will have to miss the family gatherings that celebrate this time of year. 
What are some toys or gifts that would be safe and fun for him to use in bed and at home while he gets stronger? 
I’ve paid to have my cousin’s house cleaned but are there any other things I could do to ease their heavy load? 
Thank you very much.</t>
        </is>
      </c>
      <c r="D6427" t="n">
        <v>1</v>
      </c>
      <c r="E6427" t="n">
        <v>4</v>
      </c>
      <c r="F6427">
        <f>HYPERLINK("https://www.reddit.com/r/cancer/comments/ea8rxy/seeking_gift_ideas_for_a_four_year_old_going/")</f>
        <v/>
      </c>
      <c r="G6427" t="inlineStr">
        <is>
          <t>2019-12-13 11:43:22</t>
        </is>
      </c>
      <c r="H6427" t="inlineStr"/>
    </row>
    <row r="6428">
      <c r="A6428" t="inlineStr">
        <is>
          <t>ea969l</t>
        </is>
      </c>
      <c r="B6428" t="inlineStr">
        <is>
          <t>Sources for statistical data re: breasts cancer?</t>
        </is>
      </c>
      <c r="C6428" t="inlineStr">
        <is>
          <t>I  just got the biopsy results re: er+ pr+ cancer.
I am an engineer, so I deal with problems by reading technical data. I am wondering if anyone has links to treatment/outcome data? I just need the big data sources.</t>
        </is>
      </c>
      <c r="D6428" t="n">
        <v>1</v>
      </c>
      <c r="E6428" t="n">
        <v>0</v>
      </c>
      <c r="F6428">
        <f>HYPERLINK("https://www.reddit.com/r/cancer/comments/ea969l/sources_for_statistical_data_re_breasts_cancer/")</f>
        <v/>
      </c>
      <c r="G6428" t="inlineStr">
        <is>
          <t>2019-12-13 12:13:31</t>
        </is>
      </c>
      <c r="H6428" t="inlineStr"/>
    </row>
    <row r="6429">
      <c r="A6429" t="inlineStr">
        <is>
          <t>eaa3pz</t>
        </is>
      </c>
      <c r="B6429" t="inlineStr">
        <is>
          <t>Not sure what to do?</t>
        </is>
      </c>
      <c r="C6429" t="inlineStr">
        <is>
          <t>Hello, firstly I haven’t been diagnosed with anything, I don’t know if I will. I have seen multiple doctors within the past month or so, I have lumps in my neck, what feels like multiple. I don’t know if they’re getting bigger or more are appearing. They are all soft and move, they aren’t visible and are not connected to the skin above it. They are located at the sides of my neck as if you were to run your finger down your ear towards your collarbone. They are on both sides and it feels like a collection of lumps, I also have one in my mouth, extremely small, lower gun where wisdom tooth would come in, I have mild pain on both sides. Nothing excruciating. I also have one behind my ear, rubbery. Not gotten any bigger. ALL these lumps have been here for around a month and a half. No change in sizes to any. 
It’s all been like I’ve gotten something and it’s taken a month to come and get going, I am worried for one that some how I have metastasised from somewhere, but if so why wouldn’t I feel ANY symptoms at all? I was and am perfectly healthy, my mind is playing some crazy tricks on me.
I’ve seen the doctor a week ago. He seems to say they are fine and there’s nothing to worry about, no referral. I had bloods done, results came back fine all clear apart from a low vitamin D but no anaemia or anything. 
I don’t have any symptoms of anything, they are not painful but my neck is warm. What worries me is that I am not feeling sick, no pains no nothing with the neck. 
I am asking for advice really, I have an appointment on the 5th of January for a check and all of that stuff, what should I do? Should I push for other tests or something or take the docs advice if they don’t seem suspicious or anything to the touch, seeing as it’ll be 2 months since this began and there’s been no change that I know of, what’s the chances this is something serious? Thank you so much.</t>
        </is>
      </c>
      <c r="D6429" t="n">
        <v>1</v>
      </c>
      <c r="E6429" t="n">
        <v>2</v>
      </c>
      <c r="F6429">
        <f>HYPERLINK("https://www.reddit.com/r/cancer/comments/eaa3pz/not_sure_what_to_do/")</f>
        <v/>
      </c>
      <c r="G6429" t="inlineStr">
        <is>
          <t>2019-12-13 13:22:41</t>
        </is>
      </c>
      <c r="H6429" t="inlineStr"/>
    </row>
    <row r="6430">
      <c r="A6430" t="inlineStr">
        <is>
          <t>eaapxy</t>
        </is>
      </c>
      <c r="B6430" t="inlineStr">
        <is>
          <t>It’s been a rough night</t>
        </is>
      </c>
      <c r="C6430" t="inlineStr">
        <is>
          <t>Ugh where do I even begin, last night was a complete mess if you were reading my updates through out the night then everyone would know that mum had a really bad night and the ambulance had to be called and things were just... i don’t even know if there is a word to explain the stress we faced at 1:30 am last night she was picked up and taken to our local hospital (12 mins away) I tried my hardest to stay awake till she got home but eventually at 4 am I was so tired that I just fell asleep, my sister came home and had to inform me that mum is being airlifted to the bigger hospital in the city (an hour away) and she has an infection in her chest and because of her radiation making her body weak she cannot fight it on her own so we have to go to the city, I feel so lost and scared I have no idea what’s going to happen I genuinely don’t I am so scared of the unknown, I don’t know if she’s gonna live or not there’s no words to describe the fear running through my veins currently please continue to pray for my mum or keep her in your thoughts it’s desperately needed</t>
        </is>
      </c>
      <c r="D6430" t="n">
        <v>1</v>
      </c>
      <c r="E6430" t="n">
        <v>8</v>
      </c>
      <c r="F6430">
        <f>HYPERLINK("https://www.reddit.com/r/cancer/comments/eaapxy/its_been_a_rough_night/")</f>
        <v/>
      </c>
      <c r="G6430" t="inlineStr">
        <is>
          <t>2019-12-13 14:07:17</t>
        </is>
      </c>
      <c r="H6430" t="inlineStr"/>
    </row>
    <row r="6431">
      <c r="A6431" t="inlineStr">
        <is>
          <t>eacmas</t>
        </is>
      </c>
      <c r="B6431" t="inlineStr">
        <is>
          <t>I lost my Dad tonight.</t>
        </is>
      </c>
      <c r="C6431" t="inlineStr">
        <is>
          <t>He fought hard the past few days with infection and his breathing. Doctors had to abandon plan B because it would have done more harm and he just gave up. I love and loved him so much. I changed my surname legally to his yesterday because he has been my dad for 33 years out of 35. He was very weak these past few days but he managed to give me a thumbs up and a smile when I told him I'm finally a Jones. (Jones is an example name). I'm kind of broken right now but I got to hold his hand as he passed and so did my mother.
 We take comfort in people showing each other support so even in this hard time I would like to be a shoulder for anybody going through this. Please message me if you need a listening ear, it would help me to help someone.</t>
        </is>
      </c>
      <c r="D6431" t="n">
        <v>1</v>
      </c>
      <c r="E6431" t="n">
        <v>23</v>
      </c>
      <c r="F6431">
        <f>HYPERLINK("https://www.reddit.com/r/cancer/comments/eacmas/i_lost_my_dad_tonight/")</f>
        <v/>
      </c>
      <c r="G6431" t="inlineStr">
        <is>
          <t>2019-12-13 16:34:36</t>
        </is>
      </c>
      <c r="H6431" t="inlineStr"/>
    </row>
    <row r="6432">
      <c r="A6432" t="inlineStr">
        <is>
          <t>eacnkk</t>
        </is>
      </c>
      <c r="B6432" t="inlineStr">
        <is>
          <t>It‘s been a though 5 weeks</t>
        </is>
      </c>
      <c r="C6432" t="inlineStr">
        <is>
          <t>First of all - I’m sorry for all the typos. I have dyslexia and really do try my best.
My mom got diagnosed with a very aggressive brain tumor just 5 weeks ago. She is currently undergoing chemo and radiation. This alone was a shock to everyone. I still haven’t processed it. 
Just a few weeks later we had robbers at our house - they tried to open a little safe with a flex. Because of noise my uncle came over and confronted them which made them run. They didn’t steal anything but the shock of someone being in your house sits deep. 
And now today my dad got his results of an MRI he took. And here to has a tumor in his head. We don’t know any specifics of that cancer yet, but I don’t need them. The first diagnosis was enough for me. 
Emotionally I’m drained. Ha in anything to do is a great distraction but I’m missing the energy
Anyway, just needed to get this off of me.</t>
        </is>
      </c>
      <c r="D6432" t="n">
        <v>1</v>
      </c>
      <c r="E6432" t="n">
        <v>2</v>
      </c>
      <c r="F6432">
        <f>HYPERLINK("https://www.reddit.com/r/cancer/comments/eacnkk/its_been_a_though_5_weeks/")</f>
        <v/>
      </c>
      <c r="G6432" t="inlineStr">
        <is>
          <t>2019-12-13 16:37:07</t>
        </is>
      </c>
      <c r="H6432" t="inlineStr"/>
    </row>
    <row r="6433">
      <c r="A6433" t="inlineStr">
        <is>
          <t>eadn9v</t>
        </is>
      </c>
      <c r="B6433" t="inlineStr">
        <is>
          <t>My Father is in the home stretch of his battle and I have questions about my 2.5 year old.</t>
        </is>
      </c>
      <c r="C6433" t="inlineStr">
        <is>
          <t>My son absolutely loves my Dad.  At this point my Dad is on home hospice and coming to the end of his battle.  Seth (my son) will catch me crying a lot and ask why why I’m crying?  I tell him the truth and say because I’m sad about Pop being really sick.  How do I explain what happens to him when the end comes?  I’m trying to stay tough for the boy because as a a Dad I feel a certain amount of pressure to do so but it’s becoming increasingly difficult to hold it together after I come home from sitting with my Dad.</t>
        </is>
      </c>
      <c r="D6433" t="n">
        <v>1</v>
      </c>
      <c r="E6433" t="n">
        <v>4</v>
      </c>
      <c r="F6433">
        <f>HYPERLINK("https://www.reddit.com/r/cancer/comments/eadn9v/my_father_is_in_the_home_stretch_of_his_battle/")</f>
        <v/>
      </c>
      <c r="G6433" t="inlineStr">
        <is>
          <t>2019-12-13 18:03:59</t>
        </is>
      </c>
      <c r="H6433" t="inlineStr"/>
    </row>
    <row r="6434">
      <c r="A6434" t="inlineStr">
        <is>
          <t>eadsc2</t>
        </is>
      </c>
      <c r="B6434" t="inlineStr">
        <is>
          <t>Mom has pancreatic cancer</t>
        </is>
      </c>
      <c r="C6434" t="inlineStr">
        <is>
          <t>My mom got diagnosed with advanced pancreatic cancer...they don’t know what stage but I’m assuming 4 as they say it might have spread to the liver.  I am really scared that I might lose her because I have a great relationship with my mother.  She has always been there for me and supportive in what I do.  She started her first treatment in kemo yesterday and all the side effects are scaring.  I know the side effects are normal but it just hurts to see her this way.  I wish there was something I could do to make her feel better but it’s frustrating that there’s nothing we can do but wait.  She got admitted into the hospital today because she hasn’t eaten anything and she continues to vomit.  Turns out her blood pressure was low.  My family and I have been very supportive of her...but she keeps telling me that she is tried and doesn’t want to count one fighting and it just hurts to hear here say that.  I hold back tears in front of her but burst into tears later on.  They sent her home with a kemo treatment I forgot what it’s called but she has to have it on for 48 hours.  But they stopped it until her body levels are under control.  She’s currently getting a CT Scan to see if it’s spreading and then they’ll move her to the ICU.  Overall I’m keeping a positive mind set but it still hurts to see her this way.  Her bday is tomorrow and she’s gonna be spending it in the hospital...I wish she could be cured and enjoy her bday.  Please send some prayers her way...her name is Maria.  It hurts and it’s very frustrating to see her go through this I can’t stress how much it fucking sucks.  I still make her laugh and smile and I motivate her to fight a good fight...reading other people stories and experience on this subreddit have been very helpful and I’m staying positive...I love my mom very much and I’m praying hard for a miracle!</t>
        </is>
      </c>
      <c r="D6434" t="n">
        <v>1</v>
      </c>
      <c r="E6434" t="n">
        <v>8</v>
      </c>
      <c r="F6434">
        <f>HYPERLINK("https://www.reddit.com/r/cancer/comments/eadsc2/mom_has_pancreatic_cancer/")</f>
        <v/>
      </c>
      <c r="G6434" t="inlineStr">
        <is>
          <t>2019-12-13 18:16:25</t>
        </is>
      </c>
      <c r="H6434" t="inlineStr"/>
    </row>
    <row r="6435">
      <c r="A6435" t="inlineStr">
        <is>
          <t>eaebd5</t>
        </is>
      </c>
      <c r="B6435" t="inlineStr">
        <is>
          <t>BARD1</t>
        </is>
      </c>
      <c r="C6435" t="inlineStr">
        <is>
          <t>Hi everyone, so a little backstory, my mother, her mother and all of her siblings (5) have had triple negative breast cancer early in life. (One of my aunts had breast and ovarian cancer and unfortunately lost her battle in 2017.) my mom is okay and now cancer free THANK GOD (she caught it early through a self exam, she had a mammogram a month prior and it was negative. Moral of the story, make sure you do your own breast exams at home, it could literally save your life). I digress. They found out that they all have the BARD1 mutation and my identical twin sister got tested and has the mutation (so obv I do too). I found a lump the other day and I’m getting a biopsy done soon but I’m literally losing my mind worrying. This also happened during finals week which sounds like my luck. I just turned 21, I’m so scared. Even if my biopsy is clear I have to live my whole life knowing that I’m a ticking time bomb.</t>
        </is>
      </c>
      <c r="D6435" t="n">
        <v>1</v>
      </c>
      <c r="E6435" t="n">
        <v>3</v>
      </c>
      <c r="F6435">
        <f>HYPERLINK("https://www.reddit.com/r/cancer/comments/eaebd5/bard1/")</f>
        <v/>
      </c>
      <c r="G6435" t="inlineStr">
        <is>
          <t>2019-12-13 19:03:13</t>
        </is>
      </c>
      <c r="H6435" t="inlineStr"/>
    </row>
    <row r="6436">
      <c r="A6436" t="inlineStr">
        <is>
          <t>eaecg9</t>
        </is>
      </c>
      <c r="B6436" t="inlineStr">
        <is>
          <t>Looking for dog transportation</t>
        </is>
      </c>
      <c r="C6436" t="inlineStr">
        <is>
          <t>Does anyone know any dog transportation companies? I just finished a phase of treatment and I’m trying to figure out how I can get my two dogs from Florida to Texas. I’m trying to figure out how I can get them home from my brother’s house</t>
        </is>
      </c>
      <c r="D6436" t="n">
        <v>1</v>
      </c>
      <c r="E6436" t="n">
        <v>0</v>
      </c>
      <c r="F6436">
        <f>HYPERLINK("https://www.reddit.com/r/cancer/comments/eaecg9/looking_for_dog_transportation/")</f>
        <v/>
      </c>
      <c r="G6436" t="inlineStr">
        <is>
          <t>2019-12-13 19:05:54</t>
        </is>
      </c>
      <c r="H6436" t="inlineStr"/>
    </row>
    <row r="6437">
      <c r="A6437" t="inlineStr">
        <is>
          <t>eaeuu5</t>
        </is>
      </c>
      <c r="B6437" t="inlineStr">
        <is>
          <t>Shoulder pain after needle biopsy</t>
        </is>
      </c>
      <c r="C6437" t="inlineStr">
        <is>
          <t>I am still waiting on my results, so I don’t 100% know if I have cancer, but I thought this might still be relevant here and am hoping somebody has had some experience with this. 
I noticed a lump above my collarbone in May and fast forward to now, after several ultrasounds and a CT scan, they finally did a core needle biopsy of my left supraclavicular lymph node. 
During the procedure they injected me with lidocaine but when she when she entered the lymph node I felt extreme pain, so she gave me more lidocaine. Then when she got close again I would get a sharp “electric” type pain that went down my arm. This happened three times and she said that they can’t see nerves on the ultrasound and she must be hitting one so she changed positions. It was still very painful so she gave me lidocaine for a third time. Once I said it was not pressure but pain again she said she would just be quick. So it was painful, but she finally got the samples so I’m thinking “thank god it’s over and I never want to do that again.” 
Immediately after the biopsy and for a couple hours my left arm wouldn’t work right. Like if my brain told me arm reach for something it would go to the left or right. I figured it must be the lidocaine since they have me so much of it. It probably was as that wore off. 
Most of that might not be relevant but I wanted to be as detailed as possible. Now three days later and my left shoulder is killing me. It hurt bad the first day, then felt better, and now it’s back to being bad again. It’s very achy and I get sharp pains if I reach for anything or lift my arm up. I’m having trouble with sleep because I can’t get comfortable as well and my job requires lifting so I had to miss work today. 
My question is if shoulder pain is normal after a lymph node biopsy. If so I’ll just suck it up and wait for it to feel better. I’m just afraid that when she hit those nerves it did some kind of damage, but the doctor didn’t think it was a big deal at the time so...
If anybody has any insight that would be great. Doctors offices are closed over the weekend and I don’t want to head to urgent care if it’s not a big deal.</t>
        </is>
      </c>
      <c r="D6437" t="n">
        <v>1</v>
      </c>
      <c r="E6437" t="n">
        <v>4</v>
      </c>
      <c r="F6437">
        <f>HYPERLINK("https://www.reddit.com/r/cancer/comments/eaeuu5/shoulder_pain_after_needle_biopsy/")</f>
        <v/>
      </c>
      <c r="G6437" t="inlineStr">
        <is>
          <t>2019-12-13 19:53:14</t>
        </is>
      </c>
      <c r="H6437" t="inlineStr"/>
    </row>
    <row r="6438">
      <c r="A6438" t="inlineStr">
        <is>
          <t>eafhka</t>
        </is>
      </c>
      <c r="B6438" t="inlineStr">
        <is>
          <t>When did your normal hair return?</t>
        </is>
      </c>
      <c r="C6438" t="inlineStr">
        <is>
          <t>I know this is a common question, but I thought I'd ask. 
I finished chemo at the beginning of June, and my chemo hair returned two months after. The hair on the rest of my body (including beard) returned to it's normal color and thickness.
It's been almost 6 months and there is no sign of my regular hair color or thickness coming back anytime soon.</t>
        </is>
      </c>
      <c r="D6438" t="n">
        <v>1</v>
      </c>
      <c r="E6438" t="n">
        <v>8</v>
      </c>
      <c r="F6438">
        <f>HYPERLINK("https://www.reddit.com/r/cancer/comments/eafhka/when_did_your_normal_hair_return/")</f>
        <v/>
      </c>
      <c r="G6438" t="inlineStr">
        <is>
          <t>2019-12-13 20:55:39</t>
        </is>
      </c>
      <c r="H6438" t="inlineStr"/>
    </row>
    <row r="6439">
      <c r="A6439" t="inlineStr">
        <is>
          <t>eafiw0</t>
        </is>
      </c>
      <c r="B6439" t="inlineStr">
        <is>
          <t>My mother has stage 4 breast cancer and the tumors won't shrink and I can't deal with it</t>
        </is>
      </c>
      <c r="C6439" t="inlineStr">
        <is>
          <t>No matter what happens, I can't find any way to cope with my mothers cancer. She was diagnosed with triple negative breast cancer around 2.5 years ago, and her condition has only gotten worse. I can't think of what to do with before or after she dies, and everything related to her stresses me out.</t>
        </is>
      </c>
      <c r="D6439" t="n">
        <v>1</v>
      </c>
      <c r="E6439" t="n">
        <v>9</v>
      </c>
      <c r="F6439">
        <f>HYPERLINK("https://www.reddit.com/r/cancer/comments/eafiw0/my_mother_has_stage_4_breast_cancer_and_the/")</f>
        <v/>
      </c>
      <c r="G6439" t="inlineStr">
        <is>
          <t>2019-12-13 20:59:25</t>
        </is>
      </c>
      <c r="H6439" t="inlineStr"/>
    </row>
    <row r="6440">
      <c r="A6440" t="inlineStr">
        <is>
          <t>eahyyt</t>
        </is>
      </c>
      <c r="B6440" t="inlineStr">
        <is>
          <t>Question for other cancer patients</t>
        </is>
      </c>
      <c r="C6440" t="inlineStr">
        <is>
          <t>What things do people do or say to you that they think is being supportive but actually is hurtful or upsets you?  Or maybe isn't helpful at all?  
For me it's when people say "If there's anything I can do..." and then you ask and suddenly that have to start stammering out excuses.  To me there's nothing worse than a hollow offer.</t>
        </is>
      </c>
      <c r="D6440" t="n">
        <v>1</v>
      </c>
      <c r="E6440" t="n">
        <v>36</v>
      </c>
      <c r="F6440">
        <f>HYPERLINK("https://www.reddit.com/r/cancer/comments/eahyyt/question_for_other_cancer_patients/")</f>
        <v/>
      </c>
      <c r="G6440" t="inlineStr">
        <is>
          <t>2019-12-14 01:57:36</t>
        </is>
      </c>
      <c r="H6440" t="inlineStr"/>
    </row>
    <row r="6441">
      <c r="A6441" t="inlineStr">
        <is>
          <t>eai2ds</t>
        </is>
      </c>
      <c r="B6441" t="inlineStr">
        <is>
          <t>Dad lost his battle</t>
        </is>
      </c>
      <c r="C6441" t="inlineStr">
        <is>
          <t>At 2 this morning. You fought the good fight, dad. The best fight. I love you, always and forever.</t>
        </is>
      </c>
      <c r="D6441" t="n">
        <v>1</v>
      </c>
      <c r="E6441" t="n">
        <v>8</v>
      </c>
      <c r="F6441">
        <f>HYPERLINK("https://www.reddit.com/r/cancer/comments/eai2ds/dad_lost_his_battle/")</f>
        <v/>
      </c>
      <c r="G6441" t="inlineStr">
        <is>
          <t>2019-12-14 02:09:50</t>
        </is>
      </c>
      <c r="H6441" t="inlineStr"/>
    </row>
    <row r="6442">
      <c r="A6442" t="inlineStr">
        <is>
          <t>eaibbu</t>
        </is>
      </c>
      <c r="B6442" t="inlineStr">
        <is>
          <t>Moved my step-mom to hospice</t>
        </is>
      </c>
      <c r="C6442" t="inlineStr">
        <is>
          <t>I'm sorry this may ramble a bit, but it's been a horrible day and I can't sleep with such a heavy heart. She was hospitalized five days ago, struggling with confusion, and insanely weak. The care team put a catheter in which she hates and finds very uncomfortable. When her doctor met with us he said she put up a brave and strong two year fight against cancer but it was time to move towards end of life care as there was no more Chemo that would be of benefit to her in her condition. She cried a bit and said she wished her time was later but otherwise remained stoic and strong.
The transition to hospice has been... Difficult. She's struggled with panic attacks and extreme restlessness. She's so nervous and is worried about them putting her under with meds and her not waking up. She was writhing in bed and holding my hand and told me she didn't want to be there anymore. I didn't know what to tell her except that they'd help her feel better and that our family is there. I hadn't seen her move that much or with that strength for nearly a year... It was heartbreaking to watch her. I'd be scared too I think. She finally had to be given some Ativan to calm down and sleep. Which was difficult unto itself to see.
It's been emotionally exhausting for everyone involved. Her family is traveling up soon to see her and of course we are taking shifts to ensure she's always got company at the hospice. I hate seeing her this close to death and I don't know how long she has left in this world. Two years ago she was so filled with hope and convinced she would beat cancer odds to live a decade longer and stay with the family. Now, she won't even see my sister graduate high school this year. It's been a devestatingly long journey but somehow it's also been bitterly short. I feel so conflicted. I hate seeing her suffer like this but I also don't want her to pass away. The hospice is pet friendly so we hope we can bring the family dog in the coming days to cheer her up. I'm going to go in today and see how she's doing. Praying for an easier day 2 here.</t>
        </is>
      </c>
      <c r="D6442" t="n">
        <v>1</v>
      </c>
      <c r="E6442" t="n">
        <v>8</v>
      </c>
      <c r="F6442">
        <f>HYPERLINK("https://www.reddit.com/r/cancer/comments/eaibbu/moved_my_stepmom_to_hospice/")</f>
        <v/>
      </c>
      <c r="G6442" t="inlineStr">
        <is>
          <t>2019-12-14 02:41:58</t>
        </is>
      </c>
      <c r="H6442" t="inlineStr"/>
    </row>
    <row r="6443">
      <c r="A6443" t="inlineStr">
        <is>
          <t>eairjf</t>
        </is>
      </c>
      <c r="B6443" t="inlineStr">
        <is>
          <t>Friday the 13th</t>
        </is>
      </c>
      <c r="C6443" t="inlineStr">
        <is>
          <t>Went to the doctors today for a follow up. 2 months ago I had had surgery removing 127 lymph nodes and my entire thyroid. I recently finished radioactive iodine.
Today was following up a full body scan and it was expected that it’d be given the all clear. I’d be cancer free and just be wary in the future with the chance of it recurring.
Well, the scans had my head light up like a Christmas tree. There’s a chance RAI were drawn to tall cell variant tumors that may have been in my brain. 
Now I’ve got an MRI scheduled for Christmas Eve and if I have any symptoms like blurred vision, headaches, etc, an emergency brain surgery due to possible swelling related to a tumor.
Hell of a Friday the 13th. Fuck cancer.</t>
        </is>
      </c>
      <c r="D6443" t="n">
        <v>1</v>
      </c>
      <c r="E6443" t="n">
        <v>6</v>
      </c>
      <c r="F6443">
        <f>HYPERLINK("https://www.reddit.com/r/cancer/comments/eairjf/friday_the_13th/")</f>
        <v/>
      </c>
      <c r="G6443" t="inlineStr">
        <is>
          <t>2019-12-14 03:39:20</t>
        </is>
      </c>
      <c r="H6443" t="inlineStr"/>
    </row>
    <row r="6444">
      <c r="A6444" t="inlineStr">
        <is>
          <t>eakn53</t>
        </is>
      </c>
      <c r="B6444" t="inlineStr">
        <is>
          <t>Can this lifestyle be the only cause?</t>
        </is>
      </c>
      <c r="C6444" t="inlineStr">
        <is>
          <t>Hello, I got a suspicious lesion in my hard palate  (an ulcerative area)  the biopsy showed mild to moderate atypia but cannot determine if it's a true dysplasia or regenerative
I have a risk factor that may  have caused it : I have an extremly poor oral hygiène since childhood and poor diet
Oral hygiène : 15 teeth removed at 5 years old
Multiple dental work
Never brushed my teeth
Had multiple abscess, one left untreated for years and was near the lesion
Poor diet : never eat a vegetable or fruit
Can this lifestyle cause this lesion? I had this lifestyle since my childhood, im 23</t>
        </is>
      </c>
      <c r="D6444" t="n">
        <v>1</v>
      </c>
      <c r="E6444" t="n">
        <v>2</v>
      </c>
      <c r="F6444">
        <f>HYPERLINK("https://www.reddit.com/r/cancer/comments/eakn53/can_this_lifestyle_be_the_only_cause/")</f>
        <v/>
      </c>
      <c r="G6444" t="inlineStr">
        <is>
          <t>2019-12-14 06:56:32</t>
        </is>
      </c>
      <c r="H6444" t="inlineStr"/>
    </row>
    <row r="6445">
      <c r="A6445" t="inlineStr">
        <is>
          <t>eal8ew</t>
        </is>
      </c>
      <c r="B6445" t="inlineStr">
        <is>
          <t>After chemo</t>
        </is>
      </c>
      <c r="C6445" t="inlineStr">
        <is>
          <t>What do you warriors deal with after chemo life? I just wait for the results and blood and bone marrow biopsy checking... in between chemo I was so strong and when finished all, I suddenly catch a cold easier and feel so tired... feel like fighting for long time... I was looking forward getting back to life and be a better self. But seems like I need some time to adjust everything.</t>
        </is>
      </c>
      <c r="D6445" t="n">
        <v>1</v>
      </c>
      <c r="E6445" t="n">
        <v>11</v>
      </c>
      <c r="F6445">
        <f>HYPERLINK("https://www.reddit.com/r/cancer/comments/eal8ew/after_chemo/")</f>
        <v/>
      </c>
      <c r="G6445" t="inlineStr">
        <is>
          <t>2019-12-14 07:47:25</t>
        </is>
      </c>
      <c r="H6445" t="inlineStr"/>
    </row>
    <row r="6446">
      <c r="A6446" t="inlineStr">
        <is>
          <t>eamk4x</t>
        </is>
      </c>
      <c r="B6446" t="inlineStr">
        <is>
          <t>My GF(24) was diagnosed with Precancerous Cervix Cells</t>
        </is>
      </c>
      <c r="C6446" t="inlineStr">
        <is>
          <t>Just wondering if anyone here has had or knew anyone that has been diagnosed with precancerous cervix cells. I know that it’s not full blown cancer yet and can take up to 10 years to develop. I love my GF very much and I guess I’m just worried for her. Any advice/info helps! Thanks!</t>
        </is>
      </c>
      <c r="D6446" t="n">
        <v>1</v>
      </c>
      <c r="E6446" t="n">
        <v>1</v>
      </c>
      <c r="F6446">
        <f>HYPERLINK("https://www.reddit.com/r/cancer/comments/eamk4x/my_gf24_was_diagnosed_with_precancerous_cervix/")</f>
        <v/>
      </c>
      <c r="G6446" t="inlineStr">
        <is>
          <t>2019-12-14 09:32:47</t>
        </is>
      </c>
      <c r="H6446" t="inlineStr"/>
    </row>
    <row r="6447">
      <c r="A6447" t="inlineStr">
        <is>
          <t>eant0i</t>
        </is>
      </c>
      <c r="B6447" t="inlineStr">
        <is>
          <t>Ovarian cancer</t>
        </is>
      </c>
      <c r="C6447" t="inlineStr">
        <is>
          <t>So I found out this morning that my mom likely has ovarian cancer.  They went in to remove a polyp and found it had turned into a mass.  She's going for a consultation and likely a hysterectomy. Looking for any info on what to expect next and what her prognosis is like.  She had broken her leg a couple months ago and ended up with blood clots as a result.  I believe they found the polyp as a result of the tests they did because of those issues.  Does this mean she's likely been detected early? Thanks in advance</t>
        </is>
      </c>
      <c r="D6447" t="n">
        <v>1</v>
      </c>
      <c r="E6447" t="n">
        <v>4</v>
      </c>
      <c r="F6447">
        <f>HYPERLINK("https://www.reddit.com/r/cancer/comments/eant0i/ovarian_cancer/")</f>
        <v/>
      </c>
      <c r="G6447" t="inlineStr">
        <is>
          <t>2019-12-14 11:07:20</t>
        </is>
      </c>
      <c r="H6447" t="inlineStr"/>
    </row>
    <row r="6448">
      <c r="A6448" t="inlineStr">
        <is>
          <t>eanwzd</t>
        </is>
      </c>
      <c r="B6448" t="inlineStr">
        <is>
          <t>The end...</t>
        </is>
      </c>
      <c r="C6448" t="inlineStr">
        <is>
          <t>After nearly 7 years of treatments and chemos, and trials, I finally reached complete remission. It took months to wrap my head around the fact that I may actually be able to live without a looming storm cloud over my shoulder.
Then Wednesday happened...
Turns out, my last scan showed some pretty aggressive activity, and in new areas. 
At this point I have no more options. 
I will be doing maintenance every 3 weeks of combination nivolamab and brentuximab until either 
1. the side effects become too much
2. it (the treatment) just stops working
There's not really a time-frame. Could be months, could be years. We haven't told the kids anything yet. After the holidays and birthdays are over in January, we will tell them the cancer is back and I'm doing treatments, but that's all they need to know for now. 
I just got used to the idea that I was going to live, this has been one hell of a cruel whiplash. I feel so terrible for my wife. Honey, I love you so so so so much. I wish we could've made better use of our time together. I wish I didn't waste our chance at finally having the life we wanted together in hospitals. I am so grateful for you doing everything you could to give our family a taste of normalcy, and even fun.
I didn't think I would be here... after everything... the transplants, the physical, emotional, and psychological hell...
I did have a good run, while it lasted. I've known love and loss, and I've laughed till I cried. I've traveled. Not as much as many, but enough to have gotten see some amazing things. I've known good and bad people, I've *been* good and bad people. 
so, what *does* an (albeit flawed) Buddhist with Asperger's, cancer, a wife and two kids think about his own mortality? I'd probably start to tell you, but I really don't think I'd have enough time (haha) 
so I guess this is it. Not everyone has the position of knowing when their time is pretty much up. I won't be tapping out early, I have no interest or need to do so. I do plan on trying to be happy. I don't think that means cramming everyday with excitement and adventure, but I do think there's a certain amount of seizing the day that i should consider.</t>
        </is>
      </c>
      <c r="D6448" t="n">
        <v>1</v>
      </c>
      <c r="E6448" t="n">
        <v>33</v>
      </c>
      <c r="F6448">
        <f>HYPERLINK("https://www.reddit.com/r/cancer/comments/eanwzd/the_end/")</f>
        <v/>
      </c>
      <c r="G6448" t="inlineStr">
        <is>
          <t>2019-12-14 11:15:49</t>
        </is>
      </c>
      <c r="H6448" t="inlineStr"/>
    </row>
    <row r="6449">
      <c r="A6449" t="inlineStr">
        <is>
          <t>eapc8r</t>
        </is>
      </c>
      <c r="B6449" t="inlineStr">
        <is>
          <t>42y/o M recently dx Sarcomatoid Renal Cell Carcinoma</t>
        </is>
      </c>
      <c r="C6449" t="inlineStr">
        <is>
          <t>So, yeah... my children’s father was diagnosed the weekend before Thanksgiving with stage 4 SRCC. He was completely asymptomatic until a week before Halloween of this year. When he started having symptoms, it presented as the flu and head cold with neck swelling. No kidney issues at all. Moved into lungs and then to lymph nodes.
 He has been having daily radiation and will begin targeted immunotherapy as soon as his 16 bouts of radiation are complete next week. 
This feel pretty surreal. 
Any insights are appreciated.</t>
        </is>
      </c>
      <c r="D6449" t="n">
        <v>1</v>
      </c>
      <c r="E6449" t="n">
        <v>5</v>
      </c>
      <c r="F6449">
        <f>HYPERLINK("https://www.reddit.com/r/cancer/comments/eapc8r/42yo_m_recently_dx_sarcomatoid_renal_cell/")</f>
        <v/>
      </c>
      <c r="G6449" t="inlineStr">
        <is>
          <t>2019-12-14 13:05:29</t>
        </is>
      </c>
      <c r="H6449" t="inlineStr"/>
    </row>
    <row r="6450">
      <c r="A6450" t="inlineStr">
        <is>
          <t>eapdjh</t>
        </is>
      </c>
      <c r="B6450" t="inlineStr">
        <is>
          <t>Are you going to pass away?</t>
        </is>
      </c>
      <c r="C6450" t="inlineStr">
        <is>
          <t>I just am curious. B</t>
        </is>
      </c>
      <c r="D6450" t="n">
        <v>1</v>
      </c>
      <c r="E6450" t="n">
        <v>5</v>
      </c>
      <c r="F6450">
        <f>HYPERLINK("https://www.reddit.com/r/cancer/comments/eapdjh/are_you_going_to_pass_away/")</f>
        <v/>
      </c>
      <c r="G6450" t="inlineStr">
        <is>
          <t>2019-12-14 13:08:21</t>
        </is>
      </c>
      <c r="H6450" t="inlineStr"/>
    </row>
    <row r="6451">
      <c r="A6451" t="inlineStr">
        <is>
          <t>eapz9h</t>
        </is>
      </c>
      <c r="B6451" t="inlineStr">
        <is>
          <t>My husband has been diagnosed with stage 4 cancer and I'm at a loss for how to feel</t>
        </is>
      </c>
      <c r="C6451" t="inlineStr">
        <is>
          <t>It all started with a simple cough a few months ago that just wouldnt go away no matter how many diagnosises we got from doctors
First it was pneumonia, then it was tuberculosis as a possibility and now we finally know its stage 4 cancer in his right lung specifically
I just dont know how to feel or what to think anymore, I am doing my best to keep positive thoughts in my mind regarding the illness
So far we know that it is located in the right lung and has begun to move into a lymph node nearby but hasnt quite gotten there 
Not entirely sure if its origin is from the lungs or not but his brain, heart and abdomen/pelvic area scans show no signs of cancer
His lung biopsy results come out on Monday and I am supremely scared of the results. The only thing keeping me from going insane hearing this news is the fact it hasnt spread to any vital organs yet and seems mostly localized in his right lung
I need to keep a cheerful demeanor to my husband so he keeps a positive mindset regarding the illness. I know that half the battle for him is making sure he keeps his fighting spirit no matter what the treatment plan is
I just dont understand how this could happen to someone at the young age of 22 but i guess cancer is a real bitch like that
His uncle who is an internal doctor (dont remember the official title of it) said that most likely his treatment will last 6 months before we can tell if he is cancer free or not
Can I ask for some words of encouragement from anyone else in my situation? What can I expect and how can I ready myself for the fight thats about to start?</t>
        </is>
      </c>
      <c r="D6451" t="n">
        <v>1</v>
      </c>
      <c r="E6451" t="n">
        <v>31</v>
      </c>
      <c r="F6451">
        <f>HYPERLINK("https://www.reddit.com/r/cancer/comments/eapz9h/my_husband_has_been_diagnosed_with_stage_4_cancer/")</f>
        <v/>
      </c>
      <c r="G6451" t="inlineStr">
        <is>
          <t>2019-12-14 13:56:28</t>
        </is>
      </c>
      <c r="H6451" t="inlineStr"/>
    </row>
    <row r="6452">
      <c r="A6452" t="inlineStr">
        <is>
          <t>eaqhgu</t>
        </is>
      </c>
      <c r="B6452" t="inlineStr">
        <is>
          <t>Pray please</t>
        </is>
      </c>
      <c r="C6452" t="inlineStr">
        <is>
          <t>My girlfriend was diagnosed with non hodgkins lymphoma 3 weeks ago. She acted strong and showed as it wasnt a big deal so i dont stress myself but i knew it was serious. Today they put her on the ventilator, idk what the fuck's gonna happen..</t>
        </is>
      </c>
      <c r="D6452" t="n">
        <v>1</v>
      </c>
      <c r="E6452" t="n">
        <v>17</v>
      </c>
      <c r="F6452">
        <f>HYPERLINK("https://www.reddit.com/r/cancer/comments/eaqhgu/pray_please/")</f>
        <v/>
      </c>
      <c r="G6452" t="inlineStr">
        <is>
          <t>2019-12-14 14:37:15</t>
        </is>
      </c>
      <c r="H6452" t="inlineStr"/>
    </row>
    <row r="6453">
      <c r="A6453" t="inlineStr">
        <is>
          <t>eaqyu6</t>
        </is>
      </c>
      <c r="B6453" t="inlineStr">
        <is>
          <t>Questions to ask doctor about osteosarcoma</t>
        </is>
      </c>
      <c r="C6453" t="inlineStr">
        <is>
          <t>Hi all, a good friend of mine was just recently diagnosed with osteosarcoma and wants to know what questions she should be asking her doctor?</t>
        </is>
      </c>
      <c r="D6453" t="n">
        <v>1</v>
      </c>
      <c r="E6453" t="n">
        <v>6</v>
      </c>
      <c r="F6453">
        <f>HYPERLINK("https://www.reddit.com/r/cancer/comments/eaqyu6/questions_to_ask_doctor_about_osteosarcoma/")</f>
        <v/>
      </c>
      <c r="G6453" t="inlineStr">
        <is>
          <t>2019-12-14 15:16:08</t>
        </is>
      </c>
      <c r="H6453" t="inlineStr"/>
    </row>
    <row r="6454">
      <c r="A6454" t="inlineStr">
        <is>
          <t>easbd6</t>
        </is>
      </c>
      <c r="B6454" t="inlineStr">
        <is>
          <t>after chemo</t>
        </is>
      </c>
      <c r="C6454" t="inlineStr">
        <is>
          <t>so about 2 months ago i finished chemo! i feel kind of stuck though, as i had to have surgery on my knee about 6 months ago because of the tumor and i am still recovering (since chemo doesn’t exactly help the recovery process). i have made a lot of progress with physical therapy and it’s expected that i’ll get to go back to work in a month or two, but i’m scared of going back since i haven’t worked in almost a year. i feel like i am going to get judged if i don’t remember some things, and i don’t want to feel like an inconvenience if i have to ask people to do certain tasks (like lifting heavier things or using a ladder to get something, etc. ... just to be extra careful because of my leg). i just don’t know how i’m gonna get past my anxiety over this.</t>
        </is>
      </c>
      <c r="D6454" t="n">
        <v>1</v>
      </c>
      <c r="E6454" t="n">
        <v>0</v>
      </c>
      <c r="F6454">
        <f>HYPERLINK("https://www.reddit.com/r/cancer/comments/easbd6/after_chemo/")</f>
        <v/>
      </c>
      <c r="G6454" t="inlineStr">
        <is>
          <t>2019-12-14 17:12:00</t>
        </is>
      </c>
      <c r="H6454" t="inlineStr"/>
    </row>
    <row r="6455">
      <c r="A6455" t="inlineStr">
        <is>
          <t>eav9i8</t>
        </is>
      </c>
      <c r="B6455" t="inlineStr">
        <is>
          <t>Forcing to eat thru nausea</t>
        </is>
      </c>
      <c r="C6455" t="inlineStr">
        <is>
          <t>my first time chemo.  day 2 was normal, felt like I might get by.  woke up on day 3 bad.   took my compazine and zofram,  still threw up. didn't hold any food or water down all day.     here I am on day 4 and I'm able to swallow something and keep it down. my lovely wife did manage to get me some ginger candies.     any other things that help?</t>
        </is>
      </c>
      <c r="D6455" t="n">
        <v>1</v>
      </c>
      <c r="E6455" t="n">
        <v>17</v>
      </c>
      <c r="F6455">
        <f>HYPERLINK("https://www.reddit.com/r/cancer/comments/eav9i8/forcing_to_eat_thru_nausea/")</f>
        <v/>
      </c>
      <c r="G6455" t="inlineStr">
        <is>
          <t>2019-12-14 21:52:45</t>
        </is>
      </c>
      <c r="H6455" t="inlineStr"/>
    </row>
    <row r="6456">
      <c r="A6456" t="inlineStr">
        <is>
          <t>eavbzd</t>
        </is>
      </c>
      <c r="B6456" t="inlineStr">
        <is>
          <t>Loving someone with cancer</t>
        </is>
      </c>
      <c r="C6456" t="inlineStr">
        <is>
          <t>I've been very close to someone for a few month's (Long Distance) but only recently found out she suffers from Melanoma. While we aren't in a relationship due to my fear of commitment we still love each other dearly. I am 20, she is 21.
I only found out recently due to her confessing, she always whined about being tired or exhausted so I just assumed it was nothing but emotional exhaustion. I'm still a little shaken from this news but I don't know where to go from here.
Now the purpose of this post, has anyone else experienced a similar story to this? She's one of the coolest people I've ever met but the emotional toll has already hit me. I've never had someone close to me get cancer so to find out someone I really liked this entire time had it has kind of knocked me down. If you had something like this happen to you, can you tell me what you did? did you continue being with them or did you look after yourself? I was in a sort of rebuilding my life stage but now I feel like my emotions will take a hit again no matter what I choose to do. I'm stuck, help me redditors, you're free to comment even if you never experienced something like this. Thanks for reading.</t>
        </is>
      </c>
      <c r="D6456" t="n">
        <v>1</v>
      </c>
      <c r="E6456" t="n">
        <v>2</v>
      </c>
      <c r="F6456">
        <f>HYPERLINK("https://www.reddit.com/r/cancer/comments/eavbzd/loving_someone_with_cancer/")</f>
        <v/>
      </c>
      <c r="G6456" t="inlineStr">
        <is>
          <t>2019-12-14 22:00:00</t>
        </is>
      </c>
      <c r="H6456" t="inlineStr"/>
    </row>
    <row r="6457">
      <c r="A6457" t="inlineStr">
        <is>
          <t>eaw2vj</t>
        </is>
      </c>
      <c r="B6457" t="inlineStr">
        <is>
          <t>My mom's boyfriend has stage 4 pancreatic cancer and I don't even know what to say to her</t>
        </is>
      </c>
      <c r="C6457" t="inlineStr">
        <is>
          <t>My mom was married to my dad for over 20 years and just divorced him 3  years ago. She met this guy 2 years ago, they have been dating and doing pretty well. He was diagnosed with "diabetes" in the summer and so he made a tonne of lifestyle changes. Quit smoking, started exercising (they were biking 100km a week together), he was losing lots of weight. He was having really bad lower back pain and it was discovered that he had massive kidney stones (completely unrelated) he had surgery to remove them and continued to lose weight. He lost over 100 pounds in not a lot of time, wasn't feeling well, and had shooting "nerve" pain that didn't go away. They figured it was a consequence of the surgery and started him on gabapentin, it helped a little and they ramped him up to the max dose and it didn't do much better for pain control. He lost 10 pounds in one week and couldn't eat without getting violently sick so my mom took him to the emergency room.
&amp;amp;#x200B;
Then he had a scan and there was gigantic masses on his pancreas and liver. Not only that but when his kidney stones were discovered the scan had said something along the lines of "suspicious masses on pancreas and liver were identified which require followup" and NO doctor ever followed up with him. 
&amp;amp;#x200B;
It all made sense to me at that point.
&amp;amp;#x200B;
"Diabetes" - pancreatic cancer messing with his insulin.
&amp;amp;#x200B;
Massive uncontrolled weight loss - pancreatic cancer
&amp;amp;#x200B;
Pain - pancreatic / liver cancer
&amp;amp;#x200B;
Sick / not feeling well - pancreatic cancer.
&amp;amp;#x200B;
I don't even know what to say to my mom, she kept saying she suffered with my dad for so long and met this great guy who builds her up and he gets pancreatic cancer and that it's not fair. She keeps telling me "I really hope it's not stage 4 so we can fight it" but by definition if it has metastasized to his liver it is stage 4... I don't have the heart to tell her. I don't know what to say. My heart is broken for my mom. Her boyfriend is going to meet us all at christmas but at this rate and the way it sounds like things are going to me I don't expect him to make it much longer than christmas. 
&amp;amp;#x200B;
It was so sad listening to my mom on the phone. She just kept saying it's not fair and she seemed so distraught. We both suffered a lot under my dad and now the small sliver of joy she has found in her life is more than likely going to be taken away from her. I've felt sick all day and I've felt really depressed just thinking about my mom. Before his kidney stone surgery he had asked her in the rare chance that he died during the kidney operation if she would take care of his dog and she said yes. Now it seems like some sick sort of fucked up foreshadowing that his kidney surgery had made his suspicious "nerve" pain fly under the radar for even longer than it should have and sealed his fate even more. I've felt like throwing up all day
&amp;amp;#x200B;
We have had a really rough life and now my mom is about to lose this too after losing everything else...</t>
        </is>
      </c>
      <c r="D6457" t="n">
        <v>1</v>
      </c>
      <c r="E6457" t="n">
        <v>8</v>
      </c>
      <c r="F6457">
        <f>HYPERLINK("https://www.reddit.com/r/cancer/comments/eaw2vj/my_moms_boyfriend_has_stage_4_pancreatic_cancer/")</f>
        <v/>
      </c>
      <c r="G6457" t="inlineStr">
        <is>
          <t>2019-12-14 23:27:37</t>
        </is>
      </c>
      <c r="H6457" t="inlineStr"/>
    </row>
    <row r="6458">
      <c r="A6458" t="inlineStr">
        <is>
          <t>eazeds</t>
        </is>
      </c>
      <c r="B6458" t="inlineStr">
        <is>
          <t>I did it, Mom</t>
        </is>
      </c>
      <c r="C6458" t="inlineStr">
        <is>
          <t>I'm following up on my dream that I started working towards when you got sick. I had my first grad school interview yesterday. I have 2 more coming up. I wore your hat, made sure to stop in to see Grandma (she sends her love but you probably already know that), and I was on my way.  I know you wanted me to follow my heart and that's what I'm doing. I know you are by my side giving me strength and I want to thank you for that. 
I know you are looking out for the family. Please guide cousins K and Y as they welcome their new baby girl into the world today. 
I miss you so much. Thank you for always being my rock.
I love you to the moon and back.</t>
        </is>
      </c>
      <c r="D6458" t="n">
        <v>1</v>
      </c>
      <c r="E6458" t="n">
        <v>14</v>
      </c>
      <c r="F6458">
        <f>HYPERLINK("https://www.reddit.com/r/cancer/comments/eazeds/i_did_it_mom/")</f>
        <v/>
      </c>
      <c r="G6458" t="inlineStr">
        <is>
          <t>2019-12-15 06:15:26</t>
        </is>
      </c>
      <c r="H6458" t="inlineStr"/>
    </row>
    <row r="6459">
      <c r="A6459" t="inlineStr">
        <is>
          <t>eazsra</t>
        </is>
      </c>
      <c r="B6459" t="inlineStr">
        <is>
          <t>I am so lonely</t>
        </is>
      </c>
      <c r="C6459" t="inlineStr">
        <is>
          <t>I am dying.  I have been fighting this for three years but for the last year treatment has just been palliative.  Even when I'm not on chemo I feel myself fading slowly. And there is absolutely no one that I can talk to about it.  
I have been the cheerful cancer warrior all this time but I just can't keep it up.  When I am sad, or frustrated or anything less than merry sunshine my family avoids me.  I know that it isn't malicious, they just aren't coping.  But what it means is I get the silent treatment from my husband and kids when I'm unhappy.  And I have talked to him about this *repeatedly*, but only after I cheer up again because that's what it takes to get him to speak to me.  
My closest friend can be good for some dark humor but a few weeks ago when my husband was avoiding me I texted her and she said she didn't want to get caught in the middle of us.  The two of them were already texting about me but neither would speak to me.  So I've had to revise my expectations from "best friend" to "mutual friend". 
My extended family has distanced themself since the terminal diagnosis. 
I am depressed, obviously and understandably.  I am on an antidepressant for nerve pain and it helps a little.  Cannabis oil (legal stuff) has really become a crutch because it's the only thing that keeps me smiling (and relieves other symptoms).  Yes I have had therapy, for me personally in my situation it just made me feel worse.
So here I am, on a tropical Christmas holiday that will certainly be my last, with 6 genuinely miserable humans that I love more than anything and no access to the medication that makes life bearable. And today was a bad day.  It should have been a good day, I had more strength and stamina than I have in quite a while.  But it was a bad day and I'm just really sad.  And I did not fly halfway around the world just to eat Costco pizza. And I kinda wish I could just go see grandpa on the other side already instead of facing the silent treatment again.</t>
        </is>
      </c>
      <c r="D6459" t="n">
        <v>1</v>
      </c>
      <c r="E6459" t="n">
        <v>27</v>
      </c>
      <c r="F6459">
        <f>HYPERLINK("https://www.reddit.com/r/cancer/comments/eazsra/i_am_so_lonely/")</f>
        <v/>
      </c>
      <c r="G6459" t="inlineStr">
        <is>
          <t>2019-12-15 06:54:29</t>
        </is>
      </c>
      <c r="H6459" t="inlineStr"/>
    </row>
    <row r="6460">
      <c r="A6460" t="inlineStr">
        <is>
          <t>eb0whk</t>
        </is>
      </c>
      <c r="B6460" t="inlineStr">
        <is>
          <t>I’m losing my uncle Peter</t>
        </is>
      </c>
      <c r="C6460" t="inlineStr">
        <is>
          <t>My life is starting to fall sort, my uncle is now dying of terminal cancer and it’s been really difficult, I haven’t seen him 17. Years properly barely said hello and then when he was ill with what they thought lump on the kidney, they then removed the kidney to find out it was cancer and it had spread by that time he had a lot of liver pain, pain in stomach etc and it turned out to be the big C and it was serious and then the antibiotics were making him sicker and he was expected to die two weeks ago, they took him off the drugs all drugs he started to improve and then then within a week he was back at square one facing the big C and this time they’ve said there’s  nothing they can do apart from making him comfortable so now it’s hours or days or weeks we don’t know.
Life is so difficult, I have already had this battle with my friend Becky in February, so I know what to expect but I am glad I am reaching out to support groups and finding it easier to talk about the situation, but as actually grieving the loss, it’s not something I’m going to think of for quite sometimes as I’m Uni studying social work, so I am gonna take as if he was client or service user even though it’s my mums brother as I without being selfish, I only thee years worth of funding left and this three years that really counts.</t>
        </is>
      </c>
      <c r="D6460" t="n">
        <v>1</v>
      </c>
      <c r="E6460" t="n">
        <v>0</v>
      </c>
      <c r="F6460">
        <f>HYPERLINK("https://www.reddit.com/r/cancer/comments/eb0whk/im_losing_my_uncle_peter/")</f>
        <v/>
      </c>
      <c r="G6460" t="inlineStr">
        <is>
          <t>2019-12-15 08:27:14</t>
        </is>
      </c>
      <c r="H6460" t="inlineStr"/>
    </row>
    <row r="6461">
      <c r="A6461" t="inlineStr">
        <is>
          <t>eb1vzo</t>
        </is>
      </c>
      <c r="B6461" t="inlineStr">
        <is>
          <t>Looking for some help finding a Playstation Vita to keep me occupied through chemo.</t>
        </is>
      </c>
      <c r="C6461" t="inlineStr">
        <is>
          <t>So recently the colon cancer I thought I had beaten last year decided to come back suddenly after a long period of remission and has forced me in to chemotherapy.
I've been looking for a Vita to play my games remotely while I recieve treatment. The only problem is a combination of returning to the UK from America recently, Christmas, and my first son recently being born has left money extremely tight.
I'm wondering if anyone knows anywhere I can find one at a cheap price, secondhand or otherwise, that I can use to play my games of FIFA while I'm in the hospital for 5 days at a time.
And thankyou in advance to anyone that can point me in the right direction!</t>
        </is>
      </c>
      <c r="D6461" t="n">
        <v>1</v>
      </c>
      <c r="E6461" t="n">
        <v>0</v>
      </c>
      <c r="F6461">
        <f>HYPERLINK("https://www.reddit.com/r/cancer/comments/eb1vzo/looking_for_some_help_finding_a_playstation_vita/")</f>
        <v/>
      </c>
      <c r="G6461" t="inlineStr">
        <is>
          <t>2019-12-15 09:40:26</t>
        </is>
      </c>
      <c r="H6461" t="inlineStr"/>
    </row>
    <row r="6462">
      <c r="A6462" t="inlineStr">
        <is>
          <t>eb25qv</t>
        </is>
      </c>
      <c r="B6462" t="inlineStr">
        <is>
          <t>Its so horrifying, this disease.</t>
        </is>
      </c>
      <c r="C6462" t="inlineStr">
        <is>
          <t>Your own DNA decides to attack you. Your own cells who make you who you are as a person go rogue and aggressively take over. Ever since my mom got diagnosed in July, I haven't stopped spending hours in bed at night researching everything about this damned disease and why the fuck it exists. I hope the day will come where people will be like "hey guys I got hit with cancer, doctor said ill be good in about 2 weeks though with treatment". That day will come, how soon, I don't know, but it'll happen.</t>
        </is>
      </c>
      <c r="D6462" t="n">
        <v>1</v>
      </c>
      <c r="E6462" t="n">
        <v>4</v>
      </c>
      <c r="F6462">
        <f>HYPERLINK("https://www.reddit.com/r/cancer/comments/eb25qv/its_so_horrifying_this_disease/")</f>
        <v/>
      </c>
      <c r="G6462" t="inlineStr">
        <is>
          <t>2019-12-15 10:00:29</t>
        </is>
      </c>
      <c r="H6462" t="inlineStr"/>
    </row>
    <row r="6463">
      <c r="A6463" t="inlineStr">
        <is>
          <t>eb2v0u</t>
        </is>
      </c>
      <c r="B6463" t="inlineStr">
        <is>
          <t>Should I see a doctor immediately?</t>
        </is>
      </c>
      <c r="C6463" t="inlineStr">
        <is>
          <t>After about a week of the symptoms, I'm now fairly certain I've got Hodgkin's Lymphoma. The symptoms seem to get worse every day. I wanted to wait util Monday to see my doctor but I'm quite worried about leaving it. Will it make any difference if I try and get help this evening instead of tomorrow morning? As it's a Sunday, I suppose it would be considered an emergency visit. Does this count as an emergency?</t>
        </is>
      </c>
      <c r="D6463" t="n">
        <v>1</v>
      </c>
      <c r="E6463" t="n">
        <v>2</v>
      </c>
      <c r="F6463">
        <f>HYPERLINK("https://www.reddit.com/r/cancer/comments/eb2v0u/should_i_see_a_doctor_immediately/")</f>
        <v/>
      </c>
      <c r="G6463" t="inlineStr">
        <is>
          <t>2019-12-15 10:52:59</t>
        </is>
      </c>
      <c r="H6463" t="inlineStr"/>
    </row>
    <row r="6464">
      <c r="A6464" t="inlineStr">
        <is>
          <t>eb3hoa</t>
        </is>
      </c>
      <c r="B6464" t="inlineStr">
        <is>
          <t>How to deal with anxiety while waiting for results - need advice.</t>
        </is>
      </c>
      <c r="C6464" t="inlineStr">
        <is>
          <t>Hello all! In 2015 I was diagnosed with ALL with only a small relapse scare about a year after (it was negative thank goodness).
I'll make a long story short, my oncologist discovered a very enlarged lymph node and are worried about some form of lymphoma. I got it removed and sent away for a biopsy on Thursday, and now I'm just playing the waiting game. I think this is the worst I've felt since my original diagnosis. I simply don't know how to handle the stress of waiting for the results. I have my Xanax that I've been taking but I have finals next week and I need to be coherent enough to study.
I feel like crying 24/7. Any non-medicated suggestions to dealing with the anxiety of awaiting results?</t>
        </is>
      </c>
      <c r="D6464" t="n">
        <v>1</v>
      </c>
      <c r="E6464" t="n">
        <v>10</v>
      </c>
      <c r="F6464">
        <f>HYPERLINK("https://www.reddit.com/r/cancer/comments/eb3hoa/how_to_deal_with_anxiety_while_waiting_for/")</f>
        <v/>
      </c>
      <c r="G6464" t="inlineStr">
        <is>
          <t>2019-12-15 11:39:19</t>
        </is>
      </c>
      <c r="H6464" t="inlineStr"/>
    </row>
    <row r="6465">
      <c r="A6465" t="inlineStr">
        <is>
          <t>eb4pmp</t>
        </is>
      </c>
      <c r="B6465" t="inlineStr">
        <is>
          <t>Mom got diagnosed with Stage I cancer. She got surgery, chemo and is now having radiotherapy. What is going on?</t>
        </is>
      </c>
      <c r="C6465" t="inlineStr">
        <is>
          <t>So far, here is what I think I know:
&amp;amp;#x200B;
\- 1,2cm tumor in the right breast
\- not spread to any lymph nodes (if I am correct from reading her reports)
\- she got surgery immediately removing the mass, the lymph nodes, and surrounding tissue
\- 6 rounds of chemo 3 weeks apart, finished 15 days ago
\- 10 days of radiotherapy, currently ongoing
\- Double positive, negative for her2
&amp;amp;#x200B;
I just learned about all of this right now because she was keeping it a secret. I am really scared, what can I do? I will speak to her doctor tomorrow but I am on the verge of a panic attack. What should I ask?
&amp;amp;#x200B;
Also for a stage 1 cancer (i think), isnt the treatment too much? Makes me think that we dont know the whole truth</t>
        </is>
      </c>
      <c r="D6465" t="n">
        <v>1</v>
      </c>
      <c r="E6465" t="n">
        <v>9</v>
      </c>
      <c r="F6465">
        <f>HYPERLINK("https://www.reddit.com/r/cancer/comments/eb4pmp/mom_got_diagnosed_with_stage_i_cancer_she_got/")</f>
        <v/>
      </c>
      <c r="G6465" t="inlineStr">
        <is>
          <t>2019-12-15 13:07:31</t>
        </is>
      </c>
      <c r="H6465" t="inlineStr"/>
    </row>
    <row r="6466">
      <c r="A6466" t="inlineStr">
        <is>
          <t>eb5h26</t>
        </is>
      </c>
      <c r="B6466" t="inlineStr">
        <is>
          <t>I have a genetic variant that increases my risk of colorectal cancer by 39%</t>
        </is>
      </c>
      <c r="C6466" t="inlineStr">
        <is>
          <t>I am 27 and a 13 year cancer survivor. Promethease showed me this mutation: https://www.snpedia.com/index.php/Rs4143094 which has been thoroughly studied and is well trusted, not just a candidate gene study (there are 13 publications with a magnitude of 3.1). The frequency of this mutation in the population is very low, 6.2%.
It suggests that my risk of developing colorectal cancer if I consume processed meat is increased by 39% compared to the general population and the general population *already* has an increased risk if they consume processed meat products. 
I was a vegetarian for 6 years but it started to make me feel horrible. Now I eat meat, but not typically meat that is processed. I'm trying to decide if I should just stop eating meat all together as I was doing before. I'm wondering if it is fully confirmed that it is specifically processed meat that causes this or if I should err on the side of caution and not eat meat at all. 
I don't see an onc anymore, but I was going to discuss this with my PCP. I'm guessing she will know little about this if anything, though.</t>
        </is>
      </c>
      <c r="D6466" t="n">
        <v>1</v>
      </c>
      <c r="E6466" t="n">
        <v>0</v>
      </c>
      <c r="F6466">
        <f>HYPERLINK("https://www.reddit.com/r/cancer/comments/eb5h26/i_have_a_genetic_variant_that_increases_my_risk/")</f>
        <v/>
      </c>
      <c r="G6466" t="inlineStr">
        <is>
          <t>2019-12-15 14:03:25</t>
        </is>
      </c>
      <c r="H6466" t="inlineStr"/>
    </row>
    <row r="6467">
      <c r="A6467" t="inlineStr">
        <is>
          <t>eb6syn</t>
        </is>
      </c>
      <c r="B6467" t="inlineStr">
        <is>
          <t>My mom finished chemo and radiation last week. Today she went to the ER with a blood clot and an infection.</t>
        </is>
      </c>
      <c r="C6467" t="inlineStr">
        <is>
          <t>My mom was diagnosed earlier this year with stage three cervical cancer. In September she had a radical hysterectomy, and started chemo and radiation soon after when she recovered from the surgery. Last week she completed treatment, and aside from a little anxiety about waiting for follow ups, I was feeling super hopeful. I thought to myself, that the hardest part was over and now it was time for her to recover and start to move forward. Now I don't know if I was hopeful or just naive.
She started having problems about two days ago, according to my dad. Then she tried doing housework today as my grandmother was coming into town. Her heart rate spiked, and she was having shortness of breath and chest pain. She told my dad she thought she was going to pass out. She called her doctor and he told her to go to the nearest emergency room to check for blood clots.
At the ER, she was diagnosed with an infection and a blood clot in her lung, and was admitted to the hospital. 
I don't know how I am supposed to feel right now. But I guess I just need to stay hopeful and optimistic. 
Thank you, if you've read this. I've been lurking here since my mom was diagnosed and the stories and information shared here have helped me remain calm and rational while trying to support her. So thank you to the community also.</t>
        </is>
      </c>
      <c r="D6467" t="n">
        <v>1</v>
      </c>
      <c r="E6467" t="n">
        <v>11</v>
      </c>
      <c r="F6467">
        <f>HYPERLINK("https://www.reddit.com/r/cancer/comments/eb6syn/my_mom_finished_chemo_and_radiation_last_week/")</f>
        <v/>
      </c>
      <c r="G6467" t="inlineStr">
        <is>
          <t>2019-12-15 15:46:57</t>
        </is>
      </c>
      <c r="H6467" t="inlineStr"/>
    </row>
    <row r="6468">
      <c r="A6468" t="inlineStr">
        <is>
          <t>eb79kt</t>
        </is>
      </c>
      <c r="B6468" t="inlineStr">
        <is>
          <t>Symptoms and finding out.</t>
        </is>
      </c>
      <c r="C6468" t="inlineStr">
        <is>
          <t>How did you find out that you had cancer and what symptoms did you have that made you get checked?</t>
        </is>
      </c>
      <c r="D6468" t="n">
        <v>1</v>
      </c>
      <c r="E6468" t="n">
        <v>5</v>
      </c>
      <c r="F6468">
        <f>HYPERLINK("https://www.reddit.com/r/cancer/comments/eb79kt/symptoms_and_finding_out/")</f>
        <v/>
      </c>
      <c r="G6468" t="inlineStr">
        <is>
          <t>2019-12-15 16:24:24</t>
        </is>
      </c>
      <c r="H6468" t="inlineStr"/>
    </row>
    <row r="6469">
      <c r="A6469" t="inlineStr">
        <is>
          <t>eb7ui5</t>
        </is>
      </c>
      <c r="B6469" t="inlineStr">
        <is>
          <t>Got referred to an urgent cancer special today.</t>
        </is>
      </c>
      <c r="C6469" t="inlineStr">
        <is>
          <t>So what do I do now. Just waiting to hear what’s next they said I’ll see someone with in two weeks but what do I do while I wait?</t>
        </is>
      </c>
      <c r="D6469" t="n">
        <v>1</v>
      </c>
      <c r="E6469" t="n">
        <v>1</v>
      </c>
      <c r="F6469">
        <f>HYPERLINK("https://www.reddit.com/r/cancer/comments/eb7ui5/got_referred_to_an_urgent_cancer_special_today/")</f>
        <v/>
      </c>
      <c r="G6469" t="inlineStr">
        <is>
          <t>2019-12-15 17:12:03</t>
        </is>
      </c>
      <c r="H6469" t="inlineStr"/>
    </row>
    <row r="6470">
      <c r="A6470" t="inlineStr">
        <is>
          <t>eb81qy</t>
        </is>
      </c>
      <c r="B6470" t="inlineStr">
        <is>
          <t>When my docs said that a stem cell transplant would be a “cure” - that was not true.</t>
        </is>
      </c>
      <c r="C6470" t="inlineStr">
        <is>
          <t>They told me SCT is the “cure”. In my mind a cure meant, ya know....cured.   Ta da.   Done with this blood cancer.  But for my doctors “cure” apparently meant “62% chance you will live 3 more years “.   I learned this a year post transplant.  
WTF.  How does cure equate to 3 years?  I so wish I was less trusting.  I would not have done all this, and put my donor thru that stress for just 3 years.  Why not just be up front?  
The stats for 5 years are below 30%.   I would not have wasted everyone’s time if I knew that.</t>
        </is>
      </c>
      <c r="D6470" t="n">
        <v>1</v>
      </c>
      <c r="E6470" t="n">
        <v>9</v>
      </c>
      <c r="F6470">
        <f>HYPERLINK("https://www.reddit.com/r/cancer/comments/eb81qy/when_my_docs_said_that_a_stem_cell_transplant/")</f>
        <v/>
      </c>
      <c r="G6470" t="inlineStr">
        <is>
          <t>2019-12-15 17:28:10</t>
        </is>
      </c>
      <c r="H6470" t="inlineStr"/>
    </row>
    <row r="6471">
      <c r="A6471" t="inlineStr">
        <is>
          <t>eb8nhu</t>
        </is>
      </c>
      <c r="B6471" t="inlineStr">
        <is>
          <t>My Dad’s hair started falling out today</t>
        </is>
      </c>
      <c r="C6471" t="inlineStr">
        <is>
          <t>I apologize about this but I just need a space to express my feelings.
I am just so angry. I am only 22 years old. I was forced to watch my mother deteriorate over 3 months with cancer that we didn’t know at the time was terminal. I was 12 fucking years old. That should be my trauma for life. But as is the family tradition to lose parents at a young age in my family, my dad was diagnosed with cancer too, 10 years later.
The worst part is that his should’ve been curable but was caught just a little to late or we moved a little too slow, and now he’s terminal too.
I’m going to lose both my parents by the time I’m 25 years old and it’s not fair and I’m so scared and I don’t know what to do and I can’t stop crying.</t>
        </is>
      </c>
      <c r="D6471" t="n">
        <v>1</v>
      </c>
      <c r="E6471" t="n">
        <v>4</v>
      </c>
      <c r="F6471">
        <f>HYPERLINK("https://www.reddit.com/r/cancer/comments/eb8nhu/my_dads_hair_started_falling_out_today/")</f>
        <v/>
      </c>
      <c r="G6471" t="inlineStr">
        <is>
          <t>2019-12-15 18:18:36</t>
        </is>
      </c>
      <c r="H6471" t="inlineStr"/>
    </row>
    <row r="6472">
      <c r="A6472" t="inlineStr">
        <is>
          <t>eb8ztx</t>
        </is>
      </c>
      <c r="B6472" t="inlineStr">
        <is>
          <t>My throat had been closing up (not completely) while eating. I switched to soups and broths and it’s still happening. Going to Onc Doc in morning. I just had scans done, nothing mentioned re my throat or the lung tumor. I’m afraid it’s a side effect the drug trial I’m on. I’m scared. I need a win.</t>
        </is>
      </c>
      <c r="C6472" t="inlineStr">
        <is>
          <t>My last PET scan showed new tumors in my liver and a small one in brain. Lately my scans are pure fuckery. They pulled me off immunotherapy because clearly it wasn’t doing anything so I agreed to be part of a drug study. Will they pull me from the study? I just want some good news. 
Thanks for reading my bitch fest.</t>
        </is>
      </c>
      <c r="D6472" t="n">
        <v>1</v>
      </c>
      <c r="E6472" t="n">
        <v>13</v>
      </c>
      <c r="F6472">
        <f>HYPERLINK("https://www.reddit.com/r/cancer/comments/eb8ztx/my_throat_had_been_closing_up_not_completely/")</f>
        <v/>
      </c>
      <c r="G6472" t="inlineStr">
        <is>
          <t>2019-12-15 18:47:39</t>
        </is>
      </c>
      <c r="H6472" t="inlineStr"/>
    </row>
    <row r="6473">
      <c r="A6473" t="inlineStr">
        <is>
          <t>eb97zk</t>
        </is>
      </c>
      <c r="B6473" t="inlineStr">
        <is>
          <t>Girlfriends mom's last day of radiation is on Wednesday -- any party/celebration planning ideas?</t>
        </is>
      </c>
      <c r="C6473" t="inlineStr">
        <is>
          <t>Hi all --
As seen above girlfriend mom is done with radiation on Wednesday. It's been a long year and a half so looking for any tips for party / celebrations. Mom is a 65 yro single female w. a limited family + friends living in BK, New York. Would deeply appreciate any suggestions</t>
        </is>
      </c>
      <c r="D6473" t="n">
        <v>1</v>
      </c>
      <c r="E6473" t="n">
        <v>7</v>
      </c>
      <c r="F6473">
        <f>HYPERLINK("https://www.reddit.com/r/cancer/comments/eb97zk/girlfriends_moms_last_day_of_radiation_is_on/")</f>
        <v/>
      </c>
      <c r="G6473" t="inlineStr">
        <is>
          <t>2019-12-15 19:06:37</t>
        </is>
      </c>
      <c r="H6473" t="inlineStr"/>
    </row>
    <row r="6474">
      <c r="A6474" t="inlineStr">
        <is>
          <t>eb9jkc</t>
        </is>
      </c>
      <c r="B6474" t="inlineStr">
        <is>
          <t>Lost.</t>
        </is>
      </c>
      <c r="C6474" t="inlineStr">
        <is>
          <t>If you all have been keeping up with my reddit updates then you would know about how my mother had to have an ambulance called out on late Friday night and was airlifted to the main hospital in the city here’s a few more updates, she has a chest infection there was no signs or symptoms until that Friday night she was fine Friday afternoon but then Friday night she just turned for the worst, they did more blood tests Thursday and apparently she may not need that much intense chemo as they originally thought idk whether this is good or not because I’m always scared that’ll it be bad forever now she’s still in hospital and a nurse is constantly checking on her which I’m grateful for, my brother has severe anxiety disorder so bad that he cannot leave the house and cannot speak to people who isn’t family I had to calm him down when they took mum out on the stretcher (I’m 17 he’s 23) I know it’s getting really hard for him and I’m really lost, idk what to do anymore I’m trying to search for hope that we’ll get through this and that we will have a miracle and she’ll be okay and she’ll be here for another 10 years but I’m starting to get really scared and stressed I genuinely think I haven’t had a shower since Thursday (I had a day to myself at a friends house) and I don’t think I’ve eaten properly since Friday I’m sleeping maybe 4 hours each night because I feel so guilty and I’m scared something will happen I can’t even be bothered to brush my hair or teeth anymore I feel so lost, I never knew it would get this difficult and I never knew it would be this heartbreaking I know I need to be strong for my brother and sisters and nephews and niece but it’s so hard there is no words to describe what cancer does to families, it truly is an evil disease.</t>
        </is>
      </c>
      <c r="D6474" t="n">
        <v>1</v>
      </c>
      <c r="E6474" t="n">
        <v>5</v>
      </c>
      <c r="F6474">
        <f>HYPERLINK("https://www.reddit.com/r/cancer/comments/eb9jkc/lost/")</f>
        <v/>
      </c>
      <c r="G6474" t="inlineStr">
        <is>
          <t>2019-12-15 19:33:51</t>
        </is>
      </c>
      <c r="H6474" t="inlineStr"/>
    </row>
    <row r="6475">
      <c r="A6475" t="inlineStr">
        <is>
          <t>ebazyn</t>
        </is>
      </c>
      <c r="B6475" t="inlineStr">
        <is>
          <t>Mom diagnosed recently</t>
        </is>
      </c>
      <c r="C6475" t="inlineStr">
        <is>
          <t>Long story short my mother recently was diagnosed with small cell lung cancer. It's metastasized to her chest and brain. She has several tumors in her brain and recently underwent surgery to remove a larger one that was on her frontal cortex. Any ideas on the odds of her beating this? Seems kind of troublesome considering how much it's spread. Any stories or information about people in similar situations would be appreciated.</t>
        </is>
      </c>
      <c r="D6475" t="n">
        <v>1</v>
      </c>
      <c r="E6475" t="n">
        <v>1</v>
      </c>
      <c r="F6475">
        <f>HYPERLINK("https://www.reddit.com/r/cancer/comments/ebazyn/mom_diagnosed_recently/")</f>
        <v/>
      </c>
      <c r="G6475" t="inlineStr">
        <is>
          <t>2019-12-15 21:47:04</t>
        </is>
      </c>
      <c r="H6475" t="inlineStr"/>
    </row>
    <row r="6476">
      <c r="A6476" t="inlineStr">
        <is>
          <t>ebdcfz</t>
        </is>
      </c>
      <c r="B6476" t="inlineStr">
        <is>
          <t>My mum is in a better place now</t>
        </is>
      </c>
      <c r="C6476" t="inlineStr">
        <is>
          <t>After fighting ovarian cancer for 4.5 years, my mum left earth today and became an angel. She's not longer in pain. 
We miss you so much, life is never going to be the same without you. We will take care of dad. I wish you could see me becoming a mother but life doesn't always goes according to our plans. You are the love of my life and I do whatever it takes to keep making you proud ❤️🙏🏾</t>
        </is>
      </c>
      <c r="D6476" t="n">
        <v>1</v>
      </c>
      <c r="E6476" t="n">
        <v>21</v>
      </c>
      <c r="F6476">
        <f>HYPERLINK("https://www.reddit.com/r/cancer/comments/ebdcfz/my_mum_is_in_a_better_place_now/")</f>
        <v/>
      </c>
      <c r="G6476" t="inlineStr">
        <is>
          <t>2019-12-16 02:13:34</t>
        </is>
      </c>
      <c r="H6476" t="inlineStr"/>
    </row>
    <row r="6477">
      <c r="A6477" t="inlineStr">
        <is>
          <t>ebdfpc</t>
        </is>
      </c>
      <c r="B6477" t="inlineStr">
        <is>
          <t>UK NHS 2 weeks urgent referral appointment</t>
        </is>
      </c>
      <c r="C6477" t="inlineStr">
        <is>
          <t>Hi!
Does anyone here have any experience with the NHS urgent 2 week referral for suspected cancer? I was referred by my GP last week and I am attending my appointment at the Head and Neck Cancer centre at my local hospital today. I was told by my GP that tests would be done (biopsy etc) but reading the print off of the appointment and information I received for the appointment it says "Please note absoloutly no treatment or tests will be performed during this appointment".
So understandably I'm now a little confused! Anyone who's had any experience with this type of referal in the UK, what was your appointment like? If you dont mind sharing.
Thank you in advance :)</t>
        </is>
      </c>
      <c r="D6477" t="n">
        <v>1</v>
      </c>
      <c r="E6477" t="n">
        <v>0</v>
      </c>
      <c r="F6477">
        <f>HYPERLINK("https://www.reddit.com/r/cancer/comments/ebdfpc/uk_nhs_2_weeks_urgent_referral_appointment/")</f>
        <v/>
      </c>
      <c r="G6477" t="inlineStr">
        <is>
          <t>2019-12-16 02:24:24</t>
        </is>
      </c>
      <c r="H6477" t="inlineStr"/>
    </row>
    <row r="6478">
      <c r="A6478" t="inlineStr">
        <is>
          <t>ebg96t</t>
        </is>
      </c>
      <c r="B6478" t="inlineStr">
        <is>
          <t>Need help and info</t>
        </is>
      </c>
      <c r="C6478" t="inlineStr">
        <is>
          <t>I have a friend who was diagnosed with adrenocortical carcinom a little over a year ago and was wondering what options she has for help.
A little background is she is currently married to an asshat that is prior u.s. military, who does not work, and just served her with divorce paperwork.  While they were married he refused to put her on his medical insurance and forced her to work so he could stay home.  She even had to work when she was going through her initial radiation therapy. 
She is currently unemployed, paying child support, and is very depressed.  She can't get state medical insurance becuase her husband makes to much money from disibility from the military and state.
Because of the divorce I gave her a place to stay with me and my family and help her with financial obligations as I can.  I just dont know what I can do help her with the medical aspect because she has no insurance. She hasnt been to the doctor for her cancer for probably well over six months because she just can't afford it. 
 I know she is having problems with the cancer again because of her depression, weight loss, and constant pain she is in even though she wont admit it.  Right now all I want to do is find a way to be able to help her get to the doctor again so she can help she needs.  I just don't know where to go or who to ask so I am hoping to find someone here that can get me pointed in the right direction.</t>
        </is>
      </c>
      <c r="D6478" t="n">
        <v>1</v>
      </c>
      <c r="E6478" t="n">
        <v>2</v>
      </c>
      <c r="F6478">
        <f>HYPERLINK("https://www.reddit.com/r/cancer/comments/ebg96t/need_help_and_info/")</f>
        <v/>
      </c>
      <c r="G6478" t="inlineStr">
        <is>
          <t>2019-12-16 07:05:58</t>
        </is>
      </c>
      <c r="H6478" t="inlineStr"/>
    </row>
    <row r="6479">
      <c r="A6479" t="inlineStr">
        <is>
          <t>ebhbkn</t>
        </is>
      </c>
      <c r="B6479" t="inlineStr">
        <is>
          <t>Cancer and meet love</t>
        </is>
      </c>
      <c r="C6479" t="inlineStr">
        <is>
          <t>I hope I can meet my love of my life before I died. Like that move my sister keeper. 
I hope it’s not too late. I am 39F diagnosed lymphoma in April and finished all chemo last two weeks ago. 
I don’t know where to meet maybe website? Since I don’t have much energy now yet to meet ppl outside</t>
        </is>
      </c>
      <c r="D6479" t="n">
        <v>1</v>
      </c>
      <c r="E6479" t="n">
        <v>5</v>
      </c>
      <c r="F6479">
        <f>HYPERLINK("https://www.reddit.com/r/cancer/comments/ebhbkn/cancer_and_meet_love/")</f>
        <v/>
      </c>
      <c r="G6479" t="inlineStr">
        <is>
          <t>2019-12-16 08:28:17</t>
        </is>
      </c>
      <c r="H6479" t="inlineStr"/>
    </row>
    <row r="6480">
      <c r="A6480" t="inlineStr">
        <is>
          <t>ebhhgx</t>
        </is>
      </c>
      <c r="B6480" t="inlineStr">
        <is>
          <t>Fiancee diagnosed with pancreatic cancer.</t>
        </is>
      </c>
      <c r="C6480" t="inlineStr">
        <is>
          <t>I will have reached my first year as cancer free on December 21st.  I had stage 4 testicular cancer that was removed and a few weeks later was diagnosed with non hodgkin's lymphoma.  As of the November 28th my fiancee (29) has been diagnosed with pancreatic cancer. Luckily they believe it is stage 2 possibly 1 but is still terrifying. I know the survival rate for this is low but I am still holding on to hope. She started her first chemo treatment today. I just needed a place to let these things out.</t>
        </is>
      </c>
      <c r="D6480" t="n">
        <v>1</v>
      </c>
      <c r="E6480" t="n">
        <v>12</v>
      </c>
      <c r="F6480">
        <f>HYPERLINK("https://www.reddit.com/r/cancer/comments/ebhhgx/fiancee_diagnosed_with_pancreatic_cancer/")</f>
        <v/>
      </c>
      <c r="G6480" t="inlineStr">
        <is>
          <t>2019-12-16 08:40:07</t>
        </is>
      </c>
      <c r="H6480" t="inlineStr"/>
    </row>
    <row r="6481">
      <c r="A6481" t="inlineStr">
        <is>
          <t>ebhmkp</t>
        </is>
      </c>
      <c r="B6481" t="inlineStr">
        <is>
          <t>The only cure for cancer is:</t>
        </is>
      </c>
      <c r="C6481" t="inlineStr">
        <is>
          <t>Death
Are you ready for it?</t>
        </is>
      </c>
      <c r="D6481" t="n">
        <v>1</v>
      </c>
      <c r="E6481" t="n">
        <v>1</v>
      </c>
      <c r="F6481">
        <f>HYPERLINK("https://www.reddit.com/r/cancer/comments/ebhmkp/the_only_cure_for_cancer_is/")</f>
        <v/>
      </c>
      <c r="G6481" t="inlineStr">
        <is>
          <t>2019-12-16 08:50:24</t>
        </is>
      </c>
      <c r="H6481" t="inlineStr"/>
    </row>
    <row r="6482">
      <c r="A6482" t="inlineStr">
        <is>
          <t>ebi9f8</t>
        </is>
      </c>
      <c r="B6482" t="inlineStr">
        <is>
          <t>Scared shitless</t>
        </is>
      </c>
      <c r="C6482" t="inlineStr">
        <is>
          <t>About 6 months ago at 24 I was diagnosed with stage 3 Hodgkin's, my end of treatment PET is next week.
10 years ago my mom was diagnosed with stage 3 breast cancer finished her treatments and everything was fine, today she came for her yearly checkup with the oncologist and he sent her for a PET CT because she was having some backpains.
I'm fucking terrified that this is a recurrence, can't lose her, I already lost my dad 12 years ago to primary amyloidosis.
Didn't know my life would suck that hard at 24, I worked during treatments and also continued school, but even tho time seemed to stop during chemo..
cancer can't seem to leave this family alone.
Dunno why I made this</t>
        </is>
      </c>
      <c r="D6482" t="n">
        <v>1</v>
      </c>
      <c r="E6482" t="n">
        <v>3</v>
      </c>
      <c r="F6482">
        <f>HYPERLINK("https://www.reddit.com/r/cancer/comments/ebi9f8/scared_shitless/")</f>
        <v/>
      </c>
      <c r="G6482" t="inlineStr">
        <is>
          <t>2019-12-16 09:35:40</t>
        </is>
      </c>
      <c r="H6482" t="inlineStr"/>
    </row>
    <row r="6483">
      <c r="A6483" t="inlineStr">
        <is>
          <t>ebkqd0</t>
        </is>
      </c>
      <c r="B6483" t="inlineStr">
        <is>
          <t>Morphine?</t>
        </is>
      </c>
      <c r="C6483" t="inlineStr">
        <is>
          <t>Do they only give end stage or hospice patients Morphine? For the longest time they refused to give my mom anything stronger than tramadol but after they did some tests (which I was in school for) they gave her the option to stop chemo or continue with it (she wants to give it the old college try) and they prescribed her morphine. Is morphine exclusively for people in hospice or am I just confused?</t>
        </is>
      </c>
      <c r="D6483" t="n">
        <v>1</v>
      </c>
      <c r="E6483" t="n">
        <v>22</v>
      </c>
      <c r="F6483">
        <f>HYPERLINK("https://www.reddit.com/r/cancer/comments/ebkqd0/morphine/")</f>
        <v/>
      </c>
      <c r="G6483" t="inlineStr">
        <is>
          <t>2019-12-16 12:33:52</t>
        </is>
      </c>
      <c r="H6483" t="inlineStr"/>
    </row>
    <row r="6484">
      <c r="A6484" t="inlineStr">
        <is>
          <t>ebkv3s</t>
        </is>
      </c>
      <c r="B6484" t="inlineStr">
        <is>
          <t>Venting, what to do when your Dr/ specialist tells you you that you have 85-95% chance of ( Sudden unexpected death )? And they have to admit that they have no idea what to do to help you, ( more than once )?</t>
        </is>
      </c>
      <c r="C6484" t="inlineStr">
        <is>
          <t>I know this is r/cancer, and I have epilepsy not cancer... but I just have a feeling you guys have a little more experience with doctors telling you you’re probably going to die.(  and theirs not too much they can do.. 
I’ve been having 4-5 generalized tonic clonic seizures in one day sometimes lately and they’re just getting worse with every time this happens.. lol as if I’m progressively climbing up a ladder to death 💀.
So after seeing a list of doctors spanning longer than I can count without progressing. It makes me think at 31years old (diagnoses at 5 ), how long do I have, and what’s Important to me, what should I do with the rest of my time here on earth 🌍 short or long,  my  family is/has been super supportive, however watching the demons come out and the tonic clonic seizures get worse they are all developing their own cases of PTSD. Most have admitted this to me. Also they are more and more scared to be around me. Especially if I try and say I wanna go somewhere else than sitting down talking in the house lol.
I know some of you are probably going similar things with doctors,treatment plans, and general thoughts about ones own personal timeline. 
Sooo thanks for letting me vent a little bit about myself.  about to go see the neurologist today, the one that says he’s without a clue lol however at least he admits to it.. don’t like that the pharmacist says he has made two prescription mistakes on me in the past month though lmfao at hi skill level in comparison with his training/degrees...
Everyone have a great day and thanks again for letting me vent.)</t>
        </is>
      </c>
      <c r="D6484" t="n">
        <v>1</v>
      </c>
      <c r="E6484" t="n">
        <v>5</v>
      </c>
      <c r="F6484">
        <f>HYPERLINK("https://www.reddit.com/r/cancer/comments/ebkv3s/venting_what_to_do_when_your_dr_specialist_tells/")</f>
        <v/>
      </c>
      <c r="G6484" t="inlineStr">
        <is>
          <t>2019-12-16 12:43:21</t>
        </is>
      </c>
      <c r="H6484" t="inlineStr"/>
    </row>
    <row r="6485">
      <c r="A6485" t="inlineStr">
        <is>
          <t>ebl6ta</t>
        </is>
      </c>
      <c r="B6485" t="inlineStr">
        <is>
          <t>Recurrent germ cell cancer, all lines of treatment failed (18 month journey)</t>
        </is>
      </c>
      <c r="C6485" t="inlineStr">
        <is>
          <t>Hey everyone, I'll try to keep this short and simple but I'm looking if anyone has any advice to offer on my current fight with recurrent primary mediastinal germ cell cancer. 
* Non-seminoma, yolk sac tumor
* AFP elevated 
* Metastasis around the heart, lungs, liver
* VIP: no success, HDCT: no success, Gene Therapy: no success
* Genetic mutations: KIT, TP53, CHEK1, KDM5A, CCND2, RAD52, MAPK3, ETV6
My journey began in June 2018, I underwent 4x VIP followed by a surgical resection in my chest. I had a complete response but shortly after, the disease persisted and I received 3x HDCT + stem cell transplant. This also worked for a short period of time and the cancer returned and metastasized to my lungs and liver. After a short delay, I began a clinical trial in gene therapy for a drug named Sunitinib. I was on this drug for 1 cycle and it brought down by tumour markers, but halfway through cycle 2 my tumour markers were rising again, and the disease had progressed even further radiographically. Due to the pressure on my superior vena cava, I am receiving radiation (5 days), and will begin GEMOX next week. 
As far as I know, GEMOX is the last viable attempt at controlling the disease. I have inquired about a drug named Ripretinib which is also a c-Kit inhibitor, but seeing how ineffective the Sunitinib was, I'm not very interested in attempting this drug in a clinical trial setting anymore.
Is there anything else I should be looking at? If anyone has experience at fighting this disease at this advance stage, please share some guidance. Even if it's about the practicality of managing my day-to-day and alleviating some the symptoms of the upcoming chemotherapy. Any suggestions are welcome. If there is any further information I could also provide please let me know.
Thank you very much for your time.</t>
        </is>
      </c>
      <c r="D6485" t="n">
        <v>1</v>
      </c>
      <c r="E6485" t="n">
        <v>20</v>
      </c>
      <c r="F6485">
        <f>HYPERLINK("https://www.reddit.com/r/cancer/comments/ebl6ta/recurrent_germ_cell_cancer_all_lines_of_treatment/")</f>
        <v/>
      </c>
      <c r="G6485" t="inlineStr">
        <is>
          <t>2019-12-16 13:06:49</t>
        </is>
      </c>
      <c r="H6485" t="inlineStr"/>
    </row>
    <row r="6486">
      <c r="A6486" t="inlineStr">
        <is>
          <t>eblr8w</t>
        </is>
      </c>
      <c r="B6486" t="inlineStr">
        <is>
          <t>My new tradition, pre-scan Day drinking!</t>
        </is>
      </c>
      <c r="C6486" t="inlineStr">
        <is>
          <t>Begone scanxiety!</t>
        </is>
      </c>
      <c r="D6486" t="n">
        <v>1</v>
      </c>
      <c r="E6486" t="n">
        <v>15</v>
      </c>
      <c r="F6486">
        <f>HYPERLINK("https://www.reddit.com/r/cancer/comments/eblr8w/my_new_tradition_prescan_day_drinking/")</f>
        <v/>
      </c>
      <c r="G6486" t="inlineStr">
        <is>
          <t>2019-12-16 13:48:33</t>
        </is>
      </c>
      <c r="H6486" t="inlineStr"/>
    </row>
    <row r="6487">
      <c r="A6487" t="inlineStr">
        <is>
          <t>ebm507</t>
        </is>
      </c>
      <c r="B6487" t="inlineStr">
        <is>
          <t>Doctor Requested to speak with my Aunt’s husband and I’m scared</t>
        </is>
      </c>
      <c r="C6487" t="inlineStr">
        <is>
          <t>My aunt was diagnosed with colon cancer about two weeks ago after she had been experiencing weight loss/diarrhea for about 8 months. They did a colonoscopy and discovered what the doctors noted was a fairly big tumor. The doctor originally suspected it had reached her rectum which he mentioned is very bad due to its aggressiveness. Luckily, after a test they did last Friday, they were able to rule out it hadn’t reached there yet. She is undergoing MRI and ct scans today and tomorrow to see what stage it is at and see what treatment they would want to do. However, one thing that alarmed me is that another aunt that accompanied her had mentioned that before they did the ct scan and mri,  the doctor requested to speak on Wednesday with her husband or to have him call if he couldn’t be in attendance. How bad of a sign is this? Is this standard procedure to discuss what’s next, or do they know the severity of it?</t>
        </is>
      </c>
      <c r="D6487" t="n">
        <v>1</v>
      </c>
      <c r="E6487" t="n">
        <v>9</v>
      </c>
      <c r="F6487">
        <f>HYPERLINK("https://www.reddit.com/r/cancer/comments/ebm507/doctor_requested_to_speak_with_my_aunts_husband/")</f>
        <v/>
      </c>
      <c r="G6487" t="inlineStr">
        <is>
          <t>2019-12-16 14:15:51</t>
        </is>
      </c>
      <c r="H6487" t="inlineStr"/>
    </row>
    <row r="6488">
      <c r="A6488" t="inlineStr">
        <is>
          <t>ebmpw9</t>
        </is>
      </c>
      <c r="B6488" t="inlineStr">
        <is>
          <t>Mom's first chemo</t>
        </is>
      </c>
      <c r="C6488" t="inlineStr">
        <is>
          <t>Hi! My mom has her first chemo tomorrow; I'm gonna be with her the whole time (they said about 6 hours) anything I can expect right away in terms of side effects or is there somehow I can help her feel better? Or what to expect?</t>
        </is>
      </c>
      <c r="D6488" t="n">
        <v>1</v>
      </c>
      <c r="E6488" t="n">
        <v>12</v>
      </c>
      <c r="F6488">
        <f>HYPERLINK("https://www.reddit.com/r/cancer/comments/ebmpw9/moms_first_chemo/")</f>
        <v/>
      </c>
      <c r="G6488" t="inlineStr">
        <is>
          <t>2019-12-16 14:58:00</t>
        </is>
      </c>
      <c r="H6488" t="inlineStr"/>
    </row>
    <row r="6489">
      <c r="A6489" t="inlineStr">
        <is>
          <t>ebmwaq</t>
        </is>
      </c>
      <c r="B6489" t="inlineStr">
        <is>
          <t>Stubborn dad with cancer</t>
        </is>
      </c>
      <c r="C6489" t="inlineStr">
        <is>
          <t>I guess I am here to vent and possibly ask for some advice. My dad has type 2 diabetes and has been living with chronic lymphocytic leukemia for a couple of years now. My mother is concerned about his health as he doesn't check his sugar, he doesn't want to call or go to his doctor, yet complains of being tired all the time. Tonight my parents are arguing about this because they are concerned he may have to undergo chemo and will not he able to work. I overheard him saying it is getting worse and that he is bleeding from different orifices like his nose. He has been noticeably less involves with me and my mother and tends to spend his time at work, sleeping, or on his laptop while watching television. He is also very argumentative and snippy. I just don't know what to do. I'm sure he is probably acting this way because he is scared, in pain, and avoiding the inevitability of his diagnosis, but it is extremely taxing on both me and my mom. Any kind words or advice would be greatly appreciated.</t>
        </is>
      </c>
      <c r="D6489" t="n">
        <v>1</v>
      </c>
      <c r="E6489" t="n">
        <v>4</v>
      </c>
      <c r="F6489">
        <f>HYPERLINK("https://www.reddit.com/r/cancer/comments/ebmwaq/stubborn_dad_with_cancer/")</f>
        <v/>
      </c>
      <c r="G6489" t="inlineStr">
        <is>
          <t>2019-12-16 15:11:01</t>
        </is>
      </c>
      <c r="H6489" t="inlineStr"/>
    </row>
    <row r="6490">
      <c r="A6490" t="inlineStr">
        <is>
          <t>ebmxnv</t>
        </is>
      </c>
      <c r="B6490" t="inlineStr">
        <is>
          <t>Moderate Pipe and cigar smoking</t>
        </is>
      </c>
      <c r="C6490" t="inlineStr">
        <is>
          <t>I’m aware that cigarettes are terrible for you. But what about an occasional pipe or cigar? I’m talking about having a pipe or cigar once or twice a week, maybe less. And keep in mind that cigar and pipe smokers don’t smoke anywhere close to the amount cigarette smokers do.</t>
        </is>
      </c>
      <c r="D6490" t="n">
        <v>1</v>
      </c>
      <c r="E6490" t="n">
        <v>3</v>
      </c>
      <c r="F6490">
        <f>HYPERLINK("https://www.reddit.com/r/cancer/comments/ebmxnv/moderate_pipe_and_cigar_smoking/")</f>
        <v/>
      </c>
      <c r="G6490" t="inlineStr">
        <is>
          <t>2019-12-16 15:13:44</t>
        </is>
      </c>
      <c r="H6490" t="inlineStr"/>
    </row>
    <row r="6491">
      <c r="A6491" t="inlineStr">
        <is>
          <t>ebnd1i</t>
        </is>
      </c>
      <c r="B6491" t="inlineStr">
        <is>
          <t>I’m sending you all warm thoughts when I meditate in the morning.</t>
        </is>
      </c>
      <c r="C6491" t="inlineStr">
        <is>
          <t>My dad has stage IV pancreatic cancer, and today has been particularly tough. I feel like the universe has just forgotten about him and our family. And the I get a “fuckin figure it out” mentality from the government. My mom is a teacher and dad has a small general contracting home remodeling business and damn this just feels like I’m in the surf and getting battered every time I try and get a gulp of air. I can only imagine how my dad feels, or my mom. 
I just wanted to tell all of you that there is a stranger out there who is cheering you on from my little pocket of the world. In my room, in the morning, when I try to take a few breaths and figure out what is up and what is down. If you ever need a friend, I’ll be there.</t>
        </is>
      </c>
      <c r="D6491" t="n">
        <v>1</v>
      </c>
      <c r="E6491" t="n">
        <v>7</v>
      </c>
      <c r="F6491">
        <f>HYPERLINK("https://www.reddit.com/r/cancer/comments/ebnd1i/im_sending_you_all_warm_thoughts_when_i_meditate/")</f>
        <v/>
      </c>
      <c r="G6491" t="inlineStr">
        <is>
          <t>2019-12-16 15:46:11</t>
        </is>
      </c>
      <c r="H6491" t="inlineStr"/>
    </row>
    <row r="6492">
      <c r="A6492" t="inlineStr">
        <is>
          <t>ebqpc9</t>
        </is>
      </c>
      <c r="B6492" t="inlineStr">
        <is>
          <t>Legal Advice</t>
        </is>
      </c>
      <c r="C6492" t="inlineStr">
        <is>
          <t>My dad was diagnosed with stage IV rectal cancer complete with nine inch tumor in his liver and tumors in his rectum and lymph nodes. He is not doing well at all, is experiencing issues with bowel incontinence, and hasn’t even started the aggressive chemo yet (currently just chemo radiation working on the rectal tumor). 
He sent his ex wife (my mother) a letter explaining his situation and that he will need to quit work and forgo most alimony (though he will pay proportionally to what he works if he works). She just said she still needs $500 (of the normal $1,000) this month that he absolutely can not pay, and he can not afford the $3,000 to hire a lawyer to take this to court (not that SC would do anything about the alimony until he’s physically not with us anymore - not to be morbid, just terribly frustrated and upset).  Has anybody experienced something like this that could offer any advice about who to turn to that could help with this?</t>
        </is>
      </c>
      <c r="D6492" t="n">
        <v>1</v>
      </c>
      <c r="E6492" t="n">
        <v>4</v>
      </c>
      <c r="F6492">
        <f>HYPERLINK("https://www.reddit.com/r/cancer/comments/ebqpc9/legal_advice/")</f>
        <v/>
      </c>
      <c r="G6492" t="inlineStr">
        <is>
          <t>2019-12-16 20:14:17</t>
        </is>
      </c>
      <c r="H6492" t="inlineStr"/>
    </row>
    <row r="6493">
      <c r="A6493" t="inlineStr">
        <is>
          <t>ebr4wn</t>
        </is>
      </c>
      <c r="B6493" t="inlineStr">
        <is>
          <t>Is there a way to find out how many of this subs members have passed away?</t>
        </is>
      </c>
      <c r="C6493" t="inlineStr">
        <is>
          <t>I feel like most of the 29k members are pushing daisies or on their way out the door.</t>
        </is>
      </c>
      <c r="D6493" t="n">
        <v>1</v>
      </c>
      <c r="E6493" t="n">
        <v>9</v>
      </c>
      <c r="F6493">
        <f>HYPERLINK("https://www.reddit.com/r/cancer/comments/ebr4wn/is_there_a_way_to_find_out_how_many_of_this_subs/")</f>
        <v/>
      </c>
      <c r="G6493" t="inlineStr">
        <is>
          <t>2019-12-16 20:53:19</t>
        </is>
      </c>
      <c r="H6493" t="inlineStr"/>
    </row>
    <row r="6494">
      <c r="A6494" t="inlineStr">
        <is>
          <t>ebrq33</t>
        </is>
      </c>
      <c r="B6494" t="inlineStr">
        <is>
          <t>Just discovered chemo treatment will make me infertile and I’m struggling.</t>
        </is>
      </c>
      <c r="C6494" t="inlineStr">
        <is>
          <t>I am a 17 year old male who has AML Leukemia. I am currently in remission and entering the hospital tomorrow for a transplant. My long term prognosis is very good and I’m blessed to have that. 
However, I just learned today that the treatment will most likely make me unable to ever have kids. That’s something that I wasn’t even ready to think about at 17. What frustrates me the most is that if the doctors had told us sooner, it is possible my sperm could have been saved (I say possible because I had to already go through 2 rounds of chemo, my diagnosis happened so fast there really was no way to save sperm beforehand. How I understand it is that that chemo had a small chance of infertility and this chemo has a much more likely chance.)
I of course am ready for the transplant and to get on with life, but this has been a challenge to think about how I will never get the chance to have kids. Of course adoption is amazing, and that’s always an option but I’m sad that biological children of mine will most likely be out of the question.
Any thoughts/ advice would be appreciated.</t>
        </is>
      </c>
      <c r="D6494" t="n">
        <v>1</v>
      </c>
      <c r="E6494" t="n">
        <v>23</v>
      </c>
      <c r="F6494">
        <f>HYPERLINK("https://www.reddit.com/r/cancer/comments/ebrq33/just_discovered_chemo_treatment_will_make_me/")</f>
        <v/>
      </c>
      <c r="G6494" t="inlineStr">
        <is>
          <t>2019-12-16 21:49:27</t>
        </is>
      </c>
      <c r="H6494" t="inlineStr"/>
    </row>
    <row r="6495">
      <c r="A6495" t="inlineStr">
        <is>
          <t>ebsao4</t>
        </is>
      </c>
      <c r="B6495" t="inlineStr">
        <is>
          <t>What are the ramifications of skipping 1 weekly paclitaxel?</t>
        </is>
      </c>
      <c r="C6495" t="inlineStr">
        <is>
          <t>My treatment falls on my 30th Christmas eve birthday. I would rather get drunk. Is this the difference between it working and not?</t>
        </is>
      </c>
      <c r="D6495" t="n">
        <v>1</v>
      </c>
      <c r="E6495" t="n">
        <v>11</v>
      </c>
      <c r="F6495">
        <f>HYPERLINK("https://www.reddit.com/r/cancer/comments/ebsao4/what_are_the_ramifications_of_skipping_1_weekly/")</f>
        <v/>
      </c>
      <c r="G6495" t="inlineStr">
        <is>
          <t>2019-12-16 22:48:10</t>
        </is>
      </c>
      <c r="H6495" t="inlineStr"/>
    </row>
    <row r="6496">
      <c r="A6496" t="inlineStr">
        <is>
          <t>ebuetm</t>
        </is>
      </c>
      <c r="B6496" t="inlineStr">
        <is>
          <t>Endometrial cancer stage 4A? Need advice please</t>
        </is>
      </c>
      <c r="C6496" t="inlineStr">
        <is>
          <t>My grandmother started having vaginal bleeding 4 months ago, and since I'm living in a poor country with a very poor health care system, only now we got the CT scan result. The biopsy 2 months ago confirmed that it is an invasive malignant tumor and the CT scan result says that there's a 6.7cm x 6.5cm lesion that is also over the bladder. She doesn't really understand these results but she thinks it can get treated with chemo and radiotherapy, but I am not so sure after some browsing. She's 70. She is meeting with an oncologist next week and I don't know what they're going to do or say to her.
She's the one who raised me, she's who I consider my mother, I'm 19 and I just got off highschool, I do nothing but study all day to join the military. I wish she could live at least two more years so she would be able to see me succeed. But I'm very scared, I dont think this is curable if I'm making the right assumptions, she is the only person I can trust on this world. Even though she's the one going through so much suffering that is only going to get worse from now on I'm the one who's falling apart while she remains calm and positive. 
And be damned this country and its healthcare system, we only did the CT scan last week even though we've been looking and waiting for appointments exams and results for months, maybe all this waiting is what made the tumor reach the bladder. But it shouldn't have happened to her on the first place. Why does this sick disease even exist, and targets people who have been good persons during their entire life, without hurting anyone else.
I feel better just from writing this out, I'll try to sleep then read and reply the messages when I wake up, if there's any.</t>
        </is>
      </c>
      <c r="D6496" t="n">
        <v>1</v>
      </c>
      <c r="E6496" t="n">
        <v>0</v>
      </c>
      <c r="F6496">
        <f>HYPERLINK("https://www.reddit.com/r/cancer/comments/ebuetm/endometrial_cancer_stage_4a_need_advice_please/")</f>
        <v/>
      </c>
      <c r="G6496" t="inlineStr">
        <is>
          <t>2019-12-17 02:58:32</t>
        </is>
      </c>
      <c r="H6496" t="inlineStr"/>
    </row>
    <row r="6497">
      <c r="A6497" t="inlineStr">
        <is>
          <t>ebvmc5</t>
        </is>
      </c>
      <c r="B6497" t="inlineStr">
        <is>
          <t>I hate the entire journey!!!!!! Of having cancer</t>
        </is>
      </c>
      <c r="C6497" t="inlineStr">
        <is>
          <t>Get diagnosed with breast cancer 2 weeks ago.... OK so I go through the motions, physical therapy teaching, preop testing, genetic testing.
Now I am waiting on the fucking test to see if it's genetic and it's taking forever!!!
Not only that I gaurantee once the results are found the surgery scheduling will be yet another a week.... I swear it's like the hospitals just want to drag their knuckles when curing candy
Also the insurance company and hospital can't be upfront about the cost..... Oh here is the bill 4 weeks after your procedure its gonna cost you 8 grand.....
Yeah... I want to live paying that off!!!! Woooo
Hurry the fuck up already!!! Knock me out and cut me up!!!!</t>
        </is>
      </c>
      <c r="D6497" t="n">
        <v>1</v>
      </c>
      <c r="E6497" t="n">
        <v>16</v>
      </c>
      <c r="F6497">
        <f>HYPERLINK("https://www.reddit.com/r/cancer/comments/ebvmc5/i_hate_the_entire_journey_of_having_cancer/")</f>
        <v/>
      </c>
      <c r="G6497" t="inlineStr">
        <is>
          <t>2019-12-17 05:11:19</t>
        </is>
      </c>
      <c r="H6497" t="inlineStr"/>
    </row>
    <row r="6498">
      <c r="A6498" t="inlineStr">
        <is>
          <t>ebwhpv</t>
        </is>
      </c>
      <c r="B6498" t="inlineStr">
        <is>
          <t>Hepatocellular Carcinoma study</t>
        </is>
      </c>
      <c r="C6498" t="inlineStr">
        <is>
          <t>Hi, if you feel this doesn’t belong here please remove it. For some moderators it falls under the no soliciting rule and for others it doesn’t.
My name is Juan Oriyes and I work for Global Perspectives, where we engage patients to take part in scientific studies.
We are currently developing a study in the US to learn more about the experiences of people with Hepatocellular Carcinoma (HCC) and their caregivers. The study aims to understand what features of treatment are important to patients and what impacts on quality of life the condition has. 
The study consists of a 60 minute telephone interview with an incentive of $130.
There is no medical treatment being provided as part of this study. 
If you would be interested in participating or someone you know, please do not hesitate to contact me via reddit or email [juan@global-patients.com](mailto:juan@global-patients.com)
Thanks in advance!</t>
        </is>
      </c>
      <c r="D6498" t="n">
        <v>1</v>
      </c>
      <c r="E6498" t="n">
        <v>0</v>
      </c>
      <c r="F6498">
        <f>HYPERLINK("https://www.reddit.com/r/cancer/comments/ebwhpv/hepatocellular_carcinoma_study/")</f>
        <v/>
      </c>
      <c r="G6498" t="inlineStr">
        <is>
          <t>2019-12-17 06:30:50</t>
        </is>
      </c>
      <c r="H6498" t="inlineStr"/>
    </row>
    <row r="6499">
      <c r="A6499" t="inlineStr">
        <is>
          <t>ebx6ef</t>
        </is>
      </c>
      <c r="B6499" t="inlineStr">
        <is>
          <t>Do my symptoms sound like colon cancer? (Sorry)</t>
        </is>
      </c>
      <c r="C6499" t="inlineStr">
        <is>
          <t xml:space="preserve">
24/F/UK/122lbs/5”3
I’ve been having some GI issues for 3 months.
It starts with left back pain, just below my ribs, it comes and goes and sort of throbs. It really hurts when it plays up. Recently it sort of radiates to my abdomen and sometimes it feels tight and cramped up in my abdomen where the top of my colon is?
I lost 10lbs but I’ve put some weight back on. Taking pills to give me an appetite because I lost my appetite (docs said anxiety).
I’ve been getting constipated for a few days, then when I poop the poops are so long. They aren’t pencil thin but I did notice sometimes they’re a tiny bit thinner but still sausage shaped. The poop smells a bit different, vinegarish/not much of an odour and they’re very smooth and soft whereas I used to do a lot of harder ones.
I’m still getting pain and in September I did a poop with tiny bits of blood laced through. My dr said this was gastritis and stress as I had diarrhea the day before.
I had a FIT test and h.pylori test before this happened and it was clear. My urine has been tested. My blood had been tested. Liver and kidneys are fine and have had ultrasound.
I’m a bit concerned about colon cancer as I’ve seen stories of people who didn’t even have many symptoms but then got diagnosed after a colonoscopy but my doctors don’t deem colonoscopy necessary. My left and right side of abdomen tends to ache. As does my pelvis on mostly the left side and it’s quite sharp. I have an ovarian cyst but apparently not big enough to cause pain. The pain gets intense then can pass and really hurts if I eat when I haven’t pooped in days. My poops also have quite a bit of clear mucus on them.</t>
        </is>
      </c>
      <c r="D6499" t="n">
        <v>1</v>
      </c>
      <c r="E6499" t="n">
        <v>2</v>
      </c>
      <c r="F6499">
        <f>HYPERLINK("https://www.reddit.com/r/cancer/comments/ebx6ef/do_my_symptoms_sound_like_colon_cancer_sorry/")</f>
        <v/>
      </c>
      <c r="G6499" t="inlineStr">
        <is>
          <t>2019-12-17 07:25:50</t>
        </is>
      </c>
      <c r="H6499" t="inlineStr"/>
    </row>
    <row r="6500">
      <c r="A6500" t="inlineStr">
        <is>
          <t>ebxuy3</t>
        </is>
      </c>
      <c r="B6500" t="inlineStr">
        <is>
          <t>Recommendations for supplies to help with chemo side effects?</t>
        </is>
      </c>
      <c r="C6500" t="inlineStr">
        <is>
          <t>My mom has recently started chemo for stage 4 nsclc. She told me this morning that she is starting to experience the dreaded side effects. Mouth sores, nausea, fatigue, etc. 
If anyone can share ideas of what helped them out during chemo I would really appreciate it. Especially for mouth sores at that is what is her biggest complaint right now.</t>
        </is>
      </c>
      <c r="D6500" t="n">
        <v>1</v>
      </c>
      <c r="E6500" t="n">
        <v>6</v>
      </c>
      <c r="F6500">
        <f>HYPERLINK("https://www.reddit.com/r/cancer/comments/ebxuy3/recommendations_for_supplies_to_help_with_chemo/")</f>
        <v/>
      </c>
      <c r="G6500" t="inlineStr">
        <is>
          <t>2019-12-17 08:17:03</t>
        </is>
      </c>
      <c r="H6500" t="inlineStr"/>
    </row>
    <row r="6501">
      <c r="A6501" t="inlineStr">
        <is>
          <t>ebzbtc</t>
        </is>
      </c>
      <c r="B6501" t="inlineStr">
        <is>
          <t>My father was just diagnosed. Need info or starting points.</t>
        </is>
      </c>
      <c r="C6501" t="inlineStr">
        <is>
          <t>Hello, 
My father has been just diagnosed with stage 4 metastatic renal cell carcinoma. Is there anything that you wish people told you as you head into this heartbreaking process? Anything I should know?  
I am going through links in the sidebar but it's pretty overwhelming. I don't know half of these terms, or where to even begin. Any help would be great.</t>
        </is>
      </c>
      <c r="D6501" t="n">
        <v>1</v>
      </c>
      <c r="E6501" t="n">
        <v>8</v>
      </c>
      <c r="F6501">
        <f>HYPERLINK("https://www.reddit.com/r/cancer/comments/ebzbtc/my_father_was_just_diagnosed_need_info_or/")</f>
        <v/>
      </c>
      <c r="G6501" t="inlineStr">
        <is>
          <t>2019-12-17 10:03:43</t>
        </is>
      </c>
      <c r="H6501" t="inlineStr"/>
    </row>
    <row r="6502">
      <c r="A6502" t="inlineStr">
        <is>
          <t>ec01yj</t>
        </is>
      </c>
      <c r="B6502" t="inlineStr">
        <is>
          <t>YES!!!!!!!!! I Got good news!!</t>
        </is>
      </c>
      <c r="C6502" t="inlineStr">
        <is>
          <t>Wow what a great day!!!
I am officially in cancer remission!!!!!!!
Over 21 days I in the hospital this year!
2 ER visits
1 surgery for colon resection and ostomy creation
1 surgery for ostomy reversal , plus finding a hernia that needed to be fixed
24 weeks of chemo
1 severe case of CDiff
Hundreds of ostomy bag changes
A few ostomy bags leaking..... at work 🤢🤮
All worth it!!! To be in remission and have a chance to see my kids grow up.
Never give up!!! Keep fighting!!!
Thanks for all the support this year !</t>
        </is>
      </c>
      <c r="D6502" t="n">
        <v>1</v>
      </c>
      <c r="E6502" t="n">
        <v>48</v>
      </c>
      <c r="F6502">
        <f>HYPERLINK("https://www.reddit.com/r/cancer/comments/ec01yj/yes_i_got_good_news/")</f>
        <v/>
      </c>
      <c r="G6502" t="inlineStr">
        <is>
          <t>2019-12-17 10:52:54</t>
        </is>
      </c>
      <c r="H6502" t="inlineStr"/>
    </row>
    <row r="6503">
      <c r="A6503" t="inlineStr">
        <is>
          <t>ec09c8</t>
        </is>
      </c>
      <c r="B6503" t="inlineStr">
        <is>
          <t>Is there likely to be cancer treatment offered post stroke recovery?</t>
        </is>
      </c>
      <c r="C6503" t="inlineStr">
        <is>
          <t>My dad is recovering well from a stroke that he suffered, which was caused by his cancer. 
 He was on the way to hospital to start his chemo treatment for stage 4 lung cancer (nsclc) when it happened a couple of weeks ago. He’s now heading home and will continue his recovery there. He is getting very evasive answers from consultants when he asks about resuming chemo or some other treatment for his cancer. He is getting depressed as he suspects they are not going to treat him and it’s just pain management that he can expect now. I have asked the oncology team what now? And they have also been evasive- they said it all depends on his recovery from the stroke and all platinum based treatments are now ruled out, which I understand, but I’m assuming there must be other treatments out there with no platinum... Basically- is my dad right? Is he now impossible to treat? We are in the uk (Scotland)</t>
        </is>
      </c>
      <c r="D6503" t="n">
        <v>1</v>
      </c>
      <c r="E6503" t="n">
        <v>2</v>
      </c>
      <c r="F6503">
        <f>HYPERLINK("https://www.reddit.com/r/cancer/comments/ec09c8/is_there_likely_to_be_cancer_treatment_offered/")</f>
        <v/>
      </c>
      <c r="G6503" t="inlineStr">
        <is>
          <t>2019-12-17 11:07:08</t>
        </is>
      </c>
      <c r="H6503" t="inlineStr"/>
    </row>
    <row r="6504">
      <c r="A6504" t="inlineStr">
        <is>
          <t>ec0gm7</t>
        </is>
      </c>
      <c r="B6504" t="inlineStr">
        <is>
          <t>Chemotherapy and hair?</t>
        </is>
      </c>
      <c r="C6504" t="inlineStr">
        <is>
          <t>I had a port in Friday and I am getting my sxan results on Thursday before we start chemotherapy. I was told to expect hair loss and I have just accepted that it will probably happen.
So my question is... should I just wait to see if my hair starts falling out? Or should I just get a short hair cut for noe? Shave it off? I have longer hair so whatever happens will be pretty dramatic. I'm still exploring the possibility of a wig and all of that. But I guess my question is what everyone opted to do when it came to starting chemo when it came to their hair?</t>
        </is>
      </c>
      <c r="D6504" t="n">
        <v>1</v>
      </c>
      <c r="E6504" t="n">
        <v>16</v>
      </c>
      <c r="F6504">
        <f>HYPERLINK("https://www.reddit.com/r/cancer/comments/ec0gm7/chemotherapy_and_hair/")</f>
        <v/>
      </c>
      <c r="G6504" t="inlineStr">
        <is>
          <t>2019-12-17 11:21:12</t>
        </is>
      </c>
      <c r="H6504" t="inlineStr"/>
    </row>
    <row r="6505">
      <c r="A6505" t="inlineStr">
        <is>
          <t>ec0ifl</t>
        </is>
      </c>
      <c r="B6505" t="inlineStr">
        <is>
          <t>Vicious brain tumor: got diagnosed with cancer that will kill me</t>
        </is>
      </c>
      <c r="C6505" t="inlineStr">
        <is>
          <t>Hey guys,
I'm from Germany, sorry for the bad English. I'm here to tell my story.
I'm 23, always healthy, I am studying industrial engineering. Last April I have had an epileptic seizure. It came from nowhere. My girlfriend was on holiday in the USA, not coming back for a week. My family called the emergency and I was put in the hospital. Diagnosis: a tumor in my F-ing brain. After some time it got removed in an open operation. But not without complications, some swelling appeared and suffocated a vene, leading to big time pain. After a second surgery I was fine, but not without losing part of my eyesight... It didn't recover.
To be safe I've got proton therapy, I lost a lot of my hair but after 7 weeks I was healed! So everyone thought...
On Monday I got a control MRT, turns out the tumor spread in my head. There are more than 4 grape sized tumors. They can't be manually removed. No one knows what to do. I am so sad, but my family and my girlfriend are at my side.
I've left out a lot of details but for now this is enough text... I might be dead on a couple of months and am not sure how to handle the situation. Send help.
Greetings</t>
        </is>
      </c>
      <c r="D6505" t="n">
        <v>1</v>
      </c>
      <c r="E6505" t="n">
        <v>8</v>
      </c>
      <c r="F6505">
        <f>HYPERLINK("https://www.reddit.com/r/cancer/comments/ec0ifl/vicious_brain_tumor_got_diagnosed_with_cancer/")</f>
        <v/>
      </c>
      <c r="G6505" t="inlineStr">
        <is>
          <t>2019-12-17 11:24:28</t>
        </is>
      </c>
      <c r="H6505" t="inlineStr"/>
    </row>
    <row r="6506">
      <c r="A6506" t="inlineStr">
        <is>
          <t>ec0l1a</t>
        </is>
      </c>
      <c r="B6506" t="inlineStr">
        <is>
          <t>Chemo care package?</t>
        </is>
      </c>
      <c r="C6506" t="inlineStr">
        <is>
          <t>My Mother-in-law was recently diagnosed with stage 3 colon cancer and will start chemo on New years Eve. What can I put together for her to make her chemo appointments more comfortable? Blankets, books, etc? 
Thanks for any advice!</t>
        </is>
      </c>
      <c r="D6506" t="n">
        <v>1</v>
      </c>
      <c r="E6506" t="n">
        <v>3</v>
      </c>
      <c r="F6506">
        <f>HYPERLINK("https://www.reddit.com/r/cancer/comments/ec0l1a/chemo_care_package/")</f>
        <v/>
      </c>
      <c r="G6506" t="inlineStr">
        <is>
          <t>2019-12-17 11:29:23</t>
        </is>
      </c>
      <c r="H6506" t="inlineStr"/>
    </row>
    <row r="6507">
      <c r="A6507" t="inlineStr">
        <is>
          <t>ec0lw9</t>
        </is>
      </c>
      <c r="B6507" t="inlineStr">
        <is>
          <t>Anybody else thinks the statistics on Cancer are a little off?</t>
        </is>
      </c>
      <c r="C6507" t="inlineStr">
        <is>
          <t>My family has been battered with Cancer in the last 5 years. First my Dad. He was cured, then it came back and he died. I've battled Cancer and won (for now). We lost my stepdad to cancer a year after my Dad. Both in their late 40's. And now my partner's Mom likely has Cancer (doctor's words after scans).
It makes no sense. Every year for the past 5 years there has been Cancer in the family. That's not even counting the people outside of my family that I know of.
Either my family is having a bad spate of bad luck, or the numbers on Cancer statistics are making no sense. The numbers should be higher if this is "the norm" for most families.
I guess I'm a little shocked at the news today and can't quite make sense of things.</t>
        </is>
      </c>
      <c r="D6507" t="n">
        <v>1</v>
      </c>
      <c r="E6507" t="n">
        <v>5</v>
      </c>
      <c r="F6507">
        <f>HYPERLINK("https://www.reddit.com/r/cancer/comments/ec0lw9/anybody_else_thinks_the_statistics_on_cancer_are/")</f>
        <v/>
      </c>
      <c r="G6507" t="inlineStr">
        <is>
          <t>2019-12-17 11:31:07</t>
        </is>
      </c>
      <c r="H6507" t="inlineStr"/>
    </row>
    <row r="6508">
      <c r="A6508" t="inlineStr">
        <is>
          <t>ec15lx</t>
        </is>
      </c>
      <c r="B6508" t="inlineStr">
        <is>
          <t>Dietary Help?</t>
        </is>
      </c>
      <c r="C6508" t="inlineStr">
        <is>
          <t>Hello all, 
Last month my dad was diagnosed with stage 4 esophageal cancer. Due to the tumor in his esophagus he cannot physically eat and has a feeding tube attached. He puts protein drinks and other dietary beverages in to supplement for food. 
My question is, is what can he feed himself to help keep weight on and boost energy? He’s really struggling to keep up with activity because he feels so drained. Any suggestions would be much appreciated. Thank you.</t>
        </is>
      </c>
      <c r="D6508" t="n">
        <v>1</v>
      </c>
      <c r="E6508" t="n">
        <v>0</v>
      </c>
      <c r="F6508">
        <f>HYPERLINK("https://www.reddit.com/r/cancer/comments/ec15lx/dietary_help/")</f>
        <v/>
      </c>
      <c r="G6508" t="inlineStr">
        <is>
          <t>2019-12-17 12:09:22</t>
        </is>
      </c>
      <c r="H6508" t="inlineStr"/>
    </row>
    <row r="6509">
      <c r="A6509" t="inlineStr">
        <is>
          <t>ec2ck9</t>
        </is>
      </c>
      <c r="B6509" t="inlineStr">
        <is>
          <t>After Cancer</t>
        </is>
      </c>
      <c r="C6509" t="inlineStr">
        <is>
          <t>What did you find was the **biggest struggle after cancer** treatment was over and you were classified as a survivor or in remission?</t>
        </is>
      </c>
      <c r="D6509" t="n">
        <v>1</v>
      </c>
      <c r="E6509" t="n">
        <v>1</v>
      </c>
      <c r="F6509">
        <f>HYPERLINK("https://www.reddit.com/r/cancer/comments/ec2ck9/after_cancer/")</f>
        <v/>
      </c>
      <c r="G6509" t="inlineStr">
        <is>
          <t>2019-12-17 13:31:08</t>
        </is>
      </c>
      <c r="H6509" t="inlineStr"/>
    </row>
    <row r="6510">
      <c r="A6510" t="inlineStr">
        <is>
          <t>ec2n8j</t>
        </is>
      </c>
      <c r="B6510" t="inlineStr">
        <is>
          <t>My relative has breast cancer and I don't know what to do.</t>
        </is>
      </c>
      <c r="C6510" t="inlineStr">
        <is>
          <t>It's all happening so fast. She got diagnosed about a month ago and she's due to start chemotherapy before the end of the week. I'm 17 and I guess my mom wanted to protect me from it all, so at first she only told me the doctors had found a tumor and the relative had a surgery to get it removed. I thought it was over, like that. Now I feel so stupid and naive. Two days ago I found out she is due to start chemo. I'm terrified. She is one of the healthiest people I know; she eats well and does a lot of exercise. She's well into her forties but doesn't look a day over 30. Cancer is scary for everyone, but I guess it's one of those things you never expect to happen to anyone close to you, or at least to someone so healthy. In the last year two more relatives of mine had cancer too; but they are both much older and one is a heavy smoker. So I used to think I got it. But now my healthy, young relative has it and I don't know what to do. It's like my brain can't even comprehend it. I feel awful, because I know it's up to me to support her and I can't even begin to understand how SHE must feel. But I'm so scared. I want to be there for her, but I can't help thinking the most horrible things, while she always seems so positive about it. It also doesn't help that I know close to zilch about the whole thing; I don't even know what stage the cancer's at and I feel so awful, helpless and lost. 
I guess I wanted to get this off my chest, it's all I've been thinking about for he past two days. Thank you for taking the time to read.</t>
        </is>
      </c>
      <c r="D6510" t="n">
        <v>1</v>
      </c>
      <c r="E6510" t="n">
        <v>4</v>
      </c>
      <c r="F6510">
        <f>HYPERLINK("https://www.reddit.com/r/cancer/comments/ec2n8j/my_relative_has_breast_cancer_and_i_dont_know/")</f>
        <v/>
      </c>
      <c r="G6510" t="inlineStr">
        <is>
          <t>2019-12-17 13:51:53</t>
        </is>
      </c>
      <c r="H6510" t="inlineStr"/>
    </row>
    <row r="6511">
      <c r="A6511" t="inlineStr">
        <is>
          <t>ec3agt</t>
        </is>
      </c>
      <c r="B6511" t="inlineStr">
        <is>
          <t>(22M) Cancer survivor here with a question</t>
        </is>
      </c>
      <c r="C6511" t="inlineStr">
        <is>
          <t>Anyone else who has been through cancer, are there days where you just don't feel like doing anything? Not out of boredom of anything like that, but just out of a sense of not being happy with anything?
I was diagnosed with cancer at the end of Septermber 2018 and underwent chemotherapy (cisplatin, doxirubicin) and radiation until I had surgery in January 2019. Since then I've been getting progressively better and am cancer free. I started back to school last semester and ended up with decent grades.
Some days are great and I feel like my normal self. Other days are ok, but some days are really bad. My family is supposed to be having early Christmas with my dad's side of the family tonight, and I just don't feel like going. It could be tied to the fact that they hardly ever checked on me, came to visit, or even called throughout the whole ordeal last year. I just don't want to do it today, and wish I could stay home in bed.
This doesn't happen all the time, but I've noticed that when I'm feeling very emotional that I tend to have these kinds of days. Does anyone have advice on how to handle these feelings? Much thanks in advance.</t>
        </is>
      </c>
      <c r="D6511" t="n">
        <v>1</v>
      </c>
      <c r="E6511" t="n">
        <v>6</v>
      </c>
      <c r="F6511">
        <f>HYPERLINK("https://www.reddit.com/r/cancer/comments/ec3agt/22m_cancer_survivor_here_with_a_question/")</f>
        <v/>
      </c>
      <c r="G6511" t="inlineStr">
        <is>
          <t>2019-12-17 14:38:18</t>
        </is>
      </c>
      <c r="H6511" t="inlineStr"/>
    </row>
    <row r="6512">
      <c r="A6512" t="inlineStr">
        <is>
          <t>ec5ws7</t>
        </is>
      </c>
      <c r="B6512" t="inlineStr">
        <is>
          <t>Any suggestions?</t>
        </is>
      </c>
      <c r="C6512" t="inlineStr">
        <is>
          <t>My best friend is losing both of his grandparents to cancer. His papa has at least 4 months left, They told him that the new treatment will prolong his life till around 4 months. His papa is in good spirits but his wife and my best friend are scared. My best friends grandma is also battling cancer and it’s getting worse to. Now his papa is his step papa but my best friend loves him and calls him the key member of the a family. His papa is adorable and so kind and he’s keeping his head up and I have no idea how I would be a mess. My question is, I wanna buy his papa something I don’t talk to him or know him well at all. I’ve lost a lot of people to cancer and myself am at risk for colon and skin because of my disease. Once his grandparents die he’s gonna be out of a home to, My best friend has schizophrenia but he has it under control. He has a great job and is under control...I do worry what’s gonna happen after they pass. I wanna buy the papa something nice like just encouragement despite knowing how I ya all gonna end.</t>
        </is>
      </c>
      <c r="D6512" t="n">
        <v>1</v>
      </c>
      <c r="E6512" t="n">
        <v>0</v>
      </c>
      <c r="F6512">
        <f>HYPERLINK("https://www.reddit.com/r/cancer/comments/ec5ws7/any_suggestions/")</f>
        <v/>
      </c>
      <c r="G6512" t="inlineStr">
        <is>
          <t>2019-12-17 17:58:37</t>
        </is>
      </c>
      <c r="H6512" t="inlineStr"/>
    </row>
    <row r="6513">
      <c r="A6513" t="inlineStr">
        <is>
          <t>ec6vym</t>
        </is>
      </c>
      <c r="B6513" t="inlineStr">
        <is>
          <t>I [26F] was diagnosed with Lynch Syndrome (MSH2) last summer.</t>
        </is>
      </c>
      <c r="C6513" t="inlineStr">
        <is>
          <t>The Lynch Syndrome gene, which I can trace back 3 generations, has always come down the female line. All my female relatives that have had hysterectomies, have done so because it was “advised” - even at my Lynch Syndrome diagnosis I was told it’s “best to have your children and then have a hysterectomy”... I basically got advised to have it done by my late 30’s. 
My family don’t have a dormant Lynch Syndrome, all members who have it, have had cancer at least once. I don’t know then, if I’m being cavalier or reckless you saying “until I have to, I’m not having any surgeries” - I don’t feel I’m being stupid having this view, I’m very much aware of the signs and doing what I can to stay healthy. I’m just so sick of dealing with cancer and the effects it has in all of life, I almost hate the idea of doing things when I haven’t actually got anything to deal with myself - and what if I had a hysterectomy when I might never have that type of cancer... why put myself through it...</t>
        </is>
      </c>
      <c r="D6513" t="n">
        <v>1</v>
      </c>
      <c r="E6513" t="n">
        <v>6</v>
      </c>
      <c r="F6513">
        <f>HYPERLINK("https://www.reddit.com/r/cancer/comments/ec6vym/i_26f_was_diagnosed_with_lynch_syndrome_msh2_last/")</f>
        <v/>
      </c>
      <c r="G6513" t="inlineStr">
        <is>
          <t>2019-12-17 19:18:42</t>
        </is>
      </c>
      <c r="H6513" t="inlineStr"/>
    </row>
    <row r="6514">
      <c r="A6514" t="inlineStr">
        <is>
          <t>ec73g3</t>
        </is>
      </c>
      <c r="B6514" t="inlineStr">
        <is>
          <t>Mom stage 4 gallbladder cancer metastasis to liver and possible abdominal wall</t>
        </is>
      </c>
      <c r="C6514" t="inlineStr">
        <is>
          <t>Currently in the hospital. Did two standard treatments over the past 7 months and the chemos have stopped working. Did alot of research but wanted to know if anyone has had any success with this type of cancer and treatments for it</t>
        </is>
      </c>
      <c r="D6514" t="n">
        <v>1</v>
      </c>
      <c r="E6514" t="n">
        <v>2</v>
      </c>
      <c r="F6514">
        <f>HYPERLINK("https://www.reddit.com/r/cancer/comments/ec73g3/mom_stage_4_gallbladder_cancer_metastasis_to/")</f>
        <v/>
      </c>
      <c r="G6514" t="inlineStr">
        <is>
          <t>2019-12-17 19:36:29</t>
        </is>
      </c>
      <c r="H6514" t="inlineStr"/>
    </row>
    <row r="6515">
      <c r="A6515" t="inlineStr">
        <is>
          <t>ec8gwn</t>
        </is>
      </c>
      <c r="B6515" t="inlineStr">
        <is>
          <t>Loosing my Dad a little more each day</t>
        </is>
      </c>
      <c r="C6515" t="inlineStr">
        <is>
          <t>We started hospice for my dad tonight. He was diagnosed with stage 4 pancreatic cancer that has spread to his liver and abdominal cavity. He's only 67 and my heart is breaking a little more each day. He has also been given a dementia diagnosis that he denies but is more obvious everyday. This has made his outbursts more frequent and worse. I am used to them as I have dealt with it most of my life but now it's nearly constant and I am not handling it well. All I want to do is sit with my Daddy and soak up what little time I have left, but I find myself hiding in my room. My emotional state is not good, my husband was deployed right as he started getting sick and I've been alone dealing with this. How do you deal with this? How can I do better? I've dealt with the fact I'm going to loose him much, much sooner than I want, but how do I cope while it's happening?</t>
        </is>
      </c>
      <c r="D6515" t="n">
        <v>1</v>
      </c>
      <c r="E6515" t="n">
        <v>1</v>
      </c>
      <c r="F6515">
        <f>HYPERLINK("https://www.reddit.com/r/cancer/comments/ec8gwn/loosing_my_dad_a_little_more_each_day/")</f>
        <v/>
      </c>
      <c r="G6515" t="inlineStr">
        <is>
          <t>2019-12-17 21:45:38</t>
        </is>
      </c>
      <c r="H6515" t="inlineStr"/>
    </row>
    <row r="6516">
      <c r="A6516" t="inlineStr">
        <is>
          <t>ec9eys</t>
        </is>
      </c>
      <c r="B6516" t="inlineStr">
        <is>
          <t>Is Ketogenic Diet the Best Diet for Cancer Patients?</t>
        </is>
      </c>
      <c r="C6516" t="inlineStr">
        <is>
          <t>&amp;amp;#x200B;
https://preview.redd.it/f2vzmpzuec541.jpg?width=1000&amp;amp;format=pjpg&amp;amp;auto=webp&amp;amp;s=7eac52331b179f484980f7ea4840c05390ff0dcc
Cancer is a dreaded disease that is a leading cause of mortality worldwide. Cancer also negatively affects the quality of life of patients. Moreover, cancer therapy can produce several side effects, which can further affect the patient’s day-to-day life. In such a scenario, adequate nutrition is a crucial element for cancer patients. A proper diet can boost the patient’s overall health, thereby improving the patient’s quality of life. Evidence suggests that a ketogenic diet could be beneficial for cancer patients and assist with cancer therapy. This article will discuss how a [ketogenic diet could be the best diet for cancer patients](https://www.dr-adem.com/ketogenic-diet-best-diet-for-cancer-patients/).</t>
        </is>
      </c>
      <c r="D6516" t="n">
        <v>1</v>
      </c>
      <c r="E6516" t="n">
        <v>0</v>
      </c>
      <c r="F6516">
        <f>HYPERLINK("https://www.reddit.com/r/cancer/comments/ec9eys/is_ketogenic_diet_the_best_diet_for_cancer/")</f>
        <v/>
      </c>
      <c r="G6516" t="inlineStr">
        <is>
          <t>2019-12-17 23:27:58</t>
        </is>
      </c>
      <c r="H6516" t="inlineStr"/>
    </row>
    <row r="6517">
      <c r="A6517" t="inlineStr">
        <is>
          <t>ec9fea</t>
        </is>
      </c>
      <c r="B6517" t="inlineStr">
        <is>
          <t>Potential Cancer; Wait to biopsy?</t>
        </is>
      </c>
      <c r="C6517" t="inlineStr">
        <is>
          <t>My mom just had a routine screening to see if her sarcoidosis had returned.  They identified a partial solid nodule that is potentially lung cancer (adenocarcinoma).  Doc says its basically either lung cancer or a return of the sarcoidosis.
Doc wants to wait 3-6 months to do a biopsy.  Apparently the nodule is very small now, they want to see if it gets bigger.  Will do the biopsy later whether it grows or not.
Is it normal to wait this amount of time?  We know it's best to catch cancer quickly before it spreads...so I don't get why they're waiting months.  is there a good reason to wait?  Should we accept the doc's recommendation or demand a biopsy now/get a second opinion?</t>
        </is>
      </c>
      <c r="D6517" t="n">
        <v>1</v>
      </c>
      <c r="E6517" t="n">
        <v>6</v>
      </c>
      <c r="F6517">
        <f>HYPERLINK("https://www.reddit.com/r/cancer/comments/ec9fea/potential_cancer_wait_to_biopsy/")</f>
        <v/>
      </c>
      <c r="G6517" t="inlineStr">
        <is>
          <t>2019-12-17 23:29:29</t>
        </is>
      </c>
      <c r="H6517" t="inlineStr"/>
    </row>
    <row r="6518">
      <c r="A6518" t="inlineStr">
        <is>
          <t>ecbct8</t>
        </is>
      </c>
      <c r="B6518" t="inlineStr">
        <is>
          <t>This is it</t>
        </is>
      </c>
      <c r="C6518" t="inlineStr">
        <is>
          <t>This is it. In 1-2 weeks, esophageal cancer will take my Daddy. 
He was diagnosed in January 2019 and was told he had about 6 months to live. With palliative treatment we have made it to 11 months. He is now in a hospice and my mum and I are with him all day every day. 
He’s very confused, can’t walk, talks about random things that doesn’t make sense, he’s not eating, and he’s very tired. He told us today that he’s getting tired of waiting to die. 
I’m such a Daddy’s girl. I get my love of reading and music, my creativity, and my kindness from him. 
He’s never going to walk me down the aisle like he’s always talked about. He’s never going to be the grandfather he always wanted to be.
Ever since I was a child I have had a huge fear of losing my parents. I would get night terrors and bad anxiety about them dying. Now it’s coming true. I don’t know what to do without him, all I can do is carry on with him in my heart. I promised him that I would. I promised him that I’d look after my mum. I’m going to make him proud❤️</t>
        </is>
      </c>
      <c r="D6518" t="n">
        <v>1</v>
      </c>
      <c r="E6518" t="n">
        <v>6</v>
      </c>
      <c r="F6518">
        <f>HYPERLINK("https://www.reddit.com/r/cancer/comments/ecbct8/this_is_it/")</f>
        <v/>
      </c>
      <c r="G6518" t="inlineStr">
        <is>
          <t>2019-12-18 03:24:03</t>
        </is>
      </c>
      <c r="H6518" t="inlineStr"/>
    </row>
    <row r="6519">
      <c r="A6519" t="inlineStr">
        <is>
          <t>ecbixx</t>
        </is>
      </c>
      <c r="B6519" t="inlineStr">
        <is>
          <t>I had no clue how isolating cancer could be, and I'm not even the one who is sick</t>
        </is>
      </c>
      <c r="C6519" t="inlineStr">
        <is>
          <t>My dad has an aggressive form of lymphoma (his doctor is optimistic about him beating this, however)
He and my mom both worked at the same place as me, but he retired because of his cancer. So everyone I work with knows my dad, but my coworkers have been so avoidant towards us since his diagnosis months ago.
 It couldn't have been more blatantly obvious than it was at our holiday party. We have one friend here who sat with us in a room full of tables. Everyone else sat at different tables...even the people who used to sit with me at these events darted to other areas to avoid me. As the party was about to start, two people came in and scanned the room for somewhere to sit before resorting to the only seats left with us. 
Some of my dad's friends have been avoidant towards him and my former best friend (who used to be close to my dad)has barely talked to us in months. 
No one in my immediate family has had cancer before this. I had no idea how lonely it could be.</t>
        </is>
      </c>
      <c r="D6519" t="n">
        <v>1</v>
      </c>
      <c r="E6519" t="n">
        <v>30</v>
      </c>
      <c r="F6519">
        <f>HYPERLINK("https://www.reddit.com/r/cancer/comments/ecbixx/i_had_no_clue_how_isolating_cancer_could_be_and/")</f>
        <v/>
      </c>
      <c r="G6519" t="inlineStr">
        <is>
          <t>2019-12-18 03:42:31</t>
        </is>
      </c>
      <c r="H6519" t="inlineStr"/>
    </row>
    <row r="6520">
      <c r="A6520" t="inlineStr">
        <is>
          <t>ecedmd</t>
        </is>
      </c>
      <c r="B6520" t="inlineStr">
        <is>
          <t>Chemotherapy for HL, but lymph nodes are still swollen?</t>
        </is>
      </c>
      <c r="C6520" t="inlineStr">
        <is>
          <t>My wife is going through chemo (A+AVD) for stage 4 classic Hodgkin's lymphoma. She just completed her 5th of 6 cycles (every two weeks) which began in August. 
However she's been noticing over the past two weeks or so that her neck lymph nodes have become swollen and painful again. It started with one that really never shrunk back to a normal size, and now she up to 3 that she can feel. She spoke to her cancer team already this week but the hematologist wants to complete this round of chemotherapy before they do another PET scan to determine what's causing the swelling as it may not be cancer. If she is not in remission after that scan (which would be the middle of January) then they will discuss more treatment options.
I'm wondering if this is a typical response from a medical team? Or should the hematologist be treating this more proactively and doing a scan now to determine the next steps?
Thanks,
I'm just obviously very concerned.</t>
        </is>
      </c>
      <c r="D6520" t="n">
        <v>1</v>
      </c>
      <c r="E6520" t="n">
        <v>2</v>
      </c>
      <c r="F6520">
        <f>HYPERLINK("https://www.reddit.com/r/cancer/comments/ecedmd/chemotherapy_for_hl_but_lymph_nodes_are_still/")</f>
        <v/>
      </c>
      <c r="G6520" t="inlineStr">
        <is>
          <t>2019-12-18 07:53:11</t>
        </is>
      </c>
      <c r="H6520" t="inlineStr"/>
    </row>
    <row r="6521">
      <c r="A6521" t="inlineStr">
        <is>
          <t>ecetxz</t>
        </is>
      </c>
      <c r="B6521" t="inlineStr">
        <is>
          <t>Immunotherapy showing PR!</t>
        </is>
      </c>
      <c r="C6521" t="inlineStr">
        <is>
          <t>Hello all.
I've posted here before regarding my mother's condition. Long story short, they believed my mother had Hepatocellular Carcinoma due to a tumor in her liver but later found out to be from her Kidney and was diagnosed as Renal Cell Carcinoma. The cancer had spread to her lungs.
She started on lenvatinib but switched to immunotherapy (ipilumamab+nivolumab). It wasnt working for her at first but she finally started showing some signs after about 4 months. After about 2-3 months it still showed signs of progress but the scan today finally showed partial reduction of many of her cancer cells. Doctor was very glad he started to continue the immunotherapy even after some signs of progression.
I know it is still early but this was a great news and wanted give hopes to people that are still receiving similar treatment.</t>
        </is>
      </c>
      <c r="D6521" t="n">
        <v>1</v>
      </c>
      <c r="E6521" t="n">
        <v>6</v>
      </c>
      <c r="F6521">
        <f>HYPERLINK("https://www.reddit.com/r/cancer/comments/ecetxz/immunotherapy_showing_pr/")</f>
        <v/>
      </c>
      <c r="G6521" t="inlineStr">
        <is>
          <t>2019-12-18 08:27:48</t>
        </is>
      </c>
      <c r="H6521" t="inlineStr"/>
    </row>
    <row r="6522">
      <c r="A6522" t="inlineStr">
        <is>
          <t>ecg64k</t>
        </is>
      </c>
      <c r="B6522" t="inlineStr">
        <is>
          <t>Is my dad lying to me so I don't get worried?</t>
        </is>
      </c>
      <c r="C6522" t="inlineStr">
        <is>
          <t>Quick back story here:
My dad had an aggressive form of prostate cancer a year and a half ago. He had surgery and it was removed, cancer free.
Then he had a "widow Maker" heart attack 5 months after surgery.
Cut to present time, he went to the hospital for routine blood work and they said his potassium was super high and he was at risk for another cardiovascular attack. They did a bunch of blood tests amongst other things and sent him home. 
A doctor called my mother and said he needs to schedule a bone scan and then from there radiation therapy as they believe the cancer is back. ( My dad told me this is all preventative measures and that he doesn't have cancer again.)
I don't believe him and I'm just curious if anyone knows if they actually do radiation therapy as just a precaution? I feel like that is a step they only take if he actually has cancer again 100%.</t>
        </is>
      </c>
      <c r="D6522" t="n">
        <v>1</v>
      </c>
      <c r="E6522" t="n">
        <v>8</v>
      </c>
      <c r="F6522">
        <f>HYPERLINK("https://www.reddit.com/r/cancer/comments/ecg64k/is_my_dad_lying_to_me_so_i_dont_get_worried/")</f>
        <v/>
      </c>
      <c r="G6522" t="inlineStr">
        <is>
          <t>2019-12-18 10:06:58</t>
        </is>
      </c>
      <c r="H6522" t="inlineStr"/>
    </row>
    <row r="6523">
      <c r="A6523" t="inlineStr">
        <is>
          <t>echf4u</t>
        </is>
      </c>
      <c r="B6523" t="inlineStr">
        <is>
          <t>My dad’s unknown cancer</t>
        </is>
      </c>
      <c r="C6523" t="inlineStr">
        <is>
          <t>I am probably going through the most stressful time of my life and I’m very good at hiding it. My dad (63 yrs old) was recently diagnosed with liver cancer currently under a professor who thinks it’s peripheral cholangiocarcinoma. The histology isn’t exactly that and another doctor thought it was metastatic colon ca. It’s a weird one.
To paint a picture, my dad and I are both doctors so we have a lot of knowledge but oncology is very niche. Dad has an 8cm liver mass with a single positive lymph node and microscopic peritoneal deposits but nothing else in any other part of the body. We are praying for a cure, since we believe it isn’t extensive. But unfortunately we have to watch and wait and hope. 
I find day to day things extremely difficult. I dream of sitting at home with my father but I get worried about my training/work. It’s the only thing that distracts me but I am guilty. My dad is my best friend and I would love him to see me get married and have children. At work, I have to put on a front and pretend that I am happy when I am really not. I don’t want to be a burden on my friends. It’s all so difficult and I would be so happy if the chemotherapy all works. 
My coping mechanisms are lame. How do other people cope? It’s strange to be on the patient relative side as opposed to the doctor side....</t>
        </is>
      </c>
      <c r="D6523" t="n">
        <v>1</v>
      </c>
      <c r="E6523" t="n">
        <v>9</v>
      </c>
      <c r="F6523">
        <f>HYPERLINK("https://www.reddit.com/r/cancer/comments/echf4u/my_dads_unknown_cancer/")</f>
        <v/>
      </c>
      <c r="G6523" t="inlineStr">
        <is>
          <t>2019-12-18 11:39:20</t>
        </is>
      </c>
      <c r="H6523" t="inlineStr"/>
    </row>
    <row r="6524">
      <c r="A6524" t="inlineStr">
        <is>
          <t>echsdn</t>
        </is>
      </c>
      <c r="B6524" t="inlineStr">
        <is>
          <t>Whats most effective for energy to those undergoing chemo treatment?</t>
        </is>
      </c>
      <c r="C6524" t="inlineStr">
        <is>
          <t>My mom is so fatigued from the treatments she can barely move. She will stand and walk for about a minute then begs to be taken back to the couch. What has anyone here done that very much helped energy levels? Cannabis sativa? ADHD meds? Or anything else that worked.</t>
        </is>
      </c>
      <c r="D6524" t="n">
        <v>1</v>
      </c>
      <c r="E6524" t="n">
        <v>7</v>
      </c>
      <c r="F6524">
        <f>HYPERLINK("https://www.reddit.com/r/cancer/comments/echsdn/whats_most_effective_for_energy_to_those/")</f>
        <v/>
      </c>
      <c r="G6524" t="inlineStr">
        <is>
          <t>2019-12-18 12:05:17</t>
        </is>
      </c>
      <c r="H6524" t="inlineStr"/>
    </row>
    <row r="6525">
      <c r="A6525" t="inlineStr">
        <is>
          <t>echtjv</t>
        </is>
      </c>
      <c r="B6525" t="inlineStr">
        <is>
          <t>Best way to support coworker who has cancer?</t>
        </is>
      </c>
      <c r="C6525" t="inlineStr">
        <is>
          <t>So a relatively new coworker of mine has cancer. He started working at my job a few months ago and had surgery several weeks back to remove it; all went well and he's recovered from that. He went back the day before yesterday to have a bone scan to check to see if it had spread at all.
It has.
He just got the news this morning and has told us at the office. We're making a support/care package with things that might be helpful while he goes through chemo and radiation and such, but does anyone have any suggestions of some other things that we could do for him?? Whether they be kind words, gestures, or maybe something that would be helpful to him while he goes through this that we could add to the package?
I wouldn't say I'm very close with him, but I do consider him to be a friend. He just recently moved here and isn't near the friend group that he used to have (I don't know what kind of a social/support group he had where he used to live, that isn't something we've discussed). He gets along really well with everyone at work and I introduced him to my boyfriend and best friend and he gets along well with them as well, so he does have a support group here. I'm hoping that just having people there to help him through this will help.
 I know that even though he uses humor to cope with things, this is a terrifying situation for anyone to be in. I also know that there isn't really much that anyone can do right now, this is heavy news for him and it's a lot to process and he needs to take his time with it. I'm just looking for suggestions from people who have been in his shoes. 
I'm open to any thoughts that anyone might have and I appreciate the time that you took to read this far.
&amp;amp;#x200B;
\*Note\* - for sake of privacy, I won't mention the kind of cancer that he's dealing with, but it has spread pretty aggressively. And obviously I'm letting him tell people on his own time, I wouldn't dare tell anyone without his explicit consent. It's not my news to share and I don't intend to do so. I also know that there might not be anything that I can do right now and as much as it sucks, I understand that. I just didn't know what suggestions anyone might would have.
&amp;amp;#x200B;
*TLDR;* Coworker of a few months has cancer that has spread unexpectedly, what is the best way to offer support or help him through this?</t>
        </is>
      </c>
      <c r="D6525" t="n">
        <v>1</v>
      </c>
      <c r="E6525" t="n">
        <v>12</v>
      </c>
      <c r="F6525">
        <f>HYPERLINK("https://www.reddit.com/r/cancer/comments/echtjv/best_way_to_support_coworker_who_has_cancer/")</f>
        <v/>
      </c>
      <c r="G6525" t="inlineStr">
        <is>
          <t>2019-12-18 12:07:24</t>
        </is>
      </c>
      <c r="H6525" t="inlineStr"/>
    </row>
    <row r="6526">
      <c r="A6526" t="inlineStr">
        <is>
          <t>ecie95</t>
        </is>
      </c>
      <c r="B6526" t="inlineStr">
        <is>
          <t>Lost my job today</t>
        </is>
      </c>
      <c r="C6526" t="inlineStr">
        <is>
          <t>From a place I've been at 12 years. "Budget cuts. Not performance based or personal." Sure will cut that budget to have your stage 4 melanoma patient off your insurance.</t>
        </is>
      </c>
      <c r="D6526" t="n">
        <v>1</v>
      </c>
      <c r="E6526" t="n">
        <v>41</v>
      </c>
      <c r="F6526">
        <f>HYPERLINK("https://www.reddit.com/r/cancer/comments/ecie95/lost_my_job_today/")</f>
        <v/>
      </c>
      <c r="G6526" t="inlineStr">
        <is>
          <t>2019-12-18 12:48:40</t>
        </is>
      </c>
      <c r="H6526" t="inlineStr"/>
    </row>
    <row r="6527">
      <c r="A6527" t="inlineStr">
        <is>
          <t>ecihpn</t>
        </is>
      </c>
      <c r="B6527" t="inlineStr">
        <is>
          <t>The end of a journey.</t>
        </is>
      </c>
      <c r="C6527" t="inlineStr">
        <is>
          <t>So today was the last chemotherapy session I am scheduled to take. Now I have to do a PET scan and test a bone marrow sample. Thank you for all the love and support you (the redditors here). That's it really. I've made many memories during the time of the treatment. Learned a lot about myself and the people around me. Now I have only one question.
How long is it till I completely recover from all the chemo? 2 weeks? A month?</t>
        </is>
      </c>
      <c r="D6527" t="n">
        <v>1</v>
      </c>
      <c r="E6527" t="n">
        <v>11</v>
      </c>
      <c r="F6527">
        <f>HYPERLINK("https://www.reddit.com/r/cancer/comments/ecihpn/the_end_of_a_journey/")</f>
        <v/>
      </c>
      <c r="G6527" t="inlineStr">
        <is>
          <t>2019-12-18 12:55:51</t>
        </is>
      </c>
      <c r="H6527" t="inlineStr"/>
    </row>
    <row r="6528">
      <c r="A6528" t="inlineStr">
        <is>
          <t>ecj9o4</t>
        </is>
      </c>
      <c r="B6528" t="inlineStr">
        <is>
          <t>If life thought it could beat me down, congrats its right</t>
        </is>
      </c>
      <c r="C6528" t="inlineStr">
        <is>
          <t>My mom got diagnosed with stage 4 colon cancer a week before thanksgiving, prior to this in 2015 she was diagnosed with stage 3 breast cancer where she had a double mastectomy, chemo and radiation , and after wrapping all that up at the end of 2017, at the beginning of 2018 she was diagnosed with thyroid cancer and just had it removed because if chemo and all that shit didnt work the first time why go through it again right? I understood, it was like not having a mom for those years, chemo just took away the person she was, and she still hasnt fully returned..... the doctors said she has 15% chance of living for a year, her liver is 75% compromised and was started on 48 hour infusion every 2 weeks immediately... I have 5 younger siblings, from pre school to middle school... i go away for college however Im on break right now... I just dont know what to do. I dont know what I’ll do if I lose my mom. I can’t raise my siblings like my mom raised me? She’s absolutely amazing and she never deserved any of this... She likes to act like this isnt a big deal, and she keeps saying how sorry she is, but this isn’t remotely her fault, she had the stomach pains months prior and she would go to that specific doctor that they have for it( like a gastroenterologist or something idk)... i just idk... advice? Anyone out there living with stage 4 colon cancer? I know theres no cure, but i have hope shes going to make it.. someones got to make that 15% right? Weather man can say theres 0% chance of rain but it could still rain all day... sorry this turned kind of ranty its just hit me these past couple of days that Im not waking up from this nightmare</t>
        </is>
      </c>
      <c r="D6528" t="n">
        <v>1</v>
      </c>
      <c r="E6528" t="n">
        <v>9</v>
      </c>
      <c r="F6528">
        <f>HYPERLINK("https://www.reddit.com/r/cancer/comments/ecj9o4/if_life_thought_it_could_beat_me_down_congrats/")</f>
        <v/>
      </c>
      <c r="G6528" t="inlineStr">
        <is>
          <t>2019-12-18 13:53:06</t>
        </is>
      </c>
      <c r="H6528" t="inlineStr"/>
    </row>
    <row r="6529">
      <c r="A6529" t="inlineStr">
        <is>
          <t>ecjhxq</t>
        </is>
      </c>
      <c r="B6529" t="inlineStr">
        <is>
          <t>Is this true?</t>
        </is>
      </c>
      <c r="C6529" t="inlineStr">
        <is>
          <t>A rather insensitive coworker today asked if I had heard back from my biopsy results. I told her no, of course not, they had said it would take up to 2 weeks. She then took a sharp intake of breath and said she's had a lot of 'experience' with cancer in her family and has come to learn the quicker you get your results the simpler the diagnosis. She thinks the longer you wait for results the more in depth the biopsy has had to be ie, they have identified something so then need to do further testing to check for severity, grade etc. I said that that wasn't true. Every person is different, every illness is different, every biopsy and every cancer. She became so adamant I just wanted to scream that she was being so insensitive and was making me upset and worry more than I have been. I'm quite good at pushing things to the back of my mind and dealing with things as they come rather than dwelling so I'm fine with waiting for the results but now she has absolutely sent my brain into a mess. Each time I saw her today she brought it up again, in the end I just stopped going past her or being in the coffee room at the same time as her.
I mean I sort of, kind of know it's not true but my god she has put the fear of god into me and now has me thinking about it constantly whereas before I hadn't thought about it at all.
Is this true? Does anyone have any experience with shorter waiting times = a more positive result?
Some people. Honestly.</t>
        </is>
      </c>
      <c r="D6529" t="n">
        <v>1</v>
      </c>
      <c r="E6529" t="n">
        <v>22</v>
      </c>
      <c r="F6529">
        <f>HYPERLINK("https://www.reddit.com/r/cancer/comments/ecjhxq/is_this_true/")</f>
        <v/>
      </c>
      <c r="G6529" t="inlineStr">
        <is>
          <t>2019-12-18 14:10:00</t>
        </is>
      </c>
      <c r="H6529" t="inlineStr"/>
    </row>
    <row r="6530">
      <c r="A6530" t="inlineStr">
        <is>
          <t>ecjmcf</t>
        </is>
      </c>
      <c r="B6530" t="inlineStr">
        <is>
          <t>Azacitidine</t>
        </is>
      </c>
      <c r="C6530" t="inlineStr">
        <is>
          <t>Hey folks,
Ill be running 5aza for god knows how many cycles. What are some symptoms I can expects during the first round?</t>
        </is>
      </c>
      <c r="D6530" t="n">
        <v>1</v>
      </c>
      <c r="E6530" t="n">
        <v>0</v>
      </c>
      <c r="F6530">
        <f>HYPERLINK("https://www.reddit.com/r/cancer/comments/ecjmcf/azacitidine/")</f>
        <v/>
      </c>
      <c r="G6530" t="inlineStr">
        <is>
          <t>2019-12-18 14:18:51</t>
        </is>
      </c>
      <c r="H6530" t="inlineStr"/>
    </row>
    <row r="6531">
      <c r="A6531" t="inlineStr">
        <is>
          <t>ecku7l</t>
        </is>
      </c>
      <c r="B6531" t="inlineStr">
        <is>
          <t>Any one from Vancouver BC with uveal melanoma mets in liver. Experience with VGH and TACE after rejection from tumour board?</t>
        </is>
      </c>
      <c r="C6531" t="inlineStr">
        <is>
          <t>So the long and short of it is my mom was rejected by VGH cancer board because she has several mets in her liver. They generally only see singular tumours, so they dont really have experience providing TACE for cases like my mom. TACE is what was recommended by the SATO group in the states and a specialist in Toronto. The problem we now face is that my moms been get sick and we're afraid she wont be able to fly to an appointment we have on the 2nd. Has anyone else encountered a similar situation, and if so what did you do? I've reached out to everyone I can think of short of stalking the radiologist.</t>
        </is>
      </c>
      <c r="D6531" t="n">
        <v>1</v>
      </c>
      <c r="E6531" t="n">
        <v>10</v>
      </c>
      <c r="F6531">
        <f>HYPERLINK("https://www.reddit.com/r/cancer/comments/ecku7l/any_one_from_vancouver_bc_with_uveal_melanoma/")</f>
        <v/>
      </c>
      <c r="G6531" t="inlineStr">
        <is>
          <t>2019-12-18 15:55:58</t>
        </is>
      </c>
      <c r="H6531" t="inlineStr"/>
    </row>
    <row r="6532">
      <c r="A6532" t="inlineStr">
        <is>
          <t>ecl1xy</t>
        </is>
      </c>
      <c r="B6532" t="inlineStr">
        <is>
          <t>Quick question</t>
        </is>
      </c>
      <c r="C6532" t="inlineStr">
        <is>
          <t>Delete if not allowed. So I’m a student and I’m just wondering what comes first, a lump or symptoms in cancer? Also explain why. If this is the wrong place to ask, please let me know so I can delete.</t>
        </is>
      </c>
      <c r="D6532" t="n">
        <v>1</v>
      </c>
      <c r="E6532" t="n">
        <v>3</v>
      </c>
      <c r="F6532">
        <f>HYPERLINK("https://www.reddit.com/r/cancer/comments/ecl1xy/quick_question/")</f>
        <v/>
      </c>
      <c r="G6532" t="inlineStr">
        <is>
          <t>2019-12-18 16:14:17</t>
        </is>
      </c>
      <c r="H6532" t="inlineStr"/>
    </row>
    <row r="6533">
      <c r="A6533" t="inlineStr">
        <is>
          <t>eclbjo</t>
        </is>
      </c>
      <c r="B6533" t="inlineStr">
        <is>
          <t>first xmas without dad</t>
        </is>
      </c>
      <c r="C6533" t="inlineStr">
        <is>
          <t>dad passed 8-19-19, IV sarcoma, lungs did him in. family has been coping pretty well, considering. his passing, while difficult, was also beautiful. ashes spread on catskill mountains with close friends in the autumn. in the aftermath  ive been applying myself and succeeding with challenges at school. we found an accountant we like to help sort things out for mom. i have siblings to lean on, a therapist. things will be okay.
i just wish i could show him that i miss him.</t>
        </is>
      </c>
      <c r="D6533" t="n">
        <v>1</v>
      </c>
      <c r="E6533" t="n">
        <v>3</v>
      </c>
      <c r="F6533">
        <f>HYPERLINK("https://www.reddit.com/r/cancer/comments/eclbjo/first_xmas_without_dad/")</f>
        <v/>
      </c>
      <c r="G6533" t="inlineStr">
        <is>
          <t>2019-12-18 16:35:32</t>
        </is>
      </c>
      <c r="H6533" t="inlineStr"/>
    </row>
    <row r="6534">
      <c r="A6534" t="inlineStr">
        <is>
          <t>ecm4wu</t>
        </is>
      </c>
      <c r="B6534" t="inlineStr">
        <is>
          <t>Tagrisso?</t>
        </is>
      </c>
      <c r="C6534" t="inlineStr">
        <is>
          <t>Is anyone here using Tagrisso and If so, which pharmacy do you use?
I tried getting it from CVS and they were such jerks about it, I’d rather not give them my money since I have to pay cash.
Does anyone use Accredo?</t>
        </is>
      </c>
      <c r="D6534" t="n">
        <v>1</v>
      </c>
      <c r="E6534" t="n">
        <v>0</v>
      </c>
      <c r="F6534">
        <f>HYPERLINK("https://www.reddit.com/r/cancer/comments/ecm4wu/tagrisso/")</f>
        <v/>
      </c>
      <c r="G6534" t="inlineStr">
        <is>
          <t>2019-12-18 17:42:51</t>
        </is>
      </c>
      <c r="H6534" t="inlineStr"/>
    </row>
    <row r="6535">
      <c r="A6535" t="inlineStr">
        <is>
          <t>ecmki0</t>
        </is>
      </c>
      <c r="B6535" t="inlineStr">
        <is>
          <t>How should I be feeling?</t>
        </is>
      </c>
      <c r="C6535" t="inlineStr">
        <is>
          <t>It’s 6 days till Christmas and If you’ve been keeping up with my recent posts then you would know that mum was rushed to the hospital last Saturday and then to our big main hospital in the city, basically all chemo was cancelled because she was sick she had a infection in the chest near the tumour she was originally in a ward where a nurse was with her 24/7 watching her but now she’s been moved to an oncology ward, we found out today that tomorrow she can come home but they’re doing chemo tomorrow... 6 days before Christmas, how am I supposed to be feeling? I’m scared and excited but I’m so terrified at the same time, I know I should be grateful that they’re doing this because well they’re saving her life but at the same time I am so scared about chemo not working? They told her 2 days ago that she didn’t need as intense chemo as they originally thought so now it’s not so bad, idk if any of this is making sense and I’m sorry if this is all over the place a majority of you told me to take some time or myself so I am, I’m going out with my bfs mother to get our nails done on Saturday it’s really nerve wracking to just leave her for the night and I feel guilty but I know I need a break, on a positive note we’ve all decided to put our differences aside this Christmas and come together as a family so mum can enjoy it as much as she can, it’ll be a crazy day with heaps of people (my dad, my 3 siblings and my bf and my sisters bf and my mums 5 grandkids) but this is for her I’m trying to find the positive in all of this including the chemo but I’m just so terrified, any advice on how to deal with the anxiety surrounding chemo and of course stories on how other people went with their chemo is greatly appreciated, I hope everyone is having an amazing day/night❤️</t>
        </is>
      </c>
      <c r="D6535" t="n">
        <v>1</v>
      </c>
      <c r="E6535" t="n">
        <v>5</v>
      </c>
      <c r="F6535">
        <f>HYPERLINK("https://www.reddit.com/r/cancer/comments/ecmki0/how_should_i_be_feeling/")</f>
        <v/>
      </c>
      <c r="G6535" t="inlineStr">
        <is>
          <t>2019-12-18 18:17:15</t>
        </is>
      </c>
      <c r="H6535" t="inlineStr"/>
    </row>
    <row r="6536">
      <c r="A6536" t="inlineStr">
        <is>
          <t>ecn5z8</t>
        </is>
      </c>
      <c r="B6536" t="inlineStr">
        <is>
          <t>A horror story of a complete laryngectomy.</t>
        </is>
      </c>
      <c r="C6536" t="inlineStr">
        <is>
          <t>I've had a hell of a few weeks.
I had spent nearly two years losing my voice and going to doctors at least 8 times.  The doctors pumped me full of acid blockers that did almost nothing.  Six weeks ago after a difficult procedure an "expert" diagnosed definitive acid reflux and told me I needed relatively minor outpatient surgery.  They were scheduling out 3 months or more so I went to another doctor at another medical center with the hope of getting the procedure done earlier.
The new doctor immediately sent me in for a test which didn't look good.  Next a stat CT and I was diagnosed with advanced thyroid cancer.  *If this was caught early it would have meant minor surgery and no long term treatment besides some daily meds, but I was unable to get a single doctor to take the loss of my voice and chronic sore throat seriously.*  Every single one of them just prescribed more acid blockers.
I was initially was going to decline surgery because it looked so awful, but was talked into it by the doctor and others who have have gone through it.  They said it was hard but worth it.  I don't think it was. 
I now have had a complete laryngenctomy and am having serious trouble dealing with the aftermath.  I can't speak, can hardly eat, can't taste or smell much of anything and have a big hole in my neck.  Breathing is difficult.  The surgeon didn't even get the hole right.  It's not in the center of my throat but off to the side by a full inch.  When I pointed it out the surgeon was obviously surprised.  Everyone talks about getting used to a "new normal".  To me it seems like just getting used to being in hell.
I was also told that the surgery was successful and curative.  Now I'm being told I need 8 weeks of radiation and the cancer may come back anyway.  
I don't want to go outside.  I don't want to be seen.  I feel like a complete freak and the placement of the hole in my neck makes it even worse.   I have an incision that would look right at home in a Frankenstein movie.  I am seriously wishing I had declined the surgery and let nature take its course.  I've had repeated all too accurate nightmares that my throat has been slit.  I am on so many medications I can't keep track of them all.  My insurance company is a nightmare to deal with, and I'm in no shape to deal with them.
I can't say these things to my friends or SO.  They are already exhausted by the drama I've gone through and the way I'm feeling is completely overwhelming to them.  They tell me I need to look at the bright side.  I can't find a bright side.   
I'm not really sure what I'm looking for here, but need to get this stuff out somewhere and am thankful this sub exists.
How have you people who have gone through serious, traumatic surgery and treatment gotten through it?  How do you get past this, how does anyone deal with this kind of thing and get past it?</t>
        </is>
      </c>
      <c r="D6536" t="n">
        <v>1</v>
      </c>
      <c r="E6536" t="n">
        <v>11</v>
      </c>
      <c r="F6536">
        <f>HYPERLINK("https://www.reddit.com/r/cancer/comments/ecn5z8/a_horror_story_of_a_complete_laryngectomy/")</f>
        <v/>
      </c>
      <c r="G6536" t="inlineStr">
        <is>
          <t>2019-12-18 19:06:46</t>
        </is>
      </c>
      <c r="H6536" t="inlineStr"/>
    </row>
    <row r="6537">
      <c r="A6537" t="inlineStr">
        <is>
          <t>eco3hr</t>
        </is>
      </c>
      <c r="B6537" t="inlineStr">
        <is>
          <t>My heart is breaking for my mom, I can't believe this happened to her</t>
        </is>
      </c>
      <c r="C6537" t="inlineStr">
        <is>
          <t>Long story short my mom and I were abused by our dad for over 20 years, we left 3 years ago. My mom has been dating this guy for 2 years and he is really great, he was diagnosed with "diabetes" over the summer and changed a bunch of his diet and lifestyle. He lost lots of weight and thought he was doing good. But he just never stopped losing weight and is now almost fully emaciated. He went to the doctor because he's also feeling sick now. Turns out he has stage 4 pancreati cancer. He's only 58, I can't believe this is happening and I'm heartbroken for my mom. She was telling me he shows her love that she hasn't gotten in 20 years. This is so terrible and unexpected. I never, ever thought we would deal with something tragic like this. Nobody expects to meet someone and have them die within a few years.</t>
        </is>
      </c>
      <c r="D6537" t="n">
        <v>1</v>
      </c>
      <c r="E6537" t="n">
        <v>2</v>
      </c>
      <c r="F6537">
        <f>HYPERLINK("https://www.reddit.com/r/cancer/comments/eco3hr/my_heart_is_breaking_for_my_mom_i_cant_believe/")</f>
        <v/>
      </c>
      <c r="G6537" t="inlineStr">
        <is>
          <t>2019-12-18 20:26:40</t>
        </is>
      </c>
      <c r="H6537" t="inlineStr"/>
    </row>
    <row r="6538">
      <c r="A6538" t="inlineStr">
        <is>
          <t>ecovw9</t>
        </is>
      </c>
      <c r="B6538" t="inlineStr">
        <is>
          <t>Worst Christmas present ever</t>
        </is>
      </c>
      <c r="C6538" t="inlineStr">
        <is>
          <t>A week before Christmas my mom had her three month scan after completing chemo in August and it’s already back. She is platinum resistant. I can’t stomach seeing happy Christmas ads and parties or anything to do with the holidays. It’s not fair. My mom will likely spend it in the hospital after already spending three other holidays there this year.</t>
        </is>
      </c>
      <c r="D6538" t="n">
        <v>1</v>
      </c>
      <c r="E6538" t="n">
        <v>1</v>
      </c>
      <c r="F6538">
        <f>HYPERLINK("https://www.reddit.com/r/cancer/comments/ecovw9/worst_christmas_present_ever/")</f>
        <v/>
      </c>
      <c r="G6538" t="inlineStr">
        <is>
          <t>2019-12-18 21:40:20</t>
        </is>
      </c>
      <c r="H6538" t="inlineStr"/>
    </row>
    <row r="6539">
      <c r="A6539" t="inlineStr">
        <is>
          <t>ecp6l0</t>
        </is>
      </c>
      <c r="B6539" t="inlineStr">
        <is>
          <t>Experiences on oral chemo/how to support?</t>
        </is>
      </c>
      <c r="C6539" t="inlineStr">
        <is>
          <t>Hi everyone! My boyfriend just learned he’s going to have to undergo a brief round of chemo to treat a small growth in his brain. His doctor estimates it’ll be 3-6 weeks on a chemo pill (they haven’t determined which pill yet). I’m trying to stay positive for him while preparing myself for what’s to come. Those of you who have taken a short dose of chemo pills, what was the experience like? How did you feel week to week?  Did you feel capable of doing anything besides staying in bed? (i.e. watching movies, video games, reading—I definitely don’t expect him to be able to do anything outside the house). What side effects did you experience? What was the most helpful thing others did for you? I’d love to think of little things I can do so he doesn’t feel like he’s just laying there every day, but also don’t want to pressure him to do anything beyond what he feels up to. Any advice is welcome. Thank you!</t>
        </is>
      </c>
      <c r="D6539" t="n">
        <v>1</v>
      </c>
      <c r="E6539" t="n">
        <v>4</v>
      </c>
      <c r="F6539">
        <f>HYPERLINK("https://www.reddit.com/r/cancer/comments/ecp6l0/experiences_on_oral_chemohow_to_support/")</f>
        <v/>
      </c>
      <c r="G6539" t="inlineStr">
        <is>
          <t>2019-12-18 22:09:28</t>
        </is>
      </c>
      <c r="H6539" t="inlineStr"/>
    </row>
    <row r="6540">
      <c r="A6540" t="inlineStr">
        <is>
          <t>ecqdgx</t>
        </is>
      </c>
      <c r="B6540" t="inlineStr">
        <is>
          <t>Ct scan results: mom's stomach cancer has not spread anymore</t>
        </is>
      </c>
      <c r="C6540" t="inlineStr">
        <is>
          <t>Today our family got the best Christmas gift possible! My mom has incurable stage 3 stomach cancer which has been treated with chemo since August, and last week she had her third ct scan since summer and diagnosis. We were very afraid the cancer would have spread widely and aggressively, but the situation has remained the same since last scans 3 months ago! So we have some more time with her, it seems ❤️ I'm so happy rn and just thought to share this with you.</t>
        </is>
      </c>
      <c r="D6540" t="n">
        <v>1</v>
      </c>
      <c r="E6540" t="n">
        <v>5</v>
      </c>
      <c r="F6540">
        <f>HYPERLINK("https://www.reddit.com/r/cancer/comments/ecqdgx/ct_scan_results_moms_stomach_cancer_has_not/")</f>
        <v/>
      </c>
      <c r="G6540" t="inlineStr">
        <is>
          <t>2019-12-19 00:20:02</t>
        </is>
      </c>
      <c r="H6540" t="inlineStr"/>
    </row>
    <row r="6541">
      <c r="A6541" t="inlineStr">
        <is>
          <t>ecqfir</t>
        </is>
      </c>
      <c r="B6541" t="inlineStr">
        <is>
          <t>Cancer has changed me in ways I never thought possible</t>
        </is>
      </c>
      <c r="C6541" t="inlineStr">
        <is>
          <t>A little bit of background :
I was diagnosed a little over a year ago at age 19 with malignant melanoma. I didn’t take it as serious at first because it’s "just skin cancer", but boy did that change quick. I was initially diagnosed Stage 3C, then after the first treatment failed, it grew rapidly resulting in me needing a ten hour surgery that was very difficult to recover from. The surgery was successful in removing the cancer in the area they worked on, but I developed immense pain in my leg soon afterwards which turned out to be one of five bone mets spread across my body that lit up on a PET scan. This obviously put me into Stage IV since my primary was on the very top of my head. 
In a recent trip to the acute care at my cancer hospital, masses on my left adrenal gland, and possibly the right as well, were found. However, I wasn't even phased by the news. I've now learned that cancer will do what it wants, when it wants. It doesn't care who you are or what's happening in your life or how young you are. I've had, and still have, my "why me?" moments, but I've come to learn that being negative about my situation will do nothing good. Whatever will happen, will happen, and there's nothing I can do to fight the inevitable. 
I  understand now that this is something I will be more than likely fighting for a very long time. It could even be the end of me, but to dwell on that is no way I want to live my life. I'm often stuck in bed in pain or sick from some other bullshit side effect from treatment, but this stupid ugly disease has made me the most grateful I've ever been in my young life. I’m not thankful that I have cancer, but I’m thankful for the journey it is continually putting me though.</t>
        </is>
      </c>
      <c r="D6541" t="n">
        <v>1</v>
      </c>
      <c r="E6541" t="n">
        <v>14</v>
      </c>
      <c r="F6541">
        <f>HYPERLINK("https://www.reddit.com/r/cancer/comments/ecqfir/cancer_has_changed_me_in_ways_i_never_thought/")</f>
        <v/>
      </c>
      <c r="G6541" t="inlineStr">
        <is>
          <t>2019-12-19 00:27:01</t>
        </is>
      </c>
      <c r="H6541" t="inlineStr"/>
    </row>
    <row r="6542">
      <c r="A6542" t="inlineStr">
        <is>
          <t>ecunag</t>
        </is>
      </c>
      <c r="B6542" t="inlineStr">
        <is>
          <t>Scared I got cancer :(</t>
        </is>
      </c>
      <c r="C6542" t="inlineStr">
        <is>
          <t>I am not the one that goes to the doctor that often. If so it really have to be something serious, and now I am afraid it might be.
2,5 weeks ago I started to get this really strange dull pain in lower right abdomen. To show you where, look at this picture and follow the appendix in the white circle to the border of the circle:  
[https://images.agoramedia.com/everydayhealth/gcms/The-Appendix-RM-722x406.jpg](https://images.agoramedia.com/everydayhealth/gcms/The-Appendix-RM-722x406.jpg)
The pain has been there since and sometime it hurts more, sometimes less. One day it hurt so much I could barely stay up but it never has hurt so much since. But still, it is still there and if I press a finger exactly at the spot it hurts ALOT.
They took kidney and tests and nothing strange, and it doesn't seem to be the appendix because that usually goes bad quite fast and surgery is a must. So not that probably. Also the last month I've startet to lose weight very quickly. Important to mention is that I eat ADD medication hence my appetite is not the best, BUT last month I have been eating better and more than for a long time. Also due to my bike being broken I have barely exercised. I have never lost this much weight during the time as being on this medication, or anytime I can remember in my life. I just keep loosing weight a lot.
Other than that I've had some lower back pain which however could be work related. No strange stool (other than being constipated more than usual). Sometime I've felt a little nausea but no biggie, but definitely I've had and has decreased appetite, even without the medication. I tried to be off the medication for three days and still the same, barely hungry at all. However I have been eating much, even more than usual and drank a lot of water to stay hydrated.
Now I'm getting a little scared here... I called the doctor today and he is going to call me back tomorrow to decide how to proceed, but do you have any input here? Any idea what it might be?
Thanks</t>
        </is>
      </c>
      <c r="D6542" t="n">
        <v>1</v>
      </c>
      <c r="E6542" t="n">
        <v>1</v>
      </c>
      <c r="F6542">
        <f>HYPERLINK("https://www.reddit.com/r/cancer/comments/ecunag/scared_i_got_cancer/")</f>
        <v/>
      </c>
      <c r="G6542" t="inlineStr">
        <is>
          <t>2019-12-19 07:25:16</t>
        </is>
      </c>
      <c r="H6542" t="inlineStr"/>
    </row>
    <row r="6543">
      <c r="A6543" t="inlineStr">
        <is>
          <t>ecuyc2</t>
        </is>
      </c>
      <c r="B6543" t="inlineStr">
        <is>
          <t>Newly diagnosed with All and Cml. Exposure during 50’s.</t>
        </is>
      </c>
      <c r="C6543" t="inlineStr">
        <is>
          <t>My friend and I both relatively the same age were both diagnosed within months of each other with blood cancers. 
We both grew up and lived in the Los Angeles area during the 50,s and watched  the atomic testing in Nevada. 
Yes you could see if from LA.  It is my belief though unproven that this exposure caused our late life cancers. If you or someone
You know has had similar experience. Please respond or email or post here.  Thanks</t>
        </is>
      </c>
      <c r="D6543" t="n">
        <v>1</v>
      </c>
      <c r="E6543" t="n">
        <v>2</v>
      </c>
      <c r="F6543">
        <f>HYPERLINK("https://www.reddit.com/r/cancer/comments/ecuyc2/newly_diagnosed_with_all_and_cml_exposure_during/")</f>
        <v/>
      </c>
      <c r="G6543" t="inlineStr">
        <is>
          <t>2019-12-19 07:47:35</t>
        </is>
      </c>
      <c r="H6543" t="inlineStr"/>
    </row>
    <row r="6544">
      <c r="A6544" t="inlineStr">
        <is>
          <t>ecv33c</t>
        </is>
      </c>
      <c r="B6544" t="inlineStr">
        <is>
          <t>I’m travelling to Dubai in January (cancer related)</t>
        </is>
      </c>
      <c r="C6544" t="inlineStr">
        <is>
          <t>I’ve never traveled outside of the E.U and of course I’ll be taking my medication (Dabrafenib &amp;amp;Trametnib)
Maybe I’m being paranoid, but will they be any issue taking my medication through customs?</t>
        </is>
      </c>
      <c r="D6544" t="n">
        <v>1</v>
      </c>
      <c r="E6544" t="n">
        <v>5</v>
      </c>
      <c r="F6544">
        <f>HYPERLINK("https://www.reddit.com/r/cancer/comments/ecv33c/im_travelling_to_dubai_in_january_cancer_related/")</f>
        <v/>
      </c>
      <c r="G6544" t="inlineStr">
        <is>
          <t>2019-12-19 07:56:57</t>
        </is>
      </c>
      <c r="H6544" t="inlineStr"/>
    </row>
    <row r="6545">
      <c r="A6545" t="inlineStr">
        <is>
          <t>ecvk8z</t>
        </is>
      </c>
      <c r="B6545" t="inlineStr">
        <is>
          <t>I am brca 1&amp;amp;2 negative</t>
        </is>
      </c>
      <c r="C6545" t="inlineStr">
        <is>
          <t>I literally have no reason to have breast cancer!!!!!! Yet here I am waiting for the surgeon to make an appointment to do a mistechtamy to remove my invasive ductal carcinoma which is EP+, HER2-
32 male with breast cancer..... Seriously what the fuck!?</t>
        </is>
      </c>
      <c r="D6545" t="n">
        <v>1</v>
      </c>
      <c r="E6545" t="n">
        <v>11</v>
      </c>
      <c r="F6545">
        <f>HYPERLINK("https://www.reddit.com/r/cancer/comments/ecvk8z/i_am_brca_12_negative/")</f>
        <v/>
      </c>
      <c r="G6545" t="inlineStr">
        <is>
          <t>2019-12-19 08:31:28</t>
        </is>
      </c>
      <c r="H6545" t="inlineStr"/>
    </row>
    <row r="6546">
      <c r="A6546" t="inlineStr">
        <is>
          <t>ecx3oi</t>
        </is>
      </c>
      <c r="B6546" t="inlineStr">
        <is>
          <t>Sister diagnosed with cancer. How can she have her own hair turned into a wig for later?</t>
        </is>
      </c>
      <c r="C6546" t="inlineStr">
        <is>
          <t>Hi,
My sister was diagnosed with cancer. She has very long hair and has constantly donated hers to be turned into wigs for cancer patients. Now that she has been diagnosed and starting chemo soon, how can she get her own hair turned into a wig for later?
Thank you!</t>
        </is>
      </c>
      <c r="D6546" t="n">
        <v>1</v>
      </c>
      <c r="E6546" t="n">
        <v>6</v>
      </c>
      <c r="F6546">
        <f>HYPERLINK("https://www.reddit.com/r/cancer/comments/ecx3oi/sister_diagnosed_with_cancer_how_can_she_have_her/")</f>
        <v/>
      </c>
      <c r="G6546" t="inlineStr">
        <is>
          <t>2019-12-19 10:20:42</t>
        </is>
      </c>
      <c r="H6546" t="inlineStr"/>
    </row>
    <row r="6547">
      <c r="A6547" t="inlineStr">
        <is>
          <t>ecxeg2</t>
        </is>
      </c>
      <c r="B6547" t="inlineStr">
        <is>
          <t>Slow motion trauma, slow motion grief</t>
        </is>
      </c>
      <c r="C6547" t="inlineStr">
        <is>
          <t>My mother has been struggling with stage 4 ovarian for a few years. A week ago she was totally lucid and on her feet. The last coherent conversation I had with her was Monday, and her last coherent conversation was with my brother Tuesday. I'm expecting her to pass some time between now and the end of the week, but her mind and personality are basically gone.
I'm posting this from my cubicle at work. I am 24. The years of watching her slowly slip have allowed me to process this eventuality over a long period of time. I'm not a crying wreck, but obviously I'm not thrilled at the situation either. The few people at work who know I am awaiting my mother's death are understandably trying to comfort me, but in doing so they're shattering the distraction I'm providing myself. I feel normal enough to do my job (or at least pretend to by "fixing" a perfectly functional machine out of sight), but not normal enough to comfortably talk to my well-meaning coworkers about this. 
I'm saving the meager bereavement leave the company provides for after her passing, more or less obligating me to work now. I feel restless, but I wasn't expecting to be this functional. I almost wish I were too distraught to work, but I got most of it out of my system when I said my final goodbyes on Monday. I'm not really sure that this post has a concrete point, but rather that I feel I have to articulate this somewhere that isn't my co-workers or my partner who is currently busy working at her job. 
Experiencing a death in slow motion has been a blessing for giving me the space to process it, but simultaneously it has been years of holding this in the back of my head, never urgent enough to fully tackle it head on. I'm ready for this to be over, but the more I anticipate it the slower the end comes. I'll never have my mom back, but at least I can have a sense of normalcy back, even if that normalcy has a huge mom-shaped hole in it.</t>
        </is>
      </c>
      <c r="D6547" t="n">
        <v>1</v>
      </c>
      <c r="E6547" t="n">
        <v>17</v>
      </c>
      <c r="F6547">
        <f>HYPERLINK("https://www.reddit.com/r/cancer/comments/ecxeg2/slow_motion_trauma_slow_motion_grief/")</f>
        <v/>
      </c>
      <c r="G6547" t="inlineStr">
        <is>
          <t>2019-12-19 10:41:59</t>
        </is>
      </c>
      <c r="H6547" t="inlineStr"/>
    </row>
    <row r="6548">
      <c r="A6548" t="inlineStr">
        <is>
          <t>ecy8nt</t>
        </is>
      </c>
      <c r="B6548" t="inlineStr">
        <is>
          <t>Sick around first time chemo treatment</t>
        </is>
      </c>
      <c r="C6548" t="inlineStr">
        <is>
          <t>Hello everyone, 
So my mother has her first chemo consultation tomorrow and treatment, and wants me there, she is quite distraught and needs me there to be her support, however, I was sick last week with a respiratory infection, got better and all well now, however a fever has just hit me out of nowhere... Feeling rather angry and irritated that's it's hit me. 
Should I stay away or is there a precaution I can take? I really don't want to make her sick now ontop of stage 4 lung cancer...</t>
        </is>
      </c>
      <c r="D6548" t="n">
        <v>1</v>
      </c>
      <c r="E6548" t="n">
        <v>2</v>
      </c>
      <c r="F6548">
        <f>HYPERLINK("https://www.reddit.com/r/cancer/comments/ecy8nt/sick_around_first_time_chemo_treatment/")</f>
        <v/>
      </c>
      <c r="G6548" t="inlineStr">
        <is>
          <t>2019-12-19 11:42:20</t>
        </is>
      </c>
      <c r="H6548" t="inlineStr"/>
    </row>
    <row r="6549">
      <c r="A6549" t="inlineStr">
        <is>
          <t>ecysak</t>
        </is>
      </c>
      <c r="B6549" t="inlineStr">
        <is>
          <t>Post treatment struggle fest</t>
        </is>
      </c>
      <c r="C6549" t="inlineStr">
        <is>
          <t>I’m 8 months post treatment for Ewing sarcoma ( if you know this protocol, you know it’s one of the worst). I’m still in support groups for adults with Ewing’s and i can’t help but be scared for my future when all I see is people
Relapsing. I’m sad there isn’t more research for adults with this type of cancer.  I’m getting through my day to day with a smile on my face but deep down I’m really scared. How do you cope?</t>
        </is>
      </c>
      <c r="D6549" t="n">
        <v>1</v>
      </c>
      <c r="E6549" t="n">
        <v>5</v>
      </c>
      <c r="F6549">
        <f>HYPERLINK("https://www.reddit.com/r/cancer/comments/ecysak/post_treatment_struggle_fest/")</f>
        <v/>
      </c>
      <c r="G6549" t="inlineStr">
        <is>
          <t>2019-12-19 12:20:57</t>
        </is>
      </c>
      <c r="H6549" t="inlineStr"/>
    </row>
    <row r="6550">
      <c r="A6550" t="inlineStr">
        <is>
          <t>eczzcs</t>
        </is>
      </c>
      <c r="B6550" t="inlineStr">
        <is>
          <t>Please help me out!</t>
        </is>
      </c>
      <c r="C6550" t="inlineStr">
        <is>
          <t>Hi, my name is Wes and I'm 12. My grandma was recently diagnosed with pancreatic cancer and my whole family is stressed out. I also recently made a shoe (because I love sneakers) and I decided that I wanted to donate a portion of the proceeds to a charity for pancreatic cancer, I was thinking the Pancreatic Cancer Action Network. Anyway, It would mean the world if people bought them. My grandma always says I love you to the moon and back, so I named them the moonflags... because they'll be there for the halfway mark. If I don't get 7 pre-orders in 30 days, they'll won't make my shoe. 
You can get them at [Aliveshoes.com/W3S](https://Aliveshoes.com/W3S)
Thanks!</t>
        </is>
      </c>
      <c r="D6550" t="n">
        <v>1</v>
      </c>
      <c r="E6550" t="n">
        <v>3</v>
      </c>
      <c r="F6550">
        <f>HYPERLINK("https://www.reddit.com/r/cancer/comments/eczzcs/please_help_me_out/")</f>
        <v/>
      </c>
      <c r="G6550" t="inlineStr">
        <is>
          <t>2019-12-19 13:45:01</t>
        </is>
      </c>
      <c r="H6550" t="inlineStr"/>
    </row>
    <row r="6551">
      <c r="A6551" t="inlineStr">
        <is>
          <t>ed0fq9</t>
        </is>
      </c>
      <c r="B6551" t="inlineStr">
        <is>
          <t>Father in law have been diagnose with prostate cancer.</t>
        </is>
      </c>
      <c r="C6551" t="inlineStr">
        <is>
          <t>Hi all, my father in law have been diagnose with prostate cancer gleason level 7 , I have been checking online but I cant find and accurate description, if someone could help me I would really appreciated ,also if someone knows about treatments and lifespan , I dont want to ask my wife too much as she is overwhelmed with the situation .
Thank you all</t>
        </is>
      </c>
      <c r="D6551" t="n">
        <v>1</v>
      </c>
      <c r="E6551" t="n">
        <v>6</v>
      </c>
      <c r="F6551">
        <f>HYPERLINK("https://www.reddit.com/r/cancer/comments/ed0fq9/father_in_law_have_been_diagnose_with_prostate/")</f>
        <v/>
      </c>
      <c r="G6551" t="inlineStr">
        <is>
          <t>2019-12-19 14:16:25</t>
        </is>
      </c>
      <c r="H6551" t="inlineStr"/>
    </row>
    <row r="6552">
      <c r="A6552" t="inlineStr">
        <is>
          <t>ed2285</t>
        </is>
      </c>
      <c r="B6552" t="inlineStr">
        <is>
          <t>Dad Not Eating and Severely Constipated</t>
        </is>
      </c>
      <c r="C6552" t="inlineStr">
        <is>
          <t>Stage IV pancreatic 11 months (fuck you odds) still healthy weight 195 (down about 50 lbs since we started)
The last two weeks he’s been severely constipated and unable to hold food down. We got him checked for blockages, he has not. He’s on edibles, but this is the first time he’s been truly unable to eat for extended periods of time.
Please, any help? Any tricks. He’s on plenty of anti-nausea stuff but it just aint helping.
Sincerely
max</t>
        </is>
      </c>
      <c r="D6552" t="n">
        <v>1</v>
      </c>
      <c r="E6552" t="n">
        <v>12</v>
      </c>
      <c r="F6552">
        <f>HYPERLINK("https://www.reddit.com/r/cancer/comments/ed2285/dad_not_eating_and_severely_constipated/")</f>
        <v/>
      </c>
      <c r="G6552" t="inlineStr">
        <is>
          <t>2019-12-19 16:19:25</t>
        </is>
      </c>
      <c r="H6552" t="inlineStr"/>
    </row>
    <row r="6553">
      <c r="A6553" t="inlineStr">
        <is>
          <t>ed2xxx</t>
        </is>
      </c>
      <c r="B6553" t="inlineStr">
        <is>
          <t>Awaiting results and preparing for the worst</t>
        </is>
      </c>
      <c r="C6553" t="inlineStr">
        <is>
          <t>I recently found out I have “unusual” spots on my pancreas and liver and am waiting for the oncologist to schedule my “urgent” biopsy. I honestly don’t even know what to think or feel. I was told not to lose any sleep over this and it’s probably nothing major to worry about; but I was also told that I may have slow growing cancer that could require treatment. I’m 26 years old. I feel like I haven’t lived my life, I’m barely finding out who I am and what makes me happy. For the most part I feel fine, I mean I don’t know what it is yet. At the same time I’m like... I can’t believe this is my life right now?! I worry that this is just the beginning of a very long and hard road</t>
        </is>
      </c>
      <c r="D6553" t="n">
        <v>1</v>
      </c>
      <c r="E6553" t="n">
        <v>9</v>
      </c>
      <c r="F6553">
        <f>HYPERLINK("https://www.reddit.com/r/cancer/comments/ed2xxx/awaiting_results_and_preparing_for_the_worst/")</f>
        <v/>
      </c>
      <c r="G6553" t="inlineStr">
        <is>
          <t>2019-12-19 17:29:52</t>
        </is>
      </c>
      <c r="H6553" t="inlineStr"/>
    </row>
    <row r="6554">
      <c r="A6554" t="inlineStr">
        <is>
          <t>ed6eps</t>
        </is>
      </c>
      <c r="B6554" t="inlineStr">
        <is>
          <t>Not sure</t>
        </is>
      </c>
      <c r="C6554" t="inlineStr">
        <is>
          <t>Sorry I'm a bit of a mess right now and just need someone's support. My Uncle was diagnosed 4 days ago with colon cancer and we were under the impression that surgery was today and chemo next week. However I find out that the doctors brought him in and long story short it's spread through his whole body and there's no surgery and no chemo there's nothing they can do and he only had weeks to live. Is there anyone with any experience with this who knows how to make someone in this terrifying position more comfortable or anything, I'm not sure what I'm asking for here I'm just scared and sad. He will be missing Christmas at his moms (my Grandmas) and I want to atleast let him have a good Christmas with the.family even though they wont let him out of the hospital</t>
        </is>
      </c>
      <c r="D6554" t="n">
        <v>1</v>
      </c>
      <c r="E6554" t="n">
        <v>5</v>
      </c>
      <c r="F6554">
        <f>HYPERLINK("https://www.reddit.com/r/cancer/comments/ed6eps/not_sure/")</f>
        <v/>
      </c>
      <c r="G6554" t="inlineStr">
        <is>
          <t>2019-12-19 22:39:28</t>
        </is>
      </c>
      <c r="H6554" t="inlineStr"/>
    </row>
    <row r="6555">
      <c r="A6555" t="inlineStr">
        <is>
          <t>ed71s3</t>
        </is>
      </c>
      <c r="B6555" t="inlineStr">
        <is>
          <t>Am I being ridiculous</t>
        </is>
      </c>
      <c r="C6555" t="inlineStr">
        <is>
          <t>So from my previous posts, you will find that my father is stage 4 colorectal. I have been with him through ever step of the way (2 years +).
I went it for my regular Pap smear today (I’m a 27f) and they did the typical exam including breast exam. While doing so, I could tell the doctor seemed concerned about a certain spot and asked if it “hurt”. It was tender and I admit it was a bit tender...  but nothing I would have caught or noticed. Well now I’m scheduled for a goddamn ultrasound of my chest. She felt something and now I’m at my wits end thinking all about worst case scenario. I believe this is in part because of my dads diagnosis, but I’m just wondering, am I being overly paranoid? What should I expect? Thanks in advance.</t>
        </is>
      </c>
      <c r="D6555" t="n">
        <v>1</v>
      </c>
      <c r="E6555" t="n">
        <v>9</v>
      </c>
      <c r="F6555">
        <f>HYPERLINK("https://www.reddit.com/r/cancer/comments/ed71s3/am_i_being_ridiculous/")</f>
        <v/>
      </c>
      <c r="G6555" t="inlineStr">
        <is>
          <t>2019-12-19 23:47:22</t>
        </is>
      </c>
      <c r="H6555" t="inlineStr"/>
    </row>
    <row r="6556">
      <c r="A6556" t="inlineStr">
        <is>
          <t>ed990j</t>
        </is>
      </c>
      <c r="B6556" t="inlineStr">
        <is>
          <t>Holidays</t>
        </is>
      </c>
      <c r="C6556" t="inlineStr">
        <is>
          <t>Happy Holidays! Merry Christmas! Happy Hanukkah! Happy New Year! All of these joyful proclamations are intended to spread cheer. What happens if you don't feel happy, merry or cheerful? The loss of a loved one, whether recently, or if it is ***feeling*** recent can take the happy out of the holiday season. It is difficult to feel thankful, when you feel like you've been robbed.  
How are we supposed to carry on? How are we supposed to do all the things we used to do when that loss has created a huge void. How are we supposed to smile and be merry when all we want to do curl up with our misery and wait for this festive, happy time to pass?  
It is extremely difficult to continue with traditions when the people who participated with us are no longer here. What is right? Doing it without them because we think they would have wanted us to, or not doing it because they aren't with us?  
One of the most challenging things about grief and loss is that there isn't an "one size fits all" answer. There is no right way or wrong way to process things or proceed with life. What feels right one day, may not feel right the next. What works for one individual or family, may not work for another.  
During the season of cheer and giving, it can feel so isolating and infuriating. People sometimes undergo the angriest and the loneliest emotions during this jolly time. It doesn't matter if it's been a day, a week, a month, a year, or multiple years. The holiday season brings out our grief. The sorrow can be as fresh and raw as it was day one. The parties, the shopping, the decorating, all a struggle we are forced to endure with a smile. People who have not experienced heartbreak such as this, may not understand why you're not "over it". They may think it should be easier because it was years ago. They may be sympathetic, not empathetic. All of this causing you to feel alone while in the company of others.  
In this social media era, we see pictures of happy, smiling friends. Friends without a care, all of their loved ones near. The Christmas cards that arrive at your door, all reminders of what used to be. The Hallmark channel would have you believe that everyone will come together, sing carols and be home, safe and happy for Christmas.  For those afflicted by loss, that will not be the case.  
The hope for the sorrowful this holiday season is this:  
May the love of your family, friends and community see you through.  
May peace find it's way into your heart, for no one wants you to be blue.  
May you be able to go on, while respecting your feelings, they are all true.  
May you understand that emotions change, everyday is something new.  
May the joy you see in others open a fissure in your grief, allowing light of a different hue.  
May your memories bring you joy, for memories return your loved ones to you.</t>
        </is>
      </c>
      <c r="D6556" t="n">
        <v>1</v>
      </c>
      <c r="E6556" t="n">
        <v>6</v>
      </c>
      <c r="F6556">
        <f>HYPERLINK("https://www.reddit.com/r/cancer/comments/ed990j/holidays/")</f>
        <v/>
      </c>
      <c r="G6556" t="inlineStr">
        <is>
          <t>2019-12-20 03:58:30</t>
        </is>
      </c>
      <c r="H6556" t="inlineStr"/>
    </row>
    <row r="6557">
      <c r="A6557" t="inlineStr">
        <is>
          <t>eda4tj</t>
        </is>
      </c>
      <c r="B6557" t="inlineStr">
        <is>
          <t>my late mother's birthday is tomorrow</t>
        </is>
      </c>
      <c r="C6557" t="inlineStr">
        <is>
          <t>my mother passed away from ovarian cancer very early this year. she actually managed to "overcome" her cancer two years ago (2017), but relapsed in june 2018. 
everyday i miss her so so much because i'm the only other girl in my family (i have only two other brothers) and my bond with my mom was so special. i followed her everywhere and i even wanted to be a teacher because of her. i knew that she would be gone someday bc i think of myself as a realist. and although i'm very emotional on the inside, i don't often show my emotions to my family. 
a week before my mother passed, i was stressed with homework bc this year is the last year of secondary school, so it's really impt for me to get good grades. i was irritable and angry and i ignored her for the entire day at the hospital; i was doing my hw instead. 
and i feel like the worst daughter in the world. although i know i love her and i cared for her to the best of my ability, i can't help but feel so guilty for treating her so badly on her last days on earth. i was only 15 when i started to bathe her, feed her, help her with the toilet and such. i know i tried my best to be there for her but for some reason i keep thinking that she left this world not knowing how much i love her.
three days before she passed, she couldn't speak or move and i was so afraid. as soon as i saw her in the ward i started bawling. she stuttered for a pen, and despite being a teacher, she couldn't even write with it. she struggled to spell out "i want to fight. how much longer?" i just broke after that. after a checkup from her doctor, she returned, almost good-as-new. i hugged her and told her i loved her. i passed her her phone because she loved to play this cooking game on it when i realised that she couldn't move her fingers like before. the wave of anxiety washed over me yet again and i tried my best to just repress it. 
after that, she went into a whole body shock. she was just unresponsive for the last two days of her life. it was the worst moments of my life: just watching her life force slowly fade away. 
i remember leaning into her whilst she lay on her hospital bed: unable to move except for her eyes. her eyes darted about and her mouth was just agape. it was so terrible. i held her hand while kneeling on the ground and cried so hard that i passed out and woke up only 2~3 hours later.
tomorrow is her birthday. or was? i miss her so much and even though it's been a while, i still can't imagine a life without her. i keep thinking about my future. my future child who'll never meet his/her grandmother. what's worse is ever since i was a child, my greatest fear was losing my parents. i would get recurring nightmares of them getting into an accident while i was asleep at home. and it really hurts me to wake up everyday to that nightmare. i almost don't want to wake up every morning.
i'm not sure if this really relates to this cancer sub, but i needed to get this off my chest. im so sorry if there is anyone out there suffering, but it's nice to know that you're not alone xx</t>
        </is>
      </c>
      <c r="D6557" t="n">
        <v>1</v>
      </c>
      <c r="E6557" t="n">
        <v>5</v>
      </c>
      <c r="F6557">
        <f>HYPERLINK("https://www.reddit.com/r/cancer/comments/eda4tj/my_late_mothers_birthday_is_tomorrow/")</f>
        <v/>
      </c>
      <c r="G6557" t="inlineStr">
        <is>
          <t>2019-12-20 05:22:05</t>
        </is>
      </c>
      <c r="H6557" t="inlineStr"/>
    </row>
    <row r="6558">
      <c r="A6558" t="inlineStr">
        <is>
          <t>edah08</t>
        </is>
      </c>
      <c r="B6558" t="inlineStr">
        <is>
          <t>Little victories!</t>
        </is>
      </c>
      <c r="C6558" t="inlineStr">
        <is>
          <t>I always feel the need to celebrate the little victories. Today’s little victory is that pre chemo erniebernie bought nice food &amp;amp; drinks for post chemo erniebernie, I’m so happy with myself for looking after myself and thinking forward. 
Look after yourself everyone, put yourself first! Enjoy the little things in life. Celebrate the little victories &amp;amp; try not dwell on shit! 
Happy Christmas/Holidays! &amp;amp; I hope yous all have the best time yous can!</t>
        </is>
      </c>
      <c r="D6558" t="n">
        <v>1</v>
      </c>
      <c r="E6558" t="n">
        <v>5</v>
      </c>
      <c r="F6558">
        <f>HYPERLINK("https://www.reddit.com/r/cancer/comments/edah08/little_victories/")</f>
        <v/>
      </c>
      <c r="G6558" t="inlineStr">
        <is>
          <t>2019-12-20 05:53:12</t>
        </is>
      </c>
      <c r="H6558" t="inlineStr"/>
    </row>
    <row r="6559">
      <c r="A6559" t="inlineStr">
        <is>
          <t>edcdya</t>
        </is>
      </c>
      <c r="B6559" t="inlineStr">
        <is>
          <t>Mouth Dysplasia in young</t>
        </is>
      </c>
      <c r="C6559" t="inlineStr">
        <is>
          <t>Hello, can anyone tell me what can be the cause of oral dysplasia in young? Is it genetic?</t>
        </is>
      </c>
      <c r="D6559" t="n">
        <v>1</v>
      </c>
      <c r="E6559" t="n">
        <v>4</v>
      </c>
      <c r="F6559">
        <f>HYPERLINK("https://www.reddit.com/r/cancer/comments/edcdya/mouth_dysplasia_in_young/")</f>
        <v/>
      </c>
      <c r="G6559" t="inlineStr">
        <is>
          <t>2019-12-20 08:28:31</t>
        </is>
      </c>
      <c r="H6559" t="inlineStr"/>
    </row>
    <row r="6560">
      <c r="A6560" t="inlineStr">
        <is>
          <t>edchbf</t>
        </is>
      </c>
      <c r="B6560" t="inlineStr">
        <is>
          <t>Just a random thought I had while rubbing my peach fuzz on my bald head</t>
        </is>
      </c>
      <c r="C6560" t="inlineStr">
        <is>
          <t>Can you imagine a world where everyone has no hair, and those who have had chemo and have had cancer actually grow hair? How would you feel about that ?</t>
        </is>
      </c>
      <c r="D6560" t="n">
        <v>1</v>
      </c>
      <c r="E6560" t="n">
        <v>6</v>
      </c>
      <c r="F6560">
        <f>HYPERLINK("https://www.reddit.com/r/cancer/comments/edchbf/just_a_random_thought_i_had_while_rubbing_my/")</f>
        <v/>
      </c>
      <c r="G6560" t="inlineStr">
        <is>
          <t>2019-12-20 08:35:38</t>
        </is>
      </c>
      <c r="H6560" t="inlineStr"/>
    </row>
    <row r="6561">
      <c r="A6561" t="inlineStr">
        <is>
          <t>edcl4u</t>
        </is>
      </c>
      <c r="B6561" t="inlineStr">
        <is>
          <t>Hodgkins in remission, but pain in armpits, neck and groin</t>
        </is>
      </c>
      <c r="C6561" t="inlineStr">
        <is>
          <t>I had a stemcell transplant in september 2017 and 12 sessions of brentuximab through 2018. Starting the day after my SCT i felt pain in my armpit and on both sides i feel a lump that hurts when i close my armpits. My neck also feels strained and while i feel a couple of lymph nodes, the CT scans keeps showing nothing of note. Similarly, i have pain in my groin but nothing shows up on the CT or at least isnt reported. I am also pretty fatigued and feel tired the moment i wake up.
My onc feels its just anxiety and depression but i dont really feel that way. The scans were overread with the same results. Does anyone know what can be causing this? Can CT scans show nothing while something is there? The onc doesnt want to do pet scans due to the price and increased radiation. Bloodwork is all normal or as normal as it can be post SCT.</t>
        </is>
      </c>
      <c r="D6561" t="n">
        <v>1</v>
      </c>
      <c r="E6561" t="n">
        <v>3</v>
      </c>
      <c r="F6561">
        <f>HYPERLINK("https://www.reddit.com/r/cancer/comments/edcl4u/hodgkins_in_remission_but_pain_in_armpits_neck/")</f>
        <v/>
      </c>
      <c r="G6561" t="inlineStr">
        <is>
          <t>2019-12-20 08:43:45</t>
        </is>
      </c>
      <c r="H6561" t="inlineStr"/>
    </row>
    <row r="6562">
      <c r="A6562" t="inlineStr">
        <is>
          <t>eddoly</t>
        </is>
      </c>
      <c r="B6562" t="inlineStr">
        <is>
          <t>For Oncologists/Oncology Nurses: Cyberknife Radiosurgery/ Clinical Guideline Recommendation</t>
        </is>
      </c>
      <c r="C6562" t="inlineStr">
        <is>
          <t>BACKSTORY: I have 15 years supporting doctors who develop clinical guidelines (over 70 published). I’m gay and have been with my husband for many, many years. I love him to death but sometimes he misinterprets his appointments. 
My husband selected Cyberknife radiosurgery to treat intermediate prostate cancer. We’re committed to complete this therapy after the doctor implanted a SPAC-OAR (we now call it a Brazilian butt lift after we saw the medical device). He would like to report back: “If this is what vanity feels like, it is over-rated.”
We’re also committed to complete the therapy given the experience with the radiation oncologist for both the PET (or could have been CT) and then the MRI. When you do an enema, you feel very confident you're heading one direction!
I get a text at work: “THERE GOING TO CATH ME!” I responded: “Of F***!” since I can relate.. I have a D*** too. Afterwards, someone forgot to give him the soda warning between appointments and “his bladder was pumped to exactly the same amount of liquid for the MRI pictures!”
Please take this information in-context to what I'm asking below.
WHAT I WANT TO KNOW: The surgical urologist said Cyberknife is “finally in the guidelines” and the radiation oncologist mentioned “the data had been collected for years, its finally been aggregated, and is good.” 
Help me out, guys, since I can't find the guideline? Is it the 2017 AUA/ASTRO/SUO Guideline for Clinically Localized Prostate Cancer. Source: https://www.auanet.org/guidelines/prostate-cancer-clinically-localized-guideline
If yes, is Radiotherapy and Radiosurgery equivalent terms? Or, does Cyberknife have a unique clinical guideline recommendation?
Either way, for the case study of a 65-year old man, current diagnosis: intermediate risk prostate cancer, PSA consistent at 5 for 1.5 years, prior biopsy (1-year ago): low risk prostate cancer, no other risk factors (anticipated lifespan: long). What is the Strength of Recommendation and Level of Evidence? 
[And - Are there conflicting guidelines among U.S. based medical societies?]
(If you’re a doctor who’s peevish about responding, I assure you this is NOT a diagnosis! A grown man drove himself with an inserted cath from one facility to another to make it to his MRI appointment! You are doing God’s work at this point.)
My thinking (and please correct me): Cyberknife looks like its approved for Neurosurgery and not Urology. So, the clinical recommendation might just be Expert Opinion (but, the Guideline seems to say otherwise). 
Thanks in advance for pointing me in the right direction. This is about curiosity of the level of evidence than anything else.</t>
        </is>
      </c>
      <c r="D6562" t="n">
        <v>1</v>
      </c>
      <c r="E6562" t="n">
        <v>6</v>
      </c>
      <c r="F6562">
        <f>HYPERLINK("https://www.reddit.com/r/cancer/comments/eddoly/for_oncologistsoncology_nurses_cyberknife/")</f>
        <v/>
      </c>
      <c r="G6562" t="inlineStr">
        <is>
          <t>2019-12-20 10:07:23</t>
        </is>
      </c>
      <c r="H6562" t="inlineStr"/>
    </row>
    <row r="6563">
      <c r="A6563" t="inlineStr">
        <is>
          <t>eddt22</t>
        </is>
      </c>
      <c r="B6563" t="inlineStr">
        <is>
          <t>After Cancer and life style</t>
        </is>
      </c>
      <c r="C6563" t="inlineStr">
        <is>
          <t>Isn’t I have to be careful rest of my life? Who want to live like this? 
I don’t even dare to smoke one cigarette when I stress 
I have to follow all the healthy eating 
I am scare to drink any kind of alcohol especially vodka cuz it remind me of the chemo 
How about swimming in the ocean!? 
I was diagnosed lymphoma this April and finished all chemo last two weeks</t>
        </is>
      </c>
      <c r="D6563" t="n">
        <v>1</v>
      </c>
      <c r="E6563" t="n">
        <v>3</v>
      </c>
      <c r="F6563">
        <f>HYPERLINK("https://www.reddit.com/r/cancer/comments/eddt22/after_cancer_and_life_style/")</f>
        <v/>
      </c>
      <c r="G6563" t="inlineStr">
        <is>
          <t>2019-12-20 10:16:58</t>
        </is>
      </c>
      <c r="H6563" t="inlineStr"/>
    </row>
    <row r="6564">
      <c r="A6564" t="inlineStr">
        <is>
          <t>edgal9</t>
        </is>
      </c>
      <c r="B6564" t="inlineStr">
        <is>
          <t>God dammit... fuck you, lung cancer.</t>
        </is>
      </c>
      <c r="C6564" t="inlineStr">
        <is>
          <t>So my mom (60) was diagnosed with Stage IV NSCLC this past April. She was a non-smoker (hasn't smoked in 20 years), worked out six days a week, and was very active. It was just trash genetics. 
She had a tumour metastasized to her brain, which was almost completely removed via neurosurgery weeks after the diagnosis save for a very small lesion. 
She's been on chemotherapy and radiation since then, and it looked like she was on the upswing. 
Then today we got the news that her shoulder pain was because the cancer spread to her right scapula. As in, bone mets.
I'm just so dejected by this news, especially because I'm afraid that the treatments aren't working like we thought they were. Can anyone give me some sort of optimistic note (if any)? I really need to hear that there's still hope (and if there isn't, some comforting words would be helpful).
Thanks, guys. ❤️</t>
        </is>
      </c>
      <c r="D6564" t="n">
        <v>1</v>
      </c>
      <c r="E6564" t="n">
        <v>8</v>
      </c>
      <c r="F6564">
        <f>HYPERLINK("https://www.reddit.com/r/cancer/comments/edgal9/god_dammit_fuck_you_lung_cancer/")</f>
        <v/>
      </c>
      <c r="G6564" t="inlineStr">
        <is>
          <t>2019-12-20 13:23:39</t>
        </is>
      </c>
      <c r="H6564" t="inlineStr"/>
    </row>
    <row r="6565">
      <c r="A6565" t="inlineStr">
        <is>
          <t>edhgk4</t>
        </is>
      </c>
      <c r="B6565" t="inlineStr">
        <is>
          <t>Testicular cancer</t>
        </is>
      </c>
      <c r="C6565" t="inlineStr">
        <is>
          <t>Im pretty sure i have testicular cancer but im way too scared to go to the hospital about it iv just been burying my head in the sand but iv noticed lumps on other parts of my body and im honestly terrorfied incase it is 
What should i do</t>
        </is>
      </c>
      <c r="D6565" t="n">
        <v>1</v>
      </c>
      <c r="E6565" t="n">
        <v>0</v>
      </c>
      <c r="F6565">
        <f>HYPERLINK("https://www.reddit.com/r/cancer/comments/edhgk4/testicular_cancer/")</f>
        <v/>
      </c>
      <c r="G6565" t="inlineStr">
        <is>
          <t>2019-12-20 14:55:13</t>
        </is>
      </c>
      <c r="H6565" t="inlineStr"/>
    </row>
    <row r="6566">
      <c r="A6566" t="inlineStr">
        <is>
          <t>edijmk</t>
        </is>
      </c>
      <c r="B6566" t="inlineStr">
        <is>
          <t>Cancer sucks. An update.</t>
        </is>
      </c>
      <c r="C6566" t="inlineStr">
        <is>
          <t>I went to Dana Farber Monday morning to meet with my new oncologist and my head/neck surgeon. They were wonderful, and for the first time since all of this began, I feel like I got concrete answers. We know it’s thyroid cancer that’s metastatic to lymph nodes in the left side of my neck and my left clavicle region. We know I have lung nodules. However, there’s so much we don’t know yet. 
They’re having me do a lung biopsy because they didn’t light up on my pet scan, and they said they don’t even know if they’re cancerous. They’re testing the mass they took out of me already for a genetic mutation of the BRAF gene, which will tell us if it was genetic, and if it is, I can begin taking 2 mediations to help shrink my thyroid tumor before surgery. 
Anyways, in a few weeks I’m having surgery. My surgeon said it’s going to be at least an 8 hour surgery and most likely 5 nights in the hospital. They’re taking out all of the lymph nodes on the left side of my neck and my left collarbone area. They’re removing my entire thyroid. My thoracic surgeon who took out my mass is also going to be there to take out the lymph nodes at the top of my chest and beneath my sternum. After I’m healed from that, I’m going to do radioactive iodine, and after that, they’ll do more scans to see if I need external radiation (which I’m hoping I don’t.)
They’re also doing another biopsy on my thyroid itself to see if I have any areas that are “poorly differentiated”, basically meaning it’s more aggressive. They said that thyroid cancer is common in young women, but mine is more aggressive than they normally see, but they said it could just be because they think I’ve had it for years. 
All in all, I’m terrified, but I feel really confident with my doctors. They’re the best in the world. The next month is going to be a whirlwind of tests and surgeries. They also mentioned how it has a higher reoccurrence rate, which is the reason they’re taking the lymph nodes in the top of my chest as well. That was jarring for me to hear, but they’re doing what they can.</t>
        </is>
      </c>
      <c r="D6566" t="n">
        <v>1</v>
      </c>
      <c r="E6566" t="n">
        <v>8</v>
      </c>
      <c r="F6566">
        <f>HYPERLINK("https://www.reddit.com/r/cancer/comments/edijmk/cancer_sucks_an_update/")</f>
        <v/>
      </c>
      <c r="G6566" t="inlineStr">
        <is>
          <t>2019-12-20 16:25:39</t>
        </is>
      </c>
      <c r="H6566" t="inlineStr"/>
    </row>
    <row r="6567">
      <c r="A6567" t="inlineStr">
        <is>
          <t>edj0vl</t>
        </is>
      </c>
      <c r="B6567" t="inlineStr">
        <is>
          <t>End stage colon cancer</t>
        </is>
      </c>
      <c r="C6567" t="inlineStr">
        <is>
          <t>My mum has colon cancer 2 years ago and got part of her colon removed. It’s only stage 3 at that time, we had her on targeted drugs and chemotherapy. Fast forward today, the cancer has spread to her stomach and lung. It’s beginning to cause complication on her organs. One of her lung has collapsed.  She’s too weak to undergoes chemotherapy anymore. Our oncology say no further treatment and put her into palliative care.
I couldn’t accept the fact that it progress so far. Then I come across NK cell treatment which claim they can cure my mum. However everyone I spoken to say they are just trying to make a quick buck out of me. Please do let me know if anyone heard of this treatment and have any experience on it.</t>
        </is>
      </c>
      <c r="D6567" t="n">
        <v>1</v>
      </c>
      <c r="E6567" t="n">
        <v>4</v>
      </c>
      <c r="F6567">
        <f>HYPERLINK("https://www.reddit.com/r/cancer/comments/edj0vl/end_stage_colon_cancer/")</f>
        <v/>
      </c>
      <c r="G6567" t="inlineStr">
        <is>
          <t>2019-12-20 17:05:44</t>
        </is>
      </c>
      <c r="H6567" t="inlineStr"/>
    </row>
    <row r="6568">
      <c r="A6568" t="inlineStr">
        <is>
          <t>edk49b</t>
        </is>
      </c>
      <c r="B6568" t="inlineStr">
        <is>
          <t>Any suggestions for special things we prepare now to give the kids after Mom passes?</t>
        </is>
      </c>
      <c r="C6568" t="inlineStr">
        <is>
          <t>I am the husband and caregiver. My wife was diagnosed with colorectal cancer with mets to lungs, lymph nodes and brain. We fought it for awhile but it is spreading fast. A recent brain MRI showed 13 tumors of various sizes, but nothing currently urgent. We have been told she has about a year to live. We will continue to fight, but we also want to be as prepared as possible. 
We have a 21 year old and a 17 year old. My wife is an incredible mother and we have been looking forward to future graduations, weddings and babies. We understand that, barring a miracle (and we believe in miracles), she won’t make it for most of these events. So, here’s my question for you all - we would like to do some special things for the kids from Mom, like notes, birthday cards, audio recordings or videos  to open in the future, like on their wedding day or college graduation or maybe just a day they are having a tough time and missing their Mom. Has anyone done this and have any suggestions?
I used making videos as an example, but my wife doesn’t look like herself right now (steroid puffy) so I’m not sure if we want the kids remembering her like that. The same goes for handwritten letters - the brain tumors are effecting her motor skills in her dominant hand, so handwritten letters aren’t going to happen right now.</t>
        </is>
      </c>
      <c r="D6568" t="n">
        <v>1</v>
      </c>
      <c r="E6568" t="n">
        <v>10</v>
      </c>
      <c r="F6568">
        <f>HYPERLINK("https://www.reddit.com/r/cancer/comments/edk49b/any_suggestions_for_special_things_we_prepare_now/")</f>
        <v/>
      </c>
      <c r="G6568" t="inlineStr">
        <is>
          <t>2019-12-20 18:43:45</t>
        </is>
      </c>
      <c r="H6568" t="inlineStr"/>
    </row>
    <row r="6569">
      <c r="A6569" t="inlineStr">
        <is>
          <t>edkcff</t>
        </is>
      </c>
      <c r="B6569" t="inlineStr">
        <is>
          <t>A year ago today</t>
        </is>
      </c>
      <c r="C6569" t="inlineStr">
        <is>
          <t>I had my mastectomy.</t>
        </is>
      </c>
      <c r="D6569" t="n">
        <v>1</v>
      </c>
      <c r="E6569" t="n">
        <v>6</v>
      </c>
      <c r="F6569">
        <f>HYPERLINK("https://www.reddit.com/r/cancer/comments/edkcff/a_year_ago_today/")</f>
        <v/>
      </c>
      <c r="G6569" t="inlineStr">
        <is>
          <t>2019-12-20 19:04:26</t>
        </is>
      </c>
      <c r="H6569" t="inlineStr"/>
    </row>
    <row r="6570">
      <c r="A6570" t="inlineStr">
        <is>
          <t>edl5og</t>
        </is>
      </c>
      <c r="B6570" t="inlineStr">
        <is>
          <t>I promised myself I would write personal letters to those in my life in case I somehow died</t>
        </is>
      </c>
      <c r="C6570" t="inlineStr">
        <is>
          <t>I feel like I post too much on here and I’m sorry. When i first got sick I found myself scared out of my mind. Only 18 and I suddenly have something that could easily make those 18 years my only. I have a lot of regrets in life and my biggest was not telling my Mom how i really felt. I always held a grudge because of how she treated me growing up and couldn’t find it in myself to forgive her, but I couldn’t die without her knowing I really love her and I just miss having my best friend. So I wrote her a letter, along with my other mother, my sister, and my best friend. I can honestly say that if I died i would be happy knowing they knew how much they meant to me in their own way even though I may have neglected to express it. I’m honestly crying reading what I wrote straight from the heart. I can’t imagine my life without these people and I hope they don’t have to learn to live a life without me. Either way, these messages will reach their destinations.</t>
        </is>
      </c>
      <c r="D6570" t="n">
        <v>1</v>
      </c>
      <c r="E6570" t="n">
        <v>7</v>
      </c>
      <c r="F6570">
        <f>HYPERLINK("https://www.reddit.com/r/cancer/comments/edl5og/i_promised_myself_i_would_write_personal_letters/")</f>
        <v/>
      </c>
      <c r="G6570" t="inlineStr">
        <is>
          <t>2019-12-20 20:20:13</t>
        </is>
      </c>
      <c r="H6570" t="inlineStr"/>
    </row>
    <row r="6571">
      <c r="A6571" t="inlineStr">
        <is>
          <t>edlj9t</t>
        </is>
      </c>
      <c r="B6571" t="inlineStr">
        <is>
          <t>Brain tumors: What are your experiences?</t>
        </is>
      </c>
      <c r="C6571" t="inlineStr">
        <is>
          <t>Did you have pain? What treatment are you doing? Where?</t>
        </is>
      </c>
      <c r="D6571" t="n">
        <v>1</v>
      </c>
      <c r="E6571" t="n">
        <v>4</v>
      </c>
      <c r="F6571">
        <f>HYPERLINK("https://www.reddit.com/r/cancer/comments/edlj9t/brain_tumors_what_are_your_experiences/")</f>
        <v/>
      </c>
      <c r="G6571" t="inlineStr">
        <is>
          <t>2019-12-20 20:55:09</t>
        </is>
      </c>
      <c r="H6571" t="inlineStr"/>
    </row>
    <row r="6572">
      <c r="A6572" t="inlineStr">
        <is>
          <t>edm0w0</t>
        </is>
      </c>
      <c r="B6572" t="inlineStr">
        <is>
          <t>Loss via lung cancer</t>
        </is>
      </c>
      <c r="C6572" t="inlineStr">
        <is>
          <t>Today I lost my grandmother to lung cancer, she fought hard continuously for 5 years before passing on early evening Dec 19. She looked so peaceful as she fell into her eternal slumber, a kind soul leaves us, as many do to cancer. She lived happily until the age of 73.</t>
        </is>
      </c>
      <c r="D6572" t="n">
        <v>1</v>
      </c>
      <c r="E6572" t="n">
        <v>2</v>
      </c>
      <c r="F6572">
        <f>HYPERLINK("https://www.reddit.com/r/cancer/comments/edm0w0/loss_via_lung_cancer/")</f>
        <v/>
      </c>
      <c r="G6572" t="inlineStr">
        <is>
          <t>2019-12-20 21:42:18</t>
        </is>
      </c>
      <c r="H6572" t="inlineStr"/>
    </row>
    <row r="6573">
      <c r="A6573" t="inlineStr">
        <is>
          <t>edrx3v</t>
        </is>
      </c>
      <c r="B6573" t="inlineStr">
        <is>
          <t>Anyone else with metastasized liver cancer ??</t>
        </is>
      </c>
      <c r="C6573" t="inlineStr">
        <is>
          <t>Hi so I’m 18 F with stage 4 liver cancer which means it has spread from my liver to other parts of my body . I got diagnosed with it at 14 but with the size of the tumor attached to my liver you could tell it had been growing for years I barely had any symptoms and it took me going into foster care and my foster mom thinking I had an eating disorder to get seen and diagnosed . Originally there were no treatments and only surgery was an option but 2 years later when I was 16 I started on a treatment called keytruda which basically ramps up your immune system to attack your cancer cells . That worked for me for another 2 years or so but soon they noticed tumors were actually continuing to grow . I then switched to another treatment I forget the name which did work for a while but then all of a sudden it gave me severe inflammation to the point I ended up in the hospital for a week with pretty significant pain . At this point my doctor is saying she doesn’t believe that there are any other treatment options that would be helpful for me and so we are kinda at the end of the road here according to her . I’ve never met anyone with my kind of cancer . Any comments and advice would be so appreciated I honestly am not sure what to do at this point.</t>
        </is>
      </c>
      <c r="D6573" t="n">
        <v>1</v>
      </c>
      <c r="E6573" t="n">
        <v>28</v>
      </c>
      <c r="F6573">
        <f>HYPERLINK("https://www.reddit.com/r/cancer/comments/edrx3v/anyone_else_with_metastasized_liver_cancer/")</f>
        <v/>
      </c>
      <c r="G6573" t="inlineStr">
        <is>
          <t>2019-12-21 08:32:47</t>
        </is>
      </c>
      <c r="H6573" t="inlineStr"/>
    </row>
    <row r="6574">
      <c r="A6574" t="inlineStr">
        <is>
          <t>eds3ia</t>
        </is>
      </c>
      <c r="B6574" t="inlineStr">
        <is>
          <t>Feedback on DBCL experience</t>
        </is>
      </c>
      <c r="C6574" t="inlineStr">
        <is>
          <t>Looks like my cancer is back, but still waiting on a biopsy to determine the type. 5cm x 3 cm along my spine lit up on the PET. I did 6 rounds of R-CHOP 5 yrs ago when I was 46 and 2 yrs of "maintenance" Rituxan. This one grew pretty fast and it has me thinking (I should know better than to visit Dr Google). Anyhoo- anyone out there have their Follicular NHL convert to DBCL?  What was your experience?</t>
        </is>
      </c>
      <c r="D6574" t="n">
        <v>1</v>
      </c>
      <c r="E6574" t="n">
        <v>0</v>
      </c>
      <c r="F6574">
        <f>HYPERLINK("https://www.reddit.com/r/cancer/comments/eds3ia/feedback_on_dbcl_experience/")</f>
        <v/>
      </c>
      <c r="G6574" t="inlineStr">
        <is>
          <t>2019-12-21 08:46:49</t>
        </is>
      </c>
      <c r="H6574" t="inlineStr"/>
    </row>
    <row r="6575">
      <c r="A6575" t="inlineStr">
        <is>
          <t>edsay1</t>
        </is>
      </c>
      <c r="B6575" t="inlineStr">
        <is>
          <t>DAE wonder if more treatment for a few more years of a seriously damaged life is worth it?</t>
        </is>
      </c>
      <c r="C6575" t="inlineStr">
        <is>
          <t>I know the general consensus is suffering through anything is worth it if it extends our lives.
I'm seriously wondering if that's the case for me.  
After a complete laryngectomy I am spending every minute of every day feeling like I am being hung by the neck.  I cannot speak (although that may come back to some extent), have a permanent hole in my neck that is all but impossible to hide, not to mention an ear to ear incision that is right out of a horror movie.  I can't swallow properly or taste or smell anything much.  I'll never breath through my nose again, can't cough or sneeze or even blow my nose.  That last one is a big problem because it leads to uncontrolled mucus literally running without warning out of my nose.  I feel like I can never go out in public again.
I was a good cook and a foodie, but no more.  One of the things I enjoyed most was going out occasionally for a good meal, but IDN why I'd want to pay for a meal I can't taste.  So many of the things I really enjoyed in my life are gone, and gone permanently.
Now I'm facing up to 8 weeks of daily radiation and all the associated damage it causes on top of that. Radiation typically damages taste and smell even more, sometimes destroying both completely.
I do have a SO who is suffering intensely watching me go through this, but no kids to worry about and at this point I do not think I want to live this way.  
Those of you who have recovered from cancer but have lost the things in life you love, how do you cope?  Was it worth it for a few more years of life?
**</t>
        </is>
      </c>
      <c r="D6575" t="n">
        <v>1</v>
      </c>
      <c r="E6575" t="n">
        <v>12</v>
      </c>
      <c r="F6575">
        <f>HYPERLINK("https://www.reddit.com/r/cancer/comments/edsay1/dae_wonder_if_more_treatment_for_a_few_more_years/")</f>
        <v/>
      </c>
      <c r="G6575" t="inlineStr">
        <is>
          <t>2019-12-21 09:02:56</t>
        </is>
      </c>
      <c r="H6575" t="inlineStr"/>
    </row>
    <row r="6576">
      <c r="A6576" t="inlineStr">
        <is>
          <t>edshqh</t>
        </is>
      </c>
      <c r="B6576" t="inlineStr">
        <is>
          <t>Setting boundaries with a cancer patient parent</t>
        </is>
      </c>
      <c r="C6576" t="inlineStr">
        <is>
          <t>So I had a really long post but reddit wouldn’t let me add it. Suffice to say I reached my breaking point after five weeks (4+1) caregiving for my mom. She doesn’t have a rough prognosis but she - her entire life - exhibits add symptoms. Can’t focus on what people are saying, learned to fake it, develops only superficial friendships that don’t last when things change, has to write everything down immediately and remind herself all the time, constant state of anxiety about things, etc.
I spent a month with her: helped her recover from sepsis and get through first chemo. Flee back for a week to help with second chemo. Everything fine until she had a 2nd reaction to the formulation. This combined with not taking her stool softeners led to a manic panic (hysteria) where she was in a bathroom sobbing sticking her finders up her ass to pull out shirk she bled. Before she started to do so I told her I was going to call the on call nurse and that she shouldn’t do it. I tried to get her to stop; she yelled at me to butt out. I called. While on phone, she comes out saying she’s bleeding and is very calm. I tell the nurse exactly what happened and my mom says I’m exaggerating, I let the nurse talk to my mom and my mom is perfectly calm and blamed me for causing panic. I was livid. Didn’t speak to her for the next 18 hours when I left to fly home as planned. Texted her I could not enable he behavior, that she needed a therapist, and if she would not see a therapist I wouldn’t be back until she landed herself in intensive care. (She has money to pay for private nurses if she chooses.) I told via text her this is the hardest thing for me but I can’t be a part of how she wants to do things. I couldn’t say I loved her; that would have made me break down. Two days later I can’t shake my feeling like a bad person. I have a fiancé and two pets, a career, 3000 miles away. I need to stay sane, but at her expense?! I just feel broken this holiday, little makes me smile.</t>
        </is>
      </c>
      <c r="D6576" t="n">
        <v>1</v>
      </c>
      <c r="E6576" t="n">
        <v>20</v>
      </c>
      <c r="F6576">
        <f>HYPERLINK("https://www.reddit.com/r/cancer/comments/edshqh/setting_boundaries_with_a_cancer_patient_parent/")</f>
        <v/>
      </c>
      <c r="G6576" t="inlineStr">
        <is>
          <t>2019-12-21 09:17:17</t>
        </is>
      </c>
      <c r="H6576" t="inlineStr"/>
    </row>
    <row r="6577">
      <c r="A6577" t="inlineStr">
        <is>
          <t>edsl70</t>
        </is>
      </c>
      <c r="B6577" t="inlineStr">
        <is>
          <t>My aunt has endometrial cancer and she has an open wound (around the tumor) from surgery?</t>
        </is>
      </c>
      <c r="C6577" t="inlineStr">
        <is>
          <t>Hi guys, 
my aunt has stage 4 endometrial cancer and the chemotherapy that she took was not helpful at all. Her tumor did not shrink nor did it grow. The doctors said the best thing to do is to not take chemo anymore. They offered to give her chemotherapy tablets to see if that would help with the tumor, however we're unsure if that will help or make things worse (let me know your experience on this matter). Anyway, my aunt did surgery near the tumor a long time ago but the open wound from surgery wouldn't close because the chemotherapy has made her skin very thin and it's unable to heal itself and close the wound. We now put medical stickers and pads to cover the wound so it doesn't get infected, but whenever she gets up or sits or stands or moves, the liquid from the open wound comes out and falls from her leg (the sticker starts falling off). Does anyone know any better and more practical methods to fix this issue so she can get up without worrying that the wound will have liquid oozing out of the pad and sticker? Like a drain or something kind of like an ileostomy bag? Because now she stops moving and sleeps all day to stop the tumor wound from oozing and she's barely moving to the point where it caused a blood clot in her leg. Please help me and let me know if you guys know any methods in general that help with shrinking her tumor as we might not give her chemo tablets and rather work on a better diet like cbd oil and other stuff. and let me know if you guys suggest she takes chemo tablets. thanks.</t>
        </is>
      </c>
      <c r="D6577" t="n">
        <v>1</v>
      </c>
      <c r="E6577" t="n">
        <v>2</v>
      </c>
      <c r="F6577">
        <f>HYPERLINK("https://www.reddit.com/r/cancer/comments/edsl70/my_aunt_has_endometrial_cancer_and_she_has_an/")</f>
        <v/>
      </c>
      <c r="G6577" t="inlineStr">
        <is>
          <t>2019-12-21 09:24:57</t>
        </is>
      </c>
      <c r="H6577" t="inlineStr"/>
    </row>
    <row r="6578">
      <c r="A6578" t="inlineStr">
        <is>
          <t>edulqh</t>
        </is>
      </c>
      <c r="B6578" t="inlineStr">
        <is>
          <t>They know what cancer is(kappa)</t>
        </is>
      </c>
      <c r="C6578" t="inlineStr">
        <is>
          <t>&amp;amp;#x200B;
https://preview.redd.it/v3neja56m1641.jpg?width=1084&amp;amp;format=pjpg&amp;amp;auto=webp&amp;amp;s=e0c83f7970a4420a9f8c552416d987435e971db8</t>
        </is>
      </c>
      <c r="D6578" t="n">
        <v>1</v>
      </c>
      <c r="E6578" t="n">
        <v>0</v>
      </c>
      <c r="F6578">
        <f>HYPERLINK("https://www.reddit.com/r/cancer/comments/edulqh/they_know_what_cancer_iskappa/")</f>
        <v/>
      </c>
      <c r="G6578" t="inlineStr">
        <is>
          <t>2019-12-21 12:04:28</t>
        </is>
      </c>
      <c r="H6578" t="inlineStr"/>
    </row>
    <row r="6579">
      <c r="A6579" t="inlineStr">
        <is>
          <t>edv3b3</t>
        </is>
      </c>
      <c r="B6579" t="inlineStr">
        <is>
          <t>Lung carcinoid</t>
        </is>
      </c>
      <c r="C6579" t="inlineStr">
        <is>
          <t>Well I never thought I’d be posting in r/cancer. Hi everyone.
A fluke chest x-ray revealed a round 4cm mass on my upper left lung.  Follow-up CT revealed something that “looks like” carcinoid, and “doesn’t look like lung cancer” but doctors still want PET and probably more follow-ups before any kind of diagnosis.  Told me I can even wait a week or two for the PET after the holidays are over.  Either way because of the size they’ll need to take it out.  No real symptoms, maybe the tiniest change in breathing (this could be psychosomatic now that I know what’s going on).
Questions:
1. If it’s not a carcinoid, then what the hell else is it that “looks like carcinoid but not lung cancer”
2. Anyone go thru a lung carcinoid and willing to share their experience/treatment/etc? It’s rare and most aren’t even in the lung.
3. What else should I ask / need to know when I finally get in to see doctors?
Thanks and hoping someone might have some insight. Feeling very alone in all of these even with VERY supportive family/friends.</t>
        </is>
      </c>
      <c r="D6579" t="n">
        <v>1</v>
      </c>
      <c r="E6579" t="n">
        <v>7</v>
      </c>
      <c r="F6579">
        <f>HYPERLINK("https://www.reddit.com/r/cancer/comments/edv3b3/lung_carcinoid/")</f>
        <v/>
      </c>
      <c r="G6579" t="inlineStr">
        <is>
          <t>2019-12-21 12:44:35</t>
        </is>
      </c>
      <c r="H6579" t="inlineStr"/>
    </row>
    <row r="6580">
      <c r="A6580" t="inlineStr">
        <is>
          <t>edv89a</t>
        </is>
      </c>
      <c r="B6580" t="inlineStr">
        <is>
          <t>Adhesion Pain?</t>
        </is>
      </c>
      <c r="C6580" t="inlineStr">
        <is>
          <t>After lifting anything heavy I have shooting and burning pain around the larger incision which starts near belly button and follows pant line for 7 inches.  
I am almost 4 months post-op for radical nephrectomy.  
I also feel like I might have some blockages with anything from constipation to water diarrhea.  Pain in spot in upper intestines needs massaging every so often to pass larger lumps. 
How long until this pain goes away?</t>
        </is>
      </c>
      <c r="D6580" t="n">
        <v>1</v>
      </c>
      <c r="E6580" t="n">
        <v>1</v>
      </c>
      <c r="F6580">
        <f>HYPERLINK("https://www.reddit.com/r/cancer/comments/edv89a/adhesion_pain/")</f>
        <v/>
      </c>
      <c r="G6580" t="inlineStr">
        <is>
          <t>2019-12-21 12:55:37</t>
        </is>
      </c>
      <c r="H6580" t="inlineStr"/>
    </row>
    <row r="6581">
      <c r="A6581" t="inlineStr">
        <is>
          <t>edwbg6</t>
        </is>
      </c>
      <c r="B6581" t="inlineStr">
        <is>
          <t>Anyone had mouth bone lesion biopsy done? Curious to hear stories from others.</t>
        </is>
      </c>
      <c r="C6581" t="inlineStr">
        <is>
          <t>The oral surgeon's CT scan detected a 5mm x 5mm lesion which was removed yesterday. I now need to wait two weeks for the biopsy results and the suspense is too much to handle!  (I am 31yr, female, with a recent history of niftp thyroid cancer)</t>
        </is>
      </c>
      <c r="D6581" t="n">
        <v>1</v>
      </c>
      <c r="E6581" t="n">
        <v>0</v>
      </c>
      <c r="F6581">
        <f>HYPERLINK("https://www.reddit.com/r/cancer/comments/edwbg6/anyone_had_mouth_bone_lesion_biopsy_done_curious/")</f>
        <v/>
      </c>
      <c r="G6581" t="inlineStr">
        <is>
          <t>2019-12-21 14:26:03</t>
        </is>
      </c>
      <c r="H6581" t="inlineStr"/>
    </row>
    <row r="6582">
      <c r="A6582" t="inlineStr">
        <is>
          <t>edwlyq</t>
        </is>
      </c>
      <c r="B6582" t="inlineStr">
        <is>
          <t>Anyone have any happy cancer stories?</t>
        </is>
      </c>
      <c r="C6582" t="inlineStr">
        <is>
          <t>I don't have cancer. I lost my mom to cancer when I was 24 (27 now). In the past two days, I've been to two funeral homes for parents of friends. Both died to cancer. I'm so pissed. I'm so sad. I hate cancer so much. Does anyone have any happy stories? Remission stories? Who beat the shit out of this awful disease?</t>
        </is>
      </c>
      <c r="D6582" t="n">
        <v>1</v>
      </c>
      <c r="E6582" t="n">
        <v>12</v>
      </c>
      <c r="F6582">
        <f>HYPERLINK("https://www.reddit.com/r/cancer/comments/edwlyq/anyone_have_any_happy_cancer_stories/")</f>
        <v/>
      </c>
      <c r="G6582" t="inlineStr">
        <is>
          <t>2019-12-21 14:49:39</t>
        </is>
      </c>
      <c r="H6582" t="inlineStr"/>
    </row>
    <row r="6583">
      <c r="A6583" t="inlineStr">
        <is>
          <t>ee0t5o</t>
        </is>
      </c>
      <c r="B6583" t="inlineStr">
        <is>
          <t>My heart is shattered</t>
        </is>
      </c>
      <c r="C6583" t="inlineStr">
        <is>
          <t>If you’ve been keeping up with all my other posts then you would understand what’s going on, Friday afternoon mum came home instead of doing chemo they decided to do immunotherapy because she had Pneumonia but she managed to get through it (thankfully) my sister told me to have the weekend off and have a break so I took it, everything was going great until late last night (Saturday) I woke up during the night because I felt like something was wrong and my gut feeling was right, I woke up this morning to find out mum had another ambulance called because she had a high temperature but she also had a seizure.. my mother has NEVER had a seizure in her life, I feel so guilty for not being at home, I feel so sad and guilty for everything, I am so terrified that we are heading towards the end of our battle and I don’t know how to cope with it at all 💔</t>
        </is>
      </c>
      <c r="D6583" t="n">
        <v>1</v>
      </c>
      <c r="E6583" t="n">
        <v>9</v>
      </c>
      <c r="F6583">
        <f>HYPERLINK("https://www.reddit.com/r/cancer/comments/ee0t5o/my_heart_is_shattered/")</f>
        <v/>
      </c>
      <c r="G6583" t="inlineStr">
        <is>
          <t>2019-12-21 21:03:45</t>
        </is>
      </c>
      <c r="H6583" t="inlineStr"/>
    </row>
    <row r="6584">
      <c r="A6584" t="inlineStr">
        <is>
          <t>ee3m9p</t>
        </is>
      </c>
      <c r="B6584" t="inlineStr">
        <is>
          <t>Can’t shake the guilt</t>
        </is>
      </c>
      <c r="C6584" t="inlineStr">
        <is>
          <t>Hi r/cancer,
I hope everyone is getting by. I been sick since March with sarcoma and I been struggling from a mental prospective of feeling guilty. I feel guilty with delivering bad news. I feel guilty with taking scans that may have bad news. If I don’t make it through treatment I feel guilty I’m causing this pain to my loved ones, or my caretakers. 
I have nightmares of how I told my parents of the news I had cancer and that we would have to do this again. 
How do I shake this guilt, I think it’s holding be back from being better. 
Thank you</t>
        </is>
      </c>
      <c r="D6584" t="n">
        <v>1</v>
      </c>
      <c r="E6584" t="n">
        <v>7</v>
      </c>
      <c r="F6584">
        <f>HYPERLINK("https://www.reddit.com/r/cancer/comments/ee3m9p/cant_shake_the_guilt/")</f>
        <v/>
      </c>
      <c r="G6584" t="inlineStr">
        <is>
          <t>2019-12-22 02:43:56</t>
        </is>
      </c>
      <c r="H6584" t="inlineStr"/>
    </row>
    <row r="6585">
      <c r="A6585" t="inlineStr">
        <is>
          <t>ee5pwn</t>
        </is>
      </c>
      <c r="B6585" t="inlineStr">
        <is>
          <t>Hi everybody</t>
        </is>
      </c>
      <c r="C6585" t="inlineStr">
        <is>
          <t>this might be a little different compared to what is normally on here but i just had to post this , u/ItsLilly22 is lying about having brain cancer on ama. reading through her posts will show you what i mean.</t>
        </is>
      </c>
      <c r="D6585" t="n">
        <v>1</v>
      </c>
      <c r="E6585" t="n">
        <v>22</v>
      </c>
      <c r="F6585">
        <f>HYPERLINK("https://www.reddit.com/r/cancer/comments/ee5pwn/hi_everybody/")</f>
        <v/>
      </c>
      <c r="G6585" t="inlineStr">
        <is>
          <t>2019-12-22 06:57:30</t>
        </is>
      </c>
      <c r="H6585" t="inlineStr"/>
    </row>
    <row r="6586">
      <c r="A6586" t="inlineStr">
        <is>
          <t>ee645g</t>
        </is>
      </c>
      <c r="B6586" t="inlineStr">
        <is>
          <t>22, brain cancer. Feeling really defeated.</t>
        </is>
      </c>
      <c r="C6586" t="inlineStr">
        <is>
          <t>Discovered a brain tumor in May, had surgery then radiotherapy and now I am on a pause between my 2nd and 3rd chemo cycle.
I am just so done with everything. The exhaustion, low appetite, forgetfulness, neuropathy pain,... I can't. I am slowly getting broken down and depressed and I try to be strong and positive but it's just fucking exhausting. I just don't want to be me anymore, or in this place. I feel so done.
Has anyone experienced similar feelings because I feel so alone and I want to talk to somebody.</t>
        </is>
      </c>
      <c r="D6586" t="n">
        <v>1</v>
      </c>
      <c r="E6586" t="n">
        <v>26</v>
      </c>
      <c r="F6586">
        <f>HYPERLINK("https://www.reddit.com/r/cancer/comments/ee645g/22_brain_cancer_feeling_really_defeated/")</f>
        <v/>
      </c>
      <c r="G6586" t="inlineStr">
        <is>
          <t>2019-12-22 07:32:52</t>
        </is>
      </c>
      <c r="H6586" t="inlineStr"/>
    </row>
    <row r="6587">
      <c r="A6587" t="inlineStr">
        <is>
          <t>ee6rjh</t>
        </is>
      </c>
      <c r="B6587" t="inlineStr">
        <is>
          <t>How likely is it to get Cancer with 19?</t>
        </is>
      </c>
      <c r="C6587" t="inlineStr">
        <is>
          <t>So im 19 Years old and im almost 100% sure that i have colon cancer, i've got all these symptoms ( blood in stool/slime in stool, often constipation and sometimes  diarrhea, my colon feels awkward sometimes, im often tired etc.
even tho im sure that i have colon cancer my family are saying its unlikely since im 19 and we never had someone in our family with cancer before. how likely is it?</t>
        </is>
      </c>
      <c r="D6587" t="n">
        <v>1</v>
      </c>
      <c r="E6587" t="n">
        <v>4</v>
      </c>
      <c r="F6587">
        <f>HYPERLINK("https://www.reddit.com/r/cancer/comments/ee6rjh/how_likely_is_it_to_get_cancer_with_19/")</f>
        <v/>
      </c>
      <c r="G6587" t="inlineStr">
        <is>
          <t>2019-12-22 08:27:17</t>
        </is>
      </c>
      <c r="H6587" t="inlineStr"/>
    </row>
    <row r="6588">
      <c r="A6588" t="inlineStr">
        <is>
          <t>ee6rxm</t>
        </is>
      </c>
      <c r="B6588" t="inlineStr">
        <is>
          <t>My dad is dying</t>
        </is>
      </c>
      <c r="C6588" t="inlineStr">
        <is>
          <t>Hi all. I’m new to this subreddit, but I wish I had found it much sooner. My dad has had brain cancer for the past 20 years. He was diagnosed with oligodendroglioma when I was 9 and I am now 29. Over the summer we were told that the chemo he was on was not working, and since we had exhausted every option the doctors decided to end treatment. His health over the past five months has deteriorated so rapidly that I still haven’t been able to process everything.   Over the past few weeks he has been having hallucinations. On Friday my mom found him at 5 a.m with a hoe, flashlight, and cowboy hat. He said he was hunting. He has been falling and having trouble standing. He fell on Friday and he hasn’t been able to walk or get up since. His feet are mottling and his hands are freezing. He can’t really speak and he isn’t eating. His kidneys are failing. I have spent the last twenty years of my life expecting to get a call from my mom saying that my dad is about to die or has died. Even though I have been expecting the news for twenty years, nothing has prepared me for it. I don’t think any amount of preparation could prepare me for the amount of pain and sadness I am feeling right now. I don’t know what I am going to do without my dad. The only thing that is comforting me right now is the fact that he isn’t in pain. I hope everyone has a nice Christmas and hold your loved ones tight.</t>
        </is>
      </c>
      <c r="D6588" t="n">
        <v>1</v>
      </c>
      <c r="E6588" t="n">
        <v>4</v>
      </c>
      <c r="F6588">
        <f>HYPERLINK("https://www.reddit.com/r/cancer/comments/ee6rxm/my_dad_is_dying/")</f>
        <v/>
      </c>
      <c r="G6588" t="inlineStr">
        <is>
          <t>2019-12-22 08:28:09</t>
        </is>
      </c>
      <c r="H6588" t="inlineStr"/>
    </row>
    <row r="6589">
      <c r="A6589" t="inlineStr">
        <is>
          <t>ee6y7e</t>
        </is>
      </c>
      <c r="B6589" t="inlineStr">
        <is>
          <t>Uncle has cancer</t>
        </is>
      </c>
      <c r="C6589" t="inlineStr">
        <is>
          <t>Hi all,
Just here to ask for some advice..
My uncle has liver cancer and he's only on pain medication as the 2 hospitals he's gone to has said theres not much they can do left. 
Was wondering if there's any food or natural meds available that can help him...even if it's just a little. Probably impossible but still worth asking..
Also he's desperately craving for something sweet, doctors has told him to stay off sugar and he can't have even a little..was wondering is there any cancer friendly sweets or chocolate he can have. Even if its just a nibble?</t>
        </is>
      </c>
      <c r="D6589" t="n">
        <v>1</v>
      </c>
      <c r="E6589" t="n">
        <v>5</v>
      </c>
      <c r="F6589">
        <f>HYPERLINK("https://www.reddit.com/r/cancer/comments/ee6y7e/uncle_has_cancer/")</f>
        <v/>
      </c>
      <c r="G6589" t="inlineStr">
        <is>
          <t>2019-12-22 08:42:06</t>
        </is>
      </c>
      <c r="H6589" t="inlineStr"/>
    </row>
    <row r="6590">
      <c r="A6590" t="inlineStr">
        <is>
          <t>ee7m61</t>
        </is>
      </c>
      <c r="B6590" t="inlineStr">
        <is>
          <t>Anyone else feel like they don’t look the same since they were diagnosed and gone through chemo?</t>
        </is>
      </c>
      <c r="C6590" t="inlineStr">
        <is>
          <t>I feel like ever since I was diagnosed and finished treatment I don’t look the same. (cancer free since October btw) I’m super happy and relieved it’s over but I feel like I look sad in the eye like I went through hell. Any survivors does this get better? Thanks</t>
        </is>
      </c>
      <c r="D6590" t="n">
        <v>1</v>
      </c>
      <c r="E6590" t="n">
        <v>23</v>
      </c>
      <c r="F6590">
        <f>HYPERLINK("https://www.reddit.com/r/cancer/comments/ee7m61/anyone_else_feel_like_they_dont_look_the_same/")</f>
        <v/>
      </c>
      <c r="G6590" t="inlineStr">
        <is>
          <t>2019-12-22 09:34:26</t>
        </is>
      </c>
      <c r="H6590" t="inlineStr"/>
    </row>
    <row r="6591">
      <c r="A6591" t="inlineStr">
        <is>
          <t>ee8bis</t>
        </is>
      </c>
      <c r="B6591" t="inlineStr">
        <is>
          <t>I feel so hopeless</t>
        </is>
      </c>
      <c r="C6591" t="inlineStr">
        <is>
          <t>And guilty. And pathetic. 
I beat cervical cancer. I did the chemo/radiation/brachytherapy. All of it. And i have no more tumor. Which is the best news ever. I’ve been NED since September. I’ve had very little complications made it thru treatment with mostly ease minus a lot of anxiety. (Probably due to all the steroids). But now I’m in so much pain. The cancer is gone and I feel worse than before I was treated. I felt healthy with cancer and now I can’t even get up off the couch bc of the pain I’m in. I spend most my days in the bathroom throwing up for pooping. My low back and nerves cause so much pain. I can’t feel my feet. I’m so tired. I dk when this is suppose to get better or of it ever will. 
I just needed to vent to someone who understands. I know I should be thankful for the chance to be here and be alive. But I feel like who I was was ripped from me and I’m just not sure who I am anymore. Or what I enjoy or what I can do. I feel like the worst mother to my kids but I’m here for them.</t>
        </is>
      </c>
      <c r="D6591" t="n">
        <v>1</v>
      </c>
      <c r="E6591" t="n">
        <v>13</v>
      </c>
      <c r="F6591">
        <f>HYPERLINK("https://www.reddit.com/r/cancer/comments/ee8bis/i_feel_so_hopeless/")</f>
        <v/>
      </c>
      <c r="G6591" t="inlineStr">
        <is>
          <t>2019-12-22 10:29:55</t>
        </is>
      </c>
      <c r="H6591" t="inlineStr"/>
    </row>
    <row r="6592">
      <c r="A6592" t="inlineStr">
        <is>
          <t>ee8l63</t>
        </is>
      </c>
      <c r="B6592" t="inlineStr">
        <is>
          <t>Well... This is not going to be a fun ride.</t>
        </is>
      </c>
      <c r="C6592" t="inlineStr">
        <is>
          <t>Last time I posted here about not wanting Chemo and my fear of the results of my tests, I was criticized and called mentally ill for not wanting chemo and 'assured' by a complete stranger without a medical degree that my cancer wouldn't be bad at all...
First... The choice I make for my treatment is whatever I feel is best for me at that time. It is only arrogance that makes some people so courageous in the face of someone else's disease that the former believe to KNOW what the latter person wants/needs.
Second... If you really want this sub to be a supportive place then people have to refrain from criticizing ANYTHING that any person chooses or fears. I fear dying but I also fear being sick and alone until I do. Forgoing chemo, if I do it, is not an easily made choice and I have not decided yet.
Third... It looks like my cancer is even worse than I had originally feared. On Dec 30th, I have my appointment with my medical oncologist who saw my results and booked a long immediate appointment. I have access to all my reports except my biomarkers and the biopsy report sucks.
SO... Be kinder to me, please.  I am angry and you don't know me. I have Cancer and the prognosis is shit.
If you can't say something supportive, STFU.</t>
        </is>
      </c>
      <c r="D6592" t="n">
        <v>1</v>
      </c>
      <c r="E6592" t="n">
        <v>8</v>
      </c>
      <c r="F6592">
        <f>HYPERLINK("https://www.reddit.com/r/cancer/comments/ee8l63/well_this_is_not_going_to_be_a_fun_ride/")</f>
        <v/>
      </c>
      <c r="G6592" t="inlineStr">
        <is>
          <t>2019-12-22 10:50:52</t>
        </is>
      </c>
      <c r="H6592" t="inlineStr"/>
    </row>
    <row r="6593">
      <c r="A6593" t="inlineStr">
        <is>
          <t>ee8l7o</t>
        </is>
      </c>
      <c r="B6593" t="inlineStr">
        <is>
          <t>this is my last xmas</t>
        </is>
      </c>
      <c r="C6593" t="inlineStr">
        <is>
          <t>(17F | brain cancer)
i was given 3 months to live which means this will be the last xmas I’ll experience any tips on how to make it an amazing day?</t>
        </is>
      </c>
      <c r="D6593" t="n">
        <v>1</v>
      </c>
      <c r="E6593" t="n">
        <v>6</v>
      </c>
      <c r="F6593">
        <f>HYPERLINK("https://www.reddit.com/r/cancer/comments/ee8l7o/this_is_my_last_xmas/")</f>
        <v/>
      </c>
      <c r="G6593" t="inlineStr">
        <is>
          <t>2019-12-22 10:50:58</t>
        </is>
      </c>
      <c r="H6593" t="inlineStr"/>
    </row>
    <row r="6594">
      <c r="A6594" t="inlineStr">
        <is>
          <t>ee9cha</t>
        </is>
      </c>
      <c r="B6594" t="inlineStr">
        <is>
          <t>Cancer again?</t>
        </is>
      </c>
      <c r="C6594" t="inlineStr">
        <is>
          <t>I had breast cancer 4yrs ago, now they found something I my chest wall, the same side I had a mastectomy on.  Not going to be an easy Christmas, wondering if it will be my last.</t>
        </is>
      </c>
      <c r="D6594" t="n">
        <v>1</v>
      </c>
      <c r="E6594" t="n">
        <v>2</v>
      </c>
      <c r="F6594">
        <f>HYPERLINK("https://www.reddit.com/r/cancer/comments/ee9cha/cancer_again/")</f>
        <v/>
      </c>
      <c r="G6594" t="inlineStr">
        <is>
          <t>2019-12-22 11:50:03</t>
        </is>
      </c>
      <c r="H6594" t="inlineStr"/>
    </row>
    <row r="6595">
      <c r="A6595" t="inlineStr">
        <is>
          <t>eeanae</t>
        </is>
      </c>
      <c r="B6595" t="inlineStr">
        <is>
          <t>Supporting my Mum</t>
        </is>
      </c>
      <c r="C6595" t="inlineStr">
        <is>
          <t>Hi everyone - first post in this community. 
My Mum has been recently diagnosed with a sarcoma, which has grown on and around her inferior vena cava. This is apparently incredibly rare and we don’t have any firm prognosis yet. The only symptom was a varicose vein. Since her diagnosis Mum is now very aware of where the tumour is and gets quite uncomfortable when sitting or lying down for any period of time. 
Does anyone have any experience of this sort of situation who could recommend anything, whether to do with posture or products, that might help her get more comfortable?
Any and all thoughts and tips would be enormously appreciated by my family. Many thanks in advance.</t>
        </is>
      </c>
      <c r="D6595" t="n">
        <v>1</v>
      </c>
      <c r="E6595" t="n">
        <v>0</v>
      </c>
      <c r="F6595">
        <f>HYPERLINK("https://www.reddit.com/r/cancer/comments/eeanae/supporting_my_mum/")</f>
        <v/>
      </c>
      <c r="G6595" t="inlineStr">
        <is>
          <t>2019-12-22 13:31:58</t>
        </is>
      </c>
      <c r="H6595" t="inlineStr"/>
    </row>
    <row r="6596">
      <c r="A6596" t="inlineStr">
        <is>
          <t>eeard8</t>
        </is>
      </c>
      <c r="B6596" t="inlineStr">
        <is>
          <t>My sister’s cancer has now spread into her brain fluid</t>
        </is>
      </c>
      <c r="C6596" t="inlineStr">
        <is>
          <t>First of all, forgive me as I am not very educated on most medical terminology and not so well versed in exactly how all these treatments work. But basically, my sister started with breast cancer. She received treatments and it was “gone” until it apparently metastasized into her brain. She had one lesion. It was operated on and removed. Things were starting to look up. Now today she’s been told the cancer has returned in her brain fluid. As someone who doesn’t entirely understand it all, I began googling and have been simply devastated by what I’m reading. If what I’m reading is correct, this is basically incurable? I am absolutely heartbroken. Can anyone offer any information that would suggest otherwise and that there may be a chance of recovery, or do I really have to accept this is happening.... I apologize, I’m just very emotional right now.</t>
        </is>
      </c>
      <c r="D6596" t="n">
        <v>1</v>
      </c>
      <c r="E6596" t="n">
        <v>7</v>
      </c>
      <c r="F6596">
        <f>HYPERLINK("https://www.reddit.com/r/cancer/comments/eeard8/my_sisters_cancer_has_now_spread_into_her_brain/")</f>
        <v/>
      </c>
      <c r="G6596" t="inlineStr">
        <is>
          <t>2019-12-22 13:40:51</t>
        </is>
      </c>
      <c r="H6596" t="inlineStr"/>
    </row>
    <row r="6597">
      <c r="A6597" t="inlineStr">
        <is>
          <t>eeb2n9</t>
        </is>
      </c>
      <c r="B6597" t="inlineStr">
        <is>
          <t>Questions to people with Colon Cancer</t>
        </is>
      </c>
      <c r="C6597" t="inlineStr">
        <is>
          <t>When did you realize you had Cancer and because of what did you realize you had Cancer, were the symptoms strong or didnt you even notice them, did someone in your family had cancer? How old are you?
Thanks in advance</t>
        </is>
      </c>
      <c r="D6597" t="n">
        <v>1</v>
      </c>
      <c r="E6597" t="n">
        <v>4</v>
      </c>
      <c r="F6597">
        <f>HYPERLINK("https://www.reddit.com/r/cancer/comments/eeb2n9/questions_to_people_with_colon_cancer/")</f>
        <v/>
      </c>
      <c r="G6597" t="inlineStr">
        <is>
          <t>2019-12-22 14:05:58</t>
        </is>
      </c>
      <c r="H6597" t="inlineStr"/>
    </row>
    <row r="6598">
      <c r="A6598" t="inlineStr">
        <is>
          <t>eec8p3</t>
        </is>
      </c>
      <c r="B6598" t="inlineStr">
        <is>
          <t>I (22F) hate when people refer to my brain tumor as "brain cancer."</t>
        </is>
      </c>
      <c r="C6598" t="inlineStr">
        <is>
          <t>I have a cancerous tumor called a germinoma or "germ cell tumor" in my brain. My prognosis is almost as good as it gets. I have a 90% chance of survival with radiation alone. My cancer is a "childhood cancer" that's predicted onset was at 16. I just... hate when people say things like "my friend has brain cancer" because people think the worst with that. This tumor effects my hormones cuz of its location. But it poses much less risk to my life than most malignant brain tumors.</t>
        </is>
      </c>
      <c r="D6598" t="n">
        <v>1</v>
      </c>
      <c r="E6598" t="n">
        <v>0</v>
      </c>
      <c r="F6598">
        <f>HYPERLINK("https://www.reddit.com/r/cancer/comments/eec8p3/i_22f_hate_when_people_refer_to_my_brain_tumor_as/")</f>
        <v/>
      </c>
      <c r="G6598" t="inlineStr">
        <is>
          <t>2019-12-22 15:42:02</t>
        </is>
      </c>
      <c r="H6598" t="inlineStr"/>
    </row>
    <row r="6599">
      <c r="A6599" t="inlineStr">
        <is>
          <t>eecay0</t>
        </is>
      </c>
      <c r="B6599" t="inlineStr">
        <is>
          <t>I’m scared this is her last Christmas.</t>
        </is>
      </c>
      <c r="C6599" t="inlineStr">
        <is>
          <t>My wife is going to die. We were wrapping Christmas gifts last night and she was showing me (yet again) how to wrap them, since I’m a life long gift bag guy, and it strikes me that she almost assuredly won’t be alive next Christmas. I’ll be wrapping gifts in a quiet house for our children and the loneliness I feel now will be even heavier next year. I fucking hate cancer. I fucking hate the nightmare life can be at times. That you have to stoically hold your head high and push forward knowing just how dark things are around the corner. I’m so fucking scared of losing her.</t>
        </is>
      </c>
      <c r="D6599" t="n">
        <v>1</v>
      </c>
      <c r="E6599" t="n">
        <v>55</v>
      </c>
      <c r="F6599">
        <f>HYPERLINK("https://www.reddit.com/r/cancer/comments/eecay0/im_scared_this_is_her_last_christmas/")</f>
        <v/>
      </c>
      <c r="G6599" t="inlineStr">
        <is>
          <t>2019-12-22 15:47:17</t>
        </is>
      </c>
      <c r="H6599" t="inlineStr"/>
    </row>
    <row r="6600">
      <c r="A6600" t="inlineStr">
        <is>
          <t>eed4ns</t>
        </is>
      </c>
      <c r="B6600" t="inlineStr">
        <is>
          <t>What do you say when they say they can’t do it anymore</t>
        </is>
      </c>
      <c r="C6600" t="inlineStr">
        <is>
          <t>Mom is in the hospital for fourth time this year dealing with complication from recurrent advanced cancer and is expected to be here through the holidays. Today she is having an especially down day. She just keeps repeating “I can’t do this anymore”. It’s heartbreaking. Any advice on what to say? I don’t want to be over the top rah rah when I have no idea what it’s like but also don’t want her to give up.</t>
        </is>
      </c>
      <c r="D6600" t="n">
        <v>1</v>
      </c>
      <c r="E6600" t="n">
        <v>5</v>
      </c>
      <c r="F6600">
        <f>HYPERLINK("https://www.reddit.com/r/cancer/comments/eed4ns/what_do_you_say_when_they_say_they_cant_do_it/")</f>
        <v/>
      </c>
      <c r="G6600" t="inlineStr">
        <is>
          <t>2019-12-22 16:57:05</t>
        </is>
      </c>
      <c r="H6600" t="inlineStr"/>
    </row>
    <row r="6601">
      <c r="A6601" t="inlineStr">
        <is>
          <t>eeeiy0</t>
        </is>
      </c>
      <c r="B6601" t="inlineStr">
        <is>
          <t>What to do when you start to forget?!</t>
        </is>
      </c>
      <c r="C6601" t="inlineStr">
        <is>
          <t>Hey all. Some context, I (25F) lost my dad when I was 10 and my mom when I was 19 to different forms of cancer (non-Hodgkin lymphoma and breast cancer respectively). 
I was looking at some pictures my family had posted of my mom and dad, and I am having so much trouble remembering my dad... what he exactly looked like, how he acted, etc.All I can seem to remember is his smell, smile, and certain meteorites—I started bawling. 
What happens when I can’t remember my mom in 10 years? She was my best friend growing up and I’m sitting there crying because I’m so afraid I’ll forget her—- how she hugged, what she sounded like, her smell, etc. 
Not really sure there is a question here, I just feel like people in this sub can kind of understand. I just needed to get this off my chest. 
Thanks y’all for reading 🖤</t>
        </is>
      </c>
      <c r="D6601" t="n">
        <v>1</v>
      </c>
      <c r="E6601" t="n">
        <v>0</v>
      </c>
      <c r="F6601">
        <f>HYPERLINK("https://www.reddit.com/r/cancer/comments/eeeiy0/what_to_do_when_you_start_to_forget/")</f>
        <v/>
      </c>
      <c r="G6601" t="inlineStr">
        <is>
          <t>2019-12-22 18:57:49</t>
        </is>
      </c>
      <c r="H6601" t="inlineStr"/>
    </row>
    <row r="6602">
      <c r="A6602" t="inlineStr">
        <is>
          <t>eeett3</t>
        </is>
      </c>
      <c r="B6602" t="inlineStr">
        <is>
          <t>My grandpa's last Christmas</t>
        </is>
      </c>
      <c r="C6602" t="inlineStr">
        <is>
          <t>My grandpa was first diagnosed with stage 4 cancer back in 2016. He asked the doctors last week how much longer he has. They said, "maybe a couple months, but then again, you've lived longer than we thought you would."
It's been hard watching him decline. Then on top of the cancer, a few days ago his son (my uncle) died in a car wreck after they had a fight and he left. He blames himself so he's going to spend his last few months grieving. I hurt for him so bad. I feel like everyone is dying (we have had so many deaths in the family) and I don't want to lose him too. I feel alone and like I have nobody left. I don't know how to be there for him when just seeing him hurts.</t>
        </is>
      </c>
      <c r="D6602" t="n">
        <v>1</v>
      </c>
      <c r="E6602" t="n">
        <v>1</v>
      </c>
      <c r="F6602">
        <f>HYPERLINK("https://www.reddit.com/r/cancer/comments/eeett3/my_grandpas_last_christmas/")</f>
        <v/>
      </c>
      <c r="G6602" t="inlineStr">
        <is>
          <t>2019-12-22 19:24:21</t>
        </is>
      </c>
      <c r="H6602" t="inlineStr"/>
    </row>
    <row r="6603">
      <c r="A6603" t="inlineStr">
        <is>
          <t>eeez5h</t>
        </is>
      </c>
      <c r="B6603" t="inlineStr">
        <is>
          <t>When you pass away from cancer. Is it a painful death?</t>
        </is>
      </c>
      <c r="C6603" t="inlineStr">
        <is>
          <t>or is a peaceful one?</t>
        </is>
      </c>
      <c r="D6603" t="n">
        <v>1</v>
      </c>
      <c r="E6603" t="n">
        <v>13</v>
      </c>
      <c r="F6603">
        <f>HYPERLINK("https://www.reddit.com/r/cancer/comments/eeez5h/when_you_pass_away_from_cancer_is_it_a_painful/")</f>
        <v/>
      </c>
      <c r="G6603" t="inlineStr">
        <is>
          <t>2019-12-22 19:37:40</t>
        </is>
      </c>
      <c r="H6603" t="inlineStr"/>
    </row>
    <row r="6604">
      <c r="A6604" t="inlineStr">
        <is>
          <t>eefnlz</t>
        </is>
      </c>
      <c r="B6604" t="inlineStr">
        <is>
          <t>Question: What can I do for my neighbor?</t>
        </is>
      </c>
      <c r="C6604" t="inlineStr">
        <is>
          <t>I’m new to the area and have just met my neighbors — two sisters in their 50s-60s.  
I was told 1 had terminal cancer and the other moved in to help.  I only recently met her and already her health has significantly declined.  She is not expected to live too much longer.  
**My question:  what can I do to help** (outside of physically helping, that much I do at least a few times a week and will continue for as long as she wishes)?  
**What should I not do?**  I don’t want to patronize or offend her.  She’s very much aware she will pass soon, but I don’t want to seem cold or uncaring.  I never insert myself without being asked.  This is absofuckinglutely not about me and I’ll keep it that way.  
Any advice is welcomed.</t>
        </is>
      </c>
      <c r="D6604" t="n">
        <v>1</v>
      </c>
      <c r="E6604" t="n">
        <v>4</v>
      </c>
      <c r="F6604">
        <f>HYPERLINK("https://www.reddit.com/r/cancer/comments/eefnlz/question_what_can_i_do_for_my_neighbor/")</f>
        <v/>
      </c>
      <c r="G6604" t="inlineStr">
        <is>
          <t>2019-12-22 20:39:29</t>
        </is>
      </c>
      <c r="H6604" t="inlineStr"/>
    </row>
    <row r="6605">
      <c r="A6605" t="inlineStr">
        <is>
          <t>eegkf4</t>
        </is>
      </c>
      <c r="B6605" t="inlineStr">
        <is>
          <t>Childhood Alveolar Soft Part Sarcoma (ASPS) Survivor, Now 23</t>
        </is>
      </c>
      <c r="C6605" t="inlineStr">
        <is>
          <t>Hi y’all, I wanted to drop this here for anyone who’s family or friends are going through the same thing I did. I was diagnosed around the age of 8/9, I don’t recall the exact age. I had found a bump in my leg during the summer and my parents took me to get it checked out. We started with an ultrasound at the local hospital, and it was confirmed, there was a mass in my leg that had developed within a muscle. It was almost like it was “living on its own” per my imaginative mind at the time. For a while I thought it was cool and fun to go to the doctor and have testing done, it meant something was special about me. I remember my first MRI was so cool because it was on a semi truck, and it could see into my body! Everything was interesting and new ,that I took it all in. I was referred by my hometown doctor to UHIC which was highly ranked in children’s hospitals. Soon after a first visit with some tests, we were scheduling a biopsy. This is where I started getting scared. Why was my Priest coming all the way to a city 1.5 hours away to pray before my surgery? I suddenly panicked (honestly this may have been the birth of my long time friend, anxiety.)  The biopsy was a success in getting enough tissue to diagnose me properly with ASPS. During the biopsy review I must have seriously been distracted because I didn’t even know I had cancer till my mom and dad sat me down. Dad was crying, Mom was calmly hiding her tears. Now this fucked me up. I suddenly woke up from the childhood dream of being special. I was in danger. This thing that was kinda cool to have an exciting adventure with was suddenly a part of my body that wanted to slowly take over my body. After that moment, I payed closer attention to doctor visits. I heard rare, only so many people get it but usually it’s caught late. I lucked out, it was in the first stage. After talk of radiation, chemo, and surgery, it was decided to go in and remove the muscle that encapsulated the tumor. So that was done, I was good, enjoying another new adventure where I got to stay in the hospital and talk to new people. The next day I was on the way home. I had to obviously recover from the muscle being removed in my calf, and it sucked. I watched all my popular friends bop out on me and some other friends that I had step up. These people stayed my friends throughout high school. Over the next few months and years I had checkups that would include imagery of my leg and my lungs to make sure the cancer stayed the hell out of my system, blood tests and Olive Garden for lunch(big OG gorl). The cancer was a rare one, I was originally sentenced 10 years of checkups, but nothing had showed up for 8, I was released from annual checkups! I was elated, I was in the clear! Since my surgery as a kid, I played sports in middle school, ran Cross Country and Track for 6 years in school, played in the band for a few years, got really into art and boys. I attended a few too many kickass high school parties, and I graduated. I went on to college and studied in Apparel Product Development and Global Sourcing, something I knew in my heart would be a job I could love. I ran a half and full marathon, became a founding member of a sorority, made some amazing friends and had the best time of my life. Met the soulmate I had been searching for, fell in love with people and places. Graduated with a Bachelors, got my dream job in a crazy cool company, moved to a state I love. I am living the life I would not have strived to have if I hadn’t had the optimism of every day, by surviving cancer. 
It shaped me, and I’ll admit, I get super fucked up over death and I’m overly sensitive to new bumps or my health, but I’m just super aware of the reality that healthiness is not blessed upon everyone. Shit happens, and cancer is just another one of those things that we think won’t happen to us. Well, it happened to me, but here I am today. There’s hope in good medicine and faith, but only in that order. 
If you’ve made it this far, please don’t spam me with hate or injustice, I just wanted to put this somewhere so someone who needs to hear this gets the opportunity they deserve.
{TLDR; I survived cancer and now live my own version of a dream life.}</t>
        </is>
      </c>
      <c r="D6605" t="n">
        <v>1</v>
      </c>
      <c r="E6605" t="n">
        <v>1</v>
      </c>
      <c r="F6605">
        <f>HYPERLINK("https://www.reddit.com/r/cancer/comments/eegkf4/childhood_alveolar_soft_part_sarcoma_asps/")</f>
        <v/>
      </c>
      <c r="G6605" t="inlineStr">
        <is>
          <t>2019-12-22 22:05:21</t>
        </is>
      </c>
      <c r="H6605" t="inlineStr"/>
    </row>
    <row r="6606">
      <c r="A6606" t="inlineStr">
        <is>
          <t>eehrw7</t>
        </is>
      </c>
      <c r="B6606" t="inlineStr">
        <is>
          <t>In the clear!</t>
        </is>
      </c>
      <c r="C6606" t="inlineStr">
        <is>
          <t>I posted a while ago about my kidney cancer. The tests just came back and they said it didn't spread and they got it all, so I should be in the clear now. I had the clear cell renal carcinoma one, which I had heard could be troublesome so I feel very lucky to have dodged that. 
I wonder if it's bad luck to celebrate, hah. But anyway, I wouldn't have dealt with it nearly as well if it weren't for the community here. So thank you.</t>
        </is>
      </c>
      <c r="D6606" t="n">
        <v>1</v>
      </c>
      <c r="E6606" t="n">
        <v>10</v>
      </c>
      <c r="F6606">
        <f>HYPERLINK("https://www.reddit.com/r/cancer/comments/eehrw7/in_the_clear/")</f>
        <v/>
      </c>
      <c r="G6606" t="inlineStr">
        <is>
          <t>2019-12-23 00:15:36</t>
        </is>
      </c>
      <c r="H6606" t="inlineStr"/>
    </row>
    <row r="6607">
      <c r="A6607" t="inlineStr">
        <is>
          <t>eeilel</t>
        </is>
      </c>
      <c r="B6607" t="inlineStr">
        <is>
          <t>My mom has cancer</t>
        </is>
      </c>
      <c r="C6607" t="inlineStr">
        <is>
          <t>I came back from vacation abroad to find my mom had been diagnosed with stage 4 cancer. In early November she had gone to the ER because she couldn’t not keep food down, they ran some tests and said there was nothing wrong and released her. My sister and aunt took her back two days later and asked for some different tests than on her first visit and they found a tumor. She was admitted from there for 3 weeks and during her stay a feeding tube was placed, a device was inserted for chemo and she had two biopsies done. Her first biopsy was unsuccessful since they only got dead cells so a second biopsy was done but it only came back 95% cancer. We were not given a name of cancer but were told it was cancer and it’s some type of stomach cancer. She was discharged after 3 weeks in the hospital at the end of November to start her chemo. We were under the impression chemo was going to start soon without any problems. After three weeks home, we went in for her chemo consult and were told by the medical oncologist that she cannot start treatment until they know the exact kind of cancer she had and therefore another biopsy was required. I was furious! Why didnt anyone tell us this? Why didn’t the surgical oncologist tell us we needed to identify the exact cancer name? Did he not know? Did he think that 95% was enough to start treatment? And why were we only told now by the medical oncologist she needed another biopsy? We could have done that during the three weeks we were waiting for her chemo to start. I had so many questions, I was mad I was upset and I was devastated. The medical oncologist made another biopsy referral to a research center out of town and we just found out the referral was denied. The reeesfch center is full and no longer taking new patients so my moms referral was sent to another research center. With Christmas holiday here I fear my mom’s care will get delayed even more. It has been exactly a month since my mom has been discharged from the hospital and there has been no progress in treatment for her and I fear there will be a day we are being told there is nothing the doctors can do anymore. Last time we were told the cancer has spread to other parts of her body.
And the other day my mom asked me to take her to  a jewelry store and she bought my sisters and I each a necklace. When we got home she cried and told me that since she doesn’t know what’s going to happen to her as she waits for treatment or what’s going to happen to her during treatment she wanted to get her daughters a gift in case anything should happen to her and it just broke my heart. 
Sorry if I just rambled I don’t know much about cancer in general and my head is a mess. I’m not sure what I’m looking for posting on here I guess I just needed to let this out. I feel like everyday I’m losing my mom and there is nothing I can do to help stop her cancer, the time, and her sadness. I just want my mom to be healthy again.</t>
        </is>
      </c>
      <c r="D6607" t="n">
        <v>1</v>
      </c>
      <c r="E6607" t="n">
        <v>5</v>
      </c>
      <c r="F6607">
        <f>HYPERLINK("https://www.reddit.com/r/cancer/comments/eeilel/my_mom_has_cancer/")</f>
        <v/>
      </c>
      <c r="G6607" t="inlineStr">
        <is>
          <t>2019-12-23 01:48:34</t>
        </is>
      </c>
      <c r="H6607" t="inlineStr"/>
    </row>
    <row r="6608">
      <c r="A6608" t="inlineStr">
        <is>
          <t>eeipfu</t>
        </is>
      </c>
      <c r="B6608" t="inlineStr">
        <is>
          <t>I Blame Myself for my Mom's Passing</t>
        </is>
      </c>
      <c r="C6608" t="inlineStr">
        <is>
          <t>My mother died about a month and a half after her diagnosis. November 29. Three months before her death she complained of pain, and tried to tell me about her doctor appointments, but i brushed her off because I'd started seeing my new boyfriend. I thought she was looking for attention, we are exactly alike, look the same, act the same, we like each other's friends, and we were each other's best friend. She'd been dramatic like that before. 
I spent less time with her, no time at all in fact. I only wanted to hang out with my boyfriend. I regret every second i spent ignoring her texts, not asking her to hang out anymore. Ignoring the signs and symptoms. Which is crazy, because i have a crippling fear that the smallest symptom is the biggest illness. The one time i go, "Ok, let's not be dramatic" it turns out to be cancer.
This is going to sound self centered, but I probably already seem as such. I have this stupid, conceited, egotistical belief that everything bad that happens to anyone around me or directly to me is the universe just doing it to spite me for whatever reason. When my dog got cancer, I had stopped hanging out with him some time before, and felt like if I had spent time with him, SOMEHOW he wouldn't have gotten cancer and died. Same thing with my mom. I stopped hanging out with her, she gets cancer, I think if ONLY I'd spent time with her, somehow she wouldn't have gotten cancer. They don't even know where it started. It was everywhere. Her bowels, lymph nodes, liver, lungs, bones, you name it. Within weeks. 
I'd recently gotten a job, a perfect relationship, we'd been talking of moving out, I wanted to be independent, I kept talking about wishing my mom would get out of my business and stop butting in when i was doing anything (I should've realized she just missed spending time with me.) and so the universe said, "Oh, you want her to go away? If you say so" and fucked my family's entire life up. Because i was ungrateful and took her for granted. Now she's gone forever, I'll never see her again, point blank. It all feels like my fault, like the universe just hates me and i had too many good things going and i took my mom for granted so i got my shit wrecked for being a brat. God i sound so selfish making her death about me. But it FEELS like my fault. I dont know how to explain this better. Sorry.</t>
        </is>
      </c>
      <c r="D6608" t="n">
        <v>1</v>
      </c>
      <c r="E6608" t="n">
        <v>3</v>
      </c>
      <c r="F6608">
        <f>HYPERLINK("https://www.reddit.com/r/cancer/comments/eeipfu/i_blame_myself_for_my_moms_passing/")</f>
        <v/>
      </c>
      <c r="G6608" t="inlineStr">
        <is>
          <t>2019-12-23 02:01:17</t>
        </is>
      </c>
      <c r="H6608" t="inlineStr"/>
    </row>
    <row r="6609">
      <c r="A6609" t="inlineStr">
        <is>
          <t>eeivab</t>
        </is>
      </c>
      <c r="B6609" t="inlineStr">
        <is>
          <t>I regret the last thing i said to my mom</t>
        </is>
      </c>
      <c r="C6609" t="inlineStr">
        <is>
          <t>The last thing i said to my mom while she was still conscious haunts me. After she was asleep or too tired to comprehend what was happening, id still tell her about my day or whatever, but it was the weekend before Thanksgiving. I hugged her, and held her hand. We looked at each other and i put on a fake smile and said, "You're gonna make it through" and she nodded weakly. We both knew it wasnt true. Who did i say it for, her or me? Did it hurt her to think i still had hope? Why the hell did I say that? It haunts me every day. I feel so sick thinking about it. I made another post on this sub like ten minutes ago. This is just a really rough night without her.</t>
        </is>
      </c>
      <c r="D6609" t="n">
        <v>1</v>
      </c>
      <c r="E6609" t="n">
        <v>8</v>
      </c>
      <c r="F6609">
        <f>HYPERLINK("https://www.reddit.com/r/cancer/comments/eeivab/i_regret_the_last_thing_i_said_to_my_mom/")</f>
        <v/>
      </c>
      <c r="G6609" t="inlineStr">
        <is>
          <t>2019-12-23 02:19:13</t>
        </is>
      </c>
      <c r="H6609" t="inlineStr"/>
    </row>
    <row r="6610">
      <c r="A6610" t="inlineStr">
        <is>
          <t>eeju8f</t>
        </is>
      </c>
      <c r="B6610" t="inlineStr">
        <is>
          <t>What to say to someone who only has 6 months to live?</t>
        </is>
      </c>
      <c r="C6610" t="inlineStr">
        <is>
          <t>My family just found out about my cousin’s wife’s horrible prognosis- that she only has 6 months to live. She is young, she has a 6 year-old son and still has so much to do in life. What do you say to someone who has received such horrible news? Turning to this community because I am truly at a loss for how to conduct myself around her and her family.</t>
        </is>
      </c>
      <c r="D6610" t="n">
        <v>1</v>
      </c>
      <c r="E6610" t="n">
        <v>8</v>
      </c>
      <c r="F6610">
        <f>HYPERLINK("https://www.reddit.com/r/cancer/comments/eeju8f/what_to_say_to_someone_who_only_has_6_months_to/")</f>
        <v/>
      </c>
      <c r="G6610" t="inlineStr">
        <is>
          <t>2019-12-23 04:09:16</t>
        </is>
      </c>
      <c r="H6610" t="inlineStr"/>
    </row>
    <row r="6611">
      <c r="A6611" t="inlineStr">
        <is>
          <t>eekvv6</t>
        </is>
      </c>
      <c r="B6611" t="inlineStr">
        <is>
          <t>Diagnosed in October, my update</t>
        </is>
      </c>
      <c r="C6611" t="inlineStr">
        <is>
          <t>Hello all,
So back in October I found out I had testicular cancer...apparently for one year and I had no idea at all (I know its crazy). Seems in grew inside the testicle (left) and when I started cycling it caused the tumor to swell. 
It was removed with in 3 days and I have been resting / off work since then (big thanks to everyone at Ridge Meadows Hospital BC) 
Well skip forward to Christmas and am on my second cycle of chemo at Abbotsford Cancer Center BC and its rough for me me. Posting here as a way to vent and reach others I guess.
Swollen checks, mood swings, chemo brain I have it all. If not for my wife or son I honestly don t know what I would do. I just can't take sitting in that chair and try to live my life as normal as possible.
Thanks.</t>
        </is>
      </c>
      <c r="D6611" t="n">
        <v>1</v>
      </c>
      <c r="E6611" t="n">
        <v>6</v>
      </c>
      <c r="F6611">
        <f>HYPERLINK("https://www.reddit.com/r/cancer/comments/eekvv6/diagnosed_in_october_my_update/")</f>
        <v/>
      </c>
      <c r="G6611" t="inlineStr">
        <is>
          <t>2019-12-23 05:54:40</t>
        </is>
      </c>
      <c r="H6611" t="inlineStr"/>
    </row>
    <row r="6612">
      <c r="A6612" t="inlineStr">
        <is>
          <t>eelwk6</t>
        </is>
      </c>
      <c r="B6612" t="inlineStr">
        <is>
          <t>Does cancer make you feel bitter?</t>
        </is>
      </c>
      <c r="C6612" t="inlineStr">
        <is>
          <t>Don’t get me wrong cancer has gave me a new perspective in life and I’ve made positive changes. It’s made me put my guard down as I never before shown vulnerability and that’s made me get closer to family members and friends.
But on my bad days I feel bitter.
I’m a good looking guy and but my self esteem is low and don’t have the balls to ask a beautiful girl out at work cos “she knows”.
Before my cancer metastasised I went on a date with her and next thing I’m in hospital.
Keep thinking what if... what if.
I’m out of pocket by £1400pm due to cancer as I’m on statuary sick pay.
Can’t drive thanks cancer, so when I get on a bus “when it finally arrives” I’m lucky to get a seat. 
Once I got a seat an old woman who looked mobile demanded I move. I was on 3rd row from front and I politely told her I’m not well and they are other seats.
She looked at me and said you don’t look ill to me. In her defence I don’t look ill but I’m sore throughout my body on bad days.
I get bitter when my brother told me playing computer games in a snobby way is a waste of time. Maybe it is but I feel shit but I still manage to go gym 3 times a week so I don’t atrophy. And gaming takes my mind off my situation. And this is a guy who is too scared for a doctor to touch him.
I get bitter with old people bed blocking at the hospital and having to wait longer or go home sometimes with no one to take care of me.
It’s not the old people’s fault but my cousin quit being a nurse cos she felt more like a residential worker than a nurse looking after old people.
I get bitter the most cos I may die young and never feel love again or have children.
All in all I’ve handled cancer well so I’m told. And I am very thankful to be alive.
I just needed to vent.
Hope you all have a good Xmas</t>
        </is>
      </c>
      <c r="D6612" t="n">
        <v>1</v>
      </c>
      <c r="E6612" t="n">
        <v>29</v>
      </c>
      <c r="F6612">
        <f>HYPERLINK("https://www.reddit.com/r/cancer/comments/eelwk6/does_cancer_make_you_feel_bitter/")</f>
        <v/>
      </c>
      <c r="G6612" t="inlineStr">
        <is>
          <t>2019-12-23 07:22:43</t>
        </is>
      </c>
      <c r="H6612" t="inlineStr"/>
    </row>
    <row r="6613">
      <c r="A6613" t="inlineStr">
        <is>
          <t>eem4hk</t>
        </is>
      </c>
      <c r="B6613" t="inlineStr">
        <is>
          <t>Help for tearing/severe skin irritation around eyes</t>
        </is>
      </c>
      <c r="C6613" t="inlineStr">
        <is>
          <t>My wife is undergoing chemo for inflammatory breast cancer/invasive ductile carcinoma 3b. She’s infusing every three weeks with perjeta, aloxi, decadron, herceptin, taxotere, and carboplatin.
After her third infusion cycle, a new side effect has emerged, the skin around her eyes is red and inflamed (visualize a raccoon with a red mask). Constant tearing irritates it to no end and the condition plagues her literally at all times she’s awake.
She’s tried petroleum jelly and coconut oil, but the tears seem to cut through the barrier quickly. The only slight relief is cold compresses.
Does anyone have experience like this and any advice they might share on finding relief?
She is scheduled to see a dermatologist but that is not for another 9 days.
Cross posted to r/breastcancer</t>
        </is>
      </c>
      <c r="D6613" t="n">
        <v>1</v>
      </c>
      <c r="E6613" t="n">
        <v>2</v>
      </c>
      <c r="F6613">
        <f>HYPERLINK("https://www.reddit.com/r/cancer/comments/eem4hk/help_for_tearingsevere_skin_irritation_around_eyes/")</f>
        <v/>
      </c>
      <c r="G6613" t="inlineStr">
        <is>
          <t>2019-12-23 07:40:27</t>
        </is>
      </c>
      <c r="H6613" t="inlineStr"/>
    </row>
    <row r="6614">
      <c r="A6614" t="inlineStr">
        <is>
          <t>eem9xz</t>
        </is>
      </c>
      <c r="B6614" t="inlineStr">
        <is>
          <t>My Wife Won't Stop Smoking During Chemo</t>
        </is>
      </c>
      <c r="C6614" t="inlineStr">
        <is>
          <t>My wife was recently diagnosed with Hodgkin's Lymphoma. She swore she would stop smoking the first day of chemo, but lit one up as soon as we got home from treatment. The next few days she only had one here and there, no where near the pack a day that she smoked before at least. But it was usually just when a family member would offer her one, didn't have any of her own. Just found out she secretly bought a pack last night though. I was suspicious because she woke me up at like 3:00AM this morning and said she was craving hot chocolate, so she was going to run to the gas station real quick. Sure enough, I peeked in her bag before work, and there was a fresh pack of cigarettes with three missing. All I've read since this started is how cigarette smoking during chemo lessens the drugs effectiveness and lowers your overall survival rate. I'm so terrified of losing her to this as it is, and I just wish she would take it more seriously. Advice?</t>
        </is>
      </c>
      <c r="D6614" t="n">
        <v>1</v>
      </c>
      <c r="E6614" t="n">
        <v>25</v>
      </c>
      <c r="F6614">
        <f>HYPERLINK("https://www.reddit.com/r/cancer/comments/eem9xz/my_wife_wont_stop_smoking_during_chemo/")</f>
        <v/>
      </c>
      <c r="G6614" t="inlineStr">
        <is>
          <t>2019-12-23 07:52:00</t>
        </is>
      </c>
      <c r="H6614" t="inlineStr"/>
    </row>
    <row r="6615">
      <c r="A6615" t="inlineStr">
        <is>
          <t>eencu4</t>
        </is>
      </c>
      <c r="B6615" t="inlineStr">
        <is>
          <t>Tongue cancer at 28 years old , genetic testing ?</t>
        </is>
      </c>
      <c r="C6615" t="inlineStr">
        <is>
          <t>Hi, i'm a 28 years old male living in France, 2 month ago i got diagnosed with  squamous cell carcinoma of the  tongue ( lateral border) 
&amp;amp;#x200B;
Fortunately  i got it very early : it was carcinoma in situ . I got a large part of my tongue removed with clear margin 'and replaced with skin graft 
&amp;amp;#x200B;
now my oncologist want me to do some genetic testing for several gene  ,especially for  fanconi anemia 
I never smoked or drunk  , I dont have any symptom of fanconi anemia  , i will do  the test and get the result in 6 month
do you think my cancer is genetic ?</t>
        </is>
      </c>
      <c r="D6615" t="n">
        <v>1</v>
      </c>
      <c r="E6615" t="n">
        <v>0</v>
      </c>
      <c r="F6615">
        <f>HYPERLINK("https://www.reddit.com/r/cancer/comments/eencu4/tongue_cancer_at_28_years_old_genetic_testing/")</f>
        <v/>
      </c>
      <c r="G6615" t="inlineStr">
        <is>
          <t>2019-12-23 09:12:23</t>
        </is>
      </c>
      <c r="H6615" t="inlineStr"/>
    </row>
    <row r="6616">
      <c r="A6616" t="inlineStr">
        <is>
          <t>eenp2x</t>
        </is>
      </c>
      <c r="B6616" t="inlineStr">
        <is>
          <t>My father's brain cancer is getting worse, should I visit him sooner than I planned?</t>
        </is>
      </c>
      <c r="C6616" t="inlineStr">
        <is>
          <t>Hi all, I don't have experience with cancer and my dad of course doesn't want to give me a lot of information on his condition, so I wanted an outside opinion.
My dad was diagnosed with grade 3 oligodendroglioma around September after having some long nose bleeds. In August I moved 1000 miles away to start working on my PhD. His condition has progressively gotten worse of course. He doesn't like to tell me what's going on (and he and my mother just separated so he's living alone, not even a pet, and he's not telling her anything and asked me not to tell her that he has cancer which is a whole other issue). But he has been having seizures semi frequently where he just wakes up on the ground with no memory of what happened or how much time has passed. He is still getting nose bleeds and has limited his driving to only when he absolutely has to after I pestered him.
I told my boyfriend and he said that I better get ready because he will likely not last another 6 months. Do you think that's accurate based on this cancer and his symptoms?
Here's the main part of the question. My dad has loved Star Wars his entire life, and once I was born, we saw every movie and spinoff together in theaters. He of course wants to see episode 9 with me, however I'm in TX and he's in AZ, so I told him let's wait. He started looking at flights to come out here to see a movie. That seems excessive for a movie so I told him to wait until I come back to AZ. I was thinking early March. However, now I'm thinking since he has two tumors, the larger of which is in his corpus callosum, he might begin to lose motor and language function before then (I have no idea?). Should I visit him sooner than later so he can see this movie with me?</t>
        </is>
      </c>
      <c r="D6616" t="n">
        <v>1</v>
      </c>
      <c r="E6616" t="n">
        <v>6</v>
      </c>
      <c r="F6616">
        <f>HYPERLINK("https://www.reddit.com/r/cancer/comments/eenp2x/my_fathers_brain_cancer_is_getting_worse_should_i/")</f>
        <v/>
      </c>
      <c r="G6616" t="inlineStr">
        <is>
          <t>2019-12-23 09:37:05</t>
        </is>
      </c>
      <c r="H6616" t="inlineStr"/>
    </row>
    <row r="6617">
      <c r="A6617" t="inlineStr">
        <is>
          <t>eerrkk</t>
        </is>
      </c>
      <c r="B6617" t="inlineStr">
        <is>
          <t>Dad has Liver cancer</t>
        </is>
      </c>
      <c r="C6617" t="inlineStr">
        <is>
          <t>Hi folks, my dad is battling stage 4 liver cancer.  He's a wonderful and gentle man. 
Can you help put a smile on my dads face by liking and retweeting this tweet?[https://twitter.com/pdxPhilosopher/status/1181060486256713729](https://twitter.com/pdxPhilosopher/status/1181060486256713729) 
Not only would it make my dad smile to know this thought is being spread across the world but I think you'll agree the tweet is worth a share in any context.
Thank you and many blessings to those fighting cancer and to all you angelic caregivers.</t>
        </is>
      </c>
      <c r="D6617" t="n">
        <v>1</v>
      </c>
      <c r="E6617" t="n">
        <v>0</v>
      </c>
      <c r="F6617">
        <f>HYPERLINK("https://www.reddit.com/r/cancer/comments/eerrkk/dad_has_liver_cancer/")</f>
        <v/>
      </c>
      <c r="G6617" t="inlineStr">
        <is>
          <t>2019-12-23 14:33:54</t>
        </is>
      </c>
      <c r="H6617" t="inlineStr"/>
    </row>
    <row r="6618">
      <c r="A6618" t="inlineStr">
        <is>
          <t>eesi2q</t>
        </is>
      </c>
      <c r="B6618" t="inlineStr">
        <is>
          <t>Anyone have any miracle stories?</t>
        </is>
      </c>
      <c r="C6618" t="inlineStr">
        <is>
          <t>I need a little hope. I've been fearing the worst and just got terrible news.</t>
        </is>
      </c>
      <c r="D6618" t="n">
        <v>1</v>
      </c>
      <c r="E6618" t="n">
        <v>5</v>
      </c>
      <c r="F6618">
        <f>HYPERLINK("https://www.reddit.com/r/cancer/comments/eesi2q/anyone_have_any_miracle_stories/")</f>
        <v/>
      </c>
      <c r="G6618" t="inlineStr">
        <is>
          <t>2019-12-23 15:29:18</t>
        </is>
      </c>
      <c r="H6618" t="inlineStr"/>
    </row>
    <row r="6619">
      <c r="A6619" t="inlineStr">
        <is>
          <t>eet8sa</t>
        </is>
      </c>
      <c r="B6619" t="inlineStr">
        <is>
          <t>How to be a good friend to someone with aggressive cancer?</t>
        </is>
      </c>
      <c r="C6619" t="inlineStr">
        <is>
          <t>There is a lady at the dog park who has been battling a rare lung cancer for over 10 years that will never go away and needs screening/treatment constantly. For the past year she has been doing great, and our dogs are best friends. Recently she’s been feeling unwell and after routine testing has found the cancer has spread to her bones. 
She loves her dog more than anything else and I have offered to take the pup to the dog park whenever she isn’t feeling up to it (the dog loves the park, and is still a puppy so has amble energy). Are there any other kind gestures I could be doing or should I give her space? We have thought about dropping off baked goods and meals as well.</t>
        </is>
      </c>
      <c r="D6619" t="n">
        <v>1</v>
      </c>
      <c r="E6619" t="n">
        <v>3</v>
      </c>
      <c r="F6619">
        <f>HYPERLINK("https://www.reddit.com/r/cancer/comments/eet8sa/how_to_be_a_good_friend_to_someone_with/")</f>
        <v/>
      </c>
      <c r="G6619" t="inlineStr">
        <is>
          <t>2019-12-23 16:26:52</t>
        </is>
      </c>
      <c r="H6619" t="inlineStr"/>
    </row>
    <row r="6620">
      <c r="A6620" t="inlineStr">
        <is>
          <t>eetevx</t>
        </is>
      </c>
      <c r="B6620" t="inlineStr">
        <is>
          <t>My uncle just got diagnosed with Lymphoma (95%), can anyone shed some light on possible recovery or survival?</t>
        </is>
      </c>
      <c r="C6620" t="inlineStr">
        <is>
          <t>Title. We are entirely stressed. He is way too young. Not even 50. I cannot even process this as of writing and it is reminding me of my father’s passing (similar issue).
Thank you.</t>
        </is>
      </c>
      <c r="D6620" t="n">
        <v>1</v>
      </c>
      <c r="E6620" t="n">
        <v>5</v>
      </c>
      <c r="F6620">
        <f>HYPERLINK("https://www.reddit.com/r/cancer/comments/eetevx/my_uncle_just_got_diagnosed_with_lymphoma_95_can/")</f>
        <v/>
      </c>
      <c r="G6620" t="inlineStr">
        <is>
          <t>2019-12-23 16:39:56</t>
        </is>
      </c>
      <c r="H6620" t="inlineStr"/>
    </row>
    <row r="6621">
      <c r="A6621" t="inlineStr">
        <is>
          <t>eeu3tp</t>
        </is>
      </c>
      <c r="B6621" t="inlineStr">
        <is>
          <t>my mom just got diagnosed..</t>
        </is>
      </c>
      <c r="C6621" t="inlineStr">
        <is>
          <t>my mom just got diagnosed with stage 3 cervical cancer, i’m honestly scared she is going to pass, it’s been just me and my mom my whole life she’s my best friend. She is not the healthiest person in the world ( hardcore alcoholic and cigarette smoker who knows what else ) today she started her first round of chemo and radiation, seeing her so tired and beat up in that chair made me feel sick, i honestly dont know what to do with myself i’m so scared i’m going to lose her i feel like she’s all i really got i don’t fully talk to the rest of my family. she is 34 (i am 18) and way too young to die, she means the world to a lot of people...but if she passes what do i do reddit how can i stay sane if that happens?</t>
        </is>
      </c>
      <c r="D6621" t="n">
        <v>1</v>
      </c>
      <c r="E6621" t="n">
        <v>3</v>
      </c>
      <c r="F6621">
        <f>HYPERLINK("https://www.reddit.com/r/cancer/comments/eeu3tp/my_mom_just_got_diagnosed/")</f>
        <v/>
      </c>
      <c r="G6621" t="inlineStr">
        <is>
          <t>2019-12-23 17:36:05</t>
        </is>
      </c>
      <c r="H6621" t="inlineStr"/>
    </row>
    <row r="6622">
      <c r="A6622" t="inlineStr">
        <is>
          <t>eeubji</t>
        </is>
      </c>
      <c r="B6622" t="inlineStr">
        <is>
          <t>30 Everyday Activities That Can Cause Cancer</t>
        </is>
      </c>
      <c r="C6622" t="inlineStr">
        <is>
          <t xml:space="preserve"> Everyone knows that some activities and habits can increase your risk of cancer, like smoking, drinking, or overeating. However, there are many things we do ...
[http://buykeyserial.online/30-everyday-activities-that-can-cause-cancer/](http://buykeyserial.online/30-everyday-activities-that-can-cause-cancer/)</t>
        </is>
      </c>
      <c r="D6622" t="n">
        <v>1</v>
      </c>
      <c r="E6622" t="n">
        <v>1</v>
      </c>
      <c r="F6622">
        <f>HYPERLINK("https://www.reddit.com/r/cancer/comments/eeubji/30_everyday_activities_that_can_cause_cancer/")</f>
        <v/>
      </c>
      <c r="G6622" t="inlineStr">
        <is>
          <t>2019-12-23 17:53:44</t>
        </is>
      </c>
      <c r="H6622" t="inlineStr"/>
    </row>
    <row r="6623">
      <c r="A6623" t="inlineStr">
        <is>
          <t>eeul13</t>
        </is>
      </c>
      <c r="B6623" t="inlineStr">
        <is>
          <t>Immunosuppressed ruins the best of plans</t>
        </is>
      </c>
      <c r="C6623" t="inlineStr">
        <is>
          <t>I was declared cancer free in November but my immune system is still bouncing back. I’ve caught every virus this winter, and it looks like today’s selection is the flu. I’m headed to urgent care first thing in the morning, but my doctor already gave me the heads up on the phone that I’ll likely be homebound. Tomorrow I have a flight home, across the country, that I have been counting down the days to. I don’t have family where I live and my friends are mostly gone as of today.
My heart is just shattered tonight, Reddit. On top of feeling like I can’t lift my body out of bed, I can’t stop crying. I wanted to be home this year more than any other, the prospect of being sick and alone in my apartment again is so unbearably painful.</t>
        </is>
      </c>
      <c r="D6623" t="n">
        <v>1</v>
      </c>
      <c r="E6623" t="n">
        <v>5</v>
      </c>
      <c r="F6623">
        <f>HYPERLINK("https://www.reddit.com/r/cancer/comments/eeul13/immunosuppressed_ruins_the_best_of_plans/")</f>
        <v/>
      </c>
      <c r="G6623" t="inlineStr">
        <is>
          <t>2019-12-23 18:15:51</t>
        </is>
      </c>
      <c r="H6623" t="inlineStr"/>
    </row>
    <row r="6624">
      <c r="A6624" t="inlineStr">
        <is>
          <t>eew28r</t>
        </is>
      </c>
      <c r="B6624" t="inlineStr">
        <is>
          <t>Last Christmas</t>
        </is>
      </c>
      <c r="C6624" t="inlineStr">
        <is>
          <t>My grandpa has stage 4 lung and stage 4 bone cancer. This will be his last Christmas. I don’t know how to handle it? I know every and any moment could be the last. They didn’t think he would even make it til Christmas. 
I bought his Christmas present terrified to wrap it because I was afraid it would just sit there as a reminder. But tomorrow is the day he will open it. He feels good and I am so thankful. I treasure him but I  am so angry that he has to deal with this at all. He has worked hard his whole life and should be enjoying retirement but instead has weeks....maybe days?</t>
        </is>
      </c>
      <c r="D6624" t="n">
        <v>1</v>
      </c>
      <c r="E6624" t="n">
        <v>1</v>
      </c>
      <c r="F6624">
        <f>HYPERLINK("https://www.reddit.com/r/cancer/comments/eew28r/last_christmas/")</f>
        <v/>
      </c>
      <c r="G6624" t="inlineStr">
        <is>
          <t>2019-12-23 20:18:57</t>
        </is>
      </c>
      <c r="H6624" t="inlineStr"/>
    </row>
    <row r="6625">
      <c r="A6625" t="inlineStr">
        <is>
          <t>eewtn7</t>
        </is>
      </c>
      <c r="B6625" t="inlineStr">
        <is>
          <t>Advice for refractory Burkitts Lymphoma</t>
        </is>
      </c>
      <c r="C6625" t="inlineStr">
        <is>
          <t>Hi everyone. Going out on a limb to see if anyone on here has any experience with refractory Burkitts Lymphoma. My partner has been battling BL for the last 3 months. So far has done a round of CODOX-M which couldn’t be continued due to liver toxicity and terrible mucousitis, a round of R-IVAC (with the intention of returning to dose adjusted CODOX). After the IVAC the cancer started growing back and we switched to R-EPOCH for two rounds but it ended up out growing that too. Did 20Gy worth of radiation in a week and have just finished a round of R-DHAP which in combination with the radiation seems to have shrunk the mass visually at least (haven’t done a PET scan to confirm yet).
 Doctors aren’t confident he has much time left but we’re looking into everything we can. So far have been looking at CAR-T trials but are having trouble finding one he is eligible for. He might qualify for a bispecific antibody + chemo trial which hasn’t been past animal testing stages yet. (Might be helpful to mention this is in Melbourne Australia)
Does anyone have any suggestions about trials and treatments I can talk to the doctor about? He’s still determined to try other treatments if we can find something to work. Cautiously hoping at the moment that this recent treatment is promising (given the shrinkage) and we can make it to an allo transplant but thought it wouldn’t hurt to ask for suggestions. 
Merry Christmas everyone</t>
        </is>
      </c>
      <c r="D6625" t="n">
        <v>1</v>
      </c>
      <c r="E6625" t="n">
        <v>4</v>
      </c>
      <c r="F6625">
        <f>HYPERLINK("https://www.reddit.com/r/cancer/comments/eewtn7/advice_for_refractory_burkitts_lymphoma/")</f>
        <v/>
      </c>
      <c r="G6625" t="inlineStr">
        <is>
          <t>2019-12-23 21:24:16</t>
        </is>
      </c>
      <c r="H6625" t="inlineStr"/>
    </row>
    <row r="6626">
      <c r="A6626" t="inlineStr">
        <is>
          <t>eexrav</t>
        </is>
      </c>
      <c r="B6626" t="inlineStr">
        <is>
          <t>Third time back and stopping treatment</t>
        </is>
      </c>
      <c r="C6626" t="inlineStr">
        <is>
          <t>My mother in law has thymoma. This is the third time it has returned. First time was full/harshest chemo didn't help. Only radiation worked along with surgeries removing her right lung. Five years later it's the second time. Surgery again removing 1/3 of her liver on the same side again. Radiation therapies again. Taken care of. Third time, six months later. Tumor is back again and the size of a egg. So moving faster then it was previously. Radiation won't help this time. So she they next wanted to try a new chemo treatment. It is a 1 or 2 hour long injection once a month. With a collection of side effects. Like a dropped eyelid, thrush, lethargic, weakened immune system all that she has. She had her first shot 8 weeks ago and hasn't had another treatment yet due to her blood numbers being in the needed range.
She is stopping trying this week. She said she felt relief not having to go through more of it. I'm glad for her to be so relieved in her decision.
How can I support my husband? He is grieving over the now inevitable. She really is his last bit of family. I don't know what to do. What do I say? I'm so upset also but I feel like it can't compare? She won't be able to to see her grandson grow up and it is so upsetting to even think about.
Any advice?</t>
        </is>
      </c>
      <c r="D6626" t="n">
        <v>1</v>
      </c>
      <c r="E6626" t="n">
        <v>1</v>
      </c>
      <c r="F6626">
        <f>HYPERLINK("https://www.reddit.com/r/cancer/comments/eexrav/third_time_back_and_stopping_treatment/")</f>
        <v/>
      </c>
      <c r="G6626" t="inlineStr">
        <is>
          <t>2019-12-23 22:53:20</t>
        </is>
      </c>
      <c r="H6626" t="inlineStr"/>
    </row>
    <row r="6627">
      <c r="A6627" t="inlineStr">
        <is>
          <t>eey3cj</t>
        </is>
      </c>
      <c r="B6627" t="inlineStr">
        <is>
          <t>Reaching out</t>
        </is>
      </c>
      <c r="C6627" t="inlineStr">
        <is>
          <t>My friend from high school found out his cancer is back. He went through 9 months of chemo the first time and it took a lot out of him. We were really good friends in middle school and in high school we faded away but were still friends. 
I was actually dealing with my own health problems at the same time and we kind of bonded during that time. 
We’re both freshman in college now and I want to reach out but idk what to say and we haven’t talked in months. 
What should I do? 
I Truly do care and want him to feel better and at least now that I’m thinking about him</t>
        </is>
      </c>
      <c r="D6627" t="n">
        <v>1</v>
      </c>
      <c r="E6627" t="n">
        <v>1</v>
      </c>
      <c r="F6627">
        <f>HYPERLINK("https://www.reddit.com/r/cancer/comments/eey3cj/reaching_out/")</f>
        <v/>
      </c>
      <c r="G6627" t="inlineStr">
        <is>
          <t>2019-12-23 23:29:04</t>
        </is>
      </c>
      <c r="H6627" t="inlineStr"/>
    </row>
    <row r="6628">
      <c r="A6628" t="inlineStr">
        <is>
          <t>eeyj9u</t>
        </is>
      </c>
      <c r="B6628" t="inlineStr">
        <is>
          <t>Mom just lost</t>
        </is>
      </c>
      <c r="C6628" t="inlineStr">
        <is>
          <t>Not expecting any replies nor likely to post anything more.   Just felt I had to post that mom lost her battle after being diagnosed three months ago with Small cell metastatic lung cancer.
Truely sucks she's gone but she's beyond the pain now.  So there's that.
This sub has helped along the way reading various posts, but hope I never have to visit again.  Wish y'all the best.</t>
        </is>
      </c>
      <c r="D6628" t="n">
        <v>1</v>
      </c>
      <c r="E6628" t="n">
        <v>31</v>
      </c>
      <c r="F6628">
        <f>HYPERLINK("https://www.reddit.com/r/cancer/comments/eeyj9u/mom_just_lost/")</f>
        <v/>
      </c>
      <c r="G6628" t="inlineStr">
        <is>
          <t>2019-12-24 00:18:16</t>
        </is>
      </c>
      <c r="H6628" t="inlineStr"/>
    </row>
    <row r="6629">
      <c r="A6629" t="inlineStr">
        <is>
          <t>eezt0v</t>
        </is>
      </c>
      <c r="B6629" t="inlineStr">
        <is>
          <t>Recently had an orchiectomy after after a tumor was found on one of my boys (embryonal carcinoma). So I wrote a poem for my lost homie while I was still bed ridden. This one goes out to Little Lefty, I'll miss you buddy.</t>
        </is>
      </c>
      <c r="C6629" t="inlineStr">
        <is>
          <t>I can’t remember a time when you weren’t there.  
I can’t believe that you’re gone it just doesn’t seem fair.
You were as close to me as any friend I know.  
It just feels so wrong I don’t even have a photo. 
I’m sure you were in a few of the pics I took.  
But they weren’t the kind of pics that you save in a book. 
I already feel myself forgetting what you look like.   
And all I got left doesn’t even look right.
Gotta go, swing low sweet chariot crashing.  
I don’t know if I can go through an all night lasting. 
It’s so hard seeing scars of where you used to be,  
Hold up call the cops, you man there’s been a robbery.
I feel sad when I think about what you used to do for me.   
I wonder if you knew how much you really meant to me.
I tried when you died, but I forgot to ask,   
If I could bring you home and build you casket. 
Will you ever have a chance to rest in peace?  
Will I ever feel a sense of happy relief?
Will I always feel the pain that’s causing my grief?  
I’m sitting here living, still in disbelief. 
You were there when I needed to rise to the occasion.   
You didn’t care if that was white, black, latina or asian. 
You made sure I could stand up when the time was right.  
And stayed out of the way when I was riding my bike.
I’ll always remember where you used to hang.  
Cause you and me were like Kool And The Gang.
&amp;amp;#x200B;
*Fortunately, they caught it early enough (stage 1) and I'm not doing chemo yet. Just scans and blood work every 3 months. Unfortunately there was some nerve damage caused by my surgery (3 months ago) and I have excruciating surges of what feels like electric shock in my groin 20+ times a day.*</t>
        </is>
      </c>
      <c r="D6629" t="n">
        <v>1</v>
      </c>
      <c r="E6629" t="n">
        <v>15</v>
      </c>
      <c r="F6629">
        <f>HYPERLINK("https://www.reddit.com/r/cancer/comments/eezt0v/recently_had_an_orchiectomy_after_after_a_tumor/")</f>
        <v/>
      </c>
      <c r="G6629" t="inlineStr">
        <is>
          <t>2019-12-24 02:40:05</t>
        </is>
      </c>
      <c r="H6629" t="inlineStr"/>
    </row>
    <row r="6630">
      <c r="A6630" t="inlineStr">
        <is>
          <t>ef00lo</t>
        </is>
      </c>
      <c r="B6630" t="inlineStr">
        <is>
          <t>Hi everyone!</t>
        </is>
      </c>
      <c r="C6630" t="inlineStr">
        <is>
          <t>If you’ve been keeping in touch with my posts then again you would understand what’s been happening lately, my mum will in fact not be home for Christmas and instead she’ll be sending it in the hospital fighting off her infection, this of course is incredibly heartbreaking as it will be our first Christmas apart but we’ll all be heading up to the hospital tomorrow to do some presents and spend the day with her, I want to give everyone on here a big thank you and of course merry Christmas and happy holidays to all of you, you have all helped me through this battle and your words are so encouraging, I hope you all can take some comfort in knowing that you have helped me through out one of the most hardest moments of my life and I cannot thank all of you enough, I know that this battle is difficult and heartbreaking for all of us and the fact that all of you can find some time from dealing with your own pain and heartbreak to spread some happiness and encouragement amazes me, I thank all of you from the bottom of my heart and I hope you all have an amazing Christmas and holidays❤️</t>
        </is>
      </c>
      <c r="D6630" t="n">
        <v>1</v>
      </c>
      <c r="E6630" t="n">
        <v>5</v>
      </c>
      <c r="F6630">
        <f>HYPERLINK("https://www.reddit.com/r/cancer/comments/ef00lo/hi_everyone/")</f>
        <v/>
      </c>
      <c r="G6630" t="inlineStr">
        <is>
          <t>2019-12-24 03:04:29</t>
        </is>
      </c>
      <c r="H6630" t="inlineStr"/>
    </row>
    <row r="6631">
      <c r="A6631" t="inlineStr">
        <is>
          <t>ef062j</t>
        </is>
      </c>
      <c r="B6631" t="inlineStr">
        <is>
          <t>Accelerating hair regrowth post chemo</t>
        </is>
      </c>
      <c r="C6631" t="inlineStr">
        <is>
          <t>Hi,
My girlfriends finished chemo for 10 weeks now and just has a huge confidence loss cause of the hair loss. Is there anyone here who has found successful treatment to accelerate hair regrowth post chemo?
Woman’s rogaine?
Laser therapy?
Thanks</t>
        </is>
      </c>
      <c r="D6631" t="n">
        <v>1</v>
      </c>
      <c r="E6631" t="n">
        <v>15</v>
      </c>
      <c r="F6631">
        <f>HYPERLINK("https://www.reddit.com/r/cancer/comments/ef062j/accelerating_hair_regrowth_post_chemo/")</f>
        <v/>
      </c>
      <c r="G6631" t="inlineStr">
        <is>
          <t>2019-12-24 03:22:12</t>
        </is>
      </c>
      <c r="H6631" t="inlineStr"/>
    </row>
    <row r="6632">
      <c r="A6632" t="inlineStr">
        <is>
          <t>ef0sh4</t>
        </is>
      </c>
      <c r="B6632" t="inlineStr">
        <is>
          <t>How to be a good friend?</t>
        </is>
      </c>
      <c r="C6632" t="inlineStr">
        <is>
          <t>A friend of mine (M49) has recently been diagnosed with pancreatic and stomach cancer at stage 4b.
He had a gastric exam in may this year for a suspected ulcer but nothing was found.
Fast forward to December 8th and that’s what he’s told.
My first question is does that sound right because I can’t get my head around no cancer to stage 4b in such a short time (may to December).
He’s already had a bypass and started chemotherapy but I get the prognosis isn’t good. He was told life extension not life saving.
I don’t want to impose myself into his family time so what should I do?
Should I talk about his death with him? Or leave it out? How can I be a good friend without saying or doing the wrong thing or seeming insensitive?
I visited him the other day and took books and dvds to the hospital. 
I dont know what to do. 
He has two young kids aged 11 &amp;amp; 9
So sad</t>
        </is>
      </c>
      <c r="D6632" t="n">
        <v>1</v>
      </c>
      <c r="E6632" t="n">
        <v>4</v>
      </c>
      <c r="F6632">
        <f>HYPERLINK("https://www.reddit.com/r/cancer/comments/ef0sh4/how_to_be_a_good_friend/")</f>
        <v/>
      </c>
      <c r="G6632" t="inlineStr">
        <is>
          <t>2019-12-24 04:31:36</t>
        </is>
      </c>
      <c r="H6632" t="inlineStr"/>
    </row>
    <row r="6633">
      <c r="A6633" t="inlineStr">
        <is>
          <t>ef0u1g</t>
        </is>
      </c>
      <c r="B6633" t="inlineStr">
        <is>
          <t>Frustrated</t>
        </is>
      </c>
      <c r="C6633" t="inlineStr">
        <is>
          <t>I was looking for new brain cancer treatments online. I found an interesting article. [https://www.sciencedaily.com/releases/2019/12/191212104052.htm](https://www.sciencedaily.com/releases/2019/12/191212104052.htm)  The treatment seems promising. I then saw how it's not even in clinical trials yet. I googled the length of a clinical trial and that's 10-15 years. I'm sorry but WHY AREN'T THEY MORE URGENT? I know they are testing the safety but I believe it can be quicker than a decade+?</t>
        </is>
      </c>
      <c r="D6633" t="n">
        <v>1</v>
      </c>
      <c r="E6633" t="n">
        <v>0</v>
      </c>
      <c r="F6633">
        <f>HYPERLINK("https://www.reddit.com/r/cancer/comments/ef0u1g/frustrated/")</f>
        <v/>
      </c>
      <c r="G6633" t="inlineStr">
        <is>
          <t>2019-12-24 04:36:19</t>
        </is>
      </c>
      <c r="H6633" t="inlineStr"/>
    </row>
    <row r="6634">
      <c r="A6634" t="inlineStr">
        <is>
          <t>ef1egl</t>
        </is>
      </c>
      <c r="B6634" t="inlineStr">
        <is>
          <t>"When You Suddenly Become Mom and Dad"</t>
        </is>
      </c>
      <c r="C6634" t="inlineStr">
        <is>
          <t>About 10 years ago, my wife and I fought her liposarcoma for about 18 months; she passed away at the age of 43. Over the years I have friends and family ask for advice about my experience. So I started to write down my story and share it. In 2019, I finally submitted this article to the "PS I Love You" publication on Medium, and they posted it. I've had really nice reactions to it, and I wanted to share it with you.
And I'm happy to join this community and help in 2020 with my own perspective in any way I can. As I wrote in the article, I have experienced that cancer is scary and painful, but it's also the source of great love and learning. I hope you enjoy our story: 
[https://psiloveyou.xyz/when-you-suddenly-become-both-mom-and-dad-28e6aec227b5?source=friends\_link&amp;amp;sk=47997386d12abcc4a202c660e90be885](https://psiloveyou.xyz/when-you-suddenly-become-both-mom-and-dad-28e6aec227b5?source=friends_link&amp;amp;sk=47997386d12abcc4a202c660e90be885)</t>
        </is>
      </c>
      <c r="D6634" t="n">
        <v>1</v>
      </c>
      <c r="E6634" t="n">
        <v>8</v>
      </c>
      <c r="F6634">
        <f>HYPERLINK("https://www.reddit.com/r/cancer/comments/ef1egl/when_you_suddenly_become_mom_and_dad/")</f>
        <v/>
      </c>
      <c r="G6634" t="inlineStr">
        <is>
          <t>2019-12-24 05:32:58</t>
        </is>
      </c>
      <c r="H6634" t="inlineStr"/>
    </row>
    <row r="6635">
      <c r="A6635" t="inlineStr">
        <is>
          <t>ef27zw</t>
        </is>
      </c>
      <c r="B6635" t="inlineStr">
        <is>
          <t>My dad told me he has prostate cancer on christmas</t>
        </is>
      </c>
      <c r="C6635" t="inlineStr">
        <is>
          <t>My dad came home on 23. drunk, throwing a big fuss with my mother and then on christmas day he told me he has prostate cancer and hes in the 3rd stage.  
He did not tell my mother yet, and im trying to convince him to go to a hospital so they can do something but he doesn't want to because he says "id rather die like this than in a hospital with tubes in myself and not knowing who i am."  
He seems like he already accepted it but he still cried a lot. (I've never seen my father cry ever)  
I'm 18, still in school and my father is 52 years old, my mother has a lot of mental issues already so she cant actually work and i dont know what to do anymore.
He said that the doctor told him that he has 3 months left and im extremely depressed, do you guys know or have a family a member who managed to survive this especially in the 3rd stage and any help on how can i convince him?  
Thank you in advance.  
(im not native english so sorry for any grammar error)</t>
        </is>
      </c>
      <c r="D6635" t="n">
        <v>1</v>
      </c>
      <c r="E6635" t="n">
        <v>9</v>
      </c>
      <c r="F6635">
        <f>HYPERLINK("https://www.reddit.com/r/cancer/comments/ef27zw/my_dad_told_me_he_has_prostate_cancer_on_christmas/")</f>
        <v/>
      </c>
      <c r="G6635" t="inlineStr">
        <is>
          <t>2019-12-24 06:45:55</t>
        </is>
      </c>
      <c r="H6635" t="inlineStr"/>
    </row>
    <row r="6636">
      <c r="A6636" t="inlineStr">
        <is>
          <t>ef50jw</t>
        </is>
      </c>
      <c r="B6636" t="inlineStr">
        <is>
          <t>Need to let it out</t>
        </is>
      </c>
      <c r="C6636" t="inlineStr">
        <is>
          <t>Don’t know where else to turn to. I’m a 30 year old male and I’m terrified I have bowel cancer. It started off what felt like a stitch in my right side of my stomach. I have been back and forth to the doctors and I didn’t think they were taking me seriously. I asked to take a stool sample and it has came back there is a little bit of blood in it. The next stage is for me to get a endoscopy to see what’s going on. In the past week Iv seen the pain go from my right side to my left and it’s getting worse. I’m terrified. I have a 2 year old daughter and my fiancé is epileptic I need to be here to look after them. I haven’t told my parents cos they’ve gone through such a bad time recently they don’t need the stress if it ends up being nothing too sinister. I am struggling to talk to my partner about this as she lost her granny to bowel cancer a few years ago. I just need to let this out and hope that it ends up being something else. I think deep down I know it is though ...</t>
        </is>
      </c>
      <c r="D6636" t="n">
        <v>1</v>
      </c>
      <c r="E6636" t="n">
        <v>3</v>
      </c>
      <c r="F6636">
        <f>HYPERLINK("https://www.reddit.com/r/cancer/comments/ef50jw/need_to_let_it_out/")</f>
        <v/>
      </c>
      <c r="G6636" t="inlineStr">
        <is>
          <t>2019-12-24 10:21:31</t>
        </is>
      </c>
      <c r="H6636" t="inlineStr"/>
    </row>
    <row r="6637">
      <c r="A6637" t="inlineStr">
        <is>
          <t>ef5apl</t>
        </is>
      </c>
      <c r="B6637" t="inlineStr">
        <is>
          <t>I was told I look like I’m in my 50’s. (I’m 36)</t>
        </is>
      </c>
      <c r="C6637" t="inlineStr">
        <is>
          <t>Talk about devastating. 
Out walking my daughter and ran into a preacher, during his appeal to convert me he asked me how old I was and guessed in my 50’s. 
Fuckin hell cancer has wrecked me if I look 50. Before cancer people thought I was a college student. 
My hair did come back grey after chemo, and my face is super bloated from steroids. But I didn’t think it was THAT bad.</t>
        </is>
      </c>
      <c r="D6637" t="n">
        <v>1</v>
      </c>
      <c r="E6637" t="n">
        <v>18</v>
      </c>
      <c r="F6637">
        <f>HYPERLINK("https://www.reddit.com/r/cancer/comments/ef5apl/i_was_told_i_look_like_im_in_my_50s_im_36/")</f>
        <v/>
      </c>
      <c r="G6637" t="inlineStr">
        <is>
          <t>2019-12-24 10:43:00</t>
        </is>
      </c>
      <c r="H6637" t="inlineStr"/>
    </row>
    <row r="6638">
      <c r="A6638" t="inlineStr">
        <is>
          <t>ef6h6m</t>
        </is>
      </c>
      <c r="B6638" t="inlineStr">
        <is>
          <t>Myrtol &amp;amp; PMP cancer</t>
        </is>
      </c>
      <c r="C6638" t="inlineStr">
        <is>
          <t>Hey everyone,
Someone near and dear to me has PMP cancer (aka "jelly belly"). Due to a build up of scar tissue from past surgeries, debulking is no longer a viable long-term option for managing the mucin (cancer) growth, so his doctor suggested trying myrtol. Apparently, there have been studies showing that myrtol may be able to dissolve the mucin, meaning it could essentially be drained out rather than being "scraped" out as it was in surgery. I'm trying to find more information on this, but I'm not the best internet sleuth and was only able to find mention of it in an article from 2016. The article only mentioned that someone was researching it though, and did not include any info on trials, procedures, risks, or success rates.
Apparently myrtol is publicly available as an essential oil. The doc has pretty much said, "Go pick some up and try it", which means this is going to be happening without any sort of close professional oversight. If anyone has any more information they could contribute, anecdotally or otherwise, I'd greatly appreciate it. I hope this proves effective, and am trying to remain optimistic, but I'm feeling pretty skeptical given how little information I can find on it.</t>
        </is>
      </c>
      <c r="D6638" t="n">
        <v>1</v>
      </c>
      <c r="E6638" t="n">
        <v>6</v>
      </c>
      <c r="F6638">
        <f>HYPERLINK("https://www.reddit.com/r/cancer/comments/ef6h6m/myrtol_pmp_cancer/")</f>
        <v/>
      </c>
      <c r="G6638" t="inlineStr">
        <is>
          <t>2019-12-24 12:15:38</t>
        </is>
      </c>
      <c r="H6638" t="inlineStr"/>
    </row>
    <row r="6639">
      <c r="A6639" t="inlineStr">
        <is>
          <t>ef74ev</t>
        </is>
      </c>
      <c r="B6639" t="inlineStr">
        <is>
          <t>The start of the downfall of my father's health - pancreatic cancer</t>
        </is>
      </c>
      <c r="C6639" t="inlineStr">
        <is>
          <t>My father died exactly 4 weeks ago due to pancreatic cancer. He fought 14 months but the illness took him over. 
His health started failing when he started skipping meals around the end of August. He used to chew endlessly and then spit things out; he couldn't swallow. Apparently that's a thing with pancreatic cancer that tumor can apply pressure to other internal organs to cut the appetite. 
In September he had diarrhea and this hit him bad. We put him in hospital in mid September. After that, there was only negative progress with his illness. In his final month, he lost too much weight. He had deliriums. I couldn't recognize him in a photo taken 10 days before he died. 
I was told that he took two long sighs and then left this world.  
He fought hard. He didn't have any extreme pain or sores. I think we did 80% correct but the illness he had was a bad one. 
You know what they say about cancer: An illness that makes people laugh together in the same room but cry alone in separate rooms. That's true. 
I wish good luck to everyone in this sub; whether it is your health or someone you know.</t>
        </is>
      </c>
      <c r="D6639" t="n">
        <v>1</v>
      </c>
      <c r="E6639" t="n">
        <v>9</v>
      </c>
      <c r="F6639">
        <f>HYPERLINK("https://www.reddit.com/r/cancer/comments/ef74ev/the_start_of_the_downfall_of_my_fathers_health/")</f>
        <v/>
      </c>
      <c r="G6639" t="inlineStr">
        <is>
          <t>2019-12-24 13:07:59</t>
        </is>
      </c>
      <c r="H6639" t="inlineStr"/>
    </row>
    <row r="6640">
      <c r="A6640" t="inlineStr">
        <is>
          <t>ef7h6i</t>
        </is>
      </c>
      <c r="B6640" t="inlineStr">
        <is>
          <t>First Christmas without Momma</t>
        </is>
      </c>
      <c r="C6640" t="inlineStr">
        <is>
          <t>Just as the title says. My Momma passed away on November 12th and this is the first Christmas without her. I don’t know what to do with myself. My heart hurts.</t>
        </is>
      </c>
      <c r="D6640" t="n">
        <v>1</v>
      </c>
      <c r="E6640" t="n">
        <v>9</v>
      </c>
      <c r="F6640">
        <f>HYPERLINK("https://www.reddit.com/r/cancer/comments/ef7h6i/first_christmas_without_momma/")</f>
        <v/>
      </c>
      <c r="G6640" t="inlineStr">
        <is>
          <t>2019-12-24 13:37:15</t>
        </is>
      </c>
      <c r="H6640" t="inlineStr"/>
    </row>
    <row r="6641">
      <c r="A6641" t="inlineStr">
        <is>
          <t>ef84st</t>
        </is>
      </c>
      <c r="B6641" t="inlineStr">
        <is>
          <t>Please tell me my train of thought isn't rational</t>
        </is>
      </c>
      <c r="C6641" t="inlineStr">
        <is>
          <t>My mom got diagnosed with stage 4 renal cell carcinoma in July and both well known hospitals and their respective oncologists we went to recommended Keytruda and Inlyta combination as our treatment route. My family agreed and we started it and well after 4 rounds of Keytruda and the twice a day Inlyta pill the tumors haven't shrunk and at best slowed the progression slightly but it still is growing. We stopped it in late November and put her on second line chemo called "cabometyx" and 2 weeks ago the side effects were too strong for her to continue. I decided to read online that for several years Opdivo has been the go for RCC and Keytruda only in Spring 2019 got the go ahead for RCC. All I read is Opdivo success stories for RCC and Keytruda has barely a few. Im starting to think our luck would of been different on Opdivo. Please tell me Im just overthinking iT</t>
        </is>
      </c>
      <c r="D6641" t="n">
        <v>1</v>
      </c>
      <c r="E6641" t="n">
        <v>1</v>
      </c>
      <c r="F6641">
        <f>HYPERLINK("https://www.reddit.com/r/cancer/comments/ef84st/please_tell_me_my_train_of_thought_isnt_rational/")</f>
        <v/>
      </c>
      <c r="G6641" t="inlineStr">
        <is>
          <t>2019-12-24 14:31:54</t>
        </is>
      </c>
      <c r="H6641" t="inlineStr"/>
    </row>
    <row r="6642">
      <c r="A6642" t="inlineStr">
        <is>
          <t>ef8d0k</t>
        </is>
      </c>
      <c r="B6642" t="inlineStr">
        <is>
          <t>How often do you meet with your primary oncologist every month?</t>
        </is>
      </c>
      <c r="C6642" t="inlineStr">
        <is>
          <t>Just trying to benchmark our level of interaction.  My wife is presently being treated for metastatic ovarian cancer with liver mets.  We see her oncologist generally once per month for 15-20 minutes before scheduled infusions and sometimes again if my wife is admitted or is experiencing a complication.
Is that pretty normal?</t>
        </is>
      </c>
      <c r="D6642" t="n">
        <v>1</v>
      </c>
      <c r="E6642" t="n">
        <v>21</v>
      </c>
      <c r="F6642">
        <f>HYPERLINK("https://www.reddit.com/r/cancer/comments/ef8d0k/how_often_do_you_meet_with_your_primary/")</f>
        <v/>
      </c>
      <c r="G6642" t="inlineStr">
        <is>
          <t>2019-12-24 14:51:23</t>
        </is>
      </c>
      <c r="H6642" t="inlineStr"/>
    </row>
    <row r="6643">
      <c r="A6643" t="inlineStr">
        <is>
          <t>ef8fls</t>
        </is>
      </c>
      <c r="B6643" t="inlineStr">
        <is>
          <t>Just to say Thank You</t>
        </is>
      </c>
      <c r="C6643" t="inlineStr">
        <is>
          <t>Just wanteld to say thank you to all the people in this sub who helped me through cancer this year.  Your help was invaluable.
And just a note as Christmas (originally a religious celebration) draws near. Some people in this sub believe in God and religion gives them comfort. So consider that before you downvote any comment where religion, God  or clergy is mentioned. Thank you.</t>
        </is>
      </c>
      <c r="D6643" t="n">
        <v>1</v>
      </c>
      <c r="E6643" t="n">
        <v>18</v>
      </c>
      <c r="F6643">
        <f>HYPERLINK("https://www.reddit.com/r/cancer/comments/ef8fls/just_to_say_thank_you/")</f>
        <v/>
      </c>
      <c r="G6643" t="inlineStr">
        <is>
          <t>2019-12-24 14:57:25</t>
        </is>
      </c>
      <c r="H6643" t="inlineStr"/>
    </row>
    <row r="6644">
      <c r="A6644" t="inlineStr">
        <is>
          <t>ef9788</t>
        </is>
      </c>
      <c r="B6644" t="inlineStr">
        <is>
          <t>Just found out my dad has stage 4 bowel cancer</t>
        </is>
      </c>
      <c r="C6644" t="inlineStr">
        <is>
          <t>Can anyone tell me of their experiences with this? This is my first family member to have cancer. He was diagnosed about 4 months shock has had keyhole to remove a rumour and now its spread.</t>
        </is>
      </c>
      <c r="D6644" t="n">
        <v>1</v>
      </c>
      <c r="E6644" t="n">
        <v>8</v>
      </c>
      <c r="F6644">
        <f>HYPERLINK("https://www.reddit.com/r/cancer/comments/ef9788/just_found_out_my_dad_has_stage_4_bowel_cancer/")</f>
        <v/>
      </c>
      <c r="G6644" t="inlineStr">
        <is>
          <t>2019-12-24 16:02:56</t>
        </is>
      </c>
      <c r="H6644" t="inlineStr"/>
    </row>
    <row r="6645">
      <c r="A6645" t="inlineStr">
        <is>
          <t>ef9mux</t>
        </is>
      </c>
      <c r="B6645" t="inlineStr">
        <is>
          <t>My mom has stomach cancer and her body rejects food.</t>
        </is>
      </c>
      <c r="C6645" t="inlineStr">
        <is>
          <t>My mother has been feeling sick for 5 months now. She gets nauseous after eating small amount of food and has lost 20 lbs so far. She has become weaker and just wants to stay in bed for most of the day. When she eats more, she pukes it out. She finally went to the doctors and had a bunch of tests done. Turns out she has stomach cancer and has to go through surgery and chemo. She is at stage 2 or 3 but a big problem is how can she be strong enough to deal with all of that when she CAN'T EAT??? She has tried shakes, weight gain drinks, seafood, small meals...and she can hardly eat anything. 
When she pukes it out, she feels better. It is like if her body is rewarding starvation. Please..if anyone has any advice, please let me know. If there is something that can make her not puke or make her not nauseous, that would be great. She needs all the strength she can get.</t>
        </is>
      </c>
      <c r="D6645" t="n">
        <v>1</v>
      </c>
      <c r="E6645" t="n">
        <v>14</v>
      </c>
      <c r="F6645">
        <f>HYPERLINK("https://www.reddit.com/r/cancer/comments/ef9mux/my_mom_has_stomach_cancer_and_her_body_rejects/")</f>
        <v/>
      </c>
      <c r="G6645" t="inlineStr">
        <is>
          <t>2019-12-24 16:42:37</t>
        </is>
      </c>
      <c r="H6645" t="inlineStr"/>
    </row>
    <row r="6646">
      <c r="A6646" t="inlineStr">
        <is>
          <t>ef9ry5</t>
        </is>
      </c>
      <c r="B6646" t="inlineStr">
        <is>
          <t>My mom is dying</t>
        </is>
      </c>
      <c r="C6646" t="inlineStr">
        <is>
          <t>My mother was diagnosed with metastatic breast cancer. It’s spread to her brain and lungs. She spent a few days in the hospital getting tests. Every specialist she talked to said there’s nothing that can be done. She elected to go to hospice so she can be as comfortable as possible and just wait until the end. I really have no idea how to handle his. I don’t know how the people that have already been through this continue to live their lives. I feel awful for her. She doesn’t deserve this. Will I ever be happy again? Will I ever enjoy doing things again? I just want her to be at peace.</t>
        </is>
      </c>
      <c r="D6646" t="n">
        <v>1</v>
      </c>
      <c r="E6646" t="n">
        <v>3</v>
      </c>
      <c r="F6646">
        <f>HYPERLINK("https://www.reddit.com/r/cancer/comments/ef9ry5/my_mom_is_dying/")</f>
        <v/>
      </c>
      <c r="G6646" t="inlineStr">
        <is>
          <t>2019-12-24 16:55:24</t>
        </is>
      </c>
      <c r="H6646" t="inlineStr"/>
    </row>
    <row r="6647">
      <c r="A6647" t="inlineStr">
        <is>
          <t>efaqxf</t>
        </is>
      </c>
      <c r="B6647" t="inlineStr">
        <is>
          <t>Sitting in the hospital on Christmas eve with my terminal mom</t>
        </is>
      </c>
      <c r="C6647" t="inlineStr">
        <is>
          <t>She's been through so much before she got breast cancer. We thought we got it all but we weren't even close. She's terminal and we don't have a lot of time left. 
Trying to stay strong for her but all I can think about is this is the last "whatever the day is" I'll ever have with her. Last Christmas eve last Christmas last etc. 
I'm sad angry depressed everything at once, how do people do this without crying all day ? 
Any positive advice on how to cope ? I know it's a loaded question.... I just feel so lost</t>
        </is>
      </c>
      <c r="D6647" t="n">
        <v>1</v>
      </c>
      <c r="E6647" t="n">
        <v>13</v>
      </c>
      <c r="F6647">
        <f>HYPERLINK("https://www.reddit.com/r/cancer/comments/efaqxf/sitting_in_the_hospital_on_christmas_eve_with_my/")</f>
        <v/>
      </c>
      <c r="G6647" t="inlineStr">
        <is>
          <t>2019-12-24 18:28:46</t>
        </is>
      </c>
      <c r="H6647" t="inlineStr"/>
    </row>
    <row r="6648">
      <c r="A6648" t="inlineStr">
        <is>
          <t>efasx5</t>
        </is>
      </c>
      <c r="B6648" t="inlineStr">
        <is>
          <t>Breast Cancer or Gynecomastia?</t>
        </is>
      </c>
      <c r="C6648" t="inlineStr">
        <is>
          <t>So I am a 14-year-old male. I, recently, discovered a lump beneath my right nipple (recently as in a few months ago). I am curious as to what it is. It hurts if I press on it, it isn't visible only feelable, and it moves around but is under my nipple and doesn't move around from my nipple (if that makes sense).
It has grown and shrank over time and seems to be going away as of now. Does anyone have any clue what it could be?
(Also, my left nipple seems empty in a way. It hurts if I press on it.)</t>
        </is>
      </c>
      <c r="D6648" t="n">
        <v>1</v>
      </c>
      <c r="E6648" t="n">
        <v>2</v>
      </c>
      <c r="F6648">
        <f>HYPERLINK("https://www.reddit.com/r/cancer/comments/efasx5/breast_cancer_or_gynecomastia/")</f>
        <v/>
      </c>
      <c r="G6648" t="inlineStr">
        <is>
          <t>2019-12-24 18:34:09</t>
        </is>
      </c>
      <c r="H6648" t="inlineStr"/>
    </row>
    <row r="6649">
      <c r="A6649" t="inlineStr">
        <is>
          <t>efau2r</t>
        </is>
      </c>
      <c r="B6649" t="inlineStr">
        <is>
          <t>Good thoughts, warm hugs and love to everyone whose lives have been touched by cancer !</t>
        </is>
      </c>
      <c r="C6649" t="inlineStr">
        <is>
          <t>To all the patients, caregivers, family and friends whose lives have been touched by cancer - 
This year my 10 year niece was diagnosed with cancer. Its been tough but we feel so incredibly blessed to be around people who care so much. 
We also spent Christmas in the hospital and she was quite upset intially. However the entire week was filled with nurses, doctors, volunteers from various organisations and even fellow patients and thier families all organising activities and handing out presents. 
 People are so incredibly generous not only with money but just with the time and effort they spend in making other people happy.
On Christmas Eve we also handed out presents to all the nurses and the patients and just seeing the smile on their faces was worth it. There were children from 17 weeks old to 13+ years and they were all fighting this tough battle against cancer.
We often live life unaware of the struggle others face and this year has just made us realise how important it is to help others in whatever way we possibly can. We should always count the blessings we have, and take inspiration from others to keep our hope alive and strong.
Cancer is tough on everyone involved and just want to say that Stay Strong Everyone.
To the patients - You all are incredibly brave and wish everyone that is fighting this battle lots of strength and hope and a speedy recovery. 
For the caregivers who are so incredibly selfless you guys are awesome! Often we underappreciate the ones who put in the most effort so thank you for everything you do.
For those that have passed away, our thoughts will always be with you and for those who are missing them during this time, warm hugs to you. 
And finally to all the nurses, doctors, cleaners, administrators and all the other hospital staff, you guys are so hardworking and take such good care of each and every person. Thank you for all that you do!
Lots of love from us to you!</t>
        </is>
      </c>
      <c r="D6649" t="n">
        <v>1</v>
      </c>
      <c r="E6649" t="n">
        <v>4</v>
      </c>
      <c r="F6649">
        <f>HYPERLINK("https://www.reddit.com/r/cancer/comments/efau2r/good_thoughts_warm_hugs_and_love_to_everyone/")</f>
        <v/>
      </c>
      <c r="G6649" t="inlineStr">
        <is>
          <t>2019-12-24 18:37:23</t>
        </is>
      </c>
      <c r="H6649" t="inlineStr"/>
    </row>
    <row r="6650">
      <c r="A6650" t="inlineStr">
        <is>
          <t>efbif5</t>
        </is>
      </c>
      <c r="B6650" t="inlineStr">
        <is>
          <t>Just beat head and neck cancer for the 2nd time</t>
        </is>
      </c>
      <c r="C6650" t="inlineStr">
        <is>
          <t>I was diagnosed in October and was referred to Pittsburgh for there world renowned EEA surgery and high class doctors. I got there nearly 2 weeks before Thanksgiving and was just now able to fly home this evening on Christmas eve! I had my first surgery a week before Thanksgiving and had family fly to me so we could still have a good holiday. I was able to fly home shortly after that but after getting my pathology report, they had me come back immediately for them take more cancer out due to "close margins". I had my second surgery were they also removed the lymph nodes in my right neck and just finally flew home from that surgery. I have been away from home so long and this is all i wanted for Christmas. Time to get back to my normalish life!</t>
        </is>
      </c>
      <c r="D6650" t="n">
        <v>1</v>
      </c>
      <c r="E6650" t="n">
        <v>11</v>
      </c>
      <c r="F6650">
        <f>HYPERLINK("https://www.reddit.com/r/cancer/comments/efbif5/just_beat_head_and_neck_cancer_for_the_2nd_time/")</f>
        <v/>
      </c>
      <c r="G6650" t="inlineStr">
        <is>
          <t>2019-12-24 19:43:45</t>
        </is>
      </c>
      <c r="H6650" t="inlineStr"/>
    </row>
    <row r="6651">
      <c r="A6651" t="inlineStr">
        <is>
          <t>efblbo</t>
        </is>
      </c>
      <c r="B6651" t="inlineStr">
        <is>
          <t>Best Xmas gift ever.</t>
        </is>
      </c>
      <c r="C6651" t="inlineStr">
        <is>
          <t>I’ve been Cancer free my entire life. 
Cheers to everyone living a full and healthy life.</t>
        </is>
      </c>
      <c r="D6651" t="n">
        <v>1</v>
      </c>
      <c r="E6651" t="n">
        <v>0</v>
      </c>
      <c r="F6651">
        <f>HYPERLINK("https://www.reddit.com/r/cancer/comments/efblbo/best_xmas_gift_ever/")</f>
        <v/>
      </c>
      <c r="G6651" t="inlineStr">
        <is>
          <t>2019-12-24 19:51:43</t>
        </is>
      </c>
      <c r="H6651" t="inlineStr"/>
    </row>
    <row r="6652">
      <c r="A6652" t="inlineStr">
        <is>
          <t>efcv17</t>
        </is>
      </c>
      <c r="B6652" t="inlineStr">
        <is>
          <t>Happy Holidays to all you amazing people!</t>
        </is>
      </c>
      <c r="C6652" t="inlineStr">
        <is>
          <t>Just wanted to say happy holidays to everyone here, you're all incredible and brave in the face of everything that we endure on a daily basis. Take time to remember everyone that isn't here during the holidays and take solice in the fact that no matter how shitty our daily lives are we're still here to read this post and engage with each other. You're an amazing community brought together by terrible circumstances but you all make the best of it every single day and it doesn't go unnoticed. Here's to our shitty club, may we never never forget each other.</t>
        </is>
      </c>
      <c r="D6652" t="n">
        <v>1</v>
      </c>
      <c r="E6652" t="n">
        <v>8</v>
      </c>
      <c r="F6652">
        <f>HYPERLINK("https://www.reddit.com/r/cancer/comments/efcv17/happy_holidays_to_all_you_amazing_people/")</f>
        <v/>
      </c>
      <c r="G6652" t="inlineStr">
        <is>
          <t>2019-12-24 22:01:31</t>
        </is>
      </c>
      <c r="H6652" t="inlineStr"/>
    </row>
    <row r="6653">
      <c r="A6653" t="inlineStr">
        <is>
          <t>efgg6f</t>
        </is>
      </c>
      <c r="B6653" t="inlineStr">
        <is>
          <t>All of the love this holiday season for those dealing with this themselves or the family of those with cancer</t>
        </is>
      </c>
      <c r="C6653" t="inlineStr">
        <is>
          <t>My mom is terminal, and last night I heard her on the phone with a friend about how she went overboard with gifts this year, because if it is her last Christmas, she's going to make sure it's the best damn Christmas we've ever had. I lost my shit in bed crying and still am. I am an adult and haven't had this many gifts ever in my life, especially since starting my own life, and am very grateful that she went out of her way to do this even though I repeatedly told her not to get me anything. I'm excited for my kid siblings the most. And a thanks to the cancer center my mom goes to and Susan G. Komen for doubling the amount of gifts for my family and hand delivering them.</t>
        </is>
      </c>
      <c r="D6653" t="n">
        <v>1</v>
      </c>
      <c r="E6653" t="n">
        <v>1</v>
      </c>
      <c r="F6653">
        <f>HYPERLINK("https://www.reddit.com/r/cancer/comments/efgg6f/all_of_the_love_this_holiday_season_for_those/")</f>
        <v/>
      </c>
      <c r="G6653" t="inlineStr">
        <is>
          <t>2019-12-25 05:24:53</t>
        </is>
      </c>
      <c r="H6653" t="inlineStr"/>
    </row>
    <row r="6654">
      <c r="A6654" t="inlineStr">
        <is>
          <t>efgh4f</t>
        </is>
      </c>
      <c r="B6654" t="inlineStr">
        <is>
          <t>Fuck Cancer this Christmas</t>
        </is>
      </c>
      <c r="C6654" t="inlineStr">
        <is>
          <t>Feeling chemo sick as i prepare to wake my children this Christmas morning. Im stage 4 metastatic and have fought through several treatments. I feel like im coming to the end and this will be my last Christmas with my family. I try to have a grateful heart but i miss having a normal life to see my children grow and an opportunity to help them grow. Peace and love</t>
        </is>
      </c>
      <c r="D6654" t="n">
        <v>1</v>
      </c>
      <c r="E6654" t="n">
        <v>21</v>
      </c>
      <c r="F6654">
        <f>HYPERLINK("https://www.reddit.com/r/cancer/comments/efgh4f/fuck_cancer_this_christmas/")</f>
        <v/>
      </c>
      <c r="G6654" t="inlineStr">
        <is>
          <t>2019-12-25 05:27:49</t>
        </is>
      </c>
      <c r="H6654" t="inlineStr"/>
    </row>
    <row r="6655">
      <c r="A6655" t="inlineStr">
        <is>
          <t>efgyhr</t>
        </is>
      </c>
      <c r="B6655" t="inlineStr">
        <is>
          <t>First week of therapy.</t>
        </is>
      </c>
      <c r="C6655" t="inlineStr">
        <is>
          <t>Hello, my father started his 5 week radiotherapy and temodar for his gliomatosis cerebri this week. I am looking for some advice on how to make his days better, should he focus on eating vegetarian food still or while on therapy we should let him eat what he wants ? Should i continue walking with him and doing exercise for his movement and balance or should i let him rest? How many hours of sleep does he need ? Any advice on fun activities that worked for u or your loved ones while on therapy ?</t>
        </is>
      </c>
      <c r="D6655" t="n">
        <v>1</v>
      </c>
      <c r="E6655" t="n">
        <v>4</v>
      </c>
      <c r="F6655">
        <f>HYPERLINK("https://www.reddit.com/r/cancer/comments/efgyhr/first_week_of_therapy/")</f>
        <v/>
      </c>
      <c r="G6655" t="inlineStr">
        <is>
          <t>2019-12-25 06:18:29</t>
        </is>
      </c>
      <c r="H6655" t="inlineStr"/>
    </row>
    <row r="6656">
      <c r="A6656" t="inlineStr">
        <is>
          <t>efhanz</t>
        </is>
      </c>
      <c r="B6656" t="inlineStr">
        <is>
          <t>Well fuck you too cancer</t>
        </is>
      </c>
      <c r="C6656" t="inlineStr">
        <is>
          <t>My baby son got sick with a virus so the Dr said if possible I should stay out of the house. So now I'm gonna be living by my parents more or less who love close till he's a bit better.
1 this sucks
2 gonna try to watch a hilarious movie feel free to suggest
Happy holidays all</t>
        </is>
      </c>
      <c r="D6656" t="n">
        <v>1</v>
      </c>
      <c r="E6656" t="n">
        <v>6</v>
      </c>
      <c r="F6656">
        <f>HYPERLINK("https://www.reddit.com/r/cancer/comments/efhanz/well_fuck_you_too_cancer/")</f>
        <v/>
      </c>
      <c r="G6656" t="inlineStr">
        <is>
          <t>2019-12-25 06:50:53</t>
        </is>
      </c>
      <c r="H6656" t="inlineStr"/>
    </row>
    <row r="6657">
      <c r="A6657" t="inlineStr">
        <is>
          <t>efhd3u</t>
        </is>
      </c>
      <c r="B6657" t="inlineStr">
        <is>
          <t>Merry Christmas</t>
        </is>
      </c>
      <c r="C6657" t="inlineStr">
        <is>
          <t xml:space="preserve">
As our Christmas gift to you we are offering a 50% discount on our newest book at;
https://www.smashwords.com/books/view/926991
Thanks for taking a look and Happy Holidays, Keith</t>
        </is>
      </c>
      <c r="D6657" t="n">
        <v>1</v>
      </c>
      <c r="E6657" t="n">
        <v>0</v>
      </c>
      <c r="F6657">
        <f>HYPERLINK("https://www.reddit.com/r/cancer/comments/efhd3u/merry_christmas/")</f>
        <v/>
      </c>
      <c r="G6657" t="inlineStr">
        <is>
          <t>2019-12-25 06:57:27</t>
        </is>
      </c>
      <c r="H6657" t="inlineStr"/>
    </row>
    <row r="6658">
      <c r="A6658" t="inlineStr">
        <is>
          <t>efi8j5</t>
        </is>
      </c>
      <c r="B6658" t="inlineStr">
        <is>
          <t>Feel left behind already</t>
        </is>
      </c>
      <c r="C6658" t="inlineStr">
        <is>
          <t>Family fucking ditched me all day because I had chemo Monday and my constant nausea/diarrhea would kill the mood. Just me, dog, and cat this year. Kinda feels like a dry run of Christmas when I'm dead. Merry Christmas/ happy holidays all.</t>
        </is>
      </c>
      <c r="D6658" t="n">
        <v>1</v>
      </c>
      <c r="E6658" t="n">
        <v>20</v>
      </c>
      <c r="F6658">
        <f>HYPERLINK("https://www.reddit.com/r/cancer/comments/efi8j5/feel_left_behind_already/")</f>
        <v/>
      </c>
      <c r="G6658" t="inlineStr">
        <is>
          <t>2019-12-25 08:14:23</t>
        </is>
      </c>
      <c r="H6658" t="inlineStr"/>
    </row>
    <row r="6659">
      <c r="A6659" t="inlineStr">
        <is>
          <t>efkbx1</t>
        </is>
      </c>
      <c r="B6659" t="inlineStr">
        <is>
          <t>T3N2Mx meaning</t>
        </is>
      </c>
      <c r="C6659" t="inlineStr">
        <is>
          <t>I know this might not sound ethical, but I recently found out my mum is hiding cancer from me, so I went through her medical files. I found that she has breast cancer T3N2Mx. I looked online and I know what it means, but I didn't find any site which could tell me how bad this actually means it is. I want to be as informed as possible before I bring this up with her, so please, somebody more knowledgeable, explain to me what this means exactly (is it REALLY bad, beyond curable, etc)</t>
        </is>
      </c>
      <c r="D6659" t="n">
        <v>1</v>
      </c>
      <c r="E6659" t="n">
        <v>5</v>
      </c>
      <c r="F6659">
        <f>HYPERLINK("https://www.reddit.com/r/cancer/comments/efkbx1/t3n2mx_meaning/")</f>
        <v/>
      </c>
      <c r="G6659" t="inlineStr">
        <is>
          <t>2019-12-25 11:04:46</t>
        </is>
      </c>
      <c r="H6659" t="inlineStr"/>
    </row>
    <row r="6660">
      <c r="A6660" t="inlineStr">
        <is>
          <t>efmqxf</t>
        </is>
      </c>
      <c r="B6660" t="inlineStr">
        <is>
          <t>So i just went to the Doctor because i thought i had Colorectal Cancer</t>
        </is>
      </c>
      <c r="C6660" t="inlineStr">
        <is>
          <t>I went to the Doctor because i thought i had Colorectal Cancer, so he took my Blood and they were checking it, it took about 2 Hours till i got the results. after 2 Hours the Doctor came and told me with a piece of paper and told me that my Blood results are pretty normal and i should do a colonoscopy to check where the blood comes from. 
Now my question is, is it possible to check if i have colorectal cancer just by taking my blood, i had so many bad nightmares and couldn't sleep because i always was thinking that i have colorectal cancer. im going friday to my  family doctor and tell him about that
i feel kind of relieved because my blood stats are ok, but i still dont know if i have cancer and that makes me sick, im 19 years old.</t>
        </is>
      </c>
      <c r="D6660" t="n">
        <v>1</v>
      </c>
      <c r="E6660" t="n">
        <v>8</v>
      </c>
      <c r="F6660">
        <f>HYPERLINK("https://www.reddit.com/r/cancer/comments/efmqxf/so_i_just_went_to_the_doctor_because_i_thought_i/")</f>
        <v/>
      </c>
      <c r="G6660" t="inlineStr">
        <is>
          <t>2019-12-25 14:24:17</t>
        </is>
      </c>
      <c r="H6660" t="inlineStr"/>
    </row>
    <row r="6661">
      <c r="A6661" t="inlineStr">
        <is>
          <t>efncf0</t>
        </is>
      </c>
      <c r="B6661" t="inlineStr">
        <is>
          <t>Get over it.</t>
        </is>
      </c>
      <c r="C6661" t="inlineStr">
        <is>
          <t>There is alot worse things than cancer. Get over it you sensitive fucks.</t>
        </is>
      </c>
      <c r="D6661" t="n">
        <v>1</v>
      </c>
      <c r="E6661" t="n">
        <v>0</v>
      </c>
      <c r="F6661">
        <f>HYPERLINK("https://www.reddit.com/r/cancer/comments/efncf0/get_over_it/")</f>
        <v/>
      </c>
      <c r="G6661" t="inlineStr">
        <is>
          <t>2019-12-25 15:15:52</t>
        </is>
      </c>
      <c r="H6661" t="inlineStr"/>
    </row>
    <row r="6662">
      <c r="A6662" t="inlineStr">
        <is>
          <t>efnefp</t>
        </is>
      </c>
      <c r="B6662" t="inlineStr">
        <is>
          <t>Swollen lymph nodes from lymphedema?</t>
        </is>
      </c>
      <c r="C6662" t="inlineStr">
        <is>
          <t>I've been dealing with lymphedema for a few months, I probably don't wear my torture device sleeve as much as I should.  In the last few days, I've gotten a tender lump at the lower end of my bicep, and now another one a few inches above it.  I thought it was another cyst forming, but it's under the skin and seems to not be attached to it.  I'm going to go talk to the triage nurse at the cancer center tomorrow, but what can I expect this to be?</t>
        </is>
      </c>
      <c r="D6662" t="n">
        <v>1</v>
      </c>
      <c r="E6662" t="n">
        <v>0</v>
      </c>
      <c r="F6662">
        <f>HYPERLINK("https://www.reddit.com/r/cancer/comments/efnefp/swollen_lymph_nodes_from_lymphedema/")</f>
        <v/>
      </c>
      <c r="G6662" t="inlineStr">
        <is>
          <t>2019-12-25 15:20:40</t>
        </is>
      </c>
      <c r="H6662" t="inlineStr"/>
    </row>
    <row r="6663">
      <c r="A6663" t="inlineStr">
        <is>
          <t>efpi5v</t>
        </is>
      </c>
      <c r="B6663" t="inlineStr">
        <is>
          <t>Anyone else annoyed by the "hidden cure" conspiracy.</t>
        </is>
      </c>
      <c r="C6663" t="inlineStr">
        <is>
          <t>This theory loses all credentials once you look up all the millionaires and worldly figures who have died due to cancer. Once you tell people who spout this theory they usually shrug and try shifting the argument.</t>
        </is>
      </c>
      <c r="D6663" t="n">
        <v>1</v>
      </c>
      <c r="E6663" t="n">
        <v>19</v>
      </c>
      <c r="F6663">
        <f>HYPERLINK("https://www.reddit.com/r/cancer/comments/efpi5v/anyone_else_annoyed_by_the_hidden_cure_conspiracy/")</f>
        <v/>
      </c>
      <c r="G6663" t="inlineStr">
        <is>
          <t>2019-12-25 18:29:23</t>
        </is>
      </c>
      <c r="H6663" t="inlineStr"/>
    </row>
    <row r="6664">
      <c r="A6664" t="inlineStr">
        <is>
          <t>efpr3o</t>
        </is>
      </c>
      <c r="B6664" t="inlineStr">
        <is>
          <t>A huge mass/lump painless lump at my back</t>
        </is>
      </c>
      <c r="C6664" t="inlineStr">
        <is>
          <t>Hi there so i have this huge painless immovable mass/lump at my left upper back about 4 cm oval like and unnoticeable to the eye and is inside the muscle. I have it for like 3 years and consulted 2 doctors. The first dr ordered a cbc, urinalysis and xray and all have negative result. She just told me that maybe it was just a regular muscle pain. Im kinda pissed and reileved that a gp told me im ok but kinda left clueless abot this lump. Then a year later 8m having this low back pain and went to a different dr the doc ordered the same labs and all results  were negative again, she told me to have an mri but i didnt because i thought it was nothing and the pain maybe related with my job as i am a police officer and i work 12hrs  per duty. But my low back pain is becoming worse. Im planning to consult another dr and maybe have an mri. Is it ok to have a lump for at leat 3 years?</t>
        </is>
      </c>
      <c r="D6664" t="n">
        <v>1</v>
      </c>
      <c r="E6664" t="n">
        <v>2</v>
      </c>
      <c r="F6664">
        <f>HYPERLINK("https://www.reddit.com/r/cancer/comments/efpr3o/a_huge_masslump_painless_lump_at_my_back/")</f>
        <v/>
      </c>
      <c r="G6664" t="inlineStr">
        <is>
          <t>2019-12-25 18:51:49</t>
        </is>
      </c>
      <c r="H6664" t="inlineStr"/>
    </row>
    <row r="6665">
      <c r="A6665" t="inlineStr">
        <is>
          <t>efqo58</t>
        </is>
      </c>
      <c r="B6665" t="inlineStr">
        <is>
          <t>Should I be checked? Weight loss</t>
        </is>
      </c>
      <c r="C6665" t="inlineStr">
        <is>
          <t>All my family says they think I look like I’ve lost lots of weight. However, my weight has remained the same varies from 197-210 week to week depending on how my my water intake it (I’m 6’4” and drink anywhere form 1-4.5 liters a day).
I’m also tired like 24/7.
My fear is the tumor/cancer is causing my body to “lose weight” which is why I look skinnier but the cancer inside of wherever it is is the reason my weight isn’t dropping</t>
        </is>
      </c>
      <c r="D6665" t="n">
        <v>1</v>
      </c>
      <c r="E6665" t="n">
        <v>4</v>
      </c>
      <c r="F6665">
        <f>HYPERLINK("https://www.reddit.com/r/cancer/comments/efqo58/should_i_be_checked_weight_loss/")</f>
        <v/>
      </c>
      <c r="G6665" t="inlineStr">
        <is>
          <t>2019-12-25 20:18:10</t>
        </is>
      </c>
      <c r="H6665" t="inlineStr"/>
    </row>
    <row r="6666">
      <c r="A6666" t="inlineStr">
        <is>
          <t>efqssg</t>
        </is>
      </c>
      <c r="B6666" t="inlineStr">
        <is>
          <t>Mom got Stage 4 Pancreatic Cancer for Christmas</t>
        </is>
      </c>
      <c r="C6666" t="inlineStr">
        <is>
          <t>My mom went to the hospital last about a week ago with bad abdominal pain. CAT scan found lesions on her pancreas and liver. A follow up with her GI doctor a few days later and she was told that she has stage four cancer. She is still in pain, and all the doctor gave her was 15, 5/325 percocets. She's afraid to use them for fear of running out. On top of the shock and emotional turmoil my whole family is dealing with, we are in a fucked position because these fucking doctors are afraid to adequately treat my mom's pain. If you cant prescribe opiates for somebody in the end stages of cancer, what the fuck are they for. I'm sleep deprived and wrung out after flying across the country today to be with my parents. I'm getting ready to put my boot up a doctors ass tomorrow morning. My mom took her 1 pill and is hoping to sleep through the night with out waking up in pain. Fuck cancer, and fuck these fucking doctors who never took care of her.</t>
        </is>
      </c>
      <c r="D6666" t="n">
        <v>1</v>
      </c>
      <c r="E6666" t="n">
        <v>14</v>
      </c>
      <c r="F6666">
        <f>HYPERLINK("https://www.reddit.com/r/cancer/comments/efqssg/mom_got_stage_4_pancreatic_cancer_for_christmas/")</f>
        <v/>
      </c>
      <c r="G6666" t="inlineStr">
        <is>
          <t>2019-12-25 20:30:21</t>
        </is>
      </c>
      <c r="H6666" t="inlineStr"/>
    </row>
    <row r="6667">
      <c r="A6667" t="inlineStr">
        <is>
          <t>efqvsb</t>
        </is>
      </c>
      <c r="B6667" t="inlineStr">
        <is>
          <t>My Dad's Suffering with Pancreatic CA</t>
        </is>
      </c>
      <c r="C6667" t="inlineStr">
        <is>
          <t>I remember when my phone went off 2 years ago, it was my Mom sending a text early on a Saturday morning.  "Zack, your Dad" followed by no other texts, and then the phone rang.  My heart sunk. I knew that my Dad was dying or dead.  I picked up the phone, "Ma, what's wrong?".  She didn't say anything, so I said "Ma, whats going on - I got a text, now a call, what is wrong?!".  "Zack, calm down", she said.  I just wanted to let you know Dad is in the local hospital.  Mild abdominal pain.  Doctors don't think it's anything.  "Is he ok?", I asked.  "Zack, yes, he's fine.  Room 222A".
I finished my coffee, called my wife, drove to the hospital.  There he was, in good spirits.  Pain free.  Said he hopes to be out Sunday.  Sunday comes, he is discharged, and MDs there say something in the pancreas needs a second look.
CT shows a spec of some sort on the pancreas, right at the top.  Rushed to MSK.  Surgery, 6 months of chemo.  Is a god damned trooper through all if it.  Continued his regular routines; house finances, chores, out with friends, dinners with his wife, up late reading.  Brisk walking, or mild jogging on the treadmill.
Declared "cancer free", two months break off chemo.  
December 2018.  Cancer is back, twice as hard.  Metastatic.  6-9 month life expectancy, with treatment.  More aggressive chemo starts and continues throughout 2019.  He begins to plan his demise, and shows his close family where the money comes in, where the money goes out.  Shows what bills are automatic, and what are variable.  Hands me the credentials to it all.  It exists only on paper.  He said to me that he had to do this now vs later because he doesn't know when it's going to get bad.
December 25th, 2019: My Dad can barely get out of bed, spends perhaps 6 hours per day up.  Is no really longer interested in anything.  Stares blankly off in space on occasion.  I'm not sure if he can't hear me, or if he just someplace else mentally.  Still has a decent appetite.  Needs a walker to work 30 feet, and is exhausted at the end of it.  We're not sure if its the chemo or the disease state at this point.  I think we're out of legal options.
My Mom cries.  I cry sometimes, other times I just want my Dad to be free of his disease.  My Dad is a kind, gentle, man.  A great Father.  A role model.  Worked tirelessly for his family asking nothing in return.  He is my hero.
He didn't deserve this.  No one deserves this.      
Fuck cancer.</t>
        </is>
      </c>
      <c r="D6667" t="n">
        <v>1</v>
      </c>
      <c r="E6667" t="n">
        <v>1</v>
      </c>
      <c r="F6667">
        <f>HYPERLINK("https://www.reddit.com/r/cancer/comments/efqvsb/my_dads_suffering_with_pancreatic_ca/")</f>
        <v/>
      </c>
      <c r="G6667" t="inlineStr">
        <is>
          <t>2019-12-25 20:38:02</t>
        </is>
      </c>
      <c r="H6667" t="inlineStr"/>
    </row>
    <row r="6668">
      <c r="A6668" t="inlineStr">
        <is>
          <t>eftw9g</t>
        </is>
      </c>
      <c r="B6668" t="inlineStr">
        <is>
          <t>Beard and chemo</t>
        </is>
      </c>
      <c r="C6668" t="inlineStr">
        <is>
          <t>Hi,
Recently on chemo
Beard hair coming out
Question:
Better to let fall out naturally or shave it off with a electric razor
I don't want the follicles left behind in my skin as they may struggle to fall out fully on their own?</t>
        </is>
      </c>
      <c r="D6668" t="n">
        <v>1</v>
      </c>
      <c r="E6668" t="n">
        <v>11</v>
      </c>
      <c r="F6668">
        <f>HYPERLINK("https://www.reddit.com/r/cancer/comments/eftw9g/beard_and_chemo/")</f>
        <v/>
      </c>
      <c r="G6668" t="inlineStr">
        <is>
          <t>2019-12-26 02:22:32</t>
        </is>
      </c>
      <c r="H6668" t="inlineStr"/>
    </row>
    <row r="6669">
      <c r="A6669" t="inlineStr">
        <is>
          <t>efu8tl</t>
        </is>
      </c>
      <c r="B6669" t="inlineStr">
        <is>
          <t>Oncologist switching to worse treatment?</t>
        </is>
      </c>
      <c r="C6669" t="inlineStr">
        <is>
          <t>My dad has secondary cns lymphoma from a non-Hodgkin b-cell diffuse large cell lymphoma.
It’s one week since diagnoses and he suffers from some balance loss on his left side last week, then fell down strairs, which resulted in being in hospital in oncology ward. We were told last week he would do imrt radiation therapy on a rapid arc manachine this week. But it ended up getting delayed and we pushed and complained.
Now oncologist want to do whole brain radio therapy and imrt. 20 days for whole brain and 5 days for inner. They say it won’t have any difference in the total volume of radiation applied.
When asked why the change, they say this allowed him to start therapy earlier this week and they can plan the imrt next week.
Did we get screwed or is the difference in treatments negligible?
I’m very stressed we just picked a far worse cognitive outcome for convenience of time.</t>
        </is>
      </c>
      <c r="D6669" t="n">
        <v>1</v>
      </c>
      <c r="E6669" t="n">
        <v>9</v>
      </c>
      <c r="F6669">
        <f>HYPERLINK("https://www.reddit.com/r/cancer/comments/efu8tl/oncologist_switching_to_worse_treatment/")</f>
        <v/>
      </c>
      <c r="G6669" t="inlineStr">
        <is>
          <t>2019-12-26 03:07:39</t>
        </is>
      </c>
      <c r="H6669" t="inlineStr"/>
    </row>
    <row r="6670">
      <c r="A6670" t="inlineStr">
        <is>
          <t>efumay</t>
        </is>
      </c>
      <c r="B6670" t="inlineStr">
        <is>
          <t>Cancer took my Christmas spirit (just rambling, thanks for listening)</t>
        </is>
      </c>
      <c r="C6670" t="inlineStr">
        <is>
          <t>This by far was my most difficult Christmas to get through. Christmas has always been my favorite holiday but this year it fucking sucked. Just looking at my house inside and out you can tell depression, anxiety, and grief took over. I’m normally the house on the street that people stop there cars in front of and look at all the decorations. This year I didn’t have it in me and my house looked like shit. A lot of the strands of lights were half out, my window wreathes weren’t even plugged in and my big lawn pieces weren’t plugged in either. Then you get to the inside where it looks like a bomb went off. I have zero motivation to do anything, fucking cancer has taken hostage of my brain and I feel I can no longer function. 
I have so much to be thankful for, I have three amazing young children and a wife that I love with all my heart. But this year cancer took that joy from me. 
Here’s to hoping 2020 is better than 2019. Here’s to hoping 2020 isn’t my last year. I have more fight in me.</t>
        </is>
      </c>
      <c r="D6670" t="n">
        <v>1</v>
      </c>
      <c r="E6670" t="n">
        <v>10</v>
      </c>
      <c r="F6670">
        <f>HYPERLINK("https://www.reddit.com/r/cancer/comments/efumay/cancer_took_my_christmas_spirit_just_rambling/")</f>
        <v/>
      </c>
      <c r="G6670" t="inlineStr">
        <is>
          <t>2019-12-26 03:55:49</t>
        </is>
      </c>
      <c r="H6670" t="inlineStr"/>
    </row>
    <row r="6671">
      <c r="A6671" t="inlineStr">
        <is>
          <t>efuoyu</t>
        </is>
      </c>
      <c r="B6671" t="inlineStr">
        <is>
          <t>In-laws pushing faith healers on us</t>
        </is>
      </c>
      <c r="C6671" t="inlineStr">
        <is>
          <t>This year I was diagnosed with a spinal tumour, but thanks to my family and a fantastic healthcare team, I've come through surgery and recovery fairly well and while there are still significant risks, it's been overwhelmingly positive considering where I was.
Near the beginning of this journey, my wife (neither of us are at all religious) was pushed into contacting a faith healer from Donegal who her family knew and had "cured" a number of people they knew.
This man earned my absolute contempt, by telling my scared wife that there was nothing that could be done for me if I didn't turn to god.
Her family went to pray with him anyway and they're now claiming credit for my recovery so far, which I find immensely insulting to me and all those who helped me through this year.
I'd be happy to let this go, but they still bring it up with me despite knowing I don't believe, and are going around claiming credit for healing me which makes me profoundly uncomfortable. They're also quite dogmatic and seem to thrive on conflict so I don't know if confronting them will  help.
I'm not really looking for advice as such, but would value other people's take on the situation.</t>
        </is>
      </c>
      <c r="D6671" t="n">
        <v>1</v>
      </c>
      <c r="E6671" t="n">
        <v>11</v>
      </c>
      <c r="F6671">
        <f>HYPERLINK("https://www.reddit.com/r/cancer/comments/efuoyu/inlaws_pushing_faith_healers_on_us/")</f>
        <v/>
      </c>
      <c r="G6671" t="inlineStr">
        <is>
          <t>2019-12-26 04:05:05</t>
        </is>
      </c>
      <c r="H6671" t="inlineStr"/>
    </row>
    <row r="6672">
      <c r="A6672" t="inlineStr">
        <is>
          <t>efvhe1</t>
        </is>
      </c>
      <c r="B6672" t="inlineStr">
        <is>
          <t>help?</t>
        </is>
      </c>
      <c r="C6672" t="inlineStr">
        <is>
          <t>I've been diagnosed with chronic myeloid leukemia very recently and I'm just 19. I have no clue what's going on. I'm not from the US, and my doctors didn't reveal much on what I'm supposed to expect. 
all I know is I'm in the chronic stage and that that's a good thing and I have good odds. 
but it's still all very overwhelming and I have no clue what to feel. 
is everything going to be okay? I tried googling all of this and most of the websites just spewed medical information that made no sense to me at all. please help.</t>
        </is>
      </c>
      <c r="D6672" t="n">
        <v>1</v>
      </c>
      <c r="E6672" t="n">
        <v>6</v>
      </c>
      <c r="F6672">
        <f>HYPERLINK("https://www.reddit.com/r/cancer/comments/efvhe1/help/")</f>
        <v/>
      </c>
      <c r="G6672" t="inlineStr">
        <is>
          <t>2019-12-26 05:34:36</t>
        </is>
      </c>
      <c r="H6672" t="inlineStr"/>
    </row>
    <row r="6673">
      <c r="A6673" t="inlineStr">
        <is>
          <t>efvhwj</t>
        </is>
      </c>
      <c r="B6673" t="inlineStr">
        <is>
          <t>My oncologist Doctor replied me something a bit cross the line</t>
        </is>
      </c>
      <c r="C6673" t="inlineStr">
        <is>
          <t>After 3rd week of chemo, I finally go out and I send a pic of me when go to a girl party,  to my oncologist. Said thanks to him healing me. 
He said I look so beautiful and also said oh so many girls, I should  ask him to join next time. Which is still ok. 
And he said he only can handle 3 girls. Wtf... I didn’t reply. 
I still have to do a bone marrow biopsy and see him so often for test, should I act nothing happened. I think he probably drunk on xmas day. He’s the only the best oncologist I can see in my area.</t>
        </is>
      </c>
      <c r="D6673" t="n">
        <v>1</v>
      </c>
      <c r="E6673" t="n">
        <v>1</v>
      </c>
      <c r="F6673">
        <f>HYPERLINK("https://www.reddit.com/r/cancer/comments/efvhwj/my_oncologist_doctor_replied_me_something_a_bit/")</f>
        <v/>
      </c>
      <c r="G6673" t="inlineStr">
        <is>
          <t>2019-12-26 05:36:18</t>
        </is>
      </c>
      <c r="H6673" t="inlineStr"/>
    </row>
    <row r="6674">
      <c r="A6674" t="inlineStr">
        <is>
          <t>efvugr</t>
        </is>
      </c>
      <c r="B6674" t="inlineStr">
        <is>
          <t>Surgery is finally set!!</t>
        </is>
      </c>
      <c r="C6674" t="inlineStr">
        <is>
          <t>I finally have a date set for surgery
Jan 9th I will finally get the breast cancer tumor cut out of me!!!!!</t>
        </is>
      </c>
      <c r="D6674" t="n">
        <v>1</v>
      </c>
      <c r="E6674" t="n">
        <v>8</v>
      </c>
      <c r="F6674">
        <f>HYPERLINK("https://www.reddit.com/r/cancer/comments/efvugr/surgery_is_finally_set/")</f>
        <v/>
      </c>
      <c r="G6674" t="inlineStr">
        <is>
          <t>2019-12-26 06:12:08</t>
        </is>
      </c>
      <c r="H6674" t="inlineStr"/>
    </row>
    <row r="6675">
      <c r="A6675" t="inlineStr">
        <is>
          <t>efwcvx</t>
        </is>
      </c>
      <c r="B6675" t="inlineStr">
        <is>
          <t>Christmas 2018 vs Christmas 2019</t>
        </is>
      </c>
      <c r="C6675" t="inlineStr">
        <is>
          <t>Last year I was 3 weeks out from completing my treatment for tongue cancer. This year I was 1 year and 3 weeks out. What a difference!</t>
        </is>
      </c>
      <c r="D6675" t="n">
        <v>1</v>
      </c>
      <c r="E6675" t="n">
        <v>0</v>
      </c>
      <c r="F6675">
        <f>HYPERLINK("https://www.reddit.com/r/cancer/comments/efwcvx/christmas_2018_vs_christmas_2019/")</f>
        <v/>
      </c>
      <c r="G6675" t="inlineStr">
        <is>
          <t>2019-12-26 06:59:48</t>
        </is>
      </c>
      <c r="H6675" t="inlineStr"/>
    </row>
    <row r="6676">
      <c r="A6676" t="inlineStr">
        <is>
          <t>efwzbu</t>
        </is>
      </c>
      <c r="B6676" t="inlineStr">
        <is>
          <t>Advice?</t>
        </is>
      </c>
      <c r="C6676" t="inlineStr">
        <is>
          <t>Hey reddit
About two months ago, my brother-in-law found out he has stage 4 lung cancer. They’re giving him 6 months to live with chemo treatments.
Now the big kicker here is that the way everything came crashing down on us. Not long after he found out, he was admitted into the hospital because the tumors in his lungs helped him develop severe pneumonia as well. So, the cost with insurance for the hospital stay, scans, and biopsy came up to a total of over $500,000 to pay out of pocket!
Fortunately, they were approved for a grant for the chemo treatments bringing them down from $23K a treatment to $50 a treatment.
How does anyone pay for this? What should we do? My sister-in-law is an elementary school teacher and with him out of work, and disability not kicking in until 6 months down the line (where doctors aren’t even thinking he’ll be alive by then), they are barely getting by.. what do people do with things like this?</t>
        </is>
      </c>
      <c r="D6676" t="n">
        <v>1</v>
      </c>
      <c r="E6676" t="n">
        <v>4</v>
      </c>
      <c r="F6676">
        <f>HYPERLINK("https://www.reddit.com/r/cancer/comments/efwzbu/advice/")</f>
        <v/>
      </c>
      <c r="G6676" t="inlineStr">
        <is>
          <t>2019-12-26 07:53:23</t>
        </is>
      </c>
      <c r="H6676" t="inlineStr"/>
    </row>
    <row r="6677">
      <c r="A6677" t="inlineStr">
        <is>
          <t>efx09z</t>
        </is>
      </c>
      <c r="B6677" t="inlineStr">
        <is>
          <t>My dad is giving up - what do I do?</t>
        </is>
      </c>
      <c r="C6677" t="inlineStr">
        <is>
          <t>Stage iv metastatic bladder cancer and lung mets. Had a shower of strokes (emboli shower), blood bacteria (streota cactus credence) suspected endocarditis and a heart attack. He is minimally conscious (glascow coma scale at 9). I feel like this is all surreal and not really happening. The docs have said to prepare for the worst. What do I do? How do I prepare my mother who is in shock? What do I need to do? I feel I am nowhere and everywhere at the same time. My mom is still praying for a miracle.</t>
        </is>
      </c>
      <c r="D6677" t="n">
        <v>1</v>
      </c>
      <c r="E6677" t="n">
        <v>3</v>
      </c>
      <c r="F6677">
        <f>HYPERLINK("https://www.reddit.com/r/cancer/comments/efx09z/my_dad_is_giving_up_what_do_i_do/")</f>
        <v/>
      </c>
      <c r="G6677" t="inlineStr">
        <is>
          <t>2019-12-26 07:55:39</t>
        </is>
      </c>
      <c r="H6677" t="inlineStr"/>
    </row>
    <row r="6678">
      <c r="A6678" t="inlineStr">
        <is>
          <t>efxaum</t>
        </is>
      </c>
      <c r="B6678" t="inlineStr">
        <is>
          <t>losing a parent</t>
        </is>
      </c>
      <c r="C6678" t="inlineStr">
        <is>
          <t>Im a 17 year old whos afraid of losing my dad. He has had cancer (myeloma) for a few years now and i dont think he has very long left. He is always in and out of hospital and im just scared of the future. I went to see him yesterday in hospital and it was scary at how much weight he lost. He doesnt eat at all and he cant move because of the cancer which has messed up his back. I also have a younger sister who is only 10. I am most worried for her.</t>
        </is>
      </c>
      <c r="D6678" t="n">
        <v>1</v>
      </c>
      <c r="E6678" t="n">
        <v>8</v>
      </c>
      <c r="F6678">
        <f>HYPERLINK("https://www.reddit.com/r/cancer/comments/efxaum/losing_a_parent/")</f>
        <v/>
      </c>
      <c r="G6678" t="inlineStr">
        <is>
          <t>2019-12-26 08:18:40</t>
        </is>
      </c>
      <c r="H6678" t="inlineStr"/>
    </row>
    <row r="6679">
      <c r="A6679" t="inlineStr">
        <is>
          <t>efxpu3</t>
        </is>
      </c>
      <c r="B6679" t="inlineStr">
        <is>
          <t>What to Say to My Recently Diagnosed Friend?</t>
        </is>
      </c>
      <c r="C6679" t="inlineStr">
        <is>
          <t>A good friend of mine was recently diagnosed with breast cancer, and a just a little while ago she told me about it.
I'm struggling to find the right words...
What are the best things that I can say to show her love and support? What should I not say? 
Thank you all!</t>
        </is>
      </c>
      <c r="D6679" t="n">
        <v>1</v>
      </c>
      <c r="E6679" t="n">
        <v>1</v>
      </c>
      <c r="F6679">
        <f>HYPERLINK("https://www.reddit.com/r/cancer/comments/efxpu3/what_to_say_to_my_recently_diagnosed_friend/")</f>
        <v/>
      </c>
      <c r="G6679" t="inlineStr">
        <is>
          <t>2019-12-26 08:52:27</t>
        </is>
      </c>
      <c r="H6679" t="inlineStr"/>
    </row>
    <row r="6680">
      <c r="A6680" t="inlineStr">
        <is>
          <t>efyrsc</t>
        </is>
      </c>
      <c r="B6680" t="inlineStr">
        <is>
          <t>Cancer level</t>
        </is>
      </c>
      <c r="C6680" t="inlineStr">
        <is>
          <t>did blood test every time when do chemo, I have question is there / which number showing how the cancer is doing?</t>
        </is>
      </c>
      <c r="D6680" t="n">
        <v>1</v>
      </c>
      <c r="E6680" t="n">
        <v>4</v>
      </c>
      <c r="F6680">
        <f>HYPERLINK("https://www.reddit.com/r/cancer/comments/efyrsc/cancer_level/")</f>
        <v/>
      </c>
      <c r="G6680" t="inlineStr">
        <is>
          <t>2019-12-26 10:14:32</t>
        </is>
      </c>
      <c r="H6680" t="inlineStr"/>
    </row>
    <row r="6681">
      <c r="A6681" t="inlineStr">
        <is>
          <t>efziqd</t>
        </is>
      </c>
      <c r="B6681" t="inlineStr">
        <is>
          <t>Aunt is dying of Adenocarcinoma and Chloangiocarcinoma</t>
        </is>
      </c>
      <c r="C6681" t="inlineStr">
        <is>
          <t xml:space="preserve">
My aunt became the legal guardian of my sister (34) and I (31) when I was 7 and my sister was 10. She was older when she took us in, she’s now 77. She finished raising her children, and my father left us on her doorstep with just a garbage bag filled with some clothes from Goodwill. He didn’t tell us or my Aunt that he was dropping us there, he just did it and drove off. That is probably the best thing that could have happened to us, as our childhood with our father and (at the time) step-mother was abusive. Our mother was going through her own issues with substance abuse, so she couldn’t really step up then. My Aunt and Uncle are everything to me. 
In June, my Aunt was diagnosed with Adenocarcinoma (unknown origin) and Cholangiocarcinoma. She did chemo up until she had a heart attack in September and her doctor said her heart cannot take it. She also could not get the fluid in her stomach tapped either. She has other issues like Type 2 diabetes, high blood pressure, and heart issues as well. I’ve never heard her complain or seen her be angry or anything. 
She is on home hospice now. She came out of the hospital Dec 7th and was able to weakly communicate. We didn’t want to put her through any more trauma, as intervening will not change the outcome. We don’t know how badly the cancer(s) spread. She has been sleeping(?) and breathing with her mouth open for a week now. I got to say what I needed to well before she was diagnosed, and during, so I have no regrets as far as that goes. Death with Dignity just got passed in my state and I’m saddened it was never made or presented as an option for her. My aunt’s daughter and my uncle would go to the doctors with her, so I don’t know the specifics too much. I know that they did not ask a lot of questions. She has her DNR and she’s not on any artificial fluids or nutrition, but this is not a dignified death at all. 
I’m sad that her doctor didn’t tell us she had less than a year left until my Aunt asked him in September. It feels like a semi-truck to my heart and she’s not even gone yet. My aunt is here, but she’s not. She will not open her eyes anymore. She gets Morphine and Ativan every day. She makes these awful moaning and gurgling noises and her stomach is so swollen. I never thought I would wish for someone to pass, but I’ve been praying every day that she does. She hasn’t eaten or drank since she’s been sleeping.
I feel like we weren’t prepared with the stages of passing she would go through and every new thing was really scary as a result.
If anyone can share their experiences with these cancers, or if this is similar to anything any loved ones went through towards the end, please share your experiences, even if you’d like to PM me.
My heart goes out to all of you on here. This is hard.</t>
        </is>
      </c>
      <c r="D6681" t="n">
        <v>1</v>
      </c>
      <c r="E6681" t="n">
        <v>7</v>
      </c>
      <c r="F6681">
        <f>HYPERLINK("https://www.reddit.com/r/cancer/comments/efziqd/aunt_is_dying_of_adenocarcinoma_and/")</f>
        <v/>
      </c>
      <c r="G6681" t="inlineStr">
        <is>
          <t>2019-12-26 11:13:13</t>
        </is>
      </c>
      <c r="H6681" t="inlineStr"/>
    </row>
    <row r="6682">
      <c r="A6682" t="inlineStr">
        <is>
          <t>eg13h5</t>
        </is>
      </c>
      <c r="B6682" t="inlineStr">
        <is>
          <t>Cheering someone up during chemo?</t>
        </is>
      </c>
      <c r="C6682" t="inlineStr">
        <is>
          <t>Hi all, 
My mom has stage 3C breast cancer and is currently going through AC-T chemo aka "the red devil". She has her second round tomorrow, and just called me crying because her hair is starting to fall out. We've already got her some very beautiful wigs, but I know that it's not the same. 
Anyway, what things did people do for you (or you did for them) that helped through the chemo stage? I've offered to take her to have her nails done, but she doesn't want to. We've made a care package with a lot of different small things, and she has a lot of friends who bring by meals for when she can eat.
I just don't know what else to do. I hate seeing her like this and that I can't do anything. Thanks in advance.</t>
        </is>
      </c>
      <c r="D6682" t="n">
        <v>1</v>
      </c>
      <c r="E6682" t="n">
        <v>6</v>
      </c>
      <c r="F6682">
        <f>HYPERLINK("https://www.reddit.com/r/cancer/comments/eg13h5/cheering_someone_up_during_chemo/")</f>
        <v/>
      </c>
      <c r="G6682" t="inlineStr">
        <is>
          <t>2019-12-26 13:15:10</t>
        </is>
      </c>
      <c r="H6682" t="inlineStr"/>
    </row>
    <row r="6683">
      <c r="A6683" t="inlineStr">
        <is>
          <t>eg24j9</t>
        </is>
      </c>
      <c r="B6683" t="inlineStr">
        <is>
          <t>Other ways than health insurance to help pay for treatment?</t>
        </is>
      </c>
      <c r="C6683" t="inlineStr">
        <is>
          <t>My step dad just found out this week that he has lung cancer. He has insurance, but he is the main provider at the home with my mom and himself. So, he’ll be off work with chemo and the biopsy. Which means they won’t be making as much money to help cover expenses. So I was wondering what other options we have to help with the costs.</t>
        </is>
      </c>
      <c r="D6683" t="n">
        <v>1</v>
      </c>
      <c r="E6683" t="n">
        <v>4</v>
      </c>
      <c r="F6683">
        <f>HYPERLINK("https://www.reddit.com/r/cancer/comments/eg24j9/other_ways_than_health_insurance_to_help_pay_for/")</f>
        <v/>
      </c>
      <c r="G6683" t="inlineStr">
        <is>
          <t>2019-12-26 14:34:46</t>
        </is>
      </c>
      <c r="H6683" t="inlineStr"/>
    </row>
    <row r="6684">
      <c r="A6684" t="inlineStr">
        <is>
          <t>eg2bjv</t>
        </is>
      </c>
      <c r="B6684" t="inlineStr">
        <is>
          <t>Some light at the end of the tunnel.</t>
        </is>
      </c>
      <c r="C6684" t="inlineStr">
        <is>
          <t>What a fucking year. 
Mum has undergone chemo throughout this year  after being diagnosed just before xmas last year. The operation she had triggered her menopause early. It's been horrible to say the least, We've also had 3 family members die this year. My mums dad being one of them, who we were very close to, My young brother was assaulted a month back, and our fridge broke down a week before xmas so a lot of our xmas food was at risk of perishing.
To make it worse this might not of even happened if the hospital originally diagnosed her properly and preformed a different Op. Basically they cut something open they should of removed. So she shouldnt of even had to undergo chemo. (We are currently presuming medical negligence for this but probs wont payout for a year or more) 
But..
My mum has finished her treatment now. She has also been given the all clear on her last checkup and is slowly recovering and getting her back. But a few days before xmas we had a letter through. A few years back my parents took out life insurance and for a bit extra they took out serious illness insurance along with it.
Guess what the letter said? The insurance had paid out in full. Wont go into how much but my parents are now entirely mortgage free. 
It is quite a substantial payout and they had a fair bit to pay back. But just like that its payed off. 
Just wanted to share, I know most of you dont have the luxury of news similar to mine and are still in the Hell stage. But I truly wish you the best with all your situations. I can only hope for further smooth sailings for myself and for the all of you. 
Stay strong folks. Good things happen to those who wait.</t>
        </is>
      </c>
      <c r="D6684" t="n">
        <v>1</v>
      </c>
      <c r="E6684" t="n">
        <v>1</v>
      </c>
      <c r="F6684">
        <f>HYPERLINK("https://www.reddit.com/r/cancer/comments/eg2bjv/some_light_at_the_end_of_the_tunnel/")</f>
        <v/>
      </c>
      <c r="G6684" t="inlineStr">
        <is>
          <t>2019-12-26 14:50:19</t>
        </is>
      </c>
      <c r="H6684" t="inlineStr"/>
    </row>
    <row r="6685">
      <c r="A6685" t="inlineStr">
        <is>
          <t>eg3lir</t>
        </is>
      </c>
      <c r="B6685" t="inlineStr">
        <is>
          <t>wa-nxiety - how to deal with waiting for biopsy results...</t>
        </is>
      </c>
      <c r="C6685" t="inlineStr">
        <is>
          <t>Anyone have ideas on how to deal with waiting anxiety ? I've got a few days before we find out biopsy results (second time lucky?!) 
I'm generally impatient even with exam results or work performance,and prefer bad news to no news... so seeking life advice ;)</t>
        </is>
      </c>
      <c r="D6685" t="n">
        <v>1</v>
      </c>
      <c r="E6685" t="n">
        <v>4</v>
      </c>
      <c r="F6685">
        <f>HYPERLINK("https://www.reddit.com/r/cancer/comments/eg3lir/wanxiety_how_to_deal_with_waiting_for_biopsy/")</f>
        <v/>
      </c>
      <c r="G6685" t="inlineStr">
        <is>
          <t>2019-12-26 16:33:09</t>
        </is>
      </c>
      <c r="H6685" t="inlineStr"/>
    </row>
    <row r="6686">
      <c r="A6686" t="inlineStr">
        <is>
          <t>eg3sod</t>
        </is>
      </c>
      <c r="B6686" t="inlineStr">
        <is>
          <t>Life Changing News</t>
        </is>
      </c>
      <c r="C6686" t="inlineStr">
        <is>
          <t>So to give you a short back story I just turned 31 this month and 18 weeks pregnant, mother of a 20 month old and wife to my husband for 9 years and 1 phone call just rocked my world. Six months ago my ankle was hurting and i noticed a soft bump so i went to my doctor and she told me that i might have soft tissue damage and just to elevate and use heat come back in if it hurts. I had off and on pain but nothing really painful. On my birthday on the 7th my ankle really hurt and i noticed a lot of swelling. I also noticed my lymph nodes in my groin swelled which alarmed me so i made a appointment with my doctor. She was concerned about my lymph nodes so made a referral to a hematologist. The hematilogist thought there was a connection between my ankle and lymph nodes. Last Tuesday I got a ultrasound my hematologist was concerned about a sarcoma in my ankle so last thursday i got a biopsy. They took two samples of my ankle and a needle biopsy in my lymph node. Since last Thursday ive been on edge and had every emotion possible still trying to be optimistic. Today i found out the results that from my lymph nodes there is metastatic cancer but they dont know what kind of cancer I have in my ankle. They have to send the biopsy to another clinic for further analysis. Monday I have a appointment to figure out a plan. If anyone has any advice I'm here for it all.</t>
        </is>
      </c>
      <c r="D6686" t="n">
        <v>1</v>
      </c>
      <c r="E6686" t="n">
        <v>25</v>
      </c>
      <c r="F6686">
        <f>HYPERLINK("https://www.reddit.com/r/cancer/comments/eg3sod/life_changing_news/")</f>
        <v/>
      </c>
      <c r="G6686" t="inlineStr">
        <is>
          <t>2019-12-26 16:49:22</t>
        </is>
      </c>
      <c r="H6686" t="inlineStr"/>
    </row>
    <row r="6687">
      <c r="A6687" t="inlineStr">
        <is>
          <t>eg4jst</t>
        </is>
      </c>
      <c r="B6687" t="inlineStr">
        <is>
          <t>5 days till I meet my Oncologist</t>
        </is>
      </c>
      <c r="C6687" t="inlineStr">
        <is>
          <t>2 and a half weeks since I’ve eaten red meat. I’ve increased my THC intake, I’m juicing tons of fruits and veggies (twice a day as of today), I’m trying that frankincense oil. What should I expect out of this first appointment? I know a pelvic exam (the irony of being diagnosed with endocervical adenocarcinoma and having a gynecologist fear), but will he run any other tests? Will he get a plan of action set up? I’m scared guys, and I’m hoping I get some semblance of control back in 5 days.</t>
        </is>
      </c>
      <c r="D6687" t="n">
        <v>1</v>
      </c>
      <c r="E6687" t="n">
        <v>15</v>
      </c>
      <c r="F6687">
        <f>HYPERLINK("https://www.reddit.com/r/cancer/comments/eg4jst/5_days_till_i_meet_my_oncologist/")</f>
        <v/>
      </c>
      <c r="G6687" t="inlineStr">
        <is>
          <t>2019-12-26 17:52:16</t>
        </is>
      </c>
      <c r="H6687" t="inlineStr"/>
    </row>
    <row r="6688">
      <c r="A6688" t="inlineStr">
        <is>
          <t>eg67l3</t>
        </is>
      </c>
      <c r="B6688" t="inlineStr">
        <is>
          <t>Anyone else loosing feeling in their fingers?</t>
        </is>
      </c>
      <c r="C6688" t="inlineStr">
        <is>
          <t>Hello everyone, my name is Devyn
In 2014 I was diagnosed with stage 4 B-Cell Lymphoma. I was prescribed the RCHOP regime for about 8 months, very unclear how many cycles I had to go through, as most of my memory of the occurrence is gone. However like everyone else I'm still dealing with the side effects. I'm 7 years clear of the disease, and am very fortunate to be here :)
For the past couple of months I've been experiencing numbness in my fingers, and is more noticeable after I touch something, or accidently wack it against things. Everyone keeps telling me that I'm overthinking it, but it's the strangest feeling I've ever felt before. I was curious to know if anyone else has had the same problem? Aside from this I have been having trouble with long term memory, a side effect that the doctors said would at most last a year or two. Any evidence it could be early signs of nerve damage? 
Reaching out for any stories you guys might have.. I'm honestly just worried and have been wanting to talk to fellow survivors, and those who are currently struggling for some time now. Doctors havent been much help, and I want to hear from those who have expirienced it first hand like myself.</t>
        </is>
      </c>
      <c r="D6688" t="n">
        <v>1</v>
      </c>
      <c r="E6688" t="n">
        <v>9</v>
      </c>
      <c r="F6688">
        <f>HYPERLINK("https://www.reddit.com/r/cancer/comments/eg67l3/anyone_else_loosing_feeling_in_their_fingers/")</f>
        <v/>
      </c>
      <c r="G6688" t="inlineStr">
        <is>
          <t>2019-12-26 20:19:35</t>
        </is>
      </c>
      <c r="H6688" t="inlineStr"/>
    </row>
    <row r="6689">
      <c r="A6689" t="inlineStr">
        <is>
          <t>eg6b8b</t>
        </is>
      </c>
      <c r="B6689" t="inlineStr">
        <is>
          <t>Would like insight from any oncologists/scientists for this question</t>
        </is>
      </c>
      <c r="C6689" t="inlineStr">
        <is>
          <t>Do we know why immunotherapy doesn't work on everyone? For one person it'll shrink a tumor down to  half its size or more but for another person it wont work at all.  Why is this? Why does it fire up only select few cancer patients immune systems?</t>
        </is>
      </c>
      <c r="D6689" t="n">
        <v>1</v>
      </c>
      <c r="E6689" t="n">
        <v>0</v>
      </c>
      <c r="F6689">
        <f>HYPERLINK("https://www.reddit.com/r/cancer/comments/eg6b8b/would_like_insight_from_any_oncologistsscientists/")</f>
        <v/>
      </c>
      <c r="G6689" t="inlineStr">
        <is>
          <t>2019-12-26 20:28:55</t>
        </is>
      </c>
      <c r="H6689" t="inlineStr"/>
    </row>
    <row r="6690">
      <c r="A6690" t="inlineStr">
        <is>
          <t>eg6ypm</t>
        </is>
      </c>
      <c r="B6690" t="inlineStr">
        <is>
          <t>I'm afraid I have Cancer</t>
        </is>
      </c>
      <c r="C6690" t="inlineStr">
        <is>
          <t>1. Hi yall. Have been having crazy symptoms this year. Rpeated ear infections and what feel like utis (or prostitis) . Also crazy cracking and pains in lower middle back. Strange pain in center in stomach when I try to stretch out the cracking areas in my lower back. Just got the third flu of the year for Christmas. Obviously I don't hold any credence to any 'diagnosis' or anything received here. But I would just like to hear what people here have to say about that. Additionally my skin has become pale, my appetite has disappeared. It's all very extreme now with the flu, but these symptoms existed before the flu, especially the paleness of skin. confusion fatigue. I got blood tested last year, all clear, and again a week ago. Have a follow up appointment on the 30th. I'm 26 with no health insurance and I just want to know how to go about making sure something isn't really wrong.</t>
        </is>
      </c>
      <c r="D6690" t="n">
        <v>1</v>
      </c>
      <c r="E6690" t="n">
        <v>0</v>
      </c>
      <c r="F6690">
        <f>HYPERLINK("https://www.reddit.com/r/cancer/comments/eg6ypm/im_afraid_i_have_cancer/")</f>
        <v/>
      </c>
      <c r="G6690" t="inlineStr">
        <is>
          <t>2019-12-26 21:29:58</t>
        </is>
      </c>
      <c r="H6690" t="inlineStr"/>
    </row>
    <row r="6691">
      <c r="A6691" t="inlineStr">
        <is>
          <t>eg6za1</t>
        </is>
      </c>
      <c r="B6691" t="inlineStr">
        <is>
          <t>My mom is fighting cancer for a third time</t>
        </is>
      </c>
      <c r="C6691" t="inlineStr">
        <is>
          <t>My mom told me she has cancer again, It’s the size of 50 cent piece in her half a lung. She beat stomach and we thought lung, She also has copd and IBD. She is abused daily by my stepdad, He takes her check and my sisters and puts it in his safe. He calls her names stupid (she can’t read) tramp etc He slapped her while she was sleeping recently. She calls me complains stays but also we think she may have a memory disease she repeats so much. I feel like this is punishment for all those years I suffered the racism and abuse I had to endure. However if she dies I don’t even think I can go to her funeral because my stepdad may try to hurt me or blame me. She only told me and no one else, She may possibly have to get the rest removed. I have Ulcerative Colitis and I’m trying to reach remission the stress is not needed. I keep telling her she needs to leave this is the main thing, She has a house she owns it’s tiny was her moms and dads my brother lives down there she could just move. She can’t even see her grandson...she says she doesn’t move him etc he also physically hurt my sister and grabbed her by her private when I was kid he always grabbed on my butt I would walk sideways. I call and he freaking listens to our convos, He did that to us to growing up each room he could listen from another phone and hear us. I love my mom but honestly I’m tired of it, A few days ago er had a big fight. She said that she was gonna end her life and take my sister with her which my sister claims she wants to die soon...I’m just done...I lived everyday and that h*ll hole I got out! I’m on the verge of being put on anxiety meds because they think me stressing is affecting my disease to, What can I do??? I want to try and get her out but I don’t want to call the police she may not talk to me after. She has beat stomach cancer and lung the thing is I know this group is a bout cancer but I wanted to share more...of my mom gets really sick she needs to go to live maybe or months and actually be human not a robot my stepdad takes over.</t>
        </is>
      </c>
      <c r="D6691" t="n">
        <v>1</v>
      </c>
      <c r="E6691" t="n">
        <v>0</v>
      </c>
      <c r="F6691">
        <f>HYPERLINK("https://www.reddit.com/r/cancer/comments/eg6za1/my_mom_is_fighting_cancer_for_a_third_time/")</f>
        <v/>
      </c>
      <c r="G6691" t="inlineStr">
        <is>
          <t>2019-12-26 21:31:26</t>
        </is>
      </c>
      <c r="H6691" t="inlineStr"/>
    </row>
    <row r="6692">
      <c r="A6692" t="inlineStr">
        <is>
          <t>eg8bec</t>
        </is>
      </c>
      <c r="B6692" t="inlineStr">
        <is>
          <t>I'm proud of you Dad.</t>
        </is>
      </c>
      <c r="C6692" t="inlineStr">
        <is>
          <t>My Father was diagnosed with bowel cancer in early 2019.  The doctor who diagnosed him was actually the father of one of my friends, and I am forever grateful to him.  He started chemo in February, and throughout the entire session, he was incredibly brave.  In late February, a guy in my class attempted suicide in front if all of us by trying to jump out a second story window.  When I got home, my father was there.  He rapt me in his arms, and suddenly the world was okay.  That night, I really thought about what could happen in the next few months.  How my world would collapse without him.  I cried myself to sleep.  The next few months were hard, and he went in for surgery in may.  He wrote me, my brother and my mother each letters before he went in, mine saying how much he loved me and how he wanted me to have the best life possible, and not to blame the surgeon if something went wrong.  In September, he took a break from chemo to take a vacation in France.  Now we are here, the day after Christmas, and he is alive and cancer-free.  I love you Dad, and I have no idea what I would do without you.  You help me up when I fall down, and I need to thank from the bottom of my heart.  I have never been so proud to call you Dad.</t>
        </is>
      </c>
      <c r="D6692" t="n">
        <v>1</v>
      </c>
      <c r="E6692" t="n">
        <v>8</v>
      </c>
      <c r="F6692">
        <f>HYPERLINK("https://www.reddit.com/r/cancer/comments/eg8bec/im_proud_of_you_dad/")</f>
        <v/>
      </c>
      <c r="G6692" t="inlineStr">
        <is>
          <t>2019-12-26 23:51:33</t>
        </is>
      </c>
      <c r="H6692" t="inlineStr"/>
    </row>
    <row r="6693">
      <c r="A6693" t="inlineStr">
        <is>
          <t>eg939w</t>
        </is>
      </c>
      <c r="B6693" t="inlineStr">
        <is>
          <t>Need some advice. I've had cancer twice, and may have it again. - Tired of fighting it.</t>
        </is>
      </c>
      <c r="C6693" t="inlineStr">
        <is>
          <t>First off, I'm in my late 50's and have had cancer twice before, and now it looks like I may have it again, I need some more tests to be sure, however, to be honest, I'm really scared this time, as I don't really have the support I did the last two times.
Sorry this is going to be a train wreck of a story, mainly due to me really not knowing how to even tell this mess. I first had cancer back in 2003, had surgery, went 6 years clean, was declared "cured", then the next year (2009) it came back. When I told my wife at the time, here response was, "I can't do this again, you're going to have to call your brother and have him come and deal with it", he lives 6 hours away.  Went and had surgery again, since I'd already been on the ride, I pretty much knew what to expect, boy was I wrong. I was able to go home from the hospital a few days sooner, my doctor was worried because they had just had a patient die the week before of that wonderful hospital virus, he was worried there was a chance of me catching it, as well as I was doing really well. I got home, 2 days later I tore open my stitches, which  opened an artery and I almost bled to death - wife at the time, was off  doing god knows what. I ended up calling 911 and getting a ride to the hospital, that then required a 2 hour transfer to the original hospital, a 16 hour wait in the ER, they seem to have lost me, before the ENT team was notified I was back in the hospital. The next morning, I was alone for my repair surgery, the wife wasn't  there, "had to take care of the kids". After finally getting out of the hospital, and then seeing the battery of doctor's the recommendation was that I should get Chemo and Radiation treatment this time. I was tore about this, since a chemical exposure while in the Military has increased my chances of getting about 14 different cancers now, and I figured I need to save that bullet for one of them. Fast forward to this year and I had a "spot" show up, knew it wasn't anything, however, I also knew I needed to get it checked out. Told the woman I was dating at the time, who I loved, and figured after 9 years being divorced, maybe I'd found the one I'd spend the rest of my life with about the spot, and that I didn't think it was anything. Her Step Father had died of cancer a number of years back and she told me, "I can't have someone I love die on me again", and broke up with me. Yeah, I know suckage here. So this past week, Christmas eve to be exact, I went in for my annual physical, and my PSA levels are over 4.0, last year they where not even over a 1, so my doctor tells me this is really bad, and refers my to a specialist. So this is where I sit. I haven't told my kids, I have a 21 year old son in Nursing School, and a 19 year old Daughter in collage as well, the last thing I want to do is twist them up if this is a false alarm. So back ground, about 6 years ago I had to leave a 6 figure job due to my PTSD from the military as well as Degenerative Back Disease and go on SSI, it was very hard to make the change, and there was a few days there where money was so tight the kids ate before I did, not really a problem for me, as my kids are my world, and I'd do anything for them. With the Back Disease, it will only get worse, and my pain level right now requires me to take a pretty high level of pain medication, the pain is better in the Summer, so the medication level goes down, but being winter, there's a moderate amount of pain right now. I work very closely with my doctor, so it's not a case of me being under medicated, I'm at the level I want to be at, not the level I could be at. 
Right now, I feel pretty beat up, and don't even feel like fighting this again. I feel like I've had a pretty good life, did a gig in the Marines, fought in a war, survived when a lot of my buddies didn't, went from only owning the cloths on my back to making 6 figures doing a job I loved, lost it all and am slowly crawling back to the top, however, I'm really tired of fighting, and I damn well don't want to be a burden on my kids, I feel they don't need to put their lives on hold, possibly lose out on the chance to see their dreams fulfilled. 
WTF should I do?</t>
        </is>
      </c>
      <c r="D6693" t="n">
        <v>1</v>
      </c>
      <c r="E6693" t="n">
        <v>26</v>
      </c>
      <c r="F6693">
        <f>HYPERLINK("https://www.reddit.com/r/cancer/comments/eg939w/need_some_advice_ive_had_cancer_twice_and_may/")</f>
        <v/>
      </c>
      <c r="G6693" t="inlineStr">
        <is>
          <t>2019-12-27 01:27:01</t>
        </is>
      </c>
      <c r="H6693" t="inlineStr"/>
    </row>
    <row r="6694">
      <c r="A6694" t="inlineStr">
        <is>
          <t>eg9xuz</t>
        </is>
      </c>
      <c r="B6694" t="inlineStr">
        <is>
          <t>Radiation Oncology at best Hospital in Delhi - Venkateshwar Hospital</t>
        </is>
      </c>
      <c r="C6694" t="inlineStr">
        <is>
          <t>Radiation therapy is the advance cancer treatment at Venkateshwar Hospitals. We offer comprehensive care; supported by technology &amp;amp; innovative techniques in best in class hospitals. Consultation  If you are considering radiation therapy, you must first schedule a visit with a radiation Specialist.
For More Info - [https://www.venkateshwarhospitals.com/radiation-oncology.php](https://www.venkateshwarhospitals.com/radiation-oncology.php)
&amp;amp;#x200B;
https://preview.redd.it/rxumb65cr5741.png?width=415&amp;amp;format=png&amp;amp;auto=webp&amp;amp;s=b0e07fc5b9bc5f8ac7de05e3fc4eda4a9cd876ec</t>
        </is>
      </c>
      <c r="D6694" t="n">
        <v>1</v>
      </c>
      <c r="E6694" t="n">
        <v>0</v>
      </c>
      <c r="F6694">
        <f>HYPERLINK("https://www.reddit.com/r/cancer/comments/eg9xuz/radiation_oncology_at_best_hospital_in_delhi/")</f>
        <v/>
      </c>
      <c r="G6694" t="inlineStr">
        <is>
          <t>2019-12-27 03:09:07</t>
        </is>
      </c>
      <c r="H6694" t="inlineStr"/>
    </row>
    <row r="6695">
      <c r="A6695" t="inlineStr">
        <is>
          <t>egamm6</t>
        </is>
      </c>
      <c r="B6695" t="inlineStr">
        <is>
          <t>What centers you?</t>
        </is>
      </c>
      <c r="C6695" t="inlineStr">
        <is>
          <t>I regularly have a difficult time dealing with my diagnosis and I’m always on the search for something to calm / center me back to myself. The thing that works for me the most is music. No matter how trying times are, music brings me back. Music is so powerful and subjective. I was recently in a very deep depression and Regina Spektor helped bring me back to “normalcy”.  
So what centers you?  Is it music?  I’d love to hear what helps you in trying times.</t>
        </is>
      </c>
      <c r="D6695" t="n">
        <v>1</v>
      </c>
      <c r="E6695" t="n">
        <v>17</v>
      </c>
      <c r="F6695">
        <f>HYPERLINK("https://www.reddit.com/r/cancer/comments/egamm6/what_centers_you/")</f>
        <v/>
      </c>
      <c r="G6695" t="inlineStr">
        <is>
          <t>2019-12-27 04:30:35</t>
        </is>
      </c>
      <c r="H6695" t="inlineStr"/>
    </row>
    <row r="6696">
      <c r="A6696" t="inlineStr">
        <is>
          <t>egarkd</t>
        </is>
      </c>
      <c r="B6696" t="inlineStr">
        <is>
          <t>Did anyone else have similar issues?</t>
        </is>
      </c>
      <c r="C6696" t="inlineStr">
        <is>
          <t>So for the past month I’ve been having pains in my neck, groin and armpit. Seen by a doctor multiple times and nothing. However today I seen the doctor and he’s doing a blood test for me because I said I’ve been sweating more than usual normally at night but happens throughout the day too. I’ve also lost 4kg in 3 months but I do work a physical job but I’m now linking all of this together. My blood test is booked for Monday and I’m so scared</t>
        </is>
      </c>
      <c r="D6696" t="n">
        <v>1</v>
      </c>
      <c r="E6696" t="n">
        <v>0</v>
      </c>
      <c r="F6696">
        <f>HYPERLINK("https://www.reddit.com/r/cancer/comments/egarkd/did_anyone_else_have_similar_issues/")</f>
        <v/>
      </c>
      <c r="G6696" t="inlineStr">
        <is>
          <t>2019-12-27 04:46:02</t>
        </is>
      </c>
      <c r="H6696" t="inlineStr"/>
    </row>
    <row r="6697">
      <c r="A6697" t="inlineStr">
        <is>
          <t>egcabq</t>
        </is>
      </c>
      <c r="B6697" t="inlineStr">
        <is>
          <t>High LDH low lymphs</t>
        </is>
      </c>
      <c r="C6697" t="inlineStr">
        <is>
          <t>Hello, I hope it's okay that I'm posting this here. 
In March of this year I had several moles removed.  One came back severely atypical with high melanoma potential, and it was a compound nevus.
About 7 weeks ago I got a lumbar puncture because my neuro was checking for MS. I got my test results and it basically said I had 0 lymphocytes and my LDH was 272 with the normal results being between 119-226.
Could these numbers be cause for concern? My neuro didn't mention them at all but also that's not what she was looking for, for the MS diagnosis (which I didn't end up having). 
If I should be concerned, what doctor would be best to contact...the dermatologist? A regular doctor? Etc</t>
        </is>
      </c>
      <c r="D6697" t="n">
        <v>1</v>
      </c>
      <c r="E6697" t="n">
        <v>1</v>
      </c>
      <c r="F6697">
        <f>HYPERLINK("https://www.reddit.com/r/cancer/comments/egcabq/high_ldh_low_lymphs/")</f>
        <v/>
      </c>
      <c r="G6697" t="inlineStr">
        <is>
          <t>2019-12-27 07:13:20</t>
        </is>
      </c>
      <c r="H6697" t="inlineStr"/>
    </row>
    <row r="6698">
      <c r="A6698" t="inlineStr">
        <is>
          <t>egchm6</t>
        </is>
      </c>
      <c r="B6698" t="inlineStr">
        <is>
          <t>stage 3 c....my story to this point</t>
        </is>
      </c>
      <c r="C6698" t="inlineStr">
        <is>
          <t>2/19 ...1st mole observed, excised and biopsied ...melanoma but not deep. fully excised. Scheduled return to dermatologist to observe progress around October 2019.
10/19 .....2nd mole observed , excised and biopsied . melenaomic . Much deeper and wider and seemingly likely to spread.
11/19. Dermatologist sends me to get SNLB and remove much more of me around the mole. SLNB revealed melanoma in 4 lymph nodes, which were removed. 
Now of course I am wondering if the 2nd mole was not properly observed at time of discovery of 1st mole.  
A period of 6 months passed and seemingly a brand new mole goes cancerous and spreads to lymph nodes. So for approximately 40 years there is no activity and in 6 months I go from no observable problems to stage 3c melanoma.
Remember this is Dec 2019 and no one, neither surgeon or 2 oncologisits have requested a BRAF test. The 2 oncologists have determined that I need immunotherapy and are scheduling the therapies. One oncologist prescribed Opdivo via port 2 x month for a year. He even gave me a handout. 
The 2nd Oncologist also told me she would schedule immunotherapy 12 x per year , no mention of ports nor any paperwork regarding drugs so I have nothing to refer to except my memory. Her VERY large practice is closed nites, weekends , holidays and you can only contact via telephone switchboard or fax. So I have spent the entire XMAS holiday wondering what her  prescription is. 
The point of my story is that for all the technologies and advances, doctors seem to vary in their professionalism.  The 2nd oncologist, in comparison, seems uninterested. She works for a huge oncology practice . I have Ambetter which may not pay like Cigna or Aetna and I wonder if her practice simply doesn't want me as a customer. Right or wrong that is a conclusion I have to consider. If that is not the issue, they how could a MD with  a good resume be so indifferent to keeping me clued in? And does this extend to the actual treatment? Of course you say I have the other oncologist, and that is true. He seems much more engaged. But I only got him because of mis-communication between dermatologist and oncological surgeon which I took advantage of.
&amp;amp;#x200B;
the moral to my story..it's your life , don't depend on the doctors. 
In the words of Ronald Reagan, 'trust but verify'.</t>
        </is>
      </c>
      <c r="D6698" t="n">
        <v>1</v>
      </c>
      <c r="E6698" t="n">
        <v>2</v>
      </c>
      <c r="F6698">
        <f>HYPERLINK("https://www.reddit.com/r/cancer/comments/egchm6/stage_3_cmy_story_to_this_point/")</f>
        <v/>
      </c>
      <c r="G6698" t="inlineStr">
        <is>
          <t>2019-12-27 07:30:47</t>
        </is>
      </c>
      <c r="H6698" t="inlineStr"/>
    </row>
    <row r="6699">
      <c r="A6699" t="inlineStr">
        <is>
          <t>egf2c7</t>
        </is>
      </c>
      <c r="B6699" t="inlineStr">
        <is>
          <t>I'll be the one to mention it since no one else is willing to talk about it.</t>
        </is>
      </c>
      <c r="C6699" t="inlineStr">
        <is>
          <t>Anger. I need to know how to positively channel my *incredible* amount of anger. My dad has stage 4 lung cancer and my coworker's fiance is just now into remission. How come he gets to live and my dad likely wont? There's no way in hell I would wish for someone to succumb to cancer, I'm not evil. It's just incredibly maddening to see people with bad habits skate by as far as their health, or very sad when I compare another cancer patient to my dad who doesn't seem to be getting better.  It makes me angry that I didn't become a doctor. It pisses me off that cancer is going to take my dad from me and others get to beat the odds. I am happy for them, I truly am. But I want to keep my father.</t>
        </is>
      </c>
      <c r="D6699" t="n">
        <v>1</v>
      </c>
      <c r="E6699" t="n">
        <v>26</v>
      </c>
      <c r="F6699">
        <f>HYPERLINK("https://www.reddit.com/r/cancer/comments/egf2c7/ill_be_the_one_to_mention_it_since_no_one_else_is/")</f>
        <v/>
      </c>
      <c r="G6699" t="inlineStr">
        <is>
          <t>2019-12-27 10:48:51</t>
        </is>
      </c>
      <c r="H6699" t="inlineStr"/>
    </row>
    <row r="6700">
      <c r="A6700" t="inlineStr">
        <is>
          <t>eggx5e</t>
        </is>
      </c>
      <c r="B6700" t="inlineStr">
        <is>
          <t>What do you do if you can’t afford out of home hospice care?</t>
        </is>
      </c>
      <c r="C6700" t="inlineStr">
        <is>
          <t>My mother has stage 4 colorectal cancer and is nearing the end of her life. About ten days ago she fell at home and has been in a steady decline ever since. Her nurse said she’s going to need 24/7 care moving forward and suggested moving her to a hospice center within the county but it cost $275/day. Right now it’s a little easier to care for her because we have family in town for the holidays but start of the new year just about everyone will be going back home besides my brother. Has anyone dealt with a similar situation?</t>
        </is>
      </c>
      <c r="D6700" t="n">
        <v>1</v>
      </c>
      <c r="E6700" t="n">
        <v>1</v>
      </c>
      <c r="F6700">
        <f>HYPERLINK("https://www.reddit.com/r/cancer/comments/eggx5e/what_do_you_do_if_you_cant_afford_out_of_home/")</f>
        <v/>
      </c>
      <c r="G6700" t="inlineStr">
        <is>
          <t>2019-12-27 13:07:36</t>
        </is>
      </c>
      <c r="H6700" t="inlineStr"/>
    </row>
    <row r="6701">
      <c r="A6701" t="inlineStr">
        <is>
          <t>egh3vr</t>
        </is>
      </c>
      <c r="B6701" t="inlineStr">
        <is>
          <t>What should I ask my Dad before he passes?</t>
        </is>
      </c>
      <c r="C6701" t="inlineStr">
        <is>
          <t>My dad is dying from cancer. His dad died suddenly when my dad was about the age I am now and my dad has said he would have liked to have picked his brain on some things before he died. So I'm asking you, r/cancer, what are some thing I should ask my dad before he passes? Thank you.</t>
        </is>
      </c>
      <c r="D6701" t="n">
        <v>1</v>
      </c>
      <c r="E6701" t="n">
        <v>7</v>
      </c>
      <c r="F6701">
        <f>HYPERLINK("https://www.reddit.com/r/cancer/comments/egh3vr/what_should_i_ask_my_dad_before_he_passes/")</f>
        <v/>
      </c>
      <c r="G6701" t="inlineStr">
        <is>
          <t>2019-12-27 13:21:26</t>
        </is>
      </c>
      <c r="H6701" t="inlineStr"/>
    </row>
    <row r="6702">
      <c r="A6702" t="inlineStr">
        <is>
          <t>eghwgj</t>
        </is>
      </c>
      <c r="B6702" t="inlineStr">
        <is>
          <t>Housing for bone marrow donors?</t>
        </is>
      </c>
      <c r="C6702" t="inlineStr">
        <is>
          <t>Hey all.  A friend is going to be a bone marrow donor for his brother, and as such has to stay a week in Chicago.  It’s not a pediatric case so I don’t think he can stay in the Ronald McDonald house and they’d prefer to not make his wife have to feel like she has to have guests for a week while her husband is in the hospital and her children are going back to school.  Are there any options for ways to pay for that stay?  It’s looking like it may be upwards of 1,000 dollars out of their own pockets.</t>
        </is>
      </c>
      <c r="D6702" t="n">
        <v>1</v>
      </c>
      <c r="E6702" t="n">
        <v>4</v>
      </c>
      <c r="F6702">
        <f>HYPERLINK("https://www.reddit.com/r/cancer/comments/eghwgj/housing_for_bone_marrow_donors/")</f>
        <v/>
      </c>
      <c r="G6702" t="inlineStr">
        <is>
          <t>2019-12-27 14:22:46</t>
        </is>
      </c>
      <c r="H6702" t="inlineStr"/>
    </row>
    <row r="6703">
      <c r="A6703" t="inlineStr">
        <is>
          <t>eghwia</t>
        </is>
      </c>
      <c r="B6703" t="inlineStr">
        <is>
          <t>The aftermath</t>
        </is>
      </c>
      <c r="C6703" t="inlineStr">
        <is>
          <t>So I finished chemo 2 weeks ago. Now I await to do a PET scan and run tests on a bone marrow sample.
I have to say having a bone marrow sample taken from you is not a pleasant thing to think about, however the time before I came out with a hilarious story.</t>
        </is>
      </c>
      <c r="D6703" t="n">
        <v>1</v>
      </c>
      <c r="E6703" t="n">
        <v>8</v>
      </c>
      <c r="F6703">
        <f>HYPERLINK("https://www.reddit.com/r/cancer/comments/eghwia/the_aftermath/")</f>
        <v/>
      </c>
      <c r="G6703" t="inlineStr">
        <is>
          <t>2019-12-27 14:22:53</t>
        </is>
      </c>
      <c r="H6703" t="inlineStr"/>
    </row>
    <row r="6704">
      <c r="A6704" t="inlineStr">
        <is>
          <t>egjm6r</t>
        </is>
      </c>
      <c r="B6704" t="inlineStr">
        <is>
          <t>How much time take breast cancer to develop?</t>
        </is>
      </c>
      <c r="C6704" t="inlineStr">
        <is>
          <t>Hello, my mother got breast cancer at 51 years old, already metastatic
She told me she had  a lump  for decades and it became cancerous
Is it possible to have a lump for 30-40 years and get cancer from it?
I told this story to my doctor and now he want me to do genetic  testing for brca1 brca2 palb2... And some other gene</t>
        </is>
      </c>
      <c r="D6704" t="n">
        <v>1</v>
      </c>
      <c r="E6704" t="n">
        <v>3</v>
      </c>
      <c r="F6704">
        <f>HYPERLINK("https://www.reddit.com/r/cancer/comments/egjm6r/how_much_time_take_breast_cancer_to_develop/")</f>
        <v/>
      </c>
      <c r="G6704" t="inlineStr">
        <is>
          <t>2019-12-27 16:42:16</t>
        </is>
      </c>
      <c r="H6704" t="inlineStr"/>
    </row>
    <row r="6705">
      <c r="A6705" t="inlineStr">
        <is>
          <t>egk28e</t>
        </is>
      </c>
      <c r="B6705" t="inlineStr">
        <is>
          <t>Having sympathy for others post-cancer</t>
        </is>
      </c>
      <c r="C6705" t="inlineStr">
        <is>
          <t>Is it normal to not be able to find sympathy for other people's non life threatening problems? I feel like I'm a less sensitive person now; almost angry. I'm only a few months out of treatment so maybe that's why?</t>
        </is>
      </c>
      <c r="D6705" t="n">
        <v>1</v>
      </c>
      <c r="E6705" t="n">
        <v>45</v>
      </c>
      <c r="F6705">
        <f>HYPERLINK("https://www.reddit.com/r/cancer/comments/egk28e/having_sympathy_for_others_postcancer/")</f>
        <v/>
      </c>
      <c r="G6705" t="inlineStr">
        <is>
          <t>2019-12-27 17:21:26</t>
        </is>
      </c>
      <c r="H6705" t="inlineStr"/>
    </row>
    <row r="6706">
      <c r="A6706" t="inlineStr">
        <is>
          <t>egkadk</t>
        </is>
      </c>
      <c r="B6706" t="inlineStr">
        <is>
          <t>Being in the end isn't what it is in the movies.</t>
        </is>
      </c>
      <c r="C6706" t="inlineStr">
        <is>
          <t>I think my dad's nearing the end, I'm not ready to say goodbye.. none of us are. The last 12 months we've been putting dad first, trying to have a good end I've been on leave from work to be with him and have put my relationship with my partner on the back burner 400km away. He was supposed to be gone christmas 2018, so we're thankful. But the last 9 months, when dad kept living he became more and more miserable due to fear, so he's been lashing out and hurting people close to him because he's scared, I believe. We have made some positive memories but now a lot of painful ones due to the outbursts and anger, I don't blame him, cause I've been a lot more angry too since his diagnosis because it's not fair. But it's going to be even harder to say goodbye cause this time with him has been so tough. What do people do to get through that?</t>
        </is>
      </c>
      <c r="D6706" t="n">
        <v>1</v>
      </c>
      <c r="E6706" t="n">
        <v>20</v>
      </c>
      <c r="F6706">
        <f>HYPERLINK("https://www.reddit.com/r/cancer/comments/egkadk/being_in_the_end_isnt_what_it_is_in_the_movies/")</f>
        <v/>
      </c>
      <c r="G6706" t="inlineStr">
        <is>
          <t>2019-12-27 17:40:53</t>
        </is>
      </c>
      <c r="H6706" t="inlineStr"/>
    </row>
    <row r="6707">
      <c r="A6707" t="inlineStr">
        <is>
          <t>eglyqt</t>
        </is>
      </c>
      <c r="B6707" t="inlineStr">
        <is>
          <t>Is there anything I can tell my mom to make her accept my dad is dying (and to stop trying to feed him?)</t>
        </is>
      </c>
      <c r="C6707" t="inlineStr">
        <is>
          <t>A very Long story made slightly shorter: my dad (stage IV NSCLC) had a major stroke in April, and since then, the doctors refused to give any more cancer treatment and  repeatedly said he was dying from his cancer (at first they said he only had hours to days to live, then days to weeks, then weeks to months, then will not survive to the end of summer, then to end of fall, end of winter, etc.) 
He developed a stage IV bedsore in hospital because the doctors and nurses thought he was going to die any day and didn’t put him on an air mattress despite him being paralyzed on one side and sedated so much that he could not move. The bedsore took 5-6 months to heal —  he wasn’t even expected to live that long. 
He had a huge appetite once she got him weened off of morphine and other palliative care meds that made him too drowsy to sit up. He wasn’t in any pain (or in minimal pain). His signs of pain (grimace on his face, yelling out, not sleeping longer than two hours at a time) were finally deemed to be resulting from his stroke as my mom had insisted for months. She fed him for months when they told him his body didn’t need food anymore because it was shutting down. 
Anyway, things changed in late October. He had a sepsis scare (very high fever, but resolved with antibiotics in he hospital). He’s been in hospital for more than 2 months now. 
He has no appetite anymore though (new symptom), but after all the false alarms in the past 8 months, my mom refuses to believe this is really the end and that his body is dying. She thinks if she just gets him to eat a little bit more every day, then he can recover, like he did (seemingly from the brink of death so many times already, after doctors all said it was futile). 
It’s really hard to watch him say “No, No, No” and her pleading and begging him to eat (otherwise he will “starve” to death). Sometimes he will make a sound that sounds like “yes” in their native language), and she will latch onto that, instead of the ten “No”s that preceded it. Sometimes he will even just shut his eyes and lips and turn his face away from her. 
I’ve told her again and again that this is new, and this really looks like the end, and it’s not helping him to feed him. That it’s causing her to be exhausted and stressed when he won’t eat. But because of all the false alarms, she won’t believe it. 
Do you think there’s anything I can say to help her understand that feeding him like this is wrong? Or do you think she is pre-grieving and this is just how it will play out until he dies? Sometimes she will cry and say “it’s over”, and then the next day, she will be asking me to call his oncologist and beg him to start his immunotherapy again (which they discontinued after the major stroke due to the constant looming death). 
Thanks in advance.</t>
        </is>
      </c>
      <c r="D6707" t="n">
        <v>1</v>
      </c>
      <c r="E6707" t="n">
        <v>12</v>
      </c>
      <c r="F6707">
        <f>HYPERLINK("https://www.reddit.com/r/cancer/comments/eglyqt/is_there_anything_i_can_tell_my_mom_to_make_her/")</f>
        <v/>
      </c>
      <c r="G6707" t="inlineStr">
        <is>
          <t>2019-12-27 20:10:42</t>
        </is>
      </c>
      <c r="H6707" t="inlineStr"/>
    </row>
    <row r="6708">
      <c r="A6708" t="inlineStr">
        <is>
          <t>egm3l5</t>
        </is>
      </c>
      <c r="B6708" t="inlineStr">
        <is>
          <t>I don't feel I'm coping well with loss of my father (stepdad).</t>
        </is>
      </c>
      <c r="C6708" t="inlineStr">
        <is>
          <t>It's been a little over two months, and in some ways I feel that I'm worse now. When I was constantly mourning and weeping I felt some kind of release, now I'm just going in and out of days in kind of a fog. 
I've been through loss before, 10 years ago when I was 17 and my sister was 26. We tragically lost her in a car crash, which I had the displeasure of witnessing. But for some reason, because maybe I've forgotten how my grief felt, this feels worse and like I won't ever come out of it. Is it just the effect of watching someone battle cancer and wither away and know that's how they spent the last of their life? What's even worse, is as far as the doctors and all of us knew, he was in the clear. Just needed that last scan, and he unexpectedly died 4 days before going to it. 
I miss him so much. I can't believe he's gone. It all came crashing down so fast. The diagnosis in January, and then his sudden death in October when things were looking so damn good and I had so much hope. Now I feel no hope in my body. I look at my widowed mother, at only the age of 55. My 14 year old little sister with no dad. It's just them now. He fought so hard for them. 
I'm so heartbroken.</t>
        </is>
      </c>
      <c r="D6708" t="n">
        <v>1</v>
      </c>
      <c r="E6708" t="n">
        <v>1</v>
      </c>
      <c r="F6708">
        <f>HYPERLINK("https://www.reddit.com/r/cancer/comments/egm3l5/i_dont_feel_im_coping_well_with_loss_of_my_father/")</f>
        <v/>
      </c>
      <c r="G6708" t="inlineStr">
        <is>
          <t>2019-12-27 20:22:59</t>
        </is>
      </c>
      <c r="H6708" t="inlineStr"/>
    </row>
    <row r="6709">
      <c r="A6709" t="inlineStr">
        <is>
          <t>egm5gs</t>
        </is>
      </c>
      <c r="B6709" t="inlineStr">
        <is>
          <t>Both my parents have cancer</t>
        </is>
      </c>
      <c r="C6709" t="inlineStr">
        <is>
          <t>I’m just looking for support and both my (28f) parents (64 m &amp;amp; 62f) have cancer at the same time. My dad was diagnosed with CLL back in 2014, but it’s in the rare 5% and it has turned into stage 4  Hogkins Lymphoma. He is currently about to start his second round of chemo on Monday.
Well my mom has a breast biopsy Tuesday and found out today she has a small tumor that cane out positive for breast cancer. We know nothing except it’s a small tumor and nothing came up on her mammogram from last year. 
I’m just looking for support because I’m having a hard time. My oldest sister lives in a different state, And my brother who lives with my parents has special needs and my husband is supportive, but hasn’t been through this with his family and I don’t always feel like he gets it. 
What can I do to help myself cope?</t>
        </is>
      </c>
      <c r="D6709" t="n">
        <v>1</v>
      </c>
      <c r="E6709" t="n">
        <v>3</v>
      </c>
      <c r="F6709">
        <f>HYPERLINK("https://www.reddit.com/r/cancer/comments/egm5gs/both_my_parents_have_cancer/")</f>
        <v/>
      </c>
      <c r="G6709" t="inlineStr">
        <is>
          <t>2019-12-27 20:28:03</t>
        </is>
      </c>
      <c r="H6709" t="inlineStr"/>
    </row>
    <row r="6710">
      <c r="A6710" t="inlineStr">
        <is>
          <t>egod6z</t>
        </is>
      </c>
      <c r="B6710" t="inlineStr">
        <is>
          <t>Accepting change in your life</t>
        </is>
      </c>
      <c r="C6710" t="inlineStr">
        <is>
          <t>Accepting change: New blog post about how to deal with new changes in your life, big or small. Take a look at some of the tips from someone who has experienced change first hand!
[https://www.cancertalkfoundation.org/post/accepting-change](https://www.cancertalkfoundation.org/post/accepting-change)
\#Cancer #Cancertalk #Cancertalkfoundation #Acceptingchange #Cancertalkblog</t>
        </is>
      </c>
      <c r="D6710" t="n">
        <v>1</v>
      </c>
      <c r="E6710" t="n">
        <v>0</v>
      </c>
      <c r="F6710">
        <f>HYPERLINK("https://www.reddit.com/r/cancer/comments/egod6z/accepting_change_in_your_life/")</f>
        <v/>
      </c>
      <c r="G6710" t="inlineStr">
        <is>
          <t>2019-12-28 00:25:52</t>
        </is>
      </c>
      <c r="H6710" t="inlineStr"/>
    </row>
    <row r="6711">
      <c r="A6711" t="inlineStr">
        <is>
          <t>egp0c1</t>
        </is>
      </c>
      <c r="B6711" t="inlineStr">
        <is>
          <t>I survived stage IV Burkitt's Lymphoma. If anyone is out there dealing with BL you can talk to me.</t>
        </is>
      </c>
      <c r="C6711" t="inlineStr">
        <is>
          <t>I'm nine months cancer free and I'm having my
port removed Monday. Treatment can be brutal but it can also be very effective.</t>
        </is>
      </c>
      <c r="D6711" t="n">
        <v>1</v>
      </c>
      <c r="E6711" t="n">
        <v>26</v>
      </c>
      <c r="F6711">
        <f>HYPERLINK("https://www.reddit.com/r/cancer/comments/egp0c1/i_survived_stage_iv_burkitts_lymphoma_if_anyone/")</f>
        <v/>
      </c>
      <c r="G6711" t="inlineStr">
        <is>
          <t>2019-12-28 01:49:05</t>
        </is>
      </c>
      <c r="H6711" t="inlineStr"/>
    </row>
    <row r="6712">
      <c r="A6712" t="inlineStr">
        <is>
          <t>egp4ru</t>
        </is>
      </c>
      <c r="B6712" t="inlineStr">
        <is>
          <t>Help with Lung Cancer for my Grandmother</t>
        </is>
      </c>
      <c r="C6712" t="inlineStr">
        <is>
          <t>My grandparents raised me and I lost my papa two years ago. My grandmother had issues being out of breath since August and finally found out she had fluid in one of her lungs so we had that pulled off and they ran a test and said it’s cancerous cells. She has yet to do the ink test to determine what stage it is and told me and everyone she is determined to fight. She is remaining very positive so far she is also an retired nurse. I want to reach out here to ask for dietary advice for her she did herself she wants to make sure she eats plenty to keep healthy. I’ve heard people say sugars are bad to eat is there any info on this or other things I can help tell her to battle this disease? I want any advice I can to help her please 
Thanks a lot</t>
        </is>
      </c>
      <c r="D6712" t="n">
        <v>1</v>
      </c>
      <c r="E6712" t="n">
        <v>2</v>
      </c>
      <c r="F6712">
        <f>HYPERLINK("https://www.reddit.com/r/cancer/comments/egp4ru/help_with_lung_cancer_for_my_grandmother/")</f>
        <v/>
      </c>
      <c r="G6712" t="inlineStr">
        <is>
          <t>2019-12-28 02:04:54</t>
        </is>
      </c>
      <c r="H6712" t="inlineStr"/>
    </row>
    <row r="6713">
      <c r="A6713" t="inlineStr">
        <is>
          <t>egpsqd</t>
        </is>
      </c>
      <c r="B6713" t="inlineStr">
        <is>
          <t>Looking for some answers</t>
        </is>
      </c>
      <c r="C6713" t="inlineStr">
        <is>
          <t>My father called for his results and they told him he has prostate cancer and it has moved to his bones. We get more answers in the new year when he goes for an appointment. His PSA was 600. This is all I know so far. Does this mean stage 4? Is there not much to do at this point? I need to know a little more to prepare myself as he has almost died with a long stint in an ICU (unrelated to cancer). Anything you know, your own experiences, any tips, suspicions, anything is greatly appreciated. Thank you.</t>
        </is>
      </c>
      <c r="D6713" t="n">
        <v>1</v>
      </c>
      <c r="E6713" t="n">
        <v>4</v>
      </c>
      <c r="F6713">
        <f>HYPERLINK("https://www.reddit.com/r/cancer/comments/egpsqd/looking_for_some_answers/")</f>
        <v/>
      </c>
      <c r="G6713" t="inlineStr">
        <is>
          <t>2019-12-28 03:33:12</t>
        </is>
      </c>
      <c r="H6713" t="inlineStr"/>
    </row>
    <row r="6714">
      <c r="A6714" t="inlineStr">
        <is>
          <t>egpukr</t>
        </is>
      </c>
      <c r="B6714" t="inlineStr">
        <is>
          <t>My family has breast cancer, im 18, should I get checked already?</t>
        </is>
      </c>
      <c r="C6714" t="inlineStr">
        <is>
          <t>My mom's siblings has had cancer before. Theyve all been diagnosed really early and recovered well. Recently, my mom has been diagnosedas well with breast cancer stage 1. 
I feel very anxious of whether I should get checked or I shouldn't. If anyone's reading this, please give me some advice. It's been almost a month or two since my mom came home safely operated. 
I don't know where else to go and I'm not sure if I'm alright with opening this up to my family either.</t>
        </is>
      </c>
      <c r="D6714" t="n">
        <v>1</v>
      </c>
      <c r="E6714" t="n">
        <v>20</v>
      </c>
      <c r="F6714">
        <f>HYPERLINK("https://www.reddit.com/r/cancer/comments/egpukr/my_family_has_breast_cancer_im_18_should_i_get/")</f>
        <v/>
      </c>
      <c r="G6714" t="inlineStr">
        <is>
          <t>2019-12-28 03:40:24</t>
        </is>
      </c>
      <c r="H6714" t="inlineStr"/>
    </row>
    <row r="6715">
      <c r="A6715" t="inlineStr">
        <is>
          <t>egpv83</t>
        </is>
      </c>
      <c r="B6715" t="inlineStr">
        <is>
          <t>Is Chemo Workig</t>
        </is>
      </c>
      <c r="C6715" t="inlineStr">
        <is>
          <t>My mother was diagnosed with stage 2A breast cancer (TNBC,no lymph node affected). she is supposed to have 8 chemo session . She already has been through 3 sessions, after the first one she had severe vomitting as side effect but after the first doctor prescribed her a strong medicine to control the nausea and vomitting , her second and third chemo she did not experienced any stated above , just had some strong headaches and body pain.
So is it a good or not ? Or it can't be said at present moment</t>
        </is>
      </c>
      <c r="D6715" t="n">
        <v>1</v>
      </c>
      <c r="E6715" t="n">
        <v>9</v>
      </c>
      <c r="F6715">
        <f>HYPERLINK("https://www.reddit.com/r/cancer/comments/egpv83/is_chemo_workig/")</f>
        <v/>
      </c>
      <c r="G6715" t="inlineStr">
        <is>
          <t>2019-12-28 03:42:45</t>
        </is>
      </c>
      <c r="H6715" t="inlineStr"/>
    </row>
    <row r="6716">
      <c r="A6716" t="inlineStr">
        <is>
          <t>egraks</t>
        </is>
      </c>
      <c r="B6716" t="inlineStr">
        <is>
          <t>Mom recently diagnosed Stage 3 PC - Trying to figure out best way to support</t>
        </is>
      </c>
      <c r="C6716" t="inlineStr">
        <is>
          <t>Hi all, I've been reading posts here for the last month and figured it may be beneficial to put my thoughts down and possibly even get some insights as well.
My mom was diagnosed with Stage 3 Pancreatic Cancer the day before Thanksgiving. She started Chemo 10 days ago (a week before Christmas) and the holiday season has just been awful. I'm an only child (34m) and live a four hour drive away from my parents. My dad has been amazing with caring for my mom and picking up all of the slack from her being sick. I've been feeling powerless and unhelpful in all this. I try to be home as much as possible to spend time with her and help out but she has made it clear she doesn't want me to be burdened or change up anything with my normal life. 
I want to help out in some way and make sure I'm being supportive. My parents live in a relatively small town and got linked up with a surgeon that is relatively young and inexperienced. One of my concerns is that my parents seem to be just 'going with flow' of whatever her surgeon and oncologist say. Obviously, those doctors know more than I do about cancer but I'm worried that my parents are almost taking things too lightly and that they kind of think if they follow orders of these doctors that everything will be ok. To me, it just seems like we aren't doing everything in our power to ensure the best outcome of all this. It all happened so fast and we never really got a chance to step back and figure out what the best way to attack this is. 
I've done research and pointed out more prestigious / experienced cancer treatment facilities and encouraged them to consider getting a second opinion or at least second analysis from one of these places. For the most part, my parents listen but it seems like they kind of brush off the idea because of the distance and travel. Now that chemo has started, it seems like it will be even more difficult to get them out to one of these places. 
I'm just not sure if it is my place to push for this second opinion or if it would just be better to leave it to my mom and dad to make those decisions and just try to be supportive at home. Thank you for any insights and for the ones I've already picked up from this group over the last month.</t>
        </is>
      </c>
      <c r="D6716" t="n">
        <v>1</v>
      </c>
      <c r="E6716" t="n">
        <v>2</v>
      </c>
      <c r="F6716">
        <f>HYPERLINK("https://www.reddit.com/r/cancer/comments/egraks/mom_recently_diagnosed_stage_3_pc_trying_to/")</f>
        <v/>
      </c>
      <c r="G6716" t="inlineStr">
        <is>
          <t>2019-12-28 06:25:14</t>
        </is>
      </c>
      <c r="H6716" t="inlineStr"/>
    </row>
    <row r="6717">
      <c r="A6717" t="inlineStr">
        <is>
          <t>egrudr</t>
        </is>
      </c>
      <c r="B6717" t="inlineStr">
        <is>
          <t>One simple thing you can do to avoid skin cancer</t>
        </is>
      </c>
      <c r="C6717" t="inlineStr">
        <is>
          <t>Skin Cancer is the #1 most avoidable forms of cancer.
What do you do to protect yourself on a daily basis?
&amp;amp;#x200B;
&amp;amp;#x200B;
Use high-quality [skin care products](https://www.mensfitclub.com/mens-grooming/avoid-skin-cancer/)
Start a skin care routine
Cover up while out in the sun</t>
        </is>
      </c>
      <c r="D6717" t="n">
        <v>1</v>
      </c>
      <c r="E6717" t="n">
        <v>0</v>
      </c>
      <c r="F6717">
        <f>HYPERLINK("https://www.reddit.com/r/cancer/comments/egrudr/one_simple_thing_you_can_do_to_avoid_skin_cancer/")</f>
        <v/>
      </c>
      <c r="G6717" t="inlineStr">
        <is>
          <t>2019-12-28 07:16:06</t>
        </is>
      </c>
      <c r="H6717" t="inlineStr"/>
    </row>
    <row r="6718">
      <c r="A6718" t="inlineStr">
        <is>
          <t>egs0j1</t>
        </is>
      </c>
      <c r="B6718" t="inlineStr">
        <is>
          <t>Smelly urine...</t>
        </is>
      </c>
      <c r="C6718" t="inlineStr">
        <is>
          <t>So I've been on Tamoxifen for about 4 months after a mastectomy and radiation therapy, but now and my pee smells weird... Is that normal?</t>
        </is>
      </c>
      <c r="D6718" t="n">
        <v>1</v>
      </c>
      <c r="E6718" t="n">
        <v>20</v>
      </c>
      <c r="F6718">
        <f>HYPERLINK("https://www.reddit.com/r/cancer/comments/egs0j1/smelly_urine/")</f>
        <v/>
      </c>
      <c r="G6718" t="inlineStr">
        <is>
          <t>2019-12-28 07:31:33</t>
        </is>
      </c>
      <c r="H6718" t="inlineStr"/>
    </row>
    <row r="6719">
      <c r="A6719" t="inlineStr">
        <is>
          <t>egtcnl</t>
        </is>
      </c>
      <c r="B6719" t="inlineStr">
        <is>
          <t>Medical Marijuana Card in NH</t>
        </is>
      </c>
      <c r="C6719" t="inlineStr">
        <is>
          <t>Just got my diagnosis and am already sick. Wondering if anyone has experience in how long they take to process. Thanks all.</t>
        </is>
      </c>
      <c r="D6719" t="n">
        <v>1</v>
      </c>
      <c r="E6719" t="n">
        <v>0</v>
      </c>
      <c r="F6719">
        <f>HYPERLINK("https://www.reddit.com/r/cancer/comments/egtcnl/medical_marijuana_card_in_nh/")</f>
        <v/>
      </c>
      <c r="G6719" t="inlineStr">
        <is>
          <t>2019-12-28 09:21:30</t>
        </is>
      </c>
      <c r="H6719" t="inlineStr"/>
    </row>
    <row r="6720">
      <c r="A6720" t="inlineStr">
        <is>
          <t>egu0fv</t>
        </is>
      </c>
      <c r="B6720" t="inlineStr">
        <is>
          <t>Feeling Unsupported</t>
        </is>
      </c>
      <c r="C6720" t="inlineStr">
        <is>
          <t>I just feel completely unsupported and I don't know how to ask for support from my family because they think I'm so "strong". 
I moved home for chemo after years traveling and they always said they missed me, but now that I'm here I feel like no one wants to spend time with me. 
My parents (retired) are always preoccupied with the tv or internet. My younger brother comes home from college, but spends most of him time sleeping or on the phone. My other brother doesn't even speak to me. 
I just sit in my room all day reading or going for a walk alone. I go to most appointments alone too because they just don't seem to understand any of the medical talk. 
I want someone to reach out to me and say lets go for a walk or lets watch a movie. Something so simple would make me feel so loved. 
I barely know anyone in this town(small small town) and I just feel completely alone. 
I just worry that life is so short and I want to spend time with them while I'm here. I don't know if they realize how worried I am about dying or wasting such precious time.</t>
        </is>
      </c>
      <c r="D6720" t="n">
        <v>1</v>
      </c>
      <c r="E6720" t="n">
        <v>24</v>
      </c>
      <c r="F6720">
        <f>HYPERLINK("https://www.reddit.com/r/cancer/comments/egu0fv/feeling_unsupported/")</f>
        <v/>
      </c>
      <c r="G6720" t="inlineStr">
        <is>
          <t>2019-12-28 10:13:27</t>
        </is>
      </c>
      <c r="H6720" t="inlineStr"/>
    </row>
    <row r="6721">
      <c r="A6721" t="inlineStr">
        <is>
          <t>eguoht</t>
        </is>
      </c>
      <c r="B6721" t="inlineStr">
        <is>
          <t>How long after chemo to symptoms appear</t>
        </is>
      </c>
      <c r="C6721" t="inlineStr">
        <is>
          <t>I had my first TCHP treatment yesterday and am waiting for the side effects to show up... when should I expect a change in how I feel? 
I know everyone is different, but any personal experiences would be beneficial.</t>
        </is>
      </c>
      <c r="D6721" t="n">
        <v>1</v>
      </c>
      <c r="E6721" t="n">
        <v>14</v>
      </c>
      <c r="F6721">
        <f>HYPERLINK("https://www.reddit.com/r/cancer/comments/eguoht/how_long_after_chemo_to_symptoms_appear/")</f>
        <v/>
      </c>
      <c r="G6721" t="inlineStr">
        <is>
          <t>2019-12-28 11:05:25</t>
        </is>
      </c>
      <c r="H6721" t="inlineStr"/>
    </row>
    <row r="6722">
      <c r="A6722" t="inlineStr">
        <is>
          <t>egup6n</t>
        </is>
      </c>
      <c r="B6722" t="inlineStr">
        <is>
          <t>My dad isn’t my dad anymore</t>
        </is>
      </c>
      <c r="C6722" t="inlineStr">
        <is>
          <t>My dad (55M) was diagnosed with cancer a month before my (23F) birthday, about 7 months ago. Earlier in December he was able to have surgery. 
Leading up to the surgery, he had instructions to eat a lot, walk 2 miles a day. That’s it. His tumor was taking all of his nutrients and he was losing weight, so his 1 job is to get strong to withstand the surgery. He barely does this, doesn’t eat, lets mental blocks get in the way. Says he’s sick all the time but won’t take the nausea meds. Says he “can’t swallow” but swallowed cake and junk food just fine... a regular meal? Nope can’t swallow apparently. 
When he goes in for surgery the doctor was pissed. My dad has an extremely rare cancer that he was a study case for. We are fortunate to live near Yale where they are just so happening to lead an investigation study on his form of cancer. These doctors are so good, put so much time into him, all for him to ignore them. They said he wouldn’t make it out of the surgery. They gave him 1 more chance and another month. He actually did what they said, gained 20 lbs after losing over 100lbs, and was walking around the neighborhood as instructed. We were proud and thought his mentality had turned around 
The surgery was 12 hours but was supposed to be 15, they were going to have to cut and reroute his vena cava which would have probably killed him. By some luck, when they got in they saw they didn’t have to do that, they were able to spare him a colostomy bag for the rest of his life, and saved so much of his bowel. They keep telling us it’s a miracle, that they don’t know how he got off so easy. 
Well, post op instructions are the same, follow a special diet, walk every day. His tumor was the size of a football in his stomach cavity but it’s gone now, so he’s able to eat more than before. But here we are with the “I can’t swallow” (but can eat junk food and pies), he lies to the doctors about following instructions. My mom asked him to simply make the bed by fixing the top comforter only, and he said he couldn’t. She asked him to throw out his garbage and said he couldn’t. She asked him to pick out his clothes to wear and he couldn’t. All things the doctors say he should be doing by now, but he is depressed and isn’t doing anything. He’s even had to go to the hospital since the surgery for dehydration because, again, not following instructions. 
He is extremely depressed and won’t talk, all he does is sleep and watch tv. But my dad was the biggest jokester around, never shut up. Always laughing and making jokes. Now he just lays there and it’s hindering his healing. I have clinical depression so I get it, but I don’t get what it’s like to have cancer. Is there any suggestions of activities to do with him to open him up? To get him doing small things so he can build up stamina? Or just any advice for me? 
What can I do for him? 
It’s especially hard in my mom as she has been his caretaker and she essentially sits there all day in silence talking to herself because he won’t really respond. He snaps at us regularly. We want to help him but don’t know how. Personally, I’ve been staying away from him and not talking to him. It hurts more if he snaps at me than if I just stay away. He doesn’t seem to want to talk to me at all. I’m his only child, and his little girl, so I’m not used to this dynamic. My mom and I don’t get along due to untreated mental health issues, so I feel like I lost the person I can vent to and talk to. Thanks for reading and I’m looking forward to your advice ❤️</t>
        </is>
      </c>
      <c r="D6722" t="n">
        <v>1</v>
      </c>
      <c r="E6722" t="n">
        <v>15</v>
      </c>
      <c r="F6722">
        <f>HYPERLINK("https://www.reddit.com/r/cancer/comments/egup6n/my_dad_isnt_my_dad_anymore/")</f>
        <v/>
      </c>
      <c r="G6722" t="inlineStr">
        <is>
          <t>2019-12-28 11:06:52</t>
        </is>
      </c>
      <c r="H6722" t="inlineStr"/>
    </row>
    <row r="6723">
      <c r="A6723" t="inlineStr">
        <is>
          <t>eguwzg</t>
        </is>
      </c>
      <c r="B6723" t="inlineStr">
        <is>
          <t>Questions for those who are living with a life limiting illness, and are open to sharing their experiences</t>
        </is>
      </c>
      <c r="C6723" t="inlineStr">
        <is>
          <t>Thank you for taking the time to read and potentially share. This is for my own interest/knowledge. You’re welcome to comment a reply to any question, or directly message me.
1. How did your perception of the world change when you found out you were terminally ill? 
2. What “final” thoughts, words, or advice would you pass along to strangers or acquaintances?
3. Is there anything you would’ve done differently?
4. What do you feel happens next? 
I’m not great with words... but cancer sucks, that filthy bastard.</t>
        </is>
      </c>
      <c r="D6723" t="n">
        <v>1</v>
      </c>
      <c r="E6723" t="n">
        <v>5</v>
      </c>
      <c r="F6723">
        <f>HYPERLINK("https://www.reddit.com/r/cancer/comments/eguwzg/questions_for_those_who_are_living_with_a_life/")</f>
        <v/>
      </c>
      <c r="G6723" t="inlineStr">
        <is>
          <t>2019-12-28 11:23:40</t>
        </is>
      </c>
      <c r="H6723" t="inlineStr"/>
    </row>
    <row r="6724">
      <c r="A6724" t="inlineStr">
        <is>
          <t>egx7aq</t>
        </is>
      </c>
      <c r="B6724" t="inlineStr">
        <is>
          <t>Thank y’all</t>
        </is>
      </c>
      <c r="C6724" t="inlineStr">
        <is>
          <t>The Results Has Came In For My Surgery    
It was such an successful surger, where it could boost my life span up to another 15-30 year. I am so ble to be here with my family and friends. Mos importantly I could have never had made it through without them. Thank you for your time and commitment to raise awesome awareness and bring me to hope. You guys saved me, it was not the doctor, it was you guys.</t>
        </is>
      </c>
      <c r="D6724" t="n">
        <v>1</v>
      </c>
      <c r="E6724" t="n">
        <v>11</v>
      </c>
      <c r="F6724">
        <f>HYPERLINK("https://www.reddit.com/r/cancer/comments/egx7aq/thank_yall/")</f>
        <v/>
      </c>
      <c r="G6724" t="inlineStr">
        <is>
          <t>2019-12-28 14:20:05</t>
        </is>
      </c>
      <c r="H6724" t="inlineStr"/>
    </row>
    <row r="6725">
      <c r="A6725" t="inlineStr">
        <is>
          <t>egx8tf</t>
        </is>
      </c>
      <c r="B6725" t="inlineStr">
        <is>
          <t>Why is everyone so afraid of Cancer?</t>
        </is>
      </c>
      <c r="C6725" t="inlineStr">
        <is>
          <t>Something has to thin the herd out of the weak people.</t>
        </is>
      </c>
      <c r="D6725" t="n">
        <v>1</v>
      </c>
      <c r="E6725" t="n">
        <v>5</v>
      </c>
      <c r="F6725">
        <f>HYPERLINK("https://www.reddit.com/r/cancer/comments/egx8tf/why_is_everyone_so_afraid_of_cancer/")</f>
        <v/>
      </c>
      <c r="G6725" t="inlineStr">
        <is>
          <t>2019-12-28 14:23:26</t>
        </is>
      </c>
      <c r="H6725" t="inlineStr"/>
    </row>
    <row r="6726">
      <c r="A6726" t="inlineStr">
        <is>
          <t>eh102k</t>
        </is>
      </c>
      <c r="B6726" t="inlineStr">
        <is>
          <t>Waiting on biopsy results over the Holidays...</t>
        </is>
      </c>
      <c r="C6726" t="inlineStr">
        <is>
          <t>5 yr CT scan showed something, PET scan lit something, CT guided Radiologist poked something. Now I wait for something. This sucks.</t>
        </is>
      </c>
      <c r="D6726" t="n">
        <v>1</v>
      </c>
      <c r="E6726" t="n">
        <v>0</v>
      </c>
      <c r="F6726">
        <f>HYPERLINK("https://www.reddit.com/r/cancer/comments/eh102k/waiting_on_biopsy_results_over_the_holidays/")</f>
        <v/>
      </c>
      <c r="G6726" t="inlineStr">
        <is>
          <t>2019-12-28 19:43:34</t>
        </is>
      </c>
      <c r="H6726" t="inlineStr"/>
    </row>
    <row r="6727">
      <c r="A6727" t="inlineStr">
        <is>
          <t>eh14z9</t>
        </is>
      </c>
      <c r="B6727" t="inlineStr">
        <is>
          <t>Is a small mole on the bottom of my foot something to worry about?</t>
        </is>
      </c>
      <c r="C6727" t="inlineStr">
        <is>
          <t>Basically I have lots of moles, and I have one small one on the bottom of my foot that’s never grown. But I’m a young black woman, and I’ve heard cancer can grow there. I’ve gotten it checked out multiple times and my dermatologist says it’s okay, but should I get a second opinion? I’m extremely paranoid</t>
        </is>
      </c>
      <c r="D6727" t="n">
        <v>1</v>
      </c>
      <c r="E6727" t="n">
        <v>0</v>
      </c>
      <c r="F6727">
        <f>HYPERLINK("https://www.reddit.com/r/cancer/comments/eh14z9/is_a_small_mole_on_the_bottom_of_my_foot/")</f>
        <v/>
      </c>
      <c r="G6727" t="inlineStr">
        <is>
          <t>2019-12-28 19:55:41</t>
        </is>
      </c>
      <c r="H6727" t="inlineStr"/>
    </row>
    <row r="6728">
      <c r="A6728" t="inlineStr">
        <is>
          <t>eh1z3y</t>
        </is>
      </c>
      <c r="B6728" t="inlineStr">
        <is>
          <t>Just wondering if any of you guys can help me (UK) regarding being on cancer treatment and dental care</t>
        </is>
      </c>
      <c r="C6728" t="inlineStr">
        <is>
          <t>Maybe i should go to the cancer support group for advice on this. Before I had cancer I looked after my teeth but unfortunately when I lost a filling and chipped another tooth, due to treatment I couldn’t see a dentist due to the drugs I’m on and risk of infection.
Now I’ve made an appointment to see a dentist but cos it’s been awhile it looks like the tooth with the filling will need to be removed.
I know dental care is least of our worries especially for us stage 4s... but cos I’m still employed but only get half pay from work I’ll have to pay apparently for tooth removal?
Is that right? I mean surely there’s a way round it?
I don’t mean to be ungrateful or a cheapskate, but being on half pay just about covers my bills and rent</t>
        </is>
      </c>
      <c r="D6728" t="n">
        <v>1</v>
      </c>
      <c r="E6728" t="n">
        <v>5</v>
      </c>
      <c r="F6728">
        <f>HYPERLINK("https://www.reddit.com/r/cancer/comments/eh1z3y/just_wondering_if_any_of_you_guys_can_help_me_uk/")</f>
        <v/>
      </c>
      <c r="G6728" t="inlineStr">
        <is>
          <t>2019-12-28 21:15:27</t>
        </is>
      </c>
      <c r="H6728" t="inlineStr"/>
    </row>
    <row r="6729">
      <c r="A6729" t="inlineStr">
        <is>
          <t>eh3pg9</t>
        </is>
      </c>
      <c r="B6729" t="inlineStr">
        <is>
          <t>Stage IV Melanoma Stories</t>
        </is>
      </c>
      <c r="C6729" t="inlineStr">
        <is>
          <t>My partner (22F) has very recently been diagnosed with a nodular melanoma that has matastasized to the liver. She is coming up to her second round of immunotherapy treatment. It's hard to stay positive given the general outlook. Does anyone have any positive experiences/stories regarding the treatment of melanoma?</t>
        </is>
      </c>
      <c r="D6729" t="n">
        <v>1</v>
      </c>
      <c r="E6729" t="n">
        <v>15</v>
      </c>
      <c r="F6729">
        <f>HYPERLINK("https://www.reddit.com/r/cancer/comments/eh3pg9/stage_iv_melanoma_stories/")</f>
        <v/>
      </c>
      <c r="G6729" t="inlineStr">
        <is>
          <t>2019-12-29 00:34:50</t>
        </is>
      </c>
      <c r="H6729" t="inlineStr"/>
    </row>
    <row r="6730">
      <c r="A6730" t="inlineStr">
        <is>
          <t>eh3tkr</t>
        </is>
      </c>
      <c r="B6730" t="inlineStr">
        <is>
          <t>I’m in remission</t>
        </is>
      </c>
      <c r="C6730" t="inlineStr">
        <is>
          <t>LETS GO BABY</t>
        </is>
      </c>
      <c r="D6730" t="n">
        <v>1</v>
      </c>
      <c r="E6730" t="n">
        <v>4</v>
      </c>
      <c r="F6730">
        <f>HYPERLINK("https://www.reddit.com/r/cancer/comments/eh3tkr/im_in_remission/")</f>
        <v/>
      </c>
      <c r="G6730" t="inlineStr">
        <is>
          <t>2019-12-29 00:50:52</t>
        </is>
      </c>
      <c r="H6730" t="inlineStr"/>
    </row>
    <row r="6731">
      <c r="A6731" t="inlineStr">
        <is>
          <t>eh7k83</t>
        </is>
      </c>
      <c r="B6731" t="inlineStr">
        <is>
          <t>Mom (60) femur fracture. Cervical spine mets discovered post surgery</t>
        </is>
      </c>
      <c r="C6731" t="inlineStr">
        <is>
          <t>So. Maybe vent. Maybe someone has had a similar experience and can offer some advice.
My mom started having pain in her hip when walking or standing up around March this year. After putting off seeing a doctor a couple times, she started PT and shortly after, early November, she had a spontaneous femur fracture. It was a long month and a half until we could find the money to have her surgery. 
Meanwhile MRI was made to confirm a lesion affecting the bone, a bone scan was made and it showed lumbar and rib mets, orthopedic oncologist said we shouldn't worry about the neck because it wasn't showing up on image.
Said neck pain (originally thought to be muscular contracture) started getting worse while she was bedridden.
So, there we are, joyful as she made it through surgery with no problems and the day after comes when she needs to sit and get up. Pain in the neck is unbearable and she faints for a few seconds.
An CT scan is made and it shows a large tumor has eaten up her C2 and C7 vertebrae, they're gone for good. She has to wear a neck brace and only use ambulance to get to her radiotherapy that got started a few days after. She risks being paralyzed, the neurosurgeon said.
After all, I missed saying, primary is believed to be her breast, although we won't get a biopsy until January. 
We live in Venezuela where general access to quality care is only out of pocket. My steady income is 200$, 10 sessions of radiotherapy total 3000$. My mom and dad already retired, each perceive around 60$ a month. So, you get the picture. Access to trials non-existent.
Oncologist said she can get started on chemo post biopsy, let's hope the spine tumor gives us enough time to get there. This is just so heartbreaking and heavy. My only comfort is she stays positive as ever and generally in a great mood.
Love and light to anyone going through this mess. Keeping everyone in my heart.</t>
        </is>
      </c>
      <c r="D6731" t="n">
        <v>1</v>
      </c>
      <c r="E6731" t="n">
        <v>10</v>
      </c>
      <c r="F6731">
        <f>HYPERLINK("https://www.reddit.com/r/cancer/comments/eh7k83/mom_60_femur_fracture_cervical_spine_mets/")</f>
        <v/>
      </c>
      <c r="G6731" t="inlineStr">
        <is>
          <t>2019-12-29 08:05:19</t>
        </is>
      </c>
      <c r="H6731" t="inlineStr"/>
    </row>
    <row r="6732">
      <c r="A6732" t="inlineStr">
        <is>
          <t>eh8f8x</t>
        </is>
      </c>
      <c r="B6732" t="inlineStr">
        <is>
          <t>Advise</t>
        </is>
      </c>
      <c r="C6732" t="inlineStr">
        <is>
          <t>I am 21 y/o female and when my dad was in his mid 20s he was diagnosed with osteosarcoma in his knee and femur, he beat the cancer and went through alot of treatment and surgery. I know I should go to the Dr but wanted to see if anyone knew any info on here. I was told there's a 50/50 chance my sister or I could inherit the cancer some day. I've been experiencing for the past few weeks a dull pain in my knee that won't go away, should I be worried? I feel like this is a more rational fear that I am experiencing</t>
        </is>
      </c>
      <c r="D6732" t="n">
        <v>1</v>
      </c>
      <c r="E6732" t="n">
        <v>7</v>
      </c>
      <c r="F6732">
        <f>HYPERLINK("https://www.reddit.com/r/cancer/comments/eh8f8x/advise/")</f>
        <v/>
      </c>
      <c r="G6732" t="inlineStr">
        <is>
          <t>2019-12-29 09:13:25</t>
        </is>
      </c>
      <c r="H6732" t="inlineStr"/>
    </row>
    <row r="6733">
      <c r="A6733" t="inlineStr">
        <is>
          <t>eh8ivc</t>
        </is>
      </c>
      <c r="B6733" t="inlineStr">
        <is>
          <t>Reminder: ALWAYS get a second opinion</t>
        </is>
      </c>
      <c r="C6733" t="inlineStr">
        <is>
          <t>If you think you might have cancer, or diagnosed with anything slightly abnormal when it comes to scans, ALWAYS get a second opinion. It literally saved my life. 
I started suffering from cluster headaches (a headache radiating through the eye and typically seen as as painful as giving birth or amputation) as early as 2015, but wasn’t seen at Kaiser until 2016. I didn’t receive a diagnosis of cluster headaches until 2018, and by 2019 I got my final diagnosis of a pituitary tumor possibly being the cause of my cluster headaches (and a multitude of other problems). While it was a relief to hear that my clusters might not be clusters, it’s never awesome to hear that you’ve got a tumor. 
Of course Kaiser did the typical MRI (without contrast) to make sure nothing else was wrong with my brain. But they wrote off a small pineal cyst that was “harmless”, and refused a referral to the neurologist which led me to suffer for 3 years longer than necessary. When I moved to the local hospital my doctor was appalled and insisted I see a neurologist ASAP. So I got another MRI, this time with contrast. Which is when they compared my previous scans and realized this “harmless pineal cyst” was actually a tumor that had now tripled in size. 
With the support of my new Primary Care Physician and amazing neurology team, things have started to level out with a treatment of Bromocriptine and possibly surgery/radiation in the future. 
Side note: take bromocriptine at night if you can, the nausea and brain fog is just the worst. 
TL;DR—Get a second opinion for abnormal scans. It could very well change your life. Early detection is key.</t>
        </is>
      </c>
      <c r="D6733" t="n">
        <v>1</v>
      </c>
      <c r="E6733" t="n">
        <v>10</v>
      </c>
      <c r="F6733">
        <f>HYPERLINK("https://www.reddit.com/r/cancer/comments/eh8ivc/reminder_always_get_a_second_opinion/")</f>
        <v/>
      </c>
      <c r="G6733" t="inlineStr">
        <is>
          <t>2019-12-29 09:21:38</t>
        </is>
      </c>
      <c r="H6733" t="inlineStr"/>
    </row>
    <row r="6734">
      <c r="A6734" t="inlineStr">
        <is>
          <t>eh8vec</t>
        </is>
      </c>
      <c r="B6734" t="inlineStr">
        <is>
          <t>Dad (70M) just diagnosed with Cancer- Help?</t>
        </is>
      </c>
      <c r="C6734" t="inlineStr">
        <is>
          <t>Hi all!
I’m a 28F, My dad was just diagnosed with S4 esophageal cancer on Monday. Good news is it hasn’t spread at all, bad news is it’s cancer. On the 8th we have the meeting with the oncology team at MGH in Boston (doesn’t get any better than that). However I’m having a hard time helping him- as in I don’t know how to help?
My parents are divorced but still friends. As my mom will help support during this time she lives about 40 min away. But he still lives alone does things alone, and has always been a relatively quiet, shy, introverted person. 
I’ve tried to visit everyday but I feel like since I’ve been off from work and there’s nothing else going on I just stare at him. I don’t know how to help or what to do and I feel guilty that he lives alone and is going through this. All the time I’m not with him I feel like I should be and that I’m a bad daughter that I’m not.
I feel incredibly bad he’s solo most of the time but I also don’t think he minds? Treatment hasn’t started yet, and I can’t bring him meals bc he can’t eat anything that’s not pureed. I want to get him setup with a cancer support group and maybe a therapist. I can’t help but feeling like I should be doing more- but I don’t know what that more is. Any advice would be appreciated!</t>
        </is>
      </c>
      <c r="D6734" t="n">
        <v>1</v>
      </c>
      <c r="E6734" t="n">
        <v>1</v>
      </c>
      <c r="F6734">
        <f>HYPERLINK("https://www.reddit.com/r/cancer/comments/eh8vec/dad_70m_just_diagnosed_with_cancer_help/")</f>
        <v/>
      </c>
      <c r="G6734" t="inlineStr">
        <is>
          <t>2019-12-29 09:48:06</t>
        </is>
      </c>
      <c r="H6734" t="inlineStr"/>
    </row>
    <row r="6735">
      <c r="A6735" t="inlineStr">
        <is>
          <t>eh9m4e</t>
        </is>
      </c>
      <c r="B6735" t="inlineStr">
        <is>
          <t>2 masses in the brain of a 22m- biopsy currently underway, no results yet. I'm terrified I'm gonna lose my only sibling and I feel like the doctors are dragging their feet.</t>
        </is>
      </c>
      <c r="C6735" t="inlineStr">
        <is>
          <t>My brother 22m is sick. Lkike, really sick. He was struggling in college starting last year- his grades dropped dramatically.  He moved back home and was diagnosed with ADHD and had a variety of bloodwork/scans to help him out.
He'd vomit every few weeks. It was infrequent enough that we thought it was food poisoning or a bug. When it was frequent (like 3 puking episodes a month) we figured it was because of the medication he was on.
He had headaches and slept a lot. About a month ago he had a 'spell'. He completely loses his balance and his feet go out from under him. He gets shaky and red and sweaty and just struggles to hold himself up on whatever is nearby. I bhate to describe it like this, but he sort of looks like a baby who is squirming/struggling to poop or is placed on their tummy and doesn't like it.
He obviously struggles and doesn't respond/speak to you. We just try to get a chair under him and wait for it to pass within 5 minutes. You talk to him and hes not all there. 
He had 2 spells in a day and struggled at work. One morning, just before Christmas, he was struggling to wake up in the morning (common issue, has been for months). He had a hard time driving to work and my dad was also driving to work behind him. My brother stopped at a traffic light and missed a green light. He didn't go when he obviously had the right of way.
My Dad felt something was off so he turned around and went to check on my brother. My brother should've clocked into work 10min ago, but instead was struggling to stay awake, his head kept bobbing in the car. When my Dad asked him what was up, he said he 'couldn't wake up'. MY Dad took him to the local hospital and pushed for a scan. They did a CT which was normal and a MRI that shoed 2 masses in the frontal lobe- one further back and one up closer to his eye that's around the skull.
They've done a biopsy but everything seems to be moving SO SLOW. I am so fucking angry at everything. I'm angry that the doctors brushed him off as ADHD. I'm angry he hid his symptoms for so long. But I can't be angry with my brother, because as he's in the hospital it's become clear his short term memory isn't very good. He won't remember conversations he's had with hospital staff or if he ordered a meal or not.
I don't know what to do. I looked up the best cancer hospitals nearby. I spent Christmas alone because my entire family was up at a hospital but I have pretty rough anxiety and my metal state it was just better to have me at home keeping the house for my parents. I'm 20f.
I don't wanna make this about me. I understand that biopsies take time. I am just so frustrated with everything. My father spends hours reading about brain tumors and what types. When he's not reading or going to the hospital to be with my brother he's crying. He's completely forgotten about his job (Dad is the sole breadwinner, and I understand my brother is more important. But my Dad needs to apply for FMLA at the very least).
I read the statistics and I hate everything. I am terrified I won't have a brother someday far too soon to entertain.
I hate everyone. I hate everything. I've been depressed before (due to unrelated reasons) but I CANNOT fall right now. It's my responsibility to keep my head above water. Talk to my therapist keep my head up and do whatever the hell I need to do to be what my family needs right now.
I've looked up the top 5 cancer and neurosurgery hospitals in our area of the country (NE USA).
I'm trying to convince my Dad to get copies of the MRIs and medical records because we will need them for consults with the various cancer teams/hospitals soon. My Dad says to wait and that we have follow ups and once the biopsy results come in he'll ask.
I'm fucking tired of waiting. I'm fucking angry at everything. 
I'm 20 years old and I'm probably going to be living alone soon. I'm probably going to be left behind. My mother and father will likely take my brother to one of the larger hospitals and stay there with him or nearby in a hotel (as they should. If it were up to me they'd be getting documents together and having consults with docs tonight and leaving TOMORROW). I'm gonna be alone except for my boyfriend (who is an absolute godsend. that man is the biggest blessing in my life when I wake up anxious he will sit with me and calm me down. When I can't be strong and dissolve into tears he will just sit and hold me until I'm alright again). He is my rock.
Instead my brother is gonna come home form the hospital today and we'red all gonna pretend the word cancer never got said. Until the biopsy results come back in.
Any advice?
They think it's a lymphoma or a gioblastoma. Both of those options are ABSOLUTE SHIT prognosis wise.
I keep hoping for a miracle. I am so angry at god. 
I'm hoping for a lymphoma, because at least then I might be able to donate my bone marrow and help him in some way.
Has anybody been here before? Tell me I'm not alone.</t>
        </is>
      </c>
      <c r="D6735" t="n">
        <v>1</v>
      </c>
      <c r="E6735" t="n">
        <v>6</v>
      </c>
      <c r="F6735">
        <f>HYPERLINK("https://www.reddit.com/r/cancer/comments/eh9m4e/2_masses_in_the_brain_of_a_22m_biopsy_currently/")</f>
        <v/>
      </c>
      <c r="G6735" t="inlineStr">
        <is>
          <t>2019-12-29 10:43:49</t>
        </is>
      </c>
      <c r="H6735" t="inlineStr"/>
    </row>
    <row r="6736">
      <c r="A6736" t="inlineStr">
        <is>
          <t>eha6ox</t>
        </is>
      </c>
      <c r="B6736" t="inlineStr">
        <is>
          <t>Don’t feel like you’re leaving your loved ones behind as you’re dying!</t>
        </is>
      </c>
      <c r="C6736" t="inlineStr">
        <is>
          <t>I am here to help! For just $5 a day I’ll bone your son, your spouse, your family pet. I do it all and better than you ever did. Cancer is Karma for you not sexually pleasing your family. 
Push daisies while I push your sons poo!
Merry Christmas dead asses.</t>
        </is>
      </c>
      <c r="D6736" t="n">
        <v>1</v>
      </c>
      <c r="E6736" t="n">
        <v>4</v>
      </c>
      <c r="F6736">
        <f>HYPERLINK("https://www.reddit.com/r/cancer/comments/eha6ox/dont_feel_like_youre_leaving_your_loved_ones/")</f>
        <v/>
      </c>
      <c r="G6736" t="inlineStr">
        <is>
          <t>2019-12-29 11:26:37</t>
        </is>
      </c>
      <c r="H6736" t="inlineStr"/>
    </row>
    <row r="6737">
      <c r="A6737" t="inlineStr">
        <is>
          <t>ehb3dn</t>
        </is>
      </c>
      <c r="B6737" t="inlineStr">
        <is>
          <t>May I ask the advice of folks on this sub about how to tell my elderly, ill mother that I have pancreatic cancer and that it's going to kill me?</t>
        </is>
      </c>
      <c r="C6737" t="inlineStr">
        <is>
          <t>Sorry to be blunt, it's what I got right now. I'm a 45 year old woman in the US with two teenagers and a husband of 27 years who just got told she has terminal pancreatic cancer. I guess I have between a year and a year and a half to live if I'm lucky. This is my first time being diagnosed with anything this serious - I have been in excellent health up until now and very little experience with illness. My husband knows, my poor kids know, and my in-laws know at this point. 
I have yet to tell my nearly 80 year mother however because she is herself in poor health (pulmonary fibrosis) and lives far away. Her plan for her long-term care has been to move to the city I live in this summer to an assisted living facility in order to be closer to me (her only family) and my kids. How do I tell her as kindly but firmly as possible that this is happening and that she may outlive me? Thank you, any advice is appreciated.</t>
        </is>
      </c>
      <c r="D6737" t="n">
        <v>1</v>
      </c>
      <c r="E6737" t="n">
        <v>49</v>
      </c>
      <c r="F6737">
        <f>HYPERLINK("https://www.reddit.com/r/cancer/comments/ehb3dn/may_i_ask_the_advice_of_folks_on_this_sub_about/")</f>
        <v/>
      </c>
      <c r="G6737" t="inlineStr">
        <is>
          <t>2019-12-29 12:34:59</t>
        </is>
      </c>
      <c r="H6737" t="inlineStr"/>
    </row>
    <row r="6738">
      <c r="A6738" t="inlineStr">
        <is>
          <t>ehciy4</t>
        </is>
      </c>
      <c r="B6738" t="inlineStr">
        <is>
          <t>PXA Brain Tumor Worries</t>
        </is>
      </c>
      <c r="C6738" t="inlineStr">
        <is>
          <t>Hello! Not quite sure how to go about this and I hope I don’t get called a hypochondriac, but here goes. 
     My half brother (same mom, different dads), who is 3 years older than me, has Grade II PXA (Pleomorphic xanthoastrocytoma) brain tumors. He was diagnosed when he was 7, and has had 9 total surgeries. He never had full on seizures and they were only discovered after he hit his head and had to have a brain scan. The aura seizures that he has had have made him believe he’s smelling chlorine, and disorient him. He is in full regression now with no growth seen and has had very few auras since his last treatment 6yrs ago.
I am now 18, but my health has been changing in concerning ways. Throughout my life I have suffered from bad headaches and frequent unexplained nausea that were deemed ‘cyclic vomiting syndrome’ despite the symptoms not completely adding up (vomiting is not repetitive or stuck to a certain time, just randomly but almost every day when I have ‘attacks’, In the last two years, my speech and language comprehension have decreased significantly during conversation. I frequently say completely different words than I mean, or will lose a word I’ve always known (hypotenuse instead of hippopotamus, crude instead of cloud). I’ve been losing consciousness randomly (not from exertion or standing) and iron bloodwork came back normal when I requested a test. I sometimes have boughts of intense confusion that occasionally end in passing out where I feel like a sim stuck in a room they don’t know; I get confused, my vision changes, I get tinnitus and it feels like my arms weigh a thousand pounds and go numb. I am utterly clueless as to where and what I am in those minutes. I normally have to sit and catch my breath after these if I am still awake. It has started affecting my social and work life as time goes on. 
I understand that diagnoses are made primarily before patients reach my age, and that over 70% of those affected by PXA’s suffer from seizure or epilepsy.  The other 30% (like my brother) have separate symptoms that are frequently chalked up to other illnesses and there are still older people who develop these tumors. 
As most of you know, US healthcare is in shambles. I have government insurance, so I get bare minimum for coverage. When I talked to my (male, 60s) GP about my concerns, I was belittled and told that I was ‘worrying like a little girl’. I have not been able to find any text that says whether there is a link for PXAs genetically or if siblings of those with the tumors have higher risk of also having them. I am posting on this forum basically to find out whether or not it’s worth it to go to a neurologist (out of pocket) and get a second opinion/brain scan since I am not being taken seriously by my main practitioner. 
TL;DR
My older brother has brain cancer, I think I may be showing similar symptoms that he did when he was diagnosed, and I’m wondering if I should get a second opinion/check even though it would cost me *a lot* of money. 
I would appreciate any feedback. Thank you all!</t>
        </is>
      </c>
      <c r="D6738" t="n">
        <v>1</v>
      </c>
      <c r="E6738" t="n">
        <v>0</v>
      </c>
      <c r="F6738">
        <f>HYPERLINK("https://www.reddit.com/r/cancer/comments/ehciy4/pxa_brain_tumor_worries/")</f>
        <v/>
      </c>
      <c r="G6738" t="inlineStr">
        <is>
          <t>2019-12-29 14:20:40</t>
        </is>
      </c>
      <c r="H6738" t="inlineStr"/>
    </row>
    <row r="6739">
      <c r="A6739" t="inlineStr">
        <is>
          <t>ehcubt</t>
        </is>
      </c>
      <c r="B6739" t="inlineStr">
        <is>
          <t>Anyone else have mood swings</t>
        </is>
      </c>
      <c r="C6739" t="inlineStr">
        <is>
          <t>I'll give a TL;DR upfront for those who just want the facts - I'm a 32 yr old guy got diagnosed with breast cancer and am having mood swings. Ranging from joking about it to depression and everything in between. For those of you who are newly diagnosed with cancer how did you deal with this, it feels like someone took my sanity and just ripped out every sense of normalcy out of me. It feels like I have to face my own mortality honestly.
I'm a 32 year old guy so this is embarrassing to admit but I have breast cancer, furthermore whats more embarrassing is I have mood swings with my diagnosis. I know I might sound like a sexist asshole here that's not my intention (Supposedly guys are supposed to be seen as non emotional and logical/"Strong"/Macho...etc - to which I say is horseshit I AM HUMAN I HAVE FEELINGS!!!), but I'm trying my best to be appear "stoic" with this diagnosis.
My diagnosis was December 2nd, 2019 and surgery is set for January 9th, I am going from joking about my cancer (even going as far to say 'I'm gonna do the Walter White look after surgery', to saying "WHY ME!!!!", to flat out depressed about it (although I have not once cried about my diagnosis, I just feel nihilistic) , to even dare I say it 'scared'. My cancer is treatable its non aggressive and small, its HER2 negative, EP+ and my genetic test came back normal (I am a carrier of anemia). I literally have ZERO reason to have breast cancer as a guy.
I remember every step of my diagnosis, I remember having an inverted nipple for as long as I can remember I don't remember the exact age, but i want to say since I was a teenager (maybe I'm not sure about the age BUT definitely remember as young as 21) - and at 32 I decided "Fuck it lets find out what this thing is its been bugging me for years lets see what it is".....so I went to see my GP and he examined me around mid november - and without missing a beat after feeling the lump behind my nipple (which I always remember having) he said "I'm going to go get another doctor" as he left me in the room to get another doctor and I was alone I remember laying on my back saying out loud to myself  "I'm dead" looking at the light in the ceiling above me - to which I got referred to a breast diagnostic team.
I went to the breast diagnostic team they did the mammogram and the ultrasound first hand - to which a doctor pulled me aside in a seperate room after the 'exam' and said the lump was 'suspicious' and they found another = lump under my armpit but was not sure if it was a lymph node, my entire world fell into shambles but I tried to stay level headed.... and he wanted to do an needle biopsy - but of course couldn't fit me in for the day and had to make a future appointment. I called my parents immediately after. So the needle biopsy came a week after and even though they numbed my nipple IT HURT!!!! after the "alligator claws" clamped down on the tissue for a biopsy. It felt like a wolf had taken a bite out of me and they took a sample near my armpit as well. Through the paperwork beforehand I am told "IF cancer is found a team will lead you through the next steps would you like this option" I thankfully and reluctantly said "YES!" Thanksgiving was coming up so they told me it would be after the holidays for a diagnosis. 
I tried telling myself "You don't have cancer dude, its a 1/1000 chance". I shrugged it off, so I drank my beer on thanksgiving, I ate, and tried to keep sane. I return to work do my routine expecting a phone call....and on December 2nd its a busy day due to busy season. I'm in the middle of work and I get a call from the doctor and I am told I have Invasive ductal carcinoma, to which I said "which means....." LITERALLY THOSE WERE THE WORDS I SAID!! to which the radiologist on the phone said "Its cancer, the most common form of breast cancer, the good news is its non aggressive EP+ HER2-" I kept working through the phonecall and after I hung up I told my boss flat out "I have some news...." I turned my head avoiding eye contact "I .... have breast cancer" his response was "Wow..."(He's not emotional but he was sincere) he was speechless and asked if I spoke to HR yet and that I should to keep her in the loop which I told her seconds after, she gave me all the paperwork for FLMA and disability, she was shocked to say the least.
The next few days was seeing the surgeon which she herself after an ultrasound of my armpit said she herself couldn't verify it was a lymph node and was probably a nodule, getting genetics and the other tests done PREOP, Physical Therapy, etc. The doctor and the assistant were supportive, my parents were in the room during the entire process and the surgeon gave the old "hand on the shoulder" comfort after asking "I need to know what to put in the computer for the future surgery either a mastectomy or a lumpectomy - I said mastectomy. By that time its near Christmas - and now my surgery is set for the 9th of January. Even with the good news of the cancer being diagnosed as non aggressive, and surgery is up ahead I STILL CAN'T GET OVER THE FACT I HAVE BREAST CANCER!!!!!!
For those who were diagnosed recently out of the blue (I appreciate all input - but more specifically guys who have been diagnosed with breast cancer) HOW THE HELL DO YOU STAY POSITIVE!!! and deal with it.</t>
        </is>
      </c>
      <c r="D6739" t="n">
        <v>1</v>
      </c>
      <c r="E6739" t="n">
        <v>34</v>
      </c>
      <c r="F6739">
        <f>HYPERLINK("https://www.reddit.com/r/cancer/comments/ehcubt/anyone_else_have_mood_swings/")</f>
        <v/>
      </c>
      <c r="G6739" t="inlineStr">
        <is>
          <t>2019-12-29 14:44:19</t>
        </is>
      </c>
      <c r="H6739" t="inlineStr"/>
    </row>
    <row r="6740">
      <c r="A6740" t="inlineStr">
        <is>
          <t>ehd00j</t>
        </is>
      </c>
      <c r="B6740" t="inlineStr">
        <is>
          <t>Do you think I have something serious illness? Like lymphoma?</t>
        </is>
      </c>
      <c r="C6740" t="inlineStr">
        <is>
          <t>A month ago, CT scan report shows that I have "Numbered of borderline enlarged lymph nodes in my lower right lower quadrant." It says it is maybe be because of "mild mesenteric adenitis, otherwise the test was outstanding." My GI doctor referred me to a general surgeon to see what is causing my lymph nodes to get enlarged. I panicked and went to the surgeon right away. Surgeon then sent me to a GI surgeon who did colonoscopy, endoscopy and blood work. Everything came out normal. Also did MR Enterography and it too shows boderline enlarged lymph nodes but everything else is normal. Since the GI surgeon doesn't know what is causing it, he's referring me to an oncologist.
I have been having lower abdomen pain for about 2 years now. My personal doctor used to tell me it could be due to acidity and stuffs. I too used to ignore this symptom. Now that I know I have enlarged lymph nodes, the pain is more apparent. The pain is like burning sensation. From the scale of 1-10, the pain is like 4-5. Sometimes, I forget about the pain. But the pain is always there. It always bother me. 
About me: 
I'm 22M. Indian.
Lives in US.
Never smoked or drink. 
Barely eat fast food or drink soda.
Don't get tired. Don't have fever. 
BMI: 31. Obese. But I'm trying to lose weight by going to gym regularly. I have been consistently going there for 1 week now. Burning about 1500 calories a day. Going hard lol.</t>
        </is>
      </c>
      <c r="D6740" t="n">
        <v>1</v>
      </c>
      <c r="E6740" t="n">
        <v>0</v>
      </c>
      <c r="F6740">
        <f>HYPERLINK("https://www.reddit.com/r/cancer/comments/ehd00j/do_you_think_i_have_something_serious_illness/")</f>
        <v/>
      </c>
      <c r="G6740" t="inlineStr">
        <is>
          <t>2019-12-29 14:55:59</t>
        </is>
      </c>
      <c r="H6740" t="inlineStr"/>
    </row>
    <row r="6741">
      <c r="A6741" t="inlineStr">
        <is>
          <t>ehdgvx</t>
        </is>
      </c>
      <c r="B6741" t="inlineStr">
        <is>
          <t>Starting to come to grips with reality. Losing hope</t>
        </is>
      </c>
      <c r="C6741" t="inlineStr">
        <is>
          <t>Something like a year ago, I posted here that my mother was diagnosed with PC. It’s been a truly horrendous year and I fear it’s only the beginning of the suffering:
After chemo was unsuccessful for 2 rounds; She was able to get the whipple, and then some time after she got an ablation on her liver. She was declared NED and although that was nice to hear, I never truly accepted that as good news.
She has since been in horrible discomfort and the doctors say it is likely returning and we are down to clinical trials starting next Monday. I have always viewed clinical trials as a last Hope, desperation move, and I fear that’s where we are at. 
I feel so terribly for her and I am not proud to admit that I sometimes ponder the possibility of her passing away.  I cannot stand to see her in so much pain and discomfort. I feel we’re running out of options and time. I don’t know how much time we really have left with her. This feels like the last holiday, if I had to be honest. 
I don’t really know what to do or say anymore. This has really ruined my life and it could, and probably will get so much worse in the not too distant future. I get angry over people whining about things that are so insignificant to me, I hate the holidays, and most of all I hate cancer.</t>
        </is>
      </c>
      <c r="D6741" t="n">
        <v>1</v>
      </c>
      <c r="E6741" t="n">
        <v>8</v>
      </c>
      <c r="F6741">
        <f>HYPERLINK("https://www.reddit.com/r/cancer/comments/ehdgvx/starting_to_come_to_grips_with_reality_losing_hope/")</f>
        <v/>
      </c>
      <c r="G6741" t="inlineStr">
        <is>
          <t>2019-12-29 15:31:41</t>
        </is>
      </c>
      <c r="H6741" t="inlineStr"/>
    </row>
    <row r="6742">
      <c r="A6742" t="inlineStr">
        <is>
          <t>ehdkll</t>
        </is>
      </c>
      <c r="B6742" t="inlineStr">
        <is>
          <t>Just found out I(20f) may have skin cancer and I feel very scared and very alone.</t>
        </is>
      </c>
      <c r="C6742" t="inlineStr">
        <is>
          <t>I’ve had a mole on the back of my neck for as long as I can remember, the past few months it’s gotten really bad and starts bleeding and burns. I finally decided to go to the instacare, the doctor took one look at it and said that I need to get a biopsy done tomorrow and this is usually how skin cancer starts.
I’m so scared. No one in my life seems to be taking it seriously, everybody is telling me that I’m worrying for no reason and “you don’t have cancer, that’s not possible”. I know they’re just trying to make me feel better but being told there’s a possibility I have cancer is the scariest thing that’s ever happened to me and no one seems to care.</t>
        </is>
      </c>
      <c r="D6742" t="n">
        <v>1</v>
      </c>
      <c r="E6742" t="n">
        <v>8</v>
      </c>
      <c r="F6742">
        <f>HYPERLINK("https://www.reddit.com/r/cancer/comments/ehdkll/just_found_out_i20f_may_have_skin_cancer_and_i/")</f>
        <v/>
      </c>
      <c r="G6742" t="inlineStr">
        <is>
          <t>2019-12-29 15:39:24</t>
        </is>
      </c>
      <c r="H6742" t="inlineStr"/>
    </row>
    <row r="6743">
      <c r="A6743" t="inlineStr">
        <is>
          <t>ehdl4t</t>
        </is>
      </c>
      <c r="B6743" t="inlineStr">
        <is>
          <t>30 Everyday Activities That Can Cause Cancer</t>
        </is>
      </c>
      <c r="C6743" t="inlineStr">
        <is>
          <t xml:space="preserve"> Everyone knows that some activities and habits can increase your risk of cancer, like smoking, drinking, or overeating. However, there are many things we do every day that can also cause our risk of cancer to increase. Cancer is the second leading cause of U.S. deaths after heart disease, so knowing the risk factors and working to protect yourself just makes sense The good news is that “There’s major evidence we can reduce the rates of cancer in the population through prevention.” Susan Gapstur, MPH, Ph.D., and Senior Vice President of behavioral and epidemiology research for the American Cancer Society, believes that limiting your exposure to the following known cancer-causing foods, activities, and jobs can help significantly reduce your [risk ...](http://buykeyserial.online/30-everyday-activities-that-can-cause-cancer/)</t>
        </is>
      </c>
      <c r="D6743" t="n">
        <v>1</v>
      </c>
      <c r="E6743" t="n">
        <v>0</v>
      </c>
      <c r="F6743">
        <f>HYPERLINK("https://www.reddit.com/r/cancer/comments/ehdl4t/30_everyday_activities_that_can_cause_cancer/")</f>
        <v/>
      </c>
      <c r="G6743" t="inlineStr">
        <is>
          <t>2019-12-29 15:40:34</t>
        </is>
      </c>
      <c r="H6743" t="inlineStr"/>
    </row>
    <row r="6744">
      <c r="A6744" t="inlineStr">
        <is>
          <t>ehe7s9</t>
        </is>
      </c>
      <c r="B6744" t="inlineStr">
        <is>
          <t>Period-like cramps one year after total hysterectomy from stage 3 ovarian cancer</t>
        </is>
      </c>
      <c r="C6744" t="inlineStr">
        <is>
          <t>Title says it all really. I’ve been cancer free for a little over a year and had very extensive surgery a year and half ago. Lately I have been feeling period-like cramps as well as acute pain on my buttocks. It has only happened twice in the past two months. Looking for a little bit of reassurance that my body isn’t completely messed up and this can be a common side effect of the surgery even a year and a half later. 
Thanks reddit people and keep on fighting. Truly the side effect no one prepares you for is the mental part of it all.</t>
        </is>
      </c>
      <c r="D6744" t="n">
        <v>1</v>
      </c>
      <c r="E6744" t="n">
        <v>8</v>
      </c>
      <c r="F6744">
        <f>HYPERLINK("https://www.reddit.com/r/cancer/comments/ehe7s9/periodlike_cramps_one_year_after_total/")</f>
        <v/>
      </c>
      <c r="G6744" t="inlineStr">
        <is>
          <t>2019-12-29 16:29:23</t>
        </is>
      </c>
      <c r="H6744" t="inlineStr"/>
    </row>
    <row r="6745">
      <c r="A6745" t="inlineStr">
        <is>
          <t>ehffec</t>
        </is>
      </c>
      <c r="B6745" t="inlineStr">
        <is>
          <t>How to get organized medical care for mom?</t>
        </is>
      </c>
      <c r="C6745" t="inlineStr">
        <is>
          <t>I'm sorry to bug people who are dealing with the psychlogical and philosophical shit storms that cancer brings. But I have a mundane question regarding medical care. My mom is one week out from the ER and probable stage 4 pancreatic cancer diagnosis. Biopsies and MRI are one week and three weeks out. In the mean time we have no official diagnosis and no access to an oncologist. My mom is down from 150 lbs to 125lbs. Constant abdominal and back pain. We wrangled 30, 10 mg oxycodone from her gastro doc, but I'm worried about how long this will last. Who can manage her care in between now and official diagnosis. Primary care provider is no help and will not prescribe meds or offer any treatment. What next? I'm pulling my hair out dealing with this.</t>
        </is>
      </c>
      <c r="D6745" t="n">
        <v>1</v>
      </c>
      <c r="E6745" t="n">
        <v>2</v>
      </c>
      <c r="F6745">
        <f>HYPERLINK("https://www.reddit.com/r/cancer/comments/ehffec/how_to_get_organized_medical_care_for_mom/")</f>
        <v/>
      </c>
      <c r="G6745" t="inlineStr">
        <is>
          <t>2019-12-29 18:06:18</t>
        </is>
      </c>
      <c r="H6745" t="inlineStr"/>
    </row>
    <row r="6746">
      <c r="A6746" t="inlineStr">
        <is>
          <t>ehgn4b</t>
        </is>
      </c>
      <c r="B6746" t="inlineStr">
        <is>
          <t>My friend was recently diagnosed with leukemia</t>
        </is>
      </c>
      <c r="C6746" t="inlineStr">
        <is>
          <t>One of my closest friends, that I have known all my life, has been diagnosed with early stages of leukemia. She has already been in the hospital for unrelated causes and was getting better... and then this happens.
She starts chemotherapy on Friday and her treatment is estimated to last 2 years. I'm still in shock and so is my family. She is really scared and so are her parents. We love her so much and we would've never seen this coming and I have no idea how to comfort her.
My mind jumps to the worst possibilities and it makes me feel horrible. What are some ways I can help comfort her and cope with her diagnosis?</t>
        </is>
      </c>
      <c r="D6746" t="n">
        <v>1</v>
      </c>
      <c r="E6746" t="n">
        <v>4</v>
      </c>
      <c r="F6746">
        <f>HYPERLINK("https://www.reddit.com/r/cancer/comments/ehgn4b/my_friend_was_recently_diagnosed_with_leukemia/")</f>
        <v/>
      </c>
      <c r="G6746" t="inlineStr">
        <is>
          <t>2019-12-29 19:50:12</t>
        </is>
      </c>
      <c r="H6746" t="inlineStr"/>
    </row>
    <row r="6747">
      <c r="A6747" t="inlineStr">
        <is>
          <t>ehgukk</t>
        </is>
      </c>
      <c r="B6747" t="inlineStr">
        <is>
          <t>2nd go around</t>
        </is>
      </c>
      <c r="C6747" t="inlineStr">
        <is>
          <t>Got diagnosed with malignant melanoma for the second time in my life.  The first time was 10 years ago and on the back of my neck.  The lady who cuts my hair noticed it and probably saved my life.  Found another mole on my back a month ago and went to the doctor to get it looked at. 
While there they found 3 more. All melanoma. 
Luckily for me they were early stages but I still have 4 operations ahead. They will be doing 1 per week in January.  Please everyone get checked out.  It can be scary but could save your life. I don't have life threatening cancer yet and my heart hurts for all of you that do. Be strong.
Thanks for letting me get this off my chest.</t>
        </is>
      </c>
      <c r="D6747" t="n">
        <v>1</v>
      </c>
      <c r="E6747" t="n">
        <v>4</v>
      </c>
      <c r="F6747">
        <f>HYPERLINK("https://www.reddit.com/r/cancer/comments/ehgukk/2nd_go_around/")</f>
        <v/>
      </c>
      <c r="G6747" t="inlineStr">
        <is>
          <t>2019-12-29 20:07:49</t>
        </is>
      </c>
      <c r="H6747" t="inlineStr"/>
    </row>
    <row r="6748">
      <c r="A6748" t="inlineStr">
        <is>
          <t>ehhkdx</t>
        </is>
      </c>
      <c r="B6748" t="inlineStr">
        <is>
          <t>A very long rant: Coworker and I just got diagnosed with breast cancer at the same time. SHE. IS. STRESSING. ME. OUT.</t>
        </is>
      </c>
      <c r="C6748" t="inlineStr">
        <is>
          <t>During the whole breast cancer awareness day a bunch of us at work had mammograms. Two required follow up, and biopsies and now have a cancer diagnosis. My coworker and I. I'm 42, she's 54. She's been a smoker for ages. I was diagnosed with DCIS, which is considered stage 0, but my cancer is grade 3. She had an actual mass, is stage 2, but a lower grade.
I deal with severe anxiety in general, and this is so challenging to manage, I feel like I'm failing, to cope, my neck and shoulders just ache every day because I'm so tense, I'm so anxious all the time, it's so tied in to this. I'm trying ao hard to keep calm and not catastrophize. 
I'm pretty sure my coworker has ADHD, and she is loud....like the equivalent of a human bullhorn. And she talks all day long. So 8 hours a day she's talking about her cancer, she's yelling multiple times a day "just cut them off, is what I say, cut them off!!! Hahahaha!" "I'm leaving it to God, it's in HIS hands, I'm not taking it back" and some "If I die hahaha!!!!" endings to statements.
She refuses to listen to information, or research or read anything because she finds it overwhelming, so she calls every medical place many times a day, confers with her husband, calls them back, confers with her husband, on and on. She would rather get a masectomy so she won't have to deal with doscussing options and making decisions.  
I get on a logical level, this is how SHE copes, it's her body, her choice.....but her method of dealing is NOT my method of dealing. I like to study and analyze things, I like knowledge in general, it gives me the illusion of control if I can have a game plan for possible scenarios. 
Her continous horrible outbursts about masectomies and death, and the non-stop talking about breast cancer, means I get no break. I can try to keep my mind occupied and not escalate my fears, but I can't escape her yelling all day long and being influenced by that.
She just had her lumpectomy and she was out for two weeks, and it was so peaceful. My surgeon is talking masectomy (blerg...we'll see, pending MRI) and at least I got to process that a little bit. I think I would have lost it, over her "cut them off" catchphrase. But tomorrow she is back, it's stressful.
I logically think that everyone should be allowed to process and cope with their emotions how they need to. I feel like I don't have the right to ask her to alter her output. In the past our boss refused to put a damper on her loud talkative ways, so that's not an option. And I'm pretty sure it would make a lot of people very defensive and angry at me should I imply I wished she wouldn't talk about her cancer all the time. We can wear headphones, but I still have to be able to hear when someone calls, or asks me a question, and she's that loud.   Her behavior absolutely sets off panic attacks for me. I wish I could scream "shut up, stop talking, STOP TALKING, STOP TALKING!"
There are others in the office who have gone through breast cancer, but they are really calm and matter of fact. I've really benefited from talking to them and hearing about their experiences, it helps me settle down.
I feel sorry for our office, it's stressful to have two people go through it at the same time. I try to keep that in mind, they too need a break. 
So dreading work tomorrow.....</t>
        </is>
      </c>
      <c r="D6748" t="n">
        <v>1</v>
      </c>
      <c r="E6748" t="n">
        <v>18</v>
      </c>
      <c r="F6748">
        <f>HYPERLINK("https://www.reddit.com/r/cancer/comments/ehhkdx/a_very_long_rant_coworker_and_i_just_got/")</f>
        <v/>
      </c>
      <c r="G6748" t="inlineStr">
        <is>
          <t>2019-12-29 21:11:23</t>
        </is>
      </c>
      <c r="H6748" t="inlineStr"/>
    </row>
    <row r="6749">
      <c r="A6749" t="inlineStr">
        <is>
          <t>ehiu65</t>
        </is>
      </c>
      <c r="B6749" t="inlineStr">
        <is>
          <t>Dad 65 diagnosed with cancer just before Christmas. I am trying to help but don't feel like I am doing it right</t>
        </is>
      </c>
      <c r="C6749" t="inlineStr">
        <is>
          <t>We live in the south-west of England. My father was in and out of hospital almost all of November with problems with his bowels and bladder. After being in for about two weeks they took samples of fluid in his stomach, about a week later they told us they had found secondary cancer cells, about a week later he had an appointment with a cancer nurse who examined him and said he was riddled with cancer in at least 3 places, bowels, bladder and lymph nodes. By the time it had been discovered it was so advanced and aggressive she said there was little they could do other than paletive care. Chemo was the only thing offered but they warned us it would likely have no positive effect would wipe him out and could cause the cancer to become more aggressive. On 6th December he was told this and that he could have as little as 2 weeks to live or a few months at most.
I pleaded with him to try the chemo or get a second opinion or seek private treatment all which he refused. He is still with us and I'm so proud of how he has coped and battled on but now the last few days he is hardly eating or drinking anything, a huge tumor has grown across his neck and shoulder on one side and he is retching and throwing up every time he eats or drinks.
We have all accepted that his life is coming to an end and are trying to cope as best we can. He has occasional good days but mostly bad days just lying in bed all the time. It is heartbreaking seeing him end his days in what is like a prison and I want to do as much for him and learn as much about his life memories and family as possible but every time I try and talk to him he doesn't engage with me, he refuses to eat or drink or take his medication, is hardly sleeping, he is confused a lot and can't remember much when I question him about things. How can I bond and help him without overwhelming him or having him close himself out to me?</t>
        </is>
      </c>
      <c r="D6749" t="n">
        <v>1</v>
      </c>
      <c r="E6749" t="n">
        <v>7</v>
      </c>
      <c r="F6749">
        <f>HYPERLINK("https://www.reddit.com/r/cancer/comments/ehiu65/dad_65_diagnosed_with_cancer_just_before/")</f>
        <v/>
      </c>
      <c r="G6749" t="inlineStr">
        <is>
          <t>2019-12-29 23:17:16</t>
        </is>
      </c>
      <c r="H6749" t="inlineStr"/>
    </row>
    <row r="6750">
      <c r="A6750" t="inlineStr">
        <is>
          <t>ehj26f</t>
        </is>
      </c>
      <c r="B6750" t="inlineStr">
        <is>
          <t>Requesting advice on behalf of my Mother</t>
        </is>
      </c>
      <c r="C6750" t="inlineStr">
        <is>
          <t>My Mom's battling breast cancer. Her treatment consists of estrogen blockers, radiation therapy, and calcium pills. She's 52 ish. She couldn't do chemo due to low white blood cell count. 
Anyway, she unfortunately has radiative dermatitis and allergic reaction to the bandages from an earlier operation. She has to avoid oil based moisturizers, and water based lotions are reccomended to her. The burns are on her chest area. Any suggestions to what she could use? Your help is much appreciated.</t>
        </is>
      </c>
      <c r="D6750" t="n">
        <v>1</v>
      </c>
      <c r="E6750" t="n">
        <v>6</v>
      </c>
      <c r="F6750">
        <f>HYPERLINK("https://www.reddit.com/r/cancer/comments/ehj26f/requesting_advice_on_behalf_of_my_mother/")</f>
        <v/>
      </c>
      <c r="G6750" t="inlineStr">
        <is>
          <t>2019-12-29 23:42:04</t>
        </is>
      </c>
      <c r="H6750" t="inlineStr"/>
    </row>
    <row r="6751">
      <c r="A6751" t="inlineStr">
        <is>
          <t>ehjchu</t>
        </is>
      </c>
      <c r="B6751" t="inlineStr">
        <is>
          <t>How do I stop my mom from talking badly about my dads cancer in front of my little sister(10)?</t>
        </is>
      </c>
      <c r="C6751" t="inlineStr">
        <is>
          <t>Little back story: My dad got diagnosed with prostate cancer about one year ago. Our grandpa have had it for 30 years so it wasn’t out of the blue. Bc of another surgery he has done, my dad has to take a special medicine that stimulates growth of cancer. He has too for 5 days during a 7 weeks period go to the hospital to get it treated in February. It’s not life threatening , he could technically live with it and just eat hormones to reduce it from any spreading. Like our grandpa has for 30 years. My dad is on the other hand very freaked out about it and has been from the start even though it was a lot smaller in the begging and wasn’t likely to even grow in a 15 year period. He could basically go with it for 30 more years without it even affecting him, if it wasn’t for the medicine.
He has made the situation sound like a life or death situation. That’s understable bc he is freaked out and don’t want to join his older brother that died from lung cancer 10 years prior. On the other hand it hasn’t been great for our 10 year old little sister, she is terrified that her dad will die and she gonna have to live without him now. Our partners went though a bitter divorce when she was 1. So when we told our mom about this she basically reacted very negatively and just laughed and was like everyone has something he needs to quit being over dramatic and post everything on fb. My little sister is also starting to act like a teen and my mom is not allowing her to get away with not cleaning up after her and misbehave. Something our dad on the other hand does and forces me to clean after her. So she also feels like dad is the big hero and mom is only mean to her. My little sister already gets super mad if you mention anything negative about our dad like if I would complain that he started to scream at me cause she hasn’t taken away her glass cause apparently my responsibility to clean up after her. My little sister would tell me off and defend my dad. 
The problem with it is that when my mom say anything about my dads cancer my little sister feels even more resentment against her. Me any my big sister have tried to multiple time’s to tell my mom to not say anything and be kinder to our little sister, bc of the tuff situation she is going thought. Mom still won’t listen and keeps saying things like he needs to stop overreacting. And we can’t tell our dad to not paint it up like he is going to die. Mainly cause he can’t even understand that he has children that has too go though their dad having cancer. He at-least one a week tell us “you don’t understand how it feels you know nothing”  and mansplain medical things to me his daughter who is graduating med school this June. 
Long story short: how do we stop our mom and create and a safe environment for our little sister?</t>
        </is>
      </c>
      <c r="D6751" t="n">
        <v>1</v>
      </c>
      <c r="E6751" t="n">
        <v>7</v>
      </c>
      <c r="F6751">
        <f>HYPERLINK("https://www.reddit.com/r/cancer/comments/ehjchu/how_do_i_stop_my_mom_from_talking_badly_about_my/")</f>
        <v/>
      </c>
      <c r="G6751" t="inlineStr">
        <is>
          <t>2019-12-30 00:16:01</t>
        </is>
      </c>
      <c r="H6751" t="inlineStr"/>
    </row>
    <row r="6752">
      <c r="A6752" t="inlineStr">
        <is>
          <t>ehjp3r</t>
        </is>
      </c>
      <c r="B6752" t="inlineStr">
        <is>
          <t>Not hungry and throw up easily</t>
        </is>
      </c>
      <c r="C6752" t="inlineStr">
        <is>
          <t>I’m 60 days post transplant and i’ve been doing fine so far. I haven’t needed to be re admitted and i’ve overall had a pretty good recovery. Although, I struggle to eat. I lost 4lbs last week somehow. I typically weigh under 100 on average normally, so i’m sure it’s not the best for me to be losing weight. I take the appetite medication like marinol and it helps i guess. Food really just doesn’t sound good to me at all. I find i get full very quickly now. When i cough i immediately feel like i’m going to throw up. At first i thought it was just a lot of acid reflux or something, but i’m not sure. I’m not here for medical advice, i’m just wondering if anyone else had some of these issues</t>
        </is>
      </c>
      <c r="D6752" t="n">
        <v>1</v>
      </c>
      <c r="E6752" t="n">
        <v>13</v>
      </c>
      <c r="F6752">
        <f>HYPERLINK("https://www.reddit.com/r/cancer/comments/ehjp3r/not_hungry_and_throw_up_easily/")</f>
        <v/>
      </c>
      <c r="G6752" t="inlineStr">
        <is>
          <t>2019-12-30 00:57:38</t>
        </is>
      </c>
      <c r="H6752" t="inlineStr"/>
    </row>
    <row r="6753">
      <c r="A6753" t="inlineStr">
        <is>
          <t>ehlk02</t>
        </is>
      </c>
      <c r="B6753" t="inlineStr">
        <is>
          <t>Feeding Tube (PEG)</t>
        </is>
      </c>
      <c r="C6753" t="inlineStr">
        <is>
          <t>My mother is getting a feeding tube placed today. It’s been 2 weeks of barely any food or liquids. She has small cell lung cancer that has metastasized to her brain. She’s completed 10 rounds of whole brain radiation with thankfully has shrank the brain tumor but while taking the break from chemo during WBR, the mass in her chest grew and is pressing on her esophagus. I’d  love to hear more about PEG tube success stories and just some love and support . Thank you❤️</t>
        </is>
      </c>
      <c r="D6753" t="n">
        <v>1</v>
      </c>
      <c r="E6753" t="n">
        <v>6</v>
      </c>
      <c r="F6753">
        <f>HYPERLINK("https://www.reddit.com/r/cancer/comments/ehlk02/feeding_tube_peg/")</f>
        <v/>
      </c>
      <c r="G6753" t="inlineStr">
        <is>
          <t>2019-12-30 04:36:33</t>
        </is>
      </c>
      <c r="H6753" t="inlineStr"/>
    </row>
    <row r="6754">
      <c r="A6754" t="inlineStr">
        <is>
          <t>ehogz2</t>
        </is>
      </c>
      <c r="B6754" t="inlineStr">
        <is>
          <t>Trouble finding good veins for mom's chemotherapy</t>
        </is>
      </c>
      <c r="C6754" t="inlineStr">
        <is>
          <t>Hey everyone. First I want to wish you guys happy holidays!
I wanted to ask here if any of you guys have experienced something similar to my mom and to ask how you dealt with it.
So in November my mom began treatment for stage III breast cancer, the first round of chemo was incomplete so they had to give it separately, and when they gave the second part of that 1st cycle they had trouble finding a proper vein, they even "exploded" (that probably isn't the correct english word) one of her veins trying to get the needle inside. 
She went through a second round of chemo and it was worse in the sense that they couldn't find a proper vein, they popped 4 veins before finding the proper one. So she was scheduled to see an angiologist to put a porta-cath or something like that because she'll have to have chemo for at least a year. So, because we don't know when she'll be scheduled for surgery she'll have to have chemo normally and I'm deathly afraid that they'll have trouble finding a proper vein again for the third cycle in 3 days. I mean, it's barely the third cycle out of 23 and it seems like they are already running out of veins and it makes me anxious. 
Thank you for reading guys</t>
        </is>
      </c>
      <c r="D6754" t="n">
        <v>1</v>
      </c>
      <c r="E6754" t="n">
        <v>27</v>
      </c>
      <c r="F6754">
        <f>HYPERLINK("https://www.reddit.com/r/cancer/comments/ehogz2/trouble_finding_good_veins_for_moms_chemotherapy/")</f>
        <v/>
      </c>
      <c r="G6754" t="inlineStr">
        <is>
          <t>2019-12-30 08:50:07</t>
        </is>
      </c>
      <c r="H6754" t="inlineStr"/>
    </row>
    <row r="6755">
      <c r="A6755" t="inlineStr">
        <is>
          <t>ehot4a</t>
        </is>
      </c>
      <c r="B6755" t="inlineStr">
        <is>
          <t>Some good news?</t>
        </is>
      </c>
      <c r="C6755" t="inlineStr">
        <is>
          <t>Mum is finally coming home today just in time for New Years thank god, it’s 3 am here and I’m tired as hell but I haven’t slept, my sleep schedule is really messed up at the moment mainly just for the fact I have nightmares about my mum dying when I sleep and I’m really starting to struggle, a lot of people have been teasing me about my mums journey some people have gone as far as to ask me if she’s dropped dead yet so they would stop seeing my sob stories (not people from this subreddit) I’m just so stuck on why people would be this negative in a world already full of hate, the past week and a half has been so hard because people have just been so cruel to me (asking me about funeral plans etc) we’re not even at the stage yet and just hearing about it makes me vomit and I cannot imagine having to actually do it after she eventually passes, I’m deeply sorry for this being everywhere I’m just so tired and heartbroken and lost at this point, I know I should be happy that she’s coming home but at the same time I am so scared for our future, once again thank you all for reading our journey your words of encouragement and hope brings so much comfort not only to me but my mum, I’ve showed her what you guys have said and she’s so grateful and appreciates every little message and comment y’all leave us.</t>
        </is>
      </c>
      <c r="D6755" t="n">
        <v>1</v>
      </c>
      <c r="E6755" t="n">
        <v>2</v>
      </c>
      <c r="F6755">
        <f>HYPERLINK("https://www.reddit.com/r/cancer/comments/ehot4a/some_good_news/")</f>
        <v/>
      </c>
      <c r="G6755" t="inlineStr">
        <is>
          <t>2019-12-30 09:13:55</t>
        </is>
      </c>
      <c r="H6755" t="inlineStr"/>
    </row>
    <row r="6756">
      <c r="A6756" t="inlineStr">
        <is>
          <t>ehozzu</t>
        </is>
      </c>
      <c r="B6756" t="inlineStr">
        <is>
          <t>Can you tell</t>
        </is>
      </c>
      <c r="C6756" t="inlineStr">
        <is>
          <t>When you have a recurrence, does your gut just know?</t>
        </is>
      </c>
      <c r="D6756" t="n">
        <v>1</v>
      </c>
      <c r="E6756" t="n">
        <v>7</v>
      </c>
      <c r="F6756">
        <f>HYPERLINK("https://www.reddit.com/r/cancer/comments/ehozzu/can_you_tell/")</f>
        <v/>
      </c>
      <c r="G6756" t="inlineStr">
        <is>
          <t>2019-12-30 09:27:28</t>
        </is>
      </c>
      <c r="H6756" t="inlineStr"/>
    </row>
    <row r="6757">
      <c r="A6757" t="inlineStr">
        <is>
          <t>ehqunx</t>
        </is>
      </c>
      <c r="B6757" t="inlineStr">
        <is>
          <t>Diagnosed with HER2+ breast cancer... Any advice?</t>
        </is>
      </c>
      <c r="C6757" t="inlineStr">
        <is>
          <t>And I found out on Christmas Eve of all days. Anyway, I'm wondering if anyone has any advice on ways to keep calm during this "waiting period" between tests and biopsies and scans, and eventually chemo / meds, and how to best prepare myself mentally and physically for this ordeal.
The plan is to start treatment at the end of January.</t>
        </is>
      </c>
      <c r="D6757" t="n">
        <v>1</v>
      </c>
      <c r="E6757" t="n">
        <v>8</v>
      </c>
      <c r="F6757">
        <f>HYPERLINK("https://www.reddit.com/r/cancer/comments/ehqunx/diagnosed_with_her2_breast_cancer_any_advice/")</f>
        <v/>
      </c>
      <c r="G6757" t="inlineStr">
        <is>
          <t>2019-12-30 11:37:04</t>
        </is>
      </c>
      <c r="H6757" t="inlineStr"/>
    </row>
    <row r="6758">
      <c r="A6758" t="inlineStr">
        <is>
          <t>ehqyhq</t>
        </is>
      </c>
      <c r="B6758" t="inlineStr">
        <is>
          <t>I dont know what to do</t>
        </is>
      </c>
      <c r="C6758" t="inlineStr">
        <is>
          <t>My mum's chemotheraphy will start tomarrow dad did not want to tell me yet but i overheard him talking on the phone and i am devastated.But i know i have to stand strong and look happy when i see my mum but i am afraid that i will cry.Anyone has any idea on how to deal with that?</t>
        </is>
      </c>
      <c r="D6758" t="n">
        <v>1</v>
      </c>
      <c r="E6758" t="n">
        <v>0</v>
      </c>
      <c r="F6758">
        <f>HYPERLINK("https://www.reddit.com/r/cancer/comments/ehqyhq/i_dont_know_what_to_do/")</f>
        <v/>
      </c>
      <c r="G6758" t="inlineStr">
        <is>
          <t>2019-12-30 11:44:12</t>
        </is>
      </c>
      <c r="H6758" t="inlineStr"/>
    </row>
    <row r="6759">
      <c r="A6759" t="inlineStr">
        <is>
          <t>ehrumo</t>
        </is>
      </c>
      <c r="B6759" t="inlineStr">
        <is>
          <t>Insane hemorrhoids (piles) flare up post every cycle of chemo?</t>
        </is>
      </c>
      <c r="C6759" t="inlineStr">
        <is>
          <t>TMI and gross I know but i'm on a cycle of VAC IE and post every cycle of chemo I seem to have an insane hemorrhoids flare up. 
Going to the loo every day is an absolute struggle and I feel like crying each time I've to poop :( anyone else faced this? If so, any tips to alleviate the pain?</t>
        </is>
      </c>
      <c r="D6759" t="n">
        <v>1</v>
      </c>
      <c r="E6759" t="n">
        <v>8</v>
      </c>
      <c r="F6759">
        <f>HYPERLINK("https://www.reddit.com/r/cancer/comments/ehrumo/insane_hemorrhoids_piles_flare_up_post_every/")</f>
        <v/>
      </c>
      <c r="G6759" t="inlineStr">
        <is>
          <t>2019-12-30 12:46:04</t>
        </is>
      </c>
      <c r="H6759" t="inlineStr"/>
    </row>
    <row r="6760">
      <c r="A6760" t="inlineStr">
        <is>
          <t>ehsjb8</t>
        </is>
      </c>
      <c r="B6760" t="inlineStr">
        <is>
          <t>Life and your career after cancer</t>
        </is>
      </c>
      <c r="C6760" t="inlineStr">
        <is>
          <t>Has anyone here changed careers after cancer? 
I was already experiencing huge burnout in my field and regularly depressed and unhappy going into work and after going through cancer it kind of made me reevaluate things. Being faced w/ my own mortality made me realize I didn't want to spend the rest of my days so miserable. 
I'm debating maybe going into the medical field and helping other cancer patients in some way. I feel like I need to do something more meaningful with a new lease on life. 
&amp;amp;#x200B;
Has anyone else had trouble going back to work like nothing happened and/or just feeling like they needed to change things drastically?</t>
        </is>
      </c>
      <c r="D6760" t="n">
        <v>1</v>
      </c>
      <c r="E6760" t="n">
        <v>13</v>
      </c>
      <c r="F6760">
        <f>HYPERLINK("https://www.reddit.com/r/cancer/comments/ehsjb8/life_and_your_career_after_cancer/")</f>
        <v/>
      </c>
      <c r="G6760" t="inlineStr">
        <is>
          <t>2019-12-30 13:34:32</t>
        </is>
      </c>
      <c r="H6760" t="inlineStr"/>
    </row>
    <row r="6761">
      <c r="A6761" t="inlineStr">
        <is>
          <t>ehsqv8</t>
        </is>
      </c>
      <c r="B6761" t="inlineStr">
        <is>
          <t>My mom lost her fight yesterday</t>
        </is>
      </c>
      <c r="C6761" t="inlineStr">
        <is>
          <t>After less than year, my mom's short and grueling battle with cancer has come to an end. She was diagnosed with laryngeal cancer in April and had a total laryngectomy in May. Then she did 6 weeks of chemo and radiation which resulted in clear scans as of September. Her PET scan done the week of Thanksgiving showed evidence of metastatic cancer nodules in her lungs. She was still waiting on the answer if she could be an immunotherapy candidate (she was too weak for chemo, radiation, and surgery) and declined before she had an answer. We found her barely able to breathe last Sunday and she was admitted to the hospital. On Christmas day she decided to go onto hospice. She was with us for a few more days (even though she wasn't really conscious) before she passed peacefully in the early hours of yesterday morning. We spent almost every minute with her, for which I am grateful. 
I'm still processing this. It makes me relieved that she's no longer suffering, but I also feel so many other emotions. She was on this Earth for 58 years and thankfully only this sick for several months.  While this situation sucks, she fought hard. 
She was a compassionate person, a dog lover, a TV aficionado (especially crime shows like ncis), an enjoyer of all foods (except cauliflower), and the best mother I could have asked for. Her sense of humor could always have the most serious of people laughing. She was a Philadelphia Eagles fan her entire life and I am 100% certain she had something to do with that crazy win last night. 
I will always love you, mom. 
Thank you to this sub for all of the support over the last months. I didn't post too frequently, but I was constantly on here reading the posts. I wish you all peace no matter how this disease is impacting your life.</t>
        </is>
      </c>
      <c r="D6761" t="n">
        <v>1</v>
      </c>
      <c r="E6761" t="n">
        <v>56</v>
      </c>
      <c r="F6761">
        <f>HYPERLINK("https://www.reddit.com/r/cancer/comments/ehsqv8/my_mom_lost_her_fight_yesterday/")</f>
        <v/>
      </c>
      <c r="G6761" t="inlineStr">
        <is>
          <t>2019-12-30 13:49:47</t>
        </is>
      </c>
      <c r="H6761" t="inlineStr"/>
    </row>
    <row r="6762">
      <c r="A6762" t="inlineStr">
        <is>
          <t>ehwa9t</t>
        </is>
      </c>
      <c r="B6762" t="inlineStr">
        <is>
          <t>What are the odds?</t>
        </is>
      </c>
      <c r="C6762" t="inlineStr">
        <is>
          <t>A good friend of mine (M 21) has stage 4 bladder cancer what are the odds of survival with his age as a factor ik stage 4 is bad but someone please give me good news</t>
        </is>
      </c>
      <c r="D6762" t="n">
        <v>1</v>
      </c>
      <c r="E6762" t="n">
        <v>0</v>
      </c>
      <c r="F6762">
        <f>HYPERLINK("https://www.reddit.com/r/cancer/comments/ehwa9t/what_are_the_odds/")</f>
        <v/>
      </c>
      <c r="G6762" t="inlineStr">
        <is>
          <t>2019-12-30 18:19:51</t>
        </is>
      </c>
      <c r="H6762" t="inlineStr"/>
    </row>
    <row r="6763">
      <c r="A6763" t="inlineStr">
        <is>
          <t>ehxccx</t>
        </is>
      </c>
      <c r="B6763" t="inlineStr">
        <is>
          <t>Afraid of getting a second diagnosis.....</t>
        </is>
      </c>
      <c r="C6763" t="inlineStr">
        <is>
          <t>My mom was diagnosed with cervical cancer around May/June and is now currently running tests again because they have found a lump/ball that is some cms thick. I need reassurance as to what this could mean, and how I can be a supportive person to my mom? I feel sometimes I act selfishly and forget I must 100% listen to her rather than give feedback. Please give me some tips</t>
        </is>
      </c>
      <c r="D6763" t="n">
        <v>1</v>
      </c>
      <c r="E6763" t="n">
        <v>1</v>
      </c>
      <c r="F6763">
        <f>HYPERLINK("https://www.reddit.com/r/cancer/comments/ehxccx/afraid_of_getting_a_second_diagnosis/")</f>
        <v/>
      </c>
      <c r="G6763" t="inlineStr">
        <is>
          <t>2019-12-30 19:47:13</t>
        </is>
      </c>
      <c r="H6763" t="inlineStr"/>
    </row>
    <row r="6764">
      <c r="A6764" t="inlineStr">
        <is>
          <t>ehxoe7</t>
        </is>
      </c>
      <c r="B6764" t="inlineStr">
        <is>
          <t>My whole family has had cancer!Cancer fucking sucks!!!! This is a rant. Simply venting and asking for prayer.</t>
        </is>
      </c>
      <c r="C6764" t="inlineStr">
        <is>
          <t>My maternal grandfather and the majority of his siblings all died of cancer. Mom diagnosed stage 4 ovarian in 2000. Survived it but never healthy again after 3 yrs of chemo. I was diagnosed stage 3 ovarian in 2014. Dad diagnosed late stage inoperable lung in 2014. So Dad and I had cancer at the same time. He passed June 2015. Mom had many health issues after her cancer and passed of congestive heart failure just seven weeks after my Dad in Aug 2015. I went into remission in 2015 but it came back in 2017 with a slow growing tumor on colon. I tried more chemo but got sick and tired of being sick and tired so I chose to stop all treatment. And I’ve been doing really well despite that I have less than two years left to live. Then my Aunt / Moms sister diagnosed breast cancer this year. Thank God she’s been doing well with her surgery and chemo. So yeah, my Aunt and I have cancer at the same time. Then today...my brother was told he has cancer in pancreas, liver and possibly lungs. Still having tests run so no real details to report at this time. But still...fuck! Me, my brother and our Aunt all have cancer at the same time! My brain is overloaded and my emotions are all random! I’m traveling tomorrow to spend a few days with my brother and hopefully get more details. He’s a fantastic father and grandfather and my nieces are completely falling apart. One may very well be having a nervous breakdown. For myself, my only goal has been to get to Scotland for that trip of a lifetime before I pass away. And I’m gonna work my ass off and sell everything I own to make it happen! But my heart is in a million pieces for my brother, his grandkids, my nieces and sister in law. For all those who pray to our Almighty God, please, please add the Beall and Carr families to your prayers. Thanks for listening 🙏❤️🙏❤️</t>
        </is>
      </c>
      <c r="D6764" t="n">
        <v>1</v>
      </c>
      <c r="E6764" t="n">
        <v>8</v>
      </c>
      <c r="F6764">
        <f>HYPERLINK("https://www.reddit.com/r/cancer/comments/ehxoe7/my_whole_family_has_had_cancercancer_fucking/")</f>
        <v/>
      </c>
      <c r="G6764" t="inlineStr">
        <is>
          <t>2019-12-30 20:15:46</t>
        </is>
      </c>
      <c r="H6764" t="inlineStr"/>
    </row>
    <row r="6765">
      <c r="A6765" t="inlineStr">
        <is>
          <t>ehxuu0</t>
        </is>
      </c>
      <c r="B6765" t="inlineStr">
        <is>
          <t>Does anyone know where I can donate some wigs? Or give them to anyone in need</t>
        </is>
      </c>
      <c r="C6765" t="inlineStr">
        <is>
          <t>My hair has grown back to a length I am comfortably with
But as such I have around 6 amazing wigs just sitting at home
Most have never been worn/worn once all in amazing condition
Some are worth over 2k each (freedom couture wigs etc) 
Blonde brunette etc etc 
I’d really love to donate them or pass them on to anyone who needs them free shipping 
Thanks!</t>
        </is>
      </c>
      <c r="D6765" t="n">
        <v>1</v>
      </c>
      <c r="E6765" t="n">
        <v>3</v>
      </c>
      <c r="F6765">
        <f>HYPERLINK("https://www.reddit.com/r/cancer/comments/ehxuu0/does_anyone_know_where_i_can_donate_some_wigs_or/")</f>
        <v/>
      </c>
      <c r="G6765" t="inlineStr">
        <is>
          <t>2019-12-30 20:31:28</t>
        </is>
      </c>
      <c r="H6765" t="inlineStr"/>
    </row>
    <row r="6766">
      <c r="A6766" t="inlineStr">
        <is>
          <t>ehyw39</t>
        </is>
      </c>
      <c r="B6766" t="inlineStr">
        <is>
          <t>Social media posts about cancer</t>
        </is>
      </c>
      <c r="C6766" t="inlineStr">
        <is>
          <t>Hi all. There's a very good chance I have cancer. My biopsy is next week. There are few other things that it could be. I'd rather not discuss my symptoms or any of that part of it.
I wanted to ask: how do you let people know you've been diagnosed? I don't necessarily want to post to social media about it, but I feel like I would want to just get it out of the way in one swoop so that everyone heard it "from me", and then I don't have to have so many individual rehashings of the same info. It's already been stressful doing that with a small group about all the hospital visits and tests recently.
I'm trying to think about some of these things beforehand, just to not give myself more to think about post surgery/diagnosis.</t>
        </is>
      </c>
      <c r="D6766" t="n">
        <v>1</v>
      </c>
      <c r="E6766" t="n">
        <v>9</v>
      </c>
      <c r="F6766">
        <f>HYPERLINK("https://www.reddit.com/r/cancer/comments/ehyw39/social_media_posts_about_cancer/")</f>
        <v/>
      </c>
      <c r="G6766" t="inlineStr">
        <is>
          <t>2019-12-30 22:06:51</t>
        </is>
      </c>
      <c r="H6766" t="inlineStr"/>
    </row>
    <row r="6767">
      <c r="A6767" t="inlineStr">
        <is>
          <t>ei047r</t>
        </is>
      </c>
      <c r="B6767" t="inlineStr">
        <is>
          <t>My SO has a brain tumor and it wasn’t until now that I really read though all the online available information and realized how grave his condition was</t>
        </is>
      </c>
      <c r="C6767" t="inlineStr">
        <is>
          <t>He’s 23. He has high grade glioma, and just reading through all the online information about the life expectancy and incurability of his brain tumor made me realize why his doctor didn’t make him search the internet for information on it. It makes me incredibly sad and almost hopeless to have to read through it.
He’s just too young and the idea of possibly losing him to this illness is just so painful. How do you guys cope?</t>
        </is>
      </c>
      <c r="D6767" t="n">
        <v>1</v>
      </c>
      <c r="E6767" t="n">
        <v>10</v>
      </c>
      <c r="F6767">
        <f>HYPERLINK("https://www.reddit.com/r/cancer/comments/ei047r/my_so_has_a_brain_tumor_and_it_wasnt_until_now/")</f>
        <v/>
      </c>
      <c r="G6767" t="inlineStr">
        <is>
          <t>2019-12-31 00:17:29</t>
        </is>
      </c>
      <c r="H6767" t="inlineStr"/>
    </row>
    <row r="6768">
      <c r="A6768" t="inlineStr">
        <is>
          <t>ei0grm</t>
        </is>
      </c>
      <c r="B6768" t="inlineStr">
        <is>
          <t>What else can I do?</t>
        </is>
      </c>
      <c r="C6768" t="inlineStr">
        <is>
          <t>My mum condition has worsen, she can’t even walk now and spending most of her time sleeping. Doctor say she only have weeks left. 
She keep asking us when will she recover? 
We do not want to get her into depression, telling lies that she will be alright.
Is there any miracles that happen to anyone before? I wish I can endure all those pain for her.</t>
        </is>
      </c>
      <c r="D6768" t="n">
        <v>1</v>
      </c>
      <c r="E6768" t="n">
        <v>3</v>
      </c>
      <c r="F6768">
        <f>HYPERLINK("https://www.reddit.com/r/cancer/comments/ei0grm/what_else_can_i_do/")</f>
        <v/>
      </c>
      <c r="G6768" t="inlineStr">
        <is>
          <t>2019-12-31 01:00:58</t>
        </is>
      </c>
      <c r="H6768" t="inlineStr"/>
    </row>
    <row r="6769">
      <c r="A6769" t="inlineStr">
        <is>
          <t>ei1u68</t>
        </is>
      </c>
      <c r="B6769" t="inlineStr">
        <is>
          <t>Despite the name of the sub and its followers...</t>
        </is>
      </c>
      <c r="C6769" t="inlineStr">
        <is>
          <t>This is one of the least cancerous subs</t>
        </is>
      </c>
      <c r="D6769" t="n">
        <v>1</v>
      </c>
      <c r="E6769" t="n">
        <v>6</v>
      </c>
      <c r="F6769">
        <f>HYPERLINK("https://www.reddit.com/r/cancer/comments/ei1u68/despite_the_name_of_the_sub_and_its_followers/")</f>
        <v/>
      </c>
      <c r="G6769" t="inlineStr">
        <is>
          <t>2019-12-31 03:40:20</t>
        </is>
      </c>
      <c r="H6769" t="inlineStr"/>
    </row>
    <row r="6770">
      <c r="A6770" t="inlineStr">
        <is>
          <t>ei4m20</t>
        </is>
      </c>
      <c r="B6770" t="inlineStr">
        <is>
          <t>2019/2020</t>
        </is>
      </c>
      <c r="C6770" t="inlineStr">
        <is>
          <t>I’m getting annoyed seeing my social media feed with the typical summary of 2019 and how great 2020 is going to be bullshit. 2019 sucked for my family and I can’t see 2020 getting much better. It’s depressing. End rant.
Although I do hope 2020 will be much better for you all. 💓</t>
        </is>
      </c>
      <c r="D6770" t="n">
        <v>1</v>
      </c>
      <c r="E6770" t="n">
        <v>18</v>
      </c>
      <c r="F6770">
        <f>HYPERLINK("https://www.reddit.com/r/cancer/comments/ei4m20/20192020/")</f>
        <v/>
      </c>
      <c r="G6770" t="inlineStr">
        <is>
          <t>2019-12-31 07:56:54</t>
        </is>
      </c>
      <c r="H6770" t="inlineStr"/>
    </row>
    <row r="6771">
      <c r="A6771" t="inlineStr">
        <is>
          <t>ei4vex</t>
        </is>
      </c>
      <c r="B6771" t="inlineStr">
        <is>
          <t>Her2 negatif</t>
        </is>
      </c>
      <c r="C6771" t="inlineStr">
        <is>
          <t>Who has experience this kind of breast cancer and want to share her story ? 
And can tell me more about it.</t>
        </is>
      </c>
      <c r="D6771" t="n">
        <v>1</v>
      </c>
      <c r="E6771" t="n">
        <v>1</v>
      </c>
      <c r="F6771">
        <f>HYPERLINK("https://www.reddit.com/r/cancer/comments/ei4vex/her2_negatif/")</f>
        <v/>
      </c>
      <c r="G6771" t="inlineStr">
        <is>
          <t>2019-12-31 08:15:41</t>
        </is>
      </c>
      <c r="H6771" t="inlineStr"/>
    </row>
    <row r="6772">
      <c r="A6772" t="inlineStr">
        <is>
          <t>ei6295</t>
        </is>
      </c>
      <c r="B6772" t="inlineStr">
        <is>
          <t>My dad was just diagnosed with stage IV lung cancer and is over medicating. Not sure what to do</t>
        </is>
      </c>
      <c r="C6772" t="inlineStr">
        <is>
          <t>My dad was diagnosed last week with stage IV lung cancer. They had to drain fluid from his lungs and do a pericardial window. He left the hospital with pain meds which he began to abuse right away. I can't imagine what he's going through right now and it's only human to want relief but I'm extremely concerned. I'm worried he'll try to drive like that or fall and hit his head. He's sending me and my siblings text messages that make no sense. He couldn't even write a grocery list. 
It's just me and my siblings taking care of him. Every day has been just so overwhelming. 
Any advice on how to approach this? I know he's in physical and emotional pain. I just want to help.</t>
        </is>
      </c>
      <c r="D6772" t="n">
        <v>1</v>
      </c>
      <c r="E6772" t="n">
        <v>10</v>
      </c>
      <c r="F6772">
        <f>HYPERLINK("https://www.reddit.com/r/cancer/comments/ei6295/my_dad_was_just_diagnosed_with_stage_iv_lung/")</f>
        <v/>
      </c>
      <c r="G6772" t="inlineStr">
        <is>
          <t>2019-12-31 09:40:43</t>
        </is>
      </c>
      <c r="H6772" t="inlineStr"/>
    </row>
    <row r="6773">
      <c r="A6773" t="inlineStr">
        <is>
          <t>ei6qcl</t>
        </is>
      </c>
      <c r="B6773" t="inlineStr">
        <is>
          <t>Mum is on immunotherapy for lung cancer and melanoma, has trouble eating. Any tips?</t>
        </is>
      </c>
      <c r="C6773" t="inlineStr">
        <is>
          <t>So my mum is on immunotherapy for lung &amp;amp; melanoma. For the last few months, she has not been eating well, taking very little portions. She mostly just lives on nutrition drinks like complan &amp;amp; Slimfast. It got worse a few weeks ago when she started coughing up blood regularly. It's not like she physically cannot eat, its more like she just gets put off by the idea &amp;amp; urges. She is not losing much weight either. She never really was much of a big eater, due to having her gall bladder taken out many years ago.   
Anyone got any tips on how to get her to eat? I think it may be psychological, like, the stress of dealing with two cancers, being put on immunotherapy etc. This week she is rather stressed due to the results of an upcoming CT scan, and my brother is about to have his first kid within the next few days, so its hectic. I will see if I can get her to talk to the dietitian again soon, though my mum thinks she will do little more then say 'eat more'.</t>
        </is>
      </c>
      <c r="D6773" t="n">
        <v>1</v>
      </c>
      <c r="E6773" t="n">
        <v>4</v>
      </c>
      <c r="F6773">
        <f>HYPERLINK("https://www.reddit.com/r/cancer/comments/ei6qcl/mum_is_on_immunotherapy_for_lung_cancer_and/")</f>
        <v/>
      </c>
      <c r="G6773" t="inlineStr">
        <is>
          <t>2019-12-31 10:28:42</t>
        </is>
      </c>
      <c r="H6773" t="inlineStr"/>
    </row>
    <row r="6774">
      <c r="A6774" t="inlineStr">
        <is>
          <t>ei6ubt</t>
        </is>
      </c>
      <c r="B6774" t="inlineStr">
        <is>
          <t>Anyone else spending new year in bed?</t>
        </is>
      </c>
      <c r="C6774" t="inlineStr">
        <is>
          <t>I'm neasuas, feeling warm and tired, so I'm currently in bed, I'll probably stay here today, it really sucks</t>
        </is>
      </c>
      <c r="D6774" t="n">
        <v>1</v>
      </c>
      <c r="E6774" t="n">
        <v>0</v>
      </c>
      <c r="F6774">
        <f>HYPERLINK("https://www.reddit.com/r/cancer/comments/ei6ubt/anyone_else_spending_new_year_in_bed/")</f>
        <v/>
      </c>
      <c r="G6774" t="inlineStr">
        <is>
          <t>2019-12-31 10:36:32</t>
        </is>
      </c>
      <c r="H6774" t="inlineStr"/>
    </row>
    <row r="6775">
      <c r="A6775" t="inlineStr">
        <is>
          <t>ei6ubw</t>
        </is>
      </c>
      <c r="B6775" t="inlineStr">
        <is>
          <t>Anyone else spending new year in bed?</t>
        </is>
      </c>
      <c r="C6775" t="inlineStr">
        <is>
          <t>I'm neasuas, feeling warm and tired, so I'm currently in bed, I'll probably stay here today, it really sucks</t>
        </is>
      </c>
      <c r="D6775" t="n">
        <v>1</v>
      </c>
      <c r="E6775" t="n">
        <v>35</v>
      </c>
      <c r="F6775">
        <f>HYPERLINK("https://www.reddit.com/r/cancer/comments/ei6ubw/anyone_else_spending_new_year_in_bed/")</f>
        <v/>
      </c>
      <c r="G6775" t="inlineStr">
        <is>
          <t>2019-12-31 10:36:32</t>
        </is>
      </c>
      <c r="H6775" t="inlineStr"/>
    </row>
    <row r="6776">
      <c r="A6776" t="inlineStr">
        <is>
          <t>ei6vtf</t>
        </is>
      </c>
      <c r="B6776" t="inlineStr">
        <is>
          <t>A good cause</t>
        </is>
      </c>
      <c r="C6776" t="inlineStr">
        <is>
          <t>Hi all! Amongst the current climate of us all coming together and seeing what the world can do as a collective (20 million trees), i thought I'd share this app called DreamLab. It uses your phone when it is on charge to do mathmatical problems to help find a cure for cancer. Free for all, good for all.
 DreamLab has been created by the vodafon foundation and worked alongside cancer research uk and imperial college london, aswell as other organisations around the world, such as the garvan institute and AIRC.</t>
        </is>
      </c>
      <c r="D6776" t="n">
        <v>1</v>
      </c>
      <c r="E6776" t="n">
        <v>2</v>
      </c>
      <c r="F6776">
        <f>HYPERLINK("https://www.reddit.com/r/cancer/comments/ei6vtf/a_good_cause/")</f>
        <v/>
      </c>
      <c r="G6776" t="inlineStr">
        <is>
          <t>2019-12-31 10:39:35</t>
        </is>
      </c>
      <c r="H6776" t="inlineStr"/>
    </row>
    <row r="6777">
      <c r="A6777" t="inlineStr">
        <is>
          <t>ei7hpi</t>
        </is>
      </c>
      <c r="B6777" t="inlineStr">
        <is>
          <t>Cancer treatment ages you</t>
        </is>
      </c>
      <c r="C6777" t="inlineStr">
        <is>
          <t>I know people would rather age prematurely than die prematurely.. Well most would anyway.
I was looking through pics with all the “10 year” meme going around on fb. And boy have I aged just by looking back 2 yrs.
I’ve always been someone who looked young for my age and not bad looking.
My skin looks dry and I’m now considering shaving all my hair since my receding hair line has greatly accelerated since treatment.
I also have bags under my eyes. Skin become thin due to steroids after a reaction to treatment.,
I know this sounds probably all vain and superficial, but I’m kind of pissed off that I’ve been robbed of my youthful looks.
Anyone else experienced same.</t>
        </is>
      </c>
      <c r="D6777" t="n">
        <v>1</v>
      </c>
      <c r="E6777" t="n">
        <v>35</v>
      </c>
      <c r="F6777">
        <f>HYPERLINK("https://www.reddit.com/r/cancer/comments/ei7hpi/cancer_treatment_ages_you/")</f>
        <v/>
      </c>
      <c r="G6777" t="inlineStr">
        <is>
          <t>2019-12-31 11:22:56</t>
        </is>
      </c>
      <c r="H6777" t="inlineStr"/>
    </row>
    <row r="6778">
      <c r="A6778" t="inlineStr">
        <is>
          <t>ei8xmk</t>
        </is>
      </c>
      <c r="B6778" t="inlineStr">
        <is>
          <t>Needed help with some scans</t>
        </is>
      </c>
      <c r="C6778" t="inlineStr">
        <is>
          <t>Hey guys!! Happy new year to this strong community!
I was hoping someone here can help me with some MRIs and can help me understand it better.
Thank you!!</t>
        </is>
      </c>
      <c r="D6778" t="n">
        <v>1</v>
      </c>
      <c r="E6778" t="n">
        <v>0</v>
      </c>
      <c r="F6778">
        <f>HYPERLINK("https://www.reddit.com/r/cancer/comments/ei8xmk/needed_help_with_some_scans/")</f>
        <v/>
      </c>
      <c r="G6778" t="inlineStr">
        <is>
          <t>2019-12-31 13:13:28</t>
        </is>
      </c>
      <c r="H6778" t="inlineStr"/>
    </row>
    <row r="6779">
      <c r="A6779" t="inlineStr">
        <is>
          <t>ei9d4r</t>
        </is>
      </c>
      <c r="B6779" t="inlineStr">
        <is>
          <t>Anyone got any good magnesium smoothies recipes? I'm about Day +50 out from my BMT and need more mag supplements to keep from going to the hospital 4 days a week.</t>
        </is>
      </c>
      <c r="C6779" t="inlineStr">
        <is>
          <t>I tried a oat+banana+PB smoothie this am, and it was filling and good, but was wondering if anyone else had any good mag boosting smoothie recipes (or recipes in general) to help keep up my mag. Also eating lots of egg whites (I'm a breakfast person). Thanks in advance!</t>
        </is>
      </c>
      <c r="D6779" t="n">
        <v>1</v>
      </c>
      <c r="E6779" t="n">
        <v>6</v>
      </c>
      <c r="F6779">
        <f>HYPERLINK("https://www.reddit.com/r/cancer/comments/ei9d4r/anyone_got_any_good_magnesium_smoothies_recipes/")</f>
        <v/>
      </c>
      <c r="G6779" t="inlineStr">
        <is>
          <t>2019-12-31 13:48:04</t>
        </is>
      </c>
      <c r="H6779" t="inlineStr"/>
    </row>
    <row r="6780">
      <c r="A6780" t="inlineStr">
        <is>
          <t>ei9fey</t>
        </is>
      </c>
      <c r="B6780" t="inlineStr">
        <is>
          <t>Finally</t>
        </is>
      </c>
      <c r="C6780" t="inlineStr">
        <is>
          <t>A plan. That I have to wait for. I’m so frustrated with waiting! I met my oncologist today, and I like him. I had my cervical cancer staged (1B1), got a treatment plan. He wants a pet scan first and foremost, and told me it can take up to 15 days to get approved -_-
What’s frustrating me is if the pet is clear he can get me in for a radical hysterectomy by the following Monday. So I’m literally waiting for insurance to do their thing. 
I just want it OUT, so I can go from there, and get my life back under control.</t>
        </is>
      </c>
      <c r="D6780" t="n">
        <v>1</v>
      </c>
      <c r="E6780" t="n">
        <v>8</v>
      </c>
      <c r="F6780">
        <f>HYPERLINK("https://www.reddit.com/r/cancer/comments/ei9fey/finally/")</f>
        <v/>
      </c>
      <c r="G6780" t="inlineStr">
        <is>
          <t>2019-12-31 13:53:22</t>
        </is>
      </c>
      <c r="H6780" t="inlineStr"/>
    </row>
    <row r="6781">
      <c r="A6781" t="inlineStr">
        <is>
          <t>eib0f0</t>
        </is>
      </c>
      <c r="B6781" t="inlineStr">
        <is>
          <t>Happy New Year to everyone who hasn’t died yet!</t>
        </is>
      </c>
      <c r="C6781" t="inlineStr">
        <is>
          <t>Maybe yawl will make it to 2021 as well! Unless a drunk driver creams you tonight. Stay thirsty my friends.</t>
        </is>
      </c>
      <c r="D6781" t="n">
        <v>1</v>
      </c>
      <c r="E6781" t="n">
        <v>19</v>
      </c>
      <c r="F6781">
        <f>HYPERLINK("https://www.reddit.com/r/cancer/comments/eib0f0/happy_new_year_to_everyone_who_hasnt_died_yet/")</f>
        <v/>
      </c>
      <c r="G6781" t="inlineStr">
        <is>
          <t>2019-12-31 16:01:03</t>
        </is>
      </c>
      <c r="H6781" t="inlineStr"/>
    </row>
    <row r="6782">
      <c r="A6782" t="inlineStr">
        <is>
          <t>eib649</t>
        </is>
      </c>
      <c r="B6782" t="inlineStr">
        <is>
          <t>One more year *hugs*</t>
        </is>
      </c>
      <c r="C6782" t="inlineStr">
        <is>
          <t>To everyone fighting advanced cancer I pray for us all, one more year and the next. Keep on fighting. Bless you all x</t>
        </is>
      </c>
      <c r="D6782" t="n">
        <v>1</v>
      </c>
      <c r="E6782" t="n">
        <v>5</v>
      </c>
      <c r="F6782">
        <f>HYPERLINK("https://www.reddit.com/r/cancer/comments/eib649/one_more_year_hugs/")</f>
        <v/>
      </c>
      <c r="G6782" t="inlineStr">
        <is>
          <t>2019-12-31 16:13:10</t>
        </is>
      </c>
      <c r="H6782" t="inlineStr"/>
    </row>
    <row r="6783">
      <c r="A6783" t="inlineStr">
        <is>
          <t>eibi1y</t>
        </is>
      </c>
      <c r="B6783" t="inlineStr">
        <is>
          <t>DeCaDe ChALLenGE 2009-2019!!! ¯\_(ツ)_/¯</t>
        </is>
      </c>
      <c r="C6783" t="inlineStr">
        <is>
          <t>Might not have been a glow-up, but I certainly grew up in a whole lotta ways! 
Also a special thank you to these community, who have really helped me feel less alone over the past year and a half. Cheers to 2020 being better for all of us.
&amp;amp;#x200B;
&amp;amp;#x200B;
https://preview.redd.it/vyffyuy5c2841.png?width=546&amp;amp;format=png&amp;amp;auto=webp&amp;amp;s=2b4a95f1d9f673a91f5cd8f16e97b68f519ed57d</t>
        </is>
      </c>
      <c r="D6783" t="n">
        <v>1</v>
      </c>
      <c r="E6783" t="n">
        <v>0</v>
      </c>
      <c r="F6783">
        <f>HYPERLINK("https://www.reddit.com/r/cancer/comments/eibi1y/decade_challenge_20092019_ツ/")</f>
        <v/>
      </c>
      <c r="G6783" t="inlineStr">
        <is>
          <t>2019-12-31 16:39:15</t>
        </is>
      </c>
      <c r="H6783" t="inlineStr"/>
    </row>
    <row r="6784">
      <c r="A6784" t="inlineStr">
        <is>
          <t>eibqjt</t>
        </is>
      </c>
      <c r="B6784" t="inlineStr">
        <is>
          <t>New here. Diagnosed today.</t>
        </is>
      </c>
      <c r="C6784" t="inlineStr">
        <is>
          <t>Hi, I was diagnosed today with thyroid cancer. I am familiar with cancer due to being in medical school but I have a couple questions.
First, I was wondering if anyone knew what the radioactive iodine experience is like. It is in the treatment plan and I don't know what to expect in regards to side effects.
Secondly, I have no idea what to do with school. Does anyone have any experience with working with U.S. Universities to help me stay in school? 
Any advice would be appreciated. I'm kind of lost right now.</t>
        </is>
      </c>
      <c r="D6784" t="n">
        <v>1</v>
      </c>
      <c r="E6784" t="n">
        <v>3</v>
      </c>
      <c r="F6784">
        <f>HYPERLINK("https://www.reddit.com/r/cancer/comments/eibqjt/new_here_diagnosed_today/")</f>
        <v/>
      </c>
      <c r="G6784" t="inlineStr">
        <is>
          <t>2019-12-31 16:59:27</t>
        </is>
      </c>
      <c r="H6784" t="inlineStr"/>
    </row>
    <row r="6785">
      <c r="A6785" t="inlineStr">
        <is>
          <t>eic3mn</t>
        </is>
      </c>
      <c r="B6785" t="inlineStr">
        <is>
          <t>My Dad Gave a Speech (Advice?)</t>
        </is>
      </c>
      <c r="C6785" t="inlineStr">
        <is>
          <t>I am really bummed out right now. It is New Years Eve and my Dad has Stage 4 prostate cancer. I’m 29 years old and my sister (who is currently visiting) is 30 years old. During supper, my Dad gave a heartfelt speech about how he wished that my sister and me would get along and be closer. He also talked about how much our support means to him. It was really sweet, and everyone cried except for me (I’m a soldier and a recovering alcoholic, it takes a lot to make me cry).
But here’s the thing: My sister almost certainly has an undiagnosed disorder of some kind. She just kind of hit her teen years and never matured further. High school was really difficult for her to get through. She still relies on our parents and older sister for everything, she loses her temper over small things, and she imitates other adults to fit in better (for example, she speaks with a Newfoundland accent around our Newfoundlander relatives despite not being from there herself).
In addition, she treats me like an enemy, similar to how teens often treat their siblings. I have long since accepted it, and even find it kind of endearing (she reminds me a lot of Helga Pataki from Hey Arnold!). I see her value as a person and don’t have any hard feelings when she lashes out; that’s just the way she is and has always been. I make sure to always treat her with politeness, give her space when it seems like a bad temper might come on, and even buy her a Christmas present every year. I *never* react to her nasty remarks, and trust me, that’s not always easy!
So my Dad’s speech is killing me. There are honestly no victims or enemies in this situation, and he can’t see that. He is possibly dying and all he wants is for his kids to get along, but I think that’s literally impossible with my sister’s mindset. It feels awful. 😭 I also admit that I feel hurt - does he really see me as one-half of the problem? I literally could not be nicer to my sister, and over the years that has come at a real personal expense! It sucks having to act like I’m OK with being treated like crap every time she is around, and I have often wished that I had a “real” (for lack of a better word) sibling in my life, someone I could be friends with and get through hard times like my father’s illness with.
Anyone have advice for this situation? What should I do for my Dad, for my sister, for myself?</t>
        </is>
      </c>
      <c r="D6785" t="n">
        <v>1</v>
      </c>
      <c r="E6785" t="n">
        <v>5</v>
      </c>
      <c r="F6785">
        <f>HYPERLINK("https://www.reddit.com/r/cancer/comments/eic3mn/my_dad_gave_a_speech_advice/")</f>
        <v/>
      </c>
      <c r="G6785" t="inlineStr">
        <is>
          <t>2019-12-31 17:31:14</t>
        </is>
      </c>
      <c r="H6785" t="inlineStr"/>
    </row>
    <row r="6786">
      <c r="A6786" t="inlineStr">
        <is>
          <t>eic3o3</t>
        </is>
      </c>
      <c r="B6786" t="inlineStr">
        <is>
          <t>My dad has cancer</t>
        </is>
      </c>
      <c r="C6786" t="inlineStr">
        <is>
          <t>We got the initial news December 22 all we new that it was tumours in his liver that came from somewhere else. After the endoscopy we found a large mass in his stomach. Tonight me and my sister got a call from my parents who are in Winnipeg that he has stage 4 stomach cancer. It’s already spread to his liver. He is gonna get a shot of kemo every week for 3 months to see if the cancer responds. Me and my sister haven’t spoken all day after the news. We live 8 hours away from Winnipeg and he is gonna have to get treatment there. He is only 54 I can’t believe this is happening to him. I don’t want him to suffer,  I don’t want my Dad to die.</t>
        </is>
      </c>
      <c r="D6786" t="n">
        <v>1</v>
      </c>
      <c r="E6786" t="n">
        <v>2</v>
      </c>
      <c r="F6786">
        <f>HYPERLINK("https://www.reddit.com/r/cancer/comments/eic3o3/my_dad_has_cancer/")</f>
        <v/>
      </c>
      <c r="G6786" t="inlineStr">
        <is>
          <t>2019-12-31 17:31:19</t>
        </is>
      </c>
      <c r="H6786" t="inlineStr"/>
    </row>
    <row r="6787">
      <c r="A6787" t="inlineStr">
        <is>
          <t>eicb0y</t>
        </is>
      </c>
      <c r="B6787" t="inlineStr">
        <is>
          <t>Happy New Year. Good bye 2019</t>
        </is>
      </c>
      <c r="C6787" t="inlineStr">
        <is>
          <t>As 2020 quickly approaches, I reflect on the past year. 
I have had many ups and just as many downs. 
One thing is for sure, life carries on even in the darkest of moments.  
I have no words of wisdom, no life altering world shaking advice. I have no resolutions for the upcoming year I honestly have better things to spend my time doing. 
So this year the only advice I can offer up is this;
Spend time with people who make you feel loved, wanted and appreciated. To those who don't, you owe them nothing, especially your time and feelings. 
Eat the foods you love and try some new things, but do so in moderation. You never know if you will get the opportunity to do so again. 
Find something fun or interesting to do. Take up a new hobby or learn a new skill. Draw, paint, learn to play the piano, step outside your comfort zone and dive into that unknown. It will surprise you what you can learn. 
Happy New Years
Love you all
Mindy</t>
        </is>
      </c>
      <c r="D6787" t="n">
        <v>1</v>
      </c>
      <c r="E6787" t="n">
        <v>3</v>
      </c>
      <c r="F6787">
        <f>HYPERLINK("https://www.reddit.com/r/cancer/comments/eicb0y/happy_new_year_good_bye_2019/")</f>
        <v/>
      </c>
      <c r="G6787" t="inlineStr">
        <is>
          <t>2019-12-31 17:49:44</t>
        </is>
      </c>
      <c r="H6787" t="inlineStr"/>
    </row>
    <row r="6788">
      <c r="A6788" t="inlineStr">
        <is>
          <t>eid68w</t>
        </is>
      </c>
      <c r="B6788" t="inlineStr">
        <is>
          <t>Good bye 2019, ending the year with good news!</t>
        </is>
      </c>
      <c r="C6788" t="inlineStr">
        <is>
          <t>I have posted before, it’s been a long year.
- Feb diagnosed with colon cancer
- March sigmoid colon and rectum removed
- March J pouch created , ostomy a created
- April started 24 weeks of chemo 
- May - October dealt with some side effects of chemo , ostomy leaks , and other issues
- Nov. Ostomy reversal yeah so I thought 🤪
- Nov. woke up from ostomy reversal with wound vac found out I had a hernia behind the ostomy. Spent a week in the hospital .
- Nov.  went home for and right back to ER 
- Nov. after Er was home for a few days then back to the ER to be diagnosed with CDIF and another week in the hospital
- Dec diagnosed with Strep... body was weak and broken down
- 12/15 CT scan on my body to scan for cancer
- 12/16 my cancer is in remission!!!!! They find spots on my liver
- 12/30 MRI of my liver to see what the spots are..
- 12/31. Spots are just cysts, thank goodness I am fried
-2020 I have my last surgery from the cancer 
Stay positive keep fighting ! We are survivors , it’s ok to have a bad day, not so great hour,  but fight.  Enjoy the moment!
Happy New Year!!</t>
        </is>
      </c>
      <c r="D6788" t="n">
        <v>1</v>
      </c>
      <c r="E6788" t="n">
        <v>1</v>
      </c>
      <c r="F6788">
        <f>HYPERLINK("https://www.reddit.com/r/cancer/comments/eid68w/good_bye_2019_ending_the_year_with_good_news/")</f>
        <v/>
      </c>
      <c r="G6788" t="inlineStr">
        <is>
          <t>2019-12-31 19:12:25</t>
        </is>
      </c>
      <c r="H6788" t="inlineStr"/>
    </row>
    <row r="6789">
      <c r="A6789" t="inlineStr">
        <is>
          <t>eifzcy</t>
        </is>
      </c>
      <c r="B6789" t="inlineStr">
        <is>
          <t>Clarification about scans</t>
        </is>
      </c>
      <c r="C6789" t="inlineStr">
        <is>
          <t>Can scans help identify whether the tumour is recurrent or if the tumour is new?</t>
        </is>
      </c>
      <c r="D6789" t="n">
        <v>1</v>
      </c>
      <c r="E6789" t="n">
        <v>3</v>
      </c>
      <c r="F6789">
        <f>HYPERLINK("https://www.reddit.com/r/cancer/comments/eifzcy/clarification_about_scans/")</f>
        <v/>
      </c>
      <c r="G6789" t="inlineStr">
        <is>
          <t>2020-01-01 00:09:52</t>
        </is>
      </c>
      <c r="H6789" t="inlineStr"/>
    </row>
    <row r="6790">
      <c r="A6790" t="inlineStr">
        <is>
          <t>eihsmv</t>
        </is>
      </c>
      <c r="B6790" t="inlineStr">
        <is>
          <t>Grandma diagnosed with Leukemia, I'd like some personal experience feedback</t>
        </is>
      </c>
      <c r="C6790" t="inlineStr">
        <is>
          <t>Found out about a week and a half ago that my grandma got diagnosed with Leukemia at 82 years old. I was devastated at hearing the news because growing up I was always so close to my grandparents.  it made everything hurt even more because my wife is due with our first child on February 14th and I really want my grandma there.
I dreamt about showing my grandparents my son and seeing the smiles on their faces. Now I just want to know if my grandma will even be here by February. 
Surprisingly, I hadn't truly cried until I started writing this post.</t>
        </is>
      </c>
      <c r="D6790" t="n">
        <v>1</v>
      </c>
      <c r="E6790" t="n">
        <v>0</v>
      </c>
      <c r="F6790">
        <f>HYPERLINK("https://www.reddit.com/r/cancer/comments/eihsmv/grandma_diagnosed_with_leukemia_id_like_some/")</f>
        <v/>
      </c>
      <c r="G6790" t="inlineStr">
        <is>
          <t>2020-01-01 04:18:12</t>
        </is>
      </c>
      <c r="H6790" t="inlineStr"/>
    </row>
    <row r="6791">
      <c r="A6791" t="inlineStr">
        <is>
          <t>eihxu5</t>
        </is>
      </c>
      <c r="B6791" t="inlineStr">
        <is>
          <t>Dads cancer came back for the 3rd time</t>
        </is>
      </c>
      <c r="C6791" t="inlineStr">
        <is>
          <t>(Mobile) Hey y’all, just found this sub and thought it might be a helpful place to post. January of 2019 my dad (49) got diagnosed with stage 4 lymphoma. The 8 chemo sessions lasted through May and he was officially cancer free in June! We (my family) were relived he was ok. He turned 50 in April but wasn’t able to celebrate cause he was in the hospital, and my parents had their 25th anniversary in May that they also had to miss cause he was in the hospital. So they then decided to celebrate his birthday and their anniversary in early September. (They waited so long because of the chaos of summer trips and siblings going to college was a lot). 
Come September, I find all my family is coming to their party, and it’ll be 100+ people in our backyard. I don’t really mind, it’ll be fun to see all of them and my parents have never seemed more excited. Then, a few hours before the party, my dad pulls me into his office. He tells me the lymphoma has come back, and he will have to restart chemo and revive immunotherapy. I’m devastated, and my parents reassure me it will be ok and this will be over soon. They enjoyed their party and I spent my time with my friend. (Don’t worry, I spent about an hour with my family and friends at their outdoor party).
The next four months are tough. 4 rounds of chemo and two weeks of immunotherapy, he’s cancer free for the second time! We planned to travel to South Asia over the summer, but because he couldn’t make it we moved it to winter break. About a week before we are supposed to leave, his blood still isn’t good enough for him to come (very low count of hemoglobins). He tells us he will come the 26th, because his blood should be good enough by then. We’re sad cause he was pumped but we’re all glad he can still make it in the end. Christmas morning, I wake up at 6am to a text to my mom in our family group chat, all it says is “When you wake up come to room 215 immediately”. 
I go to her room, a million thoughts racing through my head. I walk in and my mom is crying on her bed. She tells me my dads cancer has come back for the third time, and this time he will have to go through a stem cell treatment. Aka a month of quarantine and more chemo. I feel so crushed and defeated and scared and I’m very much not looking forward to doing this a third time. I have to take care of my little sister and my dad as my mom is always gone for her job. 
I’m not posting here for pity or karma, mainly a way to rant but if anyone has any good coping methods or something along those lines, I’d love to know. I hope everyone has an amazing new year and I wish you all the best luck ❤️</t>
        </is>
      </c>
      <c r="D6791" t="n">
        <v>1</v>
      </c>
      <c r="E6791" t="n">
        <v>6</v>
      </c>
      <c r="F6791">
        <f>HYPERLINK("https://www.reddit.com/r/cancer/comments/eihxu5/dads_cancer_came_back_for_the_3rd_time/")</f>
        <v/>
      </c>
      <c r="G6791" t="inlineStr">
        <is>
          <t>2020-01-01 04:38:14</t>
        </is>
      </c>
      <c r="H6791" t="inlineStr"/>
    </row>
    <row r="6792">
      <c r="A6792" t="inlineStr">
        <is>
          <t>eijo3b</t>
        </is>
      </c>
      <c r="B6792" t="inlineStr">
        <is>
          <t>I think I have Melanoma</t>
        </is>
      </c>
      <c r="C6792" t="inlineStr">
        <is>
          <t>I dont know what to do, I found a weird mark on the back of my arm a few days ago that wasnt there when I last checked(i do a weekly check), and it's become sore, discoloured and just seems to be growing irregularly. Does anyone have any help or advice? Thanks.</t>
        </is>
      </c>
      <c r="D6792" t="n">
        <v>1</v>
      </c>
      <c r="E6792" t="n">
        <v>2</v>
      </c>
      <c r="F6792">
        <f>HYPERLINK("https://www.reddit.com/r/cancer/comments/eijo3b/i_think_i_have_melanoma/")</f>
        <v/>
      </c>
      <c r="G6792" t="inlineStr">
        <is>
          <t>2020-01-01 07:48:06</t>
        </is>
      </c>
      <c r="H6792" t="inlineStr"/>
    </row>
    <row r="6793">
      <c r="A6793" t="inlineStr">
        <is>
          <t>eik4uo</t>
        </is>
      </c>
      <c r="B6793" t="inlineStr">
        <is>
          <t>Ask it for whom the bell tolls; it tolls for thee</t>
        </is>
      </c>
      <c r="C6793" t="inlineStr">
        <is>
          <t>I need to share my story and this sub has helped me deal with my husbands cancer so many times. He has battled nasopharyngeal cancer since 2012 and has been in and out if stage four cancer five times. He is currently in remission. The haunting thought that I would outlive him had been with me every day.
Yesterday I was driving him to get his meds and I was sideswiped by a large semi-truck. He had drifted into my lane and hit the side of my car. The side air bags prevented a lot of injury to me and my husband. I am bruised from head to toe on my left side but out if hospital now. No broken bones but I feel like I’ve been run over by a truck. lol ouch. My husband is shaken but not a scratch or bruise. 
What I’m trying to say is..all of our days are numbered. Cancer is cruel because it stamps us with an estimated expiration date. Yesterday could have well been my last day. I’ve made it a point today to tell loved ones what’s in my heart. You guys are in my heart too. We will all have to face our mortality. Let’s try to make each day a grateful day. Life can be so unfair and cruel. I love you guys. We’ve made it to 2020. I’m wishing you a blessed New Year,</t>
        </is>
      </c>
      <c r="D6793" t="n">
        <v>1</v>
      </c>
      <c r="E6793" t="n">
        <v>24</v>
      </c>
      <c r="F6793">
        <f>HYPERLINK("https://www.reddit.com/r/cancer/comments/eik4uo/ask_it_for_whom_the_bell_tolls_it_tolls_for_thee/")</f>
        <v/>
      </c>
      <c r="G6793" t="inlineStr">
        <is>
          <t>2020-01-01 08:28:17</t>
        </is>
      </c>
      <c r="H6793" t="inlineStr"/>
    </row>
    <row r="6794">
      <c r="A6794" t="inlineStr">
        <is>
          <t>eilhj1</t>
        </is>
      </c>
      <c r="B6794" t="inlineStr">
        <is>
          <t>Well, looks like I have it</t>
        </is>
      </c>
      <c r="C6794" t="inlineStr">
        <is>
          <t>In November I found a rather large lump in my breast, seemingly out of nowhere. I had my mammogram and when I walked into the ultrasound room saw the picture with circle upon circle in my breasts and apparently in my lymph nodes.
I had 3 biopsies in one breast (one being my lymph node), 1 in the other. The day before NYE I got the call. It was cancer. Everyone keeps asking me questions about stage and kind and literally the only thing I know is I have it.
From here it's the full body and bone scans, genetic scans. It's all so overwhelming. But I guess I'm part of this community now. So I just wanted to say hi. I guess I'll be back when I know more but I'm glad there's somewhere with people who understand what it feels like.</t>
        </is>
      </c>
      <c r="D6794" t="n">
        <v>1</v>
      </c>
      <c r="E6794" t="n">
        <v>30</v>
      </c>
      <c r="F6794">
        <f>HYPERLINK("https://www.reddit.com/r/cancer/comments/eilhj1/well_looks_like_i_have_it/")</f>
        <v/>
      </c>
      <c r="G6794" t="inlineStr">
        <is>
          <t>2020-01-01 10:14:33</t>
        </is>
      </c>
      <c r="H6794" t="inlineStr"/>
    </row>
    <row r="6795">
      <c r="A6795" t="inlineStr">
        <is>
          <t>eilnkm</t>
        </is>
      </c>
      <c r="B6795" t="inlineStr">
        <is>
          <t>Anyone get kidney stents from radiation damage?</t>
        </is>
      </c>
      <c r="C6795" t="inlineStr">
        <is>
          <t>I’m going in tomorrow to have a stent placed in my kidney bc my right kidney is blocked and not draining. I’m a little scared. Most women have said they’ve tolerated it pretty well. Of course I’m scared I’ll be one of the few who don’t. 
This whole cancer thing sucks</t>
        </is>
      </c>
      <c r="D6795" t="n">
        <v>1</v>
      </c>
      <c r="E6795" t="n">
        <v>16</v>
      </c>
      <c r="F6795">
        <f>HYPERLINK("https://www.reddit.com/r/cancer/comments/eilnkm/anyone_get_kidney_stents_from_radiation_damage/")</f>
        <v/>
      </c>
      <c r="G6795" t="inlineStr">
        <is>
          <t>2020-01-01 10:27:11</t>
        </is>
      </c>
      <c r="H6795" t="inlineStr"/>
    </row>
    <row r="6796">
      <c r="A6796" t="inlineStr">
        <is>
          <t>eim26f</t>
        </is>
      </c>
      <c r="B6796" t="inlineStr">
        <is>
          <t>Penile cancer?</t>
        </is>
      </c>
      <c r="C6796" t="inlineStr">
        <is>
          <t>To keep it short, I noticed a small bump on the tip of my penis that has probably been there for a year or so. I never go to the doctors and just want to know what I am walking into here. What this process is going to be like. I've been freaking out all morning and I would appreciate any advice.</t>
        </is>
      </c>
      <c r="D6796" t="n">
        <v>1</v>
      </c>
      <c r="E6796" t="n">
        <v>2</v>
      </c>
      <c r="F6796">
        <f>HYPERLINK("https://www.reddit.com/r/cancer/comments/eim26f/penile_cancer/")</f>
        <v/>
      </c>
      <c r="G6796" t="inlineStr">
        <is>
          <t>2020-01-01 10:57:47</t>
        </is>
      </c>
      <c r="H6796" t="inlineStr"/>
    </row>
    <row r="6797">
      <c r="A6797" t="inlineStr">
        <is>
          <t>einnwu</t>
        </is>
      </c>
      <c r="B6797" t="inlineStr">
        <is>
          <t>Relapsed, nothing working.</t>
        </is>
      </c>
      <c r="C6797" t="inlineStr">
        <is>
          <t>In 2013, my Dad was diagnosed with Hodgkin's lymphoma, stage4b - he had 6 months treatment of ABVD every 2 weeks. Was given the all clear and in complete remission on final PET scan - He never went for any follow-up appointments or check-ups. In 2019 he was diagnosed with Relapsed Hodgkin's lymphoma, stage 4b and was given 2 treatments of GDP (gemcitabine, dexamethasone, cisplatin) but had a poor response. After that, was given 4 treatments of Brentuximab (Adcetris) but showed another poor response but the tumours had shrunk.
Yesterday we were told the options are, high dose chemo followed by a Stem Cell Transplant or a less than satisfactory Trial based formula which targets the cancer cells but the side effects also target other cells and parts of the body, (not recommended). 
The doctor always seemed optimistic one of these would work but unfortunately this time round he didn't seem very optimistic as we were expecting the Brentuximab to work..
Starting to feel like it's the end of the line here, has anyone experienced anything similar and can  give some insight or shed any hope because we're losing it.
All the best</t>
        </is>
      </c>
      <c r="D6797" t="n">
        <v>1</v>
      </c>
      <c r="E6797" t="n">
        <v>0</v>
      </c>
      <c r="F6797">
        <f>HYPERLINK("https://www.reddit.com/r/cancer/comments/einnwu/relapsed_nothing_working/")</f>
        <v/>
      </c>
      <c r="G6797" t="inlineStr">
        <is>
          <t>2020-01-01 12:57:13</t>
        </is>
      </c>
      <c r="H6797" t="inlineStr"/>
    </row>
    <row r="6798">
      <c r="A6798" t="inlineStr">
        <is>
          <t>eio4l7</t>
        </is>
      </c>
      <c r="B6798" t="inlineStr">
        <is>
          <t>mom is in need for a hospital bed for home</t>
        </is>
      </c>
      <c r="C6798" t="inlineStr">
        <is>
          <t>hi everyone. you had a wonderful new year. 
thankfully my mother is still here but has been in the hospital for almost a month now. hopefully she'll be discharged any day now, but she will need a hospital bed at home to help keep her head raised as she has a J tube providing her nutrition.  apparently insurance doesn't cover it, so i was wondering what other avenues to pursue. any suggestions appreciated!</t>
        </is>
      </c>
      <c r="D6798" t="n">
        <v>1</v>
      </c>
      <c r="E6798" t="n">
        <v>1</v>
      </c>
      <c r="F6798">
        <f>HYPERLINK("https://www.reddit.com/r/cancer/comments/eio4l7/mom_is_in_need_for_a_hospital_bed_for_home/")</f>
        <v/>
      </c>
      <c r="G6798" t="inlineStr">
        <is>
          <t>2020-01-01 13:32:02</t>
        </is>
      </c>
      <c r="H6798" t="inlineStr"/>
    </row>
    <row r="6799">
      <c r="A6799" t="inlineStr">
        <is>
          <t>eioq9w</t>
        </is>
      </c>
      <c r="B6799" t="inlineStr">
        <is>
          <t>Cancer has made me become much more more mature and patient.,And tolerant.</t>
        </is>
      </c>
      <c r="C6799" t="inlineStr">
        <is>
          <t>All the waiting times at the hospital has made me patient and humbled tbh. I’m “lucky” to have free healthcare and people dedicating their life’s and time to treat me and other people..
I’m more mature since nothing like facing your own mortality, that puts everything in perspective, and wasteful it is worrying about mundane shit.
I’m more tolerant cos we are all fragile human beings, and I’ve realised tho we can all be selfish, we are more good than bad.
Don’t get me wrong I would wish cancer away in a heart beat. 
Has anyone had any “positive” changes in their life’s due to cancer.</t>
        </is>
      </c>
      <c r="D6799" t="n">
        <v>1</v>
      </c>
      <c r="E6799" t="n">
        <v>0</v>
      </c>
      <c r="F6799">
        <f>HYPERLINK("https://www.reddit.com/r/cancer/comments/eioq9w/cancer_has_made_me_become_much_more_more_mature/")</f>
        <v/>
      </c>
      <c r="G6799" t="inlineStr">
        <is>
          <t>2020-01-01 14:18:23</t>
        </is>
      </c>
      <c r="H6799" t="inlineStr"/>
    </row>
    <row r="6800">
      <c r="A6800" t="inlineStr">
        <is>
          <t>eiot8b</t>
        </is>
      </c>
      <c r="B6800" t="inlineStr">
        <is>
          <t>Whiskey night</t>
        </is>
      </c>
      <c r="C6800" t="inlineStr">
        <is>
          <t>I (44M) stage 1 chronic lymphocytic leukemia, was at a whiskey tasting at my best friend's house tonight.
When It came round to his bottle of Macallans he called it MacMillans and we howled saying it was good but won't cure me. Poor Steve couldn't get himself out of it fast enough. Its the little things like this that keep me going</t>
        </is>
      </c>
      <c r="D6800" t="n">
        <v>1</v>
      </c>
      <c r="E6800" t="n">
        <v>1</v>
      </c>
      <c r="F6800">
        <f>HYPERLINK("https://www.reddit.com/r/cancer/comments/eiot8b/whiskey_night/")</f>
        <v/>
      </c>
      <c r="G6800" t="inlineStr">
        <is>
          <t>2020-01-01 14:26:31</t>
        </is>
      </c>
      <c r="H6800" t="inlineStr"/>
    </row>
    <row r="6801">
      <c r="A6801" t="inlineStr">
        <is>
          <t>eippd6</t>
        </is>
      </c>
      <c r="B6801" t="inlineStr">
        <is>
          <t>Ill miss you mom... so much.</t>
        </is>
      </c>
      <c r="C6801" t="inlineStr">
        <is>
          <t>So, we are here... at the end of my moms (58F) battle against GBM. She fucking fought her hardest thats for sure... she was diagnosed with GBM in July 2016 and they told her 15 months. Its very like her to over achieve and last 40 months... we are bringing her home on hospice and then disconnecting her from the vent. She spent the last 3 months in the hospital getting hit by one thing after another... it was fucking awful. A steady slow decline from worse to just awful. I truly saw her rot away into nothing. She used to have so much life and then to end like she did.... I Fucking miss you and i love you mom.. ill never understand why our time got cut short, but ill cherish you forever..</t>
        </is>
      </c>
      <c r="D6801" t="n">
        <v>1</v>
      </c>
      <c r="E6801" t="n">
        <v>20</v>
      </c>
      <c r="F6801">
        <f>HYPERLINK("https://www.reddit.com/r/cancer/comments/eippd6/ill_miss_you_mom_so_much/")</f>
        <v/>
      </c>
      <c r="G6801" t="inlineStr">
        <is>
          <t>2020-01-01 15:35:17</t>
        </is>
      </c>
      <c r="H6801" t="inlineStr"/>
    </row>
    <row r="6802">
      <c r="A6802" t="inlineStr">
        <is>
          <t>eirfnu</t>
        </is>
      </c>
      <c r="B6802" t="inlineStr">
        <is>
          <t>Caregiver for my Wife (38)stage 4 breast cancer. Needing to vent.</t>
        </is>
      </c>
      <c r="C6802" t="inlineStr">
        <is>
          <t>Nights like tonight are the hardest for me.  It was supposed to be a simple night where us as a family would get ready for the start of school tomorrow.
Unfortunately my wife is feeling sick and has been sleeping most of the day.  She has had a lot of side effects from the medicine she takes and we are not sure if it’s a medicine reaction or if she is just sick.  It’s always scary when this happens but life goes on and the kids need attention (2 and 4).  I then shift to single parent mode with trying to juggle as care giver.
I’m not good at it, and I don’t think many are.
Many people offer their assistance for moments like this but it’s hard to know who to call this last min.  I honestly didn’t know this would happen until 5pm tonight, and tonight is a night I can handle it, poorly.  Other nights we have had to run to the hospital and that’s when I need to call in those big favors.
Kids are in the bath now, so I have time to write this up with the hopes it helps me.... nvm my youngest just pooped in the bath.  Thanks, baby girl.
I think I need a place where I can vent all this bullshit. 
Welcome to 2020 everybody.</t>
        </is>
      </c>
      <c r="D6802" t="n">
        <v>1</v>
      </c>
      <c r="E6802" t="n">
        <v>31</v>
      </c>
      <c r="F6802">
        <f>HYPERLINK("https://www.reddit.com/r/cancer/comments/eirfnu/caregiver_for_my_wife_38stage_4_breast_cancer/")</f>
        <v/>
      </c>
      <c r="G6802" t="inlineStr">
        <is>
          <t>2020-01-01 17:53:55</t>
        </is>
      </c>
      <c r="H6802" t="inlineStr"/>
    </row>
    <row r="6803">
      <c r="A6803" t="inlineStr">
        <is>
          <t>eirtwe</t>
        </is>
      </c>
      <c r="B6803" t="inlineStr">
        <is>
          <t>I finished chemo two days before the new year!</t>
        </is>
      </c>
      <c r="C6803" t="inlineStr">
        <is>
          <t>I got lucky enough to finish chemo in time to celebrate nye and 2020 (hopefully) treatment free. It's been very supportive to interact with you all and read your stories. I may not be the most active, but just having the community here helps a lot. Thank you all and I hope we all have a better new year, in some way.</t>
        </is>
      </c>
      <c r="D6803" t="n">
        <v>1</v>
      </c>
      <c r="E6803" t="n">
        <v>6</v>
      </c>
      <c r="F6803">
        <f>HYPERLINK("https://www.reddit.com/r/cancer/comments/eirtwe/i_finished_chemo_two_days_before_the_new_year/")</f>
        <v/>
      </c>
      <c r="G6803" t="inlineStr">
        <is>
          <t>2020-01-01 18:25:57</t>
        </is>
      </c>
      <c r="H6803" t="inlineStr"/>
    </row>
    <row r="6804">
      <c r="A6804" t="inlineStr">
        <is>
          <t>eisbxw</t>
        </is>
      </c>
      <c r="B6804" t="inlineStr">
        <is>
          <t>2, 3mm modules in my lung on CT</t>
        </is>
      </c>
      <c r="C6804" t="inlineStr">
        <is>
          <t>That’s where I’m at. I lost a lot of weight and my chest started to feel odd. I don’t know anything an have a doctors appointment in the morning. 
I don’t have any family; they’re poison. They will make this worse. I have a few friends I told and now this sub.</t>
        </is>
      </c>
      <c r="D6804" t="n">
        <v>1</v>
      </c>
      <c r="E6804" t="n">
        <v>14</v>
      </c>
      <c r="F6804">
        <f>HYPERLINK("https://www.reddit.com/r/cancer/comments/eisbxw/2_3mm_modules_in_my_lung_on_ct/")</f>
        <v/>
      </c>
      <c r="G6804" t="inlineStr">
        <is>
          <t>2020-01-01 19:06:30</t>
        </is>
      </c>
      <c r="H6804" t="inlineStr"/>
    </row>
    <row r="6805">
      <c r="A6805" t="inlineStr">
        <is>
          <t>eisoni</t>
        </is>
      </c>
      <c r="B6805" t="inlineStr">
        <is>
          <t>Did anyone just feel so pissed off after being diagnosed?</t>
        </is>
      </c>
      <c r="C6805" t="inlineStr">
        <is>
          <t>Right before Christmas I had a lymph node biopsy on a large lymph node that came back as cancer. I have stage 1 non-Hodgkin's lymphoma. I had a kidney transplant 12.5 years ago and the drugs that kept my kidney from rejecting increased my risk for lymphoma. I will be starting 4 rounds of R-CHOP chemo on Friday followed by 3 weeks of radiation.
I've felt a lot of emotions since getting diagnosed--shock, sadness, anxiety, worry--but I think more than anything I've just felt so incredibly angry. When the doctor told me that I would need chemo I shouted this is fucking bullshit. I've yelled at my husband and my dad. I just feel so angry,
I hate hearing my family express relief that it's just stage 1 and it's treatable. But I still have to suffer through chemo which makes me so mad. I feel like my life is being taken away from me. Before my kidney transplant, I was on dialysis and I was the "sick kid". I hated the way people looked at me and treated me. Since my transplant, I've had such a great life--I finished college and my master's degree, got married, bought a house, have a great job I love and two awesome cats. I feel like it was all for nothing and I'm back to being that same sick kid again. 
It pisses me off that I feel totally fine right now, physically. And yet they expect me to just willingly start chemo, knowing that it is going to make me feel like shit. I'm going to look sick again and feel sick. I'm so upset about losing my hair because apparently I can't even be spared the dignity of keeping it. 
I know there are people on the sub that have it worse than me but this just seems like such fucking bullshit. I don't know when I will stop feeling so angry or how to stop but for now I'm just pissed off. I'm not ready to start chemo on Friday, I'm scared and angry and just don't want to do it.</t>
        </is>
      </c>
      <c r="D6805" t="n">
        <v>1</v>
      </c>
      <c r="E6805" t="n">
        <v>5</v>
      </c>
      <c r="F6805">
        <f>HYPERLINK("https://www.reddit.com/r/cancer/comments/eisoni/did_anyone_just_feel_so_pissed_off_after_being/")</f>
        <v/>
      </c>
      <c r="G6805" t="inlineStr">
        <is>
          <t>2020-01-01 19:36:06</t>
        </is>
      </c>
      <c r="H6805" t="inlineStr"/>
    </row>
    <row r="6806">
      <c r="A6806" t="inlineStr">
        <is>
          <t>eiw1f4</t>
        </is>
      </c>
      <c r="B6806" t="inlineStr">
        <is>
          <t>What are the best meal replacement/supplements for someone with cancer?</t>
        </is>
      </c>
      <c r="C6806" t="inlineStr">
        <is>
          <t>I have been getting a lot of mixed messages.   I would like to know what has worked for you, or someone you know.  Thank you, everyone for all your help.</t>
        </is>
      </c>
      <c r="D6806" t="n">
        <v>1</v>
      </c>
      <c r="E6806" t="n">
        <v>16</v>
      </c>
      <c r="F6806">
        <f>HYPERLINK("https://www.reddit.com/r/cancer/comments/eiw1f4/what_are_the_best_meal_replacementsupplements_for/")</f>
        <v/>
      </c>
      <c r="G6806" t="inlineStr">
        <is>
          <t>2020-01-02 01:17:09</t>
        </is>
      </c>
      <c r="H6806" t="inlineStr"/>
    </row>
    <row r="6807">
      <c r="A6807" t="inlineStr">
        <is>
          <t>eiwhdp</t>
        </is>
      </c>
      <c r="B6807" t="inlineStr">
        <is>
          <t>I made a New Years Resolution</t>
        </is>
      </c>
      <c r="C6807" t="inlineStr">
        <is>
          <t>I read a lot of Reddit.  It is the third thing I do on my computer every morning.  After email and my job app.  I read this community first.  I never/almost never post or comment.  I just don't know what to say aside from "Fuck Cancer" and "Cancer Sucks".  I also don't want to whine.  So many of you have it so much worse than I do.
I spend a lot of time bemoaning the die out of real time chat.  I am old.  Started using the internet in the days of AOHELL.  
My new years resolution is to make two comments or posts all days that I am at home.  I am planning on one of them being on this sub. I want to engage.  More.  I want community.  I want to not feel alone.  So Happy New Years and Fuck Cancer.</t>
        </is>
      </c>
      <c r="D6807" t="n">
        <v>1</v>
      </c>
      <c r="E6807" t="n">
        <v>2</v>
      </c>
      <c r="F6807">
        <f>HYPERLINK("https://www.reddit.com/r/cancer/comments/eiwhdp/i_made_a_new_years_resolution/")</f>
        <v/>
      </c>
      <c r="G6807" t="inlineStr">
        <is>
          <t>2020-01-02 02:11:19</t>
        </is>
      </c>
      <c r="H6807" t="inlineStr"/>
    </row>
    <row r="6808">
      <c r="A6808" t="inlineStr">
        <is>
          <t>eiwklv</t>
        </is>
      </c>
      <c r="B6808" t="inlineStr">
        <is>
          <t>Going to start chemotherapy soon, pretty worried about the side effects. Is there anything significant I should be concerned about ? (16M)</t>
        </is>
      </c>
      <c r="C6808" t="inlineStr">
        <is>
          <t>Starting chemo tomorrow and am slightly worried about it. Are the side effects really intense as I have read or can I expect something moderate. Maybe you guys can tell me about your experience undergoing chemo :) Thanks for all your help!!</t>
        </is>
      </c>
      <c r="D6808" t="n">
        <v>1</v>
      </c>
      <c r="E6808" t="n">
        <v>29</v>
      </c>
      <c r="F6808">
        <f>HYPERLINK("https://www.reddit.com/r/cancer/comments/eiwklv/going_to_start_chemotherapy_soon_pretty_worried/")</f>
        <v/>
      </c>
      <c r="G6808" t="inlineStr">
        <is>
          <t>2020-01-02 02:22:11</t>
        </is>
      </c>
      <c r="H6808" t="inlineStr"/>
    </row>
    <row r="6809">
      <c r="A6809" t="inlineStr">
        <is>
          <t>eix8xb</t>
        </is>
      </c>
      <c r="B6809" t="inlineStr">
        <is>
          <t>Should I (28f) let go of my boyfriend (33m) that was diagnosed with cancer and asked for a break or give him time? What goes through your head when you’re diagnosed with cancer?</t>
        </is>
      </c>
      <c r="C6809" t="inlineStr">
        <is>
          <t>My boyfriend (33) was recently diagnosed with stage 4 cancer. He had to undergo brain surgery to remove a malignant tumor as well. We’ve only been dating for about 4 months - I really care about him, but I also don’t fully know him yet. After an argument we had, he said he needed a break that he honestly is depressed and needs time to focus on him and figuring out the next steps and whatnot. We still see each other once a week, and he fills me in on anything going on. I tried to put myself in his shoes, but I can’t imagine what he’s going through. He told me the other day that now that they have a plan for chemo and his doctor made him feel confident about his chances, he feels much better and he’s in a better headspace. I guess what I’m asking is should I be waiting for him or should I move on? He hasn’t made much of an effort to have me around often which is a red flag, but I also know that these are unique  circumstances. I just don’t know what’s going through his head and what I should do.</t>
        </is>
      </c>
      <c r="D6809" t="n">
        <v>1</v>
      </c>
      <c r="E6809" t="n">
        <v>22</v>
      </c>
      <c r="F6809">
        <f>HYPERLINK("https://www.reddit.com/r/cancer/comments/eix8xb/should_i_28f_let_go_of_my_boyfriend_33m_that_was/")</f>
        <v/>
      </c>
      <c r="G6809" t="inlineStr">
        <is>
          <t>2020-01-02 03:43:24</t>
        </is>
      </c>
      <c r="H6809" t="inlineStr"/>
    </row>
    <row r="6810">
      <c r="A6810" t="inlineStr">
        <is>
          <t>eiyine</t>
        </is>
      </c>
      <c r="B6810" t="inlineStr">
        <is>
          <t>Looking for colon friendly foods.</t>
        </is>
      </c>
      <c r="C6810" t="inlineStr">
        <is>
          <t>My father has colon cancer, and his doctors advised that he stay away from a lot of foods that could inflame this organ. He is worried about just eating a lot of carbs all the time, so I'm looking for foods to give him some variety. Anyone out there have meal recipes or favorite foods that he could eat? Restrictions seem to be on red meat, fiberous fruit/fruit skins, leafy greens, beans, broccoli...basically anything that's harder to digest. Any suggestions would be great!</t>
        </is>
      </c>
      <c r="D6810" t="n">
        <v>1</v>
      </c>
      <c r="E6810" t="n">
        <v>6</v>
      </c>
      <c r="F6810">
        <f>HYPERLINK("https://www.reddit.com/r/cancer/comments/eiyine/looking_for_colon_friendly_foods/")</f>
        <v/>
      </c>
      <c r="G6810" t="inlineStr">
        <is>
          <t>2020-01-02 05:56:07</t>
        </is>
      </c>
      <c r="H6810" t="inlineStr"/>
    </row>
    <row r="6811">
      <c r="A6811" t="inlineStr">
        <is>
          <t>eiz8cj</t>
        </is>
      </c>
      <c r="B6811" t="inlineStr">
        <is>
          <t>Neuroblastoma Questions</t>
        </is>
      </c>
      <c r="C6811" t="inlineStr">
        <is>
          <t>My youngest daughter is going through testing for neuroblastoma, she has done ultra sound, x-ray, blood, urine and today is getting a MRI scan done. She is currently 20 months old and this was found because she has a genetic condition which prompted the doctors to do regular ultrasound tests on her. 
&amp;amp;#x200B;
My questions are for people who have gone through this themselves:
&amp;amp;#x200B;
\- How long does it take to get a diagnosis confirmed typically?
\- What are the treatments like and what do they consist of?
\- How did siblings take this experience and what is the best way to talk to your kids about this?  I have 4 kids, twins which are the youngest (girl and boy - girl is the patient in question), a 4 year old daughter and a 13 year old boy.
\- How long does treatment typically take?</t>
        </is>
      </c>
      <c r="D6811" t="n">
        <v>1</v>
      </c>
      <c r="E6811" t="n">
        <v>5</v>
      </c>
      <c r="F6811">
        <f>HYPERLINK("https://www.reddit.com/r/cancer/comments/eiz8cj/neuroblastoma_questions/")</f>
        <v/>
      </c>
      <c r="G6811" t="inlineStr">
        <is>
          <t>2020-01-02 06:59:29</t>
        </is>
      </c>
      <c r="H6811" t="inlineStr"/>
    </row>
    <row r="6812">
      <c r="A6812" t="inlineStr">
        <is>
          <t>ej1cil</t>
        </is>
      </c>
      <c r="B6812" t="inlineStr">
        <is>
          <t>So happy to get back to life and do better soon</t>
        </is>
      </c>
      <c r="C6812" t="inlineStr">
        <is>
          <t>I finished all chemo in 2019 and just a bone marrow biopsy wait for me ahead in Feb. I am so happy this cancer made me realise I can do a better self and be better! I gonna shine more 100% and do my best self from now on. Life is too short and made me realise don’t settle for the less. Go out there and explore what’s in this world!</t>
        </is>
      </c>
      <c r="D6812" t="n">
        <v>1</v>
      </c>
      <c r="E6812" t="n">
        <v>5</v>
      </c>
      <c r="F6812">
        <f>HYPERLINK("https://www.reddit.com/r/cancer/comments/ej1cil/so_happy_to_get_back_to_life_and_do_better_soon/")</f>
        <v/>
      </c>
      <c r="G6812" t="inlineStr">
        <is>
          <t>2020-01-02 09:40:27</t>
        </is>
      </c>
      <c r="H6812" t="inlineStr"/>
    </row>
    <row r="6813">
      <c r="A6813" t="inlineStr">
        <is>
          <t>ej1zm2</t>
        </is>
      </c>
      <c r="B6813" t="inlineStr">
        <is>
          <t>Unsure how to break news to family and friends.</t>
        </is>
      </c>
      <c r="C6813" t="inlineStr">
        <is>
          <t>I found out this week I have cancer and I have been unsure about whether or not to say anything to anyone beyond those who need to know (immediate family, professors, etc). This wont be a cancer treatment I can hide as the surgery will be really visible and I don't what to have to keep explaining or shutting people down regarding my illness. How did you guys go about breaking news to others? For those who didn't and kept it a secret, was it better that way?</t>
        </is>
      </c>
      <c r="D6813" t="n">
        <v>20</v>
      </c>
      <c r="E6813" t="n">
        <v>74</v>
      </c>
      <c r="F6813">
        <f>HYPERLINK("https://www.reddit.com/r/cancer/comments/ej1zm2/unsure_how_to_break_news_to_family_and_friends/")</f>
        <v/>
      </c>
      <c r="G6813" t="inlineStr">
        <is>
          <t>2020-01-02 10:26:47</t>
        </is>
      </c>
      <c r="H6813" t="inlineStr"/>
    </row>
    <row r="6814">
      <c r="A6814" t="inlineStr">
        <is>
          <t>ej23wj</t>
        </is>
      </c>
      <c r="B6814" t="inlineStr">
        <is>
          <t>Possible diagnosis</t>
        </is>
      </c>
      <c r="C6814" t="inlineStr">
        <is>
          <t>My brother-in-law will be finding out in 4 days if he has carcinoid tumors which if positive he will have less than 5 years left to live. I am looking for advice on what to say and how best to support him. He has two college-age boys and is 54 years old. My sister is super supportive and is remaining positive that they will get good news but he wakes up in despair crying every day. Any advice on what to do/say would be appreciated.</t>
        </is>
      </c>
      <c r="D6814" t="n">
        <v>3</v>
      </c>
      <c r="E6814" t="n">
        <v>33</v>
      </c>
      <c r="F6814">
        <f>HYPERLINK("https://www.reddit.com/r/cancer/comments/ej23wj/possible_diagnosis/")</f>
        <v/>
      </c>
      <c r="G6814" t="inlineStr">
        <is>
          <t>2020-01-02 10:35:25</t>
        </is>
      </c>
      <c r="H6814" t="inlineStr"/>
    </row>
    <row r="6815">
      <c r="A6815" t="inlineStr">
        <is>
          <t>ej2lcn</t>
        </is>
      </c>
      <c r="B6815" t="inlineStr">
        <is>
          <t>I (22F) started losing my hair from radiation. I did not think it would bother me as much as it does.</t>
        </is>
      </c>
      <c r="C6815" t="inlineStr">
        <is>
          <t>I shaved my head a year and a half ago in solidarity with my mom who was about to undergo a stem cell transplant for her cancer. She passed away this past November. I loved not having any hair and have actually been wanting to cut it super short again. 
But yesterday, when I finger-combed my hair, quite a bit came out. Thinking maybe it was a fluke I did it again and again. Same thing. I've had this sore feeling spot on my scalp for a week or so and was wondering if that was what was happening. Seems it is... makes me a little sad. Makes me anxious even. 
I've been going to the gym recently and am now afraid to put my hair up for fear that a big clump will come out with my hair tie.
Happy New Year to me.</t>
        </is>
      </c>
      <c r="D6815" t="n">
        <v>3</v>
      </c>
      <c r="E6815" t="n">
        <v>15</v>
      </c>
      <c r="F6815">
        <f>HYPERLINK("https://www.reddit.com/r/cancer/comments/ej2lcn/i_22f_started_losing_my_hair_from_radiation_i_did/")</f>
        <v/>
      </c>
      <c r="G6815" t="inlineStr">
        <is>
          <t>2020-01-02 11:09:20</t>
        </is>
      </c>
      <c r="H6815" t="inlineStr"/>
    </row>
    <row r="6816">
      <c r="A6816" t="inlineStr">
        <is>
          <t>ej2sg7</t>
        </is>
      </c>
      <c r="B6816" t="inlineStr">
        <is>
          <t>When did your treatment start?</t>
        </is>
      </c>
      <c r="C6816" t="inlineStr">
        <is>
          <t>Hi everyone, I’ve posted here before and I love this community despite everyone’s circumstances. I’m just posting to ask how long it took from your diagnosis date to your first treatment date? I watched a documentary on medical marijuana where a woman said she found out her daughter had leukemia and they started chemo that same day. My dad had his biopsy dec 13 and they confirmed stage 3b lung cancer and he has had zero treatment!!!! Since then it’s moved on to a stage 4. It’s maddening as all hell, those doctors knowing how fast growing this kind of cancer is and here we are still with no treatment. His doctors appts are like 3 weeks to a month out, too. Is this a weird case, or does it usually take about this long? I know he isn’t the only person they’re treating. But damn 😡
Edit: as soon as I closed out reddit on my phone I had a text from my mom saying it starts Monday. But I don’t overreact or anything.....</t>
        </is>
      </c>
      <c r="D6816" t="n">
        <v>5</v>
      </c>
      <c r="E6816" t="n">
        <v>22</v>
      </c>
      <c r="F6816">
        <f>HYPERLINK("https://www.reddit.com/r/cancer/comments/ej2sg7/when_did_your_treatment_start/")</f>
        <v/>
      </c>
      <c r="G6816" t="inlineStr">
        <is>
          <t>2020-01-02 11:22:53</t>
        </is>
      </c>
      <c r="H6816" t="inlineStr"/>
    </row>
    <row r="6817">
      <c r="A6817" t="inlineStr">
        <is>
          <t>ej35jh</t>
        </is>
      </c>
      <c r="B6817" t="inlineStr">
        <is>
          <t>After C</t>
        </is>
      </c>
      <c r="C6817" t="inlineStr">
        <is>
          <t>Anyone else just not like who they are after breast cancer?
How are your finances after? 
Just looking for others that feel like I do....
I posted to a support group this morning and was completely invalidated by a (young) admin and told I should be grateful, happy. She doesn't have an ex supporting her *either*. (Neither do or did I. He didn't even support his kids!) Money is just money (I am having seriously stressful financial issues). No! Money puts food on your table and a roof over your head!</t>
        </is>
      </c>
      <c r="D6817" t="n">
        <v>15</v>
      </c>
      <c r="E6817" t="n">
        <v>17</v>
      </c>
      <c r="F6817">
        <f>HYPERLINK("https://www.reddit.com/r/cancer/comments/ej35jh/after_c/")</f>
        <v/>
      </c>
      <c r="G6817" t="inlineStr">
        <is>
          <t>2020-01-02 11:48:16</t>
        </is>
      </c>
      <c r="H6817" t="inlineStr"/>
    </row>
    <row r="6818">
      <c r="A6818" t="inlineStr">
        <is>
          <t>ej64cm</t>
        </is>
      </c>
      <c r="B6818" t="inlineStr">
        <is>
          <t>30 y.o female diagnosed with ER/PR + BC needing Tamoxifen</t>
        </is>
      </c>
      <c r="C6818" t="inlineStr">
        <is>
          <t>Is it silly for me to worry about my fertility? 
I did not need Chemotherapy, thank goodness but I did get surgery and I am just about done with radiation treatments. My oncologist will want me on Tamoxifen for 5 years. 
Should I be concerned that I will lose my ability to conceive?</t>
        </is>
      </c>
      <c r="D6818" t="n">
        <v>2</v>
      </c>
      <c r="E6818" t="n">
        <v>8</v>
      </c>
      <c r="F6818">
        <f>HYPERLINK("https://www.reddit.com/r/cancer/comments/ej64cm/30_yo_female_diagnosed_with_erpr_bc_needing/")</f>
        <v/>
      </c>
      <c r="G6818" t="inlineStr">
        <is>
          <t>2020-01-02 15:14:25</t>
        </is>
      </c>
      <c r="H6818" t="inlineStr"/>
    </row>
    <row r="6819">
      <c r="A6819" t="inlineStr">
        <is>
          <t>ej6wsp</t>
        </is>
      </c>
      <c r="B6819" t="inlineStr">
        <is>
          <t>What is chemo and radiation considered as under health insurance?</t>
        </is>
      </c>
      <c r="C6819" t="inlineStr">
        <is>
          <t>Hi! 
Signing up for a new health insurance plan, and under the plan benefits, they list things like "Office visit copay, inpatient hospital, outpatient surgery, diagnostic imaging, emergency room visit, prescription drug costs" etc etc, alongside the dollar amount and/or percentage you have to pay under the plan.
Where does chemotherapy &amp;amp; radiation fall under this list for you all?
 It's not a hospital stay in most cases, right? It's not outpatient surgery either. It does involve prescription drugs, but it's hardly just a bottle of pills you get mailed.
I'm pretty confused. Trying to find out how much it might even roughly cost for out of pocket costs here. There is no listings on the plan summaries for cancer treatments and percentage after deductible you are required to pay. How are these procedures and drugs billed typically?
Thankyou very much for any advice or experience you can offer.</t>
        </is>
      </c>
      <c r="D6819" t="n">
        <v>1</v>
      </c>
      <c r="E6819" t="n">
        <v>6</v>
      </c>
      <c r="F6819">
        <f>HYPERLINK("https://www.reddit.com/r/cancer/comments/ej6wsp/what_is_chemo_and_radiation_considered_as_under/")</f>
        <v/>
      </c>
      <c r="G6819" t="inlineStr">
        <is>
          <t>2020-01-02 16:11:52</t>
        </is>
      </c>
      <c r="H6819" t="inlineStr"/>
    </row>
    <row r="6820">
      <c r="A6820" t="inlineStr">
        <is>
          <t>ej6xd0</t>
        </is>
      </c>
      <c r="B6820" t="inlineStr">
        <is>
          <t>Went in for back pain.</t>
        </is>
      </c>
      <c r="C6820" t="inlineStr">
        <is>
          <t>Went in for back pain. CT taken. Besides 6 bulging discs they told me had a "4.5 complex mass within right adrenal gland. Internal calcification and approx 37 hounsfield units." And see a specialist asap. 
Went directly to GP. He told me cancer and sent me for MRI of abdomen on Tuesday. 
Can anyone translate this. Please?  I'm scared.</t>
        </is>
      </c>
      <c r="D6820" t="n">
        <v>8</v>
      </c>
      <c r="E6820" t="n">
        <v>20</v>
      </c>
      <c r="F6820">
        <f>HYPERLINK("https://www.reddit.com/r/cancer/comments/ej6xd0/went_in_for_back_pain/")</f>
        <v/>
      </c>
      <c r="G6820" t="inlineStr">
        <is>
          <t>2020-01-02 16:13:06</t>
        </is>
      </c>
      <c r="H6820" t="inlineStr"/>
    </row>
    <row r="6821">
      <c r="A6821" t="inlineStr">
        <is>
          <t>ej753t</t>
        </is>
      </c>
      <c r="B6821" t="inlineStr">
        <is>
          <t>How can I 37m help my 29M friend who lost his mother 4 days ago?</t>
        </is>
      </c>
      <c r="C6821" t="inlineStr">
        <is>
          <t>He needed help at the auditor today to take care of the deed stuff, he cant talk to people without blowing up, he has a very bad anger problem and his mothers death has compounded this.   
Mortgage on the house he inherited was coming up and bank wont stop payments temporarely so I helped him with it but I do not know what else to do, he ask me for a ride I give it to him, he's hungy, I feed him.   
He's so hurt, so fragile and broken.   He's not somebody like this, hell I'm not used to trying to help pick up the pieces for something like this, I'm a mean country boy,  but my heart hurts for my good friend so bad.   
Me and my wife are trying but fuck she lost her step dad March 2019 to Lung Cancer as well.</t>
        </is>
      </c>
      <c r="D6821" t="n">
        <v>8</v>
      </c>
      <c r="E6821" t="n">
        <v>5</v>
      </c>
      <c r="F6821">
        <f>HYPERLINK("https://www.reddit.com/r/cancer/comments/ej753t/how_can_i_37m_help_my_29m_friend_who_lost_his/")</f>
        <v/>
      </c>
      <c r="G6821" t="inlineStr">
        <is>
          <t>2020-01-02 16:29:05</t>
        </is>
      </c>
      <c r="H6821" t="inlineStr"/>
    </row>
    <row r="6822">
      <c r="A6822" t="inlineStr">
        <is>
          <t>ej7awj</t>
        </is>
      </c>
      <c r="B6822" t="inlineStr">
        <is>
          <t>Hair Growth Post Chemo</t>
        </is>
      </c>
      <c r="C6822" t="inlineStr">
        <is>
          <t>Hi, I am a 19 year old college student who was diagnosed with Ewing’s mid 2018. The chemo was long and intense, but everything’s all good and I finished chemo about 6-7 months ago. The one thing that really fucked with my confidence and still does is my hair. It used to be thick and black, but now it’s like this weird ash grey color and thinner than paper, and you can see my scalp at all times. I take biotin, use coconut oil, use biotin shampoo, take other vitamins, etc and nothing seems to be working. It bothers me day and night and I know this shouldn’t be such a bother since I have the gift of life but I really just wanna go out without wearing a hat and feel like myself again with confidence. Does anyone have any tips on remedies and can anyone give me a rough timeline for my hair?</t>
        </is>
      </c>
      <c r="D6822" t="n">
        <v>8</v>
      </c>
      <c r="E6822" t="n">
        <v>25</v>
      </c>
      <c r="F6822">
        <f>HYPERLINK("https://www.reddit.com/r/cancer/comments/ej7awj/hair_growth_post_chemo/")</f>
        <v/>
      </c>
      <c r="G6822" t="inlineStr">
        <is>
          <t>2020-01-02 16:40:38</t>
        </is>
      </c>
      <c r="H6822" t="inlineStr"/>
    </row>
    <row r="6823">
      <c r="A6823" t="inlineStr">
        <is>
          <t>ej7v5s</t>
        </is>
      </c>
      <c r="B6823" t="inlineStr">
        <is>
          <t>My gf's mom got diagnosed with colon cancer</t>
        </is>
      </c>
      <c r="C6823" t="inlineStr">
        <is>
          <t>So today my gf's (20) mom got diagnosed with colon cancer. She just cries the whole time and I feel so sorry. They don't know in which stage she is yet. CT is in 10 days. Wish us luck</t>
        </is>
      </c>
      <c r="D6823" t="n">
        <v>10</v>
      </c>
      <c r="E6823" t="n">
        <v>8</v>
      </c>
      <c r="F6823">
        <f>HYPERLINK("https://www.reddit.com/r/cancer/comments/ej7v5s/my_gfs_mom_got_diagnosed_with_colon_cancer/")</f>
        <v/>
      </c>
      <c r="G6823" t="inlineStr">
        <is>
          <t>2020-01-02 17:24:03</t>
        </is>
      </c>
      <c r="H6823" t="inlineStr"/>
    </row>
    <row r="6824">
      <c r="A6824" t="inlineStr">
        <is>
          <t>ej8trn</t>
        </is>
      </c>
      <c r="B6824" t="inlineStr">
        <is>
          <t>Stage 3 periampullary diagnosis for my brother in law</t>
        </is>
      </c>
      <c r="C6824" t="inlineStr">
        <is>
          <t>He just received the diagnosis today. He was diagnosed with duodenum cancer in November and had the whipple procedure done. After pathology from the procedure they said the cancer had originated in the ampulla of the pancreas and spread to the duodenum. Has anyone dealt with this cancer? I know its very rare and there hasn't been a lot of research or tests done with it. It sounds bad and the survival rate is low. He is starting 6 months of chemo at the end of the month.</t>
        </is>
      </c>
      <c r="D6824" t="n">
        <v>6</v>
      </c>
      <c r="E6824" t="n">
        <v>3</v>
      </c>
      <c r="F6824">
        <f>HYPERLINK("https://www.reddit.com/r/cancer/comments/ej8trn/stage_3_periampullary_diagnosis_for_my_brother_in/")</f>
        <v/>
      </c>
      <c r="G6824" t="inlineStr">
        <is>
          <t>2020-01-02 18:38:36</t>
        </is>
      </c>
      <c r="H6824" t="inlineStr"/>
    </row>
    <row r="6825">
      <c r="A6825" t="inlineStr">
        <is>
          <t>ej8vn0</t>
        </is>
      </c>
      <c r="B6825" t="inlineStr">
        <is>
          <t>Dad won't let sister know...</t>
        </is>
      </c>
      <c r="C6825" t="inlineStr">
        <is>
          <t>Let me start off by saying that I would never in my life break news to my 14 yo sister against the wishes of my stepdad. 
So...today I found out my stepdad got bit by the cancer bug again. Last time I was really young, say 7-10 ish somewhere in that range and never really understood what was going on. My family is very private between the parents and for the \*protection\* of the kids never divulges any kind of bad news within the family, health particularly included. Everyone in our family is close but I was still very surprised that I was even brought in on the news even though I am no longer a little boy. My sister, on the other hand, is a different story and I know that if this progressed any further down the line, I would if I was in her shoes, have lots and lots of anger towards the rest of my family of keeping something like this undisclosed. I totally understand the desire to keep this pain away but I feel like it's very much unfair to someone of her age to be left in the dark.
I would love advice on how to deal with this situation myself perhaps, or maybe how to talk with the parents about maybe considering looping in my little sister. Thank you.</t>
        </is>
      </c>
      <c r="D6825" t="n">
        <v>4</v>
      </c>
      <c r="E6825" t="n">
        <v>10</v>
      </c>
      <c r="F6825">
        <f>HYPERLINK("https://www.reddit.com/r/cancer/comments/ej8vn0/dad_wont_let_sister_know/")</f>
        <v/>
      </c>
      <c r="G6825" t="inlineStr">
        <is>
          <t>2020-01-02 18:42:34</t>
        </is>
      </c>
      <c r="H6825" t="inlineStr"/>
    </row>
    <row r="6826">
      <c r="A6826" t="inlineStr">
        <is>
          <t>ej9jgr</t>
        </is>
      </c>
      <c r="B6826" t="inlineStr">
        <is>
          <t>Chemo brain in younger patients</t>
        </is>
      </c>
      <c r="C6826" t="inlineStr">
        <is>
          <t>By younger I mean 30-40 range. I've been told that studies have shown younger patients do better in terms of chemo brain going away but it takes time. 
Has anyone that age that had chemo brain have it go away? How long did it take? Thanks.</t>
        </is>
      </c>
      <c r="D6826" t="n">
        <v>2</v>
      </c>
      <c r="E6826" t="n">
        <v>12</v>
      </c>
      <c r="F6826">
        <f>HYPERLINK("https://www.reddit.com/r/cancer/comments/ej9jgr/chemo_brain_in_younger_patients/")</f>
        <v/>
      </c>
      <c r="G6826" t="inlineStr">
        <is>
          <t>2020-01-02 19:34:45</t>
        </is>
      </c>
      <c r="H6826" t="inlineStr"/>
    </row>
    <row r="6827">
      <c r="A6827" t="inlineStr">
        <is>
          <t>ejae65</t>
        </is>
      </c>
      <c r="B6827" t="inlineStr">
        <is>
          <t>Acute Myeloid Leukemia (AML)</t>
        </is>
      </c>
      <c r="C6827" t="inlineStr">
        <is>
          <t>hi, my mum (53) was diagnosed with AML recently and she's currently undergoing a new type of chemotherapy treatment (Venetoclax + Azycitidine (i think the names are spelt like this)). Read up some papers and stats and thought this might be worth a try for her since she had underwent a strong chemotherapy previously for her lymphoma and this was a more "gentle" form of chemo on her body. got the news that her genetic report came out indicating that she's a low risk/favourable group for AML just yesterday. Just wondering if anyone knows someone with prior experiences with this new treatment for AML and if they could share how it went?  
ps. first time posting on reddit so idk if i'm doing this the right way 
thank you for reading and have a nice day ahead!</t>
        </is>
      </c>
      <c r="D6827" t="n">
        <v>3</v>
      </c>
      <c r="E6827" t="n">
        <v>12</v>
      </c>
      <c r="F6827">
        <f>HYPERLINK("https://www.reddit.com/r/cancer/comments/ejae65/acute_myeloid_leukemia_aml/")</f>
        <v/>
      </c>
      <c r="G6827" t="inlineStr">
        <is>
          <t>2020-01-02 20:45:54</t>
        </is>
      </c>
      <c r="H6827" t="inlineStr"/>
    </row>
    <row r="6828">
      <c r="A6828" t="inlineStr">
        <is>
          <t>ejbdve</t>
        </is>
      </c>
      <c r="B6828" t="inlineStr">
        <is>
          <t>My experience with Cancer and what I've learned from it</t>
        </is>
      </c>
      <c r="C6828" t="inlineStr">
        <is>
          <t>\-- This started off as me just writing about my experience with cancer as a form of catharsis, but I decided to share here because it may resonate with some people---
I never knew what it was like to live until I received a second chance at life. I’ve heard before that facing your mortality, whether it be from an illness or a severe accident, will give you a new lease on life, but I never knew how true those words ring until I experienced it myself. It is something that I find incredibly ironic as well as poetic, how the closer we are to death, the more we learn to live. 
When I first began exhibiting signs that I was sick, I brushed it off and didn’t allow my mind to explore the dark ominous feeling that crept underneath. It all started seemingly innocent enough, a persistent cough that wouldn’t go away for months. I just blamed it on the stress from school and didn’t dwell on it too much. I didn’t start to get worried until I noticed the small lump at the base of the neck, although it too seemed innocuous and I even questioned if there was something wrong or if I’ve always had that bump, a seemingly desperate attempt at rationalization. But it kept growing. At an alarming pace that left me dreading every day that passed by as I saw more and more of my neck becoming engulfed by the mass until at its peak it reached the size of a grapefruit bulging from the base of my neck and as a result restricting my head movement as well as constricting my airways and esophagus. The lump was large but it was only the tip of the ice berg of an extensive network of swollen lymph nodes that traversed my body, ominously growing out of sight underneath the surface. At this time, the general consensus between the doctors I had seen were that it was likely a type of blood cancer called Lymphoma and after many nights of sorrow and anger, I had eventually resigned to that fate. However, after getting a biopsy, the test results came back as negative for cancer and although puzzling my doctors, it seemed like a true miracle had occurred. But I would soon come to find out that this was just another turn in the rollercoaster of life.
See despite the favourable results, for the next month, my symptoms continually worsened, my neck became more swollen as more and more lymph nodes started to become palpable throughout my body. But even with the unrelenting fevers, the drenching night sweats, the fatigue, the itch all over my body, the hardest part during this time must’ve been the not knowing. Not knowing what I had, not knowing what was happening to me and desperately yearning for the answer so I could at least start taking the next steps to heal myself. At this point I had met with ENT specialists, Hematologists, Infectious Disease specialists, Rheumatologists, Pathologists and Oncologists but nothing seemed to add up. As my condition was clearly deteriorating, my surgeon opted to take drastic action and perform extensive surgery on my neck to remove the large mass that was situated at the base of my neck. When I woke up from anesthesia I was shocked and amused to see that my head looked like it had been cut off and stitched back on to my body. Soon after, as I returned to the doctor to get my stitches removed, I was told the news that my pathology results from the excisioned mass had returned and they had finally figured out what I was dealing with. This came as a wave of relief as I felt that this nightmare was going to soon come to an end, however I soon found out how wrong I was and that this was only the start of my journey. Nothing could’ve prepared me for what came next.
“You have cancer”
 I was 20 years old in August of 2018 when I first heard those harrowing words that would forever change my life. After months of misdiagnoses, blood tests, scans, and surgery I had finally gotten the elusive answer that I longed for, although it wasn’t the one I had hoped it would be. The feeling of invulnerability that usually accompanies that age quickly evaporated upon hearing those three words, and I was immediately thrown into a deep pit of uncertainty. I vividly remember the initial empty, hollow feeling present throughout my mind and body. No sorrow or anger this time, just a pervasive numbness as the news had seemingly not fully sunk in yet or maybe detaching myself from the events was a coping mechanism in of itself. Everything was a blur from that point on. PET scans, appointments with my brilliant hematologist, discussions about treatment, medications and side effects. Being diagnosed with Hodgkins Lymphoma altered the course of my life forever, and my experience with it was by far the hardest thing I’ve ever been through but also the most illuminating, eye opening and rewarding experiences I’ve had to date. The doctors told me that this was the 'good' cancer to have but this did nothing to quell my worries, and I understand that the doctors had good intentions when telling me that but frankly I found that calling any cancer 'good' completely cheapens the nightmarish experience that any cancer entails, and I felt it was insulting to the thousands of brave warriors who succumbed to the disease and trust me I've read tons of horror stories of incredibly courageous people in my shoes who had to deal with refractory or relapsed disease. I feel guilty about complaining about my cancer sometimes because I know other people would do anything to be in my position, but I struggled extremely during my battle with cancer and I think we can all acknowledge that it is a horrible, abhorrent disease no matter which type it is. Cancer had always been an abstract term to me, something that I only read about in textbooks or heard about from other people. It was always a distant concept, far removed from my life and at the age of 20, it was one of the last things I would have expected to deal with. But my relationship with cancer suddenly became extremely intimate and throughout the course of the next couple months I learned a lot more about that once elusive word and the reverse was also true; It had also taught me more about myself than I could have ever imagined. Unknowingly at the time, this is where I learned my first lesson from this experience: that life is unpredictable and reckless, and that no matter how much we try to prepare for what lies ahead, control is a ultimately out of our hands and we are subject to the course of life regardless if we are willing passengers or unwillingly being dragged through its clenches.
My treatment consisted of chemotherapy every 2 weeks for 6 months. The chemotherapy was grueling and constantly made me question if I had the will or resolve to overcome this battle. It wasn’t the hair falling out that was particularly troublesome, the bald look actually started to grow on me. Nor was it the peripheral neuropathy, neutropenia, or the nausea that became unbearable over the course of treatment. The hardest part of my whole journey wasn’t the symptoms of my cancer neither the side effects of chemotherapy. It was the emotional and psychological struggle that I battled with every day that proved to be the ultimate tribulation. The physical effects paled in comparison to the mental anguish that I experienced. Every night as I lay in bed alone with my thoughts, reflecting on my past, present and future, I would wonder if this was it? I thought about all the things I haven’t done and places I’ve never been to. Would I ever get to visit my parent’s home country? Would I never get to have a family of my own? Was everything I have ever done my whole entire life purposeless, with all my goals and achievements able to be so easily wiped out in a fraction of the time it took to accomplish them? I struggled with an endless barrage of these questions every night as I came to face to face with my mortality but only one thing was certain and that was that I wasn’t ready to die. 
Fate must have agreed with me because one month after I finished chemotherapy, and almost a year after this whole ordeal started, my final PET scan results came back and I was announced to be in remission. There are no words to describe the amount of joy and love experienced by me and my family, friends and rest of my support group including the wonderful medical team that made this all a possibility. Cancer sure does suck and brings out tons of sadness, but at the same time it brings people together closer than they could have ever thought they would be.
 I am comfortable opening up now about this experience of my life because I have come to terms with it, and in hindsight, I now view it as a positive, transformative event that helped define who I am and who I want to become. I look back on it as the most important year of my life, because in the midst of the chaos and uncertainty, came a sense of clarity in my life where all the infinite and insignificant distractions and worries of day to day life were washed away and I was only left with a clear sense of purpose. Through this filtered lens I came to find my true essence, and I believe the important lessons that I’ve learned transcend my battle with cancer to every facet of my life.
I’ve always heard that overcoming adversity is what matures you the most as a person, and my experience definitely resonates with that as I believe that in that one year going through that ordeal, I had more growth as a person than in any of the previous 20 years leading up to it. People would sometimes say that getting cancer can be a gift and I never thought that I would be echoing that same sentiment but now it’s exactly how I feel. It taught me to be grateful and to enjoy the gift of life. When you become faced with the fragility of life there is a certain humbleness that overcomes you, as you come to accept potentially being stripped of everything that you’ve ever known and worked for as well as acknowledge all the lost future opportunities, hopes and dreams that might never be realized. Because of it I came to appreciate how trivial the things I used to stress and worry about were, whether it was stressing about a grade or upcoming test, or worrying about having to present in front of a large audience or even what other people think of us in general. I learned patience and to not sweat the small stuff, because when comparing these everyday worries relative to the scale of a major life event, you realize how greatly exaggerated they are. My priorities have also shifted dramatically, and the things that seemed so incredibly important at one time, mainly extrinsic rewards such as money, being highly successful or having a high social status, have been mostly replaced by intrinsic rewards such as helping people and being a part of something that is bigger than yourself. It taught me empathy and understanding of all people, something that I believe is fundamental to the human experience. Every time I met with my Doctors or the nurses that administered my chemotherapy, I felt genuinely cared for and despite the large number of patients that they must encounter, they remembered the small details I shared with them and took the time to acknowledge all my fears and concerns to make me feel secure about my treatment. It helped me realize the importance of putting in that extra effort to ensure that people feel valued. Another lesson that it taught me was that you are stronger and more courageous than you think you are, something I believe that we tend to overlook when faced with any obstacles in life. There is a certain kind of confidence or perhaps enthusiasm for life that I carry with me now, as I’ve learned to live life with no regrets and have come to understand that although we can’t control the circumstances we find ourselves in, we can always control our own actions, making us the co-writers of our life able to write our own story. Overcoming cancer has made me realize that almost anything is achievable if we put our minds to it, and that nothing is out of reach as long as you put in the work in necessary to achieve that goal. And while at the surface this may seem to be an incredibly simple realization, when fully applied to life it can have profound implications. Cancer never truly leaves you. It's been a year since I was announced in remission but I still think about it everyday. The dark cloud of relapse still looms menacingly over my shoulder still leaving me anxious of its return. But for now I enjoy every small moment of my life</t>
        </is>
      </c>
      <c r="D6828" t="n">
        <v>28</v>
      </c>
      <c r="E6828" t="n">
        <v>12</v>
      </c>
      <c r="F6828">
        <f>HYPERLINK("https://www.reddit.com/r/cancer/comments/ejbdve/my_experience_with_cancer_and_what_ive_learned/")</f>
        <v/>
      </c>
      <c r="G6828" t="inlineStr">
        <is>
          <t>2020-01-02 22:14:54</t>
        </is>
      </c>
      <c r="H6828" t="inlineStr"/>
    </row>
    <row r="6829">
      <c r="A6829" t="inlineStr">
        <is>
          <t>ejbv2i</t>
        </is>
      </c>
      <c r="B6829" t="inlineStr">
        <is>
          <t>Body dysmorphia from visible tumors</t>
        </is>
      </c>
      <c r="C6829" t="inlineStr">
        <is>
          <t>Hey, 
I was wondering if anyone else has visible tumors, and how you're coping with that??
I have Hodkins lymphoma and have a very large, hard, visible tumor in my neck and it's really affecting me mentally.
I haven't been able to start chemo yet, and I feel like i'm going crazy from waiting, watching this thing grow in my neck. Making me feel disgusting and disfigured. I don't know what to do and none of my medical team have been any help. I feel like they have been dismissive of me this entire process. 
Has anyone else felt this way? I just feel so alone and helpless right now.</t>
        </is>
      </c>
      <c r="D6829" t="n">
        <v>10</v>
      </c>
      <c r="E6829" t="n">
        <v>20</v>
      </c>
      <c r="F6829">
        <f>HYPERLINK("https://www.reddit.com/r/cancer/comments/ejbv2i/body_dysmorphia_from_visible_tumors/")</f>
        <v/>
      </c>
      <c r="G6829" t="inlineStr">
        <is>
          <t>2020-01-02 23:01:36</t>
        </is>
      </c>
      <c r="H6829" t="inlineStr"/>
    </row>
    <row r="6830">
      <c r="A6830" t="inlineStr">
        <is>
          <t>ejcsv7</t>
        </is>
      </c>
      <c r="B6830" t="inlineStr">
        <is>
          <t>hodgkin’s lymphoma 25(F) current patient who just finished 3/12 infusions on ABVD</t>
        </is>
      </c>
      <c r="C6830" t="inlineStr">
        <is>
          <t>hey everyone 
just wanted to see if anyone here had gotten hot flashes during chemotherapy. I personally am being treated with ABVD chemo and they recently switched my bleomycin to brentuximab because of the shortness of breath. I am also now getting the Neulasta shots to increase my white blood count cells because my levels are at .07 vs what it should be between 4.0-10.0..
the biggest problem for me is the Lupron shots (helps increase fertility post chemotherapy. basically putting me in chemically induced menopause)
now since this is “chemically induced menopause” which will help me in the long run, I am experiencing very harsh side effects from it. Long winded hot flashes, constant irritability, and just overall feeling moody. I am a very nice girl but I feel terrible by the way I speak to my family, and especially my partner 26(M). I need advice on the following please!!
1. anything to help the hot flashes
2. anything to help get me through and manage my attitude better 
3. any additional food for thoughts and advice for me. kind of feeling like an empty shell right now.
also a side note: did anyone lose their hearing for 30-60 second intervals after chemo? this has happened maybe 1-3 times daily and when i asked my oncologist she didn’t seem to budge. is this a common side effect especially since since I am so young?</t>
        </is>
      </c>
      <c r="D6830" t="n">
        <v>5</v>
      </c>
      <c r="E6830" t="n">
        <v>4</v>
      </c>
      <c r="F6830">
        <f>HYPERLINK("https://www.reddit.com/r/cancer/comments/ejcsv7/hodgkins_lymphoma_25f_current_patient_who_just/")</f>
        <v/>
      </c>
      <c r="G6830" t="inlineStr">
        <is>
          <t>2020-01-03 00:47:57</t>
        </is>
      </c>
      <c r="H6830" t="inlineStr"/>
    </row>
    <row r="6831">
      <c r="A6831" t="inlineStr">
        <is>
          <t>ejd2od</t>
        </is>
      </c>
      <c r="B6831" t="inlineStr">
        <is>
          <t>Do I take a school leave?</t>
        </is>
      </c>
      <c r="C6831" t="inlineStr">
        <is>
          <t>my family didn’t tell me until i returned home from break, but my dad has cancer. not just one cancer, either. 
he has metastasized neuroendocrine tumors in his liver,  i quote: “innumerable.” 
then he has inoperable adenocarcinoma in the pancreatic head. which as you likely know, is far more aggressive. he’s already had jaundice, and a metal stent placed in to keep the bile duct open. 
his largest tumors are 2.4x2.4 cm, 2.8x1.4 and 4.4 x 3.3 and a 2.8cm tumor in his lower intestine. also a 0.9 cm hepatic lesion. 
his CA 19-9 measures over 15,000... 
he has 87% neutrophil %, and 2.7 g/dL albumin. various other signs screaming how fucked we are as well. 
my mom hates modern medicine and is convinced he is going to die from chemo. i, on the other hand, am convinced he will die without it. my dad has just about no energy to so anything, let alone decision making. i literally don’t know what to do, and neither him nor i have the energy to fight her naturopath bullsh*t.
i’m starting up my next semester soon, and i haven’t made any payments yet. there are classes i would love to take (that will likely never be offered again) but i would never forgive myself if i wasn’t there and he died. 
what should i do? 
i don’t know anyone in my circle who understands, and barely any that are even willing to be supportive. my entire family on my dad’s side has either had or have died from some sort of cancer</t>
        </is>
      </c>
      <c r="D6831" t="n">
        <v>4</v>
      </c>
      <c r="E6831" t="n">
        <v>41</v>
      </c>
      <c r="F6831">
        <f>HYPERLINK("https://www.reddit.com/r/cancer/comments/ejd2od/do_i_take_a_school_leave/")</f>
        <v/>
      </c>
      <c r="G6831" t="inlineStr">
        <is>
          <t>2020-01-03 01:20:29</t>
        </is>
      </c>
      <c r="H6831" t="inlineStr"/>
    </row>
    <row r="6832">
      <c r="A6832" t="inlineStr">
        <is>
          <t>ejdcuv</t>
        </is>
      </c>
      <c r="B6832" t="inlineStr">
        <is>
          <t>A Single Cycle of Chemo Could Be Enough (Testicular Cancer)</t>
        </is>
      </c>
      <c r="C6832" t="inlineStr">
        <is>
          <t>Researchers are trying to find ways to minimize chemo side effects.    
Reducing the overall dose of chemotherapy could spare young men who have their whole lives ahead of them from long-term side-effects, and also means they will need fewer hospital visits for their treatment.” 
A clinical study was conducted on a group of patients who were believed to be at risk of the cancer recurrence, in the study they were given just a single course of chemotherapy. In which the researchers found that cancer had recurred in only 1.3 percent of men, which is almost the same as those who undergo the standard two cycles of chemo. [Read more](https://www.myhealthyclick.com/testicular-cancer-a-single-cycle-of-chemo-could-be-enough/)</t>
        </is>
      </c>
      <c r="D6832" t="n">
        <v>0</v>
      </c>
      <c r="E6832" t="n">
        <v>4</v>
      </c>
      <c r="F6832">
        <f>HYPERLINK("https://www.reddit.com/r/cancer/comments/ejdcuv/a_single_cycle_of_chemo_could_be_enough/")</f>
        <v/>
      </c>
      <c r="G6832" t="inlineStr">
        <is>
          <t>2020-01-03 01:54:01</t>
        </is>
      </c>
      <c r="H6832" t="inlineStr"/>
    </row>
    <row r="6833">
      <c r="A6833" t="inlineStr">
        <is>
          <t>ejeagt</t>
        </is>
      </c>
      <c r="B6833" t="inlineStr">
        <is>
          <t>Mom gets chemo, but hair is growing back</t>
        </is>
      </c>
      <c r="C6833" t="inlineStr">
        <is>
          <t>I was wondering if anyone here knows about this. My mom has been getting different types of chemo for about 5 months and at the beginning of her treatment, her hair fell out. It has now started to grow back during past months, even though she still gets chemo. What does that mean?</t>
        </is>
      </c>
      <c r="D6833" t="n">
        <v>2</v>
      </c>
      <c r="E6833" t="n">
        <v>5</v>
      </c>
      <c r="F6833">
        <f>HYPERLINK("https://www.reddit.com/r/cancer/comments/ejeagt/mom_gets_chemo_but_hair_is_growing_back/")</f>
        <v/>
      </c>
      <c r="G6833" t="inlineStr">
        <is>
          <t>2020-01-03 03:38:44</t>
        </is>
      </c>
      <c r="H6833" t="inlineStr"/>
    </row>
    <row r="6834">
      <c r="A6834" t="inlineStr">
        <is>
          <t>ejgk8c</t>
        </is>
      </c>
      <c r="B6834" t="inlineStr">
        <is>
          <t>Stage 3 rectal cancer</t>
        </is>
      </c>
      <c r="C6834" t="inlineStr">
        <is>
          <t>I went through chemo and radiation and then surgery , the cancer is gone but now I can't urinate properly and can't get an erection . I'm 57 and never had this problem until the surgery , anyone else have the issue . Being only 57 this a big problem for me. Thanks</t>
        </is>
      </c>
      <c r="D6834" t="n">
        <v>15</v>
      </c>
      <c r="E6834" t="n">
        <v>5</v>
      </c>
      <c r="F6834">
        <f>HYPERLINK("https://www.reddit.com/r/cancer/comments/ejgk8c/stage_3_rectal_cancer/")</f>
        <v/>
      </c>
      <c r="G6834" t="inlineStr">
        <is>
          <t>2020-01-03 07:04:53</t>
        </is>
      </c>
      <c r="H6834" t="inlineStr"/>
    </row>
    <row r="6835">
      <c r="A6835" t="inlineStr">
        <is>
          <t>ejgxkl</t>
        </is>
      </c>
      <c r="B6835" t="inlineStr">
        <is>
          <t>Today, my father passed after a 7 year struggle with colorectal cancer.</t>
        </is>
      </c>
      <c r="C6835" t="inlineStr">
        <is>
          <t>We diagnosed him way back in 2013, it was already stage 4 and had spread to the liver and lungs. He underwent vigorous chemotherapy, a colectomy, liver operations and a plethora of ablation surgeries. We went from a 3-month deadline to 7 years. He was comfortable, happy, working a day job, and lived life to the fullest. 
&amp;amp;#x200B;
A month ago, the cancer was too strong to treat anymore, and my father succumbed to liver failure within a month. 
&amp;amp;#x200B;
Dad, you can finally rest now.  I love you.</t>
        </is>
      </c>
      <c r="D6835" t="n">
        <v>60</v>
      </c>
      <c r="E6835" t="n">
        <v>29</v>
      </c>
      <c r="F6835">
        <f>HYPERLINK("https://www.reddit.com/r/cancer/comments/ejgxkl/today_my_father_passed_after_a_7_year_struggle/")</f>
        <v/>
      </c>
      <c r="G6835" t="inlineStr">
        <is>
          <t>2020-01-03 07:32:18</t>
        </is>
      </c>
      <c r="H6835" t="inlineStr"/>
    </row>
    <row r="6836">
      <c r="A6836" t="inlineStr">
        <is>
          <t>ejhs2g</t>
        </is>
      </c>
      <c r="B6836" t="inlineStr">
        <is>
          <t>Ask Reddit: Does Radiation Therapy on L5 causes unbearable pain ?</t>
        </is>
      </c>
      <c r="C6836" t="inlineStr">
        <is>
          <t>Pain is unbearable, Its been 5 days since RT began, unable to walk or stand for even shorter periods.</t>
        </is>
      </c>
      <c r="D6836" t="n">
        <v>1</v>
      </c>
      <c r="E6836" t="n">
        <v>14</v>
      </c>
      <c r="F6836">
        <f>HYPERLINK("https://www.reddit.com/r/cancer/comments/ejhs2g/ask_reddit_does_radiation_therapy_on_l5_causes/")</f>
        <v/>
      </c>
      <c r="G6836" t="inlineStr">
        <is>
          <t>2020-01-03 08:31:37</t>
        </is>
      </c>
      <c r="H6836" t="inlineStr"/>
    </row>
    <row r="6837">
      <c r="A6837" t="inlineStr">
        <is>
          <t>ejil3y</t>
        </is>
      </c>
      <c r="B6837" t="inlineStr">
        <is>
          <t>Does Blood transfusion help for end stage cancer?</t>
        </is>
      </c>
      <c r="C6837" t="inlineStr">
        <is>
          <t>Does blood transfusion helps to prolong a cancer patient life? Doctor say my mum only have days to weeks. I can’t lose her, there’s so many things that I need to show her.</t>
        </is>
      </c>
      <c r="D6837" t="n">
        <v>1</v>
      </c>
      <c r="E6837" t="n">
        <v>2</v>
      </c>
      <c r="F6837">
        <f>HYPERLINK("https://www.reddit.com/r/cancer/comments/ejil3y/does_blood_transfusion_help_for_end_stage_cancer/")</f>
        <v/>
      </c>
      <c r="G6837" t="inlineStr">
        <is>
          <t>2020-01-03 09:28:04</t>
        </is>
      </c>
      <c r="H6837" t="inlineStr"/>
    </row>
    <row r="6838">
      <c r="A6838" t="inlineStr">
        <is>
          <t>ejix25</t>
        </is>
      </c>
      <c r="B6838" t="inlineStr">
        <is>
          <t>[Update] on my mom</t>
        </is>
      </c>
      <c r="C6838" t="inlineStr">
        <is>
          <t>A little while ago I posted on here asking about morphine and hospice. It's official, she's in hospice. This really nice women came out and talking about making her comfortable until you know. She was given about a year if she stays stable. We're hopeful that she lasts until May (when I graduate). Like she's dying dying bro. It's sooo weird and saddening.</t>
        </is>
      </c>
      <c r="D6838" t="n">
        <v>12</v>
      </c>
      <c r="E6838" t="n">
        <v>23</v>
      </c>
      <c r="F6838">
        <f>HYPERLINK("https://www.reddit.com/r/cancer/comments/ejix25/update_on_my_mom/")</f>
        <v/>
      </c>
      <c r="G6838" t="inlineStr">
        <is>
          <t>2020-01-03 09:51:20</t>
        </is>
      </c>
      <c r="H6838" t="inlineStr"/>
    </row>
    <row r="6839">
      <c r="A6839" t="inlineStr">
        <is>
          <t>ejj3jv</t>
        </is>
      </c>
      <c r="B6839" t="inlineStr">
        <is>
          <t>Was recently told the cancer isn't gone after surgery.</t>
        </is>
      </c>
      <c r="C6839" t="inlineStr">
        <is>
          <t>I had a testical and tumor removed just before Thanksgiving due to testicular cancer. I thought that was that and it'd all be finished with. Unfortunately, that isn't the case. The cancer has also spread to my inguinal lymp nodes. I go see the Oncologist next Thursday for my initial consulatiaion and to discuss treatment options. I've been reading up a good bit and as someone who is terrified of needles, chemo does not sound like it's going to be a pleasant experience at all. I'm scared, worried, feel betrayed by my own body and all kinds of other emotions at this point and questions about how this is going to effect my life going forward. Sorry for the rant but thanks for letting me vent. This shit is scary.</t>
        </is>
      </c>
      <c r="D6839" t="n">
        <v>8</v>
      </c>
      <c r="E6839" t="n">
        <v>10</v>
      </c>
      <c r="F6839">
        <f>HYPERLINK("https://www.reddit.com/r/cancer/comments/ejj3jv/was_recently_told_the_cancer_isnt_gone_after/")</f>
        <v/>
      </c>
      <c r="G6839" t="inlineStr">
        <is>
          <t>2020-01-03 10:03:39</t>
        </is>
      </c>
      <c r="H6839" t="inlineStr"/>
    </row>
    <row r="6840">
      <c r="A6840" t="inlineStr">
        <is>
          <t>ejjzxu</t>
        </is>
      </c>
      <c r="B6840" t="inlineStr">
        <is>
          <t>Nodule is thyroid growing, waiting to see if I have thyroid cancer</t>
        </is>
      </c>
      <c r="C6840" t="inlineStr">
        <is>
          <t>I have a nodule in my thyroid that grew from 6mm to 8mm in a month. There are also nodules in my lungs, waiting to see if those have grown. I waiting a month between seeing a doctor for insurance purposes, and I'm really anxious. I've been sick for about a year, nobody could figure out what's going on. I don't know what's going to happen next after the CT scan.
I went to the doctor yesterday, and was there 3 hours. He did an ultrasound right away. It's good, because he was able to track the growth of the nodule. But it also makes me nervous, because I think this might be serious.
Not sure how fast cancer grows, but 30% growth rate seems fast to me. I've been feeling physically bad this month, and I don't know what to do. This post is super rambling, and I feel lost. I'm trying not to think about it, but it's all I can think about. Especially since the symptoms are keeping me from doing normal things, like eating solids and walking up stairs.</t>
        </is>
      </c>
      <c r="D6840" t="n">
        <v>4</v>
      </c>
      <c r="E6840" t="n">
        <v>11</v>
      </c>
      <c r="F6840">
        <f>HYPERLINK("https://www.reddit.com/r/cancer/comments/ejjzxu/nodule_is_thyroid_growing_waiting_to_see_if_i/")</f>
        <v/>
      </c>
      <c r="G6840" t="inlineStr">
        <is>
          <t>2020-01-03 11:05:57</t>
        </is>
      </c>
      <c r="H6840" t="inlineStr"/>
    </row>
    <row r="6841">
      <c r="A6841" t="inlineStr">
        <is>
          <t>ejkazi</t>
        </is>
      </c>
      <c r="B6841" t="inlineStr">
        <is>
          <t>CT Scan</t>
        </is>
      </c>
      <c r="C6841" t="inlineStr">
        <is>
          <t>My father finished 4th chemo for stomach cancer, just did the CT scan, the report said Pre-pyloric gastric mass is poorly discernible on current imaging. Does that mean it is shrinking, is there a chance for surgery?</t>
        </is>
      </c>
      <c r="D6841" t="n">
        <v>2</v>
      </c>
      <c r="E6841" t="n">
        <v>4</v>
      </c>
      <c r="F6841">
        <f>HYPERLINK("https://www.reddit.com/r/cancer/comments/ejkazi/ct_scan/")</f>
        <v/>
      </c>
      <c r="G6841" t="inlineStr">
        <is>
          <t>2020-01-03 11:26:43</t>
        </is>
      </c>
      <c r="H6841" t="inlineStr"/>
    </row>
    <row r="6842">
      <c r="A6842" t="inlineStr">
        <is>
          <t>ejlow1</t>
        </is>
      </c>
      <c r="B6842" t="inlineStr">
        <is>
          <t>My grandmother told me she has liver cancer today</t>
        </is>
      </c>
      <c r="C6842" t="inlineStr">
        <is>
          <t>I’m so devastated, the look on her face when she told me will never leave me. I know it’s not about me but I just don’t know what to do with myself. Should I just let myself grieve or is that too pessimistic? I only ask as I live by myself so my thoughts are largely what I have at the moment. I know in her presence that all I can do is support and encourage.</t>
        </is>
      </c>
      <c r="D6842" t="n">
        <v>5</v>
      </c>
      <c r="E6842" t="n">
        <v>6</v>
      </c>
      <c r="F6842">
        <f>HYPERLINK("https://www.reddit.com/r/cancer/comments/ejlow1/my_grandmother_told_me_she_has_liver_cancer_today/")</f>
        <v/>
      </c>
      <c r="G6842" t="inlineStr">
        <is>
          <t>2020-01-03 13:01:53</t>
        </is>
      </c>
      <c r="H6842" t="inlineStr"/>
    </row>
    <row r="6843">
      <c r="A6843" t="inlineStr">
        <is>
          <t>ejn1gx</t>
        </is>
      </c>
      <c r="B6843" t="inlineStr">
        <is>
          <t>I miss my mom</t>
        </is>
      </c>
      <c r="C6843" t="inlineStr">
        <is>
          <t>Not really sure why I’m typing this...
I just miss my mom a lot. I know she had the best death possible being on hospice and myself and my siblings did our best to keep her pain free but I can’t help but wonder if she actually was.
At the end of January will be my first birthday without her and I don’t even think I want to do anything for it. 
Sorry guys I just had to rant. I miss her a lot today.</t>
        </is>
      </c>
      <c r="D6843" t="n">
        <v>57</v>
      </c>
      <c r="E6843" t="n">
        <v>26</v>
      </c>
      <c r="F6843">
        <f>HYPERLINK("https://www.reddit.com/r/cancer/comments/ejn1gx/i_miss_my_mom/")</f>
        <v/>
      </c>
      <c r="G6843" t="inlineStr">
        <is>
          <t>2020-01-03 14:37:28</t>
        </is>
      </c>
      <c r="H6843" t="inlineStr"/>
    </row>
    <row r="6844">
      <c r="A6844" t="inlineStr">
        <is>
          <t>ejpj9i</t>
        </is>
      </c>
      <c r="B6844" t="inlineStr">
        <is>
          <t>FIL has cancer, hospice time?</t>
        </is>
      </c>
      <c r="C6844" t="inlineStr">
        <is>
          <t>FIL had stage 4 prostate cancer, spread to distant bones and liver. He lives alone about 2 hours away.
He no longer can eat properly, sleeps a lot, barely walk, keeps getting diarrhea, has an eye infection that won’t heal. He keeps need blood transfusions.
Oncologist says chemo isn’t working, hormone therapy didn’t work, surgery isn’t an option.
He has missed doctor appts, blood work tests, etc recently.
Family tries to talk to him he screams and yells.
He seems of sound mind but is stubborn and combative..apparently a sign of late stage cancer?
Doctor thinks he needs hospice, is it time to force his hand?</t>
        </is>
      </c>
      <c r="D6844" t="n">
        <v>5</v>
      </c>
      <c r="E6844" t="n">
        <v>16</v>
      </c>
      <c r="F6844">
        <f>HYPERLINK("https://www.reddit.com/r/cancer/comments/ejpj9i/fil_has_cancer_hospice_time/")</f>
        <v/>
      </c>
      <c r="G6844" t="inlineStr">
        <is>
          <t>2020-01-03 17:41:14</t>
        </is>
      </c>
      <c r="H6844" t="inlineStr"/>
    </row>
    <row r="6845">
      <c r="A6845" t="inlineStr">
        <is>
          <t>ejpm2i</t>
        </is>
      </c>
      <c r="B6845" t="inlineStr">
        <is>
          <t>Does anyone have experience with Sheba Medical Centre in Israel? Specifically CAR-T treatments?</t>
        </is>
      </c>
      <c r="C6845" t="inlineStr">
        <is>
          <t>Hi there, my partner has refractory Burkitts lymphoma and we have run out of treatment options in Australia. We’re looking into clinical trials and self funded treatments abroad. A promising option which unfortunately isn’t available to us in Australia is CAR-T therapy. We’re looking at options overseas and so far it seems the most affordable options are in China and Israel. We are leaning towards Israel, in particular the Sheba Medical Centre and are trying to see if the quality of care he would receive is as good as we have been lead to believe. Any experience of getting treatment in Israel would be appreciated. 
Thanks</t>
        </is>
      </c>
      <c r="D6845" t="n">
        <v>3</v>
      </c>
      <c r="E6845" t="n">
        <v>7</v>
      </c>
      <c r="F6845">
        <f>HYPERLINK("https://www.reddit.com/r/cancer/comments/ejpm2i/does_anyone_have_experience_with_sheba_medical/")</f>
        <v/>
      </c>
      <c r="G6845" t="inlineStr">
        <is>
          <t>2020-01-03 17:46:57</t>
        </is>
      </c>
      <c r="H6845" t="inlineStr"/>
    </row>
    <row r="6846">
      <c r="A6846" t="inlineStr">
        <is>
          <t>ejqgf8</t>
        </is>
      </c>
      <c r="B6846" t="inlineStr">
        <is>
          <t>Today is the day...</t>
        </is>
      </c>
      <c r="C6846" t="inlineStr">
        <is>
          <t>So we are taking my mom off the ventilator today at the hospital... fucking sucks. She didnt want to die in a hospital and here we are.. with her dying in the hospital. She was denied hospice because of her condition so we are forced to do it here... ugh. We couldn't fulfill her dying wishes of passing at home. Like this couldn't be any worse... im sorry mama. I love you and miss you deeply.
Cancer, fuck you. I hate you.</t>
        </is>
      </c>
      <c r="D6846" t="n">
        <v>21</v>
      </c>
      <c r="E6846" t="n">
        <v>19</v>
      </c>
      <c r="F6846">
        <f>HYPERLINK("https://www.reddit.com/r/cancer/comments/ejqgf8/today_is_the_day/")</f>
        <v/>
      </c>
      <c r="G6846" t="inlineStr">
        <is>
          <t>2020-01-03 18:51:33</t>
        </is>
      </c>
      <c r="H6846" t="inlineStr"/>
    </row>
    <row r="6847">
      <c r="A6847" t="inlineStr">
        <is>
          <t>ejqxv2</t>
        </is>
      </c>
      <c r="B6847" t="inlineStr">
        <is>
          <t>My fiancé has Stage IV colorectal cancer</t>
        </is>
      </c>
      <c r="C6847" t="inlineStr">
        <is>
          <t>Just posting to vent in a place where people can relate. 
My (then) boyfriend (Male, age 31) these last few months has been complaining of back pain. We're both huge gym rats so we though he just pulled a hard deadlift and left it at that. It's been getting gradually worse and he started to lose massive amounts of weight. In July he was 185~ish pounds. As of writing this he is 122 pounds. We talked to a NP who said it was prostititis and got him on some antibiotics that didn't help. He continued to grow weaker as walking started to become a chore and he started to develop sciatica in one of his legs. He has severe hospital anxiety and didn't want to go check it out, telling himself he'd get over it so he wouldn't have to go to the ER. 
On Christmas I could take no more. I forced him to let me take him to the ER where a CT scan showed masses on the spine and growths on the liver. He was admitted immediately and got a biopsy. 
Biopsy results showed he has stage IV colorectal cancer that has spread to his liver, lungs and bones. Doctor told us it's incurable and impossible to go into remission from. 
At first he was very "I'm a warrior, I got this." about the whole thing. He preemptively shaved his head so that cancer couldn't take his hair. Posted all over his social media about how this is nothing and he'll get back in the gym and how it wasn't his time. He proposed to me on the 27th and I said yes. 
But the longer he spends in the hospital the more sullen he gets. We're on Day 10 of being in the hospital and more and more keeps going wrong. 
He has to have a catheter and they're talking about having a colostomy bag because the growth might cause an obstruction. He got an ileus and they attempted to pump his stomach with an NG tube but stopped after it drained nothing. Major laxatives didn't help. They said they won't start chemo until he has regular bowel movements. 
He just keeps getting weaker and weaker. 
--------------------------
I don't care what I have to do to help him. If we have to move to Houston so that we can go to MD Anderson, so be it. I'm 100% willing to be his fulltime caretaker so he can get through this. 
He does have a few things going for him his age and his finances. He can afford to go anywhere. Trying to keep my chin up but I'm the kind of person who likes to research and know about stats. And the stats I'm seeing are so depressing. 14% chance to make it to 2025?! It's so demoralizing to try and keep a positive attitude around him knowing that. 
God dammit. We wanted to have kids together. We had big lofty dreams that are now going to be impossible to do. I now get the privilege of watching my partner die slowly over several years. 
It's not fair. 
FUCK CANCER.</t>
        </is>
      </c>
      <c r="D6847" t="n">
        <v>16</v>
      </c>
      <c r="E6847" t="n">
        <v>65</v>
      </c>
      <c r="F6847">
        <f>HYPERLINK("https://www.reddit.com/r/cancer/comments/ejqxv2/my_fiancé_has_stage_iv_colorectal_cancer/")</f>
        <v/>
      </c>
      <c r="G6847" t="inlineStr">
        <is>
          <t>2020-01-03 19:29:54</t>
        </is>
      </c>
      <c r="H6847" t="inlineStr"/>
    </row>
    <row r="6848">
      <c r="A6848" t="inlineStr">
        <is>
          <t>ejrt8x</t>
        </is>
      </c>
      <c r="B6848" t="inlineStr">
        <is>
          <t>the one thing i can’t get over</t>
        </is>
      </c>
      <c r="C6848" t="inlineStr">
        <is>
          <t>I’ve been lying in bed thinking for about two hours now. I can’t sleep. It’s 4am. One of those nights. I’ve been terminal for nearly a year now and I’ve had a lot of time to think about what that means. Obviously it involves a lot of despair and anger at the life that has been lost from me, and a lot of fear of death and of the weak pitiful undignified death that will eventually come my way. I’ve thought about this as i have also thought about how lucky i am to have had such a good and rich life otherwise and somewhat morbidly thought about all the silver linings of dying young. Like... I’ve devoted attention to this issue, is what i’m saying. 
But there is one thing I cannot analyse or think about in any great detail and that is the effect my death will have on my family. My father is a wonderful, loving man and I am going to make him watch me slowly die and he will not be able to save me. He already nursed my mother when she was dying, and recovering from that ordeal took a long time, and I’m going to make him do that again!!!!! God should just give me a hacksaw, I could carve parts of his body off, it’ll make for a neater mess but it’d be over quicker! 
And then there’s my siblings, who i love, and who i’m very close to. There’s no fucking word for what happens when you lose a sibling. But i’m going to destroy them too. I’ve tried to imagine life if our positions were reversed and the thought is so painful that i’d rather throw myself out of a window than finish it.
It just keeps coming back to this. All this fucking cancer bullshit, my bullshit isn’t important - TELL ME THAT THEY’RE GOING TO BE OKAY. That they will not be sad and they won’t linger on loss and that I won’t fucking hurt them. No one can give me that. It’s all I want. EITHER MAKE THEM BE OKAY OR MAKE IT SO I WAS NEVER HERE!</t>
        </is>
      </c>
      <c r="D6848" t="n">
        <v>9</v>
      </c>
      <c r="E6848" t="n">
        <v>15</v>
      </c>
      <c r="F6848">
        <f>HYPERLINK("https://www.reddit.com/r/cancer/comments/ejrt8x/the_one_thing_i_cant_get_over/")</f>
        <v/>
      </c>
      <c r="G6848" t="inlineStr">
        <is>
          <t>2020-01-03 20:40:32</t>
        </is>
      </c>
      <c r="H6848" t="inlineStr"/>
    </row>
    <row r="6849">
      <c r="A6849" t="inlineStr">
        <is>
          <t>ejseqb</t>
        </is>
      </c>
      <c r="B6849" t="inlineStr">
        <is>
          <t>An update on our life</t>
        </is>
      </c>
      <c r="C6849" t="inlineStr">
        <is>
          <t>Mum came home on Friday (3rd of January) she’s looking so much better but she’s on a thick liquids diet, she can eat normal foods but liquids she’s struggling with badly, she’s walking pretty good again but she’s relying on the walker she walked to and from the toilet in the hospital, which was a good sight to see, she’s struggling a little bit with her blood pressure and well, we aren’t medical professionals so we don’t exactly know what to do but we just keep giving her more water (thickened of course) and that’s slowly helping, we did some exercises today to help her gain up muscles in her legs, but she did say something that really worried me, she wasn’t too sure if she was ready to do chemo and she was really nervous it wasn’t going to work, idk how to help her feel better and believe that this is going to help because I don’t know if it will or not, we’ll be moving into a new house soon which will be a huge change for everyone (we had to give up our home an hour away) I’m really nervous for everything that’s about to become our life but what can we do? This is our life now and we have to deal with it, idk where I was going with this but I’m also wondering if anyone else has been put on this thick liquids only diet? and what exercises would y’all suggest for her to do? Again, thank you all so much for reading my little updates and sending love and encouragement, y’all truly have no clue how much it means to me.</t>
        </is>
      </c>
      <c r="D6849" t="n">
        <v>8</v>
      </c>
      <c r="E6849" t="n">
        <v>1</v>
      </c>
      <c r="F6849">
        <f>HYPERLINK("https://www.reddit.com/r/cancer/comments/ejseqb/an_update_on_our_life/")</f>
        <v/>
      </c>
      <c r="G6849" t="inlineStr">
        <is>
          <t>2020-01-03 21:33:08</t>
        </is>
      </c>
      <c r="H6849" t="inlineStr"/>
    </row>
    <row r="6850">
      <c r="A6850" t="inlineStr">
        <is>
          <t>ejtmkp</t>
        </is>
      </c>
      <c r="B6850" t="inlineStr">
        <is>
          <t>Transferring cancer treatments/medical info across state?</t>
        </is>
      </c>
      <c r="C6850" t="inlineStr">
        <is>
          <t xml:space="preserve">
Has anyone here had experience moving treatments, records, insurance, and benefits across state lines - in the middle of treatment?
I'm asking where to begin so I can know which direction to aim my search for more information.
My wife has stage 4 neuroendocrine cancer, and we've come across a situation where we're forced to move out of state.
We've contacted our oncologist for an official consult soon, but I'm just wondering if anyone in a similar situation (or possessing knowledge thereof) would have any wisdom to divulge in what I assume is a rare predicament.</t>
        </is>
      </c>
      <c r="D6850" t="n">
        <v>6</v>
      </c>
      <c r="E6850" t="n">
        <v>19</v>
      </c>
      <c r="F6850">
        <f>HYPERLINK("https://www.reddit.com/r/cancer/comments/ejtmkp/transferring_cancer_treatmentsmedical_info_across/")</f>
        <v/>
      </c>
      <c r="G6850" t="inlineStr">
        <is>
          <t>2020-01-03 23:34:41</t>
        </is>
      </c>
      <c r="H6850" t="inlineStr"/>
    </row>
    <row r="6851">
      <c r="A6851" t="inlineStr">
        <is>
          <t>eju7ao</t>
        </is>
      </c>
      <c r="B6851" t="inlineStr">
        <is>
          <t>Any info on spreading from colon to spleen?</t>
        </is>
      </c>
      <c r="C6851" t="inlineStr">
        <is>
          <t>I had stage III colon cancer and did chemo then CT showed a mass in my spleen. Did my biopsy a week ago yesterday and still haven't heard. (ugh) There doesn't seem to be cancer anywhere else (although I have my next colonoscopy in a couple weeks).
My doctor says it's uncommon for it to spread to the spleen and nowhere else as well. Anyone have any experience on this?
Thanks.
Edit: also how fast is a fast growing tumor. Mine doubled in size in a year. Try googling this but didn't find an answer</t>
        </is>
      </c>
      <c r="D6851" t="n">
        <v>4</v>
      </c>
      <c r="E6851" t="n">
        <v>8</v>
      </c>
      <c r="F6851">
        <f>HYPERLINK("https://www.reddit.com/r/cancer/comments/eju7ao/any_info_on_spreading_from_colon_to_spleen/")</f>
        <v/>
      </c>
      <c r="G6851" t="inlineStr">
        <is>
          <t>2020-01-04 00:40:32</t>
        </is>
      </c>
      <c r="H6851" t="inlineStr"/>
    </row>
    <row r="6852">
      <c r="A6852" t="inlineStr">
        <is>
          <t>ejxd4k</t>
        </is>
      </c>
      <c r="B6852" t="inlineStr">
        <is>
          <t>How to Wait: Bladder Cancer Scare at 23</t>
        </is>
      </c>
      <c r="C6852" t="inlineStr">
        <is>
          <t>Hi guys! I'm a 23 year old female (aka nowhere near the usual bladder cancer patient) and I was just told that my urine cytology results came back: my cells are suspiciously abnormal. 
I'll give a backstory for anyone who's curious and because I need to rant, but skip to the bottom for my question: 
I started peeing blood, a lot of it, about six months ago. Honestly I put off going to the doctor longer than I should have because once it happened it usually went away the next day. Eventually it got to where it is now: randomly every couple weeks or so my pee will be dark red, red, and then pink for a couple days, then return to normal. It doesn't hurt to pee, but I do have a constant pain in my lower stomach that is usually bearable but sometimes so painful and stabbing that I have to stop what I'm doing and lay down. My first doctor's visit confirmed a UTI, they put me on antibiotics. When it was still happening like a month later I went to my PCP. No UTI this time, scheduled a follow-up which brings us to mid-December. I explained at this point I've been having lots of other symptoms. Constant pain, LOTS of joint pain and fatigue. My ankles, knees and wrists have been so weak and swollen they just give out sometimes (not fun if I'm holding something or standing) Fatigue is so bad, I usually work my 8 hour shift, immediately take a 4-5 hour nap, wake up for a couple hours to talk to my fiancee and take care of whatever I need to, eat, and go back to sleep. I've had depression for years and this isn't it, I'm just physically exhausted. I've also been having a lot of brain issues, getting confused and disoriented often, losing things. Because of all this, they did several blood tests to see if it was something autoimmune, all of them came back normal. 
I was also of course then referred to a urologist. Nothing showed up in the urine sample other than a trace of blood. We scheduled a cystoscopy on Feb. 20th and I'm waiting on call from them to schedule a CT-scan. The doctor told me very quickly and causally that it's extremely unlikely to be cancer in someone my age, sex, and who has never smoked, but she would run a urine cytology and call me in a few days to let me know it was normal (her words.)
Well, it wasn't normal. I was told just to proceed with the cystoscopy and CT-scan.
I won't ask if I should be worried or how serious this sounds, because I know reddit isn't my doctor. I'm just curious how you all cope/coped with waiting especially knowing there's a chance were waiting for was cancer. Would you try to find somewhere else to get answers sooner? Should I avoid telling loved ones so I don't freak them out with a false alarm? 
TLDR: How did/do you deal with waiting for what could be the worst news of your life?
I'm not a patient person. A month and a half feels like a lifetime away.</t>
        </is>
      </c>
      <c r="D6852" t="n">
        <v>24</v>
      </c>
      <c r="E6852" t="n">
        <v>25</v>
      </c>
      <c r="F6852">
        <f>HYPERLINK("https://www.reddit.com/r/cancer/comments/ejxd4k/how_to_wait_bladder_cancer_scare_at_23/")</f>
        <v/>
      </c>
      <c r="G6852" t="inlineStr">
        <is>
          <t>2020-01-04 06:39:33</t>
        </is>
      </c>
      <c r="H6852" t="inlineStr"/>
    </row>
    <row r="6853">
      <c r="A6853" t="inlineStr">
        <is>
          <t>ejy737</t>
        </is>
      </c>
      <c r="B6853" t="inlineStr">
        <is>
          <t>Hodgkins Lymphoma stage 4</t>
        </is>
      </c>
      <c r="C6853" t="inlineStr">
        <is>
          <t>My mother 56 F has been diagnosed with Hodgkins Lymphoma stage 4 also affecting the bone marrow. Her chemo is starting soon, if anyone had gone through same disease or know someone, please tell me what I need to make sure for her best recovery, regarding diet, health and mental health? What measures i need to take and what else can I do to make it easy for her...like anything? Thank you for your time and consideration.</t>
        </is>
      </c>
      <c r="D6853" t="n">
        <v>2</v>
      </c>
      <c r="E6853" t="n">
        <v>8</v>
      </c>
      <c r="F6853">
        <f>HYPERLINK("https://www.reddit.com/r/cancer/comments/ejy737/hodgkins_lymphoma_stage_4/")</f>
        <v/>
      </c>
      <c r="G6853" t="inlineStr">
        <is>
          <t>2020-01-04 07:50:23</t>
        </is>
      </c>
      <c r="H6853" t="inlineStr"/>
    </row>
    <row r="6854">
      <c r="A6854" t="inlineStr">
        <is>
          <t>ek1kb8</t>
        </is>
      </c>
      <c r="B6854" t="inlineStr">
        <is>
          <t>Unknown back pain</t>
        </is>
      </c>
      <c r="C6854" t="inlineStr">
        <is>
          <t>Hello all!  I have some things im wondering about and would love any and all opinions.
Im a 23 yo guy on a maintain cycle for Lymphoblastic lymphoma.  I've currently been experiencing incredible pulsing lower back pain/spasms.  The only time I've ever had this pain has been when I was given a white cell growth factor like neulasta and it would usually last a week or two then go away.  However, ever since that first time i will occasionally get this back pain randomly with growth factors being months behind me like it is now.
So, what are you alls experiences with back pain with chemo and growth factors.  If you've had back pain during treatment what did you do to cope/relive pain? 
Any and all comments are appreciated!</t>
        </is>
      </c>
      <c r="D6854" t="n">
        <v>3</v>
      </c>
      <c r="E6854" t="n">
        <v>12</v>
      </c>
      <c r="F6854">
        <f>HYPERLINK("https://www.reddit.com/r/cancer/comments/ek1kb8/unknown_back_pain/")</f>
        <v/>
      </c>
      <c r="G6854" t="inlineStr">
        <is>
          <t>2020-01-04 11:59:35</t>
        </is>
      </c>
      <c r="H6854" t="inlineStr"/>
    </row>
    <row r="6855">
      <c r="A6855" t="inlineStr">
        <is>
          <t>ek3k6o</t>
        </is>
      </c>
      <c r="B6855" t="inlineStr">
        <is>
          <t>She is gone.. RIP mama</t>
        </is>
      </c>
      <c r="C6855" t="inlineStr">
        <is>
          <t>she is gone... im so fucking sad and hurt.. We took her off the ventilator at 10pm last night and she was able to last until 1:25pm today.... rest easy mama, you did so good fighting against GBM. You were able to battle against this monster for 3 years, im so fucking proud of you mama... thank you for everything. I love you mama.. we will see each other again, please visit me in my dreams... 
God this pain is just unbearable.. i just feel so lost.</t>
        </is>
      </c>
      <c r="D6855" t="n">
        <v>68</v>
      </c>
      <c r="E6855" t="n">
        <v>30</v>
      </c>
      <c r="F6855">
        <f>HYPERLINK("https://www.reddit.com/r/cancer/comments/ek3k6o/she_is_gone_rip_mama/")</f>
        <v/>
      </c>
      <c r="G6855" t="inlineStr">
        <is>
          <t>2020-01-04 14:24:57</t>
        </is>
      </c>
      <c r="H6855" t="inlineStr"/>
    </row>
    <row r="6856">
      <c r="A6856" t="inlineStr">
        <is>
          <t>ek3m39</t>
        </is>
      </c>
      <c r="B6856" t="inlineStr">
        <is>
          <t>Is round 2 still on the cards?</t>
        </is>
      </c>
      <c r="C6856" t="inlineStr">
        <is>
          <t>Tomorrow I'm getting a PET scan. I really hope I'm 100% cured. Last time I did one I was told I was 90% cured. I really don't want to have to go through chemo again. I just don't think it'll be pleasant. Plus I really don't want to drop any semesters. I did chemotherapy while attending this university semester. It was a pleasant experience. Everything is a lot harder than it is. Attending is difficult. Life generally is not pleasant while doing chemotherapy and attending university at the same time.</t>
        </is>
      </c>
      <c r="D6856" t="n">
        <v>5</v>
      </c>
      <c r="E6856" t="n">
        <v>3</v>
      </c>
      <c r="F6856">
        <f>HYPERLINK("https://www.reddit.com/r/cancer/comments/ek3m39/is_round_2_still_on_the_cards/")</f>
        <v/>
      </c>
      <c r="G6856" t="inlineStr">
        <is>
          <t>2020-01-04 14:29:12</t>
        </is>
      </c>
      <c r="H6856" t="inlineStr"/>
    </row>
    <row r="6857">
      <c r="A6857" t="inlineStr">
        <is>
          <t>ek3s6q</t>
        </is>
      </c>
      <c r="B6857" t="inlineStr">
        <is>
          <t>I’m mom and Ive been stressing.</t>
        </is>
      </c>
      <c r="C6857" t="inlineStr">
        <is>
          <t>My 11 month old has been battling bi lateral retinoblastoma since she was three weeks old. Her prognosis is fairly good since we found a treatment plan that works for her. Systemic chemo is a big no because she’s had two anaphylaxis shock but intra arterial chemo has been amazing. She had to be resuscitated from the anaphylaxis ugh super scary night but she recovered and we keep rolling. I’m a single mom too so every procedure, every infusion, every appointment it’s just us two. I wanna say I handle stress fairly good because I understand my daughter’s cancer well. All her doctors and nurses have been direct and informative. It has a high survival rate unless she gets the brain tumor. My sister passed away from this brain tumor at age three. It’s hereditary and fatal. My daughter has her third mri with contrast coming up and it’s getting to me. Usually I’m like if it happens it happens, I can’t change it.  Now I’m like if she gets the brain tumor than I lose her. I can’t lose my baby. I try talking to my family about how I feel and it’s there there pat on the shoulder , thoughts and prayers. I don’t do the whole thoughts and prayers thing.</t>
        </is>
      </c>
      <c r="D6857" t="n">
        <v>8</v>
      </c>
      <c r="E6857" t="n">
        <v>2</v>
      </c>
      <c r="F6857">
        <f>HYPERLINK("https://www.reddit.com/r/cancer/comments/ek3s6q/im_mom_and_ive_been_stressing/")</f>
        <v/>
      </c>
      <c r="G6857" t="inlineStr">
        <is>
          <t>2020-01-04 14:41:58</t>
        </is>
      </c>
      <c r="H6857" t="inlineStr"/>
    </row>
    <row r="6858">
      <c r="A6858" t="inlineStr">
        <is>
          <t>ek45p2</t>
        </is>
      </c>
      <c r="B6858" t="inlineStr">
        <is>
          <t>Father (53M) diagnosed two months ago with Stage IV Melanoma</t>
        </is>
      </c>
      <c r="C6858" t="inlineStr">
        <is>
          <t>My (25M) Father (53M) was diagnosed with stage IV melanoma that has left nodules and metastasized masses in his adrenal gland, liver, lung, and pancreas. He undergone surgery to remove one baseball and one golf ball sized mass from his liver and pancreas areas, respectively. Yesterday, he had a CT scan that revealed that the melanoma has spread to his brain. He begins immunotherapy this Wednesday, utilizing a combination of the Yervoy and Opdivo (if I remember correctly). According to my readings and conversations with his oncologist, this is the best way forward in reducing the masses in his internal organs, yielding about a 57% survival rate over the next five years. 
I suppose I am mainly here for support and other opinions on my situation as to what I can expect and how to be the best son and family member during this time. 
Best of luck to you all and your loved ones who are battling this bitch of a disease.</t>
        </is>
      </c>
      <c r="D6858" t="n">
        <v>3</v>
      </c>
      <c r="E6858" t="n">
        <v>8</v>
      </c>
      <c r="F6858">
        <f>HYPERLINK("https://www.reddit.com/r/cancer/comments/ek45p2/father_53m_diagnosed_two_months_ago_with_stage_iv/")</f>
        <v/>
      </c>
      <c r="G6858" t="inlineStr">
        <is>
          <t>2020-01-04 15:09:59</t>
        </is>
      </c>
      <c r="H6858" t="inlineStr"/>
    </row>
    <row r="6859">
      <c r="A6859" t="inlineStr">
        <is>
          <t>ek5xin</t>
        </is>
      </c>
      <c r="B6859" t="inlineStr">
        <is>
          <t>Anxiety is worse than the cancer</t>
        </is>
      </c>
      <c r="C6859" t="inlineStr">
        <is>
          <t>My surgery to remove the tumor for my breast cancer is on Thursday.
Ever since my diagnosis on 12/2/19 I was never all that concerned - if anything I made and still do make jokes. Now, however - I JUST WANT THIS SURGERY!!!
With all the tests, meeting doctors, and waiting for results - I JUST WANT THIS TO BE OVER!
I wanted to have had the surgery and recovery finished yesterday!
Not only do I have to wait 5 days for surgery, I have to wait 2 weeks to find out if I need chemo/radiation 2 weeks AFTER the surgery.
I WANT OFF THIS RIDE! A 32 year old male (or anyone for that matter) should never have to do this! FUCK CANCER!!
&amp;amp;#x200B;
Damn that feels good to get that off my chest - pun intended :D (see dark humor is my goto response, but this really needs to be over)</t>
        </is>
      </c>
      <c r="D6859" t="n">
        <v>16</v>
      </c>
      <c r="E6859" t="n">
        <v>16</v>
      </c>
      <c r="F6859">
        <f>HYPERLINK("https://www.reddit.com/r/cancer/comments/ek5xin/anxiety_is_worse_than_the_cancer/")</f>
        <v/>
      </c>
      <c r="G6859" t="inlineStr">
        <is>
          <t>2020-01-04 17:30:20</t>
        </is>
      </c>
      <c r="H6859" t="inlineStr"/>
    </row>
    <row r="6860">
      <c r="A6860" t="inlineStr">
        <is>
          <t>ek6giv</t>
        </is>
      </c>
      <c r="B6860" t="inlineStr">
        <is>
          <t>Does BRCA related cancer always come back?</t>
        </is>
      </c>
      <c r="C6860" t="inlineStr">
        <is>
          <t>An older relative of mine was diagnosed as pre-cancerous in 2011. She had a hysterectomy but was diagnosed with ovarian cancer a few years later. She was fine for five or so years but has since had at least one remission (I can't remember if it's been one or two remissions, just that's she's used chemo three times) at stage three.
She's been having terrible abdominal pain these past few days and some blood in her urine. I worry that the cancer might be back. She just finished chemo in summer.
Since the original diagnosis, she's been diagnosed with a BRCA gene. The odd part is that no one else in our family has ovarian or breast cancer. Isn't there a 70%+ chance of getting breast cancer and a 50% chance of getting the gene? Her mom, her five sisters, and their bunches of descendants are all fine. Someone else *must* be BRCA positive, even if she got it from her dad's side.
Since the cancer is gene related, does it always come back? The doctor said that's how it is: it'll likely come back every few years, but she can live for years as long as she continues chemo.
This is really stressing me. I never thought much of the gravity of the situation until last year. I'm only in my twenties and I always imagined her being with me until my thirties or even forties. It also makes me nervous for my own health since I don't know if I have the gene too (or any other genes, for that matter).</t>
        </is>
      </c>
      <c r="D6860" t="n">
        <v>4</v>
      </c>
      <c r="E6860" t="n">
        <v>7</v>
      </c>
      <c r="F6860">
        <f>HYPERLINK("https://www.reddit.com/r/cancer/comments/ek6giv/does_brca_related_cancer_always_come_back/")</f>
        <v/>
      </c>
      <c r="G6860" t="inlineStr">
        <is>
          <t>2020-01-04 18:13:28</t>
        </is>
      </c>
      <c r="H6860" t="inlineStr"/>
    </row>
    <row r="6861">
      <c r="A6861" t="inlineStr">
        <is>
          <t>ek72cl</t>
        </is>
      </c>
      <c r="B6861" t="inlineStr">
        <is>
          <t>Guidance on a Book I'm Writing</t>
        </is>
      </c>
      <c r="C6861" t="inlineStr">
        <is>
          <t>Dear r/cancer members,
I'm about to ask something that may seem very selfish, and if it is offensive then I sincerely apologize.
I've been dealing with a lot of loss in my family, six members have passed in the last two years (although none of them from cancer). But I guess for me this novel is just a way to cope with loss and fully come to terms of what is means to lose someone you love, and the topics I have chosen for this novel seem like the best way for me to approach this. And if it ever gets published, I hope that the book can at least help even one person to better accept loss and still be full of love and hope afterwards.
I am looking for some guidance on the process of dealing with and treating cancer. The main character in my book is Jane, who has Ovarian cancer that has returned very aggressively (she will not be recovering from it), and I would just like some details on the process that only those who have had to personally deal with such a heartbreaking disease would know. I should also add that the other main character is her husband of ten years. And if I'm going to write something like this, I need to be true to reality and do it in the most realistic way possible, because with topics this serious in my novel, sugar coating or glossing over the important details seems rather disrespectful to me. 
So if you would be so kind as to give me some guidance on the details of either this specific cancer or the process of dealing with this disease, the help would be invaluable.
Respectfully,
otter\_potter\_8</t>
        </is>
      </c>
      <c r="D6861" t="n">
        <v>0</v>
      </c>
      <c r="E6861" t="n">
        <v>0</v>
      </c>
      <c r="F6861">
        <f>HYPERLINK("https://www.reddit.com/r/cancer/comments/ek72cl/guidance_on_a_book_im_writing/")</f>
        <v/>
      </c>
      <c r="G6861" t="inlineStr">
        <is>
          <t>2020-01-04 19:04:45</t>
        </is>
      </c>
      <c r="H6861" t="inlineStr"/>
    </row>
    <row r="6862">
      <c r="A6862" t="inlineStr">
        <is>
          <t>ek8uqq</t>
        </is>
      </c>
      <c r="B6862" t="inlineStr">
        <is>
          <t>Hair growth post chemo</t>
        </is>
      </c>
      <c r="C6862" t="inlineStr">
        <is>
          <t>Hi!! So I’ve thankfully finished my chemo back in october and I have been free of lymphoma since 11/11/19! i’m a 21f and i’m struggling a lot because my hair is coming in super thick and quickly.. except it’s EVERYWHERE. I have dark hair on my cheeks/chin/stomach which i have never experienced before. does anyone have any experience with this or tricks for trying to reduce it? I’m really self conscious about it.</t>
        </is>
      </c>
      <c r="D6862" t="n">
        <v>2</v>
      </c>
      <c r="E6862" t="n">
        <v>5</v>
      </c>
      <c r="F6862">
        <f>HYPERLINK("https://www.reddit.com/r/cancer/comments/ek8uqq/hair_growth_post_chemo/")</f>
        <v/>
      </c>
      <c r="G6862" t="inlineStr">
        <is>
          <t>2020-01-04 21:43:18</t>
        </is>
      </c>
      <c r="H6862" t="inlineStr"/>
    </row>
    <row r="6863">
      <c r="A6863" t="inlineStr">
        <is>
          <t>eka169</t>
        </is>
      </c>
      <c r="B6863" t="inlineStr">
        <is>
          <t>Chemo present for close coworker?</t>
        </is>
      </c>
      <c r="C6863" t="inlineStr">
        <is>
          <t>A close coworker/ friend was recently diagnosed with breast cancer and is beginning chemo on Thursday. She’s very optimistic as it seems they’ve caught it quite early. However the first set of chemo is supposed to be very heavy duty and I’d like to get her a small gift but not sure what would be the most helpful. 
For those who have gone through chemo, what would have helped you during treatments or the aftermath? Flowers/special foods or drink to help with sickness/books/robe/slippers/anything? Thank you so much in advance-</t>
        </is>
      </c>
      <c r="D6863" t="n">
        <v>2</v>
      </c>
      <c r="E6863" t="n">
        <v>32</v>
      </c>
      <c r="F6863">
        <f>HYPERLINK("https://www.reddit.com/r/cancer/comments/eka169/chemo_present_for_close_coworker/")</f>
        <v/>
      </c>
      <c r="G6863" t="inlineStr">
        <is>
          <t>2020-01-04 23:48:01</t>
        </is>
      </c>
      <c r="H6863" t="inlineStr"/>
    </row>
    <row r="6864">
      <c r="A6864" t="inlineStr">
        <is>
          <t>ekaazw</t>
        </is>
      </c>
      <c r="B6864" t="inlineStr">
        <is>
          <t>It' hard when</t>
        </is>
      </c>
      <c r="C6864" t="inlineStr">
        <is>
          <t>Your memories start to fade...
My step mother died from lung and liver cancer almost 7 years ago and I always think of her but tonight I was watching a show that really made me reminisce and I tried so hard to remember certain things and it wasn't accurate and I could tell... 
I was the one who took her to her chemo appointments and took her to pick out her wig, I remember these events but I can't recall the precise details anymore like exactly how she looked or exactly how she sounded and it's breaking my heart, certain pictures bring back the memories more than others but damn... This is the first time I've noticed this
I've also noticed it with my grandparents' passing away etc. But I've ALWAYS replayed my step moms situation so clearly, I feel horrible 
I almost feel like a failure or something, I know that's not the case but damn, this is the first time I've noticed the memories aren't so vivid and it's breaking my heart :/</t>
        </is>
      </c>
      <c r="D6864" t="n">
        <v>4</v>
      </c>
      <c r="E6864" t="n">
        <v>6</v>
      </c>
      <c r="F6864">
        <f>HYPERLINK("https://www.reddit.com/r/cancer/comments/ekaazw/it_hard_when/")</f>
        <v/>
      </c>
      <c r="G6864" t="inlineStr">
        <is>
          <t>2020-01-05 00:18:42</t>
        </is>
      </c>
      <c r="H6864" t="inlineStr"/>
    </row>
    <row r="6865">
      <c r="A6865" t="inlineStr">
        <is>
          <t>ekahw0</t>
        </is>
      </c>
      <c r="B6865" t="inlineStr">
        <is>
          <t>Fuck Cancer.</t>
        </is>
      </c>
      <c r="C6865" t="inlineStr">
        <is>
          <t>I had my surgery at the end of December. They took a bunch of shit in my abdomen, everything went good really. They said I'm "cancer free".
This is the closest I've felt to just giving up this entire fucking process. I though I remembered the feeling of recovering from this kind of surgery, but the feeling of being basically completely useless is horrible. Need to get out of bed? Call for help. Need some water? Good luck getting out of your position without pain. Sleeping? Good fucking joke. Like, I know I'm super lucky. I'm cancer free. I've still got my job, and it's good enough that I will be able to pay off the debt I've built up during this. But it feels like things are just getting worse instead of better.</t>
        </is>
      </c>
      <c r="D6865" t="n">
        <v>2</v>
      </c>
      <c r="E6865" t="n">
        <v>8</v>
      </c>
      <c r="F6865">
        <f>HYPERLINK("https://www.reddit.com/r/cancer/comments/ekahw0/fuck_cancer/")</f>
        <v/>
      </c>
      <c r="G6865" t="inlineStr">
        <is>
          <t>2020-01-05 00:41:30</t>
        </is>
      </c>
      <c r="H6865" t="inlineStr"/>
    </row>
    <row r="6866">
      <c r="A6866" t="inlineStr">
        <is>
          <t>ekay1p</t>
        </is>
      </c>
      <c r="B6866" t="inlineStr">
        <is>
          <t>‘Fast tracked’ to death?</t>
        </is>
      </c>
      <c r="C6866" t="inlineStr">
        <is>
          <t>My Dad hasn’t got long to live, he was diagnosed 2 months ago with stage 4 nsclc. He had a stroke a month ago and was recovering well from it. While in hospital he was often awake and listening to the oncology/stroke/nurse team discussing him and his case while he was in the room. At one point he heard them discussing whether to treat him or to put him in a ‘fast track’. They decided ‘fast track’. 
 He was never directly informed that he was on ‘end of life care’ but I asked for a meeting with Macmillan nurses to find out what the hell was going on as he hadn’t been given a reassessment date for treatment. They informed me that he was going to die soon and they were just going to be managing pain with morphine. In his notes it says that he was informed of this and accepting of it- Therefore his fault we didn’t know and he should have told us! 
 He says he never had an open discussion and now totally distrusts the nursing team. They have not met him yet but have prescribed him steroids which he doesn’t want to take in case they kill him indirectly with a further stroke or infection. I feel that no one wanted to give him bad news but they washed their hands of him as soon as he had a stroke because he’s an old guy and treatment would be tricky. I know he wasn’t going to get rid of the cancer but it was a chance of living for longer with treatment. He’s not ready to die yet. 
 Does anyone have knowledge of Nhs lingo? Is ‘fast track’ a fast track to death? It certainly feels like it.</t>
        </is>
      </c>
      <c r="D6866" t="n">
        <v>3</v>
      </c>
      <c r="E6866" t="n">
        <v>10</v>
      </c>
      <c r="F6866">
        <f>HYPERLINK("https://www.reddit.com/r/cancer/comments/ekay1p/fast_tracked_to_death/")</f>
        <v/>
      </c>
      <c r="G6866" t="inlineStr">
        <is>
          <t>2020-01-05 01:36:03</t>
        </is>
      </c>
      <c r="H6866" t="inlineStr"/>
    </row>
    <row r="6867">
      <c r="A6867" t="inlineStr">
        <is>
          <t>ekbdwa</t>
        </is>
      </c>
      <c r="B6867" t="inlineStr">
        <is>
          <t>Antidepressants and dying Dad</t>
        </is>
      </c>
      <c r="C6867" t="inlineStr">
        <is>
          <t>My beautiful Dad is dying of lung cancer. I want to be as supportive and there for him as I can be in his last few days/weeks. I also can’t stop crying and feel guilty that he knows how upset I am and feels bad for me.
 Will antidepressants help with this? I want to be emotionally all there to remember everything I can and be with him completely. I’m nervous that antidepressants will numb me and I won’t experience the same connection with him. 
 If anyone has experience of this could they tell me how it was for them and what you’d advise?</t>
        </is>
      </c>
      <c r="D6867" t="n">
        <v>1</v>
      </c>
      <c r="E6867" t="n">
        <v>18</v>
      </c>
      <c r="F6867">
        <f>HYPERLINK("https://www.reddit.com/r/cancer/comments/ekbdwa/antidepressants_and_dying_dad/")</f>
        <v/>
      </c>
      <c r="G6867" t="inlineStr">
        <is>
          <t>2020-01-05 02:28:02</t>
        </is>
      </c>
      <c r="H6867" t="inlineStr"/>
    </row>
    <row r="6868">
      <c r="A6868" t="inlineStr">
        <is>
          <t>ekbuca</t>
        </is>
      </c>
      <c r="B6868" t="inlineStr">
        <is>
          <t>Keytruda and the common cold?</t>
        </is>
      </c>
      <c r="C6868" t="inlineStr">
        <is>
          <t>Hey guys, 
I am quite stressed out as I write this. So my mom’s on Keytruda monotherapy for metastatic NSCLC (large cell lung cancer). She finished chemo and Keytruda in December and now receives Keytruda only. Next week, she’s supposed to have a PET scan and another dose of Keytruda.
Today she woke up with a runny nose. She does not have anything else - cough, sore throat, fever, etc. I gave her some OTC (ibuprofen-based) medicine for the cold and nose drops. It does not look like she has the flu considering her mild symptoms. 
However, I am really worried. We have exactly five days until her next infusion. 
Can she receive Keytruda while she has the common cold? Could the common cold affect her CBC to the point where we have to skip an infusion?
Will her sinuses show up on the PET scan because of the current infection?
Please tell me what we can do in these five days to avoid any treatment delays. 
Thank you!!! 🙏🏻🙏🏻🙏🏻</t>
        </is>
      </c>
      <c r="D6868" t="n">
        <v>1</v>
      </c>
      <c r="E6868" t="n">
        <v>8</v>
      </c>
      <c r="F6868">
        <f>HYPERLINK("https://www.reddit.com/r/cancer/comments/ekbuca/keytruda_and_the_common_cold/")</f>
        <v/>
      </c>
      <c r="G6868" t="inlineStr">
        <is>
          <t>2020-01-05 03:22:58</t>
        </is>
      </c>
      <c r="H6868" t="inlineStr"/>
    </row>
    <row r="6869">
      <c r="A6869" t="inlineStr">
        <is>
          <t>ekc6lh</t>
        </is>
      </c>
      <c r="B6869" t="inlineStr">
        <is>
          <t>I’m terminal</t>
        </is>
      </c>
      <c r="C6869" t="inlineStr">
        <is>
          <t>I was given 12-18 months about six months ago. I’m currently undergoing chemotherapy to shrink the disease throughout my body and waiting for a pain pump install at the end of the month. I can’t believe this is what 32 looks like.
Anyone have any bucket list suggestions?</t>
        </is>
      </c>
      <c r="D6869" t="n">
        <v>6</v>
      </c>
      <c r="E6869" t="n">
        <v>72</v>
      </c>
      <c r="F6869">
        <f>HYPERLINK("https://www.reddit.com/r/cancer/comments/ekc6lh/im_terminal/")</f>
        <v/>
      </c>
      <c r="G6869" t="inlineStr">
        <is>
          <t>2020-01-05 04:02:30</t>
        </is>
      </c>
      <c r="H6869" t="inlineStr"/>
    </row>
    <row r="6870">
      <c r="A6870" t="inlineStr">
        <is>
          <t>ekchd6</t>
        </is>
      </c>
      <c r="B6870" t="inlineStr">
        <is>
          <t>How to stay mentally strong during chemo?</t>
        </is>
      </c>
      <c r="C6870" t="inlineStr">
        <is>
          <t>Recently I’ve been diagnosed with Hodgkin’s Lymphoma stage 3B.  I was put on ABVD for 6 rounds (12 infusions). Two days ago my first treatment.
The only side effect so far is constipation due to chemo and anti-nausea meds, but I’m already mentally devastated. 
I know that if I keep being like this I won’t get to the end of treatment.
Everyday relatives call my mom to know how I’m doing: I understand they do it with good intention but sometimes it’s just pissing me off because is a constant reminder of my situation. 
How do you keep mentally strong during treatment?</t>
        </is>
      </c>
      <c r="D6870" t="n">
        <v>2</v>
      </c>
      <c r="E6870" t="n">
        <v>25</v>
      </c>
      <c r="F6870">
        <f>HYPERLINK("https://www.reddit.com/r/cancer/comments/ekchd6/how_to_stay_mentally_strong_during_chemo/")</f>
        <v/>
      </c>
      <c r="G6870" t="inlineStr">
        <is>
          <t>2020-01-05 04:35:10</t>
        </is>
      </c>
      <c r="H6870" t="inlineStr"/>
    </row>
    <row r="6871">
      <c r="A6871" t="inlineStr">
        <is>
          <t>ekdfin</t>
        </is>
      </c>
      <c r="B6871" t="inlineStr">
        <is>
          <t>The stigma and discrimination of the cancer patient</t>
        </is>
      </c>
      <c r="C6871" t="inlineStr">
        <is>
          <t>Only a  cancer patient knows what they must endure and I am speaking from the view of a wife/caregiver. “You have cancer” is undoubtedly the most dreaded words a person can hear. “At least it’s not cancer” are the words of comfort given to anyone that is sick. Cancer patients are very lucky if they can find a compassionate Doctor that speaks to them and not at them. Tell your Doctor that you are so tired and weary? You get told that that’s what to expect and nothing they can do about it. 
You think breastfeeding gets unnecessary rude stares? Try having to tube(stoma) feed in a public area. People stop and stare and act openly repulsed. We have to go back to our car because the only private place is a bathroom and that’s not sanitary.   
Friends drift away and the ones that stay often exclude the person with cancer from the conversation. We finally go I into another room to talk because they get uncomfortable. The old line” Hey you look great!” can’t be said to someone that is disfigured from radiation and operations to their face. 
Yeah, I’m gnarly today. I am venting. Stop treating cancer patients like they are contagious. They are the same  person you knew before they got cancer. If they make you uncomfortable then talk about it to them. You may learn a valuable lesson in humility and humanity .</t>
        </is>
      </c>
      <c r="D6871" t="n">
        <v>1</v>
      </c>
      <c r="E6871" t="n">
        <v>18</v>
      </c>
      <c r="F6871">
        <f>HYPERLINK("https://www.reddit.com/r/cancer/comments/ekdfin/the_stigma_and_discrimination_of_the_cancer/")</f>
        <v/>
      </c>
      <c r="G6871" t="inlineStr">
        <is>
          <t>2020-01-05 06:08:16</t>
        </is>
      </c>
      <c r="H6871" t="inlineStr"/>
    </row>
    <row r="6872">
      <c r="A6872" t="inlineStr">
        <is>
          <t>ekdjzw</t>
        </is>
      </c>
      <c r="B6872" t="inlineStr">
        <is>
          <t>It’s happened again</t>
        </is>
      </c>
      <c r="C6872" t="inlineStr">
        <is>
          <t>We had to get an ambulance tonight (less then 25 mins ago) because she started vomiting and having a high fever, it was so bad this time we had to have the ambulance sent with lights and sirens, I’m really scared there’s no words for the first time in my life and in our battle I had to direct the ambulance officers where to go and I’m just in shock I have no words I’m so terrified we’re back here again...</t>
        </is>
      </c>
      <c r="D6872" t="n">
        <v>4</v>
      </c>
      <c r="E6872" t="n">
        <v>7</v>
      </c>
      <c r="F6872">
        <f>HYPERLINK("https://www.reddit.com/r/cancer/comments/ekdjzw/its_happened_again/")</f>
        <v/>
      </c>
      <c r="G6872" t="inlineStr">
        <is>
          <t>2020-01-05 06:19:34</t>
        </is>
      </c>
      <c r="H6872" t="inlineStr"/>
    </row>
    <row r="6873">
      <c r="A6873" t="inlineStr">
        <is>
          <t>ekeva3</t>
        </is>
      </c>
      <c r="B6873" t="inlineStr">
        <is>
          <t>Advice for a friend</t>
        </is>
      </c>
      <c r="C6873" t="inlineStr">
        <is>
          <t>This may be too long so sorry ahead of time. 
My wife and I have a close friend who has been battling breast cancer for the last 4 years and it’s beginning to look as though she’s getting close to the end. We’ve not seen them much lately and have assumed it’s because her a family has wanted to spend their time together. She and her husband let my wife and I live with them for literally months rent free while we were in college. I have a deep sense of respect for the both of them. This morning she was sent to the hospital, and I’m not sure what to do: I want to be present, I want to help, but she’s not the sort of person who really asks.
There’s also the matter of them having asked my wife and I to be godparents of their 4 year old. Now, he has no health problems that I know of, but should I bring it up while the both of them are still present? My impulse is to not; the last thing I want to do is to suggest that he’s not going to do well after she passes. I just worry, and I’m at a loss of what to do. Any help would be appreciated.</t>
        </is>
      </c>
      <c r="D6873" t="n">
        <v>1</v>
      </c>
      <c r="E6873" t="n">
        <v>2</v>
      </c>
      <c r="F6873">
        <f>HYPERLINK("https://www.reddit.com/r/cancer/comments/ekeva3/advice_for_a_friend/")</f>
        <v/>
      </c>
      <c r="G6873" t="inlineStr">
        <is>
          <t>2020-01-05 08:07:35</t>
        </is>
      </c>
      <c r="H6873" t="inlineStr"/>
    </row>
    <row r="6874">
      <c r="A6874" t="inlineStr">
        <is>
          <t>ekfaus</t>
        </is>
      </c>
      <c r="B6874" t="inlineStr">
        <is>
          <t>My journey</t>
        </is>
      </c>
      <c r="C6874" t="inlineStr">
        <is>
          <t>Late summer of 2019, shortly before my 19th birthday, I noticed a lump on my neck.  I've had a swollen lymph node before, so I wasn't too worried.  About a month after it appeared, it grew.  By the time my stubborn self went to the urgent care, it was the size of a softball.  The folks at the urgent care said they didnt think it was cancer, so they put me on a week long dosage of Prednisone and did some blood work before they passed me on to my primary care, who then passed me to Dr. Ranjit Joseph, the lead hematologist at UNC Rex cancer center.  He immediately began scheduling scans, xrays, and biopsies, and I was diagnosed with Stage 4 Classical Hodgkin's Lymphoma.  I remember my father crying on the phone with my sister trying to explain what was happening.  I had aggressive activity in my neck (where it began), around my lungs, around my spleen, and around my bones in my pelvis and hip.  We immediately began treatment with Adriamycin, Bleomycin, Vinblastine, and Dacarbazine.  After 4 treatments, another PET scan was performed and it showed everything was gone except for a small amount in my neck.  This was the first positive news we had received in months.  I'm set to finish chemo on March 9th.  I'm so close to the end, but I still feel so far away and I'm terrified it will return.  In all honesty, the cancer has been tough, but I've begun living my life like I never have before.  I spend more time with friends, I'm planning a vacation in the summer of 2020 to New York, and, all in all, I've started having fun.  Maybe it's just me, but it seems like my diagnosis has had a positive impact on my lifestyle, more than anything else that has happened.</t>
        </is>
      </c>
      <c r="D6874" t="n">
        <v>1</v>
      </c>
      <c r="E6874" t="n">
        <v>12</v>
      </c>
      <c r="F6874">
        <f>HYPERLINK("https://www.reddit.com/r/cancer/comments/ekfaus/my_journey/")</f>
        <v/>
      </c>
      <c r="G6874" t="inlineStr">
        <is>
          <t>2020-01-05 08:39:06</t>
        </is>
      </c>
      <c r="H6874" t="inlineStr"/>
    </row>
    <row r="6875">
      <c r="A6875" t="inlineStr">
        <is>
          <t>ekhult</t>
        </is>
      </c>
      <c r="B6875" t="inlineStr">
        <is>
          <t>Alleviating stomach pain at night from radiation treatment?</t>
        </is>
      </c>
      <c r="C6875" t="inlineStr">
        <is>
          <t>Hi all,
My grandfather was diagnosed with stage 2 stomach cancer.  He's in his 80s so they decided not to do chemo or surgery because they would reduce his quality of life by so much, but allowed radiation treatment.
He went through one round, and was fine for a month, but recently his stomach has begun to hurt very much at night, preventing him from sleeping. These bouts can last for between 2-4 hours sometimes.
They don't happen every night, and will happen occasionally during the day but for much shorter periods of time, maybe half an hour. He doesn't eat extremely large meals or anything, and doesn't eat before bed either.
Anyone know what might be causing this, and know of any remedies? Thanks!</t>
        </is>
      </c>
      <c r="D6875" t="n">
        <v>1</v>
      </c>
      <c r="E6875" t="n">
        <v>5</v>
      </c>
      <c r="F6875">
        <f>HYPERLINK("https://www.reddit.com/r/cancer/comments/ekhult/alleviating_stomach_pain_at_night_from_radiation/")</f>
        <v/>
      </c>
      <c r="G6875" t="inlineStr">
        <is>
          <t>2020-01-05 11:38:42</t>
        </is>
      </c>
      <c r="H6875" t="inlineStr"/>
    </row>
    <row r="6876">
      <c r="A6876" t="inlineStr">
        <is>
          <t>ekjc0h</t>
        </is>
      </c>
      <c r="B6876" t="inlineStr">
        <is>
          <t>CT report</t>
        </is>
      </c>
      <c r="C6876" t="inlineStr">
        <is>
          <t>It was stage 4 stomach cancer, PET scan found some spot on liver, now finish 4 cycles chemo, and done ct scan it said did not see any spread, do it mean can do surgery now? Or it is still stage 4.</t>
        </is>
      </c>
      <c r="D6876" t="n">
        <v>1</v>
      </c>
      <c r="E6876" t="n">
        <v>1</v>
      </c>
      <c r="F6876">
        <f>HYPERLINK("https://www.reddit.com/r/cancer/comments/ekjc0h/ct_report/")</f>
        <v/>
      </c>
      <c r="G6876" t="inlineStr">
        <is>
          <t>2020-01-05 13:28:47</t>
        </is>
      </c>
      <c r="H6876" t="inlineStr"/>
    </row>
    <row r="6877">
      <c r="A6877" t="inlineStr">
        <is>
          <t>ekjetn</t>
        </is>
      </c>
      <c r="B6877" t="inlineStr">
        <is>
          <t>CT report</t>
        </is>
      </c>
      <c r="C6877" t="inlineStr">
        <is>
          <t>Originally it was stage 4 stomach cancer, PET scan catch some spots on liver. Now finish 4 cycles chemo, and just did ct scan , it did not find any  metastatic. is it still stage 4 now? Is it ct better than pet scan?</t>
        </is>
      </c>
      <c r="D6877" t="n">
        <v>1</v>
      </c>
      <c r="E6877" t="n">
        <v>3</v>
      </c>
      <c r="F6877">
        <f>HYPERLINK("https://www.reddit.com/r/cancer/comments/ekjetn/ct_report/")</f>
        <v/>
      </c>
      <c r="G6877" t="inlineStr">
        <is>
          <t>2020-01-05 13:36:46</t>
        </is>
      </c>
      <c r="H6877" t="inlineStr"/>
    </row>
    <row r="6878">
      <c r="A6878" t="inlineStr">
        <is>
          <t>ekk0c2</t>
        </is>
      </c>
      <c r="B6878" t="inlineStr">
        <is>
          <t>Should I get a suspicious brown mark/'mole' checked?</t>
        </is>
      </c>
      <c r="C6878" t="inlineStr">
        <is>
          <t>Hey everyone, I think this is the best place to ask this?? So, I'm 16 years old and have a couple brown marks on my vulva. About 3 years ago is when I noticed the first one since then, it's grown in size a little and two more have appeared (one across from it and another closer to the 'opening') should I get this checked? I told my mom about these and she said I should, but if it was cancerous, wouldn't it have killed me by now? 3 years is a long time. They aren't too big, but they're pretty odd shaped and I'm slightly nervous. Any thoughts?</t>
        </is>
      </c>
      <c r="D6878" t="n">
        <v>1</v>
      </c>
      <c r="E6878" t="n">
        <v>2</v>
      </c>
      <c r="F6878">
        <f>HYPERLINK("https://www.reddit.com/r/cancer/comments/ekk0c2/should_i_get_a_suspicious_brown_markmole_checked/")</f>
        <v/>
      </c>
      <c r="G6878" t="inlineStr">
        <is>
          <t>2020-01-05 14:22:18</t>
        </is>
      </c>
      <c r="H6878" t="inlineStr"/>
    </row>
    <row r="6879">
      <c r="A6879" t="inlineStr">
        <is>
          <t>ekn03e</t>
        </is>
      </c>
      <c r="B6879" t="inlineStr">
        <is>
          <t>Support through Instagram</t>
        </is>
      </c>
      <c r="C6879" t="inlineStr">
        <is>
          <t>This is kind of an odd one, but I recently found out that an acquaintance of mine from high school has cancer. His sister posted details of a blood drive dedicated to her brother on her Instagram story. I want to send her a direct message to show my support but I am honestly devastated and can’t put together the right words. 
I don’t want to reach out to him because I’m not sure if he wants someone who he hasn’t talked to in a a couple years knowing about his illness.
I was wondering what I can say to her to show my support without seeming morbid or cold. 
I’m not sure if it matters but we are college aged kids.</t>
        </is>
      </c>
      <c r="D6879" t="n">
        <v>1</v>
      </c>
      <c r="E6879" t="n">
        <v>2</v>
      </c>
      <c r="F6879">
        <f>HYPERLINK("https://www.reddit.com/r/cancer/comments/ekn03e/support_through_instagram/")</f>
        <v/>
      </c>
      <c r="G6879" t="inlineStr">
        <is>
          <t>2020-01-05 18:02:25</t>
        </is>
      </c>
      <c r="H6879" t="inlineStr"/>
    </row>
    <row r="6880">
      <c r="A6880" t="inlineStr">
        <is>
          <t>eknkoc</t>
        </is>
      </c>
      <c r="B6880" t="inlineStr">
        <is>
          <t>How to support my mom?</t>
        </is>
      </c>
      <c r="C6880" t="inlineStr">
        <is>
          <t>My mom's best friend of 25 years and my 'other mother' (her name is Sally) was diagnosed with stage 4 cancer in November and she has gone down hill really drastically - the Drs said she probably has about a month. My entire family is devastated, myself included, but I really worry for my mom. My parents aren't super receptive to any recommendations of therapy so I worry she will just let all the trauma she's experience this year fester, with this tremendously terrifying and lonely reality of losing her best friend to tope of the shit sandwich (not related to cancer, but this past year has been really hard on my whole family, there's been three deaths of immediate family already.
I just want to be able to genuinely be there and help my mom when she loses her very best friend. I live a 5 hour flight away so I can't be there for her physically, but I hope phone calls will help. I really don't know what to do for her and I'm just so worried she'll be lonely and scared on top of grieving. 
So, people or r/cancer who maybe have been in my moms shoes, do you have any advice for how I can support her?</t>
        </is>
      </c>
      <c r="D6880" t="n">
        <v>1</v>
      </c>
      <c r="E6880" t="n">
        <v>0</v>
      </c>
      <c r="F6880">
        <f>HYPERLINK("https://www.reddit.com/r/cancer/comments/eknkoc/how_to_support_my_mom/")</f>
        <v/>
      </c>
      <c r="G6880" t="inlineStr">
        <is>
          <t>2020-01-05 18:47:13</t>
        </is>
      </c>
      <c r="H6880" t="inlineStr"/>
    </row>
    <row r="6881">
      <c r="A6881" t="inlineStr">
        <is>
          <t>ekntj7</t>
        </is>
      </c>
      <c r="B6881" t="inlineStr">
        <is>
          <t>I'm dating a woman with breast cancer and she is very sick from medication. I want to do something nice for her but I don't know what to do. Any suggestions?</t>
        </is>
      </c>
      <c r="C6881" t="inlineStr">
        <is>
          <t>She goes in for her last treatment later on this month and she hasn't been able to get out much because of some underlying medical issues in addition to the breast cancer.  I would love to do something for her or give her something but I'm not sure what to do.  Thanks in advance.</t>
        </is>
      </c>
      <c r="D6881" t="n">
        <v>1</v>
      </c>
      <c r="E6881" t="n">
        <v>17</v>
      </c>
      <c r="F6881">
        <f>HYPERLINK("https://www.reddit.com/r/cancer/comments/ekntj7/im_dating_a_woman_with_breast_cancer_and_she_is/")</f>
        <v/>
      </c>
      <c r="G6881" t="inlineStr">
        <is>
          <t>2020-01-05 19:06:53</t>
        </is>
      </c>
      <c r="H6881" t="inlineStr"/>
    </row>
    <row r="6882">
      <c r="A6882" t="inlineStr">
        <is>
          <t>ekolwc</t>
        </is>
      </c>
      <c r="B6882" t="inlineStr">
        <is>
          <t>Port in thigh/femoral vein</t>
        </is>
      </c>
      <c r="C6882" t="inlineStr">
        <is>
          <t>Just posting to see if anyone else has had a port placed in their thigh/femoral vein and could tell me about it. On Thursday I went in to have my port placed in my chest. When I woke up from the sedation, they told me it was not successful. About 12 years ago I had a kidney transplant. Prior to my transplant I was on dialysis and had a few different central lines in my chest for dialysis. Apparently because of this, the veins they usually place a port in are badly damaged and the couldn't get the port in.
I was supposed to start chemo on Friday but obviously didn't. I also somehow inhaled my Sprite or cracker that a nurse gave me while I was still under sedation and have developed pneumonia. So now I need to wait for that to clear up before starting. But they said my only other option for a port is going into the femoral vein in my thigh. This sounds terrible and I'm worried about how I will be able to walk and move with this thing.</t>
        </is>
      </c>
      <c r="D6882" t="n">
        <v>1</v>
      </c>
      <c r="E6882" t="n">
        <v>5</v>
      </c>
      <c r="F6882">
        <f>HYPERLINK("https://www.reddit.com/r/cancer/comments/ekolwc/port_in_thighfemoral_vein/")</f>
        <v/>
      </c>
      <c r="G6882" t="inlineStr">
        <is>
          <t>2020-01-05 20:12:04</t>
        </is>
      </c>
      <c r="H6882" t="inlineStr"/>
    </row>
    <row r="6883">
      <c r="A6883" t="inlineStr">
        <is>
          <t>ekp4t8</t>
        </is>
      </c>
      <c r="B6883" t="inlineStr">
        <is>
          <t>What to expect from first chemo session?</t>
        </is>
      </c>
      <c r="C6883" t="inlineStr">
        <is>
          <t>Hi all my mom (60F) is about to start chemo this week. She has Stage II breast cancer. Originally, we thought she wouldn’t need chemo but the oncotype test put her 2 points higher than the cutoff so we decided not to take the risk. Luckily, it will be 4 sessions 3 weeks apart. 
We’ve already researched wigs, head wraps, etc. But, as her main support, I want to know more about what I can prepare for her— especially on her first day. 
- what can she have for breakfast? My mom is very thin as is and I don’t want her to skip out on eating whatsoever. 
- how did you feel after your first session? How was the first day and how was the day after?
- What did you eat afterwards?
- How long did any side effects last?
- How long after your first session did you lose your hair? (Asking so we know when to order the wig lol). 
- did you use marijuana?
Any advice is welcome! I’m going to ask the doctor about the medicinal weed tomorrow (she has a pre-appt) but I want some further insight from other patients or caretakers. 
This has been a really daunting and scary process for me— I am her youngest daughter (21) so I’ve had to be brave and toughen up. I feel better than the initial diagnosis. My mom is in good spirits and is at peace with the process; but I can tell she feels anxious and at times, insecure. 
I want to provide her the best care and support without overwhelming her/reminding her she’s sick. 
Thank you all!</t>
        </is>
      </c>
      <c r="D6883" t="n">
        <v>1</v>
      </c>
      <c r="E6883" t="n">
        <v>7</v>
      </c>
      <c r="F6883">
        <f>HYPERLINK("https://www.reddit.com/r/cancer/comments/ekp4t8/what_to_expect_from_first_chemo_session/")</f>
        <v/>
      </c>
      <c r="G6883" t="inlineStr">
        <is>
          <t>2020-01-05 20:57:48</t>
        </is>
      </c>
      <c r="H6883" t="inlineStr"/>
    </row>
    <row r="6884">
      <c r="A6884" t="inlineStr">
        <is>
          <t>ekpb1b</t>
        </is>
      </c>
      <c r="B6884" t="inlineStr">
        <is>
          <t>I need to talk to someone who studies cancer asap</t>
        </is>
      </c>
      <c r="C6884" t="inlineStr">
        <is>
          <t>I came up with an alternative approach to how cancer cells are formed -- Amino acid deficiency.
Amino acids are fundamental to DNA, and when the cells do not have enough amino acids, the DNA is built all weird.
It's more complicated than that but I'll explain every cancer cell process using that theory</t>
        </is>
      </c>
      <c r="D6884" t="n">
        <v>1</v>
      </c>
      <c r="E6884" t="n">
        <v>37</v>
      </c>
      <c r="F6884">
        <f>HYPERLINK("https://www.reddit.com/r/cancer/comments/ekpb1b/i_need_to_talk_to_someone_who_studies_cancer_asap/")</f>
        <v/>
      </c>
      <c r="G6884" t="inlineStr">
        <is>
          <t>2020-01-05 21:13:10</t>
        </is>
      </c>
      <c r="H6884" t="inlineStr"/>
    </row>
    <row r="6885">
      <c r="A6885" t="inlineStr">
        <is>
          <t>ekpxvb</t>
        </is>
      </c>
      <c r="B6885" t="inlineStr">
        <is>
          <t>Confused about my colonoscopy results and feel too dumb to call and ask. Help?</t>
        </is>
      </c>
      <c r="C6885" t="inlineStr">
        <is>
          <t>Im 25F and had a colonoscopy Friday due to unexplained symptoms that are similar to either IBS, IBD, or colon cancer. My mother had colon cancer at age 35. They told my mother while I was still asleep that they found two 4mm size polyps and they were removed and I would need another colonoscopy in 3 years. And that was it. I asked the nurse if the polyps would be checked to see if they’re cancerous and she said something along the lines of “uhmm, yeah I think so. Usually if they are removed they’re sent for a biopsy” her uncertainty left me anxious and I tried to speak to the doctor before leaving the hospital but he was already in another surgery. Looking at my discharge paperwork it lists them as “benign polyps”. How can they automatically know they are benign? If they are, why are they sending them for a biopsy? 
I guess my question is, am I even waiting on test results (I was told to wait about a week by the same nurse) or am I done for another 3 years and stuck to deal with my symptoms?</t>
        </is>
      </c>
      <c r="D6885" t="n">
        <v>1</v>
      </c>
      <c r="E6885" t="n">
        <v>6</v>
      </c>
      <c r="F6885">
        <f>HYPERLINK("https://www.reddit.com/r/cancer/comments/ekpxvb/confused_about_my_colonoscopy_results_and_feel/")</f>
        <v/>
      </c>
      <c r="G6885" t="inlineStr">
        <is>
          <t>2020-01-05 22:12:53</t>
        </is>
      </c>
      <c r="H6885" t="inlineStr"/>
    </row>
    <row r="6886">
      <c r="A6886" t="inlineStr">
        <is>
          <t>ekpymz</t>
        </is>
      </c>
      <c r="B6886" t="inlineStr">
        <is>
          <t>Late Friend's Birthday</t>
        </is>
      </c>
      <c r="C6886" t="inlineStr">
        <is>
          <t>The past few weeks have been murky, to say the least. I had a very good friend of mine pass away from multiple forms of cancer. He would have been 31 on December 30th of 2019. I've just been feeling pretty hollow due to that fact. I couldn't believe it had been a little over a decade since meeting him in undergrad back in Texas. He was an amazing person that always found the silver lining in any grey or even pitch-black situation. He fought hard through personal demons, reclaimed his life, and emerged victoriously. All the while, he managed to aid me out of a very dark place in my life at the time. I can't thank him enough for saving me from an early grave and giving me some form of hope. Ever since then we always kept in touch no matter how far we were. He told me he was going to pull through the cancer treatment and he would visit me in California when I got my Master's degree in Film. As I said before, he always found the silver lining. I flew out to his funeral on May 7th. I graduated on May 10th. For months I've had this massive weight in my chest like hardening cement dripping down my sternum. I know I have to purge this creatively and/or artistically. That's the only way I survive. I decided to dedicate my next short film to him and donate whatever I can crowdfund to the American Cancer Society, who I've been given permission to use their 'Relay For Life' logo in my short film. All this is what I've been feeling and working on for the past few months. I just wanted to share this story here. I want to get it done and I will get it done. I just want to do something good so I can be as great of a person as my friend was. That way I can hopefully see him again someday.</t>
        </is>
      </c>
      <c r="D6886" t="n">
        <v>1</v>
      </c>
      <c r="E6886" t="n">
        <v>6</v>
      </c>
      <c r="F6886">
        <f>HYPERLINK("https://www.reddit.com/r/cancer/comments/ekpymz/late_friends_birthday/")</f>
        <v/>
      </c>
      <c r="G6886" t="inlineStr">
        <is>
          <t>2020-01-05 22:14:40</t>
        </is>
      </c>
      <c r="H6886" t="inlineStr"/>
    </row>
    <row r="6887">
      <c r="A6887" t="inlineStr">
        <is>
          <t>ekq8kr</t>
        </is>
      </c>
      <c r="B6887" t="inlineStr">
        <is>
          <t>Please give me advice for helping this kid who just lost his dad</t>
        </is>
      </c>
      <c r="C6887" t="inlineStr">
        <is>
          <t>I volunteer as a leader in the youngest group for a Christian boy scouting ministry. I worked with this kid when he was 7-8 when he was in my group. He's now 9 or 10 and he just lost his dad on New Years Day. 
I haven't seen him since late December when we went on break. I'm sure he's taking it very hard and it's breaking my heart that I can't do much now.
From your experience, how could I help him?</t>
        </is>
      </c>
      <c r="D6887" t="n">
        <v>1</v>
      </c>
      <c r="E6887" t="n">
        <v>0</v>
      </c>
      <c r="F6887">
        <f>HYPERLINK("https://www.reddit.com/r/cancer/comments/ekq8kr/please_give_me_advice_for_helping_this_kid_who/")</f>
        <v/>
      </c>
      <c r="G6887" t="inlineStr">
        <is>
          <t>2020-01-05 22:42:11</t>
        </is>
      </c>
      <c r="H6887" t="inlineStr"/>
    </row>
    <row r="6888">
      <c r="A6888" t="inlineStr">
        <is>
          <t>ekqgll</t>
        </is>
      </c>
      <c r="B6888" t="inlineStr">
        <is>
          <t>An RNA vaccine drives expansion and efficacy of claudin-CAR-T cells against solid tumors</t>
        </is>
      </c>
      <c r="C6888" t="inlineStr">
        <is>
          <t>any discussion to this inspiring study? Are we going to kill all solid cancer?</t>
        </is>
      </c>
      <c r="D6888" t="n">
        <v>1</v>
      </c>
      <c r="E6888" t="n">
        <v>1</v>
      </c>
      <c r="F6888">
        <f>HYPERLINK("https://www.reddit.com/r/cancer/comments/ekqgll/an_rna_vaccine_drives_expansion_and_efficacy_of/")</f>
        <v/>
      </c>
      <c r="G6888" t="inlineStr">
        <is>
          <t>2020-01-05 23:04:26</t>
        </is>
      </c>
      <c r="H6888" t="inlineStr"/>
    </row>
    <row r="6889">
      <c r="A6889" t="inlineStr">
        <is>
          <t>ekr2hm</t>
        </is>
      </c>
      <c r="B6889" t="inlineStr">
        <is>
          <t>How do you cope and relax after your diagnosis?</t>
        </is>
      </c>
      <c r="C6889" t="inlineStr">
        <is>
          <t>I'm 38 years old, October 28, 2019 I went for a colonoscopy where they found a tumor in my lower colon/upper rectum. November 5 I had an MRI and CT scans done and they found a 2cm metastatic lesion on my liver. November 19th I had a resection and the colon tumor removed. It didn't spread into my lymph nodes. I also got out with no ostomy bag. December 18 I had another MRI on my liver turns out I have 4 lesions not 1. They're all small 2cm is the largest 0.5cm is the smallest. I'm awaiting chemo now and another surgery is to be scheduled. 
I think I'm doing pretty well with everything but I do get bouts of sadness and depression. And I have great support and lots of well-wishers in my corner. But even on a good day I just can't relax there's just this tension/uneasy feeling lingering in the back. I do things to keep me distracted but they only seem to help so much. What kind of things do you guys do to deal with it?</t>
        </is>
      </c>
      <c r="D6889" t="n">
        <v>1</v>
      </c>
      <c r="E6889" t="n">
        <v>7</v>
      </c>
      <c r="F6889">
        <f>HYPERLINK("https://www.reddit.com/r/cancer/comments/ekr2hm/how_do_you_cope_and_relax_after_your_diagnosis/")</f>
        <v/>
      </c>
      <c r="G6889" t="inlineStr">
        <is>
          <t>2020-01-06 00:09:14</t>
        </is>
      </c>
      <c r="H6889" t="inlineStr"/>
    </row>
    <row r="6890">
      <c r="A6890" t="inlineStr">
        <is>
          <t>ekr69q</t>
        </is>
      </c>
      <c r="B6890" t="inlineStr">
        <is>
          <t>Advice about Cannabis oil/Medical Marijuana for a cancer patient.</t>
        </is>
      </c>
      <c r="C6890" t="inlineStr">
        <is>
          <t>Hi,I was diagnosed with stage 4 colon cancer (27 years old)about 8 months ago and have been doing chemo treatments for about 6 months with my two treatments coming up than surgery in February.
I have been doing alot of research on the effects on cannabis oil/medical marijuana(Google searches,reddit post,talking to people in cancer Facebook groups)and have found some studies say it can help with the side effects of chemo and sometimes even kill cancer cells!
Now me living in Texas,I know this is a sensitive thing to discuss with people in general,but I was just wondering if anyone here knew if it would be ok to ask my oncologist/personally doctor about this or it there any other LEGAL way for me to get access to oil/marijuana?
With the research I have done I know that the chances are slim even though I feel so sick after treatment that they got me on two different nausea medications,but considering my oncologist said that I only have a 5% to ever go into remission,I am willing to try anything to get better and get my normal life back.
Any advice/info on this subject would be very much appreciated!</t>
        </is>
      </c>
      <c r="D6890" t="n">
        <v>1</v>
      </c>
      <c r="E6890" t="n">
        <v>0</v>
      </c>
      <c r="F6890">
        <f>HYPERLINK("https://www.reddit.com/r/cancer/comments/ekr69q/advice_about_cannabis_oilmedical_marijuana_for_a/")</f>
        <v/>
      </c>
      <c r="G6890" t="inlineStr">
        <is>
          <t>2020-01-06 00:19:55</t>
        </is>
      </c>
      <c r="H6890" t="inlineStr"/>
    </row>
    <row r="6891">
      <c r="A6891" t="inlineStr">
        <is>
          <t>eksry3</t>
        </is>
      </c>
      <c r="B6891" t="inlineStr">
        <is>
          <t>Inflammatory Breast Cancer (IBC)</t>
        </is>
      </c>
      <c r="C6891" t="inlineStr">
        <is>
          <t>&amp;amp;#x200B;
![img](vgh0yp1s35941 " ")
# Inflammatory Breast Cancer (IBC)
Inflammatory Breast Cancer (IBC) is the most aggressive manifestation of primary [breast cancer](https://www.healthidols.com/breast-cancer-stages/) but it is rare. The clinical presentation of IBC was first described in 1817 by Sir Charles Bell.
The disease affects approximately 2.5% of breast cancer patients in the United States typically with younger age of onset and higher incidence in African-Americans. Incidence rates vary due to the clinical nature, rather than pathological, of the diagnosis. IBC is characterized by the inflammatory appearance of the breast, including  
diffuse erythema and edema. IBC may be primary, presenting with pain and a tender, firm, and enlarged breast with reddened, warm, and thickened skin. In other cases, IBC may be secondary, characterized by an inflammatory recurrence of anon inflammatory breast cancer, usually developing on the chest wall at the site of a previous mastectomy or rarely as a distant cutaneous recurrence. The signs and symptoms of IBC arise rapidly compared with those that are non-IBC, typically within weeks to 6 months.
While IBC can occur at any age, the average age of those diagnosed is under the age of 45. It is important to note that not all breast cancer presents itself in the form of a lump.
## Symptoms of IBC
* Redness of the skin, such as a “rash” or sunburned appearance
* Nipple flattening or retraction
* Thickening or hardening of the skin
* Dimpling or pitted appearance
* Skin feels warm
* Increase in breast size, swelling
Possible tenderness in the breast If you notice these symptoms, report them to a doctor immediately. Inflammatory breast cancer is considered the most aggressive form of breast cancer, and immediate treatment is needed after diagnosis. IBC is difficult to detect on a mammogram because cancer does not typically form a lump that is easily seen with the standard technology available. Diagnosis will likely result from a biopsy. Current treatment usually involves initial chemotherapy to stop cancer from spreading and to reduce the mass. Additional treatments depend on the extent of cancer and its response to initial chemotherapy, but these treatments usually involve surgery, radiation, and perhaps additional chemotherapy.
All inflammatory breast cancers start as **Stage III (T4dNXM0)** since they involve the skin. If cancer has spread outside the breast to distant areas it is [**stage IV**](https://www.healthidols.com/explain-about-breast-cancer-4-stage/).
📷
## Risk factors
Factors that increase the risk of inflammatory breast cancer include:
* **Being a woman.** Women are more likely to be diagnosed with inflammatory breast cancer than are men — but men can develop inflammatory breast cancer, too.
* [**Being black**](https://www.healthidols.com/brca-genes-test-breast-cancer-treatment/)**.** Black women have a higher risk of inflammatory breast cancer than do white women.
* **Being obese.** People who are obese have a greater risk of inflammatory breast cancer compared with those of normal weight.
## Treating
### Treating stage III inflammatory breast cancer
IBC that has not spread outside the breast or nearby lymph nodes is stage III. Treatment usually starts with chemotherapy (chemo) to try to shrink the tumor. If the cancer is HER2-positive, targeted therapy is given along with the chemo. This is typically followed by surgery (mastectomy and lymph node dissection) to remove the cancer. Radiation therapy often follows surgery. Sometimes, more chemo may be given after surgery but before radiation. If the cancer is hormone receptor-positive (estrogen or progesterone), hormone therapy is given as well (usually after all chemo has been given). Combining these treatments has improved survival significantly over the years.
### Chemotherapy (possibly along with targeted therapy)
Chemo drugs enter the bloodstream and circulate throughout the body to reach and destroy cancer cells in almost all parts of the body, so chemo is considered a type of **systemic therapy**. It treats both the main tumor as well as any cancer cells that have broken off and spread to lymph nodes or other parts of the body.
Using chemo before surgery is called **neoadjuvant** or **preoperative** treatment. Most women with IBC will receive two types of chemo drugs (although not necessarily at the same time):
* An anthracycline, such as doxorubicin (Adriamycin) or epirubicin (Ellence)
* A taxane, such as paclitaxel (Taxol) or docetaxel (Taxotere)
Other chemo drugs may be used as well.
If the cancer is HER2-positive (the cancer cells make too much of a protein called HER2), the targeted therapy drug trastuzumab (Herceptin) is usually given, sometimes along with another targeted drug, pertuzumab (Perjeta). These drugs can lead to heart problems when given with an anthracycline, so one option is to give the anthracycline first (without trastuzumab or pertuzumab), followed by treatment with a taxane and trastuzumab (with or without pertuzumab).
### Surgery and further treatments
If the cancer improves with chemo, [surgery](https://www.cancer.org/cancer/breast-cancer/treatment/surgery-for-breast-cancer.html) is typically the next step. The standard operation is a modified radical mastectomy, where the entire breast and the lymph nodes under the arm are removed. Because IBC affects so much of the breast and skin, breast-conserving surgery (partial mastectomy or lumpectomy) and skin-sparing mastectomy are not options. It isn’t clear that sentinel lymph node biopsy (where only one or a few nodes are removed) is reliable in IBC, so it is also not an option.
If the cancer does not respond to chemo (and the breast is still very swollen and red), surgery cannot be done. Either other chemo drugs will be tried, or the breast may be treated with radiation. Then if the cancer responds (the breast shrinks and is no longer red), surgery may be an option.
If breast radiation isn’t given before surgery, it is given after surgery, even if no cancer is thought to remain. This is called **adjuvant** radiation*.* It lowers the chance that the cancer will come back. Radiation is usually given 5 days a week for 6 weeks, but in some cases a more intense treatment (twice a day) can be used instead. Depending on how much tumor was found in the breast after surgery, radiation might be delayed until further chemo and/or targeted therapy (such as trastuzumab) is given. If breast reconstruction is to be done, it is usually delayed until after the radiation therapy that most often follows surgery.
Treatment after surgery often includes additional (adjuvant) systemic treatment. This can include chemo, hormone therapy (tamoxifen or an aromatase inhibitor) if the cancer cells have hormone receptors, and/or trastuzumab, pertuzumab or ado-trastuzumab emtansine if the cancer is HER2-positive.
### Treating stage IV inflammatory breast cancer
Patients with metastatic (stage IV) IBC are treated with systemic therapy. This may include:
* Chemotherapy
* Hormonal therapy (if the cancer is hormone receptor-positive)
* Targeted therapy with a drug that targets HER2 (if the cancer is HER2-positive)
One or more of these treatments might be used. Many times, a targeted drug is given along with chemotherapy or with hormone therapy. Surgery and radiation may also be options in certain situations.  See Treatment of Stage IV (Metastatic) Breast Cancer for more information.
Regardless of the stage of the cancer, participation in a clinical trial of new treatments for IBC is also a good option because IBC is rare, has a poor prognosis (outcome), and these studies often allow access to drugs not available for standard treatment.
Catching inflammatory breast cancer early will help you get the treatment you need right away.  
source: www.healthidols.com</t>
        </is>
      </c>
      <c r="D6891" t="n">
        <v>1</v>
      </c>
      <c r="E6891" t="n">
        <v>0</v>
      </c>
      <c r="F6891">
        <f>HYPERLINK("https://www.reddit.com/r/cancer/comments/eksry3/inflammatory_breast_cancer_ibc/")</f>
        <v/>
      </c>
      <c r="G6891" t="inlineStr">
        <is>
          <t>2020-01-06 03:14:18</t>
        </is>
      </c>
      <c r="H6891" t="inlineStr"/>
    </row>
    <row r="6892">
      <c r="A6892" t="inlineStr">
        <is>
          <t>ekswmj</t>
        </is>
      </c>
      <c r="B6892" t="inlineStr">
        <is>
          <t>Tattoos and potential health (cancer) risks</t>
        </is>
      </c>
      <c r="C6892" t="inlineStr">
        <is>
          <t>I posted this in r/tattoo but people there took it as I'm trying to "teach" them something and I'm not even really wanting to get tattoos. No one seemed to share my worries, so that makes me think I'm stressing over nothing, but I'm still not at ease.
So, I'm interested in getting tattoos, which I have pondered for years, and I know exactly what I want and what they mean to me. I am however worried about the potential health risks, especially concerning cancer.  
We know for sure that the dye accumulates in your lymph nodes, but no one really knows how it affects you in the long run. Tattoos can of course mask the signs of skin cancer and delay diagnosis and black ink has plenty of polycyclic aromatic hydrocarbons, which are known carcinogens.
Just late last year Finnish Safety and Chemicals Agency found toxic and possibly cancer causing chemicals in 8 out of 20 tested inks. See [here](https://tukes.fi/artikkeli/-/asset_publisher/tukes-testautti-tatuointi-ja-kestopigmentointivareja-kahdeksasta-varista-loytyi-terveydelle-vaarallisia-aineita?_101_INSTANCE_DqFW1Fw9NTGI_languageId=en_US).
I've had testicular cancer and there's A LOT of prostate cancer in my family. Like I said, I'd really like to get me some tattoos, but at the same time I don't want to potentially raise my risk of getting cancer any higher. Anyone else struggling with this? Are my fears unfounded?</t>
        </is>
      </c>
      <c r="D6892" t="n">
        <v>1</v>
      </c>
      <c r="E6892" t="n">
        <v>6</v>
      </c>
      <c r="F6892">
        <f>HYPERLINK("https://www.reddit.com/r/cancer/comments/ekswmj/tattoos_and_potential_health_cancer_risks/")</f>
        <v/>
      </c>
      <c r="G6892" t="inlineStr">
        <is>
          <t>2020-01-06 03:27:44</t>
        </is>
      </c>
      <c r="H6892" t="inlineStr"/>
    </row>
    <row r="6893">
      <c r="A6893" t="inlineStr">
        <is>
          <t>ekuxvl</t>
        </is>
      </c>
      <c r="B6893" t="inlineStr">
        <is>
          <t>Experience with Avastin?</t>
        </is>
      </c>
      <c r="C6893" t="inlineStr">
        <is>
          <t>I was wondering if anyone has any experience/insight on being started on Avastin? The doctors want to start my mom (stage 3 ovarian cancer) on the treatment next month. Her CA 125 went back up during chemo so they wanted to add it on. It seems like there’s so many mixed reviews :/</t>
        </is>
      </c>
      <c r="D6893" t="n">
        <v>1</v>
      </c>
      <c r="E6893" t="n">
        <v>21</v>
      </c>
      <c r="F6893">
        <f>HYPERLINK("https://www.reddit.com/r/cancer/comments/ekuxvl/experience_with_avastin/")</f>
        <v/>
      </c>
      <c r="G6893" t="inlineStr">
        <is>
          <t>2020-01-06 06:38:22</t>
        </is>
      </c>
      <c r="H6893" t="inlineStr"/>
    </row>
    <row r="6894">
      <c r="A6894" t="inlineStr">
        <is>
          <t>ekv13j</t>
        </is>
      </c>
      <c r="B6894" t="inlineStr">
        <is>
          <t>Post chemo recovery?</t>
        </is>
      </c>
      <c r="C6894" t="inlineStr">
        <is>
          <t>Hello all!  
I've been helping my mom through her cancer battle since she was diagnosed in August. She had a mass that took up most of her bladder. Outside of the first hospital totally misdiagnosing it and it nearly killing her, U of M Hospital figured it out quick and took very fast action. They cut out majority of it and she did 9 weeks of Chemo. Small-cell bladder cancer. It was shutting down her kidneys and her lymph nodes were NOT happy.  
Anyhow, the chemo is now done. It has been done for about a month. She is doing a month of radiation to finish off the treatments, but she is still severely weak and has occasional tremors. Is this something she should expect to clear up the further along she gets post-chemo? Should I be pushing her to talk to her doctor about it more than she is?  
Is it a situation where I should guide her towards a physical therapist maybe? Just looking for advice. Thanks in advance!</t>
        </is>
      </c>
      <c r="D6894" t="n">
        <v>1</v>
      </c>
      <c r="E6894" t="n">
        <v>7</v>
      </c>
      <c r="F6894">
        <f>HYPERLINK("https://www.reddit.com/r/cancer/comments/ekv13j/post_chemo_recovery/")</f>
        <v/>
      </c>
      <c r="G6894" t="inlineStr">
        <is>
          <t>2020-01-06 06:45:42</t>
        </is>
      </c>
      <c r="H6894" t="inlineStr"/>
    </row>
    <row r="6895">
      <c r="A6895" t="inlineStr">
        <is>
          <t>ekvlsi</t>
        </is>
      </c>
      <c r="B6895" t="inlineStr">
        <is>
          <t>Change Insurance</t>
        </is>
      </c>
      <c r="C6895" t="inlineStr">
        <is>
          <t>Currently under chemo treatment, if changing insurance at this time, is there problem if there is no gap between switch.</t>
        </is>
      </c>
      <c r="D6895" t="n">
        <v>1</v>
      </c>
      <c r="E6895" t="n">
        <v>2</v>
      </c>
      <c r="F6895">
        <f>HYPERLINK("https://www.reddit.com/r/cancer/comments/ekvlsi/change_insurance/")</f>
        <v/>
      </c>
      <c r="G6895" t="inlineStr">
        <is>
          <t>2020-01-06 07:31:07</t>
        </is>
      </c>
      <c r="H6895" t="inlineStr"/>
    </row>
    <row r="6896">
      <c r="A6896" t="inlineStr">
        <is>
          <t>ekw1j1</t>
        </is>
      </c>
      <c r="B6896" t="inlineStr">
        <is>
          <t>Should I just ask to just get the surgery over with or try a new chemotherapy?</t>
        </is>
      </c>
      <c r="C6896" t="inlineStr">
        <is>
          <t>I'm 14/16 rounds done with my chemo and my oncologist just told me that the chemo is working anymore and that I might have to get another x ray to determine the new staging(was staged at 4 but wasn't found to be in any other organs other than colon but oncologist said since it broke the intestinal wall it's 4) but I already talked to a surgeon about doing the tumor removal after these last two chemo sessions.
Should I go with my oncologist and postpone the surgery or stick to my original plan of surgery after these last two sessions?
I asked my oncologist to speak to my surgeon but he seems to be adament about the chemo.</t>
        </is>
      </c>
      <c r="D6896" t="n">
        <v>1</v>
      </c>
      <c r="E6896" t="n">
        <v>2</v>
      </c>
      <c r="F6896">
        <f>HYPERLINK("https://www.reddit.com/r/cancer/comments/ekw1j1/should_i_just_ask_to_just_get_the_surgery_over/")</f>
        <v/>
      </c>
      <c r="G6896" t="inlineStr">
        <is>
          <t>2020-01-06 08:03:59</t>
        </is>
      </c>
      <c r="H6896" t="inlineStr"/>
    </row>
    <row r="6897">
      <c r="A6897" t="inlineStr">
        <is>
          <t>ekyhc0</t>
        </is>
      </c>
      <c r="B6897" t="inlineStr">
        <is>
          <t>Cancer Sucks</t>
        </is>
      </c>
      <c r="C6897" t="inlineStr">
        <is>
          <t>Friendly PSA to everyone regardless of gender.
I want to take a moment to highly stress to everyone to take care of yourself. Go for routine yearly medical exams and if something doesn’t feel right it probably isn’t .
My father in law died 2 days ago, barely 1 year after being diagnosed with stage 4 prostate cancer that spread to liver and bones. By the time he saw his first oncologist it was already to late. No treatments worked. Until his diagnosis he said western doctors were the enemy and only went to homeopathic ones...
Make sure everyone takes care of your bodies, see REAL doctors routinely and if your body gives you signs somethings wrong, please listen to it verses ignoring or self treating.</t>
        </is>
      </c>
      <c r="D6897" t="n">
        <v>1</v>
      </c>
      <c r="E6897" t="n">
        <v>16</v>
      </c>
      <c r="F6897">
        <f>HYPERLINK("https://www.reddit.com/r/cancer/comments/ekyhc0/cancer_sucks/")</f>
        <v/>
      </c>
      <c r="G6897" t="inlineStr">
        <is>
          <t>2020-01-06 10:59:11</t>
        </is>
      </c>
      <c r="H6897" t="inlineStr"/>
    </row>
    <row r="6898">
      <c r="A6898" t="inlineStr">
        <is>
          <t>ekynf2</t>
        </is>
      </c>
      <c r="B6898" t="inlineStr">
        <is>
          <t>How can I build a support system in a new city before the inevitable??</t>
        </is>
      </c>
      <c r="C6898" t="inlineStr">
        <is>
          <t>Mom was DX'd with LS-SCLC and beat that. Unfortunately it had already metastasized to her brain, and the prognosis is rather dismal. I know numbers arent anything to take to heart, but I know that this will eventually end her life.
I took a job at a Hospital in a new city after she was cleared and now she's Extensive Stage. She will be moving in with me while she's still functional and asymptomatic so we can enjoy our time together. However, once she is gone, I will have only my brother and emotionally disconnected Father as a support.
I have old highschool friends in town, and can reach out to them, but I feel that I need to bring more people into my orbit prior to the inevitable. How can I quickly gain compassion and friendship with a group of people in a new town with knowing only a handful of people. 
Thanks in advance</t>
        </is>
      </c>
      <c r="D6898" t="n">
        <v>1</v>
      </c>
      <c r="E6898" t="n">
        <v>1</v>
      </c>
      <c r="F6898">
        <f>HYPERLINK("https://www.reddit.com/r/cancer/comments/ekynf2/how_can_i_build_a_support_system_in_a_new_city/")</f>
        <v/>
      </c>
      <c r="G6898" t="inlineStr">
        <is>
          <t>2020-01-06 11:11:18</t>
        </is>
      </c>
      <c r="H6898" t="inlineStr"/>
    </row>
    <row r="6899">
      <c r="A6899" t="inlineStr">
        <is>
          <t>ekz61b</t>
        </is>
      </c>
      <c r="B6899" t="inlineStr">
        <is>
          <t>What are some good poems?</t>
        </is>
      </c>
      <c r="C6899" t="inlineStr">
        <is>
          <t>Im looking for some poems to use for my moms funeral.. can you help a sister out?</t>
        </is>
      </c>
      <c r="D6899" t="n">
        <v>1</v>
      </c>
      <c r="E6899" t="n">
        <v>0</v>
      </c>
      <c r="F6899">
        <f>HYPERLINK("https://www.reddit.com/r/cancer/comments/ekz61b/what_are_some_good_poems/")</f>
        <v/>
      </c>
      <c r="G6899" t="inlineStr">
        <is>
          <t>2020-01-06 11:47:25</t>
        </is>
      </c>
      <c r="H6899" t="inlineStr"/>
    </row>
    <row r="6900">
      <c r="A6900" t="inlineStr">
        <is>
          <t>ekz7r4</t>
        </is>
      </c>
      <c r="B6900" t="inlineStr">
        <is>
          <t>My Grandpas cancer has spread.</t>
        </is>
      </c>
      <c r="C6900" t="inlineStr">
        <is>
          <t>Hi all,
Writing this with tears streaming down my face,I’m sorry in advance for any mistakes etc
Just found out my Grandpas prostate cancer has now spread to his hip and collarbone. He was first diagnosed 10 years ago, had a few rounds of chemo and has had an implant ever since which has maintained it all this time. He has a scan booked in on Friday, and on the 6th of feb (my birthday), we will find out if there are any treatment options. I’m completely devastated, I know it might be ok, but deep down I know it isn’t, he’s started losing a bit of weight unintentionally. 
He is 70, can there be a positive prognosis at this kind of age? Other than the cancer he is very well and is out and about most days.
Any help/guidance/support appreciated :(</t>
        </is>
      </c>
      <c r="D6900" t="n">
        <v>1</v>
      </c>
      <c r="E6900" t="n">
        <v>4</v>
      </c>
      <c r="F6900">
        <f>HYPERLINK("https://www.reddit.com/r/cancer/comments/ekz7r4/my_grandpas_cancer_has_spread/")</f>
        <v/>
      </c>
      <c r="G6900" t="inlineStr">
        <is>
          <t>2020-01-06 11:50:28</t>
        </is>
      </c>
      <c r="H6900" t="inlineStr"/>
    </row>
    <row r="6901">
      <c r="A6901" t="inlineStr">
        <is>
          <t>ekzdim</t>
        </is>
      </c>
      <c r="B6901" t="inlineStr">
        <is>
          <t>Has HR at your company wanted you to shop around or talk to you about different options?</t>
        </is>
      </c>
      <c r="C6901" t="inlineStr">
        <is>
          <t>We recently switched from Blue Cross Blue Shield to Cigna Health Insurance. My initial consultation is this Thursday, the 9th. HR wanted to talk to me tomorrow with the Cigna rep to discuss "better treatment and lower prices" I'm unsure if this is because they don't want a lot of claims with being a brand new provider or if they have my best interest at heart. I will say, my company has been very understanding and have given me multiple days off with pay even when I didn't have the PTO to cover it. Maybe I'm just paranoid since they want to talk about it so later now and my appointment is supposed to be Thursday.</t>
        </is>
      </c>
      <c r="D6901" t="n">
        <v>1</v>
      </c>
      <c r="E6901" t="n">
        <v>6</v>
      </c>
      <c r="F6901">
        <f>HYPERLINK("https://www.reddit.com/r/cancer/comments/ekzdim/has_hr_at_your_company_wanted_you_to_shop_around/")</f>
        <v/>
      </c>
      <c r="G6901" t="inlineStr">
        <is>
          <t>2020-01-06 12:01:09</t>
        </is>
      </c>
      <c r="H6901" t="inlineStr"/>
    </row>
    <row r="6902">
      <c r="A6902" t="inlineStr">
        <is>
          <t>ekzxox</t>
        </is>
      </c>
      <c r="B6902" t="inlineStr">
        <is>
          <t>My mom's in the hospital for sepsis</t>
        </is>
      </c>
      <c r="C6902" t="inlineStr">
        <is>
          <t>Hello everyone!  
My mom and dad are in Florida for work and last night my mom went to the hospital because she was feeling symptoms of sepsis.  Turns out she was correct in her thoughts and from last night to now her white blood cells have gone up  to 16,000, her temp has gone up and her breast is red.   She had ovarian cancer a few years ago and also had sepsis back then which is why she remembered the symptoms.  
My mom had her bilateral mastectomy a few months ago and has been healing/on the road to recovery, so we thought.  
Has anyone else dealt with something like this? Or have some insight?   
Any and all insight is greatly appreciated.</t>
        </is>
      </c>
      <c r="D6902" t="n">
        <v>1</v>
      </c>
      <c r="E6902" t="n">
        <v>3</v>
      </c>
      <c r="F6902">
        <f>HYPERLINK("https://www.reddit.com/r/cancer/comments/ekzxox/my_moms_in_the_hospital_for_sepsis/")</f>
        <v/>
      </c>
      <c r="G6902" t="inlineStr">
        <is>
          <t>2020-01-06 12:39:45</t>
        </is>
      </c>
      <c r="H6902" t="inlineStr"/>
    </row>
    <row r="6903">
      <c r="A6903" t="inlineStr">
        <is>
          <t>el04us</t>
        </is>
      </c>
      <c r="B6903" t="inlineStr">
        <is>
          <t>Just found he has cancer</t>
        </is>
      </c>
      <c r="C6903" t="inlineStr">
        <is>
          <t>My dad. Stage 4 metastasized prostate cancer. He has a 29% survival rate. I dont know what to do. I feel like I'm dying. My mom told me today. She took me to a coffee place. I think she new I wouldn't start crying if I was in public. 55 years old. I just need people to tell me he is ok. Please tell me your stories about lovesld ones who survived. I need to know he won't die. I am drunk right now. I just chugged a bottle of gin to try and not feel but I can still feel I need some one to tell me it's ok. I'll know it's a lie but I need it anyway. Please I need it</t>
        </is>
      </c>
      <c r="D6903" t="n">
        <v>1</v>
      </c>
      <c r="E6903" t="n">
        <v>7</v>
      </c>
      <c r="F6903">
        <f>HYPERLINK("https://www.reddit.com/r/cancer/comments/el04us/just_found_he_has_cancer/")</f>
        <v/>
      </c>
      <c r="G6903" t="inlineStr">
        <is>
          <t>2020-01-06 12:53:17</t>
        </is>
      </c>
      <c r="H6903" t="inlineStr"/>
    </row>
    <row r="6904">
      <c r="A6904" t="inlineStr">
        <is>
          <t>el0g1u</t>
        </is>
      </c>
      <c r="B6904" t="inlineStr">
        <is>
          <t>Tips for articles on gliablastoma?</t>
        </is>
      </c>
      <c r="C6904" t="inlineStr">
        <is>
          <t>New treatments etc?</t>
        </is>
      </c>
      <c r="D6904" t="n">
        <v>1</v>
      </c>
      <c r="E6904" t="n">
        <v>2</v>
      </c>
      <c r="F6904">
        <f>HYPERLINK("https://www.reddit.com/r/cancer/comments/el0g1u/tips_for_articles_on_gliablastoma/")</f>
        <v/>
      </c>
      <c r="G6904" t="inlineStr">
        <is>
          <t>2020-01-06 13:14:37</t>
        </is>
      </c>
      <c r="H6904" t="inlineStr"/>
    </row>
    <row r="6905">
      <c r="A6905" t="inlineStr">
        <is>
          <t>el0mwx</t>
        </is>
      </c>
      <c r="B6905" t="inlineStr">
        <is>
          <t>After cancer</t>
        </is>
      </c>
      <c r="C6905" t="inlineStr">
        <is>
          <t>37f here... can anyone speak to anxiety after cancer? January 2019 I was diagnosed with colon cancer. I had surgery and chemo and was told I was cancer free in Sept. Will be going for more follow up soon. Obviously the fear of cancer returning is there. But more than that. I am in a constant state of worry over something. I will be driving to work and be thinking about how I didn't complete my son's baby book (he's 10). I'll feel guilty for my basement being too cluttered. I'll regret my college major. I can't watch some TV shows I used to like or listen to some music bc it's way too upsetting or brings up too many feelings. I guess I always was a little emotional but this is extra. Can anyone relate to this ?</t>
        </is>
      </c>
      <c r="D6905" t="n">
        <v>1</v>
      </c>
      <c r="E6905" t="n">
        <v>5</v>
      </c>
      <c r="F6905">
        <f>HYPERLINK("https://www.reddit.com/r/cancer/comments/el0mwx/after_cancer/")</f>
        <v/>
      </c>
      <c r="G6905" t="inlineStr">
        <is>
          <t>2020-01-06 13:27:45</t>
        </is>
      </c>
      <c r="H6905" t="inlineStr"/>
    </row>
    <row r="6906">
      <c r="A6906" t="inlineStr">
        <is>
          <t>el0rgx</t>
        </is>
      </c>
      <c r="B6906" t="inlineStr">
        <is>
          <t>End of life symptoms?</t>
        </is>
      </c>
      <c r="C6906" t="inlineStr">
        <is>
          <t>Bit of a strange one maybe and a not very nice thing to have to re live for some but what were the signs of end of life symptoms for your loved ones? 
Not sure if it makes a difference but particularly looking at stage 4 pancreatic cancer. 
Dad was diagnosed stage 4 over 6 months ago (they gave him around 6 months) and there are a few things happening in the last week or so that weeks me think it's nearing the end.</t>
        </is>
      </c>
      <c r="D6906" t="n">
        <v>1</v>
      </c>
      <c r="E6906" t="n">
        <v>7</v>
      </c>
      <c r="F6906">
        <f>HYPERLINK("https://www.reddit.com/r/cancer/comments/el0rgx/end_of_life_symptoms/")</f>
        <v/>
      </c>
      <c r="G6906" t="inlineStr">
        <is>
          <t>2020-01-06 13:36:24</t>
        </is>
      </c>
      <c r="H6906" t="inlineStr"/>
    </row>
    <row r="6907">
      <c r="A6907" t="inlineStr">
        <is>
          <t>el1lc9</t>
        </is>
      </c>
      <c r="B6907" t="inlineStr">
        <is>
          <t>Found out one of my employees has been diagnosed with cancer. What can I do to support him?</t>
        </is>
      </c>
      <c r="C6907" t="inlineStr">
        <is>
          <t>One of my people who report to me has told me he was just diagnosed with cancer. He feels it's treatable with chemo and radiation. This is all very new for him and his family. 
I'm his boss and want to be as supportive as possible. I've already told him I'm here for whatever he needs (e.g. time off, workload balancing, etc). I'm wondering if there's anything else I can do to be supportive or to extend a kind gesture to him and/or his family.</t>
        </is>
      </c>
      <c r="D6907" t="n">
        <v>1</v>
      </c>
      <c r="E6907" t="n">
        <v>16</v>
      </c>
      <c r="F6907">
        <f>HYPERLINK("https://www.reddit.com/r/cancer/comments/el1lc9/found_out_one_of_my_employees_has_been_diagnosed/")</f>
        <v/>
      </c>
      <c r="G6907" t="inlineStr">
        <is>
          <t>2020-01-06 14:33:59</t>
        </is>
      </c>
      <c r="H6907" t="inlineStr"/>
    </row>
    <row r="6908">
      <c r="A6908" t="inlineStr">
        <is>
          <t>el1xqe</t>
        </is>
      </c>
      <c r="B6908" t="inlineStr">
        <is>
          <t>Gift For Finishing Chemo</t>
        </is>
      </c>
      <c r="C6908" t="inlineStr">
        <is>
          <t>Hi everyone!  First off, I want to extend my best wishes and prayers to all who are struggling with their own diagnosis or the diagnosis of a loved one. I hope there is always light in an otherwise gloomy situation. I am wondering if anyone has suggestions for gifts for completing chemo and getting that cancer free confirmation. My girlfriend went to her home country for routine cyst surgery in September but found out it was cancer. Needless to say, it was heartbreaking to be so far from her at such a difficult moment in her life. She went back because her parents are there and overall made it more convenient for them/her. I was blessed to be able to spend Christmas vacation with her right after finishing her second round. I am so proud of her and she is my Superhero...I look up to her so much and admire her strength. Since she will need time to recover prior to flying back after her final round, I won’t be with her when she completes her final round to celebrate. I would like to send her something special when she finishes but I’m not sure what is best for this...any advice is greatly appreciated. She is so special and I can’t wait to welcome her back and continue to help her through her recovery. Thank you all in advance 🙏</t>
        </is>
      </c>
      <c r="D6908" t="n">
        <v>1</v>
      </c>
      <c r="E6908" t="n">
        <v>9</v>
      </c>
      <c r="F6908">
        <f>HYPERLINK("https://www.reddit.com/r/cancer/comments/el1xqe/gift_for_finishing_chemo/")</f>
        <v/>
      </c>
      <c r="G6908" t="inlineStr">
        <is>
          <t>2020-01-06 14:58:14</t>
        </is>
      </c>
      <c r="H6908" t="inlineStr"/>
    </row>
    <row r="6909">
      <c r="A6909" t="inlineStr">
        <is>
          <t>el2yqk</t>
        </is>
      </c>
      <c r="B6909" t="inlineStr">
        <is>
          <t>My boyfriend just recieved the results back from his chest MRI, they said there was a malignancy on his lungs.</t>
        </is>
      </c>
      <c r="C6909" t="inlineStr">
        <is>
          <t>Hi all, this is my first ever post on Reddit and although I wish it wasn't on this subreddit, or under these circumstances, I couldn't think of anything else that could make me feel okay so here goes. After a few months of harassing my boyfriend to make a doctor's appointment because of a persistent cough that wouldn't go away, he finally went and after a slew of tests, including CT scans and finally an MRI done on Friday, the doctor called today to say that there was a malignancy found in his lungs, so the "C word". No word on the stage yet, he is going to the pulmonologist on Thursday. I am feeling very low and I am panicking, but trying to stay strong for him. Any advice or good experiences with this kind of thing would be greatly appreciated, I am really digging myself into a hole looking on the internet at lung cancer statistics and survival rates, I know I shouldn't be doing this, but I am just trying to grasp at what information I do have because I am just so afraid. This is my best friend and can't possibly imagine anything happening to him. Please help me.</t>
        </is>
      </c>
      <c r="D6909" t="n">
        <v>1</v>
      </c>
      <c r="E6909" t="n">
        <v>21</v>
      </c>
      <c r="F6909">
        <f>HYPERLINK("https://www.reddit.com/r/cancer/comments/el2yqk/my_boyfriend_just_recieved_the_results_back_from/")</f>
        <v/>
      </c>
      <c r="G6909" t="inlineStr">
        <is>
          <t>2020-01-06 16:12:25</t>
        </is>
      </c>
      <c r="H6909" t="inlineStr"/>
    </row>
    <row r="6910">
      <c r="A6910" t="inlineStr">
        <is>
          <t>el31s3</t>
        </is>
      </c>
      <c r="B6910" t="inlineStr">
        <is>
          <t>My heart is breaking</t>
        </is>
      </c>
      <c r="C6910" t="inlineStr">
        <is>
          <t>My husband keeps getting new mets and his dr told him today that he is running out of options. 😭 my heart is absolutely breaking. I don’t want to lose my husband. And it is absolutely killing me because our daughter is 2 and that she may not even remember him.</t>
        </is>
      </c>
      <c r="D6910" t="n">
        <v>1</v>
      </c>
      <c r="E6910" t="n">
        <v>3</v>
      </c>
      <c r="F6910">
        <f>HYPERLINK("https://www.reddit.com/r/cancer/comments/el31s3/my_heart_is_breaking/")</f>
        <v/>
      </c>
      <c r="G6910" t="inlineStr">
        <is>
          <t>2020-01-06 16:19:11</t>
        </is>
      </c>
      <c r="H6910" t="inlineStr"/>
    </row>
    <row r="6911">
      <c r="A6911" t="inlineStr">
        <is>
          <t>el349n</t>
        </is>
      </c>
      <c r="B6911" t="inlineStr">
        <is>
          <t>Having a rough start</t>
        </is>
      </c>
      <c r="C6911" t="inlineStr">
        <is>
          <t>Hi all,
I'm a 25 year old male with germ call cancer primary in mediastinum. It's 14cm by 12 so it's a big old tumor.
Im almost finishing my first round of chemo. So far xrays have shown no significant decrease is tumor size. On top of this, I've spend about 8 days already in hospital as I'm having constant fevers and a cough. They can't find any infections and are saying my symptoms are disease related.
It's been a shitty start. I'm actually in hospital again as I write this and I'm feeling extremely doubtful I'm going to make it.
It's fine I guess it is what it is, but jsut wanted to post this. I'm losing hope.</t>
        </is>
      </c>
      <c r="D6911" t="n">
        <v>1</v>
      </c>
      <c r="E6911" t="n">
        <v>5</v>
      </c>
      <c r="F6911">
        <f>HYPERLINK("https://www.reddit.com/r/cancer/comments/el349n/having_a_rough_start/")</f>
        <v/>
      </c>
      <c r="G6911" t="inlineStr">
        <is>
          <t>2020-01-06 16:24:09</t>
        </is>
      </c>
      <c r="H6911" t="inlineStr"/>
    </row>
    <row r="6912">
      <c r="A6912" t="inlineStr">
        <is>
          <t>el375b</t>
        </is>
      </c>
      <c r="B6912" t="inlineStr">
        <is>
          <t>More good news</t>
        </is>
      </c>
      <c r="C6912" t="inlineStr">
        <is>
          <t>My Osophogeal tumor has been stable for six months now, no growth on it in half a year. My metastatic lung tumors haven't spread again. My Liver tumor is so small that my oncologist said 'we aren't anywhere near ready to worry about that now'.
Im 23 months into my 6 - 12 month diagnosis and I feel unbelievably healthy. 
Sorry for the brag, but damn I'm happy that my health is barely a worry. Now if only the rest of my life wasn't a complete dumpster fire.</t>
        </is>
      </c>
      <c r="D6912" t="n">
        <v>1</v>
      </c>
      <c r="E6912" t="n">
        <v>13</v>
      </c>
      <c r="F6912">
        <f>HYPERLINK("https://www.reddit.com/r/cancer/comments/el375b/more_good_news/")</f>
        <v/>
      </c>
      <c r="G6912" t="inlineStr">
        <is>
          <t>2020-01-06 16:30:02</t>
        </is>
      </c>
      <c r="H6912" t="inlineStr"/>
    </row>
    <row r="6913">
      <c r="A6913" t="inlineStr">
        <is>
          <t>el5115</t>
        </is>
      </c>
      <c r="B6913" t="inlineStr">
        <is>
          <t>Worst day of my life was today.</t>
        </is>
      </c>
      <c r="C6913" t="inlineStr">
        <is>
          <t>My husband has had what he thought was a sinus infection with a swollen eye for three months that he ignored until finally we badgered him into going to the doctor. Antibiotics didn’t work. He finally saw an ENT for stronger antibiotics. They didn’t work. A CT scan was ordered for this morning. And it was shocking. There’s something inside there that has eaten up the bone around his nose and eye socket and upper forehead. We were ordered to UVA medical center immediately for emergency surgery to find out what it is. 
Calling  parents to care for our kids, packing, getting an hour up the road. We’ve been here all day. He is in for an MRI now. There is some kind of mass in there. We don’t know what it is. His eye is bulging worse out of his head now than it was after they put the endoscope up his nose.
This is the most terrified I’ve been in my life. My beloved is really bad off. An ENT is coming tomorrow. A neurosurgeon and an eye doctor are coming. I don’t know what’s going to happen. 
I’m just so terrified right now more than I’ve ever been in my life. I want to be strong for him but right now I just feel numb or I cry. 
I don’t know what’s going to happen. I feel like I’m in a nightmare. 
They are admitting him tonight and more will be revealed.</t>
        </is>
      </c>
      <c r="D6913" t="n">
        <v>1</v>
      </c>
      <c r="E6913" t="n">
        <v>60</v>
      </c>
      <c r="F6913">
        <f>HYPERLINK("https://www.reddit.com/r/cancer/comments/el5115/worst_day_of_my_life_was_today/")</f>
        <v/>
      </c>
      <c r="G6913" t="inlineStr">
        <is>
          <t>2020-01-06 18:49:31</t>
        </is>
      </c>
      <c r="H6913" t="inlineStr"/>
    </row>
    <row r="6914">
      <c r="A6914" t="inlineStr">
        <is>
          <t>el68q5</t>
        </is>
      </c>
      <c r="B6914" t="inlineStr">
        <is>
          <t>Has anyone ever had any vulva cyst/tumors ?</t>
        </is>
      </c>
      <c r="C6914" t="inlineStr">
        <is>
          <t>Recently started feeling some irritation between my clitoris and one of my labias, thought it was a scratch or something but the pain is bad..just tried to be chill all weekend..
Then today I was feeling around the area in the shower and noticed it was swollen with a marble sized cyst of some kind up and under the skin/folds..
My ex has a testicular cyst/tumor, that never caused him pain and he never got biopsied but did get sonogramed. This felt the same as his in density and whatnot..
Anyways I was just wondering if I could hear from anyone who has had a cyst in this area on what it felt like and such..
I am going to look for a new obgyn that takes my crappy marketplace insurance I had to buy for the new year soon..hadn't gotten insurance card yet but today after realizing I had a swollen mass in my vulva called the insurance company and got my ID number and such so I can go to the doctor soon.
Cant believe this is happening, I JUST had a skin growth biopsied and the biopsy site got infected and I'm not even done with the course of antibiotics for that and now I've got this to deal with. Just when I thought I was in the clear ! Ugh. (The skin one came back as blue nevus non cancerous despite its deepness so that was good)
I'm really freaking I dont want to get surgery in this area ugh.</t>
        </is>
      </c>
      <c r="D6914" t="n">
        <v>1</v>
      </c>
      <c r="E6914" t="n">
        <v>8</v>
      </c>
      <c r="F6914">
        <f>HYPERLINK("https://www.reddit.com/r/cancer/comments/el68q5/has_anyone_ever_had_any_vulva_cysttumors/")</f>
        <v/>
      </c>
      <c r="G6914" t="inlineStr">
        <is>
          <t>2020-01-06 20:25:25</t>
        </is>
      </c>
      <c r="H6914" t="inlineStr"/>
    </row>
    <row r="6915">
      <c r="A6915" t="inlineStr">
        <is>
          <t>el7bxm</t>
        </is>
      </c>
      <c r="B6915" t="inlineStr">
        <is>
          <t>What causes cancer?</t>
        </is>
      </c>
      <c r="C6915" t="inlineStr">
        <is>
          <t>Sorry if this seems like a generic post, but I was wondering if someone would explain to me what the mainstream medical view is on what causes cancer, generally speaking (i.e. how does it come about in most cases).</t>
        </is>
      </c>
      <c r="D6915" t="n">
        <v>1</v>
      </c>
      <c r="E6915" t="n">
        <v>3</v>
      </c>
      <c r="F6915">
        <f>HYPERLINK("https://www.reddit.com/r/cancer/comments/el7bxm/what_causes_cancer/")</f>
        <v/>
      </c>
      <c r="G6915" t="inlineStr">
        <is>
          <t>2020-01-06 21:58:53</t>
        </is>
      </c>
      <c r="H6915" t="inlineStr"/>
    </row>
    <row r="6916">
      <c r="A6916" t="inlineStr">
        <is>
          <t>el7cb6</t>
        </is>
      </c>
      <c r="B6916" t="inlineStr">
        <is>
          <t>Another update</t>
        </is>
      </c>
      <c r="C6916" t="inlineStr">
        <is>
          <t>This update is a very hard one to type out, they found fluid in her lung and they also found an abscess inside of the lung that has the tumour, doctors are now asking my older sibling if she has custody of us (I’m 17) if mum has a will, if anything is organised, but yet when my sister asked is this time to get the family together to say goodbye, they said no it hasn’t reached that point, mums awake and alert and responding to doctors orders but she can’t breathe, I am so terrified I don’t know what to do, I don’t know if this means my mum is losing her battle and coming close to her death or if this is just a precaution on their behalf, my heart keeps pounding and I feel so incredibly sick and I’m just so terrified, I feel so lost and alone and idk if I’m supposed to be feeling this way, they have her on antibiotics but she hasn’t responded to them (she arrived at the hospital early hours of Monday morning) I’m so scared I’m going to lose my mum</t>
        </is>
      </c>
      <c r="D6916" t="n">
        <v>1</v>
      </c>
      <c r="E6916" t="n">
        <v>3</v>
      </c>
      <c r="F6916">
        <f>HYPERLINK("https://www.reddit.com/r/cancer/comments/el7cb6/another_update/")</f>
        <v/>
      </c>
      <c r="G6916" t="inlineStr">
        <is>
          <t>2020-01-06 21:59:49</t>
        </is>
      </c>
      <c r="H6916" t="inlineStr"/>
    </row>
    <row r="6917">
      <c r="A6917" t="inlineStr">
        <is>
          <t>el7no0</t>
        </is>
      </c>
      <c r="B6917" t="inlineStr">
        <is>
          <t>Grandfather is in his mid 80's, has stage 2 stomach cancer, did radiation but doctors recommend against surgery and chemo. What should we expect next?</t>
        </is>
      </c>
      <c r="C6917" t="inlineStr">
        <is>
          <t>Hi all, 
My grandfather was diagnosed with stage 2 stomach cancer about 6 months ago. He is in his 80's and on dialysis, but still pretty healthy and energetic considering. This news obviously floored us, as he was already having trouble dealing emotionally with dialysis.
Due to the location of the cancer in his stomach, doctor's recommended against surgery (would need a whipple procedure) because his quality of life would be terrible afterwards. They also did not recommend chemo because they said it would completely debilitate him since he's already so old and frail, and might not be worth it. They treated him for 6 weeks with radiation therapy, but leading up to that the doctors did not seem very optimistic.
We haven't had a chance to talk to doctor's about what happens next because my grandfather has always been in the room with us. We don't want him to lose hope, but I want to know what might realistically be coming in the next year.
1) He has been getting terrible stomach pains that last 3-6 hours sometimes, at night but now in the day as well. They are completely crippling. Can we expect this to get worse? How do you manage this kind of pain?
2) What happens to older patients with stomach cancer that can't get any more treatments? Not to sound crass, but do we just wait until they die? Until the cancer just gets worse and worse until they can't survive without life support anymore? Until the pain gets so bad that he has to go to the hospital? I think this would be unbearable for my grandfather, as well as my family to go through, but I want to know as much as possible going forward so I can mentally and emotionally prepare and be there for the rest of my family when they need it. How does this work? Do we have other options?
Thank you. Wish everyone here the best.</t>
        </is>
      </c>
      <c r="D6917" t="n">
        <v>1</v>
      </c>
      <c r="E6917" t="n">
        <v>5</v>
      </c>
      <c r="F6917">
        <f>HYPERLINK("https://www.reddit.com/r/cancer/comments/el7no0/grandfather_is_in_his_mid_80s_has_stage_2_stomach/")</f>
        <v/>
      </c>
      <c r="G6917" t="inlineStr">
        <is>
          <t>2020-01-06 22:28:35</t>
        </is>
      </c>
      <c r="H6917" t="inlineStr"/>
    </row>
    <row r="6918">
      <c r="A6918" t="inlineStr">
        <is>
          <t>el7zll</t>
        </is>
      </c>
      <c r="B6918" t="inlineStr">
        <is>
          <t>Doctors gave up on my dad</t>
        </is>
      </c>
      <c r="C6918" t="inlineStr">
        <is>
          <t>My dad has late stage HER2 colon cancer.  
He has been fighting since 2017. 
Today his doctors gave up on him and they are having him discharged. 
We dont know what we can do now. 
That is all.</t>
        </is>
      </c>
      <c r="D6918" t="n">
        <v>1</v>
      </c>
      <c r="E6918" t="n">
        <v>1</v>
      </c>
      <c r="F6918">
        <f>HYPERLINK("https://www.reddit.com/r/cancer/comments/el7zll/doctors_gave_up_on_my_dad/")</f>
        <v/>
      </c>
      <c r="G6918" t="inlineStr">
        <is>
          <t>2020-01-06 23:00:25</t>
        </is>
      </c>
      <c r="H6918" t="inlineStr"/>
    </row>
    <row r="6919">
      <c r="A6919" t="inlineStr">
        <is>
          <t>el8dff</t>
        </is>
      </c>
      <c r="B6919" t="inlineStr">
        <is>
          <t>I'm so afraid of cancer</t>
        </is>
      </c>
      <c r="C6919" t="inlineStr">
        <is>
          <t>Hello to all of you, I'm here to speak to you about something "weird" in my life..
I'm currently 20 years old, and Im healthy(in terms of diseases) alllthough  I have some minor things, like I was recently in surgery for sinus pilonidal and some other normal minor stuff.
But I die of terrors of cancer, literally.
My problem is that I'm always searching for something wrong with my body and try to figure out what it is on the internet.
Im always afraid that some symptom is going to lead me to cancer. Whenever I have something wrong with my body, let's say a normal coff, I always think: Can this be cancer? what type?
I know it's stupid, there are a lot of things, why cancer? But I can't make up my mind about that.
Any words on this? Thank you</t>
        </is>
      </c>
      <c r="D6919" t="n">
        <v>1</v>
      </c>
      <c r="E6919" t="n">
        <v>4</v>
      </c>
      <c r="F6919">
        <f>HYPERLINK("https://www.reddit.com/r/cancer/comments/el8dff/im_so_afraid_of_cancer/")</f>
        <v/>
      </c>
      <c r="G6919" t="inlineStr">
        <is>
          <t>2020-01-06 23:39:38</t>
        </is>
      </c>
      <c r="H6919" t="inlineStr"/>
    </row>
    <row r="6920">
      <c r="A6920" t="inlineStr">
        <is>
          <t>elcyjk</t>
        </is>
      </c>
      <c r="B6920" t="inlineStr">
        <is>
          <t>Coping mechanisms</t>
        </is>
      </c>
      <c r="C6920" t="inlineStr">
        <is>
          <t>My dad was just diagnosed with stage 4 rectal cancer.
I found out he had cancer around the beginning of December.
He was very vague with details, just told my siblings and I that he was starting chemo and the radiation treatments were starting in January.
We went to his place for Christmas and there was a point where I looked over at him, when he didn’t know I was looking, and he was taking everything in like he would never have another Christmas with us again.
That’s when I kind of realized it must be serious.
Yesterday he called me (I live in a different city about 45mins away) and told me he was hiding the fact he’s in stage 4 because he didn’t want to ruin our Christmas.
I haven’t been able to stop crying. We don’t have the best relationship, but all I do is go back to that look he had on Christmas. My stupid brain keeps replaying scenarios of him dying, and being in the hospital. Every morbid outcome just replays in my head. 
I know I’m supposed to be positive, I’m not the one with cancer, and I know if I was that I wouldn’t want someone crying around me all the time.
What are some coping mechanisms I can use to try and stay positive? I’m trying to be mindful but I can’t seem to get all the thoughts of what he must be going through, and what he’ll probably be going through, to stop.
How do I stay positive when all I seem to want to do is cry?</t>
        </is>
      </c>
      <c r="D6920" t="n">
        <v>1</v>
      </c>
      <c r="E6920" t="n">
        <v>28</v>
      </c>
      <c r="F6920">
        <f>HYPERLINK("https://www.reddit.com/r/cancer/comments/elcyjk/coping_mechanisms/")</f>
        <v/>
      </c>
      <c r="G6920" t="inlineStr">
        <is>
          <t>2020-01-07 07:27:43</t>
        </is>
      </c>
      <c r="H6920" t="inlineStr"/>
    </row>
    <row r="6921">
      <c r="A6921" t="inlineStr">
        <is>
          <t>elf0bv</t>
        </is>
      </c>
      <c r="B6921" t="inlineStr">
        <is>
          <t>Stage 4 Brain Cancer questions</t>
        </is>
      </c>
      <c r="C6921" t="inlineStr">
        <is>
          <t>Hello all, I just found this subreddit, so excuse me if I’m breaking any rules. 
My family found out my mom has stage 4 brain cancer yesterday. She has a tumour that is growing at a faster rate than her neurosurgeon has ever seen in his entire career - but she is set for surgery next week. 
I have no idea what this means, and I’m across the country and unable to ask any questions myself. My mom isn’t doing so great - she’s not the most coherent when she texts me, and I haven’t seen her since October but apparently everything has gotten much worse. 
I know stage 4 mean terminal - she’s going to die. But what is the brain surgery for (long term)? If they fully remove the tumour, will she no longer be stage 4? Is there any possibility she will recover if this best case scenario happens? 
I know a lot of brain cancer success stories depend on where the tumour is and many other factors, so I know that no one else will have “the answer” to anything. 
I know you guys aren’t doctors, but if anyone has any insights on this, I would really appreciate it.</t>
        </is>
      </c>
      <c r="D6921" t="n">
        <v>1</v>
      </c>
      <c r="E6921" t="n">
        <v>5</v>
      </c>
      <c r="F6921">
        <f>HYPERLINK("https://www.reddit.com/r/cancer/comments/elf0bv/stage_4_brain_cancer_questions/")</f>
        <v/>
      </c>
      <c r="G6921" t="inlineStr">
        <is>
          <t>2020-01-07 09:58:03</t>
        </is>
      </c>
      <c r="H6921" t="inlineStr"/>
    </row>
    <row r="6922">
      <c r="A6922" t="inlineStr">
        <is>
          <t>elg5zc</t>
        </is>
      </c>
      <c r="B6922" t="inlineStr">
        <is>
          <t>Mum lost her battle against cancer</t>
        </is>
      </c>
      <c r="C6922" t="inlineStr">
        <is>
          <t>My mum pass away day before yesterday. She’s a great fighter, finally she’s relieved from this fucking disease. She do not have to worry what she eat or drink anymore. She pass away with every family members around. RIP mum, I’ll see you again one day</t>
        </is>
      </c>
      <c r="D6922" t="n">
        <v>1</v>
      </c>
      <c r="E6922" t="n">
        <v>6</v>
      </c>
      <c r="F6922">
        <f>HYPERLINK("https://www.reddit.com/r/cancer/comments/elg5zc/mum_lost_her_battle_against_cancer/")</f>
        <v/>
      </c>
      <c r="G6922" t="inlineStr">
        <is>
          <t>2020-01-07 11:16:54</t>
        </is>
      </c>
      <c r="H6922" t="inlineStr"/>
    </row>
    <row r="6923">
      <c r="A6923" t="inlineStr">
        <is>
          <t>elh2g5</t>
        </is>
      </c>
      <c r="B6923" t="inlineStr">
        <is>
          <t>should i buy my teacher a gift?</t>
        </is>
      </c>
      <c r="C6923" t="inlineStr">
        <is>
          <t>one of my teachers announced to our class that she had cancer and that she started chemotherapy a few months ago. it isn't a class i have often, but i like her and i thought of making her a small gift, maybe some ginger candy and an unscented hand cream or something like that. 
i talked about it with a classmate, who said that she didn't think that our teacher felt very comfortable speaking about her cancer and that the gift was going 'remind her of it'. i don't agree completely, but now i am wondering whether i should give it or not. 
what do you think?</t>
        </is>
      </c>
      <c r="D6923" t="n">
        <v>1</v>
      </c>
      <c r="E6923" t="n">
        <v>20</v>
      </c>
      <c r="F6923">
        <f>HYPERLINK("https://www.reddit.com/r/cancer/comments/elh2g5/should_i_buy_my_teacher_a_gift/")</f>
        <v/>
      </c>
      <c r="G6923" t="inlineStr">
        <is>
          <t>2020-01-07 12:19:56</t>
        </is>
      </c>
      <c r="H6923" t="inlineStr"/>
    </row>
    <row r="6924">
      <c r="A6924" t="inlineStr">
        <is>
          <t>elhddx</t>
        </is>
      </c>
      <c r="B6924" t="inlineStr">
        <is>
          <t>Pembrolizumab or Keytruda and Lenvatinib</t>
        </is>
      </c>
      <c r="C6924" t="inlineStr">
        <is>
          <t>I have lurked on here for a couple of years now.  My mom will be going through her 3rd year of chemo for uterine cancer.  Her doctor is recommending new treatment (Pembrolizumab or Keytruda and Lenvatinib) and I wanted to see if anyone could share their experience or a loved ones experience on side effects, how it made them feel day to day, if it worked / didnt work...i want to hear both the good and the bad.  I can read the drug information until I am blue in the face but I want to hear about it through actual experiences.
I want her to fight this as long as she is willing to and I want to help her every step of the way.  Any advice given will be truly appreciated.</t>
        </is>
      </c>
      <c r="D6924" t="n">
        <v>1</v>
      </c>
      <c r="E6924" t="n">
        <v>9</v>
      </c>
      <c r="F6924">
        <f>HYPERLINK("https://www.reddit.com/r/cancer/comments/elhddx/pembrolizumab_or_keytruda_and_lenvatinib/")</f>
        <v/>
      </c>
      <c r="G6924" t="inlineStr">
        <is>
          <t>2020-01-07 12:40:35</t>
        </is>
      </c>
      <c r="H6924" t="inlineStr"/>
    </row>
    <row r="6925">
      <c r="A6925" t="inlineStr">
        <is>
          <t>elhe30</t>
        </is>
      </c>
      <c r="B6925" t="inlineStr">
        <is>
          <t>SO ANGRY AND TIRED OF WAITING.</t>
        </is>
      </c>
      <c r="C6925" t="inlineStr">
        <is>
          <t>My brother went in for biopsy of a recently discovered brain tumor- w masses on the frontal lobe. He spent Christmas in the hospital. He's 22 years old. 
He went thru the hell of a spinal tap and a biopsy. They said it was gonna be up to a week for pathology results to come thru. 
And it's been 10 days and radio silence. They meet with the oncologists today and what do you fucking know? No results. 
I'm so fucking pissed. It's horrible to see your big brother and best friend go from independent adult to not allowed to drive may collapse/lose his balance and have a spell. I'm so fucking mad at everything.</t>
        </is>
      </c>
      <c r="D6925" t="n">
        <v>1</v>
      </c>
      <c r="E6925" t="n">
        <v>7</v>
      </c>
      <c r="F6925">
        <f>HYPERLINK("https://www.reddit.com/r/cancer/comments/elhe30/so_angry_and_tired_of_waiting/")</f>
        <v/>
      </c>
      <c r="G6925" t="inlineStr">
        <is>
          <t>2020-01-07 12:41:58</t>
        </is>
      </c>
      <c r="H6925" t="inlineStr"/>
    </row>
    <row r="6926">
      <c r="A6926" t="inlineStr">
        <is>
          <t>elhhhq</t>
        </is>
      </c>
      <c r="B6926" t="inlineStr">
        <is>
          <t>Great start to the New Year...</t>
        </is>
      </c>
      <c r="C6926" t="inlineStr">
        <is>
          <t>Wanted to write this down somewhere, as struggling to cope/comprehend things at the minute. 
Last March, my Nan (whom I was very close with) got diagnosed with Oesophagus cancer, it was a bit of a struggle, but over Christmas she appeared the best she had been in months, and we had a great time. However this past Sunday, she got rushed into hospital and passed away, quite suddenly. I feel better knowing she didn’t suffer, but there’s a lot of guilt, and things I wish I could have done. What made it worse; was I had to break the news to my mum, who was in hospital with suspected pancreatitis.
Today, I went to visit my mum, and get there just before the doctors diagnose her with pancreatic cancer, she’s not expected to last the year. 
Words cannot fathom what I’m feeling right now, or what I’m meant to feel. I had to break the news to my dad this afternoon, who is absolutely clueless in sorting things, or emotions. 
All I know is I’m 23 years old, and I’ve got a funeral to plan, and my mums going to die. Got two younger brothers who will need telling at some point, and just needed to let it out somewhere.</t>
        </is>
      </c>
      <c r="D6926" t="n">
        <v>1</v>
      </c>
      <c r="E6926" t="n">
        <v>4</v>
      </c>
      <c r="F6926">
        <f>HYPERLINK("https://www.reddit.com/r/cancer/comments/elhhhq/great_start_to_the_new_year/")</f>
        <v/>
      </c>
      <c r="G6926" t="inlineStr">
        <is>
          <t>2020-01-07 12:48:22</t>
        </is>
      </c>
      <c r="H6926" t="inlineStr"/>
    </row>
    <row r="6927">
      <c r="A6927" t="inlineStr">
        <is>
          <t>eli7xh</t>
        </is>
      </c>
      <c r="B6927" t="inlineStr">
        <is>
          <t>Mum has cancer from working near asbestos</t>
        </is>
      </c>
      <c r="C6927" t="inlineStr">
        <is>
          <t>I'm M 34. My mum went to the doctor about 5 months ago because she was short of breath, struggling after walking upstairs or quickly. The doctor dismissed it until she really pushed and wanted to be checked. They found water in her lung and she was admitted to hospital for about a week or so while they did a drain and tried to figure it out.
Everything seemed fine for a little while until they broke the news that she has Mesothelioma caused by an asbestos particle in the lower part of her left lung. My mum thinks she knows how it happened too, when she was younger she worked in an office for a company that made construction materials. Often the guys working on it would come in from the workshop and particles of the stuff have been floating around all over the place.
The company no longer exists but here in the UK there is a ~£17k payout for anyone with an industrial diagnosis like this. Which she has received, my father also receives £1k a month to look after her, which helps.
My mum has unfortunately reacted really quite badly to the Chemo she's has up to now... three rounds, with the fourth scheduled just before Christmas but cancelled because of how bad it made her feel. A blood transfusion that was meant to help her only made her worse too. They are meeting with the doctors on the 16th to discuss options, but my parents still try and protect me, so don't tell me everything.
So we're thinking alternatives to the Chemo, there are trials and also paid treatments but we're not a wealthy family by any means. The company she worked for closed down long ago, but there are organisations out there who can sometimes claim from any insurance policies that were in place. The thing is my mum doesn't really want to be bothered by that, but I would like options in case the worst happens.
The prognosis isn't great for this type of cancer, worth mentioning that two of her brothers have already died from lung cancer although this was from smoking mainly. I don't know if I should push the issue to go for the money or just try and spend as much time as possible with her and not worry about that stuff. Any advice really would be appreciated.</t>
        </is>
      </c>
      <c r="D6927" t="n">
        <v>1</v>
      </c>
      <c r="E6927" t="n">
        <v>14</v>
      </c>
      <c r="F6927">
        <f>HYPERLINK("https://www.reddit.com/r/cancer/comments/eli7xh/mum_has_cancer_from_working_near_asbestos/")</f>
        <v/>
      </c>
      <c r="G6927" t="inlineStr">
        <is>
          <t>2020-01-07 13:38:31</t>
        </is>
      </c>
      <c r="H6927" t="inlineStr"/>
    </row>
    <row r="6928">
      <c r="A6928" t="inlineStr">
        <is>
          <t>elib4b</t>
        </is>
      </c>
      <c r="B6928" t="inlineStr">
        <is>
          <t>Cancer/Toxic Family</t>
        </is>
      </c>
      <c r="C6928" t="inlineStr">
        <is>
          <t>Cancer/ Toxic Family
My moms [60s] got stage 4 cancer. She’s doing ok and the cancer is shrinking but she can’t work anymore. Her brother [60] and sister [60] who she hasn’t spoken to in 10+ years want to help pay for some of her care. My mom just got out of the hospital this week and while we were there we found out that  she is getting better and the cancer was shrinking. We told each sibling and you could hear how disappointed she was to hear that. Everyone else was overjoyed but she was clearly disappointed and was more excited to hear about some of the risks that may come from chemo (which is why she was hospitalized). It was really off putting and weird. 
How do we navigate this dynamic? She’s done and said a few other things that make it seem like she’s more interested in showing people that she’s helping than actually helping.
How do we handle her?
TLDR: moms got cancer and reconnected with sister who was terrible to her. How do we navigate dynamic - sister was clearly disappointed when we got news mom was getting better.</t>
        </is>
      </c>
      <c r="D6928" t="n">
        <v>1</v>
      </c>
      <c r="E6928" t="n">
        <v>3</v>
      </c>
      <c r="F6928">
        <f>HYPERLINK("https://www.reddit.com/r/cancer/comments/elib4b/cancertoxic_family/")</f>
        <v/>
      </c>
      <c r="G6928" t="inlineStr">
        <is>
          <t>2020-01-07 13:44:38</t>
        </is>
      </c>
      <c r="H6928" t="inlineStr"/>
    </row>
    <row r="6929">
      <c r="A6929" t="inlineStr">
        <is>
          <t>eliih8</t>
        </is>
      </c>
      <c r="B6929" t="inlineStr">
        <is>
          <t>Help with nutrition</t>
        </is>
      </c>
      <c r="C6929" t="inlineStr">
        <is>
          <t>Hello everyone.
I'd appreciate a tip how to deal with the proplem of starving after cancer treatment.
A family member is down to about 55kg and does barely eat or drink. His treatment went actually pretty promising but we fear hell starve.
Any tips how to deal with it?</t>
        </is>
      </c>
      <c r="D6929" t="n">
        <v>1</v>
      </c>
      <c r="E6929" t="n">
        <v>13</v>
      </c>
      <c r="F6929">
        <f>HYPERLINK("https://www.reddit.com/r/cancer/comments/eliih8/help_with_nutrition/")</f>
        <v/>
      </c>
      <c r="G6929" t="inlineStr">
        <is>
          <t>2020-01-07 13:58:54</t>
        </is>
      </c>
      <c r="H6929" t="inlineStr"/>
    </row>
    <row r="6930">
      <c r="A6930" t="inlineStr">
        <is>
          <t>elin0o</t>
        </is>
      </c>
      <c r="B6930" t="inlineStr">
        <is>
          <t>It's ridiculous that we're wasting trillions of dollars on bombing countries in the Middle East while we spend a fraction of that on finding a cure for a disease that costs more than 500k deaths per year</t>
        </is>
      </c>
      <c r="C6930" t="inlineStr">
        <is>
          <t>The human race is kinda despicable if you think about it. We care more about killing people than saving them.</t>
        </is>
      </c>
      <c r="D6930" t="n">
        <v>1</v>
      </c>
      <c r="E6930" t="n">
        <v>18</v>
      </c>
      <c r="F6930">
        <f>HYPERLINK("https://www.reddit.com/r/cancer/comments/elin0o/its_ridiculous_that_were_wasting_trillions_of/")</f>
        <v/>
      </c>
      <c r="G6930" t="inlineStr">
        <is>
          <t>2020-01-07 14:07:30</t>
        </is>
      </c>
      <c r="H6930" t="inlineStr"/>
    </row>
    <row r="6931">
      <c r="A6931" t="inlineStr">
        <is>
          <t>eljwjl</t>
        </is>
      </c>
      <c r="B6931" t="inlineStr">
        <is>
          <t>Some persepective? Am I tha asshole here?</t>
        </is>
      </c>
      <c r="C6931" t="inlineStr">
        <is>
          <t>Bro (22m) was diagnosed with 2 brain lesions. No official confirmation as of yet, but docs think either glioblastoma or lymphoma, waiting on pathology. Either way, he starts radiation tomorrow and oral chemo this week.
My father is drowning. Emotionally and physically. My Dad can't go to church with my mom without crying. He's a mess. Hasn't been to work in awhile just trying to take care of my brother.
I (20f) am a scientist by trade. Going to get my bachelors in Biotechnolgoy this May. I'm well versed in clinical trials and also have done neurosurgery on rats. I'm by no means an expert, but I have some scientific literacy.
I've been reading about clinical trials for gliobastoma. Looking at the promising ones and which ones work.
I found some information on how the ketogenic diet seems promising in increasing survival rates for those with glioblastoma. I used to be on a ketogenic diet myself for fitness reasons. Anyways I brought it up and my brother refuses to even try it. He also won;t even look at the clinical trials online because he 'doesn't want to give me the satisfaction'. What?
I'm trying to keep him alive longer?
I'm honestly not sure if this is how he's coping with his disease or if he's not all there mentally. His memory and fuinctioning isn't really at adult levels right now. Like he can function but not as he used to before diagnosis and it's a struggle to get him to wake up in the morning, get ready, do simple tasks, ect.
So I'm not sure if he's fully aware of what's going on or not. He says he knows the diagnosis and all, but he also has ADHD with hyperfocus and is just content to sit at home and watch TV all day. And I'm fine with that, but I want to give him as many days as possible to watch TV, you know?
I guess I'm jsut struggling. I'm honestly thinking of talking to my dad (primary caregiver/meal maker). I'm fairly certain if we removed all the carb containing foods from the house at night and had my Dad cook keto meals (low carb, high fat/proteins) and I seriously doubt my brother would notice. Like I said he's not as aware as he usually is.
Is that unethical? I'm trying to help as much as I can. I honestly dont think he would mind being on keto if I made sure to cook foods he liked. He whines about me and my fitness diets but when I cook food he always eats it when I'm not around, so I know he likes my cooking.
I could probably get him to eat bacon for breakfast, soup for lunch, and ground beef and cheese tacos or something for dinner and he wouldn;t care as long as it tasted good. Am I the asshole here? I think it shows promise and might better his chances. And if we cook all the food anyways (he can make his own canned soup or mac n cheese and graze, but not functioning at an adult level. He was struggling livign on his own) would that be horrible?</t>
        </is>
      </c>
      <c r="D6931" t="n">
        <v>1</v>
      </c>
      <c r="E6931" t="n">
        <v>35</v>
      </c>
      <c r="F6931">
        <f>HYPERLINK("https://www.reddit.com/r/cancer/comments/eljwjl/some_persepective_am_i_tha_asshole_here/")</f>
        <v/>
      </c>
      <c r="G6931" t="inlineStr">
        <is>
          <t>2020-01-07 15:37:52</t>
        </is>
      </c>
      <c r="H6931" t="inlineStr"/>
    </row>
    <row r="6932">
      <c r="A6932" t="inlineStr">
        <is>
          <t>eljzf1</t>
        </is>
      </c>
      <c r="B6932" t="inlineStr">
        <is>
          <t>For those trying clinical trials and/or experimental treatments in 2020</t>
        </is>
      </c>
      <c r="C6932" t="inlineStr">
        <is>
          <t>With the New Year, a lot of people feel it brings hope and opportunity. With Cancer, you take hope and opportunity where and when you can get it. 
About 3 weeks ago, my husband's scan showed disease progression. We immediately started a new course of treatment(which seems to be working although it's early) but the doctors did stress this is the last currently generally accepted treatment line for his cancer and it only has a 30% chance of working long term. 
So we started reaching out. While nothing is for sure, we currently are getting an experimental treatment lined up (EBV targeted t-cells ftw) and are working on getting the ground work done for getting him into clinical trials in case that doesn't work.
We have a great support system and are doing well, all things considered, but it's made me think of everyone else out there who's going to be trying some thing new or taking a chance on a clinical trial. 
Know that you're not alone. 
Know that I send love/prayers/good vibes.
Know that your leap of faith is so very VERY appreciated.
Here's wishing you all hope in 2020.</t>
        </is>
      </c>
      <c r="D6932" t="n">
        <v>1</v>
      </c>
      <c r="E6932" t="n">
        <v>16</v>
      </c>
      <c r="F6932">
        <f>HYPERLINK("https://www.reddit.com/r/cancer/comments/eljzf1/for_those_trying_clinical_trials_andor/")</f>
        <v/>
      </c>
      <c r="G6932" t="inlineStr">
        <is>
          <t>2020-01-07 15:43:19</t>
        </is>
      </c>
      <c r="H6932" t="inlineStr"/>
    </row>
    <row r="6933">
      <c r="A6933" t="inlineStr">
        <is>
          <t>elkm4b</t>
        </is>
      </c>
      <c r="B6933" t="inlineStr">
        <is>
          <t>My mom was given 2-4 weeks left to live today....</t>
        </is>
      </c>
      <c r="C6933" t="inlineStr">
        <is>
          <t>Hi everyone,
New poster here (35 male), but as the title says, my mom (57) was given just a few weeks left to live at her appointment today. They will be setting up in home hospice in the next couple days and will be starting end of life care.
She was diagnosed with kidney cancer 2.5 years ago. It was isolated and the kidney was removed and everything looked great. 6 months later, there were spots found in her lungs. This prompted her chemo treatments and things looked stabilized for the next year or so.
Then about a month ago, they found a mass in her brain. They were planning on radiation to treat it, but within the last 10 days she basically quit eating. She has zero appetite and can't keep anything down. She went to the ER last Saturday and was only given fluids and treated for a UTI, then sent home. She weighed 93 lbs at the time.
Now, after today's appointment, the doctor advised against the feeding tube we had planned for Thursday and said her organs are shutting down.
For anyone who has been here before, how do you comfort and aid someone who has been given only weeks to live? Obviously my family and I will be there just to be with her and to talk and share memories as much as we can, dependent on when she is awake and able to have us with her, but what more can I do? I can't even imagine what she must be going through internally after that news. We can tell she has given up too, the pain and suffering has taken all of her strength and will.
I just want to give her, in her final weeks, the type of overwhelming love and care that she has given me and my family my whole life.
This pain is unbearable, but it's nothing compared to what my mother is experiencing.
Guess I'm just looking for some advice from anyone who has been there. I don't want my mom to pass away feeling anything other than the love her family has for her. She gave and gave and gave her whole life and, as much as it hurts us all, heaven will have another angel soon.
Thanks to everyone, the support here is amazing.</t>
        </is>
      </c>
      <c r="D6933" t="n">
        <v>1</v>
      </c>
      <c r="E6933" t="n">
        <v>6</v>
      </c>
      <c r="F6933">
        <f>HYPERLINK("https://www.reddit.com/r/cancer/comments/elkm4b/my_mom_was_given_24_weeks_left_to_live_today/")</f>
        <v/>
      </c>
      <c r="G6933" t="inlineStr">
        <is>
          <t>2020-01-07 16:30:06</t>
        </is>
      </c>
      <c r="H6933" t="inlineStr"/>
    </row>
    <row r="6934">
      <c r="A6934" t="inlineStr">
        <is>
          <t>ellyvj</t>
        </is>
      </c>
      <c r="B6934" t="inlineStr">
        <is>
          <t>This disease isn't "one day at a time" it's "hour by hour."</t>
        </is>
      </c>
      <c r="C6934" t="inlineStr">
        <is>
          <t>My dad was diagnosed with stage IV lung cancer 2 weeks ago. They drained .75L of fluid from his lungs and .5L from his heart during the pericardial window. He would start treatment once he recovered from surgery. 
He suffered several strokes after surgery and was put on blood thinners. Thankfully, he began having conversations again today (I am so grateful) and his mobility is rather good. 
I thought things were looking up. My dad felt decent and was looking more like himself. I felt a sigh of relief today for a few hours.
The fluid is back at an alarming rate around his heart now. It wasn't there 6 days ago. He must undergo another pericardial window but this time they will take more tissue. We also have confirmation that the cancer is in the pericardium. The main risk is more strokes and how much will this make him weak again. It also sets back cancer treatment another 3-4 weeks. 
I've never felt so many emotions all at once
before. He was totally fine in September. This has all felt like the fastest but longest bad dream of my life. Nobody should have to go through this. 
Fuck cancer.</t>
        </is>
      </c>
      <c r="D6934" t="n">
        <v>1</v>
      </c>
      <c r="E6934" t="n">
        <v>6</v>
      </c>
      <c r="F6934">
        <f>HYPERLINK("https://www.reddit.com/r/cancer/comments/ellyvj/this_disease_isnt_one_day_at_a_time_its_hour_by/")</f>
        <v/>
      </c>
      <c r="G6934" t="inlineStr">
        <is>
          <t>2020-01-07 18:14:52</t>
        </is>
      </c>
      <c r="H6934" t="inlineStr"/>
    </row>
    <row r="6935">
      <c r="A6935" t="inlineStr">
        <is>
          <t>elmaew</t>
        </is>
      </c>
      <c r="B6935" t="inlineStr">
        <is>
          <t>I don’t even know</t>
        </is>
      </c>
      <c r="C6935" t="inlineStr">
        <is>
          <t>I have no proof. I don’t know all the facts. But I feel like I might have cancer.
Specifically, either neuroblastoma or leukemia. I have a lot of the symptoms for both, and with my anxiety, it feels so so so likely. I don’t know what to do about it. Does anyone have anything to help me prove it or to calm me down from worrying about it?</t>
        </is>
      </c>
      <c r="D6935" t="n">
        <v>1</v>
      </c>
      <c r="E6935" t="n">
        <v>5</v>
      </c>
      <c r="F6935">
        <f>HYPERLINK("https://www.reddit.com/r/cancer/comments/elmaew/i_dont_even_know/")</f>
        <v/>
      </c>
      <c r="G6935" t="inlineStr">
        <is>
          <t>2020-01-07 18:40:32</t>
        </is>
      </c>
      <c r="H6935" t="inlineStr"/>
    </row>
    <row r="6936">
      <c r="A6936" t="inlineStr">
        <is>
          <t>eln3h2</t>
        </is>
      </c>
      <c r="B6936" t="inlineStr">
        <is>
          <t>Its just so devastating, this disease.</t>
        </is>
      </c>
      <c r="C6936" t="inlineStr">
        <is>
          <t>The very thing that makes you who are, your own specific cells, betray you and attack you from within. Not just that fact alone is so cruel, but the cancer cells go the extra step and DISGUISE THEMSELVES from your immune system so it can stay safe and continue to grow and destroy who you are. All. Of. It. Is. Just. So. Cruel. It hurts my heart so much that so many good people get struck with it, cancer knows no bounds. This is why the concept of 'karma' makes no sense to me because even beautiful kind humans have been taken by this horrid disease. If karma was real, great/kind people should never had to face it.</t>
        </is>
      </c>
      <c r="D6936" t="n">
        <v>1</v>
      </c>
      <c r="E6936" t="n">
        <v>5</v>
      </c>
      <c r="F6936">
        <f>HYPERLINK("https://www.reddit.com/r/cancer/comments/eln3h2/its_just_so_devastating_this_disease/")</f>
        <v/>
      </c>
      <c r="G6936" t="inlineStr">
        <is>
          <t>2020-01-07 19:43:24</t>
        </is>
      </c>
      <c r="H6936" t="inlineStr"/>
    </row>
    <row r="6937">
      <c r="A6937" t="inlineStr">
        <is>
          <t>elnm8f</t>
        </is>
      </c>
      <c r="B6937" t="inlineStr">
        <is>
          <t>Advice needed regarding Radiation Therapy</t>
        </is>
      </c>
      <c r="C6937" t="inlineStr">
        <is>
          <t>Hey everyone! So my mother has undergone Chemotherapy and Surgery for Breast Cancer. Now the doctor has recommended us to go for Radiation Therapy. We have taken the treatment at a hospital in a different city, which is 8 hours away from our Town. We asked our doctor that if it is possible to continue the Radiation Therapy in our home town, since there are a few hospital that offer the service. The doctor said it can be done. We thought it might not be a problem because the procedure is done using a machine. But when we went to the Radiation Oncologist to get the prescription and a permission letter for it, she recommended us to continue with her and told us there might be complications. Now I am torn, can anyone with a similar experience or working in the field tell me what are the risks associated with it. Will it be okay, if we get the prescription from the Radiation Oncologist at the hospital and continue the treatment at our home town. Also, Can the Radiation Oncologist prescribe us the dosage or will it violate any medical guidelines, I am based in India.</t>
        </is>
      </c>
      <c r="D6937" t="n">
        <v>1</v>
      </c>
      <c r="E6937" t="n">
        <v>2</v>
      </c>
      <c r="F6937">
        <f>HYPERLINK("https://www.reddit.com/r/cancer/comments/elnm8f/advice_needed_regarding_radiation_therapy/")</f>
        <v/>
      </c>
      <c r="G6937" t="inlineStr">
        <is>
          <t>2020-01-07 20:25:07</t>
        </is>
      </c>
      <c r="H6937" t="inlineStr"/>
    </row>
    <row r="6938">
      <c r="A6938" t="inlineStr">
        <is>
          <t>elps5r</t>
        </is>
      </c>
      <c r="B6938" t="inlineStr">
        <is>
          <t>I’m scared that I might have penile cancer</t>
        </is>
      </c>
      <c r="C6938" t="inlineStr">
        <is>
          <t>I want to post a picture but idk if it’s allowed , it’s a lump on my shaft . No this isn’t a troll.</t>
        </is>
      </c>
      <c r="D6938" t="n">
        <v>1</v>
      </c>
      <c r="E6938" t="n">
        <v>0</v>
      </c>
      <c r="F6938">
        <f>HYPERLINK("https://www.reddit.com/r/cancer/comments/elps5r/im_scared_that_i_might_have_penile_cancer/")</f>
        <v/>
      </c>
      <c r="G6938" t="inlineStr">
        <is>
          <t>2020-01-07 23:58:23</t>
        </is>
      </c>
      <c r="H6938" t="inlineStr"/>
    </row>
    <row r="6939">
      <c r="A6939" t="inlineStr">
        <is>
          <t>elqygv</t>
        </is>
      </c>
      <c r="B6939" t="inlineStr">
        <is>
          <t>Really need advice regarding my lumpy breasts and examinations. Am I doing the right thing and asking the right questions?</t>
        </is>
      </c>
      <c r="C6939" t="inlineStr">
        <is>
          <t>Hey everyone
I am looking for some advice, this is something that causes me a lot of anxiety so any help or advice is much appreciated! I am 26 years old, I had two shots of depo in 2019 and it took me until around December time to get my period back, before this, I was bleeding light pink every two weeks or so, I still did after my first proper period recently, the doctors just think it is my body regulating itself. I never used to do any breast self exams before I was 25, just as I never thought to do it. Since around September 2019, I have had multiple moveable medium to small sized lumps (mostly in the right breast near my top boob/side boob area, I never used to feel them before but I think it has been the depo injection and my hormones regulating that have caused this. In September 2019, I went for a breast exam and paid privately for an ultrasound as I was in the process of buying a house and I couldn't deal with the worry of the waiting times to be seen, I got seen very quickly and the doctor confirmed I just had more glandular tissue on my left breast, but it looked like normal tissue.
I don't have as many on my right breast, however I found it and still do find it incredibly hard to do self exams because my boobs are lumpy, they get sore as well near my cycle or when my hormone levels change. I took it upon myself every 8 weeks to pay privately to get a private breast exam (no mammogram or ultrasound) from another doctor, he treated my mum and has a huge CV and span of experience. I just cannot self exam, even the doctor who examines me privately advised he thinks I would find it hard, so I am happy to see him every 8 weeks.
My worry, is that I do not understand for the life of me how he can just assume they're normal breast lumps when he does no biopsies. ultrasounds or anything, he just does an examination. He said he had no concerns but I'm terrified he misses something, I pay £180 every two months to get this exam (my own personal choice) so it's very important to me and for my health. He said if he had any concerns he would say, but if he can't physically see the lumps, how is he ever to know if I was actually to have breast cancer? Should I be asking more questions?
My Mum had breast cancer at 41, she was sucessfully treated and has been healthy since as far as I know for the last 14 years. I don't mind paying the money, I just don't want him to miss anything. I need some advice now that you've heard my story! How do doctors determine if it's something to worry about or not if they can't physically see the lumps? I really don't want to waste my money or get the wrong information (most importantly.)
&amp;amp;#x200B;
Thanks in advance!</t>
        </is>
      </c>
      <c r="D6939" t="n">
        <v>1</v>
      </c>
      <c r="E6939" t="n">
        <v>19</v>
      </c>
      <c r="F6939">
        <f>HYPERLINK("https://www.reddit.com/r/cancer/comments/elqygv/really_need_advice_regarding_my_lumpy_breasts_and/")</f>
        <v/>
      </c>
      <c r="G6939" t="inlineStr">
        <is>
          <t>2020-01-08 02:22:00</t>
        </is>
      </c>
      <c r="H6939" t="inlineStr"/>
    </row>
    <row r="6940">
      <c r="A6940" t="inlineStr">
        <is>
          <t>elrblb</t>
        </is>
      </c>
      <c r="B6940" t="inlineStr">
        <is>
          <t>Is there any hope for Stage 4 metastatic breast cancer that spread to brain?</t>
        </is>
      </c>
      <c r="C6940" t="inlineStr">
        <is>
          <t>4 days ago, my mother was admitted to hospital because she was having strong headache for a couple of days an when she woke up she had no vision in her right eye.
The doctors found there's a tumor in her brain. She previously had stage 3 breast cancer and while she managed to cure it, it now seems to have returned and moved to her brain.
I read the prognosis for such cases is generally very bad, but I can't comprehend it... she's only 53, there is only one small tumor, despite the diagnosis she is generally in great mood, does not appear to be in any pain or discomfort at all. If you looked at her, you probably could not tell she's sick at all...
 The past few days have been like a nightmare come true.
Is there any hope? Some new, experimental therapies she can attend? Has anyone here survived through a similar situation? I just hope to find something that helps me think positively, because I don't have any other person who's as close as her :(</t>
        </is>
      </c>
      <c r="D6940" t="n">
        <v>1</v>
      </c>
      <c r="E6940" t="n">
        <v>23</v>
      </c>
      <c r="F6940">
        <f>HYPERLINK("https://www.reddit.com/r/cancer/comments/elrblb/is_there_any_hope_for_stage_4_metastatic_breast/")</f>
        <v/>
      </c>
      <c r="G6940" t="inlineStr">
        <is>
          <t>2020-01-08 03:06:15</t>
        </is>
      </c>
      <c r="H6940" t="inlineStr"/>
    </row>
    <row r="6941">
      <c r="A6941" t="inlineStr">
        <is>
          <t>elsme5</t>
        </is>
      </c>
      <c r="B6941" t="inlineStr">
        <is>
          <t>Going for scan today</t>
        </is>
      </c>
      <c r="C6941" t="inlineStr">
        <is>
          <t>Taking hubby for his scan today and hoping for sixth remission. It seems like yesterday.but still a lifetime ago.. when we were told he had cancer. We married in October 2012 and were told he had nasopharyngeal cancer in December on 2012. Drs told us he had appropriately 6 months to live. But here we are trying to live the best life we can.
I’m terrified this time. Dr told us that they don’t have any more options left. This round of aggressive chemo has taken a huge toll on him. We’ll find out the results tomorrow at dr visit.  Please silently send us a healing thought. You guys have been my rock. Thank you so much for all the kind thoughts and reach outs. We love you.</t>
        </is>
      </c>
      <c r="D6941" t="n">
        <v>1</v>
      </c>
      <c r="E6941" t="n">
        <v>7</v>
      </c>
      <c r="F6941">
        <f>HYPERLINK("https://www.reddit.com/r/cancer/comments/elsme5/going_for_scan_today/")</f>
        <v/>
      </c>
      <c r="G6941" t="inlineStr">
        <is>
          <t>2020-01-08 05:21:21</t>
        </is>
      </c>
      <c r="H6941" t="inlineStr"/>
    </row>
    <row r="6942">
      <c r="A6942" t="inlineStr">
        <is>
          <t>elspnd</t>
        </is>
      </c>
      <c r="B6942" t="inlineStr">
        <is>
          <t>Severe pain due to Tecentriq?</t>
        </is>
      </c>
      <c r="C6942" t="inlineStr">
        <is>
          <t>My mother received this drug 30 days ago and has been having increasing pain for 3 weeks. We went to get the 2nd dose 21 days after the first, but they put it off because my mother was in such pain for the following week (this Friday).
They claimed that they overdosed her on the Tecentriq and her immune system was basically in overdrive, attacking everything. "Revved up", as they called it. Now, I know that a side effect can be muscle pain/body aches but this seems much more than that.
Note: my mother suffers from Arachnoiditis as well, has been on pain medication for 15 years for it. She knows pain. And she deals with pain pretty well, she's a tough cookie.
Her pain has been steadily increasing over the past 3+ weeks. Started out with pain between her shoulder blades (this was the original pain that made us seek attention and inevitably discovered the cancer). Now she had numbness in her jaw, the shoulder pain, chest pangs, difficulty breathing, shocking/shooting nerve pain in her mid back and liver area. She is a very active person and yet, hasn't gotten off the recliner in 3 weeks. I've never heard her moan like this, it's like deja vu with my grandmother before she passed. If my mother cries, there is something severely wrong. And she can't stop, so.
She is scared and embarrassed about going to the emergency room but I believe we have no choice at this point. 
Has anyone else had these kinds of severe side effects with using Tecentriq? Or is my gut right in thinking that this is the cancer ravaging her?</t>
        </is>
      </c>
      <c r="D6942" t="n">
        <v>1</v>
      </c>
      <c r="E6942" t="n">
        <v>3</v>
      </c>
      <c r="F6942">
        <f>HYPERLINK("https://www.reddit.com/r/cancer/comments/elspnd/severe_pain_due_to_tecentriq/")</f>
        <v/>
      </c>
      <c r="G6942" t="inlineStr">
        <is>
          <t>2020-01-08 05:29:09</t>
        </is>
      </c>
      <c r="H6942" t="inlineStr"/>
    </row>
    <row r="6943">
      <c r="A6943" t="inlineStr">
        <is>
          <t>elsy2l</t>
        </is>
      </c>
      <c r="B6943" t="inlineStr">
        <is>
          <t>My experience/story with cancer</t>
        </is>
      </c>
      <c r="C6943" t="inlineStr">
        <is>
          <t>Here is a video where I finally talk about my friend who got diagnosed with cancer @ age 11
I just want to say: Fuck cancer Let's make this world a better place
&amp;amp;#x200B;
 [https://www.youtube.com/watch?v=mR0m7Anx35w](https://www.youtube.com/watch?v=mR0m7Anx35w)</t>
        </is>
      </c>
      <c r="D6943" t="n">
        <v>1</v>
      </c>
      <c r="E6943" t="n">
        <v>0</v>
      </c>
      <c r="F6943">
        <f>HYPERLINK("https://www.reddit.com/r/cancer/comments/elsy2l/my_experiencestory_with_cancer/")</f>
        <v/>
      </c>
      <c r="G6943" t="inlineStr">
        <is>
          <t>2020-01-08 05:50:01</t>
        </is>
      </c>
      <c r="H6943" t="inlineStr"/>
    </row>
    <row r="6944">
      <c r="A6944" t="inlineStr">
        <is>
          <t>eltgyg</t>
        </is>
      </c>
      <c r="B6944" t="inlineStr">
        <is>
          <t>I'm scared</t>
        </is>
      </c>
      <c r="C6944" t="inlineStr">
        <is>
          <t>So my mom got diagnosed with Pancreatic cancer yesterday. We still don't know what stage it is.
But I'm constantly crying and I'm so scared. I've never felt this way before.
Can someone with experience with his loved ones or himself/herself who's gone through this tell me something?
Honestly, I don't want her gone so young and I don't want to feel that scared.
Fuck cancer!</t>
        </is>
      </c>
      <c r="D6944" t="n">
        <v>1</v>
      </c>
      <c r="E6944" t="n">
        <v>4</v>
      </c>
      <c r="F6944">
        <f>HYPERLINK("https://www.reddit.com/r/cancer/comments/eltgyg/im_scared/")</f>
        <v/>
      </c>
      <c r="G6944" t="inlineStr">
        <is>
          <t>2020-01-08 06:34:42</t>
        </is>
      </c>
      <c r="H6944" t="inlineStr"/>
    </row>
    <row r="6945">
      <c r="A6945" t="inlineStr">
        <is>
          <t>eltoxq</t>
        </is>
      </c>
      <c r="B6945" t="inlineStr">
        <is>
          <t>Fatigue</t>
        </is>
      </c>
      <c r="C6945" t="inlineStr">
        <is>
          <t>My cervical cancer was staged at 1B1, and I have a PET scan on Monday to ensure it hasn’t spread into my lymphatic system. I’m concerned about the amount of fatigue I have at the end of every day, though. Working exhausts me, doing my day to day shit is exhausting, and all I want to do is sleep when I’m off. Is this normal? To be this tired all the time? If so, what are some tricks to combat it, asides from caffeine?</t>
        </is>
      </c>
      <c r="D6945" t="n">
        <v>1</v>
      </c>
      <c r="E6945" t="n">
        <v>12</v>
      </c>
      <c r="F6945">
        <f>HYPERLINK("https://www.reddit.com/r/cancer/comments/eltoxq/fatigue/")</f>
        <v/>
      </c>
      <c r="G6945" t="inlineStr">
        <is>
          <t>2020-01-08 06:52:50</t>
        </is>
      </c>
      <c r="H6945" t="inlineStr"/>
    </row>
    <row r="6946">
      <c r="A6946" t="inlineStr">
        <is>
          <t>eltxo1</t>
        </is>
      </c>
      <c r="B6946" t="inlineStr">
        <is>
          <t>Caretakers Be Kind To Yourself</t>
        </is>
      </c>
      <c r="C6946" t="inlineStr">
        <is>
          <t>I'm 28, and for the last year I've lived at home with my parents to help with my dad when we were diagnosed with his stage IV PC Adenocarcinoma. In that time, I showed no weakness, got a new job, excelled at it and anytime I felt frustrated over my own personal situation I quickly put it the fuck away, so I could be strong for my mom, dad, and sister.   "He has cancer, she's losing her husband. Your feelings don't fucking matter. Wake up, get after it, and put up". 
I really began to kick the shit out of myself. Anytime I got angry and showed annoyance, I would shame myself and get back on what I called the "Warrior's Path". No emotion. No weakness. Just hold it together.   
It's served me in some ways, but I was recently shown how brutal I was being to myself. I was shown the importance of acknowledging that; "Hey, I too am going through something really difficult." It's okay for me to feel "hey mom, I know you are losing your husband...but I'm also losing my dad." So, to the caretakers out there, or people who love someone going through cancer. You too have feelings, and just because you are not the one who may have cancer, it dosn't mean your pain is not-mentionable.   
I thought I would pass this along because I feel a little lighter now.   
Love,  
Max</t>
        </is>
      </c>
      <c r="D6946" t="n">
        <v>1</v>
      </c>
      <c r="E6946" t="n">
        <v>3</v>
      </c>
      <c r="F6946">
        <f>HYPERLINK("https://www.reddit.com/r/cancer/comments/eltxo1/caretakers_be_kind_to_yourself/")</f>
        <v/>
      </c>
      <c r="G6946" t="inlineStr">
        <is>
          <t>2020-01-08 07:11:20</t>
        </is>
      </c>
      <c r="H6946" t="inlineStr"/>
    </row>
    <row r="6947">
      <c r="A6947" t="inlineStr">
        <is>
          <t>elulqv</t>
        </is>
      </c>
      <c r="B6947" t="inlineStr">
        <is>
          <t>The news came today!</t>
        </is>
      </c>
      <c r="C6947" t="inlineStr">
        <is>
          <t>I was surprised by a phone call by my mother. I could instantly tell she had tears in her voice. Mom says I don't have to have chemotherapy. Her test results came back as zero. She have to keep taking her estrogen blocker for bout 5 years, but she doesn't have to fight chemo. I immediately cried. She tells me she has to spread the news to the family.  We say our love. Tears of joy.</t>
        </is>
      </c>
      <c r="D6947" t="n">
        <v>1</v>
      </c>
      <c r="E6947" t="n">
        <v>10</v>
      </c>
      <c r="F6947">
        <f>HYPERLINK("https://www.reddit.com/r/cancer/comments/elulqv/the_news_came_today/")</f>
        <v/>
      </c>
      <c r="G6947" t="inlineStr">
        <is>
          <t>2020-01-08 08:00:55</t>
        </is>
      </c>
      <c r="H6947" t="inlineStr"/>
    </row>
    <row r="6948">
      <c r="A6948" t="inlineStr">
        <is>
          <t>eluqmt</t>
        </is>
      </c>
      <c r="B6948" t="inlineStr">
        <is>
          <t>Biopsy results due today-</t>
        </is>
      </c>
      <c r="C6948" t="inlineStr">
        <is>
          <t>My 5 yr scan showed all clear except new activity in my right lung.  I have localized pain there now and each minute waiting is just plain horrible. I wonder sometimes if the Dr's know how hard this is to wait to learn what is going on.</t>
        </is>
      </c>
      <c r="D6948" t="n">
        <v>1</v>
      </c>
      <c r="E6948" t="n">
        <v>2</v>
      </c>
      <c r="F6948">
        <f>HYPERLINK("https://www.reddit.com/r/cancer/comments/eluqmt/biopsy_results_due_today/")</f>
        <v/>
      </c>
      <c r="G6948" t="inlineStr">
        <is>
          <t>2020-01-08 08:10:38</t>
        </is>
      </c>
      <c r="H6948" t="inlineStr"/>
    </row>
    <row r="6949">
      <c r="A6949" t="inlineStr">
        <is>
          <t>eluv34</t>
        </is>
      </c>
      <c r="B6949" t="inlineStr">
        <is>
          <t>progress</t>
        </is>
      </c>
      <c r="C6949" t="inlineStr">
        <is>
          <t>The  cancer death rate in the U.S. has seen its largest ever single-year drop, according to a report from the American Cancer Society. The rate dropped by 2.2 percent from 2016 to 2017, largely thanks to progress in the prevention and treatment of both lung cancer and melanoma.</t>
        </is>
      </c>
      <c r="D6949" t="n">
        <v>1</v>
      </c>
      <c r="E6949" t="n">
        <v>1</v>
      </c>
      <c r="F6949">
        <f>HYPERLINK("https://www.reddit.com/r/cancer/comments/eluv34/progress/")</f>
        <v/>
      </c>
      <c r="G6949" t="inlineStr">
        <is>
          <t>2020-01-08 08:19:52</t>
        </is>
      </c>
      <c r="H6949" t="inlineStr"/>
    </row>
    <row r="6950">
      <c r="A6950" t="inlineStr">
        <is>
          <t>eluzx2</t>
        </is>
      </c>
      <c r="B6950" t="inlineStr">
        <is>
          <t>in the pink</t>
        </is>
      </c>
      <c r="C6950" t="inlineStr">
        <is>
          <t>my neighbor went up and down our block tying pink ribbons to other neighbors trees yesterday.
&amp;amp;#x200B;
anything to do with cancer? i thought cancer month was October.</t>
        </is>
      </c>
      <c r="D6950" t="n">
        <v>1</v>
      </c>
      <c r="E6950" t="n">
        <v>2</v>
      </c>
      <c r="F6950">
        <f>HYPERLINK("https://www.reddit.com/r/cancer/comments/eluzx2/in_the_pink/")</f>
        <v/>
      </c>
      <c r="G6950" t="inlineStr">
        <is>
          <t>2020-01-08 08:29:37</t>
        </is>
      </c>
      <c r="H6950" t="inlineStr"/>
    </row>
    <row r="6951">
      <c r="A6951" t="inlineStr">
        <is>
          <t>elv49o</t>
        </is>
      </c>
      <c r="B6951" t="inlineStr">
        <is>
          <t>Pain Control Question Patient to Patient</t>
        </is>
      </c>
      <c r="C6951" t="inlineStr">
        <is>
          <t>Good Day fellow fighters. I don't see flair anymore here so me =  **Waldenström** macroglobulinemia transitioning into MM. Watch and wait. (Co-morbididies are rheumatoid, osteo and reactive arthritis, sjogren's, factor VIII and  fibromyalgia. I've been on pain control for about five years on and off. My GP stopped me cold off of morphine based drugs when the government cracked down. She let me go cold turkey until after about a year I couldn't stand it anymore and demanded a pain clinic referral, which I currently attend. Now the new owner/practitioner of the clinic is weaning me off!  I am honestly tempted to start a lawsuit advocating for terminally ill patients.
 What are you doing to control the pain? How is it working for you?</t>
        </is>
      </c>
      <c r="D6951" t="n">
        <v>1</v>
      </c>
      <c r="E6951" t="n">
        <v>5</v>
      </c>
      <c r="F6951">
        <f>HYPERLINK("https://www.reddit.com/r/cancer/comments/elv49o/pain_control_question_patient_to_patient/")</f>
        <v/>
      </c>
      <c r="G6951" t="inlineStr">
        <is>
          <t>2020-01-08 08:38:55</t>
        </is>
      </c>
      <c r="H6951" t="inlineStr"/>
    </row>
    <row r="6952">
      <c r="A6952" t="inlineStr">
        <is>
          <t>elvx9v</t>
        </is>
      </c>
      <c r="B6952" t="inlineStr">
        <is>
          <t>Ocular Melanoma a mixed bag</t>
        </is>
      </c>
      <c r="C6952" t="inlineStr">
        <is>
          <t>I am 33 years old, married with an infant and a full time job. Life was already hard. Then, I got cancer.
The good news is, I'm cancer free after I got my right eye removed. I'm stage 1b.
BUT, adjustment is stupid hard. And the odds go up after 7 years with a 20% after 5. I know I should be happy but I'm terrified. I know that if it comes back it's terminal. I look at my son and I'm scared I won't live to see his 10th birthday and if I do it'll be on borrowed time. Even though I'm cancer free, I'm scared. Also, the adjustment is rough. It still feels like I'm only seeing half of everything.
Any advice?</t>
        </is>
      </c>
      <c r="D6952" t="n">
        <v>1</v>
      </c>
      <c r="E6952" t="n">
        <v>8</v>
      </c>
      <c r="F6952">
        <f>HYPERLINK("https://www.reddit.com/r/cancer/comments/elvx9v/ocular_melanoma_a_mixed_bag/")</f>
        <v/>
      </c>
      <c r="G6952" t="inlineStr">
        <is>
          <t>2020-01-08 09:37:06</t>
        </is>
      </c>
      <c r="H6952" t="inlineStr"/>
    </row>
    <row r="6953">
      <c r="A6953" t="inlineStr">
        <is>
          <t>elw6o4</t>
        </is>
      </c>
      <c r="B6953" t="inlineStr">
        <is>
          <t>Not Quite Done</t>
        </is>
      </c>
      <c r="C6953" t="inlineStr">
        <is>
          <t>Still kind of processing this...
I came back from the Doctors yesterday expecting the all clear from Thyroid Cancer but found out that some lymph nodes in my neck are still cancerous and I basically have to do everything all over again.  Surgery is scheduled followed by another Iodine treatment.  It wasn't awful before but I still don't want to do it again.
The big issue is right before we found out I even had cancer, my wife and I were talking about having kids.  The radioactive iodine causes us to delay 6 months after I take it, but my wife is finding stuff online that says it can cause infertility in men but our doctors say not to worry. Any body have any personal insight or information about that?</t>
        </is>
      </c>
      <c r="D6953" t="n">
        <v>1</v>
      </c>
      <c r="E6953" t="n">
        <v>1</v>
      </c>
      <c r="F6953">
        <f>HYPERLINK("https://www.reddit.com/r/cancer/comments/elw6o4/not_quite_done/")</f>
        <v/>
      </c>
      <c r="G6953" t="inlineStr">
        <is>
          <t>2020-01-08 09:55:55</t>
        </is>
      </c>
      <c r="H6953" t="inlineStr"/>
    </row>
    <row r="6954">
      <c r="A6954" t="inlineStr">
        <is>
          <t>elxb0i</t>
        </is>
      </c>
      <c r="B6954" t="inlineStr">
        <is>
          <t>Less than 24 hours to go</t>
        </is>
      </c>
      <c r="C6954" t="inlineStr">
        <is>
          <t>MY breast cancer will be cut out of me at 1030 am tomorrow.
FUCK YOU CANCER YOU FUCKING LOSE!!!!</t>
        </is>
      </c>
      <c r="D6954" t="n">
        <v>1</v>
      </c>
      <c r="E6954" t="n">
        <v>17</v>
      </c>
      <c r="F6954">
        <f>HYPERLINK("https://www.reddit.com/r/cancer/comments/elxb0i/less_than_24_hours_to_go/")</f>
        <v/>
      </c>
      <c r="G6954" t="inlineStr">
        <is>
          <t>2020-01-08 11:14:56</t>
        </is>
      </c>
      <c r="H6954" t="inlineStr"/>
    </row>
    <row r="6955">
      <c r="A6955" t="inlineStr">
        <is>
          <t>elxvdf</t>
        </is>
      </c>
      <c r="B6955" t="inlineStr">
        <is>
          <t>Help</t>
        </is>
      </c>
      <c r="C6955" t="inlineStr">
        <is>
          <t>My mum has just been diagnosed with cancer for a second time. This has come as a complete shock and I don’t know what to do with my emotions, I’m going between feeling hopeless, feeling terrified and then feeling total rage. I’m not sure if anyone can help, but I just feel so overwhelmed with it all</t>
        </is>
      </c>
      <c r="D6955" t="n">
        <v>1</v>
      </c>
      <c r="E6955" t="n">
        <v>0</v>
      </c>
      <c r="F6955">
        <f>HYPERLINK("https://www.reddit.com/r/cancer/comments/elxvdf/help/")</f>
        <v/>
      </c>
      <c r="G6955" t="inlineStr">
        <is>
          <t>2020-01-08 11:55:25</t>
        </is>
      </c>
      <c r="H6955" t="inlineStr"/>
    </row>
    <row r="6956">
      <c r="A6956" t="inlineStr">
        <is>
          <t>elyb9m</t>
        </is>
      </c>
      <c r="B6956" t="inlineStr">
        <is>
          <t>Mom, Breast Cancer</t>
        </is>
      </c>
      <c r="C6956" t="inlineStr">
        <is>
          <t>Hello, my mother recently was diagnosed with breast cancer, the ductal type, she has a 4cm diameter growth in the right breast and metastasis in the lymph nodes in the armpit.
She doesn't have any metastasis in the bones, they're looking everywhere, she starts Chemotherapy tommorow. My pressure has risen so much since I got to know that, I'm 17 and I just measured 163 102, the worrying is making me sick, since she actually moved countries to treat herself. She did a mammography in February and was all clear, in early december she felt a hard spot and pain in the breast. She went to Brazil the 12th december, just before her birthday she got a diagnosis, since she had scheduled a visit. Immagine what a great gift, I'm surprised that in less than 10 months she went from 0 to stage 4. The doctors have good expectations for her.</t>
        </is>
      </c>
      <c r="D6956" t="n">
        <v>1</v>
      </c>
      <c r="E6956" t="n">
        <v>6</v>
      </c>
      <c r="F6956">
        <f>HYPERLINK("https://www.reddit.com/r/cancer/comments/elyb9m/mom_breast_cancer/")</f>
        <v/>
      </c>
      <c r="G6956" t="inlineStr">
        <is>
          <t>2020-01-08 12:26:34</t>
        </is>
      </c>
      <c r="H6956" t="inlineStr"/>
    </row>
    <row r="6957">
      <c r="A6957" t="inlineStr">
        <is>
          <t>elz411</t>
        </is>
      </c>
      <c r="B6957" t="inlineStr">
        <is>
          <t>Blood Test</t>
        </is>
      </c>
      <c r="C6957" t="inlineStr">
        <is>
          <t>currently under chemo and immuno every two week, the platelet and neutrophils absolute is getting lower each time, what number else should I focus?</t>
        </is>
      </c>
      <c r="D6957" t="n">
        <v>1</v>
      </c>
      <c r="E6957" t="n">
        <v>0</v>
      </c>
      <c r="F6957">
        <f>HYPERLINK("https://www.reddit.com/r/cancer/comments/elz411/blood_test/")</f>
        <v/>
      </c>
      <c r="G6957" t="inlineStr">
        <is>
          <t>2020-01-08 13:21:19</t>
        </is>
      </c>
      <c r="H6957" t="inlineStr"/>
    </row>
    <row r="6958">
      <c r="A6958" t="inlineStr">
        <is>
          <t>elzd0b</t>
        </is>
      </c>
      <c r="B6958" t="inlineStr">
        <is>
          <t>I am sick to death of medical professionals pretending they know something about my medical condition when they don't have a clue. - Vent</t>
        </is>
      </c>
      <c r="C6958" t="inlineStr">
        <is>
          <t>After a complete laryngectomy I am unable to speak at all, no surprise for anyone familiar with what it entails.  It is a total mind fuck and difficult to deal with every minute of every day.  What's worse is that it is exceedingly rare and most medical personnel have no idea what it is.  That doesn't keep them from trying to fake it and they go to incredible lengths to not admit their ignorance.
Today I met with a new speech therapist and she was **completely** clueless, but she made things up and tried to fake her way through the appointment.  She should have been fully informed about my surgery but that information didn't mean a thing to her.  First she asked what I hope to achieve, totally ignoring what I had written on the intake questionnaire and expecting me to write it down again.  I would like to learn to speak again  and anyone who knew anything about my condition wouldn't even ask the question.  She had absolutely no idea what a speech prosthesis is or even that it existed but she pretended she was going to be capable of working with me.
Then she questioned me extensively about swallowing to make sure I wouldn't aspirate.  It is not possible to aspirate after a complete laryngectomy and I told her that more than once, but hey, she wanted to make sure I was safe.  She made the same mistakes repeatedly to the point I was just about to make it clear that I was not there to educate her despite her expectations to the contrary.  Right then she left the room and called someone who had dealt with this before. 
I had waited 3 weeks for this appointment only to find out that the person I really needed to see was almost always available.  I could have surely seen him the first week I called for an appointment but the gatekeepers are there apparently to make sure we don't see who we need to see.
But hey, here in the U.S. we have the best healthcare in the world, right?</t>
        </is>
      </c>
      <c r="D6958" t="n">
        <v>1</v>
      </c>
      <c r="E6958" t="n">
        <v>4</v>
      </c>
      <c r="F6958">
        <f>HYPERLINK("https://www.reddit.com/r/cancer/comments/elzd0b/i_am_sick_to_death_of_medical_professionals/")</f>
        <v/>
      </c>
      <c r="G6958" t="inlineStr">
        <is>
          <t>2020-01-08 13:38:29</t>
        </is>
      </c>
      <c r="H6958" t="inlineStr"/>
    </row>
    <row r="6959">
      <c r="A6959" t="inlineStr">
        <is>
          <t>elzjku</t>
        </is>
      </c>
      <c r="B6959" t="inlineStr">
        <is>
          <t>Rediscovered two lumps.... Really afraid.</t>
        </is>
      </c>
      <c r="C6959" t="inlineStr">
        <is>
          <t>I've been dealing with a lot of vague health issues for years and years, getting blood drawn to check for vitamin deficiencies etc.
I suddenly remembered that as a child I discovered a small lump on my groin / pelvis and a larger one in my armpit. Both on the same side of the body. I am just suddenly really really scared it could be cancer, especially since a lot of my health issues have started getting worse (tiredness, feeling sick all the time, acid reflux, changing bowel movements, stomach pain, bad shape)...
I know I can't ask 'is this cancer' here, but I'm just so scared and have no one to talk to in preparation for my doctor's visit, so I wanted to share it somewhere...</t>
        </is>
      </c>
      <c r="D6959" t="n">
        <v>1</v>
      </c>
      <c r="E6959" t="n">
        <v>5</v>
      </c>
      <c r="F6959">
        <f>HYPERLINK("https://www.reddit.com/r/cancer/comments/elzjku/rediscovered_two_lumps_really_afraid/")</f>
        <v/>
      </c>
      <c r="G6959" t="inlineStr">
        <is>
          <t>2020-01-08 13:50:39</t>
        </is>
      </c>
      <c r="H6959" t="inlineStr"/>
    </row>
    <row r="6960">
      <c r="A6960" t="inlineStr">
        <is>
          <t>elzpel</t>
        </is>
      </c>
      <c r="B6960" t="inlineStr">
        <is>
          <t>7 of 33 radiation treatments left. 1 of 7 chemo rounds</t>
        </is>
      </c>
      <c r="C6960" t="inlineStr">
        <is>
          <t>I was diagnosed with Adenoid Cystic Carcinoma in my left sinus at the end of July.  It's been a whirlwind since then.  Scans showed that it looked operable so they did surgery mid-October.  That was supposed to be followed up with just radiation, but at the time of the surgery (so I woke up to this news) they decided I might need chemo as well.
Started treatment in December, it's been going well but the effects do start to build up.  The radiation is taking a toll on my mouth.  
So I am now approaching the back end of my treatment which I hope will lead to a successful scan, and then them putting my mouth back together.  Since the surgery I've had a thing... like a retainer, but it covers what was taken out on the inside of my mouth.  The tumor was a little bigger than a ping-pong ball... IN MY FACE!!!  unreal.    Anyhow.  That's where I'm at.  Good luck to everyone out there fighting this fight.</t>
        </is>
      </c>
      <c r="D6960" t="n">
        <v>1</v>
      </c>
      <c r="E6960" t="n">
        <v>8</v>
      </c>
      <c r="F6960">
        <f>HYPERLINK("https://www.reddit.com/r/cancer/comments/elzpel/7_of_33_radiation_treatments_left_1_of_7_chemo/")</f>
        <v/>
      </c>
      <c r="G6960" t="inlineStr">
        <is>
          <t>2020-01-08 14:02:08</t>
        </is>
      </c>
      <c r="H6960" t="inlineStr"/>
    </row>
    <row r="6961">
      <c r="A6961" t="inlineStr">
        <is>
          <t>em00m9</t>
        </is>
      </c>
      <c r="B6961" t="inlineStr">
        <is>
          <t>Today my dad (Glioblastoma stage 4) and I just saw an MRI with no new growth!</t>
        </is>
      </c>
      <c r="C6961" t="inlineStr">
        <is>
          <t>My dad (67) was diagnosed in late August, and it’s been a whirlwind. He fell down around Labor Day, and showed a lot of cognitive signs relatively suddenly, so we went in and he basically had an MRI immediately and surgery right away that night. Although the diagnosis was devastating (given how young he is and previous experience losing a family friend in 8mos to glio) his surgeon did an amazing job with the resection and managed to remove basically the entire tumor. We were told he could have anywhere from 18-24mos initially, with a possible chance of more time if testament went well. 
Dad started Temodar orally about a month after surgery/rehab, and then radiation five days a week for six weeks. The radiation was really well targeted using a mask, and he didn’t really have any side effects aside from constipation and the standard hair loss in that area. He was a bit tired and a little fuzzy on details, but that was all relatively fine. I moved him in with me, became his primary caretaker, and was prepared to go in for a second session of higher rad this month. We were pretty much dreading it, in fact, but figured what the hell, we gotta do it to give him a chance. He had a prep MRI and we readied for another session. 
But! Today we saw no new growth!!! He’s doing AMAZING and his surgeon really did a fantastic job. Now, instead of having to go IV or higher rad, he will be on oral Temodar again for five days a month for six months, which will likely have a little nausea, but is significantly easier since he can take it at home, and we’re going to try a relatively new FDA-approved device that could bump his chances to make it past 5yrs from 5% to 30%. 
Obviously we can’t always predict how treatment goes and I know that, but the knowledge that I may have more time with him? Just a bit more? That’s huge. Any extra time is a huge thing for me. I’ve been living in a fog for the last months, totally sure my dad would die in a year or less, and now it feels like a fog has lifted. I could have more years with him! Making bad jokes and driving me crazy! More years of my dad is something I didn’t want to hope I could have. 
I just needed to post this and tell someone other than family. DON’T GIVE UP. Life surprises us all. Cancer fucking sucks but humans are resilient and science is advancing every day. I hope all of you get similarly hopeful news in 2020. ❤️</t>
        </is>
      </c>
      <c r="D6961" t="n">
        <v>1</v>
      </c>
      <c r="E6961" t="n">
        <v>12</v>
      </c>
      <c r="F6961">
        <f>HYPERLINK("https://www.reddit.com/r/cancer/comments/em00m9/today_my_dad_glioblastoma_stage_4_and_i_just_saw/")</f>
        <v/>
      </c>
      <c r="G6961" t="inlineStr">
        <is>
          <t>2020-01-08 14:24:18</t>
        </is>
      </c>
      <c r="H6961" t="inlineStr"/>
    </row>
    <row r="6962">
      <c r="A6962" t="inlineStr">
        <is>
          <t>em1070</t>
        </is>
      </c>
      <c r="B6962" t="inlineStr">
        <is>
          <t>I feel ridiculous...am I?</t>
        </is>
      </c>
      <c r="C6962" t="inlineStr">
        <is>
          <t>I’m 46/f with some very concerning symptoms. It started about a year ago with drenching sweats and fatigue with an occasional incurable itch. At this point I’ve lost over 50 pounds with a loss of 7 just in the last week, no appetite, intermittent nausea, constant night sweats and a swollen inguinal lymph node. The itch is more frequent now as well.
    I’ve been to see my gi with all typical blood tests, 3 ct scans that came back clean and now my gi is doing a colonoscopy and gastric emptying study for gastroparesis. I have trouble eating due to fast fullness and nausea with zero appetite but no stomach pain so I feel these tests are merely procedure. 
     Anything I should be asking for or asking about? I’m going to start a symptom journal and fever journal just for my own peace of mind andto present to the doc next appt but if theres anything I can do to speed up an accurate dx would be great. I’m not assuming or presuming anything at this point but you all can see why I’m concerned.  Or maybe I am crazy. I am so tired of feeling this way and feeling like everyone is whispering  I’m nuts. 
Tldr; A lot of crazy symptoms and no answers.</t>
        </is>
      </c>
      <c r="D6962" t="n">
        <v>1</v>
      </c>
      <c r="E6962" t="n">
        <v>0</v>
      </c>
      <c r="F6962">
        <f>HYPERLINK("https://www.reddit.com/r/cancer/comments/em1070/i_feel_ridiculousam_i/")</f>
        <v/>
      </c>
      <c r="G6962" t="inlineStr">
        <is>
          <t>2020-01-08 15:38:50</t>
        </is>
      </c>
      <c r="H6962" t="inlineStr"/>
    </row>
    <row r="6963">
      <c r="A6963" t="inlineStr">
        <is>
          <t>em1m7q</t>
        </is>
      </c>
      <c r="B6963" t="inlineStr">
        <is>
          <t>Moms terminal diagnoses</t>
        </is>
      </c>
      <c r="C6963" t="inlineStr">
        <is>
          <t>Hello everyone ! 
This has taken me a lot of courage to finally Write here again, 
my mom was diganosed May 29th 2019 with bile duct cancer stage 4.
It may not be the right sub, but for almost the past year I’ve done nothing but run from what’s on my
Plate and in front of me I’m very ashamed of myself and I’m ready to ask for help. 
Just a bit of background of myself (I’ll keep it short.)  I’m 20 M I’ll be 21 in September! I’ve got a beautiful fiancé who I’m so grateful to have in my life.  I also have 3 young siblings the oldest being 10 youngest is 7. Who will sadly be left without my mom.
I guess what I’m asking for is just some guidance with what I’m going through. 
I have a civil service exam for my local fire department next week which I’m very proud of my back up plan is the Airforce ultimately, I just want something for my mom to be proud of over the past few years I’ve just ruined myself I got sucked into the wrong crowd smoking weed everyday and I’m truly upset with myself for doing so. I just can’t fathom I used a substance to hide from the world. I realized it was a problem for me so I quit cold turkey. I also realized my mom deserves me sober for her time left here on this earth my fiancé deserves me sober as well I truly hated the person I become when I started down that path.
There is nothing more I want to do than to take it back but I can’t. I can only build around it and keep moving. 
I’m looking for new coping mechanisms I recently got into computer gaming I actually don’t have a lot of friends on there. 
I truly just want to be a better person over all for my family I  hate the man I’ve became these past couple of years.
I’m just looking for things others did who have been through what I’m facing. 
I also found god recently it seems my prayers are starting to be answered as I request. 
What did you do to keep a stable mind? 
I’m only 20 so I’m looking for guidance my father is also absent from my life and doesn’t seem to care what is 5 kids are currently going through so I’m turning to this Reddit sub and I’m truly asking for help.</t>
        </is>
      </c>
      <c r="D6963" t="n">
        <v>1</v>
      </c>
      <c r="E6963" t="n">
        <v>11</v>
      </c>
      <c r="F6963">
        <f>HYPERLINK("https://www.reddit.com/r/cancer/comments/em1m7q/moms_terminal_diagnoses/")</f>
        <v/>
      </c>
      <c r="G6963" t="inlineStr">
        <is>
          <t>2020-01-08 16:24:18</t>
        </is>
      </c>
      <c r="H6963" t="inlineStr"/>
    </row>
    <row r="6964">
      <c r="A6964" t="inlineStr">
        <is>
          <t>em2ery</t>
        </is>
      </c>
      <c r="B6964" t="inlineStr">
        <is>
          <t>I never thought I would be posting here.</t>
        </is>
      </c>
      <c r="C6964" t="inlineStr">
        <is>
          <t>On Friday I was diagnosed with cancer. I met the oncologist yesterday. It's a rare invasive and aggressive melanoma. I had a blue nevus mole on my head as long as I can remember, and it turned nasty hopefully fairly recently.  
Unfortunately it is Clark Level 5 and Breslow Depth at least &amp;gt; 8.0mm. It has also invaded my nerves.    
The oncologist is hoping it's localized, but that it could be in my lymph nodes, and he's hoping it has gone no farther. I'll find out after Mohs surgery &amp;amp; imaging next week (on the 17th). He thinks the nerves it has invaded aren't connected to any main nerves and isn't too worried about that.   
I had it biopsied in 2016 and it was all clear, but they admitted they couldn't detect it back then &amp;amp; had to send away for specialized testing which showed it, and that the test is a new one that just came out in the last two years or so, so who know show long it's been there. He's hoping &amp;lt; 2 years, maybe even just 5 months but we can't be sure.
He did say it is curable though, so he wouldn't be saying that if he thought it was stage 4, surely right? I was expecting him to say it's treatable not curable, but he said curable several times to me.
The last few days have been hell for me and my wife. I just want the surgery to be over so I know where I officially stand. I suppose I just need to get used to waiting.</t>
        </is>
      </c>
      <c r="D6964" t="n">
        <v>1</v>
      </c>
      <c r="E6964" t="n">
        <v>19</v>
      </c>
      <c r="F6964">
        <f>HYPERLINK("https://www.reddit.com/r/cancer/comments/em2ery/i_never_thought_i_would_be_posting_here/")</f>
        <v/>
      </c>
      <c r="G6964" t="inlineStr">
        <is>
          <t>2020-01-08 17:25:53</t>
        </is>
      </c>
      <c r="H6964" t="inlineStr"/>
    </row>
    <row r="6965">
      <c r="A6965" t="inlineStr">
        <is>
          <t>em2s9w</t>
        </is>
      </c>
      <c r="B6965" t="inlineStr">
        <is>
          <t>Cancer presenting through JVD (Jugular Vein Distension)</t>
        </is>
      </c>
      <c r="C6965" t="inlineStr">
        <is>
          <t>Has anyone had cancer, or known someone, that first presented itself through a jugular vein distension (JVD)? I have a close family member that started noticing their jugular vein in their neck bulging out quite prominently. They are currently undergoing tests and we are waiting to hear back with results. When googled, the best case scenario seems to be either an infection or a kink in the vein. They are a young (mid 30s) adult male with no previous heart issues.</t>
        </is>
      </c>
      <c r="D6965" t="n">
        <v>1</v>
      </c>
      <c r="E6965" t="n">
        <v>0</v>
      </c>
      <c r="F6965">
        <f>HYPERLINK("https://www.reddit.com/r/cancer/comments/em2s9w/cancer_presenting_through_jvd_jugular_vein/")</f>
        <v/>
      </c>
      <c r="G6965" t="inlineStr">
        <is>
          <t>2020-01-08 17:58:18</t>
        </is>
      </c>
      <c r="H6965" t="inlineStr"/>
    </row>
    <row r="6966">
      <c r="A6966" t="inlineStr">
        <is>
          <t>em33vu</t>
        </is>
      </c>
      <c r="B6966" t="inlineStr">
        <is>
          <t>Redditors who lost a parent to cancer as a kid, how did you cope?</t>
        </is>
      </c>
      <c r="C6966" t="inlineStr">
        <is>
          <t>I know a 9 year old I used to work with that just lost his dad a week ago to colon cancer. I haven't seen him since mid December because of complicated family issues that I can't talk about online. I have no idea how he's handling it and unfortunately I don't know when I'll see him again, but I want to be prepared to help in whatever way I can.  
I'm hoping that I can learn from your stories of what he might be going through.
Thank you.</t>
        </is>
      </c>
      <c r="D6966" t="n">
        <v>1</v>
      </c>
      <c r="E6966" t="n">
        <v>1</v>
      </c>
      <c r="F6966">
        <f>HYPERLINK("https://www.reddit.com/r/cancer/comments/em33vu/redditors_who_lost_a_parent_to_cancer_as_a_kid/")</f>
        <v/>
      </c>
      <c r="G6966" t="inlineStr">
        <is>
          <t>2020-01-08 18:23:41</t>
        </is>
      </c>
      <c r="H6966" t="inlineStr"/>
    </row>
    <row r="6967">
      <c r="A6967" t="inlineStr">
        <is>
          <t>em3sjz</t>
        </is>
      </c>
      <c r="B6967" t="inlineStr">
        <is>
          <t>Father’s drastic timeline news.</t>
        </is>
      </c>
      <c r="C6967" t="inlineStr">
        <is>
          <t>My father was slotted to begin immunotherapy today to begin treating his stage IV internal melanoma of the pancreas, brain, liver, adrenal gland, and lungs. He wound up being too weak to properly take the immunotherapy, citing that his potassium levels were insufficient. The team where he was supposed to be treated admitted him and he is now in ER until a bed opens up. They are saying that his “window” has closed. 
My father went from having an optimistic healing of 3 radiation sessions and several immunotherapy appointments to having weeks to days to live. He is opting to begin HOSPICE upon his discharge. 
I’m enraged at the delay the insurance company put him through. I’m enraged that we did not take his exhaustion more seriously. 
This tornado of rage, denial, helplessness is a perpetual cycle. Fuck this disease. Best to you all.</t>
        </is>
      </c>
      <c r="D6967" t="n">
        <v>1</v>
      </c>
      <c r="E6967" t="n">
        <v>1</v>
      </c>
      <c r="F6967">
        <f>HYPERLINK("https://www.reddit.com/r/cancer/comments/em3sjz/fathers_drastic_timeline_news/")</f>
        <v/>
      </c>
      <c r="G6967" t="inlineStr">
        <is>
          <t>2020-01-08 19:19:24</t>
        </is>
      </c>
      <c r="H6967" t="inlineStr"/>
    </row>
    <row r="6968">
      <c r="A6968" t="inlineStr">
        <is>
          <t>em3szn</t>
        </is>
      </c>
      <c r="B6968" t="inlineStr">
        <is>
          <t>After cancer dating</t>
        </is>
      </c>
      <c r="C6968" t="inlineStr">
        <is>
          <t>As the topic, I haven’t date since last year whole year because just finished chemo last month. I have great expectations on getting back to life soon. (Bone marrow biopsy next month, no matter what results, fuck the numbers cuz I feel fine, I have a rare type of lymphoma and not aggressive kind so I didn’t lost hair during chemo)  
I was expect myself to be a stronger better self. I am working on it so hard. I met a guy on line I really like we talked on phone for two days and sudden he keep distance. He lives 3 hours flight away and he said will come see me in Feb before. 
I am really upset about it. And I realise I rely on others ppl too soon too early maybe because I expect too much too soon after chemo. I know it’s meant to be it will. I isolated myself to dating not to get hurt and afraid that will affect my test during whole time last year my chemo. 
But now I decide to get back to life. What should I expect.</t>
        </is>
      </c>
      <c r="D6968" t="n">
        <v>1</v>
      </c>
      <c r="E6968" t="n">
        <v>2</v>
      </c>
      <c r="F6968">
        <f>HYPERLINK("https://www.reddit.com/r/cancer/comments/em3szn/after_cancer_dating/")</f>
        <v/>
      </c>
      <c r="G6968" t="inlineStr">
        <is>
          <t>2020-01-08 19:20:22</t>
        </is>
      </c>
      <c r="H6968" t="inlineStr"/>
    </row>
    <row r="6969">
      <c r="A6969" t="inlineStr">
        <is>
          <t>em3zz0</t>
        </is>
      </c>
      <c r="B6969" t="inlineStr">
        <is>
          <t>Undergoing a bone marrow transplant soon. What can I expect?</t>
        </is>
      </c>
      <c r="C6969" t="inlineStr">
        <is>
          <t>I'll give everyone a small backstory. In April 2018 I was diagnosed with non-hodgekins lymphoma. A bone marrow transplant was proposed because my white blood cell count was consistently below 1k. Fast forward to December of that year, after a bout with pneumocystic pneumonia, I discovered I was HIV positive. In May of 2019 I went in to remission from lymphoma. Today I was diagnosed with Chronic Leukocytosis Leukemia. Now a bone marrow transplant is definitely happening.
I've tried to read up as much as I can ahout it, but I wanted to get some insight from people who have experienced it themselves or have seen someone go through it closely. What was the process like? How long were you in the hospital? What was recover like and how long did it take? What are the long term effects?
Just trying to mentally prepare myself as best as I can because this seems likes it's going to be super unpleasant.</t>
        </is>
      </c>
      <c r="D6969" t="n">
        <v>1</v>
      </c>
      <c r="E6969" t="n">
        <v>4</v>
      </c>
      <c r="F6969">
        <f>HYPERLINK("https://www.reddit.com/r/cancer/comments/em3zz0/undergoing_a_bone_marrow_transplant_soon_what_can/")</f>
        <v/>
      </c>
      <c r="G6969" t="inlineStr">
        <is>
          <t>2020-01-08 19:36:23</t>
        </is>
      </c>
      <c r="H6969" t="inlineStr"/>
    </row>
    <row r="6970">
      <c r="A6970" t="inlineStr">
        <is>
          <t>em47u4</t>
        </is>
      </c>
      <c r="B6970" t="inlineStr">
        <is>
          <t>How to deal with loneliness</t>
        </is>
      </c>
      <c r="C6970" t="inlineStr">
        <is>
          <t>How does everyone else deal with the loneliness and depression brought on by their cancer</t>
        </is>
      </c>
      <c r="D6970" t="n">
        <v>1</v>
      </c>
      <c r="E6970" t="n">
        <v>9</v>
      </c>
      <c r="F6970">
        <f>HYPERLINK("https://www.reddit.com/r/cancer/comments/em47u4/how_to_deal_with_loneliness/")</f>
        <v/>
      </c>
      <c r="G6970" t="inlineStr">
        <is>
          <t>2020-01-08 19:55:31</t>
        </is>
      </c>
      <c r="H6970" t="inlineStr"/>
    </row>
    <row r="6971">
      <c r="A6971" t="inlineStr">
        <is>
          <t>em5qm9</t>
        </is>
      </c>
      <c r="B6971" t="inlineStr">
        <is>
          <t>Baby steps back to exercise?</t>
        </is>
      </c>
      <c r="C6971" t="inlineStr">
        <is>
          <t>I am finally in remission! My body feels like a stranger. After years of treatment and recovery, I need help getting active again. What do you recommend?</t>
        </is>
      </c>
      <c r="D6971" t="n">
        <v>1</v>
      </c>
      <c r="E6971" t="n">
        <v>15</v>
      </c>
      <c r="F6971">
        <f>HYPERLINK("https://www.reddit.com/r/cancer/comments/em5qm9/baby_steps_back_to_exercise/")</f>
        <v/>
      </c>
      <c r="G6971" t="inlineStr">
        <is>
          <t>2020-01-08 22:19:20</t>
        </is>
      </c>
      <c r="H6971" t="inlineStr"/>
    </row>
    <row r="6972">
      <c r="A6972" t="inlineStr">
        <is>
          <t>em6fjs</t>
        </is>
      </c>
      <c r="B6972" t="inlineStr">
        <is>
          <t>Question for people with any cancers of lung</t>
        </is>
      </c>
      <c r="C6972" t="inlineStr">
        <is>
          <t>I don't know anywhere else to ask this question so here I go
I've been observing a trend in the teaching hospital that I'm presently studying in.The trend is that people diagnosed with cancers of lung have a typical history of having a fear of death before being diagnosed.Now the trend is not 100% in all patients.I was just told that it is a coincidence when I asked my attending doctor.
So I was wondering if anyone here can share anything regarding this.Any experiences if similar sorts.
Sorry if I sound rude.
Please and thank you</t>
        </is>
      </c>
      <c r="D6972" t="n">
        <v>1</v>
      </c>
      <c r="E6972" t="n">
        <v>4</v>
      </c>
      <c r="F6972">
        <f>HYPERLINK("https://www.reddit.com/r/cancer/comments/em6fjs/question_for_people_with_any_cancers_of_lung/")</f>
        <v/>
      </c>
      <c r="G6972" t="inlineStr">
        <is>
          <t>2020-01-08 23:34:27</t>
        </is>
      </c>
      <c r="H6972" t="inlineStr"/>
    </row>
    <row r="6973">
      <c r="A6973" t="inlineStr">
        <is>
          <t>em6mn5</t>
        </is>
      </c>
      <c r="B6973" t="inlineStr">
        <is>
          <t>Are flowers a good gift for my mother, who was recently diagnosed with breast cancer?</t>
        </is>
      </c>
      <c r="C6973" t="inlineStr">
        <is>
          <t>Are flowers a good gift for my mother, who was recently diagnosed with breast cancer? I have heard conflicting opinions.</t>
        </is>
      </c>
      <c r="D6973" t="n">
        <v>1</v>
      </c>
      <c r="E6973" t="n">
        <v>6</v>
      </c>
      <c r="F6973">
        <f>HYPERLINK("https://www.reddit.com/r/cancer/comments/em6mn5/are_flowers_a_good_gift_for_my_mother_who_was/")</f>
        <v/>
      </c>
      <c r="G6973" t="inlineStr">
        <is>
          <t>2020-01-08 23:56:44</t>
        </is>
      </c>
      <c r="H6973" t="inlineStr"/>
    </row>
    <row r="6974">
      <c r="A6974" t="inlineStr">
        <is>
          <t>em928j</t>
        </is>
      </c>
      <c r="B6974" t="inlineStr">
        <is>
          <t>I don't feel like I belong anywhere as a caretaker.</t>
        </is>
      </c>
      <c r="C6974" t="inlineStr">
        <is>
          <t>My daughter's cancer battle was brief. She had unilateral Retinoblastoma (malignant tumor on the retina of her right eye). We were diagnosed Oct. 9 and her eye was removed Oct. 16th. She is two years old. 
Her 8 week recovery has turned into 17 weeks and we still don't have her prosethetic because she's being "slow to heal." Probably because she's two and doesn't understand r&amp;amp;r. I've done all I can to help her still be a kid and keep her calm. 
I don't feel like I belong anywhere. I feel bad for being devastated over her slow healing, over losing her eye, etc, when everyone around us seems to be dealing with chemo, setbacks, new growth, relapse, etc. 
I feel disgusted for being down. I should be grateful that we have had it as easy as we have. 
Does anyone else feel this way? I feel like when I speak with other parents whose children have had cancer, I am just saying how awful this has been but they're on their 5th round of chemo for the third time and we didn't even do chemo.</t>
        </is>
      </c>
      <c r="D6974" t="n">
        <v>1</v>
      </c>
      <c r="E6974" t="n">
        <v>11</v>
      </c>
      <c r="F6974">
        <f>HYPERLINK("https://www.reddit.com/r/cancer/comments/em928j/i_dont_feel_like_i_belong_anywhere_as_a_caretaker/")</f>
        <v/>
      </c>
      <c r="G6974" t="inlineStr">
        <is>
          <t>2020-01-09 04:37:09</t>
        </is>
      </c>
      <c r="H6974" t="inlineStr"/>
    </row>
    <row r="6975">
      <c r="A6975" t="inlineStr">
        <is>
          <t>em9ab1</t>
        </is>
      </c>
      <c r="B6975" t="inlineStr">
        <is>
          <t>20 years later Radiotherapy effects</t>
        </is>
      </c>
      <c r="C6975" t="inlineStr">
        <is>
          <t>A weird one... I had non-Hodgins lymphoma twice. 
First time treated with month of Radio, I then relapsed  1.5 years later with it having crossed my diaphragm. 6 months of Chemo and a month Radio.
I was 21 at the end of the second treatment when I was given the all clear.
Fast forward 20 years - I needed to have my thyroid out due to nodules - it was confirmed cancerous, but hey I’m a pro, so as all my thyroid matter was chopped out I was all clear again.
That’s the quick history.
My issue now is with my spinal chord (apparently).
Since my thyroidectomy my balance and ankle strength have almost disappeared.
It’s taken nearly 2 years of physio and Pilates to get to a stage where I’m comfortable walking on uneven ground.
I’ve had 2 MRIs and frankly my neurologist has been terrible at explaining the issue - only “yeah, radio,  so stuff might be bad for you moving forwards - keep exercising -see you in six months.”
My Physio on the other hand has been a legend - doing everything he can to understand the progressive loss of sensation to the extremities of my legs and determine any opportunities there may be for improvement.....
So my question is... has any one else had a similar experience of relative fast onset loss of mobility associated to the late effects of Radiotherapy?
If so what have you done to counteract the issue?</t>
        </is>
      </c>
      <c r="D6975" t="n">
        <v>1</v>
      </c>
      <c r="E6975" t="n">
        <v>6</v>
      </c>
      <c r="F6975">
        <f>HYPERLINK("https://www.reddit.com/r/cancer/comments/em9ab1/20_years_later_radiotherapy_effects/")</f>
        <v/>
      </c>
      <c r="G6975" t="inlineStr">
        <is>
          <t>2020-01-09 04:58:08</t>
        </is>
      </c>
      <c r="H6975" t="inlineStr"/>
    </row>
    <row r="6976">
      <c r="A6976" t="inlineStr">
        <is>
          <t>em9pav</t>
        </is>
      </c>
      <c r="B6976" t="inlineStr">
        <is>
          <t>Mom is with my Dad &amp;amp; her parents 😔</t>
        </is>
      </c>
      <c r="C6976" t="inlineStr">
        <is>
          <t>It’s been over 2 months since my last post. I got to see Mom at Thanksgiving and she actually improved for a bit after my visit. Sadly, this morning she didn’t wake up. Her tongue was to the point that eating was impossible, she could not communicate &amp;amp; Boost/Ensure was sustaining her. She lost almost 100 lbs. I will miss her letters &amp;amp; cards to my kids for every holiday imagineable. She was truly my best friend. Thank you to those who posted about tongue cancer. I learned so much. For those who are fighting this disease, stay strong. For those whose loved one is fighting this disease, tell them you love them.</t>
        </is>
      </c>
      <c r="D6976" t="n">
        <v>1</v>
      </c>
      <c r="E6976" t="n">
        <v>23</v>
      </c>
      <c r="F6976">
        <f>HYPERLINK("https://www.reddit.com/r/cancer/comments/em9pav/mom_is_with_my_dad_her_parents/")</f>
        <v/>
      </c>
      <c r="G6976" t="inlineStr">
        <is>
          <t>2020-01-09 05:34:34</t>
        </is>
      </c>
      <c r="H6976" t="inlineStr"/>
    </row>
    <row r="6977">
      <c r="A6977" t="inlineStr">
        <is>
          <t>emd7pr</t>
        </is>
      </c>
      <c r="B6977" t="inlineStr">
        <is>
          <t>What do I do about my lumpy breasts?</t>
        </is>
      </c>
      <c r="C6977" t="inlineStr">
        <is>
          <t>Hi everyone 
I'm a 26 y/o female.
I've posted a couple times in other forums about other issues to do with breast cancer and I was wondering if anyone could give me some advice.
I have lumpy breasts due to the depo injection I believe as I didnt have them before and I'm not on it anymore - I only had two shots and it took 6 months for my periods to even start to become almost normal again! (I have had an ultrasound back in September for one breast as it's more lumpy which I got told in had more glandular tissue but it wasnt concerning or cancerous)
I currently get a breast examination done by a breast specialist every two months (by choice) I pay for this as I am not eligible on the NHS (UK) to have regular screening. I dont mind doing it as my mum had breast cancer and I want to be more vigilant. It costs me £180 every two months just to have my breasts examined, if I wanted another ultrasound its £250, this would mean over £400 every two months if I wanted to have this in place which I just cant afford.
I've already had my family history sent off and it's being looked into by a geologist to see if I am eligible for genetic testing, but I still feel it reassuring and less anxious getting the breast examination by a breast specialist, but until then it could be months until I find out.
I find it impossible to self exam because I have lumpy breasts in both breasts, I dont mind paying it but only if it helps me. I need to do this as I feel far too anxious and dont know what lump would feel cancerous or benign.
Should i:
Continue paying the £180 every two months to have my breasts felt by a breast specialist - not a GP he has years and years of experience in the breast field (he doesnt see the lumps as concern but unsure how he would know as he cant physically see them) 
Pay over £400 every four months for a breast ultrasound and the consultation together 
Get a fine needle biopsy every four months and a consultation which would probrably be near £400
I really need advice, no one seems to listen :( at my wits end.</t>
        </is>
      </c>
      <c r="D6977" t="n">
        <v>1</v>
      </c>
      <c r="E6977" t="n">
        <v>2</v>
      </c>
      <c r="F6977">
        <f>HYPERLINK("https://www.reddit.com/r/cancer/comments/emd7pr/what_do_i_do_about_my_lumpy_breasts/")</f>
        <v/>
      </c>
      <c r="G6977" t="inlineStr">
        <is>
          <t>2020-01-09 09:52:27</t>
        </is>
      </c>
      <c r="H6977" t="inlineStr"/>
    </row>
    <row r="6978">
      <c r="A6978" t="inlineStr">
        <is>
          <t>emdw4d</t>
        </is>
      </c>
      <c r="B6978" t="inlineStr">
        <is>
          <t>Trying to make a care package for a family member going through chemo, looking for ideas.</t>
        </is>
      </c>
      <c r="C6978" t="inlineStr">
        <is>
          <t>My husbands aunt just started chemo and I wanted to put together a little care package for her. Just looking for some helpful things that might be useful. People who have gone through chemo what did you appreciate or find useful? 
So far I’ve got a card, some fuzzy socks, chap stick, some magazines. Any suggestions would be much appreciated.</t>
        </is>
      </c>
      <c r="D6978" t="n">
        <v>1</v>
      </c>
      <c r="E6978" t="n">
        <v>12</v>
      </c>
      <c r="F6978">
        <f>HYPERLINK("https://www.reddit.com/r/cancer/comments/emdw4d/trying_to_make_a_care_package_for_a_family_member/")</f>
        <v/>
      </c>
      <c r="G6978" t="inlineStr">
        <is>
          <t>2020-01-09 10:40:23</t>
        </is>
      </c>
      <c r="H6978" t="inlineStr"/>
    </row>
    <row r="6979">
      <c r="A6979" t="inlineStr">
        <is>
          <t>eme40c</t>
        </is>
      </c>
      <c r="B6979" t="inlineStr">
        <is>
          <t>Tumours shrunk but NHS will now no longer treat...</t>
        </is>
      </c>
      <c r="C6979" t="inlineStr">
        <is>
          <t>Okay so a massive change up from my post the other day...
Just to clarify, earlier this week my dad was suffering from pain, sickness, diarrhea, extreme tiredness etc. A family member mentioned it might be signs of end of life hence my post here. Since then he has actually got much better, we are guessing a bug, but of course, my mind went into overdrive. 
So, today he got his latest CT scan results from the hospital. He has stage 4 pancreatic and liver cancer. When diagnosed at stage 4 the consultant said 'we will only treat this cancer for 6 months and your life is counted in months, not years'. 
HOWEVER, his latest scan results show his liver tumour has shrunk to only 5mm and his pancreatic tumour has shrunk, slightly, but still! 
We are in the UK so under NHS. Although his tumours are shrunk they are still refusing to give further chemotherapy. 
I understand it affects the immune system etc but I just can't understand how if 1 of his tumours is only 5mm away from clearing why they wouldn't carry on. 
He's okay otherwise. His bug or whatever it was has cleared, he has no other symptoms really, bit of pain sometimes. 
Has anyone had any experience with this? Where do I go from here?</t>
        </is>
      </c>
      <c r="D6979" t="n">
        <v>1</v>
      </c>
      <c r="E6979" t="n">
        <v>19</v>
      </c>
      <c r="F6979">
        <f>HYPERLINK("https://www.reddit.com/r/cancer/comments/eme40c/tumours_shrunk_but_nhs_will_now_no_longer_treat/")</f>
        <v/>
      </c>
      <c r="G6979" t="inlineStr">
        <is>
          <t>2020-01-09 10:56:04</t>
        </is>
      </c>
      <c r="H6979" t="inlineStr"/>
    </row>
    <row r="6980">
      <c r="A6980" t="inlineStr">
        <is>
          <t>emetvi</t>
        </is>
      </c>
      <c r="B6980" t="inlineStr">
        <is>
          <t>I think I'm going to lose my mom in a few hours.</t>
        </is>
      </c>
      <c r="C6980" t="inlineStr">
        <is>
          <t>I don't really have anything profound to say, just that my mom is in pain, and the hurt of it all finally starting to hit me.
My mom has terminal lung cancer. None of us knew until she had an X-ray to find out why she'd been suffering from this chronic arm pain. Turns out, it was cancer. It had also already moved to her brain. 
In a moment that honestly feels like black comedy, she had a heart attack a few weeks later. The heart attack apparently had nothing to do with the cancer and would have happened regardless. She had a stent put into her heart, and with that, we learned that it would be impossible for her to receive ANY kind of cancer treatment, on account of the blood thinners she'd be taking to keep a clot from forming in the stent.
She insisted that she wanted to die at home, around family. It's been about a month since then, and I think it's almost time. 
I don't know why, but I've kinda felt nothing throughout this whole process. Through all these revelations, seeing my mom slowly lose her ability to walk, I never really felt sad, or angry, or anything.
Until today, when my mom started gasping. I can hear her through the walls, even with my tv turned on; this bubbling, rasping gurgle as her lungs fill with fluid. It's like a nightmare, knowing that she's dying like this, and there's nothing anyone in the world, least of all I, can do about it. I feel sick.</t>
        </is>
      </c>
      <c r="D6980" t="n">
        <v>1</v>
      </c>
      <c r="E6980" t="n">
        <v>7</v>
      </c>
      <c r="F6980">
        <f>HYPERLINK("https://www.reddit.com/r/cancer/comments/emetvi/i_think_im_going_to_lose_my_mom_in_a_few_hours/")</f>
        <v/>
      </c>
      <c r="G6980" t="inlineStr">
        <is>
          <t>2020-01-09 11:47:11</t>
        </is>
      </c>
      <c r="H6980" t="inlineStr"/>
    </row>
    <row r="6981">
      <c r="A6981" t="inlineStr">
        <is>
          <t>emgid4</t>
        </is>
      </c>
      <c r="B6981" t="inlineStr">
        <is>
          <t>My mom is smoking through treatment with stage 4 lung cancer</t>
        </is>
      </c>
      <c r="C6981" t="inlineStr">
        <is>
          <t>Do you guys have any words for her? I don't think it's fair personally to those that are awaiting treatment.</t>
        </is>
      </c>
      <c r="D6981" t="n">
        <v>1</v>
      </c>
      <c r="E6981" t="n">
        <v>12</v>
      </c>
      <c r="F6981">
        <f>HYPERLINK("https://www.reddit.com/r/cancer/comments/emgid4/my_mom_is_smoking_through_treatment_with_stage_4/")</f>
        <v/>
      </c>
      <c r="G6981" t="inlineStr">
        <is>
          <t>2020-01-09 13:43:35</t>
        </is>
      </c>
      <c r="H6981" t="inlineStr"/>
    </row>
    <row r="6982">
      <c r="A6982" t="inlineStr">
        <is>
          <t>emguke</t>
        </is>
      </c>
      <c r="B6982" t="inlineStr">
        <is>
          <t>Looking for good reads about metastatic breast cancer</t>
        </is>
      </c>
      <c r="C6982" t="inlineStr">
        <is>
          <t>Hi, first time poster here. 
My mother in law has metastatic breast cancer (liver, lungs, bones and now brain) and I don't really know where to start gathering info. She is trying to give us more info, but still I know no details other than she is undergoing radiation (whole head) so I guess gamma or surgery are not alternatives at this point. 
Because I know so little about her type and her mets I am googling blind, but I know she will die sooner or later - probably sooner.
 My in-laws are not very good at talking about these things and I will bet my arse she is trying to shield everyone, but me being me I want to prepare for what is coming. 
Because the radiation is whole head I assume there are multiple mets or deep seated, she has had a lot of hormone therapy + different chemo treatments but even though the cancer is not aggressive it does not shrink either. 
My better half is playing this by ear and doesn't talk about it unprovoked, but if she allows us to see her further down the line I would like to prepare and be able to be of some use. 
I have no problems with gritty stuff, and if someone has to stay on top I think I would be the person who could, but it is so hard to prepare when so little info is given.
Sorry for the essay, but I would really like some tips on what to read etc., so I can be prepared in case we get to take part of the palliative care.
Also I would love tips on how to support her husband, who is the very typical stoic type. Last time I saw them I noticed he has a need to talk about it, but I don't want to push too hard. (Picture a man thinking that Aspirin is a coward's way of not being able to handle life) He will be alone after this, so I try to establish some kind of routine where we 'shoot the shit', but at this time it feels forced.</t>
        </is>
      </c>
      <c r="D6982" t="n">
        <v>1</v>
      </c>
      <c r="E6982" t="n">
        <v>4</v>
      </c>
      <c r="F6982">
        <f>HYPERLINK("https://www.reddit.com/r/cancer/comments/emguke/looking_for_good_reads_about_metastatic_breast/")</f>
        <v/>
      </c>
      <c r="G6982" t="inlineStr">
        <is>
          <t>2020-01-09 14:06:26</t>
        </is>
      </c>
      <c r="H6982" t="inlineStr"/>
    </row>
    <row r="6983">
      <c r="A6983" t="inlineStr">
        <is>
          <t>emhkgn</t>
        </is>
      </c>
      <c r="B6983" t="inlineStr">
        <is>
          <t>Stage 4 Kidney Cancer - 2 months to live</t>
        </is>
      </c>
      <c r="C6983" t="inlineStr">
        <is>
          <t>Hi All. 
My dad is diagnosed with stage IV Kidney cancer back in August 2019. Since then he was in medication. As of yesterday, it was found out that his medication is not working and the doctor basically gave him 2 months to live.
He seems to be fine outside, eating properly and in high spirit. Other than some issues like dry skins, harder time to talk to people for a longer time and the tumor around his hip - all other aspects of life seem to be fine. 
so I am not sure what it means he has 2 months to live. Can things change that drastically?</t>
        </is>
      </c>
      <c r="D6983" t="n">
        <v>1</v>
      </c>
      <c r="E6983" t="n">
        <v>8</v>
      </c>
      <c r="F6983">
        <f>HYPERLINK("https://www.reddit.com/r/cancer/comments/emhkgn/stage_4_kidney_cancer_2_months_to_live/")</f>
        <v/>
      </c>
      <c r="G6983" t="inlineStr">
        <is>
          <t>2020-01-09 14:56:01</t>
        </is>
      </c>
      <c r="H6983" t="inlineStr"/>
    </row>
    <row r="6984">
      <c r="A6984" t="inlineStr">
        <is>
          <t>emi0em</t>
        </is>
      </c>
      <c r="B6984" t="inlineStr">
        <is>
          <t>Breast cancer Surgery is over</t>
        </is>
      </c>
      <c r="C6984" t="inlineStr">
        <is>
          <t>My nipple is gone, a long scar, and a drain filling with blood into a "baloon" they took 5 lymphnodes.
No pain... Literally they said most patients don't wake up as fast as I did.... I was out from 1030 am-130ish
So happy it's over I will probably need radiation for a week...
 But fuck does it feel good to get this off my chest!!!!</t>
        </is>
      </c>
      <c r="D6984" t="n">
        <v>1</v>
      </c>
      <c r="E6984" t="n">
        <v>21</v>
      </c>
      <c r="F6984">
        <f>HYPERLINK("https://www.reddit.com/r/cancer/comments/emi0em/breast_cancer_surgery_is_over/")</f>
        <v/>
      </c>
      <c r="G6984" t="inlineStr">
        <is>
          <t>2020-01-09 15:28:33</t>
        </is>
      </c>
      <c r="H6984" t="inlineStr"/>
    </row>
    <row r="6985">
      <c r="A6985" t="inlineStr">
        <is>
          <t>emjqb2</t>
        </is>
      </c>
      <c r="B6985" t="inlineStr">
        <is>
          <t>Anyone else on here with fibrolamellar hepatocellular carcinoma?</t>
        </is>
      </c>
      <c r="C6985" t="inlineStr">
        <is>
          <t>Was diagnosed recently and underwent surgery, struggling to find others with the same thing.</t>
        </is>
      </c>
      <c r="D6985" t="n">
        <v>1</v>
      </c>
      <c r="E6985" t="n">
        <v>9</v>
      </c>
      <c r="F6985">
        <f>HYPERLINK("https://www.reddit.com/r/cancer/comments/emjqb2/anyone_else_on_here_with_fibrolamellar/")</f>
        <v/>
      </c>
      <c r="G6985" t="inlineStr">
        <is>
          <t>2020-01-09 17:37:51</t>
        </is>
      </c>
      <c r="H6985" t="inlineStr"/>
    </row>
    <row r="6986">
      <c r="A6986" t="inlineStr">
        <is>
          <t>emk5pv</t>
        </is>
      </c>
      <c r="B6986" t="inlineStr">
        <is>
          <t>Nerve pains.</t>
        </is>
      </c>
      <c r="C6986" t="inlineStr">
        <is>
          <t>After all the medication my nerve endings are dead and sensitive as fuck at the same time, specialists just prescribe me opioids and beta blockers like Tramadol Valtran and Pregabalin. But the only thing that really helps is cannabis. Anyone who has some experience with these pains. I mean it's like 24/7 I'm going fucking mental here..</t>
        </is>
      </c>
      <c r="D6986" t="n">
        <v>1</v>
      </c>
      <c r="E6986" t="n">
        <v>6</v>
      </c>
      <c r="F6986">
        <f>HYPERLINK("https://www.reddit.com/r/cancer/comments/emk5pv/nerve_pains/")</f>
        <v/>
      </c>
      <c r="G6986" t="inlineStr">
        <is>
          <t>2020-01-09 18:09:54</t>
        </is>
      </c>
      <c r="H6986" t="inlineStr"/>
    </row>
    <row r="6987">
      <c r="A6987" t="inlineStr">
        <is>
          <t>emkie6</t>
        </is>
      </c>
      <c r="B6987" t="inlineStr">
        <is>
          <t>I shit myself.</t>
        </is>
      </c>
      <c r="C6987" t="inlineStr">
        <is>
          <t>Been taking stool softeners and laxatives in a effort to alleviate a partial blockage, stupidly gambled on a fart and lost. Husband cleaned up the car like an angel, now im chilling in front of a warm fire at my parents house in clean pants. Hey, at least stuff is getting through, right? Hows everybody’s night going?</t>
        </is>
      </c>
      <c r="D6987" t="n">
        <v>1</v>
      </c>
      <c r="E6987" t="n">
        <v>12</v>
      </c>
      <c r="F6987">
        <f>HYPERLINK("https://www.reddit.com/r/cancer/comments/emkie6/i_shit_myself/")</f>
        <v/>
      </c>
      <c r="G6987" t="inlineStr">
        <is>
          <t>2020-01-09 18:37:12</t>
        </is>
      </c>
      <c r="H6987" t="inlineStr"/>
    </row>
    <row r="6988">
      <c r="A6988" t="inlineStr">
        <is>
          <t>emkkv8</t>
        </is>
      </c>
      <c r="B6988" t="inlineStr">
        <is>
          <t>Coping with the loss of my father (An update)</t>
        </is>
      </c>
      <c r="C6988" t="inlineStr">
        <is>
          <t>About a month and a half ago, I posted about my father who lost his battle to pancreatic cancer. It’s the new year, and I’ve had a lot of time to reflect on where things are. It’s been hard. My mom and I celebrated Christmas and New Years without him (his two favorite holidays). It was rough. I constantly think about how I got my hopes up about his survival. I reflect on one conversation in particular. 
Now, when my dad was admitted for complications after his whipple, the doctors told us he was NED status (no evidence of disease). They had removed the tumor, he was cancer free, per say. Despite this, the two weeks my dad was there, he kept preparing himself to say goodbye. He would call me just to hear my voice. And when I would ask when he was getting out so I could come visit him, he would tell me he wasn’t going to survive. “Ehren, I’m telling you, I’m not getting better. I can feel it. Something is wrong.” But his doctors had assured us his scans were good. His tests were good. He had beaten that. He did develop sepsis, which they treated. So he was back to normal (albeit recovering from the surgery complications, sepsis, and of course chemo). I chalked it up that maybe he was lonely. They hadn’t really checked on his mental health at all. So, I figured that he just needed some help to feel better. But, not even 4 days later, they ran his scans, the cancer came back as Stage 4. It had spread to his surroundings organs and a few arteries. That’s when we got the call that he had maybe 4 days at most. I sit here and reflect that I should’ve called more. I should’ve believed him. I kept telling him that he was getting better, to stop worrying. I cry often. And I just think about how I wish I would’ve been there sooner, to spend more time with him. But I was busy with work and school, and his scans were good. I always thought the pain of dealing with cancer was worse than when they pass. I always thought his suffering made my heart break more. But realizing that this is my first year without him, that’s truly heartbreaking.</t>
        </is>
      </c>
      <c r="D6988" t="n">
        <v>1</v>
      </c>
      <c r="E6988" t="n">
        <v>1</v>
      </c>
      <c r="F6988">
        <f>HYPERLINK("https://www.reddit.com/r/cancer/comments/emkkv8/coping_with_the_loss_of_my_father_an_update/")</f>
        <v/>
      </c>
      <c r="G6988" t="inlineStr">
        <is>
          <t>2020-01-09 18:42:34</t>
        </is>
      </c>
      <c r="H6988" t="inlineStr"/>
    </row>
    <row r="6989">
      <c r="A6989" t="inlineStr">
        <is>
          <t>emkuq9</t>
        </is>
      </c>
      <c r="B6989" t="inlineStr">
        <is>
          <t>My brother-in-law has lung cancer but isn't currently being treated with immunotherapy. He's in the public system so I'm guessing they don't try new treatments but I would like to know how he might be able to. Can anyone direct me to a clinic or doctor who might be able to help? We are in Australia</t>
        </is>
      </c>
      <c r="C6989" t="inlineStr">
        <is>
          <t>Thankyou for any information you have.</t>
        </is>
      </c>
      <c r="D6989" t="n">
        <v>1</v>
      </c>
      <c r="E6989" t="n">
        <v>11</v>
      </c>
      <c r="F6989">
        <f>HYPERLINK("https://www.reddit.com/r/cancer/comments/emkuq9/my_brotherinlaw_has_lung_cancer_but_isnt/")</f>
        <v/>
      </c>
      <c r="G6989" t="inlineStr">
        <is>
          <t>2020-01-09 19:04:59</t>
        </is>
      </c>
      <c r="H6989" t="inlineStr"/>
    </row>
    <row r="6990">
      <c r="A6990" t="inlineStr">
        <is>
          <t>emopbn</t>
        </is>
      </c>
      <c r="B6990" t="inlineStr">
        <is>
          <t>How long does my dad have left in the hospital?</t>
        </is>
      </c>
      <c r="C6990" t="inlineStr">
        <is>
          <t>My dad has been in the hospital since last Sunday which he was rushed to the er to get his lungs drained. Yesterday the doctors said that he would be able to come home in a couple of days he was able to breathe on his own and speak in a low volume. But today I was told that his lungs started to be filled with fluids again and there are tumors blocking his airways so he can't breathe without the machine also his other lung is collapsed. My mom said there is not much they can do about it but the doctors will be discussing the topic in the morning. Unfortunately, it seems that he won't be able to see me graduate from HS in 5 months.</t>
        </is>
      </c>
      <c r="D6990" t="n">
        <v>1</v>
      </c>
      <c r="E6990" t="n">
        <v>7</v>
      </c>
      <c r="F6990">
        <f>HYPERLINK("https://www.reddit.com/r/cancer/comments/emopbn/how_long_does_my_dad_have_left_in_the_hospital/")</f>
        <v/>
      </c>
      <c r="G6990" t="inlineStr">
        <is>
          <t>2020-01-10 01:36:00</t>
        </is>
      </c>
      <c r="H6990" t="inlineStr"/>
    </row>
    <row r="6991">
      <c r="A6991" t="inlineStr">
        <is>
          <t>emr1o0</t>
        </is>
      </c>
      <c r="B6991" t="inlineStr">
        <is>
          <t>The only good parental figure I've ever had is coming home for hospice and I'm not coping well.</t>
        </is>
      </c>
      <c r="C6991" t="inlineStr">
        <is>
          <t>(note to mods: I tried submitting this on a throwaway but it said removed, I assume because of having a new account, so I figured I might as well delete it and just submit this on my main account. Hi to my husband if he sees this, I guess)
Well, this might be a long one. This is mostly for myself, since I've always had an easier time typing than talking. I am 23ftm (important in regards to my relationship with grandma) and my husband is 24m. His grandma, who has leukemia, is 75f. I want to share some background to explain my role in this. My husband and I have lived with his grandma for two years now, but I've known her and been around her a lot since we started dating (age 15). I come from an abusive household who also wasn't accepting of who I am. Despite not understanding it herself, Grandma has always been very accepting and supportive. I also have mental illnesses to the point of it being a disability (autism and others) and she's also been beyond supportive about that. We also just share a lot of the same opinions and thoughts and got along better than just a "grandson's boyfriend/husband" thing.
So it's all to say that I consider her more than just my spouse's grandma. She's like a mother to me. She showed me it's possible to have a family without all the toxicity. She's literally changed my whole world view with her willingness to accept things about me that people rarely accept. Anyway, so, we've been living together for two years now. She's always been fit and healthy. Literally up until the day she got sick and even some time after that, she was still stubbornly independent. She did everything for herself.
And then in late September, things changed. She complained about her neck hurting, which was weird because she's the type to never complain. And then, she wanted to go to the ER, it was so bad. Also very alarming. They said it was arthritis and she would basically be disabled. Okay, we could deal with that. But then things got worse. My MIL finally took Grandma in to be admitted, after two weeks of being weak and totally unable to get around and after lots of testing... Yeah, leukemia. My MIL didn't even know it until this but I guess one of Grandma's sisters died from the same thing, so it wasn't totally unexpected from the doctors' pov.
Well, I've never dealt with this before. Never lost anyone close. Never dealt with cancer. Nothing. So I was pretty naive. I thought she'd just live in the nursing home, get treatments, and after all, they said: "she's probably got a few years." We could work with that. We could get everything straightened out. But it kept getting worse. She stopped being able to swallow. They did a feeding tube for awhile but then discovered she could eat the thickened stuff. She did for awhile and then refused and that seemed like the point where I knew it was basically done. She has a DNR, she's personally told me many times she doesn't want to live tied down like this. I knew at some point that she'd have enough of it, I just didn't know it would be this quick.
So that brings me to now. Last night, my MIL came over and explained that, because of the insurance, they couldn't do hospice at the nursing home. The insurance would only pay for the equipment and not the room. We're nearly dirt poor so we couldn't even just pay for the room. She's coming home. Part of me is glad, I want to be with her and it is her house of fifty years. It's where her husband died too. But I've never done anything like this, and as me and my husband live here, a lot of the caretaking will be on us.
Today they're dropping off the hospice equipment and tomorrow she's coming home. They said it wouldn't be long. It would be crazy if it was even a few more weeks. I know this is all over the place and I don't want to be selfish, I don't want to make this about myself, but I'm falling apart. My husband said I could stay elsewhere if I needed to, but I refuse to leave them. I love them both and want to do right by them. I've just never experienced anything even close to this. Everything I've read says to seek support, so I am. I just don't know what to do. Everything was normal and then it wasn't and it won't ever be again. I don't know how to deal with that.</t>
        </is>
      </c>
      <c r="D6991" t="n">
        <v>1</v>
      </c>
      <c r="E6991" t="n">
        <v>18</v>
      </c>
      <c r="F6991">
        <f>HYPERLINK("https://www.reddit.com/r/cancer/comments/emr1o0/the_only_good_parental_figure_ive_ever_had_is/")</f>
        <v/>
      </c>
      <c r="G6991" t="inlineStr">
        <is>
          <t>2020-01-10 05:40:24</t>
        </is>
      </c>
      <c r="H6991" t="inlineStr"/>
    </row>
    <row r="6992">
      <c r="A6992" t="inlineStr">
        <is>
          <t>emrdjx</t>
        </is>
      </c>
      <c r="B6992" t="inlineStr">
        <is>
          <t>Skin Care</t>
        </is>
      </c>
      <c r="C6992" t="inlineStr">
        <is>
          <t>Okay so I just had surgery on my lungs this week and the Oxy is absolutely destroying my skin. It’s so hard not to pick or push, or give me these giant kernel like pimples. 
I’ve tried an Avacodo face mask and it does okay for recover but the giant red blotches still look awful. I wish I could preemptively do something to lessen the effects 
I have very sensitive skin and looking like a junkie is not my favorite. 
What are you guys doing to protect your skin before or after mediations???</t>
        </is>
      </c>
      <c r="D6992" t="n">
        <v>1</v>
      </c>
      <c r="E6992" t="n">
        <v>2</v>
      </c>
      <c r="F6992">
        <f>HYPERLINK("https://www.reddit.com/r/cancer/comments/emrdjx/skin_care/")</f>
        <v/>
      </c>
      <c r="G6992" t="inlineStr">
        <is>
          <t>2020-01-10 06:08:02</t>
        </is>
      </c>
      <c r="H6992" t="inlineStr"/>
    </row>
    <row r="6993">
      <c r="A6993" t="inlineStr">
        <is>
          <t>emszwi</t>
        </is>
      </c>
      <c r="B6993" t="inlineStr">
        <is>
          <t>Update and follow-up question</t>
        </is>
      </c>
      <c r="C6993" t="inlineStr">
        <is>
          <t>I posted about a week ago concerning a friend in the hospital who looked as though she was in the end stage of her disease. This is now confirmed. However, her oncologist/rest of her medical team isn’t telling her,(I’m a medical professional). I could share the information, but after a long conversation with her yesterday I don’t think she wants to hear it. She’s in fight mode right now. Her most recent diagnosis included malignant acidese, which to the best of my knowledge is terminal. I’m angry because I think the team is being dishonest. I feel like it shouldn’t be up to friends and family to read between the lines when someone is most likely terminal. I want to drag the oncologist in to her room and make her tell my friend what the actual prognosis is, so that my friend could have more time to consider a more palliative care option where she could spend more time with her 4 year old who is terrified and confused. Instead I fear that the oncologist will allow very aggressive chemo which could very well incapacitate my friend, taking away valuable time from her. What should I do?</t>
        </is>
      </c>
      <c r="D6993" t="n">
        <v>1</v>
      </c>
      <c r="E6993" t="n">
        <v>14</v>
      </c>
      <c r="F6993">
        <f>HYPERLINK("https://www.reddit.com/r/cancer/comments/emszwi/update_and_followup_question/")</f>
        <v/>
      </c>
      <c r="G6993" t="inlineStr">
        <is>
          <t>2020-01-10 08:07:32</t>
        </is>
      </c>
      <c r="H6993" t="inlineStr"/>
    </row>
    <row r="6994">
      <c r="A6994" t="inlineStr">
        <is>
          <t>emt4aj</t>
        </is>
      </c>
      <c r="B6994" t="inlineStr">
        <is>
          <t>Growing hair out- women/people with long hair</t>
        </is>
      </c>
      <c r="C6994" t="inlineStr">
        <is>
          <t>i’m 21f and recently beat hodgkin’s lymphoma! I was wondering if anyone has any tips on growing their hair out and dealing with the awkward lengths hair phases once it gets past buzz cut? mines slightly longer than buzz cut now and it looks super messy and i just feel like i don’t look out together.</t>
        </is>
      </c>
      <c r="D6994" t="n">
        <v>1</v>
      </c>
      <c r="E6994" t="n">
        <v>12</v>
      </c>
      <c r="F6994">
        <f>HYPERLINK("https://www.reddit.com/r/cancer/comments/emt4aj/growing_hair_out_womenpeople_with_long_hair/")</f>
        <v/>
      </c>
      <c r="G6994" t="inlineStr">
        <is>
          <t>2020-01-10 08:16:05</t>
        </is>
      </c>
      <c r="H6994" t="inlineStr"/>
    </row>
    <row r="6995">
      <c r="A6995" t="inlineStr">
        <is>
          <t>emtjo5</t>
        </is>
      </c>
      <c r="B6995" t="inlineStr">
        <is>
          <t>My aunt that raised me probably has cancer..</t>
        </is>
      </c>
      <c r="C6995" t="inlineStr">
        <is>
          <t>Im NOT asking if its cancer, so please don't take it that way. 
I had a very messed up family, mom left, dad left. Only person that bothered with me was my grandma and her sister, my great aunt. They, but especially my aunt have been my biggest supporters in my life. However my aunt smokes HEAVILY and has been (1 pack a day+) since I can remember, probably longer.
On top of that she hasn't been to the doctor for nearly 60 years. As a teen whenever she'd be sick and I asked her to go to the DR she said she was too afraid to because she probably has cancer and she would rather die not knowing. I grew up knowing I'd lose her to it. 
In the last year she lost 50 pounds without reason, and I just found out. She's white as a ghost, she has to carry a vomit bag sometimes. On top of that she's been having agonizing pain from between her throat to her (sorry) crotch.
She decided to go to the ER today either after work or when she's off tomorrow.. Doesn't seem abnormal but this is a woman that hasnt SEEN even a regular doctor for almost 60 years. Again NOT asking for diagnosis because in my heart I know.. Please don't delete as I need the support right now.</t>
        </is>
      </c>
      <c r="D6995" t="n">
        <v>1</v>
      </c>
      <c r="E6995" t="n">
        <v>0</v>
      </c>
      <c r="F6995">
        <f>HYPERLINK("https://www.reddit.com/r/cancer/comments/emtjo5/my_aunt_that_raised_me_probably_has_cancer/")</f>
        <v/>
      </c>
      <c r="G6995" t="inlineStr">
        <is>
          <t>2020-01-10 08:45:47</t>
        </is>
      </c>
      <c r="H6995" t="inlineStr"/>
    </row>
    <row r="6996">
      <c r="A6996" t="inlineStr">
        <is>
          <t>emtjyy</t>
        </is>
      </c>
      <c r="B6996" t="inlineStr">
        <is>
          <t>My uncle has stage 4 bowel cancer.</t>
        </is>
      </c>
      <c r="C6996" t="inlineStr">
        <is>
          <t>I just found out last night that my uncle has stage 4 bowel cancer and it had spread to his bladder. He had surgery over Christmas and didnt want to tell anyone outside of his wife who has reached out for support. We just buried my aunt recently so it's hit our family pretty hard, especially my Mum who is very close to her siblings. I'm trying to console my Mum who is still grieving the loss of her sister. Can anyone give me some helpful information or advice on treatment? He's saying he doesn't want chemotherapy and would rather try alternative which has me worried.</t>
        </is>
      </c>
      <c r="D6996" t="n">
        <v>1</v>
      </c>
      <c r="E6996" t="n">
        <v>18</v>
      </c>
      <c r="F6996">
        <f>HYPERLINK("https://www.reddit.com/r/cancer/comments/emtjyy/my_uncle_has_stage_4_bowel_cancer/")</f>
        <v/>
      </c>
      <c r="G6996" t="inlineStr">
        <is>
          <t>2020-01-10 08:46:19</t>
        </is>
      </c>
      <c r="H6996" t="inlineStr"/>
    </row>
    <row r="6997">
      <c r="A6997" t="inlineStr">
        <is>
          <t>emuvfw</t>
        </is>
      </c>
      <c r="B6997" t="inlineStr">
        <is>
          <t>How do you deal with anxiety due to recurrence?</t>
        </is>
      </c>
      <c r="C6997" t="inlineStr">
        <is>
          <t>My mom is the one who has ovarian cancer, not me, but I'm worried sick.
I haven't been in a good space these past few months due to health anxiety about myself. However, now that I am 99% I'm perfectly fine, my mom isn't doing swell.
I was worried because she mentioned that her abdomen had been hurting. That's happened twice before and it always meant recurrence.
My mom was put on a few rounds of chemo last year after a recurrence. She was fine in summer, but a few weeks ago she began feeling a bit uncomfortable. She needs a CT scan to confirm whether she needs more chemo, but her doctor wants to start her by next week.
I ended up looking statistics on ovarian cancer due to my own, unwarranted, anxiety and now I'm miserable. I always just thought my mom would be fine as long as she kept taking the chemo, but it turns out that sometimes chemo *doesn't* work. Sometimes it stops working. Sometimes people get worse instead of better.
She was diagnosed circa 2012 and has been on-and-off chemo for 2 or 3 years now. I was hoping that she'd be clean for a few more years at minimum, but it came back within 8 months.
I feel more worried than she is. She's just upset that her hair is probably gonna fall and she's gonna lose more weight (she's been trying to gain 10-15 pounds), but I'm here freaking out over her safety.</t>
        </is>
      </c>
      <c r="D6997" t="n">
        <v>1</v>
      </c>
      <c r="E6997" t="n">
        <v>2</v>
      </c>
      <c r="F6997">
        <f>HYPERLINK("https://www.reddit.com/r/cancer/comments/emuvfw/how_do_you_deal_with_anxiety_due_to_recurrence/")</f>
        <v/>
      </c>
      <c r="G6997" t="inlineStr">
        <is>
          <t>2020-01-10 10:18:32</t>
        </is>
      </c>
      <c r="H6997" t="inlineStr"/>
    </row>
    <row r="6998">
      <c r="A6998" t="inlineStr">
        <is>
          <t>emvyet</t>
        </is>
      </c>
      <c r="B6998" t="inlineStr">
        <is>
          <t>Why haven't scientists found a cure for cancer?</t>
        </is>
      </c>
      <c r="C6998" t="inlineStr">
        <is>
          <t>This post is mainly for discussion purposes. Even though cancer has been studied over for centuries, why do you think a cure hasn't been found?</t>
        </is>
      </c>
      <c r="D6998" t="n">
        <v>1</v>
      </c>
      <c r="E6998" t="n">
        <v>17</v>
      </c>
      <c r="F6998">
        <f>HYPERLINK("https://www.reddit.com/r/cancer/comments/emvyet/why_havent_scientists_found_a_cure_for_cancer/")</f>
        <v/>
      </c>
      <c r="G6998" t="inlineStr">
        <is>
          <t>2020-01-10 11:35:57</t>
        </is>
      </c>
      <c r="H6998" t="inlineStr"/>
    </row>
    <row r="6999">
      <c r="A6999" t="inlineStr">
        <is>
          <t>emwszg</t>
        </is>
      </c>
      <c r="B6999" t="inlineStr">
        <is>
          <t>Father (75) diagnosed with possible bladder and/or prostate cancer</t>
        </is>
      </c>
      <c r="C6999" t="inlineStr">
        <is>
          <t>Hi everyone, this is my first time posting here. I just received word today that my father (75) has been diagnosed with possible bladder and/or prostate cancer.  
His health has been in decline for about a year now. He started out with incontinence issues, both urinary and bowel. Then he started having decreased mobility, fatigue, decreased appetite and weight loss. I don’t know why, but his regular doctors never caught anything or put two and two together. 
About 2 weeks ago, he ended up in the ER with a confirmed case of the flu (Influenza Type A). While he was there, they ran a bunch of blood tests and found his white blood cell count was very high. One doctor suggested doing a CT scan (thankfully!) and they ended up finding a large tumor in his bladder. There were no other tumors present on the scan. Today he had a scope biopsy of his bladder under general anesthesia and while the procedure went well, the urologist gave us two possible diagnoses, pending the full pathology report. Although the tumor is confined to his bladder, the doctor said that it doesn’t “look like typical bladder cancer”. He said that given its location it may be a tumor that started in the prostate and pushed into the bladder. We won’t know for sure until we receive the results back next week. I’m somewhat encouraged that there were no other tumors present on the CT scan, but we will have to just wait and see. 
In the meantime, I am worried about my Dad because he has lost so much weight from both the tumor and the flu. He’s not eating much and is so weak that he can barely get out of bed. I’m worried that his prognosis is too far gone to be able to offer him any sort of treatment for the tumor. I hope that he can get strong enough that we can put together a plan of action and try to fight this. But I’m also a realist and know that at 75 years old, it’s very possible he won’t recover.  Just trying to keep positive and move forward one day at a time. 🙏</t>
        </is>
      </c>
      <c r="D6999" t="n">
        <v>1</v>
      </c>
      <c r="E6999" t="n">
        <v>0</v>
      </c>
      <c r="F6999">
        <f>HYPERLINK("https://www.reddit.com/r/cancer/comments/emwszg/father_75_diagnosed_with_possible_bladder_andor/")</f>
        <v/>
      </c>
      <c r="G6999" t="inlineStr">
        <is>
          <t>2020-01-10 12:38:42</t>
        </is>
      </c>
      <c r="H6999" t="inlineStr"/>
    </row>
    <row r="7000">
      <c r="A7000" t="inlineStr">
        <is>
          <t>emxaax</t>
        </is>
      </c>
      <c r="B7000" t="inlineStr">
        <is>
          <t>Surgery option</t>
        </is>
      </c>
      <c r="C7000" t="inlineStr">
        <is>
          <t>stage 4 stomach cancer patient, currently under chemo treatment, recent CT scan shows no other met, I know only surgery has the hope to be curable.  Now consider to look for second opinion, what kind of doctor should look for? Surgery oncologist or oncologist ? Thanks</t>
        </is>
      </c>
      <c r="D7000" t="n">
        <v>1</v>
      </c>
      <c r="E7000" t="n">
        <v>1</v>
      </c>
      <c r="F7000">
        <f>HYPERLINK("https://www.reddit.com/r/cancer/comments/emxaax/surgery_option/")</f>
        <v/>
      </c>
      <c r="G7000" t="inlineStr">
        <is>
          <t>2020-01-10 13:12:56</t>
        </is>
      </c>
      <c r="H7000" t="inlineStr"/>
    </row>
    <row r="7001">
      <c r="A7001" t="inlineStr">
        <is>
          <t>emxgk3</t>
        </is>
      </c>
      <c r="B7001" t="inlineStr">
        <is>
          <t>Thin hair after chemo</t>
        </is>
      </c>
      <c r="C7001" t="inlineStr">
        <is>
          <t>My hair has been growing pretty well, but it is really really thin. I was wondering if anyone knew any home remedies to treat thin hair after chemo or if anyone had any thickening shampoo/conditioner recs? Thanks!</t>
        </is>
      </c>
      <c r="D7001" t="n">
        <v>1</v>
      </c>
      <c r="E7001" t="n">
        <v>8</v>
      </c>
      <c r="F7001">
        <f>HYPERLINK("https://www.reddit.com/r/cancer/comments/emxgk3/thin_hair_after_chemo/")</f>
        <v/>
      </c>
      <c r="G7001" t="inlineStr">
        <is>
          <t>2020-01-10 13:25:12</t>
        </is>
      </c>
      <c r="H7001" t="inlineStr"/>
    </row>
    <row r="7002">
      <c r="A7002" t="inlineStr">
        <is>
          <t>emxk4l</t>
        </is>
      </c>
      <c r="B7002" t="inlineStr">
        <is>
          <t>I hate watching my Partner slowly lose the fight.</t>
        </is>
      </c>
      <c r="C7002" t="inlineStr">
        <is>
          <t>Since May ‘19 my partner (f34) has been fighting Stage 4 high grade ovarian cancer, we caught it late but the initial response to standard chemo was good and late in the year she had full surgery to remove all affected areas and was signed off as looking clear soon after. The day before her mop up chemo she got sick, it came back and faster than before. She’s brca125 positive and are hoping to get more treatment but it will only buy time so are planning a very fast wedding. But I don’t know how long she has and it’s ripping me apart, I’m going to lose her and her 6yo is gonna lose her mum and me as she will go to live with her dad. Cancer sucks ass. Needed a vent where no one knows me.</t>
        </is>
      </c>
      <c r="D7002" t="n">
        <v>1</v>
      </c>
      <c r="E7002" t="n">
        <v>8</v>
      </c>
      <c r="F7002">
        <f>HYPERLINK("https://www.reddit.com/r/cancer/comments/emxk4l/i_hate_watching_my_partner_slowly_lose_the_fight/")</f>
        <v/>
      </c>
      <c r="G7002" t="inlineStr">
        <is>
          <t>2020-01-10 13:32:11</t>
        </is>
      </c>
      <c r="H7002" t="inlineStr"/>
    </row>
    <row r="7003">
      <c r="A7003" t="inlineStr">
        <is>
          <t>emyat0</t>
        </is>
      </c>
      <c r="B7003" t="inlineStr">
        <is>
          <t>Is Colorectal Cancer Painful?</t>
        </is>
      </c>
      <c r="C7003" t="inlineStr">
        <is>
          <t>So im having some Cancer Symptoms but i can't tell if it is Cancer since i habe literally no pain at all, and im having these symptoms since 2 months. I did get my Blood checked and they said that my Blood is normal and i should get a Coloscopy. I dont feel sick and im scared to do a Coloscopy so i want to avoid that. I also never had someone in my family having Cancer and i can't really think of having Cancer since im a healthy person. Also im only 19. So is it possible and if yes wouldn't it be more painful and shouldn't i feel more sick? I know it sounds like im gambling but i really don't even want to think about being sick. 
Thanks</t>
        </is>
      </c>
      <c r="D7003" t="n">
        <v>1</v>
      </c>
      <c r="E7003" t="n">
        <v>2</v>
      </c>
      <c r="F7003">
        <f>HYPERLINK("https://www.reddit.com/r/cancer/comments/emyat0/is_colorectal_cancer_painful/")</f>
        <v/>
      </c>
      <c r="G7003" t="inlineStr">
        <is>
          <t>2020-01-10 14:25:30</t>
        </is>
      </c>
      <c r="H7003" t="inlineStr"/>
    </row>
    <row r="7004">
      <c r="A7004" t="inlineStr">
        <is>
          <t>emygfw</t>
        </is>
      </c>
      <c r="B7004" t="inlineStr">
        <is>
          <t>Mother will go into surgery a second time</t>
        </is>
      </c>
      <c r="C7004" t="inlineStr">
        <is>
          <t>My mom went into surgery for a hysterectomy due to pelvic cancer around April/May of last year. Some balls ( tumors probably ) reappeared and now she has to go back into surgery to remove them. I feel like shit. She still suffers from pains from the hysterectomy...... is it going to keep coming back ? I feel like fucking shit</t>
        </is>
      </c>
      <c r="D7004" t="n">
        <v>1</v>
      </c>
      <c r="E7004" t="n">
        <v>2</v>
      </c>
      <c r="F7004">
        <f>HYPERLINK("https://www.reddit.com/r/cancer/comments/emygfw/mother_will_go_into_surgery_a_second_time/")</f>
        <v/>
      </c>
      <c r="G7004" t="inlineStr">
        <is>
          <t>2020-01-10 14:37:16</t>
        </is>
      </c>
      <c r="H7004" t="inlineStr"/>
    </row>
    <row r="7005">
      <c r="A7005" t="inlineStr">
        <is>
          <t>emythp</t>
        </is>
      </c>
      <c r="B7005" t="inlineStr">
        <is>
          <t>On Tuesday I went in for a consultation with the radiation oncologist and unexpectedly ended up getting admitted to inpatient care.</t>
        </is>
      </c>
      <c r="C7005" t="inlineStr">
        <is>
          <t>In the two or three days before my consultation with the rad onc my symptoms quickly started to get worse. My lymph nodes started to swell and hurt really badly under my arms, on the back of my head and neck, under my jaw, and in the inguinal region, as well as my skin rash getting worse and taking on new characteristics. When I started to talk to the doc I told her those things, so she decided to pause our meeting to step out and call my dermatologist that has been treating me for Mycosis Fungoides (cutaneous T-cell lymphoma). They came to the decision that I should be admitted to the ED so that the dermatologist as well as the medical oncology team could come by and look at me. 
I had a ton of tests done and I saw quite a few doctors. Eventually my dermatologist told me that they decided that I should be admitted to inpatient care. After a few hours they took me upstairs to the bone marrow transplant unit and got me situated in my room for the night. In the morning the med onc team came by and told me they were going to put me on an EPOCH regimen as soon as possible for five days. Then I’ll go home for two weeks and come back for another round of chemo. Then two weeks later they want to do a PET scan to see how my lymph nodes are responding. Depending on those results they may or may not do another round of chemo. After chemo they want to get me in to radiation oncology to treat me with total skin electron beam therapy since this cancer tends to respond well to it, as well as my skin having always been the primary site for my lymphoma. Eventually if the chemo and radiation work to get my cancer under control they’ll switch me back to less intensive options like interferon, bexarotene, topical steroids, etc...
It’s been a crazy few days. I’ve spoken to a hundred different hospital employees about a hundred different things. I’ve been poked and prodded all day and night since I got here. The doctors have taken every fluid imaginable, hell, I gave them a sperm sample in case I become sterile. 
I was just supposed to have a 30 minute consultation then go home, and I was never supposed to get chemo, so this has been a drastic change in plans that my mom and I were not expecting. Being 7 hours away from home has made it difficult to suddenly be stuck here, but fortunately my mom’s work is very understanding. All the negative aspects aside, there couldn’t have been a better day to have that consultation. My disease began to progress so quickly that if it had been a day or two earlier they may not have decided to admit me. If my appointment had been a week later I would have been in dire straits by the time I got here.
There is a lot of uncertainty with this disease in terms of if it will return, when it will return, and how quickly it will progress when it returns. For years it built up very slowly, getting misdiagnosed multiple times and not changing much. It was really scary to see how quickly it got worse, and it’s terrifying to think that it may all happen again some day (assuming my treatment plan works like it should). 
Thinking about dying from this disease is horrible. Even when I was admitted my skin was horribly itchy and it was stinging. My whole abdomen was swollen with pronounced swelling on one side, and my tumors started to grow so fast that the skin broke down in multiple places. It’s a very hopeless feeling watch your body falling apart and not being able to do anything about it. 
I’m on day two of chemo and I’m feeling and looking better already. The doctors all agree that it’s because of the prednisone. I’ve been laying in bed in my underwear since I got here and now I’m up moving around and wearing sweatpants and a gown. I’m going to go take a walk around the floor with my mom later, which my body desperately needs.
As awful and unexpected as this situation is, I’m in the best place I can be with a bunch of awesome doctors and my wonderful caregiver of a mom. I’ve talked to a ton of people who have had a lot of good ideas about techniques and medications to relieve my itching and compulsive scratching/skin picking problems that I’ve developed over the years of having such itchy skin. And I am confident that my doctors are doing the right thing and that this care plan will get my cancer under control.</t>
        </is>
      </c>
      <c r="D7005" t="n">
        <v>1</v>
      </c>
      <c r="E7005" t="n">
        <v>1</v>
      </c>
      <c r="F7005">
        <f>HYPERLINK("https://www.reddit.com/r/cancer/comments/emythp/on_tuesday_i_went_in_for_a_consultation_with_the/")</f>
        <v/>
      </c>
      <c r="G7005" t="inlineStr">
        <is>
          <t>2020-01-10 15:04:53</t>
        </is>
      </c>
      <c r="H7005" t="inlineStr"/>
    </row>
    <row r="7006">
      <c r="A7006" t="inlineStr">
        <is>
          <t>emyvzk</t>
        </is>
      </c>
      <c r="B7006" t="inlineStr">
        <is>
          <t>My father got bad results from a bowel screening test and the doctors are saying it could possibly be cancer</t>
        </is>
      </c>
      <c r="C7006" t="inlineStr">
        <is>
          <t>A unormal amount of blood showed up in his stool in a regular bowel screening test and I can’t seem to find any information online on the odds of him having cancer and we won’t know for two months if he has it or not? Does anyone on this sub know what the chances of cancer are ? And help greatly appreciated. If it helps he’s [62M] from Ireland</t>
        </is>
      </c>
      <c r="D7006" t="n">
        <v>1</v>
      </c>
      <c r="E7006" t="n">
        <v>4</v>
      </c>
      <c r="F7006">
        <f>HYPERLINK("https://www.reddit.com/r/cancer/comments/emyvzk/my_father_got_bad_results_from_a_bowel_screening/")</f>
        <v/>
      </c>
      <c r="G7006" t="inlineStr">
        <is>
          <t>2020-01-10 15:09:51</t>
        </is>
      </c>
      <c r="H7006" t="inlineStr"/>
    </row>
    <row r="7007">
      <c r="A7007" t="inlineStr">
        <is>
          <t>en01c2</t>
        </is>
      </c>
      <c r="B7007" t="inlineStr">
        <is>
          <t>Hooray for pain pills</t>
        </is>
      </c>
      <c r="C7007" t="inlineStr">
        <is>
          <t>Breast cancer sucks!!!!, mastectomy hurts like hell..... Thank fuck for pain pills.
Ibuprofen does nothing, narcotics make me apathetic and the pain dissappears.
Fuck cancer fuck pain.</t>
        </is>
      </c>
      <c r="D7007" t="n">
        <v>1</v>
      </c>
      <c r="E7007" t="n">
        <v>37</v>
      </c>
      <c r="F7007">
        <f>HYPERLINK("https://www.reddit.com/r/cancer/comments/en01c2/hooray_for_pain_pills/")</f>
        <v/>
      </c>
      <c r="G7007" t="inlineStr">
        <is>
          <t>2020-01-10 16:37:35</t>
        </is>
      </c>
      <c r="H7007" t="inlineStr"/>
    </row>
    <row r="7008">
      <c r="A7008" t="inlineStr">
        <is>
          <t>en036u</t>
        </is>
      </c>
      <c r="B7008" t="inlineStr">
        <is>
          <t>Things that made you feel happy</t>
        </is>
      </c>
      <c r="C7008" t="inlineStr">
        <is>
          <t>My dad has recently had a set back in his treatment process. Everything seemed to be going great, but now the tumor markers are sky rocketing. Understandably, he's feeling discouraged and dejected. I want to help him feel happy again, try to get his mind off of things.
For the people who have gone through cancer, I was just wondering what are/were some of the things that still brought happiness in your life</t>
        </is>
      </c>
      <c r="D7008" t="n">
        <v>1</v>
      </c>
      <c r="E7008" t="n">
        <v>3</v>
      </c>
      <c r="F7008">
        <f>HYPERLINK("https://www.reddit.com/r/cancer/comments/en036u/things_that_made_you_feel_happy/")</f>
        <v/>
      </c>
      <c r="G7008" t="inlineStr">
        <is>
          <t>2020-01-10 16:41:18</t>
        </is>
      </c>
      <c r="H7008" t="inlineStr"/>
    </row>
    <row r="7009">
      <c r="A7009" t="inlineStr">
        <is>
          <t>en08u4</t>
        </is>
      </c>
      <c r="B7009" t="inlineStr">
        <is>
          <t>I’ve never talked to someone</t>
        </is>
      </c>
      <c r="C7009" t="inlineStr">
        <is>
          <t>I’ve never met anyone who has had follicular thyroid carcinoma, in person or on the internet. I’ve only talked to one person around my age that had papillary thyroid cancer, but she was 14 and I was 18 when it happened. I’m 19 now and I just have never been able to talk to anyone, but I want to talk to someone my age who understands my struggles. Honestly I just want to talk to anyone</t>
        </is>
      </c>
      <c r="D7009" t="n">
        <v>1</v>
      </c>
      <c r="E7009" t="n">
        <v>8</v>
      </c>
      <c r="F7009">
        <f>HYPERLINK("https://www.reddit.com/r/cancer/comments/en08u4/ive_never_talked_to_someone/")</f>
        <v/>
      </c>
      <c r="G7009" t="inlineStr">
        <is>
          <t>2020-01-10 16:53:46</t>
        </is>
      </c>
      <c r="H7009" t="inlineStr"/>
    </row>
    <row r="7010">
      <c r="A7010" t="inlineStr">
        <is>
          <t>en0mia</t>
        </is>
      </c>
      <c r="B7010" t="inlineStr">
        <is>
          <t>Mixed emotions after Dr visit</t>
        </is>
      </c>
      <c r="C7010" t="inlineStr">
        <is>
          <t>We got results of husband’s recent scan. He has been in and out of stage four nasopharyngeal cancer since 2012. Scan showed the lymph nodes had decreased in size but not very much this time. Dr said he was going to keep him on the chemotherapy he is currently receiving. Dr told us that all the options had been used and when anything showed up again he had exhausted all options. He said we might find an experimental trial but he didn’t know of one. 
We are confused and upset because dr told us that he was very sorry and shook our hands. What does that mean? Should we look for trials or continue with current chemo?</t>
        </is>
      </c>
      <c r="D7010" t="n">
        <v>1</v>
      </c>
      <c r="E7010" t="n">
        <v>11</v>
      </c>
      <c r="F7010">
        <f>HYPERLINK("https://www.reddit.com/r/cancer/comments/en0mia/mixed_emotions_after_dr_visit/")</f>
        <v/>
      </c>
      <c r="G7010" t="inlineStr">
        <is>
          <t>2020-01-10 17:24:26</t>
        </is>
      </c>
      <c r="H7010" t="inlineStr"/>
    </row>
    <row r="7011">
      <c r="A7011" t="inlineStr">
        <is>
          <t>en0pc2</t>
        </is>
      </c>
      <c r="B7011" t="inlineStr">
        <is>
          <t>Taking a small win tonight!</t>
        </is>
      </c>
      <c r="C7011" t="inlineStr">
        <is>
          <t>9 months of brutal chemo, followed by half of my left femur being removed and replaced with a sweet titanium implant (12 weeks no weight bearing). 8 weeks post that fun surgery. Tonight I wanted to take a hot bath, didn't have the upper body strength after surgery, but 8 weeks of wheel chair and no chemo...BAM! I did it. Wife and I practiced a few ways getting in and out.
Biggest smile I've had in awhile! I'm taking this one as a win and celebrating with a bath bomb and some netflix!</t>
        </is>
      </c>
      <c r="D7011" t="n">
        <v>1</v>
      </c>
      <c r="E7011" t="n">
        <v>7</v>
      </c>
      <c r="F7011">
        <f>HYPERLINK("https://www.reddit.com/r/cancer/comments/en0pc2/taking_a_small_win_tonight/")</f>
        <v/>
      </c>
      <c r="G7011" t="inlineStr">
        <is>
          <t>2020-01-10 17:30:52</t>
        </is>
      </c>
      <c r="H7011" t="inlineStr"/>
    </row>
    <row r="7012">
      <c r="A7012" t="inlineStr">
        <is>
          <t>en0pis</t>
        </is>
      </c>
      <c r="B7012" t="inlineStr">
        <is>
          <t>A short letter to my dad</t>
        </is>
      </c>
      <c r="C7012" t="inlineStr">
        <is>
          <t>Hi dad! I miss you. I somehow got through another holiday season without you. It was sad not being able to do our thanksgiving tradition. I wish I could tell you all the amazing things that are happening in my life right now. I got hired as a PO today, I started playing the ukulele, I got my first degree and am going to start rock climbing! As a Christmas present, my mom offered to pay for the first month of the rock climbing membership (: I’m really excited for what life is offering me. Everything is changing and I couldn’t be any more excited. I wish you were here to see me growing up and doing what I love. But I know you’re proud of me. I’ll see you one day, I promise. But until then, I have a few things to do down here first. I have to make the world a better place. I will never stop making you proud! 
I love you!!!!!!!! 
- your daughter ❤️❤️</t>
        </is>
      </c>
      <c r="D7012" t="n">
        <v>1</v>
      </c>
      <c r="E7012" t="n">
        <v>2</v>
      </c>
      <c r="F7012">
        <f>HYPERLINK("https://www.reddit.com/r/cancer/comments/en0pis/a_short_letter_to_my_dad/")</f>
        <v/>
      </c>
      <c r="G7012" t="inlineStr">
        <is>
          <t>2020-01-10 17:31:14</t>
        </is>
      </c>
      <c r="H7012" t="inlineStr"/>
    </row>
    <row r="7013">
      <c r="A7013" t="inlineStr">
        <is>
          <t>en0s8p</t>
        </is>
      </c>
      <c r="B7013" t="inlineStr">
        <is>
          <t>i think i want to fight</t>
        </is>
      </c>
      <c r="C7013" t="inlineStr">
        <is>
          <t>I was diagnosed with stage four ovarian cancer about a year and a half ago. Prognosis was bad right from the start. The most optimistic suggestion was that I could live for ten more years. I did some treatment, a ‘light’ chemo which brought my numbers down but a scan showed that my cancer was v aggressive. I hit the point where my doctor said I could choose aggressive chemo to gamble for more time (estimated 15% chance of success) or just enjoy what i had left. There was no wrong answer, my doctor did not push me towards a particular option. I was dead anyway and I didn’t want to suffer so I chose the latter. 
I have lived almost a year since this point. It’s been a good year. But I don’t want to die. And I don’t want to hurt my family. I want to be the miracle case that you hear about in the news. I won’t be, I think i’ll just lose my hair and be sick and probably die quicker, but I so dearly want to fight. I want to be healthy. I don’t want to die. I think if chemo didn’t involve hair loss I’d probably do it in a heartbeat. But I have lived this past year knowing that I have made the right decision for me and I do not know whether fear of death should be what changes my mind. 
(Not quite sure what i’m looking for. i think i just need to say this somewhere.)</t>
        </is>
      </c>
      <c r="D7013" t="n">
        <v>1</v>
      </c>
      <c r="E7013" t="n">
        <v>35</v>
      </c>
      <c r="F7013">
        <f>HYPERLINK("https://www.reddit.com/r/cancer/comments/en0s8p/i_think_i_want_to_fight/")</f>
        <v/>
      </c>
      <c r="G7013" t="inlineStr">
        <is>
          <t>2020-01-10 17:37:28</t>
        </is>
      </c>
      <c r="H7013" t="inlineStr"/>
    </row>
    <row r="7014">
      <c r="A7014" t="inlineStr">
        <is>
          <t>en14f3</t>
        </is>
      </c>
      <c r="B7014" t="inlineStr">
        <is>
          <t>Grandmother &amp;amp; Gallbladder Cancer</t>
        </is>
      </c>
      <c r="C7014" t="inlineStr">
        <is>
          <t>Hello Everyone,
My grandmother was diagnosed with gallblader cancer about a month or two ago and started her chemotherapy treatment about 3 weeks ago. Yesterday was her 3rd treatment. Since she's 85 years old the doctor said that he didn't want to operate and there's no chance she'll go into remission. He said the estimate  survival time is 6 months. She's suffering really badly the days after her treatment and has lost her sense of appetite as well as smell, and taste.  Is there a way to make it a little easier without hovering over her because I don't want to do that. Or anyways to make her want to eat? Any and all advice is welcomed. Thank you.</t>
        </is>
      </c>
      <c r="D7014" t="n">
        <v>1</v>
      </c>
      <c r="E7014" t="n">
        <v>4</v>
      </c>
      <c r="F7014">
        <f>HYPERLINK("https://www.reddit.com/r/cancer/comments/en14f3/grandmother_gallbladder_cancer/")</f>
        <v/>
      </c>
      <c r="G7014" t="inlineStr">
        <is>
          <t>2020-01-10 18:04:40</t>
        </is>
      </c>
      <c r="H7014" t="inlineStr"/>
    </row>
    <row r="7015">
      <c r="A7015" t="inlineStr">
        <is>
          <t>en1i1l</t>
        </is>
      </c>
      <c r="B7015" t="inlineStr">
        <is>
          <t>One of the worst weeks of my life</t>
        </is>
      </c>
      <c r="C7015" t="inlineStr">
        <is>
          <t>My mother was diagnosed with stage 1 breast cancer 6 years ago &amp;amp; beat it with chemo &amp;amp; radiation and only removing the mass. It came back 4 years later (2018) and she had a double mastectomy. They ruled out chemo this round because they got clear margins upon removing the mass. 
It has recently returned. She found two additional masses in her chest area. They finally ordered a pet scan and only one lump she found and an adrenal gland on one of her kidneys lit up as cancer. So they had surgery and removed the two masses (both of which ended up being cancer) but the surgeon wanted a CT scan done of her abdomen area. It shows that there is cancer in her liver in 4 spots &amp;amp; the gland on her kidney has gotten bigger. My heart is broken.  
They are putting her on ibrance and an estrogen blocker. She has an MRI at the end of the month to see if it is in her brain. They consider her stage IV cancer now (I believe)&amp;amp; her oncologist gave her two years to live 💔 
Has anyone or their loved ones had any success with these medications ? I just want my mom around for more than two years - she’s my best friend, supporter, my first call for anything &amp;amp; I don’t know what I’ll do without her 💔😭</t>
        </is>
      </c>
      <c r="D7015" t="n">
        <v>1</v>
      </c>
      <c r="E7015" t="n">
        <v>10</v>
      </c>
      <c r="F7015">
        <f>HYPERLINK("https://www.reddit.com/r/cancer/comments/en1i1l/one_of_the_worst_weeks_of_my_life/")</f>
        <v/>
      </c>
      <c r="G7015" t="inlineStr">
        <is>
          <t>2020-01-10 18:35:34</t>
        </is>
      </c>
      <c r="H7015" t="inlineStr"/>
    </row>
    <row r="7016">
      <c r="A7016" t="inlineStr">
        <is>
          <t>en1naw</t>
        </is>
      </c>
      <c r="B7016" t="inlineStr">
        <is>
          <t>Folfox stopped working so now I am feeling stressed going foward.</t>
        </is>
      </c>
      <c r="C7016" t="inlineStr">
        <is>
          <t>Found out last week round 11/12 of my chemo treatment that Folfox isn't working anymore.
I was pretty shocked as my oncologist always said when I came in for my appointments that the numbers looked good but now that it's not  working the uncertainty has really started stressing me out 
He said that we can try a different chemo(not sure which one) or I can go straight to surgery and get the tumor in my colon(stage 4 colon cancer) taken out first and then after I recover we can restart with a new chemo.
My doctor and surgeon are talking and I will find out Monday what's going to happen but ever since that conversation,I just have a feeling things are not going to work out.
I've been pretty positive about the situation for the most part,but now the fear is really setting in and the more post I see of cancer patients dying makes me mentally weak.
I try to sleep but it's impossible,no interest in playing games to pass the time and can barely convince myself to get out of bed to do anything.
I know I'm probably over reacting a bit,but I'm genuinely scared at the thought of dying and becoming a statistic instead of a survivor.
I tried really had this past 6 months and was optimism that once surgery was done I could have my old life back,but with everything going the way they are,dying at 27 never felt so real.
If anyone has been through a similar situation I would appreciate hearing how you made yourself feel better in dark time,thanks.</t>
        </is>
      </c>
      <c r="D7016" t="n">
        <v>1</v>
      </c>
      <c r="E7016" t="n">
        <v>5</v>
      </c>
      <c r="F7016">
        <f>HYPERLINK("https://www.reddit.com/r/cancer/comments/en1naw/folfox_stopped_working_so_now_i_am_feeling/")</f>
        <v/>
      </c>
      <c r="G7016" t="inlineStr">
        <is>
          <t>2020-01-10 18:47:24</t>
        </is>
      </c>
      <c r="H7016" t="inlineStr"/>
    </row>
    <row r="7017">
      <c r="A7017" t="inlineStr">
        <is>
          <t>en385n</t>
        </is>
      </c>
      <c r="B7017" t="inlineStr">
        <is>
          <t>If you use Rogaine for hair regrowth, don’t stop using it.</t>
        </is>
      </c>
      <c r="C7017" t="inlineStr">
        <is>
          <t>I used rogaine to help with hair regrowth consistently for almost a year. Once my hair got a lot thicker I stopped using it as much, big mistake. My hair has started to fall out again, so be careful and stay consistent with rogaine. You have to consecutively use it or your new hairs will start to fall out. This is my fault, but just sharing so someone else doesn’t make the same mistake. 
Wishing you all the best, and happy late holidays.</t>
        </is>
      </c>
      <c r="D7017" t="n">
        <v>1</v>
      </c>
      <c r="E7017" t="n">
        <v>6</v>
      </c>
      <c r="F7017">
        <f>HYPERLINK("https://www.reddit.com/r/cancer/comments/en385n/if_you_use_rogaine_for_hair_regrowth_dont_stop/")</f>
        <v/>
      </c>
      <c r="G7017" t="inlineStr">
        <is>
          <t>2020-01-10 21:10:54</t>
        </is>
      </c>
      <c r="H7017" t="inlineStr"/>
    </row>
    <row r="7018">
      <c r="A7018" t="inlineStr">
        <is>
          <t>en5kgh</t>
        </is>
      </c>
      <c r="B7018" t="inlineStr">
        <is>
          <t>Life and kid advice</t>
        </is>
      </c>
      <c r="C7018" t="inlineStr">
        <is>
          <t>My husband is terminal.  I want to make sure my 6 year old is supported as much as possible, yet I’m dealing with my own grief.  My husband truly is the most amazing person, and my best friend.  I need to get out of my own grief to support my son but and struggling.  Any guidance?</t>
        </is>
      </c>
      <c r="D7018" t="n">
        <v>1</v>
      </c>
      <c r="E7018" t="n">
        <v>7</v>
      </c>
      <c r="F7018">
        <f>HYPERLINK("https://www.reddit.com/r/cancer/comments/en5kgh/life_and_kid_advice/")</f>
        <v/>
      </c>
      <c r="G7018" t="inlineStr">
        <is>
          <t>2020-01-11 01:48:20</t>
        </is>
      </c>
      <c r="H7018" t="inlineStr"/>
    </row>
    <row r="7019">
      <c r="A7019" t="inlineStr">
        <is>
          <t>en5l5e</t>
        </is>
      </c>
      <c r="B7019" t="inlineStr">
        <is>
          <t>Stressed due to my mother's cancer recurrence</t>
        </is>
      </c>
      <c r="C7019" t="inlineStr">
        <is>
          <t>I'm 23 and still live with her, so I can't just run off into a corner like I want to.
I haven't been in a good space these past few months due to health anxiety about myself. However, now that I am 99% sure I'm perfectly fine, my mom is genuinely not doing well.
She had to go to the doctor today. I was worried because she mentioned that her abdomen had been hurting for over a week now. That's happened twice before and it always meant recurrence.
I tried not to worry but I did... Maybe it was just her stomach hernia, or maybe it was an infection. She had pinkish urine and some burning last month, though her GP just gave her some antibiotics for that last week; I'm hoping it was just a UTI and it's unrelated to the cancer (apparently ovarian cancer almost never spreads to the bladder anyway).
But she told me today that her doctor wants to put her on medicine again.
My mom was put on a few rounds of chemo last year after a recurrence. I don't know the details but her doctor said it "came back a little bit", so she was put on chemo for a month or two. She was fine in summer, but a few weeks ago she began feeling a bit uncomfortable. She needs a CT scan next week to confirm whether she needs more chemo, but her doctor wants to start her by next week because it's very likely she does.
Last week I ended up looking statistics on ovarian cancer due to my own (unwarranted) anxiety and now I'm miserable. I always just thought my mom would be fine as long as she kept taking the chemo, but it turns out that sometimes chemo doesn't work. Sometimes it stops working. Sometimes people get worse instead of better. She doesn't seem that sick to me -- she's obsessing over losing 4 pounds but I don't think that's anything to fret over -- but maybe she is worse than she outwardly seems.
She was diagnosed as pre-cancerous circa 2012 and has been on-and-off chemo for 3 or 4 years now. I was hoping that she'd be clean for a few more years at minimum, but it came back within 8 months.
If anything were to happen to her... I don't know how I'd react. I can't stand the thought; I feel like I would detach from my family and move far away from everyone ASAP. I had hoped she'd be with me for another 10-15 years. Both her parents lived into their mid-90s, yet she had the BRCA gene and got ovarian cancer; she's the only one out of her several sisters with cancer too.</t>
        </is>
      </c>
      <c r="D7019" t="n">
        <v>1</v>
      </c>
      <c r="E7019" t="n">
        <v>0</v>
      </c>
      <c r="F7019">
        <f>HYPERLINK("https://www.reddit.com/r/cancer/comments/en5l5e/stressed_due_to_my_mothers_cancer_recurrence/")</f>
        <v/>
      </c>
      <c r="G7019" t="inlineStr">
        <is>
          <t>2020-01-11 01:51:11</t>
        </is>
      </c>
      <c r="H7019" t="inlineStr"/>
    </row>
    <row r="7020">
      <c r="A7020" t="inlineStr">
        <is>
          <t>en5rj7</t>
        </is>
      </c>
      <c r="B7020" t="inlineStr">
        <is>
          <t>Media makes cancer seem "easier" than it actually is</t>
        </is>
      </c>
      <c r="C7020" t="inlineStr">
        <is>
          <t>You see two different stories in media and news: either the "success" story about someone who "beat" cancer or the sad one about someone who died of it. I don't think either are accurate.
I don't have cancer but my mom does. She's both a "survivor" and a patient. She's lived over five years after the diagnosis, but it doesn't go away 100%. There in lies an issue that media doesn't cover: recurrence.
Many people who you hear "survived" cancer are in remission. They're often people who recently were diagnosed as cancer-free after finishing their meds. But, cancer often comes back within three years. It can even come back after seven, despite the rule you hear about "being clear if you've gone seven years in remission".
There are some lucky people who do 1 round of chemo and are cancer free for 40+ years, but they're not the rule. Cancer tends to be more chronic than that. But news stories don't tell you that. They make it seem like you either beat it or you don't.</t>
        </is>
      </c>
      <c r="D7020" t="n">
        <v>1</v>
      </c>
      <c r="E7020" t="n">
        <v>62</v>
      </c>
      <c r="F7020">
        <f>HYPERLINK("https://www.reddit.com/r/cancer/comments/en5rj7/media_makes_cancer_seem_easier_than_it_actually_is/")</f>
        <v/>
      </c>
      <c r="G7020" t="inlineStr">
        <is>
          <t>2020-01-11 02:13:52</t>
        </is>
      </c>
      <c r="H7020" t="inlineStr"/>
    </row>
    <row r="7021">
      <c r="A7021" t="inlineStr">
        <is>
          <t>en62ph</t>
        </is>
      </c>
      <c r="B7021" t="inlineStr">
        <is>
          <t>Eyebrows &amp;amp; Eyelashes!</t>
        </is>
      </c>
      <c r="C7021" t="inlineStr">
        <is>
          <t>Ok, I’m going through chemo &amp;amp; have lost both my eyebrows &amp;amp; eyelashes (aswell as every other single hair on my body) .. anyway I have a wedding coming up &amp;amp; my hair is easy, I can throw on a wig! However my brows &amp;amp; lashes are harder .. I’ve NEVER worn fake lashes &amp;amp; never had to pencil in brows as mine were always naturally thick &amp;amp; well shaped.
My question is how can I make my brows look natural &amp;amp; what on earth do I do about my lashes to look some kind of normal for this wedding. (I’m a bridesmaid so I need to look half decent!)</t>
        </is>
      </c>
      <c r="D7021" t="n">
        <v>1</v>
      </c>
      <c r="E7021" t="n">
        <v>8</v>
      </c>
      <c r="F7021">
        <f>HYPERLINK("https://www.reddit.com/r/cancer/comments/en62ph/eyebrows_eyelashes/")</f>
        <v/>
      </c>
      <c r="G7021" t="inlineStr">
        <is>
          <t>2020-01-11 02:53:09</t>
        </is>
      </c>
      <c r="H7021" t="inlineStr"/>
    </row>
    <row r="7022">
      <c r="A7022" t="inlineStr">
        <is>
          <t>en6bba</t>
        </is>
      </c>
      <c r="B7022" t="inlineStr">
        <is>
          <t>Important question/ after Chemo therapy</t>
        </is>
      </c>
      <c r="C7022" t="inlineStr">
        <is>
          <t>Hey :)
I am a student and i am 23 years old.
I had a cancer disease last year and did a chemo therapy for a year.
No i am done and i never thought it is that hard to come back to a normal life.
Do you habe any experiences or tips to go on after that time?</t>
        </is>
      </c>
      <c r="D7022" t="n">
        <v>1</v>
      </c>
      <c r="E7022" t="n">
        <v>0</v>
      </c>
      <c r="F7022">
        <f>HYPERLINK("https://www.reddit.com/r/cancer/comments/en6bba/important_question_after_chemo_therapy/")</f>
        <v/>
      </c>
      <c r="G7022" t="inlineStr">
        <is>
          <t>2020-01-11 03:22:40</t>
        </is>
      </c>
      <c r="H7022" t="inlineStr"/>
    </row>
    <row r="7023">
      <c r="A7023" t="inlineStr">
        <is>
          <t>en6djd</t>
        </is>
      </c>
      <c r="B7023" t="inlineStr">
        <is>
          <t>I have never been so happy being told no</t>
        </is>
      </c>
      <c r="C7023" t="inlineStr">
        <is>
          <t>What a difference nine months makes. I was well on my way to dying but not anymore, motherfuckers. I just read my latest CT Scan Results and am beside myself with happiness.  I have to get through my last five chemos and ass bag reversal/port removal, then I can go swimming.
I also have to find a group of little kids and make them clap for me. That looked nice.
* No change within the few scattered densely calcified pulmonary nodules.  No new or suspicious pulmonary parenchymal imaging finding.  No pleural or pericardial effusion. 
* Stable 1.2 x 2.1 cm right tracheobronchial angle lymph node and stable if not slightly smaller 1.2 cm right hilar lymph node. 
* Stigmata of prior right liver segmentectomy with intact resection margin no bile leak. 
* Within the liver remnant, no new liver lesions. 
* Normal spleen, pancreas, and adrenals and no significant renal imaging finding. 
* No subdiaphragmatic lymphadenopathy of significance by size criteria. 
* Anterior resection with intact anastomosis with covering right lower quadrant ostomy. 
* No ascites or peritoneal disease. 
* No significant bony abnormality. 
* Comment: Interval right hepatectomy with no postprocedure complications. 
* **No new metastatic disease.  ** 
Fuck Cancer, and have an awesome day.</t>
        </is>
      </c>
      <c r="D7023" t="n">
        <v>1</v>
      </c>
      <c r="E7023" t="n">
        <v>33</v>
      </c>
      <c r="F7023">
        <f>HYPERLINK("https://www.reddit.com/r/cancer/comments/en6djd/i_have_never_been_so_happy_being_told_no/")</f>
        <v/>
      </c>
      <c r="G7023" t="inlineStr">
        <is>
          <t>2020-01-11 03:30:15</t>
        </is>
      </c>
      <c r="H7023" t="inlineStr"/>
    </row>
    <row r="7024">
      <c r="A7024" t="inlineStr">
        <is>
          <t>en79sv</t>
        </is>
      </c>
      <c r="B7024" t="inlineStr">
        <is>
          <t>I hate living under someone else's roof after surgery</t>
        </is>
      </c>
      <c r="C7024" t="inlineStr">
        <is>
          <t>As soon as I get my drain removed for breast cancer (32 year old MALE)..... I'm going back to my apartment. After I got out of surgery the nurse said the surgeon could possibly sign off of me going back to living on my own once the drain was removed. 
My parents are driving me up the fucking wall.... Yes I know love, feelings, blah blah blah.... I'm tired of every fucking time I leave the bedroom they tear into me like a Jackel. I know how to take care of myself!!!!!!! I'm not a fucking child!!!!!! 
They may very well lose a son after this, I'm tired of helicopter parents. I am blocking their phone numbers after this.</t>
        </is>
      </c>
      <c r="D7024" t="n">
        <v>1</v>
      </c>
      <c r="E7024" t="n">
        <v>0</v>
      </c>
      <c r="F7024">
        <f>HYPERLINK("https://www.reddit.com/r/cancer/comments/en79sv/i_hate_living_under_someone_elses_roof_after/")</f>
        <v/>
      </c>
      <c r="G7024" t="inlineStr">
        <is>
          <t>2020-01-11 05:14:42</t>
        </is>
      </c>
      <c r="H7024" t="inlineStr"/>
    </row>
    <row r="7025">
      <c r="A7025" t="inlineStr">
        <is>
          <t>en9m2c</t>
        </is>
      </c>
      <c r="B7025" t="inlineStr">
        <is>
          <t>My mum has just been diagnosed and I’m terrified</t>
        </is>
      </c>
      <c r="C7025" t="inlineStr">
        <is>
          <t>It’s 3.30am and I’m terrified. 
I’m nearly 28 my mother is 69 and yesterday she was diagnosed with squamous cell carcinoma with perineural involvement. She got this thing she thought was a pimple before Christmas and it grew fast. We thought it was just a cyst. 
She’s being booked in for Mohs surgery ASAP but we are both scared sick, perineural involvement gives the tumour a much higher rate of spreading. I feel deep down that this is it. This is what happens to my mum. At first we both thought it seemed okay, these non melanoma skin cancers are meant to be okay, but the perineural aspect changes things a bit. 
I think I’m holding it together really well for her, she has been quite scared but both of us have been pretty normal, but now I’m in bed and I can’t imagine sleeping and I’m falling apart completely. 
I have no one else. No siblings,  not really any close family, we are both single. We both have good jobs, own a farm together and have a menagerie of animals. I’m an independent grown up person, but I’m also not at all, I really need my mum. 
I’m so scared. I’m sorry so many of you are going through so much worse but I don’t know how to talk to any of my friends about this and I’m so lost.</t>
        </is>
      </c>
      <c r="D7025" t="n">
        <v>1</v>
      </c>
      <c r="E7025" t="n">
        <v>8</v>
      </c>
      <c r="F7025">
        <f>HYPERLINK("https://www.reddit.com/r/cancer/comments/en9m2c/my_mum_has_just_been_diagnosed_and_im_terrified/")</f>
        <v/>
      </c>
      <c r="G7025" t="inlineStr">
        <is>
          <t>2020-01-11 08:38:07</t>
        </is>
      </c>
      <c r="H7025" t="inlineStr"/>
    </row>
    <row r="7026">
      <c r="A7026" t="inlineStr">
        <is>
          <t>enb1p7</t>
        </is>
      </c>
      <c r="B7026" t="inlineStr">
        <is>
          <t>My husband is on steroids and being cruel and hateful</t>
        </is>
      </c>
      <c r="C7026" t="inlineStr">
        <is>
          <t>I posted earlier this week about the sudden identification of a tumor in my husband’s sinus cavity and everything that has ensued. It’s too enflamed right now for them to get to, so they have sent him home on steroids to try to shrink the inflammation so they can do surgery and get a biopsy in a few weeks to see what the tumor is. 
I knew the steroids would make him grouchy but this has been really hard to deal with. Everything I say and do seems to set him off. I can’t count how many times I’ve been called a bitch, reminded that I don’t have medical degrees and so what the f am I doing questioning the doctors or trying to understand anything about what’s going on, to get out of his face and leave him alone, that I just want to control him and everything else. He has thrown things at me, told me to get the f out of HIS house, that he is locking the doors and putting me out, and what hurts worst of all, is how he has said I’m not at all supportive or helping him or loving at all and if he does get a positive cancer diagnosis he is going to shoot himself in the head so that he won’t have to deal with my anymore because having to go through this with me would be worse than killing him self. 
It hurt a lot that even in the hospital, when we were alone, he often sat in silence not speaking to me or would bark at me to stop staring at him  and go find something to read.  But when the young, pretty nurses came in, he switched into being all charm and charisma, flirting and giving attention and warmth and sometimes even blatantly staring at their butts when they walked out of the room. He isn’t gay but he even heavily flirted with an obviously gay male nurse to the point that the nurse was heavily flirting back and I was just sitting there like wondering, what the actual hell is happening here? 
And even though we have talked about it before and once after, he still hasn’t made any effort to change his will so that me and my girls (we are his third marriage) will be protected if something did happen to him. He has no life insurance, and everything is currently set up to go to his ex-wife and the house will be sold and the proceeds divided  to go to his four kids. So as it stands, my girls and I would get nothing and we would effectively be homeless and on top of all the grief, would have to find somewhere else to live or move out of state to go home to my parents. If it were me, I would be acting immediately to protect him and my children in any way that I can. But this? He isn’t concerned and is brushing it off as if it were as mundane as remembering to get his teeth cleaned. 
I don’t know what to do. I’m going to see if my school’s EAP program can get me some counseling immediately on Monday. My benefits at my job are going into effect this week, so I will have insurance and be able to get into some counseling. I don’t know what to do. I feel like I’m falling apart.</t>
        </is>
      </c>
      <c r="D7026" t="n">
        <v>1</v>
      </c>
      <c r="E7026" t="n">
        <v>19</v>
      </c>
      <c r="F7026">
        <f>HYPERLINK("https://www.reddit.com/r/cancer/comments/enb1p7/my_husband_is_on_steroids_and_being_cruel_and/")</f>
        <v/>
      </c>
      <c r="G7026" t="inlineStr">
        <is>
          <t>2020-01-11 10:24:45</t>
        </is>
      </c>
      <c r="H7026" t="inlineStr"/>
    </row>
    <row r="7027">
      <c r="A7027" t="inlineStr">
        <is>
          <t>enb98k</t>
        </is>
      </c>
      <c r="B7027" t="inlineStr">
        <is>
          <t>Mother in law (63) has serious cancer, started chemo. Father in law is in denial and has started drinking heavily.</t>
        </is>
      </c>
      <c r="C7027" t="inlineStr">
        <is>
          <t>He is in denial, and being very difficult, not wanting anyone in his house. 
My wife wants to get in and start helping out more but he is resisting anyone being involved. 
This is detrimental to the mother in law’s health.
He is a stubborn old man who refuses to accept reality or reach out for help in the form of therapy, etc.
Plus her brother in law is being difficult as well and the brother in law and father in law are both being rude and controlling again to the detriment of the mother in law.
What is your advice?</t>
        </is>
      </c>
      <c r="D7027" t="n">
        <v>1</v>
      </c>
      <c r="E7027" t="n">
        <v>1</v>
      </c>
      <c r="F7027">
        <f>HYPERLINK("https://www.reddit.com/r/cancer/comments/enb98k/mother_in_law_63_has_serious_cancer_started_chemo/")</f>
        <v/>
      </c>
      <c r="G7027" t="inlineStr">
        <is>
          <t>2020-01-11 10:40:16</t>
        </is>
      </c>
      <c r="H7027" t="inlineStr"/>
    </row>
    <row r="7028">
      <c r="A7028" t="inlineStr">
        <is>
          <t>enbmtu</t>
        </is>
      </c>
      <c r="B7028" t="inlineStr">
        <is>
          <t>Two months</t>
        </is>
      </c>
      <c r="C7028" t="inlineStr">
        <is>
          <t>Tomorrow its been two months since my mom left this world. 
I think it’s starting to actually set in that she’s gone. 
I still constantly want to call ya her and text her and hear her voice. 
Everything happened so fast. 
Miss you momma ❤️</t>
        </is>
      </c>
      <c r="D7028" t="n">
        <v>1</v>
      </c>
      <c r="E7028" t="n">
        <v>6</v>
      </c>
      <c r="F7028">
        <f>HYPERLINK("https://www.reddit.com/r/cancer/comments/enbmtu/two_months/")</f>
        <v/>
      </c>
      <c r="G7028" t="inlineStr">
        <is>
          <t>2020-01-11 11:07:23</t>
        </is>
      </c>
      <c r="H7028" t="inlineStr"/>
    </row>
    <row r="7029">
      <c r="A7029" t="inlineStr">
        <is>
          <t>enco65</t>
        </is>
      </c>
      <c r="B7029" t="inlineStr">
        <is>
          <t>My aunt is dying</t>
        </is>
      </c>
      <c r="C7029" t="inlineStr">
        <is>
          <t>In September she was diagnosed with Breast cancer. It slowly moved up, the cancer went to her neck and last week was diagnosed with brain cancer. She’s now in a coma and is being given hours to live. Im so lost. Last time I saw her was in April. How can I cope with this?</t>
        </is>
      </c>
      <c r="D7029" t="n">
        <v>1</v>
      </c>
      <c r="E7029" t="n">
        <v>6</v>
      </c>
      <c r="F7029">
        <f>HYPERLINK("https://www.reddit.com/r/cancer/comments/enco65/my_aunt_is_dying/")</f>
        <v/>
      </c>
      <c r="G7029" t="inlineStr">
        <is>
          <t>2020-01-11 12:22:29</t>
        </is>
      </c>
      <c r="H7029" t="inlineStr"/>
    </row>
    <row r="7030">
      <c r="A7030" t="inlineStr">
        <is>
          <t>endw0x</t>
        </is>
      </c>
      <c r="B7030" t="inlineStr">
        <is>
          <t>My dad has lymphoma ... what do I do?</t>
        </is>
      </c>
      <c r="C7030" t="inlineStr">
        <is>
          <t>My dad has lymphoma. We still don't know how severe or what type. I'm still in uni and my brother in high school. But I live like 3 hours from home. My mom wont stop crying and my brother has been having some mental health issues these past few months and this is not helping him, I've talked to my mom about getting him some therapist. Money is tight and even though we live in canada, and dont have to pay for that much doctors bills, my dad missing work means less money for everything. I want to get another job to help pay for stuff but i already have to pay for university and I need to start applying for jobs after I graduate. I dont know what to feel or what to do. I cant be here all the time to take care of my mom or check up on my brother, or help my dad. I've only told 2 friends and I cant seem to really talk much about it. Just that everything is fine. I'm trying to be strong for my mom and brother but I just want to be able to have a game plan, something I can do. 
This is my first time posting on reddit. I just want some feedback on what I can do to help.</t>
        </is>
      </c>
      <c r="D7030" t="n">
        <v>1</v>
      </c>
      <c r="E7030" t="n">
        <v>10</v>
      </c>
      <c r="F7030">
        <f>HYPERLINK("https://www.reddit.com/r/cancer/comments/endw0x/my_dad_has_lymphoma_what_do_i_do/")</f>
        <v/>
      </c>
      <c r="G7030" t="inlineStr">
        <is>
          <t>2020-01-11 13:50:47</t>
        </is>
      </c>
      <c r="H7030" t="inlineStr"/>
    </row>
    <row r="7031">
      <c r="A7031" t="inlineStr">
        <is>
          <t>enerxe</t>
        </is>
      </c>
      <c r="B7031" t="inlineStr">
        <is>
          <t>Fluid Buildup</t>
        </is>
      </c>
      <c r="C7031" t="inlineStr">
        <is>
          <t>My dad has been on a chemo pump and radiation for a month for stage IV rectal cancer. He’s had fluid building up in his abdomen for a while and just had it drained two days ago. After draining, it’s right back to where it was before it was drained. I should also mention that he just switched from chemo radiation on a pump to infusions and chemo pills. Should I be trying to prepare for the worst or is this something that’s manageable until his new chemo kicks in?</t>
        </is>
      </c>
      <c r="D7031" t="n">
        <v>1</v>
      </c>
      <c r="E7031" t="n">
        <v>0</v>
      </c>
      <c r="F7031">
        <f>HYPERLINK("https://www.reddit.com/r/cancer/comments/enerxe/fluid_buildup/")</f>
        <v/>
      </c>
      <c r="G7031" t="inlineStr">
        <is>
          <t>2020-01-11 14:54:13</t>
        </is>
      </c>
      <c r="H7031" t="inlineStr"/>
    </row>
    <row r="7032">
      <c r="A7032" t="inlineStr">
        <is>
          <t>enezb5</t>
        </is>
      </c>
      <c r="B7032" t="inlineStr">
        <is>
          <t>Tips on how to get my picky mom to eat and maybe gain weight?</t>
        </is>
      </c>
      <c r="C7032" t="inlineStr">
        <is>
          <t>My mom is likely going to need 4-to-5 months of chemo. The thing I worry about most is her appetite.
She's around 150 pounds. According to BMI measurements, she's 10-25 pounds overweight, but BMI isn't perfect. She looks skinny - not sickly skin, but just thinner then I've ever seen her - and her doctor has wanted her to gain 10 pounds.
Right now, she's not eating much. She usually gets pains when she eats and gets full easily. I hope the chemo helps that soon. She's been on chemo a few times before, but the side effects kill her appetite. She either doesn't feel like eating or everything tastes bad.
I've researched all I could on foods for chemo patients. I made a list of a whole bunch of stuff a few years ago, more than once. Bananas, cottage cheese, peanut butter, stews... She wouldn't pay any attention. She just wants to eat what she wants.
She hates Ensure and won't drink the stuff. I recently got a smoothie maker, so we've started making some. So far she just drinks banana smoothies and strawberry-and-banana smoothies. I hope she'll be able to even on her medicine.
I'm brought up the idea of trying medical marijuana or CBD to see if that helps her appetite, but she isn't interested in it.</t>
        </is>
      </c>
      <c r="D7032" t="n">
        <v>1</v>
      </c>
      <c r="E7032" t="n">
        <v>12</v>
      </c>
      <c r="F7032">
        <f>HYPERLINK("https://www.reddit.com/r/cancer/comments/enezb5/tips_on_how_to_get_my_picky_mom_to_eat_and_maybe/")</f>
        <v/>
      </c>
      <c r="G7032" t="inlineStr">
        <is>
          <t>2020-01-11 15:09:35</t>
        </is>
      </c>
      <c r="H7032" t="inlineStr"/>
    </row>
    <row r="7033">
      <c r="A7033" t="inlineStr">
        <is>
          <t>enfvwy</t>
        </is>
      </c>
      <c r="B7033" t="inlineStr">
        <is>
          <t>Understanding my pathology results</t>
        </is>
      </c>
      <c r="C7033" t="inlineStr">
        <is>
          <t>My final diagnosis from my LEEP procedure states: 
-Adenocarcinoma in situ 
-No evidence of invasive carcinoma
-Examined surgical resection margins negative for AIS
What does the last diagnosis mean “Examined surgical resection margins negative for AIS”??</t>
        </is>
      </c>
      <c r="D7033" t="n">
        <v>1</v>
      </c>
      <c r="E7033" t="n">
        <v>3</v>
      </c>
      <c r="F7033">
        <f>HYPERLINK("https://www.reddit.com/r/cancer/comments/enfvwy/understanding_my_pathology_results/")</f>
        <v/>
      </c>
      <c r="G7033" t="inlineStr">
        <is>
          <t>2020-01-11 16:18:28</t>
        </is>
      </c>
      <c r="H7033" t="inlineStr"/>
    </row>
    <row r="7034">
      <c r="A7034" t="inlineStr">
        <is>
          <t>enh4nw</t>
        </is>
      </c>
      <c r="B7034" t="inlineStr">
        <is>
          <t>RIP Dad</t>
        </is>
      </c>
      <c r="C7034" t="inlineStr">
        <is>
          <t>Rest in Peace, Dad. You fought AML for a nasty, bitter year. You were only in remission for three months before it came back with an ugly vengeance along with an infection in your lungs. But you went quickly and peacefully; within minutes of giving you your final medication and taking off your oxygen mask, you were gone. It was time for you to rest. I know wherever you are, you’re drinking champagne with your mother and watching over us all. 
I will always love you and carry you with me.</t>
        </is>
      </c>
      <c r="D7034" t="n">
        <v>1</v>
      </c>
      <c r="E7034" t="n">
        <v>21</v>
      </c>
      <c r="F7034">
        <f>HYPERLINK("https://www.reddit.com/r/cancer/comments/enh4nw/rip_dad/")</f>
        <v/>
      </c>
      <c r="G7034" t="inlineStr">
        <is>
          <t>2020-01-11 17:56:36</t>
        </is>
      </c>
      <c r="H7034" t="inlineStr"/>
    </row>
    <row r="7035">
      <c r="A7035" t="inlineStr">
        <is>
          <t>enhkl7</t>
        </is>
      </c>
      <c r="B7035" t="inlineStr">
        <is>
          <t>Lack of motivation</t>
        </is>
      </c>
      <c r="C7035" t="inlineStr">
        <is>
          <t>I’m 21 and last may I was diagnosed with a rare germ cell cancer in my lung. I did 30rounds of a very strong chemo 5days a week for 8hrs a day every 3 weeks. I completed all of my sessions and did the surgery to remove the large tumor and 2 smaller ones in my lung (which my surgeon thought went very well and was confident he got everything) but after a recent scan they have found a new spot on my other lung. I have a biopsy on Monday and my oncologist told me if it is the same cancer I will have to undergo a VERY aggressive form of chemo as well as a bone marrow and stem cell transplant? Since being diagnosed I don’t have much motivation to do anything anymore or I’m just too tired. Things that used to excite me no longer do and sometimes I don’t even look forward for the future. I’m scared this will just keep re appearing and basically my life is this now. I have faith in God but it is still very hard. I feel bad for my girlfriend who just stays home with me everyday. I know she is getting tired of this lifestyle as well. I also feel like a burden on my parents who have had to take on all my bills as I’m no longer able to work.. I don’t like to talk to my family about it. I just put on a smile so they never have to worry about me.</t>
        </is>
      </c>
      <c r="D7035" t="n">
        <v>1</v>
      </c>
      <c r="E7035" t="n">
        <v>9</v>
      </c>
      <c r="F7035">
        <f>HYPERLINK("https://www.reddit.com/r/cancer/comments/enhkl7/lack_of_motivation/")</f>
        <v/>
      </c>
      <c r="G7035" t="inlineStr">
        <is>
          <t>2020-01-11 18:33:47</t>
        </is>
      </c>
      <c r="H7035" t="inlineStr"/>
    </row>
    <row r="7036">
      <c r="A7036" t="inlineStr">
        <is>
          <t>enhw62</t>
        </is>
      </c>
      <c r="B7036" t="inlineStr">
        <is>
          <t>This is a vent post, but also serious, and also looking for advice about a second opinion.</t>
        </is>
      </c>
      <c r="C7036" t="inlineStr">
        <is>
          <t>I had/have? ovarian cancer. Stage 3c. Serous epithelial. It sucks, and my lifespan will probably be much shorter than I thought it would be. I am not ready to leave this world. I'm only 35. My ca-125, which is a tumor marker was 20,000 when I was diagnosed, last year almost exactly a year ago. It's supposed to be under 39. I had carboplantin and taxol, which are the main treatments for ovarian cancer. It brought my ca-125 down to about 125. I also am in a trial for Keytruda. I have scans occasionally. My Ca-125 was rising rapidly so I requested a PET scan. There were two spots of concern from 1.3-1.4 mm. One was near where my spleen was. The other was something illiac node. My doctor was concerned and tried to set me up for a biopsy, but the surgeon said it was too small to do so and that we'd have to watch and wait. That was exactly a month before my last scan because on Monday, I got off the plane and I was having lung pain. My doctor thought I was having another pulmonary embolism and sent me for a CT scan. On the CT scan, a new area (mediasteinal lymph node) lit up. It was 1.3 cm. Thank goodness I wasn't having a pulmonary embolism. To stay true my pattern of the spots being 1.3-1.4 cm and being of concern, the doctor informed me they would biopsy via a broncoscopy (going through lungs). Can you guess what happened next? I bet you are right. Right after it got scheduled, the doctor called me back and said that it wasn't possible to get the lymph node going through the lung and cancelled it.
So I have a pattern of my ca-125 rising each visit, finding 1.3-1.4 cm areas of concern, the doctor wanting a biopsy, and then being told the biopsy is impossible. We just have to watch and wait. But if my ca-125 is 2,000 it doesn't correlate to three small tumors, another gyn oncologist told me. I most likely have cancer and I feel like they are going to wait til I'm half dead to do something.
Thanks for listening to my TED Talk. I'm not sure what my question is but I needed to get it off my chest. I will be getting a second opinion.</t>
        </is>
      </c>
      <c r="D7036" t="n">
        <v>1</v>
      </c>
      <c r="E7036" t="n">
        <v>5</v>
      </c>
      <c r="F7036">
        <f>HYPERLINK("https://www.reddit.com/r/cancer/comments/enhw62/this_is_a_vent_post_but_also_serious_and_also/")</f>
        <v/>
      </c>
      <c r="G7036" t="inlineStr">
        <is>
          <t>2020-01-11 19:01:20</t>
        </is>
      </c>
      <c r="H7036" t="inlineStr"/>
    </row>
    <row r="7037">
      <c r="A7037" t="inlineStr">
        <is>
          <t>enicx3</t>
        </is>
      </c>
      <c r="B7037" t="inlineStr">
        <is>
          <t>New here and scared of what's to come.</t>
        </is>
      </c>
      <c r="C7037" t="inlineStr">
        <is>
          <t>Hello folks. I'm a college student taking care of my mother who has stage III ovarian cancer. In December she had a hysterectomy to remove 2 honeydew sized tumors and another one close to her kidney that was smaller, lucky enough there was no damage to her kidney.
Here's what scares us, the chemotherapy. I hear horror stories about that and have known close friends who have died of cancer. It's just the two of us and the thought of losing my mom scares me to death. She's all I got left in this world and my question is, after all tumors are removed is chemotherapy actually something to not worry about? Because they say it's still in her blood and she needs chemotherapy for 6 months. Please don't mince words folks.</t>
        </is>
      </c>
      <c r="D7037" t="n">
        <v>1</v>
      </c>
      <c r="E7037" t="n">
        <v>9</v>
      </c>
      <c r="F7037">
        <f>HYPERLINK("https://www.reddit.com/r/cancer/comments/enicx3/new_here_and_scared_of_whats_to_come/")</f>
        <v/>
      </c>
      <c r="G7037" t="inlineStr">
        <is>
          <t>2020-01-11 19:41:50</t>
        </is>
      </c>
      <c r="H7037" t="inlineStr"/>
    </row>
    <row r="7038">
      <c r="A7038" t="inlineStr">
        <is>
          <t>enifzu</t>
        </is>
      </c>
      <c r="B7038" t="inlineStr">
        <is>
          <t>What are your thoughts on the correlation between stress and cancer?</t>
        </is>
      </c>
      <c r="C7038" t="inlineStr">
        <is>
          <t>This post is intended for discussion purposes only. Although it hasn't been proved that stress is a major cause, there are studies that indicate a relation.</t>
        </is>
      </c>
      <c r="D7038" t="n">
        <v>1</v>
      </c>
      <c r="E7038" t="n">
        <v>3</v>
      </c>
      <c r="F7038">
        <f>HYPERLINK("https://www.reddit.com/r/cancer/comments/enifzu/what_are_your_thoughts_on_the_correlation_between/")</f>
        <v/>
      </c>
      <c r="G7038" t="inlineStr">
        <is>
          <t>2020-01-11 19:49:09</t>
        </is>
      </c>
      <c r="H7038" t="inlineStr"/>
    </row>
    <row r="7039">
      <c r="A7039" t="inlineStr">
        <is>
          <t>enla2e</t>
        </is>
      </c>
      <c r="B7039" t="inlineStr">
        <is>
          <t>Going to the doctors tomorrow to get my stitches out and see if I have melanoma</t>
        </is>
      </c>
      <c r="C7039" t="inlineStr">
        <is>
          <t>Is it weird that I feel like I do have it and I’m eerily content with it? I’ve been feeling like this mole I’ve had is in fact melanoma for months and I’m kinda like yeah okay! I’m also scared and feeling a lot of mixed emotions that I can’t comprehend concerning the fact that I could be diagnosed. I’m 18 and just started applying for colleges I feel like I’m just starting my life ya know</t>
        </is>
      </c>
      <c r="D7039" t="n">
        <v>1</v>
      </c>
      <c r="E7039" t="n">
        <v>0</v>
      </c>
      <c r="F7039">
        <f>HYPERLINK("https://www.reddit.com/r/cancer/comments/enla2e/going_to_the_doctors_tomorrow_to_get_my_stitches/")</f>
        <v/>
      </c>
      <c r="G7039" t="inlineStr">
        <is>
          <t>2020-01-12 00:56:05</t>
        </is>
      </c>
      <c r="H7039" t="inlineStr"/>
    </row>
    <row r="7040">
      <c r="A7040" t="inlineStr">
        <is>
          <t>enlruh</t>
        </is>
      </c>
      <c r="B7040" t="inlineStr">
        <is>
          <t>Looking for guidance on being around for my dad.</t>
        </is>
      </c>
      <c r="C7040" t="inlineStr">
        <is>
          <t>My dad has lung cancer and has spent the last 3 weeks fighting a *very* nasty infection. He's beat the infection but the cancer has spread - he's been left extremely weak but he's home now. We're all fairly sure that he's nearing the end of his life, but we've set up a hospital bed in our living room and he's very comfortable here. He's able to eat, talk, think and is quite positive, but physically he's very incapable of doing much. 
I'm currently in my parents' house in my hometown, but I live in London which is about 2 hours away by train. My work are fairly flexible with me working from home but deadlines and events are a big part of my job and there are a few I've been really excited about coming up, and I work as part of a very small team. I also have a girlfriend, a band, no friends here in my hometown, a whole life that is on pause. 
My question is this, I've been here for nearly a month and now my dad is now home, should I go back to London and just come down every few days? My plan was to go up for the next 4/5 days then come back down at the weekend. Or should I stay down here for the foreseeable future? Obviously if anything happens I can be back within a couple of hours, and he seems relatively stable. Will we know when his passing is imminent? If anyone has had similar experiences I would love to know some thoughts.   
Sorry for the long ramblings. Thank you.</t>
        </is>
      </c>
      <c r="D7040" t="n">
        <v>1</v>
      </c>
      <c r="E7040" t="n">
        <v>5</v>
      </c>
      <c r="F7040">
        <f>HYPERLINK("https://www.reddit.com/r/cancer/comments/enlruh/looking_for_guidance_on_being_around_for_my_dad/")</f>
        <v/>
      </c>
      <c r="G7040" t="inlineStr">
        <is>
          <t>2020-01-12 02:02:20</t>
        </is>
      </c>
      <c r="H7040" t="inlineStr"/>
    </row>
    <row r="7041">
      <c r="A7041" t="inlineStr">
        <is>
          <t>enml6w</t>
        </is>
      </c>
      <c r="B7041" t="inlineStr">
        <is>
          <t>My face is very weirdly puffy and it scares me</t>
        </is>
      </c>
      <c r="C7041" t="inlineStr">
        <is>
          <t>Hey everyone it’s my first post here 
I have been diagnosed with Hodgkin’s syndrom last month and I’m finishing my first round of treatment (injections everyday for five days and pills) 
I have a lot of the expected secondary effects like nausea, headaches, dizziness and constipation but this morning when I woke up I was shocked to see that my face is disgustingly swollen, like I just got bitten by a bee. It’s very unsettling and scary because my face is usually kind of bony and now I just look obese (I used to be obese and this brings me very bad memories) 
I wanted to know if any one has ever been in this case because I’m very scared to go out now that I’m almost unrecognizable. I’m afraid of how my friends will react. Does any one know if it’s linked to the treatment ? 
Thanks in advance and sorry for my bad English</t>
        </is>
      </c>
      <c r="D7041" t="n">
        <v>1</v>
      </c>
      <c r="E7041" t="n">
        <v>11</v>
      </c>
      <c r="F7041">
        <f>HYPERLINK("https://www.reddit.com/r/cancer/comments/enml6w/my_face_is_very_weirdly_puffy_and_it_scares_me/")</f>
        <v/>
      </c>
      <c r="G7041" t="inlineStr">
        <is>
          <t>2020-01-12 03:51:03</t>
        </is>
      </c>
      <c r="H7041" t="inlineStr"/>
    </row>
    <row r="7042">
      <c r="A7042" t="inlineStr">
        <is>
          <t>enmmjv</t>
        </is>
      </c>
      <c r="B7042" t="inlineStr">
        <is>
          <t>Losing weight everyday single day</t>
        </is>
      </c>
      <c r="C7042" t="inlineStr">
        <is>
          <t>So a little background of my cancer history: 
October 2015: Diagnosed with hodgkin's lymphoma. Symptoms include; weight loss, night sweats and visible node in my neck. Had to undergo 6 months chemotherapy. 
May 2015: Relapse. Had to undergo more chemo, a stem cell transplant, maintenance treatment. 
Has been in remission since 2016. Did some bloodwork on October 2019 and everything was fine. I was weighting approx. 127 pounds on September 2019 which also was the start year of University. I'm under a lot of stress. Beside I stopped eating candy(used to eat in big amounts) due to the negative effects on my dental health. 
Now, January 2020 I am weighting 119 pounds. And it seems like I'm losing weight every single day. I know stress can contribute to my weight loss. But is it possible to lose so much weigh in such amount of time without even trying. I'm not eating less or more. 
I do not have any visible nodes or symptoms that could indicate cancer. Beside I feel fine and not sick at all. 
But my rapid weight loss is making me lose my mind. I want to call my doctor, but it might not sound worthy enough to bring up?</t>
        </is>
      </c>
      <c r="D7042" t="n">
        <v>1</v>
      </c>
      <c r="E7042" t="n">
        <v>11</v>
      </c>
      <c r="F7042">
        <f>HYPERLINK("https://www.reddit.com/r/cancer/comments/enmmjv/losing_weight_everyday_single_day/")</f>
        <v/>
      </c>
      <c r="G7042" t="inlineStr">
        <is>
          <t>2020-01-12 03:55:55</t>
        </is>
      </c>
      <c r="H7042" t="inlineStr"/>
    </row>
    <row r="7043">
      <c r="A7043" t="inlineStr">
        <is>
          <t>enrq4m</t>
        </is>
      </c>
      <c r="B7043" t="inlineStr">
        <is>
          <t>Child care resources?</t>
        </is>
      </c>
      <c r="C7043" t="inlineStr">
        <is>
          <t>Looking at 12 hour chemo days (again). One day every three weeks. Family and friends are not available. Local child care services are full time daycare, do not take walk-in's, do not work for the hours needed, etc.
People on Care.com are looking for full time nanny jobs, or they are looking for something that fits their freetime. Nobody wants a 5am to 5pm or 6am to 6pm.
Any ideas?</t>
        </is>
      </c>
      <c r="D7043" t="n">
        <v>1</v>
      </c>
      <c r="E7043" t="n">
        <v>6</v>
      </c>
      <c r="F7043">
        <f>HYPERLINK("https://www.reddit.com/r/cancer/comments/enrq4m/child_care_resources/")</f>
        <v/>
      </c>
      <c r="G7043" t="inlineStr">
        <is>
          <t>2020-01-12 11:06:55</t>
        </is>
      </c>
      <c r="H7043" t="inlineStr"/>
    </row>
    <row r="7044">
      <c r="A7044" t="inlineStr">
        <is>
          <t>entlhp</t>
        </is>
      </c>
      <c r="B7044" t="inlineStr">
        <is>
          <t>Fuck nut being able to recover alone after surgery</t>
        </is>
      </c>
      <c r="C7044" t="inlineStr">
        <is>
          <t>EVERY FUCKING HOUR ATLEAST ONCE MY BEDROOM DOOR IS KNOCKED ON
Telling me how to shower, how to get dressed, how to do anything... AS OF I'M A FUCKING CHILD AND LOST ALL COMMON SENSE!!!!
LEAVE ME THE FUCK ALONE, I WANT TO BE A FUCKING GHOST, FUCK OFF!!!! JUST BECAUSE YOU "THINK" YOU'D WANT WARM, HAPPY, SUPPORT AND WANT YOUR HANDS HELD DOES NOT MEAN I WANT IT.
LEAVE ME ALONE, ONCE MY DRAIN COMES OUT (LOOKS LIKE IT'S TUESDAY) I AM FUCKING LEAVING AND GOING BACK TO MY OWN APARTMENT AWAY FROM PARENTS!!!!!!!</t>
        </is>
      </c>
      <c r="D7044" t="n">
        <v>1</v>
      </c>
      <c r="E7044" t="n">
        <v>0</v>
      </c>
      <c r="F7044">
        <f>HYPERLINK("https://www.reddit.com/r/cancer/comments/entlhp/fuck_nut_being_able_to_recover_alone_after_surgery/")</f>
        <v/>
      </c>
      <c r="G7044" t="inlineStr">
        <is>
          <t>2020-01-12 13:16:16</t>
        </is>
      </c>
      <c r="H7044" t="inlineStr"/>
    </row>
    <row r="7045">
      <c r="A7045" t="inlineStr">
        <is>
          <t>entmjx</t>
        </is>
      </c>
      <c r="B7045" t="inlineStr">
        <is>
          <t>Fuck not being able to recover alone after surgery!</t>
        </is>
      </c>
      <c r="C7045" t="inlineStr">
        <is>
          <t>EVERY FUCKING HOUR ATLEAST ONCE MY BEDROOM DOOR IS KNOCKED On... I'M 32 YEARS OLD I REFUSE TO GIVE UP MY INDEPENDENCE I AM OUT IN 2 DAYS!!!!! 
Telling me how to shower, how to get dressed, how to do anything... AS OF I'M A FUCKING CHILD AND LOST ALL COMMON SENSE!!!! IS A FUCKING INSULT 
LEAVE ME THE FUCK ALONE, I WANT TO BE A FUCKING GHOST, FUCK OFF!!!! JUST BECAUSE YOU "THINK" YOU'D WANT WARM, HAPPY, SUPPORT AND WANT YOUR HANDS HELD DOES NOT MEAN I WANT IT.
LEAVE ME ALONE, ONCE MY DRAIN COMES OUT (LOOKS LIKE IT'S TUESDAY) I AM FUCKING LEAVING AND GOING BACK TO MY OWN APARTMENT AWAY FROM PARENTS!!!!!!!</t>
        </is>
      </c>
      <c r="D7045" t="n">
        <v>1</v>
      </c>
      <c r="E7045" t="n">
        <v>39</v>
      </c>
      <c r="F7045">
        <f>HYPERLINK("https://www.reddit.com/r/cancer/comments/entmjx/fuck_not_being_able_to_recover_alone_after_surgery/")</f>
        <v/>
      </c>
      <c r="G7045" t="inlineStr">
        <is>
          <t>2020-01-12 13:18:12</t>
        </is>
      </c>
      <c r="H7045" t="inlineStr"/>
    </row>
    <row r="7046">
      <c r="A7046" t="inlineStr">
        <is>
          <t>enuvn2</t>
        </is>
      </c>
      <c r="B7046" t="inlineStr">
        <is>
          <t>Your thoughts on offering support to friend in final stages... Would this be well-received?</t>
        </is>
      </c>
      <c r="C7046" t="inlineStr">
        <is>
          <t>TLDR:
My BFF's husband is in end stages of cancer, with 3-5 weeks.  Do I offer to help him with any time is closure he might want to prepare for his wife and 3 sons?
By BFF's husband has been battling for 5 years and his time to rest is near.  Hospice starts tomorrow.  
I am not super close to him,  just a "spouse of a best friend" kind of relationship. If that makes sense. But I do tell him "I love you, man" etc. whenever I say goodbyes after a visit, and he always says the same or tells his wife to tell me. So.. kinda close? 
I've been trying to put myself in his position to see if there's anything I might be able to do for him - he doesn't have any close friends and he's not close to his parents.  He &amp;amp; his wife have been together for 17 years and they have 3 sons.  He has a hard time expressing his feelings, and I know his relationship with his 17 y.o. has distanced a lot in the last couple years.  
If I were in his position, I would want to leave something personal behind for my partner and each of our kids.  He isn't a planner, and he's been in denial until just a month ago.  He has 3-5 weeks left. And he's scared.  I don't think he has anyone to talk to about being afraid/to process right now.  My friend told me he was upset and told her he didn't want to burden her with his fears or any negativity now that there's so little time left. She is worried that he won't know how to say "goodbye" to their sons, or won't think of leaving a letter or token for them until it's too late. 
Would it be ok to offer help with any final preparations he may have? Or just to offer to listen if he needs to talk?  I don't know how I would approach him with this, especially about leaving something for his boys....  I guess if it feels awkward for me it would probably be worse for him.   I also don't want to upset him by suggesting he prepare something personal for the boys/his wife - in case he isn't ready to face that or simply didn't want to.  
Should I let my friend decide, and have her let him know I'm available if I can help with anything? Should I reach out to him directly?
I plan to somehow bring this up with her when we go to lunch tomorrow. 
I can't thank you enough for your input.</t>
        </is>
      </c>
      <c r="D7046" t="n">
        <v>1</v>
      </c>
      <c r="E7046" t="n">
        <v>5</v>
      </c>
      <c r="F7046">
        <f>HYPERLINK("https://www.reddit.com/r/cancer/comments/enuvn2/your_thoughts_on_offering_support_to_friend_in/")</f>
        <v/>
      </c>
      <c r="G7046" t="inlineStr">
        <is>
          <t>2020-01-12 14:45:11</t>
        </is>
      </c>
      <c r="H7046" t="inlineStr"/>
    </row>
    <row r="7047">
      <c r="A7047" t="inlineStr">
        <is>
          <t>enuyr8</t>
        </is>
      </c>
      <c r="B7047" t="inlineStr">
        <is>
          <t>What now?</t>
        </is>
      </c>
      <c r="C7047" t="inlineStr">
        <is>
          <t>37m Just finishing up a year long battle with stage 3 testicular cancer. I did VIP chemo for 4 cycles and had an RPLND surgery in late October.  I'm just starting to feel like myself again and am not sure what to do. I don't have a SO or a job to go back to. I'm financial stable so my options are open in that regard. I do want to get into real estate eventually, but for the next year or so I want to do something exciting. It's been a long boring year and I'm looking for a therapeutic adventure to awaken my soul!  any advice or suggestions would be appreciated.</t>
        </is>
      </c>
      <c r="D7047" t="n">
        <v>1</v>
      </c>
      <c r="E7047" t="n">
        <v>12</v>
      </c>
      <c r="F7047">
        <f>HYPERLINK("https://www.reddit.com/r/cancer/comments/enuyr8/what_now/")</f>
        <v/>
      </c>
      <c r="G7047" t="inlineStr">
        <is>
          <t>2020-01-12 14:51:26</t>
        </is>
      </c>
      <c r="H7047" t="inlineStr"/>
    </row>
    <row r="7048">
      <c r="A7048" t="inlineStr">
        <is>
          <t>env58z</t>
        </is>
      </c>
      <c r="B7048" t="inlineStr">
        <is>
          <t>Doctor Refuses to Acknowledge Dad Needs Palliative or Hospice Care [Question]</t>
        </is>
      </c>
      <c r="C7048" t="inlineStr">
        <is>
          <t>My dad is currently in the hospital with stage IV renal cell carcinoma with brain metastasis, bone metastasis and fluid on his lung that is related to his cancer. He also has severe malnutrition, dehydration and is unable to walk. He was on a chemo pill, went through multiple rounds of radiation and had one Keytruda immunotherapy before being admitted to the hospital with shortness of breath related to the fluid on his lung. His oncologist visited him in the hospital and recommended that he be moved to a rehabilitation hospital so that he can “get better before we restart treatment”. I’m optimistic but I also realize that with his advanced cancer he will probably not get better enough to start treatment. I just want him to have the best quality of life possible and I have requested palliative care multiple times but the doctor has balked at the idea each time. It feels like the doctor refuses to acknowledge reality and I don’t want him to die in suffering when palliative and hospice care is available. Does anyone have any suggestions on how to approach this again with his oncologist?</t>
        </is>
      </c>
      <c r="D7048" t="n">
        <v>1</v>
      </c>
      <c r="E7048" t="n">
        <v>12</v>
      </c>
      <c r="F7048">
        <f>HYPERLINK("https://www.reddit.com/r/cancer/comments/env58z/doctor_refuses_to_acknowledge_dad_needs/")</f>
        <v/>
      </c>
      <c r="G7048" t="inlineStr">
        <is>
          <t>2020-01-12 15:04:19</t>
        </is>
      </c>
      <c r="H7048" t="inlineStr"/>
    </row>
    <row r="7049">
      <c r="A7049" t="inlineStr">
        <is>
          <t>enwgib</t>
        </is>
      </c>
      <c r="B7049" t="inlineStr">
        <is>
          <t>Veins after chemo</t>
        </is>
      </c>
      <c r="C7049" t="inlineStr">
        <is>
          <t>Over the summer I did 7 weeks of cisplatin intravenously in my left arm. Afterwards, my doctor decided I needed another 3 months of at a higher dose so I had a port put in.
I’m recovered now and getting back into lifting but as I gain mass, but my arms look funky because I have a big thick vein in my right arm and nothing in my left. Will my left vein eventually recover or am I stuck like this? It would be a shame if that were the case seeing as I had the port put in eventually anyway.</t>
        </is>
      </c>
      <c r="D7049" t="n">
        <v>1</v>
      </c>
      <c r="E7049" t="n">
        <v>5</v>
      </c>
      <c r="F7049">
        <f>HYPERLINK("https://www.reddit.com/r/cancer/comments/enwgib/veins_after_chemo/")</f>
        <v/>
      </c>
      <c r="G7049" t="inlineStr">
        <is>
          <t>2020-01-12 16:44:47</t>
        </is>
      </c>
      <c r="H7049" t="inlineStr"/>
    </row>
    <row r="7050">
      <c r="A7050" t="inlineStr">
        <is>
          <t>enwx1h</t>
        </is>
      </c>
      <c r="B7050" t="inlineStr">
        <is>
          <t>Doctors looking for liver cancer. Really scared</t>
        </is>
      </c>
      <c r="C7050" t="inlineStr">
        <is>
          <t>So I’m 23F and I work In a hospital. After a routine tonsillectomy I two major post op haemorrages than ended up with me being in hospital for five days.  I was told there was some irregularities in my blood but was also told I’d be sent home with no further follow up. 
I got a letter through the other day that informed me I was getting sent for an ultrasound of my abdomen. When I called up my consultant for advice they were very non specific on the reasons just that because of my blood results they wanted to send me for a scan of my liver. 
I have a friend who works in ultrasound and they were able to view my request which was basically along the lines of ‘to rule out liver malignancy’ 
From what I’ve been told I had raised alkaline phosphates in my blood as well as irregular APTT (which I’m not 100%) sure what it is. 
When I’ve been googling and I know I’m wrong for doing it it does come back to non specific symptoms I have had 
I’ve lost three stone really quickly, although I was trying too. I get shoulder pain in my right side which can often be excruciating which I put down to having a manual job. As well pain in my right abdomen. 
Does anyone with any knowledge of this know how likely it is that there will be a cancer? I feel like I’m spiralling and I’m terrifying myself of the possibilities.</t>
        </is>
      </c>
      <c r="D7050" t="n">
        <v>1</v>
      </c>
      <c r="E7050" t="n">
        <v>0</v>
      </c>
      <c r="F7050">
        <f>HYPERLINK("https://www.reddit.com/r/cancer/comments/enwx1h/doctors_looking_for_liver_cancer_really_scared/")</f>
        <v/>
      </c>
      <c r="G7050" t="inlineStr">
        <is>
          <t>2020-01-12 17:21:43</t>
        </is>
      </c>
      <c r="H7050" t="inlineStr"/>
    </row>
    <row r="7051">
      <c r="A7051" t="inlineStr">
        <is>
          <t>enyx8k</t>
        </is>
      </c>
      <c r="B7051" t="inlineStr">
        <is>
          <t>How do I know if I have testicular cancer</t>
        </is>
      </c>
      <c r="C7051" t="inlineStr">
        <is>
          <t>I don’t know if I’m violating rule number 4 with this, I just want to know.</t>
        </is>
      </c>
      <c r="D7051" t="n">
        <v>1</v>
      </c>
      <c r="E7051" t="n">
        <v>3</v>
      </c>
      <c r="F7051">
        <f>HYPERLINK("https://www.reddit.com/r/cancer/comments/enyx8k/how_do_i_know_if_i_have_testicular_cancer/")</f>
        <v/>
      </c>
      <c r="G7051" t="inlineStr">
        <is>
          <t>2020-01-12 20:07:18</t>
        </is>
      </c>
      <c r="H7051" t="inlineStr"/>
    </row>
    <row r="7052">
      <c r="A7052" t="inlineStr">
        <is>
          <t>enzpbs</t>
        </is>
      </c>
      <c r="B7052" t="inlineStr">
        <is>
          <t>When did your hair return to normal?</t>
        </is>
      </c>
      <c r="C7052" t="inlineStr">
        <is>
          <t>Just curious and want to hear a few different stories.</t>
        </is>
      </c>
      <c r="D7052" t="n">
        <v>1</v>
      </c>
      <c r="E7052" t="n">
        <v>14</v>
      </c>
      <c r="F7052">
        <f>HYPERLINK("https://www.reddit.com/r/cancer/comments/enzpbs/when_did_your_hair_return_to_normal/")</f>
        <v/>
      </c>
      <c r="G7052" t="inlineStr">
        <is>
          <t>2020-01-12 21:19:44</t>
        </is>
      </c>
      <c r="H7052" t="inlineStr"/>
    </row>
    <row r="7053">
      <c r="A7053" t="inlineStr">
        <is>
          <t>enztfg</t>
        </is>
      </c>
      <c r="B7053" t="inlineStr">
        <is>
          <t>I have been diagnosed with Neurofibromatosis. If there is any information about treating this please reply.</t>
        </is>
      </c>
      <c r="C7053" t="inlineStr">
        <is>
          <t>I had a benign tumor removed from right mandibular region in October 2017. 6 months ago, I noticed my Adam's Apple has gotten bigger compared to last year. So took 11 Methotrexate cycles. I visited my Oncologist and Chemotherapy Expert. According to them, that neuro fibromatosis has grown on my thyroid cannisters. .My oncologist says "can't do surgery as it has spread beyond removal". My Chemotherapy Doctor has advised Methotrexate cycles.
I don't know what to do. It's a very very rare disease and my doctors haven't seen such case in their careers. It is extremely frightening to know that there is no established method to treat this. I May lose the job again if I decide to take Chemotherapy. I am thinking of killing myself.
My info: 27 Year Indian Male,lives in India, never smoked, never drank in my life, working as Process Engineer.</t>
        </is>
      </c>
      <c r="D7053" t="n">
        <v>1</v>
      </c>
      <c r="E7053" t="n">
        <v>10</v>
      </c>
      <c r="F7053">
        <f>HYPERLINK("https://www.reddit.com/r/cancer/comments/enztfg/i_have_been_diagnosed_with_neurofibromatosis_if/")</f>
        <v/>
      </c>
      <c r="G7053" t="inlineStr">
        <is>
          <t>2020-01-12 21:30:50</t>
        </is>
      </c>
      <c r="H7053" t="inlineStr"/>
    </row>
    <row r="7054">
      <c r="A7054" t="inlineStr">
        <is>
          <t>eo0abs</t>
        </is>
      </c>
      <c r="B7054" t="inlineStr">
        <is>
          <t>Treatments are over!</t>
        </is>
      </c>
      <c r="C7054" t="inlineStr">
        <is>
          <t>My wife finished her last radiotherapy treatment the 30th of Dec.  She was doing double treatments towards the end because we feared it would give insurance an excuse to kick the claim at the start of the new year.   So far so good, no more nausea but still tired.  Follow up is in April, keeping fingers crossed.</t>
        </is>
      </c>
      <c r="D7054" t="n">
        <v>1</v>
      </c>
      <c r="E7054" t="n">
        <v>5</v>
      </c>
      <c r="F7054">
        <f>HYPERLINK("https://www.reddit.com/r/cancer/comments/eo0abs/treatments_are_over/")</f>
        <v/>
      </c>
      <c r="G7054" t="inlineStr">
        <is>
          <t>2020-01-12 22:16:26</t>
        </is>
      </c>
      <c r="H7054" t="inlineStr"/>
    </row>
    <row r="7055">
      <c r="A7055" t="inlineStr">
        <is>
          <t>eo15ra</t>
        </is>
      </c>
      <c r="B7055" t="inlineStr">
        <is>
          <t>Please tell me if I’m overthinking</t>
        </is>
      </c>
      <c r="C7055" t="inlineStr">
        <is>
          <t>Hi everyone, I (19F) finished 6 rounds of inpatient R-Epoch on October 30th, 2019. I have had a PET scan that came back with mild activity. Got a referral to a radiation oncologist who I just saw this past week. He suggested we wait a couple months and re-scan. After my appointment, I was taking a shower and noticed a fingertip size bump in my groin. Now, I had one swollen lymph node at diagnoses but it was the size of a golf ball so, I’m not quite sure if tenderness when pressing the lymph node is usual. I guess I’m just wondering, has anyone else had a swollen lymph node this close after finishing chemo?</t>
        </is>
      </c>
      <c r="D7055" t="n">
        <v>1</v>
      </c>
      <c r="E7055" t="n">
        <v>4</v>
      </c>
      <c r="F7055">
        <f>HYPERLINK("https://www.reddit.com/r/cancer/comments/eo15ra/please_tell_me_if_im_overthinking/")</f>
        <v/>
      </c>
      <c r="G7055" t="inlineStr">
        <is>
          <t>2020-01-12 23:54:18</t>
        </is>
      </c>
      <c r="H7055" t="inlineStr"/>
    </row>
    <row r="7056">
      <c r="A7056" t="inlineStr">
        <is>
          <t>eo1ra3</t>
        </is>
      </c>
      <c r="B7056" t="inlineStr">
        <is>
          <t>How do you deal with the strong emotions</t>
        </is>
      </c>
      <c r="C7056" t="inlineStr">
        <is>
          <t>I’m watching my mom slide downhill and I don’t know how to get a grip. Sometimes I’m so wracked with grief and panic I can’t catch my breath, other times I get worried I’m going to physically harm someone. My job requires me to respond to a lot of different people and I feel inches away from completely flying off the handle half the time, other times I just want to walk away and lock myself in the bathroom. This just feels so impossible</t>
        </is>
      </c>
      <c r="D7056" t="n">
        <v>1</v>
      </c>
      <c r="E7056" t="n">
        <v>9</v>
      </c>
      <c r="F7056">
        <f>HYPERLINK("https://www.reddit.com/r/cancer/comments/eo1ra3/how_do_you_deal_with_the_strong_emotions/")</f>
        <v/>
      </c>
      <c r="G7056" t="inlineStr">
        <is>
          <t>2020-01-13 01:08:14</t>
        </is>
      </c>
      <c r="H7056" t="inlineStr"/>
    </row>
    <row r="7057">
      <c r="A7057" t="inlineStr">
        <is>
          <t>eo1t8n</t>
        </is>
      </c>
      <c r="B7057" t="inlineStr">
        <is>
          <t>Anybody have a good cannabis oil they can recommend for chemo side effects?</t>
        </is>
      </c>
      <c r="C7057" t="inlineStr">
        <is>
          <t>Been having a rough time sleeping/eating since I started chemo and was wondering if anybody here used cannabis oil to offset the side effects.
Never tried it before and there seems to be so many options so any recommendations would be appreciated!</t>
        </is>
      </c>
      <c r="D7057" t="n">
        <v>1</v>
      </c>
      <c r="E7057" t="n">
        <v>4</v>
      </c>
      <c r="F7057">
        <f>HYPERLINK("https://www.reddit.com/r/cancer/comments/eo1t8n/anybody_have_a_good_cannabis_oil_they_can/")</f>
        <v/>
      </c>
      <c r="G7057" t="inlineStr">
        <is>
          <t>2020-01-13 01:14:57</t>
        </is>
      </c>
      <c r="H7057" t="inlineStr"/>
    </row>
    <row r="7058">
      <c r="A7058" t="inlineStr">
        <is>
          <t>eo4xx5</t>
        </is>
      </c>
      <c r="B7058" t="inlineStr">
        <is>
          <t>HELLO</t>
        </is>
      </c>
      <c r="C7058" t="inlineStr">
        <is>
          <t>hello fellow people</t>
        </is>
      </c>
      <c r="D7058" t="n">
        <v>1</v>
      </c>
      <c r="E7058" t="n">
        <v>1</v>
      </c>
      <c r="F7058">
        <f>HYPERLINK("https://www.reddit.com/r/cancer/comments/eo4xx5/hello/")</f>
        <v/>
      </c>
      <c r="G7058" t="inlineStr">
        <is>
          <t>2020-01-13 06:39:43</t>
        </is>
      </c>
      <c r="H7058" t="inlineStr"/>
    </row>
    <row r="7059">
      <c r="A7059" t="inlineStr">
        <is>
          <t>eo61e4</t>
        </is>
      </c>
      <c r="B7059" t="inlineStr">
        <is>
          <t>Multiple coworkers with cancer. Could it be the building?</t>
        </is>
      </c>
      <c r="C7059" t="inlineStr">
        <is>
          <t>Hello,
I was hoping to ask what people thought of the possibility that an office building’s environment could be the cause of a recent number of cancer diagnosis’s and 2 cancer-related deaths. So far, we have seen 6 of approximately 20 employees get diagnosed with cancer in the past 2 years and 2 of them died because of it. There have been 3 cases of colon cancer (2 died), 1 case of lung cancer, 1 Hodgkin’s Lymphoma, and 1 general sarcoma (no additional details). All of the employees are starting to be concerned that that building (built late 1990’s) could be causing this. We all do desk jobs and don’t use any special/chemical supplies. I am not sure what to think here and wanted to ask to see if others have had similar experiences and what could be done to address it?</t>
        </is>
      </c>
      <c r="D7059" t="n">
        <v>1</v>
      </c>
      <c r="E7059" t="n">
        <v>13</v>
      </c>
      <c r="F7059">
        <f>HYPERLINK("https://www.reddit.com/r/cancer/comments/eo61e4/multiple_coworkers_with_cancer_could_it_be_the/")</f>
        <v/>
      </c>
      <c r="G7059" t="inlineStr">
        <is>
          <t>2020-01-13 08:04:06</t>
        </is>
      </c>
      <c r="H7059" t="inlineStr"/>
    </row>
    <row r="7060">
      <c r="A7060" t="inlineStr">
        <is>
          <t>eo67om</t>
        </is>
      </c>
      <c r="B7060" t="inlineStr">
        <is>
          <t>Surgery opinion</t>
        </is>
      </c>
      <c r="C7060" t="inlineStr">
        <is>
          <t>Currently under chemo, it was stage 4 from PET scan, just took CT scan after 4 cycle chem, and ct not show other organ mets, Now would like to look for other doctor's opinion, what doctor should see, a  Surgeon or oncologist, Specialty?</t>
        </is>
      </c>
      <c r="D7060" t="n">
        <v>1</v>
      </c>
      <c r="E7060" t="n">
        <v>3</v>
      </c>
      <c r="F7060">
        <f>HYPERLINK("https://www.reddit.com/r/cancer/comments/eo67om/surgery_opinion/")</f>
        <v/>
      </c>
      <c r="G7060" t="inlineStr">
        <is>
          <t>2020-01-13 08:16:32</t>
        </is>
      </c>
      <c r="H7060" t="inlineStr"/>
    </row>
    <row r="7061">
      <c r="A7061" t="inlineStr">
        <is>
          <t>eo7lc4</t>
        </is>
      </c>
      <c r="B7061" t="inlineStr">
        <is>
          <t>I finally have answers as to what took my mom last year</t>
        </is>
      </c>
      <c r="C7061" t="inlineStr">
        <is>
          <t>My mom died shortly after being diagnosed with cancer last year. She was so seemingly healthy...she took good care of herself. Ate right. Exercised. Actively avoided things that could be a problem.
She kept having this throat infection and ended up in the ER while she was on vacation. After a quick Xray the doctor told her she had metastasized stage 4 lung cancer which was completely shocking...my mom never smoked or anything close to it. Two and half weeks later she was gone. 
The entire time she was in the ICU that couldn't figure out what was wrong with her. They knew she had nodules in her lungs and she had managed to get a biopsy on her thyroid that indicated some kind of cancer but they couldn't really determine the exact type.
...they had multiple infectious disease doctors visit her because they thought it was some sort of bacterial or fungal infection because her symptoms and progressions were really bizarre. 
She died and the ICU doctor listed cause of death as sepsis but we still had so many questions. My dad had her body sent to a special learning hospital north of us. It's been about 5 months since then and we finally got the report back today...
Anaplastic thyroid cancer...one of the more rare and aggressive types of thyroid cancer.
I guess it gives me some kind of solace that it wasn't something necessarily that she did to herself...and it gives me a little bit of peace that we did just about everything we could for her...I was so worried for a long time because I thought maybe there was more we could have done to get her better care or something.
...but it sounds like this was a losing fight to begin with. I don't know if that makes me feel better or worse. I feel bad my mom had to go through with it...at least now I know what happened...it's been so hard not knowing exactly why she died. It's at least a tiny sliver of closure.</t>
        </is>
      </c>
      <c r="D7061" t="n">
        <v>1</v>
      </c>
      <c r="E7061" t="n">
        <v>29</v>
      </c>
      <c r="F7061">
        <f>HYPERLINK("https://www.reddit.com/r/cancer/comments/eo7lc4/i_finally_have_answers_as_to_what_took_my_mom/")</f>
        <v/>
      </c>
      <c r="G7061" t="inlineStr">
        <is>
          <t>2020-01-13 09:53:56</t>
        </is>
      </c>
      <c r="H7061" t="inlineStr"/>
    </row>
    <row r="7062">
      <c r="A7062" t="inlineStr">
        <is>
          <t>eo7skz</t>
        </is>
      </c>
      <c r="B7062" t="inlineStr">
        <is>
          <t>Weird post but</t>
        </is>
      </c>
      <c r="C7062" t="inlineStr">
        <is>
          <t>I have had problems with food since I was 14. I’ve been overweight and underweight a lot through the last 5 years, and currently I’m underweight and have had problems with restricting food. Food is all I think about for the most part, and it’s gotten worse since my thyroidectomy for thyroid cancer which happened about 2 years ago. Over this winter break I have dropped 7 lbs in 12 days, and I justify my actions by saying I can’t eat as much because I don’t have a thyroid. I hate it but I’m trying to work through it. 
Tomorrow I have my yearly follow up scan and I want to celebrate hopefully good news. My SO and I are going to go into the city -where the appointment is-together because my mom can’t drive me, and I’m kind of anxious because she might not be able to go to the appointment either and I’ve never been alone for this stuff before. But I want to do something nice for myself because to me this is an important day. So I thought that I would buy myself a fun food treat, but I have no idea what to get. I want to have one day where I can let myself enjoy food and not worry. What should I get?
This might seem like a stupid and weird post but my family doesn’t know I have this problem with food so I can’t really talk to them about it. I also am the only one who really cares about my scan or feels like there would be something to possibly celebrate. So I turn to Reddit in my time of need</t>
        </is>
      </c>
      <c r="D7062" t="n">
        <v>1</v>
      </c>
      <c r="E7062" t="n">
        <v>2</v>
      </c>
      <c r="F7062">
        <f>HYPERLINK("https://www.reddit.com/r/cancer/comments/eo7skz/weird_post_but/")</f>
        <v/>
      </c>
      <c r="G7062" t="inlineStr">
        <is>
          <t>2020-01-13 10:07:50</t>
        </is>
      </c>
      <c r="H7062" t="inlineStr"/>
    </row>
    <row r="7063">
      <c r="A7063" t="inlineStr">
        <is>
          <t>eo9xnr</t>
        </is>
      </c>
      <c r="B7063" t="inlineStr">
        <is>
          <t>Advice for helping family friend dealing with cancer.</t>
        </is>
      </c>
      <c r="C7063" t="inlineStr">
        <is>
          <t>Hi everyone,
I’m posting for advice. 
A really close family friend (K) was recently deiagnoised with Pancreatic Cancer. His daughter, my best friend, is going to be is primary caregiver and I’m really worried for the both of them. They are family. 
I’m going to help them in any way possible and my house has already been set up for any of the family who need to come stay or if any of them get sick and for my best friend to have a safe place to cry and vent. 
Here’s where I need advice, I decided to create care packages for K, his wife, &amp;amp; my bff. My bff is frazzled and forgetful at the best of times and I know she is gonna neglect herself and make her anxiety worse. 
For him:
—hanging toiletries bag 
—his fav shampoo, conditioner, shower supplies
—comfy slides/slippers
—new comfy pair of lounge shorts and shirt (he is running really hot) 
—chocolate 
Wife:
—soft flannel pjs
—warm robe/sweater
—small toiletries bag for her
—fluffy socks
BFF:
—phone charger
—leggings, t-shirt, Sweatsr
—fluffy soaks
—small toiletries bag (tooth brush, deodorant, etc)
I know this sounds really material but I want to make their life easier in any way I can. Any suggestions or advice would be so appreciated?</t>
        </is>
      </c>
      <c r="D7063" t="n">
        <v>1</v>
      </c>
      <c r="E7063" t="n">
        <v>6</v>
      </c>
      <c r="F7063">
        <f>HYPERLINK("https://www.reddit.com/r/cancer/comments/eo9xnr/advice_for_helping_family_friend_dealing_with/")</f>
        <v/>
      </c>
      <c r="G7063" t="inlineStr">
        <is>
          <t>2020-01-13 12:39:07</t>
        </is>
      </c>
      <c r="H7063" t="inlineStr"/>
    </row>
    <row r="7064">
      <c r="A7064" t="inlineStr">
        <is>
          <t>eobnmw</t>
        </is>
      </c>
      <c r="B7064" t="inlineStr">
        <is>
          <t>Hodgkins Lymphoma Relapse Symptoms?</t>
        </is>
      </c>
      <c r="C7064" t="inlineStr">
        <is>
          <t>Hello everyone, so Dec 2018 I finished chemo for 2B hodgkins lymphoma, woo! But just the past couple weeks noticed some swollen and painful lymph nodes. Just had a CT scan and my oncologist is going to have me do a biopsy. Until then I am left in that dreadful state of worry, what ifs, and panic not sure whether its a relapse or something entirely different and harmless. Just curious to those who have relapsed what symptoms you experienced? I havent really experienced much else besides a small non itchy rash and minor headaches. Any input would be appreciated, thanks!</t>
        </is>
      </c>
      <c r="D7064" t="n">
        <v>1</v>
      </c>
      <c r="E7064" t="n">
        <v>3</v>
      </c>
      <c r="F7064">
        <f>HYPERLINK("https://www.reddit.com/r/cancer/comments/eobnmw/hodgkins_lymphoma_relapse_symptoms/")</f>
        <v/>
      </c>
      <c r="G7064" t="inlineStr">
        <is>
          <t>2020-01-13 14:35:21</t>
        </is>
      </c>
      <c r="H7064" t="inlineStr"/>
    </row>
    <row r="7065">
      <c r="A7065" t="inlineStr">
        <is>
          <t>eocx6x</t>
        </is>
      </c>
      <c r="B7065" t="inlineStr">
        <is>
          <t>Anyone have experience with CAR T cells treatment?</t>
        </is>
      </c>
      <c r="C7065" t="inlineStr">
        <is>
          <t>My mom has relapsed diffuse B cell lymphoma and we are now looking into this treatment as an option. Does anyone here have experience with this therapy for that or any other cancers? Any stories/words of wisdom/advice/guidance, etc. appreciated...</t>
        </is>
      </c>
      <c r="D7065" t="n">
        <v>1</v>
      </c>
      <c r="E7065" t="n">
        <v>0</v>
      </c>
      <c r="F7065">
        <f>HYPERLINK("https://www.reddit.com/r/cancer/comments/eocx6x/anyone_have_experience_with_car_t_cells_treatment/")</f>
        <v/>
      </c>
      <c r="G7065" t="inlineStr">
        <is>
          <t>2020-01-13 16:07:19</t>
        </is>
      </c>
      <c r="H7065" t="inlineStr"/>
    </row>
    <row r="7066">
      <c r="A7066" t="inlineStr">
        <is>
          <t>eoesua</t>
        </is>
      </c>
      <c r="B7066" t="inlineStr">
        <is>
          <t>Lost my dad</t>
        </is>
      </c>
      <c r="C7066" t="inlineStr">
        <is>
          <t>After a strong 5 year fight I lost him last week. I got 17 amazing years with him and I would do anything for another 17 years. I’ll miss you dad ❤️ love you.</t>
        </is>
      </c>
      <c r="D7066" t="n">
        <v>1</v>
      </c>
      <c r="E7066" t="n">
        <v>21</v>
      </c>
      <c r="F7066">
        <f>HYPERLINK("https://www.reddit.com/r/cancer/comments/eoesua/lost_my_dad/")</f>
        <v/>
      </c>
      <c r="G7066" t="inlineStr">
        <is>
          <t>2020-01-13 18:30:46</t>
        </is>
      </c>
      <c r="H7066" t="inlineStr"/>
    </row>
    <row r="7067">
      <c r="A7067" t="inlineStr">
        <is>
          <t>eog6kr</t>
        </is>
      </c>
      <c r="B7067" t="inlineStr">
        <is>
          <t>Loss of cold tolerance?</t>
        </is>
      </c>
      <c r="C7067" t="inlineStr">
        <is>
          <t>I finished chemo about six months ago, and now that the cold weather is settling in I really can't handle it well.  I used to be very active outdoors in the winter, but now I can't stand being out more than I absolutely have to.  Is this a normal thing after Taxotere, or is this just another of the odd side effects I get to enjoy?</t>
        </is>
      </c>
      <c r="D7067" t="n">
        <v>1</v>
      </c>
      <c r="E7067" t="n">
        <v>5</v>
      </c>
      <c r="F7067">
        <f>HYPERLINK("https://www.reddit.com/r/cancer/comments/eog6kr/loss_of_cold_tolerance/")</f>
        <v/>
      </c>
      <c r="G7067" t="inlineStr">
        <is>
          <t>2020-01-13 20:21:16</t>
        </is>
      </c>
      <c r="H7067" t="inlineStr"/>
    </row>
    <row r="7068">
      <c r="A7068" t="inlineStr">
        <is>
          <t>eogbwx</t>
        </is>
      </c>
      <c r="B7068" t="inlineStr">
        <is>
          <t>Bf's dad won't eat healthy despite dodging death...</t>
        </is>
      </c>
      <c r="C7068" t="inlineStr">
        <is>
          <t>My bf's dad had cancerous polyps and luckily they were caught at an early stage so they were able to be surgically removed. About a week after his surgery I saw he had Jack in the box for dinner despite having the ingredients and tools for him to make something much healthier and last night my bf and I decided to get donuts: two chocolates for me and the little sister, a sugar one for mom, and a PLAIN wheat one for dad. I noticed that the plain one hadn't been touched so I baited him into telling me which one he had:
"My wife gave me the sugar one"
I'm so furious: he avoided death by eating shitty food and he hasn't changed. I don't know what to do. I think we'll just stop getting shitty food even if it's not intended for him to eat it. If he's not gonna take care of himself everyone else has to suffer and eat kale too</t>
        </is>
      </c>
      <c r="D7068" t="n">
        <v>1</v>
      </c>
      <c r="E7068" t="n">
        <v>24</v>
      </c>
      <c r="F7068">
        <f>HYPERLINK("https://www.reddit.com/r/cancer/comments/eogbwx/bfs_dad_wont_eat_healthy_despite_dodging_death/")</f>
        <v/>
      </c>
      <c r="G7068" t="inlineStr">
        <is>
          <t>2020-01-13 20:34:12</t>
        </is>
      </c>
      <c r="H7068" t="inlineStr"/>
    </row>
    <row r="7069">
      <c r="A7069" t="inlineStr">
        <is>
          <t>eogmtm</t>
        </is>
      </c>
      <c r="B7069" t="inlineStr">
        <is>
          <t>My comeback</t>
        </is>
      </c>
      <c r="C7069" t="inlineStr">
        <is>
          <t>I had non Hodgkin lymphoma B cell stage 3.  I am 37 and have a wife and daughter. Been almost 8 months out of chemo and cancer free. I workout and eat healthy. I am in better shape than I have been in years. But I have issues with working and getting back to normal life. It’s like I faced death now you want me to do what???  I missed eight days of work with chemo and it’s like my job could care less. I started smoking cannabis again.  Cannabis is a big part of me getting healthy. I want to do nothing but work out when I’m stoned. But my job does randoms and I live in Idaho the last state to legalize. I have anger about this. Anyone else feel this way?  Or do you just want to vent?</t>
        </is>
      </c>
      <c r="D7069" t="n">
        <v>1</v>
      </c>
      <c r="E7069" t="n">
        <v>6</v>
      </c>
      <c r="F7069">
        <f>HYPERLINK("https://www.reddit.com/r/cancer/comments/eogmtm/my_comeback/")</f>
        <v/>
      </c>
      <c r="G7069" t="inlineStr">
        <is>
          <t>2020-01-13 21:01:28</t>
        </is>
      </c>
      <c r="H7069" t="inlineStr"/>
    </row>
    <row r="7070">
      <c r="A7070" t="inlineStr">
        <is>
          <t>eogtm6</t>
        </is>
      </c>
      <c r="B7070" t="inlineStr">
        <is>
          <t>Could this be colon cancer?</t>
        </is>
      </c>
      <c r="C7070" t="inlineStr">
        <is>
          <t>I had food poisoning 6 months ago (Salmonella to be exact) and it took three months for me to recover. It was pretty bad and I had to go to the ER two times because of the pain and also hypokalemia.
Between stomach pain and diarrhea,  I very slowly got better and started going back to a normal diet (of course, being cautious of fiber intake and other things and have been cleaning everything religiously). Mild discomfort and stomach issues would come and go, but it got completely better at the four month mark (quite a while). I assumed this was post-infectious IBS, as the symptoms were similar.
For two months afterwards, I was perfectly fine and eating normally like I used to. All of a sudden, last week I noticed blood in my stool. The following days after that, I was going to the bathroom 6 times a day to poop (not loose diarrhea but I just need to go to the bathroom that many times every day, especially in the morning) and have been experiencing a lot of discomfort, gas, and mild pains in my stomach. I have gone back to a very simple BRAT diet again, but it seems that nothing is helping. I noticed a bit of blood/red in my stool again today and it has been less than 4 days since I saw it earlier last week. I'm worried because the symptoms seem like colon cancer, but also resemble Crohn's, IBS, amongst others. (These symptoms are also slightly different than the ones I had when I got food poisoning and was recovering).
I'm very worried, as all the issues came up suddenly again out of the blue. I'm in my mid-50s and I know the risk of colon cancer is higher as you get older. Does anyone have a similar experience/symptoms or know what this may be? 
I made an appointment with my doctor, but the earliest availability is Friday so I'm just spending all this time worrying :/</t>
        </is>
      </c>
      <c r="D7070" t="n">
        <v>1</v>
      </c>
      <c r="E7070" t="n">
        <v>0</v>
      </c>
      <c r="F7070">
        <f>HYPERLINK("https://www.reddit.com/r/cancer/comments/eogtm6/could_this_be_colon_cancer/")</f>
        <v/>
      </c>
      <c r="G7070" t="inlineStr">
        <is>
          <t>2020-01-13 21:19:03</t>
        </is>
      </c>
      <c r="H7070" t="inlineStr"/>
    </row>
    <row r="7071">
      <c r="A7071" t="inlineStr">
        <is>
          <t>eoh49s</t>
        </is>
      </c>
      <c r="B7071" t="inlineStr">
        <is>
          <t>Grandma on chemo</t>
        </is>
      </c>
      <c r="C7071" t="inlineStr">
        <is>
          <t>Hello,
My grandma has been on chemo for a while and the past couple of weeks she has been calling my auntie, her caretaker, mom. She has also been speaking like a child and behaving really unlike herself. Can anybody help me understand what’s going on?</t>
        </is>
      </c>
      <c r="D7071" t="n">
        <v>1</v>
      </c>
      <c r="E7071" t="n">
        <v>3</v>
      </c>
      <c r="F7071">
        <f>HYPERLINK("https://www.reddit.com/r/cancer/comments/eoh49s/grandma_on_chemo/")</f>
        <v/>
      </c>
      <c r="G7071" t="inlineStr">
        <is>
          <t>2020-01-13 21:46:57</t>
        </is>
      </c>
      <c r="H7071" t="inlineStr"/>
    </row>
    <row r="7072">
      <c r="A7072" t="inlineStr">
        <is>
          <t>eohodu</t>
        </is>
      </c>
      <c r="B7072" t="inlineStr">
        <is>
          <t>Anxiety levels are very high..</t>
        </is>
      </c>
      <c r="C7072" t="inlineStr">
        <is>
          <t xml:space="preserve"> Are there any long term survivors of sarcoma that experienced a small bump or lump in the same spot where the original tumor was located? and possibly turned out to not be anything serious? currently going through this same predicament and my anxiety and stress has been through the roof. I am getting checked up in about two weeks for this 1cm bump I feel on the deltoid muscle of my arm. I have so far been in 5 years NED Ewings Sarcoma treated with chemotherapy + radiation. I just turned 20 and this small bump is making me feel like my world is crumbling down, I just started a University and have so many blessings in my life. Also I recently got taken off of chip and got a new health insurance that isn't accepted where my previous sarcoma specialist was located so that adds on to the stress even more. I went to a family doctor and they weren't too concern but I feel as if something isn't right due to where it is located. I tried explaining my current feelings to my friends now but simply just think nothing of it and blow it off as I wouldn't expect anyone but another who is or went through cancer to understand. I am starting my first day back at school tomorrow and was trying to sleep about an hour ago but my anxiousness about fear of recurrence caused me so much stress to where I was about to have a panic attack which lead me back on here searching for answers. I understand I will truly not know what it is until I get it checked out. Any comments are much appreciated.</t>
        </is>
      </c>
      <c r="D7072" t="n">
        <v>1</v>
      </c>
      <c r="E7072" t="n">
        <v>0</v>
      </c>
      <c r="F7072">
        <f>HYPERLINK("https://www.reddit.com/r/cancer/comments/eohodu/anxiety_levels_are_very_high/")</f>
        <v/>
      </c>
      <c r="G7072" t="inlineStr">
        <is>
          <t>2020-01-13 22:43:37</t>
        </is>
      </c>
      <c r="H7072" t="inlineStr"/>
    </row>
    <row r="7073">
      <c r="A7073" t="inlineStr">
        <is>
          <t>eok5ao</t>
        </is>
      </c>
      <c r="B7073" t="inlineStr">
        <is>
          <t>Grandfather has stage 2 stomach cancer. Doctors don't want to continue treating him. Looking for answers and a reality check.</t>
        </is>
      </c>
      <c r="C7073" t="inlineStr">
        <is>
          <t>Hi all, my grandfather is 83 years old, and was diagnosed with stomach cancer five months ago. He has been on dialysis for 3 years, but is generally healthy besides that (his need for dialysis is due to a kidney infection when he was younger, not caused by high blood pressure or diabetes).
They are very against surgery because they'd need to perform a whipple procedure due to the cancer's location and think that such a complex and physically demanding surgery is off the table. They are also against chemo therapy, because since he's on dialysis, they would need to use a very strong dose on his off days (which is what they did 25 years ago) which might make his quality of life terrible. They say that it would probably only extend his life by a few months, and might make him so weak that he couldn't even get out of bed. He's unable to accept newer forms of chemo since the dialysis would wash out the treatment
The last option was radiation, which he has gone through 6 weeks of already, but they say that they cannot radiate the area again, so radiation is also off the table now. They say the cancer will resume growing after a while without other forms of treatment.
The biggest problem with this situation is that my grandfather really doesn't want to die. His mind is still very sharp, and his body is still ok despite his age. He has the will to live, but I also don't think he understands how bad things will get. Was wondering if anyone with could help me answer a few questions.
1) The doctors are all basically telling us, "he's just going to die". Which is the worst case scenario... but does anyone have any experience with successful treatment of stomach cancer in elderly patients on dialysis? I can't really find any information about it online.
2) My grandfather lives in a medium sized city, would going to a more well known hospital like mayo/Cleveland/Sloan-Kettering offer some kind of experimental treatment? Is it even possible to be seen at those places for some like my grandfather?
3) I just watched a video on laparoscopic hipec chemotherapy treatment which is basically like an isolated surgical treatment. Anyone know anything about this?
4) Can someone just tell me what to expect with stomach cancer? Recently he's been having terrible pains at night which last for 3-5 hours... is this expected to get worse and worse? We say his doctors and they said there's basically nothing they can do besides give him oxycotin, which he doesn't want to take. Basically I'm just hoping someone can tell me what's going to happen, realistically, because I've always been in the room with my grandfather and the doctors, and didn't want to ask any of the hard questions in front of him because it'd give him terrible anxiety... so I'm trying to gather as much info as I can online.
Thank you.</t>
        </is>
      </c>
      <c r="D7073" t="n">
        <v>1</v>
      </c>
      <c r="E7073" t="n">
        <v>6</v>
      </c>
      <c r="F7073">
        <f>HYPERLINK("https://www.reddit.com/r/cancer/comments/eok5ao/grandfather_has_stage_2_stomach_cancer_doctors/")</f>
        <v/>
      </c>
      <c r="G7073" t="inlineStr">
        <is>
          <t>2020-01-14 03:37:56</t>
        </is>
      </c>
      <c r="H7073" t="inlineStr"/>
    </row>
    <row r="7074">
      <c r="A7074" t="inlineStr">
        <is>
          <t>eoks70</t>
        </is>
      </c>
      <c r="B7074" t="inlineStr">
        <is>
          <t>No more pain.</t>
        </is>
      </c>
      <c r="C7074" t="inlineStr">
        <is>
          <t>My father passed away Saturday  morning around 9 AM in the home my mother and him built after a 2 month battle with Stage IV Metastatic Malignant Melanoma. He was surrounded by my mother, brother, sister and myself at his time of passing. I am happy he is no longer in pain. The aftermath was less than desirable, as I assisted the hospice nurse in cleaning up and dressing my father’s body for transport. 
It was what had to be done because I do not think anyone else in my family should or could have stomached dressing him, but I am very afraid of the potential psychological consequences of this. 
I do not know if anyone else has had a similar experience and I am sorry if any of you have, as it is bizarre. 
Please know you all have my undying admiration and respect. Best to you and your loved ones.</t>
        </is>
      </c>
      <c r="D7074" t="n">
        <v>1</v>
      </c>
      <c r="E7074" t="n">
        <v>2</v>
      </c>
      <c r="F7074">
        <f>HYPERLINK("https://www.reddit.com/r/cancer/comments/eoks70/no_more_pain/")</f>
        <v/>
      </c>
      <c r="G7074" t="inlineStr">
        <is>
          <t>2020-01-14 04:44:12</t>
        </is>
      </c>
      <c r="H7074" t="inlineStr"/>
    </row>
    <row r="7075">
      <c r="A7075" t="inlineStr">
        <is>
          <t>eomklb</t>
        </is>
      </c>
      <c r="B7075" t="inlineStr">
        <is>
          <t>Getting back to work</t>
        </is>
      </c>
      <c r="C7075" t="inlineStr">
        <is>
          <t>Hello fine people, I would like to get some opinions. I have been in break from my job for a couple months because of my cancer and stuff. Now it's about time for me to go back. I am nearly as well as I was before physically but mentally I don't feel ready. I'm still very anxious about it coming back and I feel like I'm still a bit under shock ( I'm 18 so getting cancer was scary ). This is a good job but it always made me anxious. I almost feel like crying just thinking about going back. Should I force myself to go back or quit the job ? In a way I want to quit cause I don't feel like I'll be ready soon but at the same time I'm scared if I quit I won't be able to find a good job like this again when I feel ready and I won't want to work anymore... My mom is saying I should do what I think is best and my dad is saying I shouldn't quit since it's a good job but I don't want to go there if I'm gonna panic before every shift especially when I'm still anxious from my cancer and stuff... Any opinions ?</t>
        </is>
      </c>
      <c r="D7075" t="n">
        <v>1</v>
      </c>
      <c r="E7075" t="n">
        <v>9</v>
      </c>
      <c r="F7075">
        <f>HYPERLINK("https://www.reddit.com/r/cancer/comments/eomklb/getting_back_to_work/")</f>
        <v/>
      </c>
      <c r="G7075" t="inlineStr">
        <is>
          <t>2020-01-14 07:17:36</t>
        </is>
      </c>
      <c r="H7075" t="inlineStr"/>
    </row>
    <row r="7076">
      <c r="A7076" t="inlineStr">
        <is>
          <t>eonmel</t>
        </is>
      </c>
      <c r="B7076" t="inlineStr">
        <is>
          <t>I hate cancer.</t>
        </is>
      </c>
      <c r="C7076" t="inlineStr">
        <is>
          <t>My surgery date is this Thursday, 1/16. I’m going to have an 8 hour surgery, consisting of a total thyroidectomy, a left lateral neck dissection, a medistinal dissection, and a sternotomy (to get the lymph nodes underneath). I’m not even scared anymore, I’m just ready to be done with this part. 
I had a NP tell me at my preop yesterday “You know, thyroid cancer is on the rise, but not in a 20 year old.” And it just hurts. It hurts knowing for the rest of my life, I have to be monitered and there’s such a high chance of recurrence, especially with my lymph node metastasis. I don’t want to be worried forever about getting cancer again, but that’s how it’s going to be. 
I hate cancer, and everything that comes with it.</t>
        </is>
      </c>
      <c r="D7076" t="n">
        <v>1</v>
      </c>
      <c r="E7076" t="n">
        <v>49</v>
      </c>
      <c r="F7076">
        <f>HYPERLINK("https://www.reddit.com/r/cancer/comments/eonmel/i_hate_cancer/")</f>
        <v/>
      </c>
      <c r="G7076" t="inlineStr">
        <is>
          <t>2020-01-14 08:35:52</t>
        </is>
      </c>
      <c r="H7076" t="inlineStr"/>
    </row>
    <row r="7077">
      <c r="A7077" t="inlineStr">
        <is>
          <t>eonuqe</t>
        </is>
      </c>
      <c r="B7077" t="inlineStr">
        <is>
          <t>Here for support and possibly answers</t>
        </is>
      </c>
      <c r="C7077" t="inlineStr">
        <is>
          <t>My FiL went to the hospital last week. He has a big mass behind his nose, right cheek up to his eye. Drs day it’s a mass around the size of an orange. Oblong shaped.  He had an MRI done yesterday. A high contracts CT scan tomorrow. He is waiting on clearance from cardiology for a go ahead for a biopsy done (high blood pressure). Unknown if it’s smooth edged or razor edged.
We know it’s a tumor. We are praying for it being benign, but MiL works in a cancer center and she thinks it’s cancerous. It can be up to 11 years of growth.  
We known Sinus cancer is rare, with an 75% chance of it coming back after surgery. FiL is already on antibiotics, and surgery is definitely going to be done. Same with radiation, with possible chemo.  We are hoping it hasn’t spread since it’s already in the soft tissue. (Another reason MiL thinks cancerous.) 
I need to know what are the chances it’s cancerous vs benign, chances of it spreading, and all possible outcomes (good and bad). 
The highlighted part of the findings, my MiL sent me is “there is a complete opacificition of the right maxillary sinus with disruption of the medial wall of the sinus and lamia papyracea with bulging of soft tissue mass into the nasal passage.  The soft tissue has a lobular contour and appears more mass like then sinus disease”.
Another part that she highlighted was “soft tissue density in the right maxillary sinus with bulging and disruption of the medial wall extending into the right nasal passage. Differential diagnosis includes sinusitis versus a neoplastic process. Recommend direct visualization and consult as clinically indicated.”
I guess I just want to know what to expect in all cases.</t>
        </is>
      </c>
      <c r="D7077" t="n">
        <v>1</v>
      </c>
      <c r="E7077" t="n">
        <v>3</v>
      </c>
      <c r="F7077">
        <f>HYPERLINK("https://www.reddit.com/r/cancer/comments/eonuqe/here_for_support_and_possibly_answers/")</f>
        <v/>
      </c>
      <c r="G7077" t="inlineStr">
        <is>
          <t>2020-01-14 08:52:27</t>
        </is>
      </c>
      <c r="H7077" t="inlineStr"/>
    </row>
    <row r="7078">
      <c r="A7078" t="inlineStr">
        <is>
          <t>eooaul</t>
        </is>
      </c>
      <c r="B7078" t="inlineStr">
        <is>
          <t>Ca-125</t>
        </is>
      </c>
      <c r="C7078" t="inlineStr">
        <is>
          <t>My roommate (age 61), who I've known for over 30 years and is like a mother to me, got a score of 159. She's been bleeding for over 2 months. The MRI said there's fluid and something around her right ovary. What are the chances it will be ok? I'm really scared.</t>
        </is>
      </c>
      <c r="D7078" t="n">
        <v>1</v>
      </c>
      <c r="E7078" t="n">
        <v>0</v>
      </c>
      <c r="F7078">
        <f>HYPERLINK("https://www.reddit.com/r/cancer/comments/eooaul/ca125/")</f>
        <v/>
      </c>
      <c r="G7078" t="inlineStr">
        <is>
          <t>2020-01-14 09:24:08</t>
        </is>
      </c>
      <c r="H7078" t="inlineStr"/>
    </row>
    <row r="7079">
      <c r="A7079" t="inlineStr">
        <is>
          <t>eopswp</t>
        </is>
      </c>
      <c r="B7079" t="inlineStr">
        <is>
          <t>Hip and knee replacements</t>
        </is>
      </c>
      <c r="C7079" t="inlineStr">
        <is>
          <t>Hey everybody!  So, im a 23 year old guy and on the last leg of my treatment.  Im officially in remission and am on my last maintenance cycle.  However, the prednisone I've had to take and will have to take for at least another year has caused Avascular necrosis in my leg.  I just talked to my orthopedic Oncologist yesterday about where my AVN is in terms of severity.  Its officially made its way into the femoral head and my knee on one leg, is starting to appear in my other leg, and im already experiencing pretty severe arthritis because of it.  
  I know it can be anywhere from 10 to 20 years before a artificial joint starts needing a replacement but its still really scary. So i was wondering if any of you have dealt with arthritis, bone pain, or joint replacements.  Id love any advice or anecdotes about this type of thing.  I just to know people have done this and been fine with it because this has got me crying for 2-3 hours a day tbh.</t>
        </is>
      </c>
      <c r="D7079" t="n">
        <v>1</v>
      </c>
      <c r="E7079" t="n">
        <v>6</v>
      </c>
      <c r="F7079">
        <f>HYPERLINK("https://www.reddit.com/r/cancer/comments/eopswp/hip_and_knee_replacements/")</f>
        <v/>
      </c>
      <c r="G7079" t="inlineStr">
        <is>
          <t>2020-01-14 11:11:10</t>
        </is>
      </c>
      <c r="H7079" t="inlineStr"/>
    </row>
    <row r="7080">
      <c r="A7080" t="inlineStr">
        <is>
          <t>eoqdkw</t>
        </is>
      </c>
      <c r="B7080" t="inlineStr">
        <is>
          <t>Oral cancer without smoking</t>
        </is>
      </c>
      <c r="C7080" t="inlineStr">
        <is>
          <t>What can cause Oral cancer in non smoker? Job negative</t>
        </is>
      </c>
      <c r="D7080" t="n">
        <v>1</v>
      </c>
      <c r="E7080" t="n">
        <v>5</v>
      </c>
      <c r="F7080">
        <f>HYPERLINK("https://www.reddit.com/r/cancer/comments/eoqdkw/oral_cancer_without_smoking/")</f>
        <v/>
      </c>
      <c r="G7080" t="inlineStr">
        <is>
          <t>2020-01-14 11:51:23</t>
        </is>
      </c>
      <c r="H7080" t="inlineStr"/>
    </row>
    <row r="7081">
      <c r="A7081" t="inlineStr">
        <is>
          <t>eoqeec</t>
        </is>
      </c>
      <c r="B7081" t="inlineStr">
        <is>
          <t>Stage 4 SCLC - what to expect</t>
        </is>
      </c>
      <c r="C7081" t="inlineStr">
        <is>
          <t>We found out yesterday that my Father-in-Law has Stage 4 Small Cell Lung Cancer with mets in his liver. I wasn’t with them when they went to the doctor but they were very clear it is terminal. My FiL said he’s going to do chemo/immunotherapy to try and get as much time as possible, but didn’t want to elaborate on how much time that might be. Mostly he just wants everyone to go about their lives like normal.
For people who have been through this, can I ask about quality of life? Though I know chemo will be rough, he’s been feeling mostly fine besides some slight swelling (portal hypertension). Should we expect many good days after chemo? Can we plan family gatherings? What about trips to visit his old stomping grounds? I’m just kind of in a panic and don’t know what to do since everyone is too busy acting like nothing is out of the ordinary.</t>
        </is>
      </c>
      <c r="D7081" t="n">
        <v>1</v>
      </c>
      <c r="E7081" t="n">
        <v>1</v>
      </c>
      <c r="F7081">
        <f>HYPERLINK("https://www.reddit.com/r/cancer/comments/eoqeec/stage_4_sclc_what_to_expect/")</f>
        <v/>
      </c>
      <c r="G7081" t="inlineStr">
        <is>
          <t>2020-01-14 11:53:00</t>
        </is>
      </c>
      <c r="H7081" t="inlineStr"/>
    </row>
    <row r="7082">
      <c r="A7082" t="inlineStr">
        <is>
          <t>eoqry4</t>
        </is>
      </c>
      <c r="B7082" t="inlineStr">
        <is>
          <t>Stable and Stuck. Time to vent.</t>
        </is>
      </c>
      <c r="C7082" t="inlineStr">
        <is>
          <t>I have been a cancer patient for a few years now. Up until now, I have been on a fairly set schedule of shots/checkups each month, scans/tests every 3 months, usually followed by treatment (usually a combination of embolization and medication) with additional extra scans/tests 1 month after the treatment. Up until now, each 3-month scan/test run has shown improvement in certain areas where tumors are growing and other areas with something else they can do to reduce the tumor burden. Hence why they have been following it up with a treatment of some sort. 
But my most recent one this past week has shown nothing. No improvement from the previous scan. No progression from the previous scan. No new places to mess with. There are some spots of concern and an uptick in certain chemical markers suggesting growth, but the spots are tiny and the only plan is to wait another 3 months and scan again. This is the first time my doctors have used the term "stable", and to be honest, I am not sure what to think. It does not exactly feel... well... "great". The scans still show tons of tumors. I still feel the same as I did after the 1st major surgery nearly 2 years ago that drastically improved my quality of life.
I've felt stuck for a while now but whereas before I always felt like something was being done to hopefully improve upon things, now suddenly because I am "stable" I have been transitioned into a "watch and wait" cycle which has only increased that stuck feeling. Now to be fair, because my cancer was not curable to begin with, I supposed I should have somehow expected this. But that does not make it any easier. I also feel like I should be happy things are "stable", and yet somehow I feel worse.
I am feeling guilty for wishing there was something for the doctors to work on.  I am stable. But I am stuck.
I just needed to vent.
Not sure what to be thinking :/</t>
        </is>
      </c>
      <c r="D7082" t="n">
        <v>1</v>
      </c>
      <c r="E7082" t="n">
        <v>3</v>
      </c>
      <c r="F7082">
        <f>HYPERLINK("https://www.reddit.com/r/cancer/comments/eoqry4/stable_and_stuck_time_to_vent/")</f>
        <v/>
      </c>
      <c r="G7082" t="inlineStr">
        <is>
          <t>2020-01-14 12:18:14</t>
        </is>
      </c>
      <c r="H7082" t="inlineStr"/>
    </row>
    <row r="7083">
      <c r="A7083" t="inlineStr">
        <is>
          <t>eor1h0</t>
        </is>
      </c>
      <c r="B7083" t="inlineStr">
        <is>
          <t>Could no period be a sign of cervical cancer?</t>
        </is>
      </c>
      <c r="C7083" t="inlineStr">
        <is>
          <t>My entire life I have been a heavy, long bleeder. With long periods and spotting in between. Inconvenient, but oh well. 
4 months ago I had my first abnormal pap, 2 months ago I had a LEEP to remove CIN3 pre-cancer dysplasia. Margins were clear.
In the past 5 months, I've completely skipped 3 periods. And of the 2 periods I did have, one wasn't even heavy enough for a tampon. 
I am not pregnant.
I'm concerned that something is wrong. Skipping a period is so rare for me that I'm not sure what to take from it.
My checkup is in April. Should I make an appointment for earlier because of my concerns? I'm a hypochondriac so its hard for me to tell when something is actually wrong or if I'm just making it out to be something bigger than it is.</t>
        </is>
      </c>
      <c r="D7083" t="n">
        <v>1</v>
      </c>
      <c r="E7083" t="n">
        <v>3</v>
      </c>
      <c r="F7083">
        <f>HYPERLINK("https://www.reddit.com/r/cancer/comments/eor1h0/could_no_period_be_a_sign_of_cervical_cancer/")</f>
        <v/>
      </c>
      <c r="G7083" t="inlineStr">
        <is>
          <t>2020-01-14 12:35:47</t>
        </is>
      </c>
      <c r="H7083" t="inlineStr"/>
    </row>
    <row r="7084">
      <c r="A7084" t="inlineStr">
        <is>
          <t>eourx9</t>
        </is>
      </c>
      <c r="B7084" t="inlineStr">
        <is>
          <t>I still miss my mom</t>
        </is>
      </c>
      <c r="C7084" t="inlineStr">
        <is>
          <t>It’s been a year since my mom passed away from pancreatic cancer. It’s was strangely easy for me the first 10 months or so i thought. I knew she was gone still thought about her was sad and stuff but my wife told me I was a horrible husband. Mean, drank excessively and wasn’t aware of this until she hit her breaking point so I smartened up. But these last couple months have been hard I have tears at work, while I cook, hear a sad song any excuse. I miss my mom and I’m grateful for 31 years. Grief is a fucked up thing. I’m also grateful for an amazingly strong wife</t>
        </is>
      </c>
      <c r="D7084" t="n">
        <v>1</v>
      </c>
      <c r="E7084" t="n">
        <v>1</v>
      </c>
      <c r="F7084">
        <f>HYPERLINK("https://www.reddit.com/r/cancer/comments/eourx9/i_still_miss_my_mom/")</f>
        <v/>
      </c>
      <c r="G7084" t="inlineStr">
        <is>
          <t>2020-01-14 16:59:04</t>
        </is>
      </c>
      <c r="H7084" t="inlineStr"/>
    </row>
    <row r="7085">
      <c r="A7085" t="inlineStr">
        <is>
          <t>eouzio</t>
        </is>
      </c>
      <c r="B7085" t="inlineStr">
        <is>
          <t>The only bright spot in this unfortunate turn of events</t>
        </is>
      </c>
      <c r="C7085" t="inlineStr">
        <is>
          <t>Just found out the disability discharge of husband’s student loans has gone through - wanted to title this Suck It Navient, but actually, they’ve been really good to us through this whole thing so I’ll restrain myself. I’m just happy to have this off my back.</t>
        </is>
      </c>
      <c r="D7085" t="n">
        <v>1</v>
      </c>
      <c r="E7085" t="n">
        <v>0</v>
      </c>
      <c r="F7085">
        <f>HYPERLINK("https://www.reddit.com/r/cancer/comments/eouzio/the_only_bright_spot_in_this_unfortunate_turn_of/")</f>
        <v/>
      </c>
      <c r="G7085" t="inlineStr">
        <is>
          <t>2020-01-14 17:15:23</t>
        </is>
      </c>
      <c r="H7085" t="inlineStr"/>
    </row>
    <row r="7086">
      <c r="A7086" t="inlineStr">
        <is>
          <t>eoxell</t>
        </is>
      </c>
      <c r="B7086" t="inlineStr">
        <is>
          <t>Huge scar in my neck</t>
        </is>
      </c>
      <c r="C7086" t="inlineStr">
        <is>
          <t>Hello guys, as the title lets you believe; since my operation i have this huge scar in my neck.
Now, it doesn't look pretty yet, but it had to be done. so i'm o.k. with that.
What i am not o.k. with is that in the future people will ask me about my skar, because that is in their nature. Now i don't want the conversation to go to me and my cancer every time i meet people. Should i just lie about with with a fat joke? ( Raptors atacked me!). How would you react in my situation and/or or do you have suggestions?
(wearing a scarf all day every day isn't an option ;) )</t>
        </is>
      </c>
      <c r="D7086" t="n">
        <v>1</v>
      </c>
      <c r="E7086" t="n">
        <v>14</v>
      </c>
      <c r="F7086">
        <f>HYPERLINK("https://www.reddit.com/r/cancer/comments/eoxell/huge_scar_in_my_neck/")</f>
        <v/>
      </c>
      <c r="G7086" t="inlineStr">
        <is>
          <t>2020-01-14 20:29:04</t>
        </is>
      </c>
      <c r="H7086" t="inlineStr"/>
    </row>
    <row r="7087">
      <c r="A7087" t="inlineStr">
        <is>
          <t>eoxi3q</t>
        </is>
      </c>
      <c r="B7087" t="inlineStr">
        <is>
          <t>A memorial for a fellow redditor and how much this forum means to us.</t>
        </is>
      </c>
      <c r="C7087" t="inlineStr">
        <is>
          <t>When I first joined this subreddit I didn’t know what to expect. I wanted a place to go to speak to other people who are going through cancer treatment and the stand alone forums and all the websites like American cancer society just had too scary of statistics to manage 
The internet is a very scary place, you never know who you will encounter and how they will react to you asking for emotional support. People on the internet aren’t as nice as your friends and families who know you. But sometimes you get lucky. 
My first post here was to ask anyone else if they had the same cancer as me. I have a very rare cancer and a very subset of that cancer. This women who was 12 years older than me responded and told me to message her anytime. 
From May to August through the up and downs of treatments, deciding which chemo to pick, waiting for scan results, etc she helped me. We were complete opposites she was married with kids living in the a small city in the south and I am younger single living in New York. She Always spoke about how we effect others when we go through treatment and how our job is not only to change our outlook on life but also theirs. She carried for her son deeply. Even after chemos and radiation’s she would be tired and make it a daily effort to go out and play with her son. 
In July I received terrible news that my disease has spread to my lung. At this point I been sick since 21 and I have been in treatment so long I couldn’t battle anymore. I couldn’t find a way to live. If living required another a year of treatment I couldn’t physically do it. I was highly suicidal, not listening to my family or friends and completely babbling psychosis. She was the only person that was able to stop me and talk me from a ledge. She reached out to me after reading one of my posts and was extremely worried about my state of mind. She told me how important I am to my family and to her and how we must continue forward because it is the only way to go, there is no suicidal option. 
This Redditor recently passed away. I’m not sure from what or when but I saw she was posting less I was concerned and checked her last posts and messaged her and she had told me she was in the hospital for the last 8 weeks for an infection. 
Out of respect to her and her family I am not putting her name here but she was a special Person of this subreddit. She answered a lot of questions and offered a lot of advice. She was always willing to lend a helping hand, especially when it came to patients who are fighting while raising young kids. 
This is my memorial to her, I thank her for every wisdom she’s given me and I thank this forum for allowing me to meet her. 
Even if you just answer a comment, or answer a dm from a newly diagnosed person who is scared and doesn’t know where to go, you are helping someone. You mean more than you think. 
We are all fighting this disease together, in our own way but there are rarities in the connections that we make where we can make it a little easier to mood forward. 
May this Redditor rest easy and may you all be healthy in the new year 
-A</t>
        </is>
      </c>
      <c r="D7087" t="n">
        <v>1</v>
      </c>
      <c r="E7087" t="n">
        <v>0</v>
      </c>
      <c r="F7087">
        <f>HYPERLINK("https://www.reddit.com/r/cancer/comments/eoxi3q/a_memorial_for_a_fellow_redditor_and_how_much/")</f>
        <v/>
      </c>
      <c r="G7087" t="inlineStr">
        <is>
          <t>2020-01-14 20:37:42</t>
        </is>
      </c>
      <c r="H7087" t="inlineStr"/>
    </row>
    <row r="7088">
      <c r="A7088" t="inlineStr">
        <is>
          <t>eoxolj</t>
        </is>
      </c>
      <c r="B7088" t="inlineStr">
        <is>
          <t>Lifelong best friend is terminal at age 15</t>
        </is>
      </c>
      <c r="C7088" t="inlineStr">
        <is>
          <t>My best friend was diagnosed with Glioblastoma in December 2016. She had two surgeries, chemo, and radiation, then was in remission for just over two years when she was diagnosed again with Glio in January 2019. She had one surgery, and some radiation, and then was in remission (or so we thought) for about five months when she was diagnosed in July 2019, again with Glio. Her first tumor was massive, second we caught early on, and third was the largest it has ever been. Larger than a softball, and located in her brain.
They cannot perform surgery because the tumor is pressing up against some very important parts of her brain, it has been too soon since she last had radiation that the doctors are not comfortable with it, and she is already on chemo. In July they said she had about a month left, but we got her started in a medical trial to see if that would help, and that made her tumor stable for a while, but it just began to grow again recently.
They are trying a different med combination to see if that will work, but they just decided today to also put her on Avastin. If anyone has any experience with that medication, I would appreciate any insight into the effects of it, and any advice any of you have for my best friend.
Anyways, if this med doesn't work, then we are just about out of options. At this point, it is certain she is terminal, but we have no idea how long we have left with her. She is 15. We are both teenagers. I know life isn't fair, but Glio is making her slowly fade away. She sometimes doesn't completely act like herself, and she just doesn't have any energy anymore. She was supposed to start back at school this week, and be in school for second semester, but now it is looking like she might not possibly ever go back to school. She may have to take some classes from home, or they may put her in hospice again. No one wants to admit this, but she has been rapidly declining, and no one is willing to acknowledge this. Everyone is pretending everything is fine and she will be cancer free again, but we all know deep down that won't happen, and now I'm having to say goodbye to my lifelong best friend way earlier than I should have to. I love her like a sister, and I have no idea what I would do without her.
Any advice about how to handle the grief when you know you're near the end? How does one handle the soul tearing experience of seeing someone you love slowly fade away? Thank you for listening... I just really needed to vent. I have no idea how to process this. Everything is happening so fast.</t>
        </is>
      </c>
      <c r="D7088" t="n">
        <v>1</v>
      </c>
      <c r="E7088" t="n">
        <v>13</v>
      </c>
      <c r="F7088">
        <f>HYPERLINK("https://www.reddit.com/r/cancer/comments/eoxolj/lifelong_best_friend_is_terminal_at_age_15/")</f>
        <v/>
      </c>
      <c r="G7088" t="inlineStr">
        <is>
          <t>2020-01-14 20:53:56</t>
        </is>
      </c>
      <c r="H7088" t="inlineStr"/>
    </row>
    <row r="7089">
      <c r="A7089" t="inlineStr">
        <is>
          <t>eoxqhh</t>
        </is>
      </c>
      <c r="B7089" t="inlineStr">
        <is>
          <t>Move Through Motivation - A story of Hope Through Cancer</t>
        </is>
      </c>
      <c r="C7089" t="inlineStr">
        <is>
          <t>An Army veteran friend of mine ended up being diagnosed with Hodgkins Lymphoma. He’s always been a very motivating person, but during the darkest time of his life, he took it up a notch spreading compassion, positivity, and resiliency every day. He continued to touch people and continued to fight. 
Here is a short video I shot for him:[Move Through Motivation](https://youtu.be/TeHYVLsJKws)</t>
        </is>
      </c>
      <c r="D7089" t="n">
        <v>1</v>
      </c>
      <c r="E7089" t="n">
        <v>0</v>
      </c>
      <c r="F7089">
        <f>HYPERLINK("https://www.reddit.com/r/cancer/comments/eoxqhh/move_through_motivation_a_story_of_hope_through/")</f>
        <v/>
      </c>
      <c r="G7089" t="inlineStr">
        <is>
          <t>2020-01-14 20:58:48</t>
        </is>
      </c>
      <c r="H7089" t="inlineStr"/>
    </row>
    <row r="7090">
      <c r="A7090" t="inlineStr">
        <is>
          <t>ep2x3h</t>
        </is>
      </c>
      <c r="B7090" t="inlineStr">
        <is>
          <t>Squamous cell Carcinoma</t>
        </is>
      </c>
      <c r="C7090" t="inlineStr">
        <is>
          <t>My father has just been diagnosed with squamous cell carcinoma in the stomach with secondary cancer in the lymph nodes. From what I can find online, squamous cell carcinoma is mainly an epidermal (skin) cancer, so I can't find much about squamous in the stomach online. Has anyone had any experience with this type of cancer (good or bad)? 
They cannot operate, will do chemo instead.</t>
        </is>
      </c>
      <c r="D7090" t="n">
        <v>1</v>
      </c>
      <c r="E7090" t="n">
        <v>7</v>
      </c>
      <c r="F7090">
        <f>HYPERLINK("https://www.reddit.com/r/cancer/comments/ep2x3h/squamous_cell_carcinoma/")</f>
        <v/>
      </c>
      <c r="G7090" t="inlineStr">
        <is>
          <t>2020-01-15 06:23:11</t>
        </is>
      </c>
      <c r="H7090" t="inlineStr"/>
    </row>
    <row r="7091">
      <c r="A7091" t="inlineStr">
        <is>
          <t>ep3jtw</t>
        </is>
      </c>
      <c r="B7091" t="inlineStr">
        <is>
          <t>Waiting on results</t>
        </is>
      </c>
      <c r="C7091" t="inlineStr">
        <is>
          <t>Do you watch your favorite movies jic it's the last time?
Do you listen to your playlists over and over?
Do you tell your extended family yet? Siblings? Mom? Grandma? 
Do you start the letters and videos to future grands? To you kids? Start saying all the shit?
I know I have the tumor just waiting on the special test. My kids and husband know. 
I don't know what I think yet let alone give it to them. 
I'm 44. I'm fighting. Im atheist but I pray human prayers to you all out there in Reddit world. All of you not in Reddit world. 
All I can do to wait is smoke my grass and listen to my best playlist and make deals with myself. 
Peace and fuck Cancer.</t>
        </is>
      </c>
      <c r="D7091" t="n">
        <v>1</v>
      </c>
      <c r="E7091" t="n">
        <v>8</v>
      </c>
      <c r="F7091">
        <f>HYPERLINK("https://www.reddit.com/r/cancer/comments/ep3jtw/waiting_on_results/")</f>
        <v/>
      </c>
      <c r="G7091" t="inlineStr">
        <is>
          <t>2020-01-15 07:16:25</t>
        </is>
      </c>
      <c r="H7091" t="inlineStr"/>
    </row>
    <row r="7092">
      <c r="A7092" t="inlineStr">
        <is>
          <t>ep3npt</t>
        </is>
      </c>
      <c r="B7092" t="inlineStr">
        <is>
          <t>What is the best way to detect cancer?</t>
        </is>
      </c>
      <c r="C7092" t="inlineStr">
        <is>
          <t>I've recently lost my grandma due to brain cancer. She survived to a liver cancer 7 years ago. My grandpa died because of colon cancer and all together there's a history of cancer in my famly. After my grandmother died I've become overly worried and anxious about my health. What are the best tests or ways to prevent and detect cancer in an early stage? People keep telling me that I'm young [23F] and I shouldn't worry about it but I know that it can happen to anyone no matter the age.</t>
        </is>
      </c>
      <c r="D7092" t="n">
        <v>1</v>
      </c>
      <c r="E7092" t="n">
        <v>3</v>
      </c>
      <c r="F7092">
        <f>HYPERLINK("https://www.reddit.com/r/cancer/comments/ep3npt/what_is_the_best_way_to_detect_cancer/")</f>
        <v/>
      </c>
      <c r="G7092" t="inlineStr">
        <is>
          <t>2020-01-15 07:25:15</t>
        </is>
      </c>
      <c r="H7092" t="inlineStr"/>
    </row>
    <row r="7093">
      <c r="A7093" t="inlineStr">
        <is>
          <t>ep4ich</t>
        </is>
      </c>
      <c r="B7093" t="inlineStr">
        <is>
          <t>Dad’s Dirty Laundry.</t>
        </is>
      </c>
      <c r="C7093" t="inlineStr">
        <is>
          <t>I’m 28, my dad has stage IV PC, about 13 months in.
He’s in a dark place the last few weeks. Talking about his regrets not being a good dad, his addiction and lying. I just feel so bad for him. He’s had problems but he’s been a great dad. I don’t want him to die thinking these thoughts.</t>
        </is>
      </c>
      <c r="D7093" t="n">
        <v>1</v>
      </c>
      <c r="E7093" t="n">
        <v>3</v>
      </c>
      <c r="F7093">
        <f>HYPERLINK("https://www.reddit.com/r/cancer/comments/ep4ich/dads_dirty_laundry/")</f>
        <v/>
      </c>
      <c r="G7093" t="inlineStr">
        <is>
          <t>2020-01-15 08:32:38</t>
        </is>
      </c>
      <c r="H7093" t="inlineStr"/>
    </row>
    <row r="7094">
      <c r="A7094" t="inlineStr">
        <is>
          <t>ep5h6q</t>
        </is>
      </c>
      <c r="B7094" t="inlineStr">
        <is>
          <t>Question about a “burning smell”</t>
        </is>
      </c>
      <c r="C7094" t="inlineStr">
        <is>
          <t>Hi guys, my dad has had cancer for about 4-5 months. He’s done 3 2 day treatments of chemo. (Monthly)
Lately he keeps saying that he smells something burning. Right now as  I write this he’s running around the house checking everything.  He check the boiler, stove, the heater, the water. And everything seems fine. And although I have a stuffy nose I think I would notice a burning smell. Is this normal? Have any of you or your family members have had this issue?</t>
        </is>
      </c>
      <c r="D7094" t="n">
        <v>1</v>
      </c>
      <c r="E7094" t="n">
        <v>10</v>
      </c>
      <c r="F7094">
        <f>HYPERLINK("https://www.reddit.com/r/cancer/comments/ep5h6q/question_about_a_burning_smell/")</f>
        <v/>
      </c>
      <c r="G7094" t="inlineStr">
        <is>
          <t>2020-01-15 09:41:52</t>
        </is>
      </c>
      <c r="H7094" t="inlineStr"/>
    </row>
    <row r="7095">
      <c r="A7095" t="inlineStr">
        <is>
          <t>ep7kzb</t>
        </is>
      </c>
      <c r="B7095" t="inlineStr">
        <is>
          <t>Ciao Mama, I love you</t>
        </is>
      </c>
      <c r="C7095" t="inlineStr">
        <is>
          <t>Yesterday around 3:10pm I lost my best friend, my rock, my everything, my Mom.
I am stuck in this place between being numb, in misbelief and in shock but at the same time... as soon as I hear certain songs or think about the long year we battled together, I quickly go under and suffocate. My heart is broken forever knowing the only person that would always be there for me, no longer is. I wish nobody else has to ever go through what I did and currently am.</t>
        </is>
      </c>
      <c r="D7095" t="n">
        <v>1</v>
      </c>
      <c r="E7095" t="n">
        <v>12</v>
      </c>
      <c r="F7095">
        <f>HYPERLINK("https://www.reddit.com/r/cancer/comments/ep7kzb/ciao_mama_i_love_you/")</f>
        <v/>
      </c>
      <c r="G7095" t="inlineStr">
        <is>
          <t>2020-01-15 12:07:31</t>
        </is>
      </c>
      <c r="H7095" t="inlineStr"/>
    </row>
    <row r="7096">
      <c r="A7096" t="inlineStr">
        <is>
          <t>epa19s</t>
        </is>
      </c>
      <c r="B7096" t="inlineStr">
        <is>
          <t>I have some questions that hopefully people can help me with</t>
        </is>
      </c>
      <c r="C7096" t="inlineStr">
        <is>
          <t>So 6 years ago my mom was diagnosed with breast cancer stage 2, she did chemo, radio and had her breast removed. Around august last year she started had trouble breathing, so she did tests after tests and they found a node around 3cm im her lung, initially suspected to be lung cancer. Yesterday she got called by her previous oncologist that dealt with the breast cancer, she was told it was not lung cancer but actually some leftover cancer cells that had travelled to the lungs and were not currently causing any damage, and that this was good news. Both her breasts are currently healthy and she is waiting for a test result to decide on treatment. But every where i read about  breast cancer recurrence in the lungs it says is not curable only treatable. Was the oncologist sugar coating it? Or am i missing something here?</t>
        </is>
      </c>
      <c r="D7096" t="n">
        <v>1</v>
      </c>
      <c r="E7096" t="n">
        <v>8</v>
      </c>
      <c r="F7096">
        <f>HYPERLINK("https://www.reddit.com/r/cancer/comments/epa19s/i_have_some_questions_that_hopefully_people_can/")</f>
        <v/>
      </c>
      <c r="G7096" t="inlineStr">
        <is>
          <t>2020-01-15 14:57:39</t>
        </is>
      </c>
      <c r="H7096" t="inlineStr"/>
    </row>
    <row r="7097">
      <c r="A7097" t="inlineStr">
        <is>
          <t>epa9bs</t>
        </is>
      </c>
      <c r="B7097" t="inlineStr">
        <is>
          <t>A memorial to a fellow Redditor and how much this subreddit means to all of us</t>
        </is>
      </c>
      <c r="C7097" t="inlineStr">
        <is>
          <t>When I first joined this subreddit I didn’t know what to expect. I wanted a place to go to speak to other people who are going through cancer treatment and the stand alone forums and all the websites like American cancer society just had too scary of statistics to manage 
The internet is a very scary place, you never know who you will encounter and how they will react to you asking for emotional support. People on the internet aren’t as nice as your friends and families who know you. But sometimes you get lucky. 
My first post here was to ask anyone else if they had the same cancer as me. I have a very rare cancer and a very subset of that cancer. This women who was 12 years older than me responded and told me to message her anytime. 
From May to August through the up and downs of treatments, deciding which chemo to pick, waiting for scan results, etc she helped me. We were complete opposites she was married with kids living in the a small city in the south and I am younger single living in New York. She Always spoke about how we effect others when we go through treatment and how our job is not only to change our outlook on life but also theirs. She’s been fighting for 3 years and she taught me to normalize it. She went to part time work when she can if even she was tired and tried to travel. She cared for her son deeply. Even after chemos and radiation’s she would be so tired she made it a daily effort to go outside and play with her son. 
In July I received terrible news that my disease has spread to my lung. At this point I been sick since 21 and I have been in treatment so long I couldn’t battle anymore. I couldn’t find a way to live. If living required another a year of treatment I couldn’t physically do it. I was highly suicidal, not listening to my family or friends and completely babbling psychosis. She was the only person that was able to stop me and talk me from a ledge. She reached out to me after reading one of my posts and was extremely worried about my state of mind. She told me how important I am to my family and to her and how we must continue forward because it is the only way to go, there is no suicidal option. 
This Redditor recently passed away. I’m not sure from what or when but I saw she was posting less I was concerned and checked her last posts and messaged her and she had told me she was in the hospital for the last 8 weeks for an infection. 
Out of respect to her and her family I am not putting her name here but she was a special Person of this subreddit. She answered a lot of questions and offered a lot of advice. She was always willing to lend a helping hand, especially when it came to patients who are fighting while raising young kids. 
This is my memorial to her, I thank her for every wisdom she’s given me and I thank this forum for allowing me to meet her. 
Even if you just answer a comment, or answer a dm from a newly diagnosed person who is scared and doesn’t know where to go, you are helping someone. You mean more than you think. 
We are all fighting this disease together, in our own way but there are rarities in the connections that we make where we can make it a little easier to mood forward. 
May this Redditor rest easy and may you all be healthy in the new year 
-A</t>
        </is>
      </c>
      <c r="D7097" t="n">
        <v>1</v>
      </c>
      <c r="E7097" t="n">
        <v>13</v>
      </c>
      <c r="F7097">
        <f>HYPERLINK("https://www.reddit.com/r/cancer/comments/epa9bs/a_memorial_to_a_fellow_redditor_and_how_much_this/")</f>
        <v/>
      </c>
      <c r="G7097" t="inlineStr">
        <is>
          <t>2020-01-15 15:13:27</t>
        </is>
      </c>
      <c r="H7097" t="inlineStr"/>
    </row>
    <row r="7098">
      <c r="A7098" t="inlineStr">
        <is>
          <t>epad19</t>
        </is>
      </c>
      <c r="B7098" t="inlineStr">
        <is>
          <t>Swollen groin lymph node</t>
        </is>
      </c>
      <c r="C7098" t="inlineStr">
        <is>
          <t>Back in early November my fiancé noticed a pain in his groin after kitten jumped off his lap. Turned out he had a pretty big swollen area and we assumed it was a hernia. Went to urgent care, doctor said it was a hernia and since he works with heavy stuff it turned into a worker’s comp thing. Then the doctors referred him to a surgeon to get the hernia repaired. Surgeon says it’s not a hernia it’s a lymph node that’s enlarged. Writes a script for antibiotics and tells him to come back in a week or so. He takes the antibiotics (but misses like two-three doses). Goes back to doctor who says the lymph node went down and was softer but didn’t go away completely so recommended a biopsy. Went to GP to get second opinion since this wasn’t a workers comp thing anymore. She ordered blood work and a CT with/without contrast of abdomen and pelvis. 
CT comes back with no abnormalities, no lymph adenopathy. 
Blood work came back with 
slightly elevated lymphocytes, 
WBC good, 
live enzymes good, 
CRP elevated 
Neutrophils low 
SED rate slightly elevated. 
(Blood work was done when he was getting off a cold he had). 
So now we’ve schedule the biopsy and I was feeling good with the CT being clear but now I’m anxious again. 
The doctors concern were his nightsweats but since we’ve changed our sheets they’ve been rarer and not as drenching. I think they’re related to stress. Also he hasn’t lost weight (if anything he’s putting on weight lol) or had any abnormal fatigue. 
I know we won’t know until we know, but has anyone had anything like this? His only swollen lymph node is in the groin and it causes him slight discomfort but that’s it. Are there other symptoms I should look for? An allergy? 
STD?</t>
        </is>
      </c>
      <c r="D7098" t="n">
        <v>1</v>
      </c>
      <c r="E7098" t="n">
        <v>4</v>
      </c>
      <c r="F7098">
        <f>HYPERLINK("https://www.reddit.com/r/cancer/comments/epad19/swollen_groin_lymph_node/")</f>
        <v/>
      </c>
      <c r="G7098" t="inlineStr">
        <is>
          <t>2020-01-15 15:21:10</t>
        </is>
      </c>
      <c r="H7098" t="inlineStr"/>
    </row>
    <row r="7099">
      <c r="A7099" t="inlineStr">
        <is>
          <t>epaf9g</t>
        </is>
      </c>
      <c r="B7099" t="inlineStr">
        <is>
          <t>Gaming with cancer?</t>
        </is>
      </c>
      <c r="C7099" t="inlineStr">
        <is>
          <t>I have never played video games other than on my iPad. I was thinking that gaming might be a good way to pass the time and distract myself from the pain while I am undergoing chemo and radiation.  Also, with my current mental state, blood, gore and death style games are probably not cool. I always liked Monument Valley, Flower, Sim City...stuff like that. So, which controller and what games should I look at?</t>
        </is>
      </c>
      <c r="D7099" t="n">
        <v>1</v>
      </c>
      <c r="E7099" t="n">
        <v>22</v>
      </c>
      <c r="F7099">
        <f>HYPERLINK("https://www.reddit.com/r/cancer/comments/epaf9g/gaming_with_cancer/")</f>
        <v/>
      </c>
      <c r="G7099" t="inlineStr">
        <is>
          <t>2020-01-15 15:25:39</t>
        </is>
      </c>
      <c r="H7099" t="inlineStr"/>
    </row>
    <row r="7100">
      <c r="A7100" t="inlineStr">
        <is>
          <t>epaglr</t>
        </is>
      </c>
      <c r="B7100" t="inlineStr">
        <is>
          <t>Today is one of the hardest days I've ever experienced</t>
        </is>
      </c>
      <c r="C7100" t="inlineStr">
        <is>
          <t>My dad (62) was diagnosed this morning with stage 4 lung cancer metastasized to his lymph node and hip bone. I'm a disaster. We dont know what type yet or have any type of treatment plan in place yet. All I know is I'm a mess. My mom is telling me to be strong for him, and I'm trying. I dont know how to do that. I dont know how not to think the worst. I dont know how to not cry over the fact that he likely wont walk me down the aisle some day. He likely wont ever meet any grandchildren. Hes the backbone of this family and I dont know how to cope or think positively.  
Sorry for the rant. Just needed to vent.</t>
        </is>
      </c>
      <c r="D7100" t="n">
        <v>1</v>
      </c>
      <c r="E7100" t="n">
        <v>12</v>
      </c>
      <c r="F7100">
        <f>HYPERLINK("https://www.reddit.com/r/cancer/comments/epaglr/today_is_one_of_the_hardest_days_ive_ever/")</f>
        <v/>
      </c>
      <c r="G7100" t="inlineStr">
        <is>
          <t>2020-01-15 15:28:27</t>
        </is>
      </c>
      <c r="H7100" t="inlineStr"/>
    </row>
    <row r="7101">
      <c r="A7101" t="inlineStr">
        <is>
          <t>epankt</t>
        </is>
      </c>
      <c r="B7101" t="inlineStr">
        <is>
          <t>My Dad Died Today</t>
        </is>
      </c>
      <c r="C7101" t="inlineStr">
        <is>
          <t>He's gone.  Twenty-six months after your initial diagnosis, and 13 months after your diagnosis of metastasized pancreatic cancer, you don't have to fight anymore.  You were amazing, both in your fight and in your life.  I am who I am because of you, and I have no regrets.
I had to tell my son (8yo) this past weekend that my Dad's situation wasn't good and that he was going to Heaven soon.  My son asked why the medications don't work, because when he takes cough medicine, it works.  I explained that we're doing our best in this world to make better medicines and better ideas for people with cancer.  He told me that he wants to help beat cancer, says he wants to solve it.  God speed little man.
As a family unit we are in a way relieved that he no longer has to suffer, but at the same time extremely sad that he is no longer here.  I don't really know how to react.  Sometimes I'm crying, sometimes I'm happy, sometimes I don't believe it's real.
Fuck cancer.</t>
        </is>
      </c>
      <c r="D7101" t="n">
        <v>1</v>
      </c>
      <c r="E7101" t="n">
        <v>13</v>
      </c>
      <c r="F7101">
        <f>HYPERLINK("https://www.reddit.com/r/cancer/comments/epankt/my_dad_died_today/")</f>
        <v/>
      </c>
      <c r="G7101" t="inlineStr">
        <is>
          <t>2020-01-15 15:42:41</t>
        </is>
      </c>
      <c r="H7101" t="inlineStr"/>
    </row>
    <row r="7102">
      <c r="A7102" t="inlineStr">
        <is>
          <t>epc03r</t>
        </is>
      </c>
      <c r="B7102" t="inlineStr">
        <is>
          <t>Information for kids losing parents to cancer</t>
        </is>
      </c>
      <c r="C7102" t="inlineStr">
        <is>
          <t>Hi friends! I’m posting on here because I feel like it’s important to share resources for anything when experiencing something as horrible as cancer. My dad died when I was 9 and it was a traumatic experience that still affects me today (F/18). My mom took my little sister and I to places that helped people experiencing cancer and we tried art therapy and things like that but Camp Kesem was the best thing that ever happened to us. It’s a free week long summer camp for kids to get to interact with other kids going through the same thing. Just wanted to put that out there in case anyone knows anyone who could benefit and feel free to ask questions!</t>
        </is>
      </c>
      <c r="D7102" t="n">
        <v>1</v>
      </c>
      <c r="E7102" t="n">
        <v>0</v>
      </c>
      <c r="F7102">
        <f>HYPERLINK("https://www.reddit.com/r/cancer/comments/epc03r/information_for_kids_losing_parents_to_cancer/")</f>
        <v/>
      </c>
      <c r="G7102" t="inlineStr">
        <is>
          <t>2020-01-15 17:27:22</t>
        </is>
      </c>
      <c r="H7102" t="inlineStr"/>
    </row>
    <row r="7103">
      <c r="A7103" t="inlineStr">
        <is>
          <t>epcg11</t>
        </is>
      </c>
      <c r="B7103" t="inlineStr">
        <is>
          <t>Post-treatment Bone Marrow Transplant results for Chronic Myeloid Leukemia.</t>
        </is>
      </c>
      <c r="C7103" t="inlineStr">
        <is>
          <t>After a long treatment with plenty of GHVD and complications that nearly killed me I finally passed day +100 of treatment and had a biopsy. I wanted to share with anyone that might need something positive today that results showed 100% donor cells, no Philadelphia chromosomes, and no evidence of Leukemia in my marrow!
I still have recovering to do but to anyone that is or will need a BMT, know that it gets better with time. Thank you to everyone on this sub for support, stories, and advice.</t>
        </is>
      </c>
      <c r="D7103" t="n">
        <v>1</v>
      </c>
      <c r="E7103" t="n">
        <v>4</v>
      </c>
      <c r="F7103">
        <f>HYPERLINK("https://www.reddit.com/r/cancer/comments/epcg11/posttreatment_bone_marrow_transplant_results_for/")</f>
        <v/>
      </c>
      <c r="G7103" t="inlineStr">
        <is>
          <t>2020-01-15 18:02:35</t>
        </is>
      </c>
      <c r="H7103" t="inlineStr"/>
    </row>
    <row r="7104">
      <c r="A7104" t="inlineStr">
        <is>
          <t>epdff5</t>
        </is>
      </c>
      <c r="B7104" t="inlineStr">
        <is>
          <t>I'm not sure where I'm going with this, so bear with me</t>
        </is>
      </c>
      <c r="C7104" t="inlineStr">
        <is>
          <t>Hi all. I want to start out by saying that looking at the posts in this sub has helped me tremendously. Thank you all so much for sharing your experiences.
It started with a persistent cough. After a year and a half of being prescribed Z-packs, getting tested for Valley Fever, and trying to just tough it out, my mom finally went in for an x-ray. An x-ray led to a CT, and a CT lead to a PET. Then came the biopsy; I had to bold face lie to my mother that her doctor was merely checking a box, that there's no risk of lung collapse, just so she would go through with it. The results were given during the holidays, and the biopsy showed no sign of malignancy. Smiles all around, and I allowed myself to feel cautious optimism as we waited for another CT to reveal how the mass has progressed. I want to go to an oncologist and genetic counselor, but she doesn't think that's necessary.
She's not doing well. She's coughing to the point of vomiting, unable to work, and is declining rapidly. She's lost so much weight and now she's eating even less. She's just not hungry. The writing is on the wall, but she doesn't believe it. My mother is young (55), has never smoked, and works in a chemical free environment. She doesn't understand that cancer is a bastard. She refuses to believe it may be cancer; she insists the mass is filled with fluid. She is in denial and refuses to address the mass, even when she is crippled by a coughing fit. She gets extremely agitated when I ask her to consider a second opinion. In her defense, I am 100% not a medical professional. 
Seeing her like this kills me. 
I am her sole caretaker. I have attended every appointment/scan/biopsy/follow-up and I will continue to be there through all of it. I take notes at each one and add it all of her medical documents I've held on to, just in case it will help her later. When I am not at school, work, or around my mother, I cry. I don't want to scare her. I cook and clean and decorate and do what I can to maintain normality in her life. Two days out of the week, I spend with my partner. I get criticized heavily by my relatives for this, but after five days of holding myself together, I need two days to fall apart. I feel guilty for needing this. I am so happy to be able to care for my mom. She's my best friend and it's always been the two of us out in the world.
Idk man, thanks for reading through this. How do I help her through this? What did you need from your family as you came to terms with your diagnosis? Did you seek a second opinion? How did you proceed during the diagnostic stages of your cancer?</t>
        </is>
      </c>
      <c r="D7104" t="n">
        <v>1</v>
      </c>
      <c r="E7104" t="n">
        <v>8</v>
      </c>
      <c r="F7104">
        <f>HYPERLINK("https://www.reddit.com/r/cancer/comments/epdff5/im_not_sure_where_im_going_with_this_so_bear_with/")</f>
        <v/>
      </c>
      <c r="G7104" t="inlineStr">
        <is>
          <t>2020-01-15 19:19:10</t>
        </is>
      </c>
      <c r="H7104" t="inlineStr"/>
    </row>
    <row r="7105">
      <c r="A7105" t="inlineStr">
        <is>
          <t>epdhxj</t>
        </is>
      </c>
      <c r="B7105" t="inlineStr">
        <is>
          <t>How to support father with stage 4 lung cancer?</t>
        </is>
      </c>
      <c r="C7105" t="inlineStr">
        <is>
          <t>My father was diagnosed with stage 4 lung cancer a couple years ago. We have all since made peace this and are doing what we can to show that he is supported and loved. Through all of this, it has become much harder to connect with my father. He spends most of his days on the couch with his iPad, doesn’t make much conversation, and doesn’t want to do many things or go anywhere. I understand that part - he doesn’t have much energy and is comfortable at home. However, he has become easy to anger and upset. I have found it is much more difficult to spend time with him and connect with him because of this. Now, most of our conversations are good mornings, good nights, and hellos and goodbyes as I leave for work.
I don’t want him to feel neglected or forgotten, and I want him to know how much I love and care for him. I want him to feel supported by me. What can I do to help?</t>
        </is>
      </c>
      <c r="D7105" t="n">
        <v>1</v>
      </c>
      <c r="E7105" t="n">
        <v>4</v>
      </c>
      <c r="F7105">
        <f>HYPERLINK("https://www.reddit.com/r/cancer/comments/epdhxj/how_to_support_father_with_stage_4_lung_cancer/")</f>
        <v/>
      </c>
      <c r="G7105" t="inlineStr">
        <is>
          <t>2020-01-15 19:24:54</t>
        </is>
      </c>
      <c r="H7105" t="inlineStr"/>
    </row>
    <row r="7106">
      <c r="A7106" t="inlineStr">
        <is>
          <t>epen2a</t>
        </is>
      </c>
      <c r="B7106" t="inlineStr">
        <is>
          <t>My brother only has a few months left</t>
        </is>
      </c>
      <c r="C7106" t="inlineStr">
        <is>
          <t>Hi friends. I've never posted in here before and I'm on mobile so forgive me. 
My (20F) brother (17) was diagnosed with Glioblastoma nearly 3 years ago, but has been battling it since he was 12 (we didnt know until the tumor was removed. Long story, but the tumor started bleeding and he went into emergency surgery in May of 2017, we found out when they did the biopsy) 
We received word in early December that he has been diagnosed with Leptomeninginal disease, which basically means that the cancer has spread from his brain to his spinal fluid. He is going downhill fast. Prognosis for this disease is 2-4 months. 
We are having a graduation ceremony for him early so he can graduate. We are taking a final family vacation together. It's so hard to reflect on this because it seems like we were always meant to end up here. 
I'm posting here to ask for some support, I suppose. I'm clueless. I've never seen anybody die, and now I have to say goodbye to my little brother. To those that have lost family, how did you handle the anticipation? I feel like I am sitting here and waiting for him to die. 
I have so many emotions. I'm almost relieved that there is an end in sight. His brain tumor has changed him so much he is barely recognizable anymore. And I want him to be at peace. 
My life has pretty much stopped. I pulled out of school for a semester to hang out with him. I'm terrified because I dont want to be the last of my family on this Earth, but I will be. I have to bury all of them. I'm not ready to be an only child. 
I dont know what to do but cry. Cancer fucking sucks. It's taken so much from me and my family. I'm just ready for it to be over. 
Thank you for reading and any thoughts are welcome. God bless</t>
        </is>
      </c>
      <c r="D7106" t="n">
        <v>1</v>
      </c>
      <c r="E7106" t="n">
        <v>4</v>
      </c>
      <c r="F7106">
        <f>HYPERLINK("https://www.reddit.com/r/cancer/comments/epen2a/my_brother_only_has_a_few_months_left/")</f>
        <v/>
      </c>
      <c r="G7106" t="inlineStr">
        <is>
          <t>2020-01-15 21:03:10</t>
        </is>
      </c>
      <c r="H7106" t="inlineStr"/>
    </row>
    <row r="7107">
      <c r="A7107" t="inlineStr">
        <is>
          <t>epfey1</t>
        </is>
      </c>
      <c r="B7107" t="inlineStr">
        <is>
          <t>Adult daughter in denial about my cancer</t>
        </is>
      </c>
      <c r="C7107" t="inlineStr">
        <is>
          <t>TLDR: My adult daughter is in denial about my cancer. I never see her or hear from her. My heart is broken, but I also fear that she will feel guilty for the rest of her life when I'm no longer here. 
My 25 year old daughter is in medical school in another state, and is working her butt off but still struggling. 
We were very close until I divorced her father and she went to college. She hated him. She now keeps me at arm's length. It wasn't until college that I found out her father molested her. I had no idea! Perhaps she blames me for not keeping her safe. I certainly blame myself. She has not seen him in seven years by her choice. 
When I was diagnosed with stage IV metastatic incurable cancer one year ago, she was the first person I told. Tears welled up in her eyes. I told her I would fight this and intend to live to see her graduate, get married, have children. I told her I love her and she said she loves me. I know this is true.
I am unlikely to live long enough to witness those things. I am well now, just tired and in treatment.
But she has dropped out of my life. She came for Christmas and that was wonderful. We never discussed my health and she never asked how I am. Now she's back at school and not answering my phone calls or texts, as usual. I try to contact her every two weeks. I know that the workload is terrible. I do send funny/sweet videos of her beloved pets and expect no response to those.
My heart is broken. I miss her so much.  I see a therapist who says my daughter is acting like an adolescent, probably blames me for not knowing she was being molested, and is also terrified of losing me. I love her anyway and forgive her. I hope she forgives me.
I'm very worried that she will look back on this time she could have had with me (not dropping out of school--she was avoiding me before she moved away, missing my birthday dinner and mother's day, etc.). I don't want her to carry guilt.
Any ideas, especially from those around her age?</t>
        </is>
      </c>
      <c r="D7107" t="n">
        <v>1</v>
      </c>
      <c r="E7107" t="n">
        <v>14</v>
      </c>
      <c r="F7107">
        <f>HYPERLINK("https://www.reddit.com/r/cancer/comments/epfey1/adult_daughter_in_denial_about_my_cancer/")</f>
        <v/>
      </c>
      <c r="G7107" t="inlineStr">
        <is>
          <t>2020-01-15 22:18:11</t>
        </is>
      </c>
      <c r="H7107" t="inlineStr"/>
    </row>
    <row r="7108">
      <c r="A7108" t="inlineStr">
        <is>
          <t>epfhk1</t>
        </is>
      </c>
      <c r="B7108" t="inlineStr">
        <is>
          <t>Has anyone else become weirdly superstitious or worried about “jinxing” things?</t>
        </is>
      </c>
      <c r="C7108" t="inlineStr">
        <is>
          <t>Ever since my family member has been diagnosed with cancer, I have become very superstitious or dont want to say certain things because I’m afraid I’ll jinx something. I also won’t watch certain YouTube videos because I’m afraid it’s some sort of bad omen if I do.  I know this all sounds absolutely nuts and it’s only developed since the diagnoses, but I’m wondering if this is common when dealing with stress?  I hate it and know that it is not rational</t>
        </is>
      </c>
      <c r="D7108" t="n">
        <v>1</v>
      </c>
      <c r="E7108" t="n">
        <v>3</v>
      </c>
      <c r="F7108">
        <f>HYPERLINK("https://www.reddit.com/r/cancer/comments/epfhk1/has_anyone_else_become_weirdly_superstitious_or/")</f>
        <v/>
      </c>
      <c r="G7108" t="inlineStr">
        <is>
          <t>2020-01-15 22:25:40</t>
        </is>
      </c>
      <c r="H7108" t="inlineStr"/>
    </row>
    <row r="7109">
      <c r="A7109" t="inlineStr">
        <is>
          <t>epga8c</t>
        </is>
      </c>
      <c r="B7109" t="inlineStr">
        <is>
          <t>Coping &amp;amp; Care Advice For Family?</t>
        </is>
      </c>
      <c r="C7109" t="inlineStr">
        <is>
          <t>My dad was diagnosed with peripheral T cell lymphoma about 1 1/2 months ago. The cancer has spread significantly, and although there are better treatments to be had, Kiaser will only cover CHOP. Despite MRSA, he has decided to pursue this treatment today - opting to forgoe a second opinion from a lymphoma expert given its quick progression.
Needless to say, there was only a 10% success rate before the MRSA.
I'm heading down to take care of him for a week while my mother is out of town for work - and am finding it difficult to determine how best to care for him emotionally and physically during my time there. I wanted to see, given the severity and short timeline, if you all had some advice on this front.
Appreciate your time and experience in advance...</t>
        </is>
      </c>
      <c r="D7109" t="n">
        <v>1</v>
      </c>
      <c r="E7109" t="n">
        <v>0</v>
      </c>
      <c r="F7109">
        <f>HYPERLINK("https://www.reddit.com/r/cancer/comments/epga8c/coping_care_advice_for_family/")</f>
        <v/>
      </c>
      <c r="G7109" t="inlineStr">
        <is>
          <t>2020-01-15 23:52:51</t>
        </is>
      </c>
      <c r="H7109" t="inlineStr"/>
    </row>
    <row r="7110">
      <c r="A7110" t="inlineStr">
        <is>
          <t>epi5q5</t>
        </is>
      </c>
      <c r="B7110" t="inlineStr">
        <is>
          <t>Today I will say goodbye to my husband fuck you cancer</t>
        </is>
      </c>
      <c r="C7110" t="inlineStr">
        <is>
          <t>He's really gone already.  They're just keeping him breathing until all our children can get here. Then I have to do the hardest thing and have his tube removed  and watch him take his last breaths. We didn't even get 5 months from diagnosis. 
Glioblastoma is a fucking scourge.</t>
        </is>
      </c>
      <c r="D7110" t="n">
        <v>1</v>
      </c>
      <c r="E7110" t="n">
        <v>63</v>
      </c>
      <c r="F7110">
        <f>HYPERLINK("https://www.reddit.com/r/cancer/comments/epi5q5/today_i_will_say_goodbye_to_my_husband_fuck_you/")</f>
        <v/>
      </c>
      <c r="G7110" t="inlineStr">
        <is>
          <t>2020-01-16 03:34:21</t>
        </is>
      </c>
      <c r="H7110" t="inlineStr"/>
    </row>
    <row r="7111">
      <c r="A7111" t="inlineStr">
        <is>
          <t>epkznz</t>
        </is>
      </c>
      <c r="B7111" t="inlineStr">
        <is>
          <t>GBM patients/carers in the UK: join our live video support chat Jan. 21 (glioblastoma)</t>
        </is>
      </c>
      <c r="C7111" t="inlineStr">
        <is>
          <t>UK patients or carers: please join us for a live video support chat on Jan. 21. Tell your story, share resources, and learn about how the free OurBrainBank app can help you and help others. Shares appreciated. [https://www.facebook.com/events/519844445323427/](https://www.facebook.com/events/519844445323427/)
OurBrainBank is a nonprofit 501(c)3 in the US and registered charity in the UK. Our mission: move GBM from terminal to treatable.</t>
        </is>
      </c>
      <c r="D7111" t="n">
        <v>1</v>
      </c>
      <c r="E7111" t="n">
        <v>0</v>
      </c>
      <c r="F7111">
        <f>HYPERLINK("https://www.reddit.com/r/cancer/comments/epkznz/gbm_patientscarers_in_the_uk_join_our_live_video/")</f>
        <v/>
      </c>
      <c r="G7111" t="inlineStr">
        <is>
          <t>2020-01-16 07:42:49</t>
        </is>
      </c>
      <c r="H7111" t="inlineStr"/>
    </row>
    <row r="7112">
      <c r="A7112" t="inlineStr">
        <is>
          <t>epl8rl</t>
        </is>
      </c>
      <c r="B7112" t="inlineStr">
        <is>
          <t>Free live video support chat for UK GBM carers &amp;amp; patients Jan. 21, 2020</t>
        </is>
      </c>
      <c r="C7112" t="inlineStr">
        <is>
          <t>UK patients or carers: please join us for a live video support chat on Jan. 21. Tell your story, share resources, and learn about how the free OurBrainBank app can help you and help others. Shares appreciated. [https://ourbrainbank.org/2020/01/16/jan21voices](https://ourbrainbank.org/2020/01/16/jan21voices)
OurBrainBank's mission: move GBM from terminal to treatable.</t>
        </is>
      </c>
      <c r="D7112" t="n">
        <v>1</v>
      </c>
      <c r="E7112" t="n">
        <v>0</v>
      </c>
      <c r="F7112">
        <f>HYPERLINK("https://www.reddit.com/r/cancer/comments/epl8rl/free_live_video_support_chat_for_uk_gbm_carers/")</f>
        <v/>
      </c>
      <c r="G7112" t="inlineStr">
        <is>
          <t>2020-01-16 08:01:35</t>
        </is>
      </c>
      <c r="H7112" t="inlineStr"/>
    </row>
    <row r="7113">
      <c r="A7113" t="inlineStr">
        <is>
          <t>eplk33</t>
        </is>
      </c>
      <c r="B7113" t="inlineStr">
        <is>
          <t>Dating with cancer</t>
        </is>
      </c>
      <c r="C7113" t="inlineStr">
        <is>
          <t>Do you tell the person you just matched with about your condition or wait till you feel that it’s the right time?</t>
        </is>
      </c>
      <c r="D7113" t="n">
        <v>1</v>
      </c>
      <c r="E7113" t="n">
        <v>14</v>
      </c>
      <c r="F7113">
        <f>HYPERLINK("https://www.reddit.com/r/cancer/comments/eplk33/dating_with_cancer/")</f>
        <v/>
      </c>
      <c r="G7113" t="inlineStr">
        <is>
          <t>2020-01-16 08:24:10</t>
        </is>
      </c>
      <c r="H7113" t="inlineStr"/>
    </row>
    <row r="7114">
      <c r="A7114" t="inlineStr">
        <is>
          <t>epo2nu</t>
        </is>
      </c>
      <c r="B7114" t="inlineStr">
        <is>
          <t>I hate myself, I hate my life</t>
        </is>
      </c>
      <c r="C7114" t="inlineStr">
        <is>
          <t>I know I sound like an ungrateful asshole while writing this - Ive beaten myself up all week about this - and I probably am; I just need to vent.
&amp;amp;#x200B;
I had a mastectomy done one week ago from today. I got my surgical drain removed today and I got what I wanted - to go home and be alone. My parents (I was recovering at their house) wished I would stay. I know I should have, BUT I JUST WANT SOME NORMALCY IN MY LIFE!!! At the office the nurse got the results of my pathological results from my surgery (the surgeon sent a message on their system)..My main tumor size was 5 cm, and I had 5 lymph nodes removed during surgery ONE was positive the rest were not. My next couple of weeks will suck. The nurse said my surgeon recommended chemo followed by radiation. I will find out more on the 24th.
&amp;amp;#x200B;
I feel horrible about what I have done, I can just imagine them breaking down right now in absence of my presence and it fucking kills me. Emotions have been running high and I hate what I have done....but I just couldn't stand being taken care of one more day. I hated the fact that I could no longer be on my own. I did not want to be treated "special", asked simple question after simple question,  - I know my parents meant well....but I just wanted to go back to my routine. I was aggravated that I was put into this entire situation. No matter how much I told them I could take care of myself whether it was to make my own food, or to clean up after myself (yes I had a few coke cans laying around, or a plate or two.....BUT I PLANED on picking them up when my pain didn't sky rocket  and throwing them away) - or tell them I will do my own laundry.....They instead made the decision for me.....I felt like a teenager living at home again - I did not want any part of that.
&amp;amp;#x200B;
I like being alone, I like living independently - and sadly I see in the future with my medical bills racking up, my rent going up like it does every year, and stuck at a job where I get maybe a 75 cent raise every year......I will eventually be forced to move back home with my parents....and it will fucking suck. I just want ONE shred of normalcy back in my life, even if it is temporary.
&amp;amp;#x200B;
I am tired of being told to have faith in a deity, EVERYONE prayed and prayed and prayed that it would just be a hormone pill, or hormone + radiation....and the praying did nothing!!! I have to have chemo and radiation...at least 2-3 months of treatment to make sure my cancer does not return. My life and will to live has been ripped away from me - I am not suicidal, I don't want to die - but holy fuck I see no light at the end of the tunnel.
&amp;amp;#x200B;
I drove home today and when I pulled into the parking lot, I broke down and cried for a good 10 minutes - I screamed "FUCK YOU GOD!!" while in the drivers seat at least 4 times, I have no joy left...even as I sit on my couch right now  I "know" I fucked up thinking I should have stayed with my parents...but I can't bring myself to give up my independence. What good would it do, all I can do is wait until next Friday to see what the oncologist wants done. Aside from hand holding and talking about emotions (which are activities I do not like at all and always shut down the event) what else would I benefit from not staying under my own roof?
&amp;amp;#x200B;
FUCK CANCER FUCK CANCER FUCK CANCER!!!!!</t>
        </is>
      </c>
      <c r="D7114" t="n">
        <v>1</v>
      </c>
      <c r="E7114" t="n">
        <v>30</v>
      </c>
      <c r="F7114">
        <f>HYPERLINK("https://www.reddit.com/r/cancer/comments/epo2nu/i_hate_myself_i_hate_my_life/")</f>
        <v/>
      </c>
      <c r="G7114" t="inlineStr">
        <is>
          <t>2020-01-16 11:19:52</t>
        </is>
      </c>
      <c r="H7114" t="inlineStr"/>
    </row>
    <row r="7115">
      <c r="A7115" t="inlineStr">
        <is>
          <t>epow4s</t>
        </is>
      </c>
      <c r="B7115" t="inlineStr">
        <is>
          <t>Presents for a patient?</t>
        </is>
      </c>
      <c r="C7115" t="inlineStr">
        <is>
          <t>My good friend (f, 25) has been battling with uterine cancer for the past two years and today had to make the decision to have a hysterectomy. She js (obviously) having a very rough time with this and I want to get her something to help soften this experience but have no idea what could help. Ideas would be great appreciated!!</t>
        </is>
      </c>
      <c r="D7115" t="n">
        <v>1</v>
      </c>
      <c r="E7115" t="n">
        <v>12</v>
      </c>
      <c r="F7115">
        <f>HYPERLINK("https://www.reddit.com/r/cancer/comments/epow4s/presents_for_a_patient/")</f>
        <v/>
      </c>
      <c r="G7115" t="inlineStr">
        <is>
          <t>2020-01-16 12:17:21</t>
        </is>
      </c>
      <c r="H7115" t="inlineStr"/>
    </row>
    <row r="7116">
      <c r="A7116" t="inlineStr">
        <is>
          <t>epp288</t>
        </is>
      </c>
      <c r="B7116" t="inlineStr">
        <is>
          <t>Oral/Neck Cancer Cisplatin/Radiation - which pain/nausea meds have you found to be most effective?</t>
        </is>
      </c>
      <c r="C7116" t="inlineStr">
        <is>
          <t>Starting up a course of 3 chemo and 35 daily radiation treatments shortly and would love to hear what has worked for you guys. Peace...</t>
        </is>
      </c>
      <c r="D7116" t="n">
        <v>1</v>
      </c>
      <c r="E7116" t="n">
        <v>6</v>
      </c>
      <c r="F7116">
        <f>HYPERLINK("https://www.reddit.com/r/cancer/comments/epp288/oralneck_cancer_cisplatinradiation_which/")</f>
        <v/>
      </c>
      <c r="G7116" t="inlineStr">
        <is>
          <t>2020-01-16 12:29:08</t>
        </is>
      </c>
      <c r="H7116" t="inlineStr"/>
    </row>
    <row r="7117">
      <c r="A7117" t="inlineStr">
        <is>
          <t>epp4kl</t>
        </is>
      </c>
      <c r="B7117" t="inlineStr">
        <is>
          <t>Are benigne tumors also cancer?</t>
        </is>
      </c>
      <c r="C7117" t="inlineStr">
        <is>
          <t>Hi,
I had a benigne tumor (optic nerve) at my birth. Approximately 6 months after my birth the chemo therapy "reduced" the tumor to a harmless state.
Now 19 years and lots of annual MRTs later I wanted to gain more information about it. 
Normally I would call my illness cancer but now I found out that only malignant tumors are called cancer...I am totally confused right know. Me and my parents aren't talking a lot about it, so I thought asking this sub would be a good idea.
So, did I have cancer? Did I survive cancer (or did I survive a tumor)? It's important for me because when I am a little bit frustrated or demotivated it helps me to think about the fact that I fucked cancer.
Thanks in advance!✌️
P.S.: Sorry for any grammatical or structural errors, English isn't my native language.</t>
        </is>
      </c>
      <c r="D7117" t="n">
        <v>1</v>
      </c>
      <c r="E7117" t="n">
        <v>5</v>
      </c>
      <c r="F7117">
        <f>HYPERLINK("https://www.reddit.com/r/cancer/comments/epp4kl/are_benigne_tumors_also_cancer/")</f>
        <v/>
      </c>
      <c r="G7117" t="inlineStr">
        <is>
          <t>2020-01-16 12:33:30</t>
        </is>
      </c>
      <c r="H7117" t="inlineStr"/>
    </row>
    <row r="7118">
      <c r="A7118" t="inlineStr">
        <is>
          <t>eppctq</t>
        </is>
      </c>
      <c r="B7118" t="inlineStr">
        <is>
          <t>Questions regarding mantle cell lymphoma</t>
        </is>
      </c>
      <c r="C7118" t="inlineStr">
        <is>
          <t>Hi everyone,
My father was diagnosed with mantle cell lymphoma this week. I’m devastated, he’s lived a healthy life and is such a great person that has gone through a lot in life already and it kills me he has to deal with this now. I guess my questions would be if anyone can share their experience with this type of cancer. What to expect? What are treatments like? What are the chances that I keep my dad around for years to come? Any help is truly appreciated.</t>
        </is>
      </c>
      <c r="D7118" t="n">
        <v>1</v>
      </c>
      <c r="E7118" t="n">
        <v>5</v>
      </c>
      <c r="F7118">
        <f>HYPERLINK("https://www.reddit.com/r/cancer/comments/eppctq/questions_regarding_mantle_cell_lymphoma/")</f>
        <v/>
      </c>
      <c r="G7118" t="inlineStr">
        <is>
          <t>2020-01-16 12:49:18</t>
        </is>
      </c>
      <c r="H7118" t="inlineStr"/>
    </row>
    <row r="7119">
      <c r="A7119" t="inlineStr">
        <is>
          <t>epq9ts</t>
        </is>
      </c>
      <c r="B7119" t="inlineStr">
        <is>
          <t>Lung, Liver, Brain</t>
        </is>
      </c>
      <c r="C7119" t="inlineStr">
        <is>
          <t>I don't even know where to begin.
My uncle, who has never smoked or taken a drink in his life is quickly going from bad to worse. A week ago, he had two years. Now, I need to get on a plane.
I'm moving cross country to help take care of him. He's like a father to me.
This is going to be the hardest thing I have ever done.
I have my own problems with cancer - I had a mass removed from my kidney, but I didn't need to go through radiation or chemo.
I just don't know how I am supposed to begin helping him. 
Fuck Cancer.</t>
        </is>
      </c>
      <c r="D7119" t="n">
        <v>1</v>
      </c>
      <c r="E7119" t="n">
        <v>4</v>
      </c>
      <c r="F7119">
        <f>HYPERLINK("https://www.reddit.com/r/cancer/comments/epq9ts/lung_liver_brain/")</f>
        <v/>
      </c>
      <c r="G7119" t="inlineStr">
        <is>
          <t>2020-01-16 13:52:54</t>
        </is>
      </c>
      <c r="H7119" t="inlineStr"/>
    </row>
    <row r="7120">
      <c r="A7120" t="inlineStr">
        <is>
          <t>epqd7k</t>
        </is>
      </c>
      <c r="B7120" t="inlineStr">
        <is>
          <t>HELP</t>
        </is>
      </c>
      <c r="C7120" t="inlineStr">
        <is>
          <t>[visit my poop](https://imgur.com/a/R1sS74Z)
I have these black or very dark brown not really sure.... spots in my poop and I’m worried this is bowel cancer or something with my liver OR ANYTHING BAD! 
I’m not sure if it’s blood it feels like regular poop but a little stringy as you can see from the photo. 
I’m only 14 and I’m scared I’m going to die I’ve consulted my dad about this and he thinks I’m going insane but booked me a doctors visit which is tomorrow. I’ve been having constipation so I took a laxative which made my body go haywire I’ve been having yellow poop, yellow diarrhea and now BLACK IN POOP which I’ve read online means blood.... I’m really scared and don’t know what to do I’m only 14 and I going to die? There’s still so much I want to do!</t>
        </is>
      </c>
      <c r="D7120" t="n">
        <v>1</v>
      </c>
      <c r="E7120" t="n">
        <v>4</v>
      </c>
      <c r="F7120">
        <f>HYPERLINK("https://www.reddit.com/r/cancer/comments/epqd7k/help/")</f>
        <v/>
      </c>
      <c r="G7120" t="inlineStr">
        <is>
          <t>2020-01-16 13:59:18</t>
        </is>
      </c>
      <c r="H7120" t="inlineStr"/>
    </row>
    <row r="7121">
      <c r="A7121" t="inlineStr">
        <is>
          <t>epswea</t>
        </is>
      </c>
      <c r="B7121" t="inlineStr">
        <is>
          <t>BRCA 1</t>
        </is>
      </c>
      <c r="C7121" t="inlineStr">
        <is>
          <t>Hi everyone,  I'm new to the page. 
Unfortunately im here because in the last 3 years there has been an insane about of cancer diagnosised within my family.  3 years ago my aunt was diagnosised with stage 4 Ovarian Cancer, that's when I started researching the BRCA gene then stopped shy of testing.  July 2019 my second aunt was diagnosed with stage 4 breast cancer,  I then decided to test and heavily research.  I decided early on that if I had it I wanted everything out (mastectomy and hysterectomy). I'm only 30 but have 3 kids and know that I'm done. 
For anyone that is familiar with these preventative procedures do you have any advice? Healing advice or warnings? I haven't decided which do first but I'm leaning towards the mastectomy.</t>
        </is>
      </c>
      <c r="D7121" t="n">
        <v>1</v>
      </c>
      <c r="E7121" t="n">
        <v>20</v>
      </c>
      <c r="F7121">
        <f>HYPERLINK("https://www.reddit.com/r/cancer/comments/epswea/brca_1/")</f>
        <v/>
      </c>
      <c r="G7121" t="inlineStr">
        <is>
          <t>2020-01-16 17:04:09</t>
        </is>
      </c>
      <c r="H7121" t="inlineStr"/>
    </row>
    <row r="7122">
      <c r="A7122" t="inlineStr">
        <is>
          <t>epuk57</t>
        </is>
      </c>
      <c r="B7122" t="inlineStr">
        <is>
          <t>Am I screwed? (germ cell cancer)</t>
        </is>
      </c>
      <c r="C7122" t="inlineStr">
        <is>
          <t>25 year old male here. Got germ cell cancer primary in mediastinal chest area. It's a big boy 15cm and spread a little to lyth nodes. Basically after 1 round of chemo CT scans showed no shrinkage yet my tumor markers (afp) are down.
I'm not sure how accurate tumor markers are but it doesn't look as though there's a high correlation so far. I am scared I'm screwed. Any one dealt with this before?</t>
        </is>
      </c>
      <c r="D7122" t="n">
        <v>1</v>
      </c>
      <c r="E7122" t="n">
        <v>13</v>
      </c>
      <c r="F7122">
        <f>HYPERLINK("https://www.reddit.com/r/cancer/comments/epuk57/am_i_screwed_germ_cell_cancer/")</f>
        <v/>
      </c>
      <c r="G7122" t="inlineStr">
        <is>
          <t>2020-01-16 19:16:55</t>
        </is>
      </c>
      <c r="H7122" t="inlineStr"/>
    </row>
    <row r="7123">
      <c r="A7123" t="inlineStr">
        <is>
          <t>epvib3</t>
        </is>
      </c>
      <c r="B7123" t="inlineStr">
        <is>
          <t>I'm committing to the Heisenberg look</t>
        </is>
      </c>
      <c r="C7123" t="inlineStr">
        <is>
          <t>I shaved my full grown beard to a goatee.... I am sure I will have chemo once I have my post op.... So I'm bound to lose my hair I'm not sure if my goatee stays and my hair on my head hair goes... But if it happens that way so be it.
I gotta find a way to cope with my breast cancer this is it... Hell I might even get blue pop rocks for fun...
Fuck cancer!! I am the one who will kick its ass!!</t>
        </is>
      </c>
      <c r="D7123" t="n">
        <v>1</v>
      </c>
      <c r="E7123" t="n">
        <v>11</v>
      </c>
      <c r="F7123">
        <f>HYPERLINK("https://www.reddit.com/r/cancer/comments/epvib3/im_committing_to_the_heisenberg_look/")</f>
        <v/>
      </c>
      <c r="G7123" t="inlineStr">
        <is>
          <t>2020-01-16 20:38:40</t>
        </is>
      </c>
      <c r="H7123" t="inlineStr"/>
    </row>
    <row r="7124">
      <c r="A7124" t="inlineStr">
        <is>
          <t>epvt9o</t>
        </is>
      </c>
      <c r="B7124" t="inlineStr">
        <is>
          <t>Hello all</t>
        </is>
      </c>
      <c r="C7124" t="inlineStr">
        <is>
          <t>I am a student and am aspiring to become a physician. I was always curious what patients find most admirable about their doctor when they give news versus what they dislike. My dad was stricken ill with a rare autoimmune disease three years ago and has been in and out of the hospital as the years almost reach four with stroke, sepsis, blood clots, seizures and a great number of infections. I have seen the good side and bad side of healthcare and I just wanted to get some input, I wish everyone reading the best in their treatment and life. If you ever want to talk please don’t hesitate to personally message me!</t>
        </is>
      </c>
      <c r="D7124" t="n">
        <v>1</v>
      </c>
      <c r="E7124" t="n">
        <v>0</v>
      </c>
      <c r="F7124">
        <f>HYPERLINK("https://www.reddit.com/r/cancer/comments/epvt9o/hello_all/")</f>
        <v/>
      </c>
      <c r="G7124" t="inlineStr">
        <is>
          <t>2020-01-16 21:06:52</t>
        </is>
      </c>
      <c r="H7124" t="inlineStr"/>
    </row>
    <row r="7125">
      <c r="A7125" t="inlineStr">
        <is>
          <t>epw6v0</t>
        </is>
      </c>
      <c r="B7125" t="inlineStr">
        <is>
          <t>Anyone in here taking metformin with their chemo? Any warnings from docs? Side effects?</t>
        </is>
      </c>
      <c r="C7125" t="inlineStr">
        <is>
          <t>My wife has disease-related hyperglycemia and I'm trying to determine what folks that have to take it for T2D or similar are experiencing any additional side effects or have had any warnings from their doc about drug interactions, reduction in efficacy, etc.</t>
        </is>
      </c>
      <c r="D7125" t="n">
        <v>1</v>
      </c>
      <c r="E7125" t="n">
        <v>3</v>
      </c>
      <c r="F7125">
        <f>HYPERLINK("https://www.reddit.com/r/cancer/comments/epw6v0/anyone_in_here_taking_metformin_with_their_chemo/")</f>
        <v/>
      </c>
      <c r="G7125" t="inlineStr">
        <is>
          <t>2020-01-16 21:42:47</t>
        </is>
      </c>
      <c r="H7125" t="inlineStr"/>
    </row>
    <row r="7126">
      <c r="A7126" t="inlineStr">
        <is>
          <t>epwjn8</t>
        </is>
      </c>
      <c r="B7126" t="inlineStr">
        <is>
          <t>Anyone have experience with a second stem cell transplant/bone marrow transplant BMT? I could really appreciate a success story here</t>
        </is>
      </c>
      <c r="C7126" t="inlineStr">
        <is>
          <t>I’ve unfortunately relapsed after my CAR T treatment and my CAR T retreatment did not respond. It’s been over four years of my leukemia shit and I’m just angry and over it.
So my doctors have a second bone marrow transplant with an unrelated donor lined up for me in the near future. My sister is ineligible to donate again since I relapsed 5 months after my first original bone marrow transplant with her as my donor.
Anyone have any experience with a 2nd bone marrow transplant? I’m getting reduced intensity conditioning with only fludarabine and busulfan. 
I just feel really jaded and am desperate for this last resort option to work and could really use some hope if anyone can offer it with a success story with their second BMT.</t>
        </is>
      </c>
      <c r="D7126" t="n">
        <v>1</v>
      </c>
      <c r="E7126" t="n">
        <v>8</v>
      </c>
      <c r="F7126">
        <f>HYPERLINK("https://www.reddit.com/r/cancer/comments/epwjn8/anyone_have_experience_with_a_second_stem_cell/")</f>
        <v/>
      </c>
      <c r="G7126" t="inlineStr">
        <is>
          <t>2020-01-16 22:18:14</t>
        </is>
      </c>
      <c r="H7126" t="inlineStr"/>
    </row>
    <row r="7127">
      <c r="A7127" t="inlineStr">
        <is>
          <t>epxoz5</t>
        </is>
      </c>
      <c r="B7127" t="inlineStr">
        <is>
          <t>Need answers, thank you! Uneducated about cancer</t>
        </is>
      </c>
      <c r="C7127" t="inlineStr">
        <is>
          <t>*I am very uninformed about cancer, so if anything sounds ignorant I mean it with no disrespect I’m just not educated on the topic*
Hey everyone, so my friends mom says she has lymphocytic leukemia and melanoma. She has been saying really weird shit to me recently, almost compulsively lying and now I am questioning her sickness... 
It’s a weird thing to do to lie about cancer, but she also claims she has a fortune she is going to inherit me and my friends, along with all this other crazy stuff, I don’t wanna ramble on too long but if you really wanna know PM me and I can tell you the whole story, sounds like it came out of a movie I’m not even kidding lol.
So, back to her sickness; I wanted to fact check some of the stuff she has told me just to finally know if she’s truly sick or not.
First things first, she said she got diagnosed around July or August. She said she didn’t even know she had any type of cancer until she got blood work done, and it was pretty bad. Fast forward to today; she say’s the doctor is only giving her 6-12 months to live (which is a huge gap) and the only way to expect a longer expectancy is through stem cells because she said she is too sick to do a full bone marrow transplant. What confuses is me is that she claims to be very sick but it doesn’t seem that noticeable? She doesn’t receive treatment because she says it’s no use, etc. 
Another statement I’d like fact checked is she claims her blood white cell count is over 40,000. Is this possible?
She has showed me her portal for her blood and cancer work but I don’t know what any of it means :(
However on one of her reports it had a “**” if anyone could tell me what that means. She says it indicates that it’s serious.
A lot of this is confusing me just because if she is this sick how does it not show? She tells us she’s in pain but she doesn’t show it which is hard to believe, another thing is why wouldn’t she continue treatment??
One last question: if all this adds up, then could it be spreading to her brain? And maybe that’s why she’s telling us crazy things (cause her being diagnosed with cancer is not the thing I doubt her the most about, it’s all the other insane stuff)</t>
        </is>
      </c>
      <c r="D7127" t="n">
        <v>1</v>
      </c>
      <c r="E7127" t="n">
        <v>0</v>
      </c>
      <c r="F7127">
        <f>HYPERLINK("https://www.reddit.com/r/cancer/comments/epxoz5/need_answers_thank_you_uneducated_about_cancer/")</f>
        <v/>
      </c>
      <c r="G7127" t="inlineStr">
        <is>
          <t>2020-01-17 00:26:48</t>
        </is>
      </c>
      <c r="H7127" t="inlineStr"/>
    </row>
    <row r="7128">
      <c r="A7128" t="inlineStr">
        <is>
          <t>epxp0o</t>
        </is>
      </c>
      <c r="B7128" t="inlineStr">
        <is>
          <t>Any stage IV bowel cancer sufferers/survivors out there</t>
        </is>
      </c>
      <c r="C7128" t="inlineStr">
        <is>
          <t>I (38m) have a bowel tumour that’s just starting to cause obstruction, several affected lymph nodes and a small lump on my liver. And a young family. 
I’m due to start Chemo in the next next week, and would appreciate any tips and heads up of what to expect (no horror stories please!). 
Also, any advice on dealing with kids as we go through it all.</t>
        </is>
      </c>
      <c r="D7128" t="n">
        <v>1</v>
      </c>
      <c r="E7128" t="n">
        <v>5</v>
      </c>
      <c r="F7128">
        <f>HYPERLINK("https://www.reddit.com/r/cancer/comments/epxp0o/any_stage_iv_bowel_cancer_suffererssurvivors_out/")</f>
        <v/>
      </c>
      <c r="G7128" t="inlineStr">
        <is>
          <t>2020-01-17 00:26:58</t>
        </is>
      </c>
      <c r="H7128" t="inlineStr"/>
    </row>
    <row r="7129">
      <c r="A7129" t="inlineStr">
        <is>
          <t>epyx3k</t>
        </is>
      </c>
      <c r="B7129" t="inlineStr">
        <is>
          <t>Doctors found cancer cells in my brother in laws lymph nodes.</t>
        </is>
      </c>
      <c r="C7129" t="inlineStr">
        <is>
          <t>He gets a PET scan on Monday 1/20. This is to find where the cancer came from, right? Does it ever just affect the lymph nodes? I guess we won’t know much until after the scan? Thanks.</t>
        </is>
      </c>
      <c r="D7129" t="n">
        <v>1</v>
      </c>
      <c r="E7129" t="n">
        <v>10</v>
      </c>
      <c r="F7129">
        <f>HYPERLINK("https://www.reddit.com/r/cancer/comments/epyx3k/doctors_found_cancer_cells_in_my_brother_in_laws/")</f>
        <v/>
      </c>
      <c r="G7129" t="inlineStr">
        <is>
          <t>2020-01-17 02:59:25</t>
        </is>
      </c>
      <c r="H7129" t="inlineStr"/>
    </row>
    <row r="7130">
      <c r="A7130" t="inlineStr">
        <is>
          <t>epziei</t>
        </is>
      </c>
      <c r="B7130" t="inlineStr">
        <is>
          <t>FOLFIRI treatment</t>
        </is>
      </c>
      <c r="C7130" t="inlineStr">
        <is>
          <t>Hello,
My mum was diagnosed with stage IV bile duct cancer a few months ago. Since cancer was inoperable doctors started chemotherapy treatment (gemcitabine + cisplatin). The treatment didn't help, cancer has spread even more, so the doctor changed her chemotherapy to FOLFIRI.
After first round of FOLFIRI my mum is feeling really awful, she has lost her appetite, has nausea and diarrhea, has no energy. Prescribed medicine to manage side effects helps only a little.
Anyone who have had this type of chemotherapy or has relatives who were treated this way, could you please help me by telling me what helped you through the process? What food made you feel better? How can I help my mum during this chemotherapy?
Any advice would be really appreciated.</t>
        </is>
      </c>
      <c r="D7130" t="n">
        <v>1</v>
      </c>
      <c r="E7130" t="n">
        <v>3</v>
      </c>
      <c r="F7130">
        <f>HYPERLINK("https://www.reddit.com/r/cancer/comments/epziei/folfiri_treatment/")</f>
        <v/>
      </c>
      <c r="G7130" t="inlineStr">
        <is>
          <t>2020-01-17 04:05:11</t>
        </is>
      </c>
      <c r="H7130" t="inlineStr"/>
    </row>
    <row r="7131">
      <c r="A7131" t="inlineStr">
        <is>
          <t>epzx3s</t>
        </is>
      </c>
      <c r="B7131" t="inlineStr">
        <is>
          <t>How to politely tell folks to back off?</t>
        </is>
      </c>
      <c r="C7131" t="inlineStr">
        <is>
          <t>My mom was diagnosed when I was 19. Stage 4 breast, I'm now 26 and I think she has about hit the 5 year mark on her treatment plan, which has felt like the lottery.
Every time I tell somebody, coworker, friend, I now expect to hear something kind of insulting related to her treatment plan, which involves infusions every 3 weeks. I'm not exactly sure when the "nothing but homeopathic remedies" method took off, but I've heard the gamut of remedies over the last 5 years to include: baking soda, extra doses of vitamin c, fruit, "this is the bodies' way of keeping score on your life lived", exc. 
I don't want to make these people feel awful for telling me this, as it might be their way of dealing with the news I've given them, but would like to hear from folks that are currently dealing with cancer/in remission/are family members of folks with cancer to see what you might say. Am I wrong to be insulted by this type of advice?</t>
        </is>
      </c>
      <c r="D7131" t="n">
        <v>1</v>
      </c>
      <c r="E7131" t="n">
        <v>4</v>
      </c>
      <c r="F7131">
        <f>HYPERLINK("https://www.reddit.com/r/cancer/comments/epzx3s/how_to_politely_tell_folks_to_back_off/")</f>
        <v/>
      </c>
      <c r="G7131" t="inlineStr">
        <is>
          <t>2020-01-17 04:46:23</t>
        </is>
      </c>
      <c r="H7131" t="inlineStr"/>
    </row>
    <row r="7132">
      <c r="A7132" t="inlineStr">
        <is>
          <t>epzzfr</t>
        </is>
      </c>
      <c r="B7132" t="inlineStr">
        <is>
          <t>Insurance stress, turned blessing.</t>
        </is>
      </c>
      <c r="C7132" t="inlineStr">
        <is>
          <t>My mother has been in the hospital for a week now. Started when the cancer pain became too much for us, so we went to the ER. They have been doing radiation on her spine while trying to get her pain managed. 
Yesterday, she was finally going to come home. We waited, and waited. And then waited some more until we were told that her insurance was requiring a pre-authorization that could take 24 hours. So, begrudgingly, she agreed to stay another night.
About 3am, she developed tachycardia. I know if she was home, she would have ignored this. She's annoyingly stubborn like that. She could have quite possibly had heart failure. Everything happens for a reason, right? Thank you, insurance.
Also, the tachycardia, I don't imagine that it's a good sign cancer-wise. Anyone else have any experiences with this?</t>
        </is>
      </c>
      <c r="D7132" t="n">
        <v>1</v>
      </c>
      <c r="E7132" t="n">
        <v>2</v>
      </c>
      <c r="F7132">
        <f>HYPERLINK("https://www.reddit.com/r/cancer/comments/epzzfr/insurance_stress_turned_blessing/")</f>
        <v/>
      </c>
      <c r="G7132" t="inlineStr">
        <is>
          <t>2020-01-17 04:52:43</t>
        </is>
      </c>
      <c r="H7132" t="inlineStr"/>
    </row>
    <row r="7133">
      <c r="A7133" t="inlineStr">
        <is>
          <t>eq25ey</t>
        </is>
      </c>
      <c r="B7133" t="inlineStr">
        <is>
          <t>Employee just diagnosed, how best to help?</t>
        </is>
      </c>
      <c r="C7133" t="inlineStr">
        <is>
          <t>This post seems trite looking at the others on this sub, but I figure those who have experienced cancer know best...
I'm the low-level supervisor of a rock-star employee who was just diagnosed with breast cancer. She's still in the phase where everything is up in the air and they're formulating a strategy. She seems to be in good hands, but she's always been a very anxious and kind of pessimistic personality.
The rest of my staff wants to get her flowers. She does like flowers, but I'm a more practical kind of person and also want to do a bit more if possible. You hear the term "work spouse" sometimes, and that's kind of our relationship. We've worked together for over a decade and while I flippantly tell people she's in charge and I'm just here to sign stuff and lift things, there's a grain of truth in it, too.
What's something that a person just beginning this journey might be in need of that they wouldn't necessarily think of in advance? When you were just diagnosed, was there anything you found particularly handy or comforting? Sorry if this is an insensitive or inappropriate question on this sub, I'm grateful that I have very little experience with this sort of thing.</t>
        </is>
      </c>
      <c r="D7133" t="n">
        <v>1</v>
      </c>
      <c r="E7133" t="n">
        <v>36</v>
      </c>
      <c r="F7133">
        <f>HYPERLINK("https://www.reddit.com/r/cancer/comments/eq25ey/employee_just_diagnosed_how_best_to_help/")</f>
        <v/>
      </c>
      <c r="G7133" t="inlineStr">
        <is>
          <t>2020-01-17 07:54:04</t>
        </is>
      </c>
      <c r="H7133" t="inlineStr"/>
    </row>
    <row r="7134">
      <c r="A7134" t="inlineStr">
        <is>
          <t>eq2hx3</t>
        </is>
      </c>
      <c r="B7134" t="inlineStr">
        <is>
          <t>Looking for info on RSO</t>
        </is>
      </c>
      <c r="C7134" t="inlineStr">
        <is>
          <t>Looking for info on RSO from people who have used it. Brother is starting high dose radiation and chemo next week for highly aggressive ex pleomorphic adenoma cancer. Research is conflicting, but mostly I’ve heard that thc/cbd help with treatment side effects. But then, also reading it could make cancer worse.
Thanks in advance</t>
        </is>
      </c>
      <c r="D7134" t="n">
        <v>1</v>
      </c>
      <c r="E7134" t="n">
        <v>5</v>
      </c>
      <c r="F7134">
        <f>HYPERLINK("https://www.reddit.com/r/cancer/comments/eq2hx3/looking_for_info_on_rso/")</f>
        <v/>
      </c>
      <c r="G7134" t="inlineStr">
        <is>
          <t>2020-01-17 08:18:36</t>
        </is>
      </c>
      <c r="H7134" t="inlineStr"/>
    </row>
    <row r="7135">
      <c r="A7135" t="inlineStr">
        <is>
          <t>eq48xu</t>
        </is>
      </c>
      <c r="B7135" t="inlineStr">
        <is>
          <t>Pancreatic Cancer can fuck right off.</t>
        </is>
      </c>
      <c r="C7135" t="inlineStr">
        <is>
          <t>My mom got some bad news on December 16th at the ER. Looks like stage 4 PC. One month later after a dozen doctors and a couple go rounds through the "best medical care in the world" , my mom is in the ICU with a pile of complications and hospice ASAP.  ONE MONTH. FUCK YOU PANCREATIC MOTHERFUCKING CANCER! 
I'm in the anger stage of this grief 😡.
Rant over. Very sad here. Getting on a plane to go home again. Maybe the last time.
This fucking sucks.</t>
        </is>
      </c>
      <c r="D7135" t="n">
        <v>1</v>
      </c>
      <c r="E7135" t="n">
        <v>33</v>
      </c>
      <c r="F7135">
        <f>HYPERLINK("https://www.reddit.com/r/cancer/comments/eq48xu/pancreatic_cancer_can_fuck_right_off/")</f>
        <v/>
      </c>
      <c r="G7135" t="inlineStr">
        <is>
          <t>2020-01-17 10:26:23</t>
        </is>
      </c>
      <c r="H7135" t="inlineStr"/>
    </row>
    <row r="7136">
      <c r="A7136" t="inlineStr">
        <is>
          <t>eq4eix</t>
        </is>
      </c>
      <c r="B7136" t="inlineStr">
        <is>
          <t>What measures exist or should be taken by the government to prevent cancer?</t>
        </is>
      </c>
      <c r="C7136" t="inlineStr">
        <is>
          <t>This post is only meant for discussion. I'm meaning to target lung cancer in this one, whoever you can answer the question as you wish. Also, by "government" I don't specifically mean the US government, but a government in general.</t>
        </is>
      </c>
      <c r="D7136" t="n">
        <v>1</v>
      </c>
      <c r="E7136" t="n">
        <v>2</v>
      </c>
      <c r="F7136">
        <f>HYPERLINK("https://www.reddit.com/r/cancer/comments/eq4eix/what_measures_exist_or_should_be_taken_by_the/")</f>
        <v/>
      </c>
      <c r="G7136" t="inlineStr">
        <is>
          <t>2020-01-17 10:37:31</t>
        </is>
      </c>
      <c r="H7136" t="inlineStr"/>
    </row>
    <row r="7137">
      <c r="A7137" t="inlineStr">
        <is>
          <t>eq4ho1</t>
        </is>
      </c>
      <c r="B7137" t="inlineStr">
        <is>
          <t>How is it possible that my mom and ALL of her friends have had or currently had cancer?</t>
        </is>
      </c>
      <c r="C7137" t="inlineStr">
        <is>
          <t>I just found out that my mom has stage iii invasive ductal carcinoma breast cancer. This is her third type of cancer, and each three have been completely unrelated to each other. (Previously she has stage III inflammatory and colon cancer, each cancer occurring within a few years from the last, and each time she made a full recovery, knock on wood.)
It seems that her and all of her best friends (all around 50-60 years old) have had run-ins breast cancer. One of them recently passed away about a year and a half ago. Her current best friend is a survivor. How is it that all of them have had it? Is it really that common or could it be related to their generation (i.e., higher prevalence of smoking when they were younger, less medical/prevention information available when they were younger?) also, they’ve all worked together on and off for two decades. Could it be related to asbestos or something similar in their office buildings? 
Or is this just the sick and terrifying reality of getting older?</t>
        </is>
      </c>
      <c r="D7137" t="n">
        <v>1</v>
      </c>
      <c r="E7137" t="n">
        <v>11</v>
      </c>
      <c r="F7137">
        <f>HYPERLINK("https://www.reddit.com/r/cancer/comments/eq4ho1/how_is_it_possible_that_my_mom_and_all_of_her/")</f>
        <v/>
      </c>
      <c r="G7137" t="inlineStr">
        <is>
          <t>2020-01-17 10:43:49</t>
        </is>
      </c>
      <c r="H7137" t="inlineStr"/>
    </row>
    <row r="7138">
      <c r="A7138" t="inlineStr">
        <is>
          <t>eq4y83</t>
        </is>
      </c>
      <c r="B7138" t="inlineStr">
        <is>
          <t>Basal cell carcinoma</t>
        </is>
      </c>
      <c r="C7138" t="inlineStr">
        <is>
          <t>I’m scared because I have a red dot on my face. It looks like a red pore. But it has been this way for at least a month now. I have google searched and I find stories about people thinking they had a zit but it turned out to be basal cell carcinoma. But none of the images really look like what I have got. I’m going to see a dermotologist for something else this weekend, but I will of course ask him about this thing too. 
While I’m waiting I’m just scared and posting because I hope someone can say anything about what else it can be. Has anyone else had a prolonged «red pore» and did it turn out to be cancer or something else?</t>
        </is>
      </c>
      <c r="D7138" t="n">
        <v>1</v>
      </c>
      <c r="E7138" t="n">
        <v>0</v>
      </c>
      <c r="F7138">
        <f>HYPERLINK("https://www.reddit.com/r/cancer/comments/eq4y83/basal_cell_carcinoma/")</f>
        <v/>
      </c>
      <c r="G7138" t="inlineStr">
        <is>
          <t>2020-01-17 11:17:09</t>
        </is>
      </c>
      <c r="H7138" t="inlineStr"/>
    </row>
    <row r="7139">
      <c r="A7139" t="inlineStr">
        <is>
          <t>eq5fcu</t>
        </is>
      </c>
      <c r="B7139" t="inlineStr">
        <is>
          <t>How to support wife of cancer patient?</t>
        </is>
      </c>
      <c r="C7139" t="inlineStr">
        <is>
          <t>My father recently learned that his cancer has come back and he's in much worse condition this time than last time. He had a doctor's appointment today and was told that he would have to be admitted to the hospital for the duration of his chemo because there is a high concern that he might not survive treatment. Chemo will start in no less than two weeks and he has plenty of appointments between now and then to determine how far his cancer has spread and the probability of survival.
I am not close to my father. I don't feel the need to go into detail, but I will say that while this is a sad situation I can feel sympathy towards, I can only feel that sympathy is a detached sense. However, my mother is still married to this man and we are close. This is obviously a very tough time for her. She's losing her husband at a fairly young age (she is very early 40s) and right as her children are leaving the house. There's a lot of change happening at once for her. Honestly, she's not super optimistic about the outcome of my dad's cancer--she's not given up, but with every appointment I can tell she's losing hope.
I want to support her in this time. I can't put my life on hold (I'm a student and I have a job and a social life), but I still want to be available for her. I'm just afraid that my feelings towards the actual patient in this situation will effect my ability to be as supportive as I want to be. And really, I don't even know how to support someone who's losing their spouse. Any advice on how to deal with this?</t>
        </is>
      </c>
      <c r="D7139" t="n">
        <v>1</v>
      </c>
      <c r="E7139" t="n">
        <v>4</v>
      </c>
      <c r="F7139">
        <f>HYPERLINK("https://www.reddit.com/r/cancer/comments/eq5fcu/how_to_support_wife_of_cancer_patient/")</f>
        <v/>
      </c>
      <c r="G7139" t="inlineStr">
        <is>
          <t>2020-01-17 11:51:37</t>
        </is>
      </c>
      <c r="H7139" t="inlineStr"/>
    </row>
    <row r="7140">
      <c r="A7140" t="inlineStr">
        <is>
          <t>eq6ahm</t>
        </is>
      </c>
      <c r="B7140" t="inlineStr">
        <is>
          <t>i want my dad to walk me down the aisle</t>
        </is>
      </c>
      <c r="C7140" t="inlineStr">
        <is>
          <t>I can’t imagine getting married without my dad. 
We don’t know how much time he has left, but the doctors aren’t looking hopeful, and he’s too weak to do chemo. 
He’s already experiencing fluid build up in his belly, which is supposedly a late “you’re dying” pancreatic cancer side effect. He’s lost so much weight, and he barely eats. I’m taking the semester off to be with him, but I’m scared.
My boyfriend and I have been together for almost two and a half years... I can see myself with him, and I don’t really think of marriage as the end of the world, 
I know it’s early, I’m only 20 (21 in March), but I want my dad to be at my wedding. Do I just say fuck it all and beg everyone involved to help me get married while my dad is still around? 
It’s important to me, but am I being rash?</t>
        </is>
      </c>
      <c r="D7140" t="n">
        <v>1</v>
      </c>
      <c r="E7140" t="n">
        <v>11</v>
      </c>
      <c r="F7140">
        <f>HYPERLINK("https://www.reddit.com/r/cancer/comments/eq6ahm/i_want_my_dad_to_walk_me_down_the_aisle/")</f>
        <v/>
      </c>
      <c r="G7140" t="inlineStr">
        <is>
          <t>2020-01-17 12:52:40</t>
        </is>
      </c>
      <c r="H7140" t="inlineStr"/>
    </row>
    <row r="7141">
      <c r="A7141" t="inlineStr">
        <is>
          <t>eq6mz4</t>
        </is>
      </c>
      <c r="B7141" t="inlineStr">
        <is>
          <t>Dad’s last Christmas was beautiful</t>
        </is>
      </c>
      <c r="C7141" t="inlineStr">
        <is>
          <t>My mum (62) and I (26F) just nursed my beautiful dad (64) through his last Christmas. 
Right now I’m living what has been my lifelong biggest fear, losing a parent. I’ve found a strange comfort in knowing nothing can ever hurt more than this. It’s amazing what you can pull through when the only other option is to crumble, and when you’ve got mama to hold up. 
He suffered an extremely rare and aggressive case of thyroid cancer, which spread right to his bones, where large tumours were growing throughout his body. He was in so much pain for so many months I feel like I was strangely desensitised to the deep empathy I used to feel. I almost had to force myself to disconnect from any emotion I felt to get through it. Especially when trying to help him eat after radiation on the throat, that was the most brutal part. A word of advice if you or someone you love are having radiation to the mouth or throat- opt for a feeding tube. I have never witnessed someone in such agony. It was really important to me that my dad didn’t see me break, I needed him to know I was going to be okay and that I would look after Mum and my brother.
My dad has always been somewhat stoic, never complained about anything, even through the worst of it. He kept us positive from day one, even though I think he knew what was coming. He prepared us for the worst while holding out hope for the best. 
He found relief from CBD oil, helping with pain relief, appetite, sleep, anxiety etc. Unfortunately the oil didn’t cure him but it sure made his last few months more relaxed and enjoyable. Thanks to the incredible nurses/elves we got to bring him home on Christmas Eve. He spent his last Christmas surrounded by his beloved wife, children, and pets. He passed peacefully on December 27th, and after he passed, a big smile came across his face. He was visibly free of pain and suffering, and that provided so much comfort. 
Cancer sucks. But it also gives us precious time, with a totally new perspective on how to use it. That I am grateful for. I got to sit and ask my dad every question I had for him, and I got to thank him for everything he has done for me. I got to tell him how much I love and appreciate him, and I got to hear how proud I have made him. We got to talk about all our favourite musicians and I got to pick his brain about all the music he has written, asking every question I could think of. How precious is that, that I got the chance to do that? When else would I have thought to ask that stuff? 
What I thought was going to be the scariest most awful time in my life turned out to be incredibly beautiful. What I expected to be the saddest Christmas has become the most special. I’ve got the fiercest angel watching over me now, I can feel him with me always, and that’s the best possible outcome.  I still miss him every second of everyday.</t>
        </is>
      </c>
      <c r="D7141" t="n">
        <v>1</v>
      </c>
      <c r="E7141" t="n">
        <v>7</v>
      </c>
      <c r="F7141">
        <f>HYPERLINK("https://www.reddit.com/r/cancer/comments/eq6mz4/dads_last_christmas_was_beautiful/")</f>
        <v/>
      </c>
      <c r="G7141" t="inlineStr">
        <is>
          <t>2020-01-17 13:16:27</t>
        </is>
      </c>
      <c r="H7141" t="inlineStr"/>
    </row>
    <row r="7142">
      <c r="A7142" t="inlineStr">
        <is>
          <t>eq6uqf</t>
        </is>
      </c>
      <c r="B7142" t="inlineStr">
        <is>
          <t>Just joining the community</t>
        </is>
      </c>
      <c r="C7142" t="inlineStr">
        <is>
          <t>I hope I don't have a reason to stay part of this community, except to support you wonderful people.
Today my doctor orders a biopsy because the ultrasound and CT scan didn't look good. It's such a wierd place to be right now.</t>
        </is>
      </c>
      <c r="D7142" t="n">
        <v>1</v>
      </c>
      <c r="E7142" t="n">
        <v>4</v>
      </c>
      <c r="F7142">
        <f>HYPERLINK("https://www.reddit.com/r/cancer/comments/eq6uqf/just_joining_the_community/")</f>
        <v/>
      </c>
      <c r="G7142" t="inlineStr">
        <is>
          <t>2020-01-17 13:31:40</t>
        </is>
      </c>
      <c r="H7142" t="inlineStr"/>
    </row>
    <row r="7143">
      <c r="A7143" t="inlineStr">
        <is>
          <t>eq7l8x</t>
        </is>
      </c>
      <c r="B7143" t="inlineStr">
        <is>
          <t>How long will it take my hair to go back to normal (not regrow)</t>
        </is>
      </c>
      <c r="C7143" t="inlineStr">
        <is>
          <t>My hair used to be more spiky and now it is really straight after the hair grew and I wanted to know how long it took for it to go back to how it used to be</t>
        </is>
      </c>
      <c r="D7143" t="n">
        <v>1</v>
      </c>
      <c r="E7143" t="n">
        <v>1</v>
      </c>
      <c r="F7143">
        <f>HYPERLINK("https://www.reddit.com/r/cancer/comments/eq7l8x/how_long_will_it_take_my_hair_to_go_back_to/")</f>
        <v/>
      </c>
      <c r="G7143" t="inlineStr">
        <is>
          <t>2020-01-17 14:26:16</t>
        </is>
      </c>
      <c r="H7143" t="inlineStr"/>
    </row>
    <row r="7144">
      <c r="A7144" t="inlineStr">
        <is>
          <t>eq80j4</t>
        </is>
      </c>
      <c r="B7144" t="inlineStr">
        <is>
          <t>Would anybody like to talk to the New York Times about quitting chemo?</t>
        </is>
      </c>
      <c r="C7144" t="inlineStr">
        <is>
          <t>I'm a producer for a new podcast from the New York Times about "walking away." Each episode is about the decisions we make before walking away from something, whether it be a marriage engagement, a problematic friendship or a dream job.
We're doing an episode about people who have walked away from life-prolonging treatments like chemo, and I'm wondering if anyone in here would be interested in telling us their story? Mods, please forgive/delete me if I'm overstepping, but if anyone wants to talk please message me on here or shoot me an email at [jordan@transmitter.fm](mailto:jordan@transmitter.fm)</t>
        </is>
      </c>
      <c r="D7144" t="n">
        <v>1</v>
      </c>
      <c r="E7144" t="n">
        <v>0</v>
      </c>
      <c r="F7144">
        <f>HYPERLINK("https://www.reddit.com/r/cancer/comments/eq80j4/would_anybody_like_to_talk_to_the_new_york_times/")</f>
        <v/>
      </c>
      <c r="G7144" t="inlineStr">
        <is>
          <t>2020-01-17 14:58:34</t>
        </is>
      </c>
      <c r="H7144" t="inlineStr"/>
    </row>
    <row r="7145">
      <c r="A7145" t="inlineStr">
        <is>
          <t>eq8erf</t>
        </is>
      </c>
      <c r="B7145" t="inlineStr">
        <is>
          <t>Feeling helpless.</t>
        </is>
      </c>
      <c r="C7145" t="inlineStr">
        <is>
          <t>I don’t even know where to begin...
My mom was recently diagnosed with stage 4 breast cancer. She was rushed to the hospital this past week because a CT scan showed she had blood clots in her lung and she’s had to stay in the hospital because they have to figure out which blood thinners won’t interact with her anti-seizure medication and which pain meds she should be on. 
I have PTSD and have recently been diagnosed with conversion disorder from a stroke that I had a few years ago when I was 32. This disorder means that when I get triggered I drop to the floor and have violent non-epileptic seizures. I scream, cry, flail my arms and legs, yell gibberish and hit myself while smashing my head on the floor. My triggers are mostly unexpected noises and seeing medical exams or hearing medical terms. 
I was with her at the hospital a few days ago when a loud screeching noise came over the speakers and I was triggered into having an episode. The next thing I knew I was strapped to a gurney wearing my own wristband with 6 hospital staff restraining me. My mom thinks it’s best if I don’t come and visit her at the hospital now because she’s worried about my safety and it’s extra stress for her. She even overheard a couple nurses talking about me last night saying they were freaked out by my episode because they didn’t know what to do. I feel so awful and helpless because I do end up hurting myself and I’m covered with bruises after an episode, but I need to be there for my mom. It’s just the worst situation and I feel like a terrible daughter. I’m scared to go to the hospital, but I don’t want to stay away either...</t>
        </is>
      </c>
      <c r="D7145" t="n">
        <v>1</v>
      </c>
      <c r="E7145" t="n">
        <v>6</v>
      </c>
      <c r="F7145">
        <f>HYPERLINK("https://www.reddit.com/r/cancer/comments/eq8erf/feeling_helpless/")</f>
        <v/>
      </c>
      <c r="G7145" t="inlineStr">
        <is>
          <t>2020-01-17 15:29:11</t>
        </is>
      </c>
      <c r="H7145" t="inlineStr"/>
    </row>
    <row r="7146">
      <c r="A7146" t="inlineStr">
        <is>
          <t>eq8k5w</t>
        </is>
      </c>
      <c r="B7146" t="inlineStr">
        <is>
          <t>Side effects (fatigue, chemo brain) worse on third chemo?</t>
        </is>
      </c>
      <c r="C7146" t="inlineStr">
        <is>
          <t>I’m on my third chemo - capecitabine - which is meant to be easier (tablets). I haven’t got hand foot syndrome or any of the other supposed most common side effects of this chemo.
However my fatigue and chemo brain is so bad that I’ve had to quit work (Australian. Thank god treatment is free and pharma costs limited to $2k a year).
I feel like the fatigue and chemo brain is so bad due to my previous chemo (AC, paclitaxel). Also had peripheral neuropathy which meant I had to reduce my xeloda dosage. Again this isn’t a normal side effect of xeloda but I did have it with paclitaxel.
Has anyone else got side effects which seemed like they were worse due to previous chemos?
#In particular does the fatigue get worse with each subsequent chemo???#
Or is this chemobrain in action? 🥴</t>
        </is>
      </c>
      <c r="D7146" t="n">
        <v>1</v>
      </c>
      <c r="E7146" t="n">
        <v>0</v>
      </c>
      <c r="F7146">
        <f>HYPERLINK("https://www.reddit.com/r/cancer/comments/eq8k5w/side_effects_fatigue_chemo_brain_worse_on_third/")</f>
        <v/>
      </c>
      <c r="G7146" t="inlineStr">
        <is>
          <t>2020-01-17 15:41:00</t>
        </is>
      </c>
      <c r="H7146" t="inlineStr"/>
    </row>
    <row r="7147">
      <c r="A7147" t="inlineStr">
        <is>
          <t>eq9wr4</t>
        </is>
      </c>
      <c r="B7147" t="inlineStr">
        <is>
          <t>(Question) my Dad is losing a ton of weight weight, stage 4 Lung cancer</t>
        </is>
      </c>
      <c r="C7147" t="inlineStr">
        <is>
          <t>Hello I hope all is well. We recently learned my Dad has stage 4 lung cancer, it took us by surprise because he never smoked a cigarette and lead a healthy life.
He is now doing immunotherapy and lost a lot of weight, is there any diets he can follow or superfoods he can use to hopefully gain that weight back?</t>
        </is>
      </c>
      <c r="D7147" t="n">
        <v>1</v>
      </c>
      <c r="E7147" t="n">
        <v>4</v>
      </c>
      <c r="F7147">
        <f>HYPERLINK("https://www.reddit.com/r/cancer/comments/eq9wr4/question_my_dad_is_losing_a_ton_of_weight_weight/")</f>
        <v/>
      </c>
      <c r="G7147" t="inlineStr">
        <is>
          <t>2020-01-17 17:32:48</t>
        </is>
      </c>
      <c r="H7147" t="inlineStr"/>
    </row>
    <row r="7148">
      <c r="A7148" t="inlineStr">
        <is>
          <t>eqahds</t>
        </is>
      </c>
      <c r="B7148" t="inlineStr">
        <is>
          <t>Should governments have stricter rules to prevent lung cancer?</t>
        </is>
      </c>
      <c r="C7148" t="inlineStr">
        <is>
          <t>As most of you know, lung cancer is the deadliest type of cancer. I'm wondering if you think the government should have stricter laws to avoid people from smoking indoors, inside cars, etc? Or encourage smokers to do regular cancer screening?
Overall, what do you think would be the best course of action the government should take to lower lung cancer in the US?</t>
        </is>
      </c>
      <c r="D7148" t="n">
        <v>1</v>
      </c>
      <c r="E7148" t="n">
        <v>5</v>
      </c>
      <c r="F7148">
        <f>HYPERLINK("https://www.reddit.com/r/cancer/comments/eqahds/should_governments_have_stricter_rules_to_prevent/")</f>
        <v/>
      </c>
      <c r="G7148" t="inlineStr">
        <is>
          <t>2020-01-17 18:23:24</t>
        </is>
      </c>
      <c r="H7148" t="inlineStr"/>
    </row>
    <row r="7149">
      <c r="A7149" t="inlineStr">
        <is>
          <t>eqb847</t>
        </is>
      </c>
      <c r="B7149" t="inlineStr">
        <is>
          <t>Update: Waiting on results</t>
        </is>
      </c>
      <c r="C7149" t="inlineStr">
        <is>
          <t>So, I did the test last Friday. Was told Monday results (I don't know different) so I started calling doc office and Lab twice a day. Doc quit calling back Tuesday. K cool I was annoying but not offensive. Lab tells me "it's pending" yesterday afternoon they tell me it was sent to California because of its specialty? Okey dokey. 
I go to my doc office this morning as a sit in until seen. She if Not my normal doc. Her eyebrows keep getting higher as I tell my story Again. She sends me off to do the urine one as a backup and gave me her email and said she'd call if blood came in over the weekend. 
Neurotic as I am, I emailed her later to thank her for giving 2 shits and here's my email jic and our cell numbers. Got an email back that the lab didn't take enough and California lab notified local lab Tuesday. They told no one and lied to me. Doc apologized and said she is investigating and be at the er in the morning to take another blood test to wait 7 more days. 
I don't even want someone's ass for this, I want answers. Just please  people in succession maybe do their jobs.  I'm even empathetic to the fuck up, just call me or tell me. This is my life. 
I'm tranqed so excuse any run-ons misspellings etc. 
Thanks for listening.</t>
        </is>
      </c>
      <c r="D7149" t="n">
        <v>1</v>
      </c>
      <c r="E7149" t="n">
        <v>7</v>
      </c>
      <c r="F7149">
        <f>HYPERLINK("https://www.reddit.com/r/cancer/comments/eqb847/update_waiting_on_results/")</f>
        <v/>
      </c>
      <c r="G7149" t="inlineStr">
        <is>
          <t>2020-01-17 19:31:00</t>
        </is>
      </c>
      <c r="H7149" t="inlineStr"/>
    </row>
    <row r="7150">
      <c r="A7150" t="inlineStr">
        <is>
          <t>eqbkhr</t>
        </is>
      </c>
      <c r="B7150" t="inlineStr">
        <is>
          <t>Chemo and radiation...whats your experience?</t>
        </is>
      </c>
      <c r="C7150" t="inlineStr">
        <is>
          <t>I am going to post op a week from today (January 24th) "HOPING" to go back to work!!!
I got a text from my boss checking in on me earlier today (First impression - thoughtful....but I'm sure there are ulterior motives of the boss/employee relationship trying to see what the expectations are for my returning to work....sorry I just don't believe in true friendship at the workplace - when you leave for one reason or another whether its finding another job or being laidoff/fired.....relationships tend to cease to exist once you are gone.....so in reality it might 'seem' thoughtful since I am rarely personal with my boss......but its more than likely him seeing how my performance/availability will become once returning to work)
I told him I had my surgical drain removed (yesterday), I was informed of the pathology results - and my surgeon is recommending chemo followed by radiation. He (apparently meant it to be joking) "So you aren't coming in Monday??"
I called my boss (I'm not giving my fingers are workout to text....and I'm giving him more detail) and retold him the information and I said I am fighting them to come back to work and work full time - he said that more than likely won't happen and was very understanding of my condition....He did say the text he sent before was a joke - he knew I wouldn't be coming in - he also said that if I needed to that I could work part time when I return. I understand that -  
HOWEVER I WANT TO GO BACK TO MY NORMAL ROUTINE/LIFE!! 
&amp;amp;#x200B;
I work Sun-Thurs....and my plan is to have the Chemo infusions after work on Thursdays so that I can be "down for the count" after work on Thursday - Saturday Night....and hopefully be ready for work on Sunday Morning (I "might" have to miss Sunday....Idk - I'm guessing at this point, this is my first time on chemo))
I told my boss I want and need to work full time just for my own personal conviction of self reliance....he said if I needed to I could work part time if needed until treatment is over.
&amp;amp;#x200B;
\*sigh....rant not helpful to the story but just need to say it\*
FUCK CANCER FUCK CANCER FUCK YOU CANCER FUCK YOU YOU ARE RUINING MY FUCKING LIFE I AM HAPPY YOU WERE CUT OUT OF ME!! NOW I JUST NEED TO MAKE SURE YOUR SIBLINGS (POSSIBLE CANCER ROOTS THAT 'COULD' HAVE ESCAPED THE MAIN TUMOR) I AM GOING TO COMMIT TOTAL GENOCIDE TO YOUR KIND IN MY BODY FUCK YOU!!!!!!! FUCK BREAST CANCER!!! FUCK EVERY TYPE OF CANCER FUCK YOU FUCK YOU FUCK YOU!!!!!!!!!!!!!!</t>
        </is>
      </c>
      <c r="D7150" t="n">
        <v>1</v>
      </c>
      <c r="E7150" t="n">
        <v>23</v>
      </c>
      <c r="F7150">
        <f>HYPERLINK("https://www.reddit.com/r/cancer/comments/eqbkhr/chemo_and_radiationwhats_your_experience/")</f>
        <v/>
      </c>
      <c r="G7150" t="inlineStr">
        <is>
          <t>2020-01-17 20:03:25</t>
        </is>
      </c>
      <c r="H7150" t="inlineStr"/>
    </row>
    <row r="7151">
      <c r="A7151" t="inlineStr">
        <is>
          <t>eqbt1g</t>
        </is>
      </c>
      <c r="B7151" t="inlineStr">
        <is>
          <t>I'm scared over my dad's diagnosis</t>
        </is>
      </c>
      <c r="C7151" t="inlineStr">
        <is>
          <t>To bring you up to speed to where we are now: my dad was first diagnosed with colon cancer in 2017. He had it removed. An annual pet scan discovered cancer had spread to his liver and lungs. It was colon cancer in his liver biopsy. Chemo for 6 months, liver lesion is gone but lung nodes are still there. 3 months of maintenance chemo and all is the same but one lung nodule is negligibly larger. 
Ive been really confused the past couple days. The doctor said hes going to keep continuing treatment with no end date. I have so many questions I'm too afraid to ask. Are we just keeping him on chemo until the cancer stops responding? Is he going to be suffering the side effects of chemo and not be able to fully enjoy the time we have left? How much time do we realistically have left? It's metastatic cancer. Am I being overdramatic? 
It's been so hard to watch him go through chemo, it breaks my heart that we cant say its over soon. I feel like I'm being overdramatic and I dont have anyone to talk to about it. Sorry if this is too much.</t>
        </is>
      </c>
      <c r="D7151" t="n">
        <v>1</v>
      </c>
      <c r="E7151" t="n">
        <v>5</v>
      </c>
      <c r="F7151">
        <f>HYPERLINK("https://www.reddit.com/r/cancer/comments/eqbt1g/im_scared_over_my_dads_diagnosis/")</f>
        <v/>
      </c>
      <c r="G7151" t="inlineStr">
        <is>
          <t>2020-01-17 20:26:53</t>
        </is>
      </c>
      <c r="H7151" t="inlineStr"/>
    </row>
    <row r="7152">
      <c r="A7152" t="inlineStr">
        <is>
          <t>eqe5ej</t>
        </is>
      </c>
      <c r="B7152" t="inlineStr">
        <is>
          <t>Hair loss</t>
        </is>
      </c>
      <c r="C7152" t="inlineStr">
        <is>
          <t>Hey Reddit. I completed chemo for lymphoma about a year ago and I still cannot seem to grow hair. In the recent months I have been getting thin, blondish hair but it can't ever seem to grow past an eighth of an inch. Should I give up on my hair? I've heard most people start growing it back at 3-6 months. People always say that I look good bald, but I'm tired of hearing that. I just want my hair back. Is there hope?</t>
        </is>
      </c>
      <c r="D7152" t="n">
        <v>1</v>
      </c>
      <c r="E7152" t="n">
        <v>14</v>
      </c>
      <c r="F7152">
        <f>HYPERLINK("https://www.reddit.com/r/cancer/comments/eqe5ej/hair_loss/")</f>
        <v/>
      </c>
      <c r="G7152" t="inlineStr">
        <is>
          <t>2020-01-18 00:58:10</t>
        </is>
      </c>
      <c r="H7152" t="inlineStr"/>
    </row>
    <row r="7153">
      <c r="A7153" t="inlineStr">
        <is>
          <t>eqgo32</t>
        </is>
      </c>
      <c r="B7153" t="inlineStr">
        <is>
          <t>Leukemia patient here</t>
        </is>
      </c>
      <c r="C7153" t="inlineStr">
        <is>
          <t>Greetings, this is 16 y/o girl and I have leukemia and it's my third blood cancer.  
I mean, The leukemia is in the second relapse.  
my doctor said my chances of survival are slim but I'm fighting as hard I can, to win from this sucks :3
So, I joined Reddit because my precious friend who always supports and encourages me often does Reddit. It would be good to share information about cancer with each other and cheer each other up.
&amp;amp;#x200B;
 I look forward to your kind words &amp;lt;3
&amp;amp;#x200B;
Have a good day!</t>
        </is>
      </c>
      <c r="D7153" t="n">
        <v>1</v>
      </c>
      <c r="E7153" t="n">
        <v>0</v>
      </c>
      <c r="F7153">
        <f>HYPERLINK("https://www.reddit.com/r/cancer/comments/eqgo32/leukemia_patient_here/")</f>
        <v/>
      </c>
      <c r="G7153" t="inlineStr">
        <is>
          <t>2020-01-18 05:57:45</t>
        </is>
      </c>
      <c r="H7153" t="inlineStr"/>
    </row>
    <row r="7154">
      <c r="A7154" t="inlineStr">
        <is>
          <t>eqhfaf</t>
        </is>
      </c>
      <c r="B7154" t="inlineStr">
        <is>
          <t>Socialising as a young adult with cancer.</t>
        </is>
      </c>
      <c r="C7154" t="inlineStr">
        <is>
          <t>Hi my name is Matthew, I was diagnosed with 2 germinoma brain tumors in 2017 after months of treatment I got the all clear.
The main struggle I had after treatment was the social isolation I faced. 
After a couple of tough years I decided to make a website where young adults aged 18-28 can join video calls to chat, play games, watch films and much more with each other.
I am planning to launch the website in a couple of months but I wondered if anyone on this would be interested in joining the calls? 
P. S. Sorry if I can't post things like this, wasn't sure where to post it!
P. S. S. Feel free to ask any questions if anything is unclear!</t>
        </is>
      </c>
      <c r="D7154" t="n">
        <v>1</v>
      </c>
      <c r="E7154" t="n">
        <v>25</v>
      </c>
      <c r="F7154">
        <f>HYPERLINK("https://www.reddit.com/r/cancer/comments/eqhfaf/socialising_as_a_young_adult_with_cancer/")</f>
        <v/>
      </c>
      <c r="G7154" t="inlineStr">
        <is>
          <t>2020-01-18 07:06:16</t>
        </is>
      </c>
      <c r="H7154" t="inlineStr"/>
    </row>
    <row r="7155">
      <c r="A7155" t="inlineStr">
        <is>
          <t>eqicic</t>
        </is>
      </c>
      <c r="B7155" t="inlineStr">
        <is>
          <t>How do I decide if I want to be at my mom's deathbed?</t>
        </is>
      </c>
      <c r="C7155" t="inlineStr">
        <is>
          <t>Mom's 13-year fight is coming to an end with alarming speed. I'm visiting her now, and she's saying her goodbye as though I'm to return to university on Tuesday. 
My instinct is to want to be here, by her side, as she goes. But I don't know if I'm strong enough. 
What would you do?</t>
        </is>
      </c>
      <c r="D7155" t="n">
        <v>1</v>
      </c>
      <c r="E7155" t="n">
        <v>17</v>
      </c>
      <c r="F7155">
        <f>HYPERLINK("https://www.reddit.com/r/cancer/comments/eqicic/how_do_i_decide_if_i_want_to_be_at_my_moms/")</f>
        <v/>
      </c>
      <c r="G7155" t="inlineStr">
        <is>
          <t>2020-01-18 08:21:07</t>
        </is>
      </c>
      <c r="H7155" t="inlineStr"/>
    </row>
    <row r="7156">
      <c r="A7156" t="inlineStr">
        <is>
          <t>eqjitn</t>
        </is>
      </c>
      <c r="B7156" t="inlineStr">
        <is>
          <t>Just another rant. Sorry</t>
        </is>
      </c>
      <c r="C7156" t="inlineStr">
        <is>
          <t>Like a lot of people with cancer I've had some difficulties dealing with the diagnosis, treatments, uncertainties, etc.  I basically have no one to talk to as my wife is completely occupied with dealing with two alcoholic sons, an aging mother and, to some degree, a lack of acceptance of how difficult this disease is to live with.  She sometimes seems to find it difficult to even say the word "cancer" and when I try to describe what it's like living with cancer and an uncertain future she says I'm too negative.  
Anyway, my cancer center referred me to a couple of counselors and I met them for a few sessions.  I didn't find it helpful in anyway and I no longer believe there's anything standard mental health treatments can offer me.  I tried some anti-depressant medications some years ago during a difficult time with some family chaos and it was horrible.  I had every negative side effect in the product insert and some that weren't.  Frankly, if I have to go into another therapist's office with a miniature zen garden on the desk and the smell of lavender in the air I'm going to scream.
So I guess I'm on my own for this.  If anyone has found anything unconventional that's helped them I'd be very grateful.</t>
        </is>
      </c>
      <c r="D7156" t="n">
        <v>1</v>
      </c>
      <c r="E7156" t="n">
        <v>13</v>
      </c>
      <c r="F7156">
        <f>HYPERLINK("https://www.reddit.com/r/cancer/comments/eqjitn/just_another_rant_sorry/")</f>
        <v/>
      </c>
      <c r="G7156" t="inlineStr">
        <is>
          <t>2020-01-18 09:42:26</t>
        </is>
      </c>
      <c r="H7156" t="inlineStr"/>
    </row>
    <row r="7157">
      <c r="A7157" t="inlineStr">
        <is>
          <t>eqk0pw</t>
        </is>
      </c>
      <c r="B7157" t="inlineStr">
        <is>
          <t>SSRIs during chemo and radiation?</t>
        </is>
      </c>
      <c r="C7157" t="inlineStr">
        <is>
          <t>My oncologist wants to put me on a low dose (10 mg) of Celexa during my treatment. I am currently using Ativan to control my anxiety. Anyone have experience with starting an SSRI as part of treatment? Thanks in advance...</t>
        </is>
      </c>
      <c r="D7157" t="n">
        <v>1</v>
      </c>
      <c r="E7157" t="n">
        <v>15</v>
      </c>
      <c r="F7157">
        <f>HYPERLINK("https://www.reddit.com/r/cancer/comments/eqk0pw/ssris_during_chemo_and_radiation/")</f>
        <v/>
      </c>
      <c r="G7157" t="inlineStr">
        <is>
          <t>2020-01-18 10:17:42</t>
        </is>
      </c>
      <c r="H7157" t="inlineStr"/>
    </row>
    <row r="7158">
      <c r="A7158" t="inlineStr">
        <is>
          <t>eqk7u2</t>
        </is>
      </c>
      <c r="B7158" t="inlineStr">
        <is>
          <t>My Granddad’s Cancer has Returned</t>
        </is>
      </c>
      <c r="C7158" t="inlineStr">
        <is>
          <t>This may be long. I just need to spew my emotions out a lil. 
I was partially raised by my granddad. We live with him, and when my parents broke up he filled in the fatherly gap. He is the sweetest and most kind hearted person I know. Everyone in our neighbourhood knows him and has a story of him being helpful or giving the best advice. 
Give or take ten years ago he was diagnosed with early stage prostate cancer and it was a terrible blow to us. However, he kicked cancers ass and he was cancer free within only a year or so. 
As of four months ago the cancer is back and has spread to his bones. To be honest, he doesn’t let it bother him and you’d never know he had such problems. He goes out shopping and plays golf every other day, is still swimming regularly, and even visits his older sister in the town over to keep an eye on her! He’s taking it in his stride. 
But. I know he may only have at most 5 years left. And that’s if he’s super lucky. He’s had a fantastic life, and everyone who knows him adores him but the idea of losing him is unbearable. I can’t imagine a world without watching old films with him and listening to his stories about the old days. He’s the light of them entire families lives.</t>
        </is>
      </c>
      <c r="D7158" t="n">
        <v>1</v>
      </c>
      <c r="E7158" t="n">
        <v>1</v>
      </c>
      <c r="F7158">
        <f>HYPERLINK("https://www.reddit.com/r/cancer/comments/eqk7u2/my_granddads_cancer_has_returned/")</f>
        <v/>
      </c>
      <c r="G7158" t="inlineStr">
        <is>
          <t>2020-01-18 10:31:21</t>
        </is>
      </c>
      <c r="H7158" t="inlineStr"/>
    </row>
    <row r="7159">
      <c r="A7159" t="inlineStr">
        <is>
          <t>eqlzjb</t>
        </is>
      </c>
      <c r="B7159" t="inlineStr">
        <is>
          <t>Recovering from WLE and lymph node biopsy, with more surgery on the way</t>
        </is>
      </c>
      <c r="C7159" t="inlineStr">
        <is>
          <t>Yesterday's surgery (wide local excision of left scalp and lymph node biopsy) went as well as can be expected. He said the lymph nodes didn't show any masses but he took the sentinel node and one other to be checked for cells.
Unfortunately he was unable to close the WLE area until he gets the biopsy results of the margins next week, so I have an 'open wound' about the width of a baseball on my left scalp. It's the bolster dressing some of you are familiar with.
I just need to ride out the next week, hopefully get good results and deal with the skin graft, which I assume will have another bolster dressing on top of that as well
This dressing has me nervous. It's just a little freaky and I'm anxious about being able to keep it clean lol.
I'm very lucky I can sleep with my CPAP mask on. The straps are on the lymph node incisions and that hurts but I can tolerate it. I've lost the feeling in the left side of my scalp which I assume is from the lymph node removal. Small price to pay for being alive.
The wound is leaking a bit. I'm wondering if I can work this week. I work from home so I might be able to. I don't want to burn too many sick days yet, because who knows what the future holds, and I will absolutely need time off after the skin graft.</t>
        </is>
      </c>
      <c r="D7159" t="n">
        <v>1</v>
      </c>
      <c r="E7159" t="n">
        <v>2</v>
      </c>
      <c r="F7159">
        <f>HYPERLINK("https://www.reddit.com/r/cancer/comments/eqlzjb/recovering_from_wle_and_lymph_node_biopsy_with/")</f>
        <v/>
      </c>
      <c r="G7159" t="inlineStr">
        <is>
          <t>2020-01-18 12:39:29</t>
        </is>
      </c>
      <c r="H7159" t="inlineStr"/>
    </row>
    <row r="7160">
      <c r="A7160" t="inlineStr">
        <is>
          <t>eqm4uv</t>
        </is>
      </c>
      <c r="B7160" t="inlineStr">
        <is>
          <t>Hair growing back differently?</t>
        </is>
      </c>
      <c r="C7160" t="inlineStr">
        <is>
          <t>I'm starting chemo next week and people keep telling me my hair will grow back differently, did that happen to anyone on here?   
These people, expect for one person, have never gone through chemo this is just something they have heard. I wasn't bothered by the idea of losing my hair until people kept saying this. I have thick curly hair that I love so it'd be a bummer if it grew back straight. I've also been told it might grow back grey. I'm female in my mid-twenties, getting treatment for breast cancer.</t>
        </is>
      </c>
      <c r="D7160" t="n">
        <v>1</v>
      </c>
      <c r="E7160" t="n">
        <v>14</v>
      </c>
      <c r="F7160">
        <f>HYPERLINK("https://www.reddit.com/r/cancer/comments/eqm4uv/hair_growing_back_differently/")</f>
        <v/>
      </c>
      <c r="G7160" t="inlineStr">
        <is>
          <t>2020-01-18 12:50:39</t>
        </is>
      </c>
      <c r="H7160" t="inlineStr"/>
    </row>
    <row r="7161">
      <c r="A7161" t="inlineStr">
        <is>
          <t>eqm8yj</t>
        </is>
      </c>
      <c r="B7161" t="inlineStr">
        <is>
          <t>The odds may finally be in my favor</t>
        </is>
      </c>
      <c r="C7161" t="inlineStr">
        <is>
          <t>July 4th weekend, I had just transitioned to part time work in preparation for retirement in the fall. My husband had also retired after years of working in an equally stressful job and we were anticipating traveling and enjoying life before settling down somewhere close to our adult children. Then I felt the lump in my armpit.  Very large.  How had I not noticed it before?  Thanks to a last minute opening at the breast center, I was scheduled for a mammogram and ultrasound within the week. I guess I knew what it meant when the poker-faced technicians asked the surgeon to step in to perform biopsies on my breast and lymph node on the spot.  My fears were confirmed a few days later. A lot of words I didn’t understand — HER2 positive, HR negative, something about blood markers — along with some I understood all too well — metastasized, aggressive.  Stage 2, I was told but whoops a few days later, the MRI spotted another small tumor and two more affected lymph nodes.  The doctors never officially upgraded it but I knew. 
I got my first inkling of what was in store from the look in my breast cancer survivor friend’s eyes when I told her. Three different surgeons from three well-regarded hospitals recommended chemo first.  I was dubious. I wanted the tumor gone yesterday and both breasts while they were at it but I was eventually convinced. You can guess what the next six months were like:  chemo, four kinds, every three weeks. Two of them fairly new and giving promising results for HER2+ breast cancer. The first round wasn't so bad. I was back at work and eating normally in a few days.  That didn’t last. Every round  the bad days lasted longer, the recovery was less complete until the neuropathy was constant and the list of things I could bring myself to eat could be counted on my fingers. By the last round I couldn’t eat or drink for a week and had to be hydrated intravenously. Worse, I was convinced the treatment was not working as well as the doctors hoped. Things had shrunk but I could still feel the enlarged lymph node and something hard in the breast. Residue from dead cancer cells, the doctors assured me but admitted they wouldn’t know for sure until after surgery.   
Surgery was scheduled for December but had to be put off as that last round of chemo had done a number on my red blood cells and they were not recovering. So weeks more of wondering and worrying.  Surgery was last week. I had been sure I wanted a mastectomy but the surgeon was “90% sure” a lumpectomy would get everything.  After hearing about what reconstruction would entail, I decided to take her advice.  Everything looked good but of course, there was further testing and more waiting.  Yesterday I got the good news. Pathological complete response. No evidence of cancer in the lymph nodes or breast tissue. The doctors finally admitted not everyone is so lucky even with the new drugs. I finally gave myself permission to google prognosis. The vast majority with this response alive after 10 years. I am about as cured as a person can be with this awful disease. I hope the breakthroughs they are making every year will give more and more of us this good news.</t>
        </is>
      </c>
      <c r="D7161" t="n">
        <v>1</v>
      </c>
      <c r="E7161" t="n">
        <v>0</v>
      </c>
      <c r="F7161">
        <f>HYPERLINK("https://www.reddit.com/r/cancer/comments/eqm8yj/the_odds_may_finally_be_in_my_favor/")</f>
        <v/>
      </c>
      <c r="G7161" t="inlineStr">
        <is>
          <t>2020-01-18 12:59:03</t>
        </is>
      </c>
      <c r="H7161" t="inlineStr"/>
    </row>
    <row r="7162">
      <c r="A7162" t="inlineStr">
        <is>
          <t>eqmm1w</t>
        </is>
      </c>
      <c r="B7162" t="inlineStr">
        <is>
          <t>Ideas for helping with appetite</t>
        </is>
      </c>
      <c r="C7162" t="inlineStr">
        <is>
          <t>My mom was diagnosed with stage four lung cancer right before Christmas. She did radiation but now the doctor is saying she doesn’t seem strong enough for chemo. She barely eats and my dad doesn’t know how to help her. What are some ways to increase her appetite? She takes an appetite stimulant and has tried edibles but neither seems to help much.</t>
        </is>
      </c>
      <c r="D7162" t="n">
        <v>1</v>
      </c>
      <c r="E7162" t="n">
        <v>8</v>
      </c>
      <c r="F7162">
        <f>HYPERLINK("https://www.reddit.com/r/cancer/comments/eqmm1w/ideas_for_helping_with_appetite/")</f>
        <v/>
      </c>
      <c r="G7162" t="inlineStr">
        <is>
          <t>2020-01-18 13:26:35</t>
        </is>
      </c>
      <c r="H7162" t="inlineStr"/>
    </row>
    <row r="7163">
      <c r="A7163" t="inlineStr">
        <is>
          <t>eqoia6</t>
        </is>
      </c>
      <c r="B7163" t="inlineStr">
        <is>
          <t>Stories of stage 4 lung cancer survival</t>
        </is>
      </c>
      <c r="C7163" t="inlineStr">
        <is>
          <t>Hey guys,
Just wanted to let you know I'm the woman who posted about her husband being diagnosed with stage 4 lung cancer about a month ago
As far as I can understand, he has been diagnosed stage 4 due to the cancer spreading to nearby lymph nodes and that the tumor seems to be touching the pleura and caused malignant pleural effusion
I am not 100% sure if his pleural effusion is malignant and caused by the cancer or not since at the same time he was dealing with a nasty infection and we weren't given any biopsy related to the effusion, just the tumor itself
Anyway he has done 2 rounds of chemo and his doctors plan to put him on 6 rounds in total before a new scan is done to see the results
So far he has been coughing way much less (only really coughs when he drinks water for some reason?) he no longer has pain on his shoulder and back and he can sleep on both sides without coughing and pain
Recently though he has been experiencing heavy headaches and a bit of delirium I presume from chemo since he had his 2nd round done a few days ago
He has been handling the after chemo symptoms much better than before and has even been steadily gaining weight. The doctors also say his breathing sounds better than before
What can we expect from all this? He hasnt had his cancer spread anywhere and it has remained solely in his right lung and pleural space when we had his CT scans done before his first round of chemo
I'm just looking to hear anything positive really and from other peoples' experiences. Is it possible to look forward to a long life together despite the diagnosis? Is there a chance that we can beat this to see him live healthy and strong?</t>
        </is>
      </c>
      <c r="D7163" t="n">
        <v>1</v>
      </c>
      <c r="E7163" t="n">
        <v>7</v>
      </c>
      <c r="F7163">
        <f>HYPERLINK("https://www.reddit.com/r/cancer/comments/eqoia6/stories_of_stage_4_lung_cancer_survival/")</f>
        <v/>
      </c>
      <c r="G7163" t="inlineStr">
        <is>
          <t>2020-01-18 15:45:54</t>
        </is>
      </c>
      <c r="H7163" t="inlineStr"/>
    </row>
    <row r="7164">
      <c r="A7164" t="inlineStr">
        <is>
          <t>eqokp5</t>
        </is>
      </c>
      <c r="B7164" t="inlineStr">
        <is>
          <t>Hey guys, just a break to say I love you all</t>
        </is>
      </c>
      <c r="C7164" t="inlineStr">
        <is>
          <t>For those fighting, you are heroes in the eyes of your family and those around you -- myself included.
For those who have loved ones who are fighting my heart is with you.
Love you guys and I hope maybe this post brings a little peace to the noise.</t>
        </is>
      </c>
      <c r="D7164" t="n">
        <v>1</v>
      </c>
      <c r="E7164" t="n">
        <v>7</v>
      </c>
      <c r="F7164">
        <f>HYPERLINK("https://www.reddit.com/r/cancer/comments/eqokp5/hey_guys_just_a_break_to_say_i_love_you_all/")</f>
        <v/>
      </c>
      <c r="G7164" t="inlineStr">
        <is>
          <t>2020-01-18 15:50:50</t>
        </is>
      </c>
      <c r="H7164" t="inlineStr"/>
    </row>
    <row r="7165">
      <c r="A7165" t="inlineStr">
        <is>
          <t>eqopvu</t>
        </is>
      </c>
      <c r="B7165" t="inlineStr">
        <is>
          <t>Advice when dealing with possible kidney diagnoses</t>
        </is>
      </c>
      <c r="C7165" t="inlineStr">
        <is>
          <t>Hello
I would like some advice on how to proceed with surgery scheduled. I recently had an MRI for hand numbness related to my MS condition. I had an MRI scheduled by my neurologist and they found a large 10cm mass on my retroperineal area. I was sent to my PCP by the neurologist. My doc ordered a CT and called me the day I got home from the test to confirm something was indeed on my kidney. The fact the imaging place told me the doc would get the report in 3 days yet, the Primary doctor called me One hour after I left imaging to confirm was very disturbing. He said he called a urologist At a top cancer hospital and he would come back in for work this week just to give me and appointment to advise what to do about the mass also heightened the level of concern/urgency. I went to this appointment and was told by the urologist that they would remove my kidney,  leaving one fully functioning one in me. He also told me my life should still be the same as before and no diet changes as I don’t drink alcohol or do drugs.  I had no symptoms prior regarding the kidney mass. My family and friends advise me to get second opinion before kidney removal. I am a new mom with a 1 year old. Doctor said is a 10-15 percent chance it’s NOT cancer based on my age (35) and the size of the mass. The urologist  said it maybe genetics. But the fact that it’s so big makes me believe the kidney coming out is not a big deal cause it’s engulfed by a mass and don’t know if it’s really functional due to the large mass enclosed. I didn’t think of a second option because I really want this thing out of me! Does anyone think it worth a biopsy prior to surgery at this point? Thanks for your time.
TDLR: is a 10cm kidney mass in a 35 F worth a biopsy prior to removal surgery?</t>
        </is>
      </c>
      <c r="D7165" t="n">
        <v>1</v>
      </c>
      <c r="E7165" t="n">
        <v>18</v>
      </c>
      <c r="F7165">
        <f>HYPERLINK("https://www.reddit.com/r/cancer/comments/eqopvu/advice_when_dealing_with_possible_kidney_diagnoses/")</f>
        <v/>
      </c>
      <c r="G7165" t="inlineStr">
        <is>
          <t>2020-01-18 16:01:36</t>
        </is>
      </c>
      <c r="H7165" t="inlineStr"/>
    </row>
    <row r="7166">
      <c r="A7166" t="inlineStr">
        <is>
          <t>eqpe7a</t>
        </is>
      </c>
      <c r="B7166" t="inlineStr">
        <is>
          <t>Headache concern</t>
        </is>
      </c>
      <c r="C7166" t="inlineStr">
        <is>
          <t>So on my left side , behind my ear towards the back is an area on my head that sometimes if I lightly touch or ru, I feel pressure in my head . It doesn’t happen all the time and sometimes when I rub it nothing happens . My anxiety keeps telling me brain tumor .
Demographics - male —- 23——— 5,8 216 pounds non smoker , diet is average</t>
        </is>
      </c>
      <c r="D7166" t="n">
        <v>1</v>
      </c>
      <c r="E7166" t="n">
        <v>2</v>
      </c>
      <c r="F7166">
        <f>HYPERLINK("https://www.reddit.com/r/cancer/comments/eqpe7a/headache_concern/")</f>
        <v/>
      </c>
      <c r="G7166" t="inlineStr">
        <is>
          <t>2020-01-18 16:55:53</t>
        </is>
      </c>
      <c r="H7166" t="inlineStr"/>
    </row>
    <row r="7167">
      <c r="A7167" t="inlineStr">
        <is>
          <t>eqpm3z</t>
        </is>
      </c>
      <c r="B7167" t="inlineStr">
        <is>
          <t>I’ve joined the exclusive bag-shitters club.</t>
        </is>
      </c>
      <c r="C7167" t="inlineStr">
        <is>
          <t>Admitted to the hospital Friday night, emergency surgery to deal woth the blockage this morning, now i’m shitting in a bag. Hopefully it’s temporary, but it’ll be for a few months at the bery least. Gimme y’alls best shit bag tips.</t>
        </is>
      </c>
      <c r="D7167" t="n">
        <v>1</v>
      </c>
      <c r="E7167" t="n">
        <v>14</v>
      </c>
      <c r="F7167">
        <f>HYPERLINK("https://www.reddit.com/r/cancer/comments/eqpm3z/ive_joined_the_exclusive_bagshitters_club/")</f>
        <v/>
      </c>
      <c r="G7167" t="inlineStr">
        <is>
          <t>2020-01-18 17:13:36</t>
        </is>
      </c>
      <c r="H7167" t="inlineStr"/>
    </row>
    <row r="7168">
      <c r="A7168" t="inlineStr">
        <is>
          <t>eqqorb</t>
        </is>
      </c>
      <c r="B7168" t="inlineStr">
        <is>
          <t>Ideas be nice lol I’m 18</t>
        </is>
      </c>
      <c r="C7168" t="inlineStr">
        <is>
          <t>My sis who’s only a couple years older is going through treatment. I’m not a dr or nothing but was wondering if there are things we haven’t tried or my ma hasn’t heard of. 
We just moved from a legalized state and when we didn’t have funds the dispensary hooked it up. Now, we are stuck somewhere it’s not legal. Are there any good alternatives? 
I’m watching her right now while my mom gets a break cause today has been horrible for my sister she’s not eating or keeping anything down and now is saying her stomach is hurting to touch. She’s uncomfortable and the marijuana used to help her eat and keep food down.</t>
        </is>
      </c>
      <c r="D7168" t="n">
        <v>1</v>
      </c>
      <c r="E7168" t="n">
        <v>2</v>
      </c>
      <c r="F7168">
        <f>HYPERLINK("https://www.reddit.com/r/cancer/comments/eqqorb/ideas_be_nice_lol_im_18/")</f>
        <v/>
      </c>
      <c r="G7168" t="inlineStr">
        <is>
          <t>2020-01-18 18:46:33</t>
        </is>
      </c>
      <c r="H7168" t="inlineStr"/>
    </row>
    <row r="7169">
      <c r="A7169" t="inlineStr">
        <is>
          <t>eqr7ao</t>
        </is>
      </c>
      <c r="B7169" t="inlineStr">
        <is>
          <t>Break from Chemo?</t>
        </is>
      </c>
      <c r="C7169" t="inlineStr">
        <is>
          <t>Has anyone ever had their doctor stop chemo therapy for a month then resume it?
What happened between that time?
How did everything turn out?</t>
        </is>
      </c>
      <c r="D7169" t="n">
        <v>1</v>
      </c>
      <c r="E7169" t="n">
        <v>11</v>
      </c>
      <c r="F7169">
        <f>HYPERLINK("https://www.reddit.com/r/cancer/comments/eqr7ao/break_from_chemo/")</f>
        <v/>
      </c>
      <c r="G7169" t="inlineStr">
        <is>
          <t>2020-01-18 19:33:53</t>
        </is>
      </c>
      <c r="H7169" t="inlineStr"/>
    </row>
    <row r="7170">
      <c r="A7170" t="inlineStr">
        <is>
          <t>eqs9j6</t>
        </is>
      </c>
      <c r="B7170" t="inlineStr">
        <is>
          <t>I'll probably never meet my mom's boyfriend.</t>
        </is>
      </c>
      <c r="C7170" t="inlineStr">
        <is>
          <t>My mom has been dating a guy for 2 years and he found out he has terminal pancreatic cancer a month ago after he lost a tonne of weight. Absolutely no treatment options. He is now 120lb from 260lb. He can't dress himself and sleeps most of the day and when he is lucid he is in complete and total agony. He doesn't want to meet anybody at this point. None of us have met him because my mom was embarrassed to be dating again in her 50s after being divorced.
He will probably die very soon, and none of us will ever get to meet him. I feel terrible for my mom and him and everyone else affected.</t>
        </is>
      </c>
      <c r="D7170" t="n">
        <v>1</v>
      </c>
      <c r="E7170" t="n">
        <v>5</v>
      </c>
      <c r="F7170">
        <f>HYPERLINK("https://www.reddit.com/r/cancer/comments/eqs9j6/ill_probably_never_meet_my_moms_boyfriend/")</f>
        <v/>
      </c>
      <c r="G7170" t="inlineStr">
        <is>
          <t>2020-01-18 21:17:55</t>
        </is>
      </c>
      <c r="H7170" t="inlineStr"/>
    </row>
    <row r="7171">
      <c r="A7171" t="inlineStr">
        <is>
          <t>eqsdzt</t>
        </is>
      </c>
      <c r="B7171" t="inlineStr">
        <is>
          <t>We’re doing it</t>
        </is>
      </c>
      <c r="C7171" t="inlineStr">
        <is>
          <t>These past 2 weeks and a half have been an absolute nightmare, but I have some good news, mum was admitted to hospital 2 weeks ago and she wasn’t responding to antibiotics and had low blood pressure and was on oxygen, they told us to gather the family because they weren’t sure if she would make it through the night, it’s now 2 weeks later and they just moved my mum from the big main city hospital back to our little hospital here, she did it, she survived the odds, she’s still receiving antibiotics which is now working and responding with her, she’s fighting her battle and she’s fighting it good, she can’t talk at all now which is heartbreaking but she’s so happy that she survived the odds that were against her, we all genuinely thought we were gonna lose her and we started to get everyone ready, and then a miracle happened! They won’t do chemo until she’s fully done with antibiotics and then once she has the strength and her immune system is strong, they’ll start chemo, she’s on a strict thick liquids only diet which she hates but she can’t drink anything without choking which then causes the infection, I’m so proud of my mumma, she truly is my warrior, I know that our battle is not over yet and I know there will be more speed bumps but I’m hoping we can do this, all your encouraging words have meant the world to me, and everyone checking up on me as well, we’re all in this battle together and although it’s hard sometimes, I have faith that we will all get through this❤️ I hope you are all doing well and of course my messages are always open if anyone needs someone to talk too❤️</t>
        </is>
      </c>
      <c r="D7171" t="n">
        <v>1</v>
      </c>
      <c r="E7171" t="n">
        <v>3</v>
      </c>
      <c r="F7171">
        <f>HYPERLINK("https://www.reddit.com/r/cancer/comments/eqsdzt/were_doing_it/")</f>
        <v/>
      </c>
      <c r="G7171" t="inlineStr">
        <is>
          <t>2020-01-18 21:31:15</t>
        </is>
      </c>
      <c r="H7171" t="inlineStr"/>
    </row>
    <row r="7172">
      <c r="A7172" t="inlineStr">
        <is>
          <t>eqsiva</t>
        </is>
      </c>
      <c r="B7172" t="inlineStr">
        <is>
          <t>Cannot handle this..</t>
        </is>
      </c>
      <c r="C7172" t="inlineStr">
        <is>
          <t>My mother (64) is a severely insulin dependent diabetic with co-morbid retinopathy and a slew of other health issues. We live six hours away from one another. On Christmas day, she was taken to the ER after the pancreatic billary stent she had placed became blocked and subsequently ruptured. A few hours and many scans later, my Dad texted me and said that she was going to be rushed to another hospital because she needed emergency surgery. The next morning, an utter shock came when my Dad told me that her doctors had found cancer during her procedure. Namely, stage 4 Lymphoma. For the next twenty-five days, I struggled incessantly with the fact that I had no way of visiting her because my fiance' and I are severely low income and had no vehicle nor anyone to ask for a ride. Still, at first things appeared optismtic and her oncologist began administering chemo. Three rounds later, she is completely debilatated. Although her tumors had slightly shrunken, her blood counts all plummeted, as did her energy and her appetite. She also has a number of severe infections and liver damage that I can only assume must be failure because of the symptoms that my father has detailed to me. Suffice it to say, I am almost certain that she will not be able to survive this awful disease. She can barely see, barely speak, has no appetite, no energy, bowel and bladder incontinence, pain, and severe lympodema and infections in multiple limbs. She has needed several blood transfusions. She is depressed to the point that she absolutely refuses to allow me to come there and visit her even though I finally got a vehicle. Her treatment team continues to give her antibiotics but her symptoms only worsen by the hour. It feels like my father knows something terrible is happening but he simply will not be honest with me about her prognosis. Things seem so irreversibly grim now, and I am terrified that soon she will be gone forever. Help.</t>
        </is>
      </c>
      <c r="D7172" t="n">
        <v>1</v>
      </c>
      <c r="E7172" t="n">
        <v>4</v>
      </c>
      <c r="F7172">
        <f>HYPERLINK("https://www.reddit.com/r/cancer/comments/eqsiva/cannot_handle_this/")</f>
        <v/>
      </c>
      <c r="G7172" t="inlineStr">
        <is>
          <t>2020-01-18 21:46:26</t>
        </is>
      </c>
      <c r="H7172" t="inlineStr"/>
    </row>
    <row r="7173">
      <c r="A7173" t="inlineStr">
        <is>
          <t>eqspdz</t>
        </is>
      </c>
      <c r="B7173" t="inlineStr">
        <is>
          <t>Whats the best way to ask for help?</t>
        </is>
      </c>
      <c r="C7173" t="inlineStr">
        <is>
          <t>I don't have cancer, my sister does though; she started going to the hospital just before Christmas, essentially with signs of sepsis.  This is of course when they found she had colon cancer, the mass was the size of a lime, and perforating her lower intestine.  Her condition became metastatic, and they found 3 masses in the liver (5.1 cm / 3 cm / 2 cm).  She's healing from the first 2 surgeries for the Colon mass, they are going to setup the liver surgery, and 6 months of Chemo.  Here's where my question comes in; I've read the rules, I'm not here to ask for donations, or any of that, but I'm somewhat of a social recluse, I don't do well on Facebook, or I mean most places if I'm being honest.  I care very much for my sister; her husbands always taken good care of the family, makes good money, plans for the future, but he's an independent contractor, and the catastrophic cap on the family is like, well its a lot, and I think it will cripple them financially.  I'm aware of things like GoFundMe, or even Facebook fundraiser, etc., I guess my question is: how should I go about this?  I'm afraid that I'm the wrong person to try and set it up.  Does that make sense?  Like if I start a GoFundMe, I'm afraid it won't get the kind of attention I guess I want it to.  I know my brother in law, hes a great man, I love him as I do my sister, but he's exceptionally private, and I know he won't ask for help.  I don't care though, its not for him, its for my sister right now, and I have to help her, however I can.  Are wookies real?  I don't know, but I'll suck a wookies dick, if it gets the right attention to this.  I love my sister, brother in law and my 2 nephews, I just want to do the best thing I can here.  If you have some experience setting up fundraisers, and can toss a suggestion of the best way to go about this, I would really appreciate it.  Again, I've read the rules, this is not solicitation or a donation request; this is a request for advice.  Thank you.</t>
        </is>
      </c>
      <c r="D7173" t="n">
        <v>1</v>
      </c>
      <c r="E7173" t="n">
        <v>0</v>
      </c>
      <c r="F7173">
        <f>HYPERLINK("https://www.reddit.com/r/cancer/comments/eqspdz/whats_the_best_way_to_ask_for_help/")</f>
        <v/>
      </c>
      <c r="G7173" t="inlineStr">
        <is>
          <t>2020-01-18 22:06:08</t>
        </is>
      </c>
      <c r="H7173" t="inlineStr"/>
    </row>
    <row r="7174">
      <c r="A7174" t="inlineStr">
        <is>
          <t>eqtrvt</t>
        </is>
      </c>
      <c r="B7174" t="inlineStr">
        <is>
          <t>People getting annoyed I don’t want to come out</t>
        </is>
      </c>
      <c r="C7174" t="inlineStr">
        <is>
          <t>So I’ve been in complete remission for almost 2 months now and I absolutely hate it when people keep pushing me to do stuff and then say they can tell I’m using cancer as an excuse. It’s like they assume that because I’m in remission I have no side effects from chemo. I hate it as I don’t know how to word it without being seen as someone who just doesn’t want to do stuff. Anyone else have issues like this?</t>
        </is>
      </c>
      <c r="D7174" t="n">
        <v>1</v>
      </c>
      <c r="E7174" t="n">
        <v>6</v>
      </c>
      <c r="F7174">
        <f>HYPERLINK("https://www.reddit.com/r/cancer/comments/eqtrvt/people_getting_annoyed_i_dont_want_to_come_out/")</f>
        <v/>
      </c>
      <c r="G7174" t="inlineStr">
        <is>
          <t>2020-01-19 00:23:52</t>
        </is>
      </c>
      <c r="H7174" t="inlineStr"/>
    </row>
    <row r="7175">
      <c r="A7175" t="inlineStr">
        <is>
          <t>equai1</t>
        </is>
      </c>
      <c r="B7175" t="inlineStr">
        <is>
          <t>The war is over...we have won.</t>
        </is>
      </c>
      <c r="C7175" t="inlineStr">
        <is>
          <t>My bone marrow test results and PET scene just came in. We have done it. We have beat cancer. I am 100% cancer free. I want to emphasize how much this group has helped me. Reading your stories. Reading your advice and generally having a community like this where I can have a conversation with someone who understands what I went through. Thank you all. We have won.</t>
        </is>
      </c>
      <c r="D7175" t="n">
        <v>1</v>
      </c>
      <c r="E7175" t="n">
        <v>41</v>
      </c>
      <c r="F7175">
        <f>HYPERLINK("https://www.reddit.com/r/cancer/comments/equai1/the_war_is_overwe_have_won/")</f>
        <v/>
      </c>
      <c r="G7175" t="inlineStr">
        <is>
          <t>2020-01-19 01:29:55</t>
        </is>
      </c>
      <c r="H7175" t="inlineStr"/>
    </row>
    <row r="7176">
      <c r="A7176" t="inlineStr">
        <is>
          <t>eqw8xp</t>
        </is>
      </c>
      <c r="B7176" t="inlineStr">
        <is>
          <t>Relationship Advice</t>
        </is>
      </c>
      <c r="C7176" t="inlineStr">
        <is>
          <t>I (28 M) met this girl (29 F) more than 18 months back. We hit it off quite well in the beginning. After some hurdles we felt we're both good with each other and started dating. 6 months go by and she stops talking to me for a couple of days. Then she tells me that she has stage 2 Leukaemia die to which she cannot continue to be with me. She comes from a very affluent family, so treatment cost is not an issue. 
I have repeatedly begged her to take me back but she insists she is doing what is best for me. She says that even if she gets through this phase of her life, the cancer will come back in some other form to get her. 
I really appreciate her concern but I'm willing to take my chances. She is done with her chemotherapy and is now on medication. She isn't talking to me anymore. I don't wish to physically confront her as her situation might be delicate.
The question I have for the good people here is: What should I tell her to convince that relationship is fine.
Please help.</t>
        </is>
      </c>
      <c r="D7176" t="n">
        <v>1</v>
      </c>
      <c r="E7176" t="n">
        <v>12</v>
      </c>
      <c r="F7176">
        <f>HYPERLINK("https://www.reddit.com/r/cancer/comments/eqw8xp/relationship_advice/")</f>
        <v/>
      </c>
      <c r="G7176" t="inlineStr">
        <is>
          <t>2020-01-19 05:31:25</t>
        </is>
      </c>
      <c r="H7176" t="inlineStr"/>
    </row>
    <row r="7177">
      <c r="A7177" t="inlineStr">
        <is>
          <t>eqwp00</t>
        </is>
      </c>
      <c r="B7177" t="inlineStr">
        <is>
          <t>Suddenly found out my colleague has terminal cancer. This is my first adult experience with death and I would appreciate any advice you can give me.</t>
        </is>
      </c>
      <c r="C7177" t="inlineStr">
        <is>
          <t xml:space="preserve"> \[Throwaway account\]
I recently found out that one of my colleagues has stage 4 terminal cancer and is estimated to have 12-18 months. I work in a small office - 4 men, 1 woman, all very genuine people - and this has had a big impact on all of us. We've all reacted to the news in our own different ways but it's clear there's a lot of love and support in the business for him. One of the salesmen put it best, "this isn't someone we don't know; it's in our house". 
This is my first real encounter with death as an adult. I'm not sure I can label exactly what I am feeling but there is certainly something there. My teammates all have different experiences and it's clear there's grief we all need to express somehow - possibly alone, possibly together. 
It is rare for all of us to be in the office together and the room/building we're in doesn't have anywhere to go and have a private conversation. Our options for meaningful conversations are very limited at the moment. I would like to try and find a way I could go about structuring those types of conversations for the team. We all want to support our friend who is going through this and help him enjoy the remaining time he spends with us. We also all need to do some self-care too. Is there a good way to do this in an office environment?
In terms of dealing with the person face-to-face, I am very calm and measured. They have asked to be treated as they would have been and I am happy to oblige. Although I am not a manager here, I have been a manager several times before and know how to listen and how to create an appropriately positive vibe in the office. That said, I have noticed that I am struggling more at home. I guess it feels like a minor depression and maybe it's part of a mini 5 stages of grief thing. I guess I could try and talk about it more with my wife but I don't know what to say. Also, she has a very different set of experiences around this topic to me, and maybe isn't the best conversational partner at this specific point in the process.
I feel like maybe I'm making this too much about me, but I also realise that it's happening parallel to me and to someone I care about. I think hearing some experiences or being asked some questions, in a forum that is dedicated to cancer, might help, kind of like immersion therapy, maybe. I am genuinely very grateful for any advice or help you can give me.</t>
        </is>
      </c>
      <c r="D7177" t="n">
        <v>1</v>
      </c>
      <c r="E7177" t="n">
        <v>0</v>
      </c>
      <c r="F7177">
        <f>HYPERLINK("https://www.reddit.com/r/cancer/comments/eqwp00/suddenly_found_out_my_colleague_has_terminal/")</f>
        <v/>
      </c>
      <c r="G7177" t="inlineStr">
        <is>
          <t>2020-01-19 06:12:44</t>
        </is>
      </c>
      <c r="H7177" t="inlineStr"/>
    </row>
    <row r="7178">
      <c r="A7178" t="inlineStr">
        <is>
          <t>eqwuab</t>
        </is>
      </c>
      <c r="B7178" t="inlineStr">
        <is>
          <t>112 days</t>
        </is>
      </c>
      <c r="C7178" t="inlineStr">
        <is>
          <t>112 days after her diagnosis my beautiful mother lost her battle with lung cancer. She went peacefully at home with family by her side. I spent her last night sleeping in her bed with her and was able to hold her hand while she took her last breath. 
I feel numb right now. Even though we have known since day one this is where we were headed, nothing can prepare you for it. I'm not sure how to go forward at this point. I'm not sure you can ever heal from a loss like this. 
I'm going to leave this group. It's been a great resource when I had questions or needed to read inspirational stories but for now, it's too much to see pop up on my phone.
To everyone else here battling this horrible disease, I hope your stories end differently than my mom's. You are amazing and stronger than I will ever be. 
As always, fuck cancer.</t>
        </is>
      </c>
      <c r="D7178" t="n">
        <v>1</v>
      </c>
      <c r="E7178" t="n">
        <v>5</v>
      </c>
      <c r="F7178">
        <f>HYPERLINK("https://www.reddit.com/r/cancer/comments/eqwuab/112_days/")</f>
        <v/>
      </c>
      <c r="G7178" t="inlineStr">
        <is>
          <t>2020-01-19 06:25:22</t>
        </is>
      </c>
      <c r="H7178" t="inlineStr"/>
    </row>
    <row r="7179">
      <c r="A7179" t="inlineStr">
        <is>
          <t>eqwv9x</t>
        </is>
      </c>
      <c r="B7179" t="inlineStr">
        <is>
          <t>Learn about lung cancer. Lung cancer treatment .</t>
        </is>
      </c>
      <c r="C7179" t="inlineStr">
        <is>
          <t xml:space="preserve"> There is a close relationship between lung cancer and smoking. Lung cancer is also associated with a decreased risk of developing lung cancer. Smoking is more prevalent in men and women with lung cancer than in women.  
Other causes of lung cancer include passive smoking, exposure to metals such as arsenic, chromium, beryllium, and nickel in various occupations, exposure to radiation, exposure to air pollution, and genetic causes.  
Symptoms may include bleeding with the mucus, unexpected weight loss, and shortness of breath. The cause of these symptoms is lung cancer by a doctor's X-ray or CT scan.  
Once diagnosed with lung cancer, a biopsy is necessary to determine and treat it permanently.  
Lung cancer can be divided into three main types. that,  
¥ Small Cell Cancer  
¥ Adeno Carcinoma  
¥ Squamous cell cancer.  
The combination of both adenocarcinoma and squamous cell cancer is also known as non-small cell (non-small cell).  
Depending on the type of cancer, the remedies can vary greatly.  
If the cancer is in its early stages, surgery can be done to remove it. Most often it is cancer that is confined to one part of the lungs and does not spread to lymph nodes or lymph nodes. CT scans, PET scans, and sometimes thoracoscopy techniques help to obtain this information.  
Once removed, chemotherapy can reduce the risk of relapse by 10% over the next five years. Often, two medications (Cisplatin / Vinorelbine) should be used for treatment for about three months.  
Sadly, many lung cancers cannot be diagnosed as advanced or advanced [cancer.](https://www.manshealthguide.com/2020/01/learn-about-lung-cancer-lung-cancer.html) 
[read more :](https://www.manshealthguide.com/2020/01/learn-about-lung-cancer-lung-cancer.html)</t>
        </is>
      </c>
      <c r="D7179" t="n">
        <v>1</v>
      </c>
      <c r="E7179" t="n">
        <v>4</v>
      </c>
      <c r="F7179">
        <f>HYPERLINK("https://www.reddit.com/r/cancer/comments/eqwv9x/learn_about_lung_cancer_lung_cancer_treatment/")</f>
        <v/>
      </c>
      <c r="G7179" t="inlineStr">
        <is>
          <t>2020-01-19 06:27:52</t>
        </is>
      </c>
      <c r="H7179" t="inlineStr"/>
    </row>
    <row r="7180">
      <c r="A7180" t="inlineStr">
        <is>
          <t>eqym2y</t>
        </is>
      </c>
      <c r="B7180" t="inlineStr">
        <is>
          <t>I've just joined reddit</t>
        </is>
      </c>
      <c r="C7180" t="inlineStr">
        <is>
          <t>greetings!
this is 16 y/o girl and I have leukemia and it's my third blood cancer. I mean, The leukemia is in the second relapse... also, my doctor said the chances of survival are slim. but I'm trying as hard I can :3
I joined Reddit today because my precious friend who always supports and encourages me often does Reddit even more than Facebook or some else lol
So, It would be good to share information about cancer and cheer each other up. I look forward to your kind words &amp;lt;3
Have a good day!</t>
        </is>
      </c>
      <c r="D7180" t="n">
        <v>1</v>
      </c>
      <c r="E7180" t="n">
        <v>0</v>
      </c>
      <c r="F7180">
        <f>HYPERLINK("https://www.reddit.com/r/cancer/comments/eqym2y/ive_just_joined_reddit/")</f>
        <v/>
      </c>
      <c r="G7180" t="inlineStr">
        <is>
          <t>2020-01-19 08:44:29</t>
        </is>
      </c>
      <c r="H7180" t="inlineStr"/>
    </row>
    <row r="7181">
      <c r="A7181" t="inlineStr">
        <is>
          <t>eqzfjp</t>
        </is>
      </c>
      <c r="B7181" t="inlineStr">
        <is>
          <t>First birthday without momma</t>
        </is>
      </c>
      <c r="C7181" t="inlineStr">
        <is>
          <t>Hi guys! The 29th will be my 28th birthday and my first birthday since my mom left us. Thanksgiving and Christmas were hard, but I think I was still kind of numb to it all at that point. How do you guys cope with all the firsts after losing someone?</t>
        </is>
      </c>
      <c r="D7181" t="n">
        <v>1</v>
      </c>
      <c r="E7181" t="n">
        <v>6</v>
      </c>
      <c r="F7181">
        <f>HYPERLINK("https://www.reddit.com/r/cancer/comments/eqzfjp/first_birthday_without_momma/")</f>
        <v/>
      </c>
      <c r="G7181" t="inlineStr">
        <is>
          <t>2020-01-19 09:43:18</t>
        </is>
      </c>
      <c r="H7181" t="inlineStr"/>
    </row>
    <row r="7182">
      <c r="A7182" t="inlineStr">
        <is>
          <t>eqzlta</t>
        </is>
      </c>
      <c r="B7182" t="inlineStr">
        <is>
          <t>Scared of radiotherapy</t>
        </is>
      </c>
      <c r="C7182" t="inlineStr">
        <is>
          <t>Excuse me if this looks dumb, first of all.
Hi I’m 23 yo F , I had breast cancer removed in october, finished my chemo in september.
Tomorrow will be my first radiotherapy session. I’m scared because I fear it hurts while undergoing it.
Plus I noticed a weird sensation when they were adjusting the machine position and measures to my body and necessities: at some point I had it very close to my face , I saw my eyes reflection in the machine’s glass and I thought about all the other people that saw theirs laying there in that bed. Maybe they were even more scared than me because radiotherapy was the only resource they had?
Just thinking about all the other patients that were under that same machine as me makes me feel small, my hands and feet freeze.
I’m aware this could sound like whiny bullshit but has anyone experienced this? What the hell does this mean? 
Thinking about 25 days of radio with such thoughts isn’t very nice</t>
        </is>
      </c>
      <c r="D7182" t="n">
        <v>1</v>
      </c>
      <c r="E7182" t="n">
        <v>16</v>
      </c>
      <c r="F7182">
        <f>HYPERLINK("https://www.reddit.com/r/cancer/comments/eqzlta/scared_of_radiotherapy/")</f>
        <v/>
      </c>
      <c r="G7182" t="inlineStr">
        <is>
          <t>2020-01-19 09:55:52</t>
        </is>
      </c>
      <c r="H7182" t="inlineStr"/>
    </row>
    <row r="7183">
      <c r="A7183" t="inlineStr">
        <is>
          <t>er1s17</t>
        </is>
      </c>
      <c r="B7183" t="inlineStr">
        <is>
          <t>Things to Never Say to a Cancer Patient</t>
        </is>
      </c>
      <c r="C7183" t="inlineStr">
        <is>
          <t>Hello Fellow Cancer Warriors!
I recently had someone in South Korea message me on Instagram and we got talking about how people talk to cancer warriors like ourselves.  I said that my biggest pet peeve is when people suggest that I am or should be ashamed of having cancer. She mentioned that she hates when people ask "what did you do to get cancer?"
I was wondering if anyone else has questions or comments like this that really grind their gears? I film a web series while in the chemo chair and want to talk about this with audiences. 
You can check out my series page here:
https://www.youtube.com/channel/UCsGh6eMcJvHh3ZOEenytWtQ
My *fingers crossed* last chemo session is this Wednesday. Then I get a PET Scan and the moment of truth. However, I still plan to create content to help Cancer Warriors build mental health strength and combat the stigma we experience in society. If you have any topics you think need to be talked aboit please let me know!</t>
        </is>
      </c>
      <c r="D7183" t="n">
        <v>1</v>
      </c>
      <c r="E7183" t="n">
        <v>60</v>
      </c>
      <c r="F7183">
        <f>HYPERLINK("https://www.reddit.com/r/cancer/comments/er1s17/things_to_never_say_to_a_cancer_patient/")</f>
        <v/>
      </c>
      <c r="G7183" t="inlineStr">
        <is>
          <t>2020-01-19 12:30:17</t>
        </is>
      </c>
      <c r="H7183" t="inlineStr"/>
    </row>
    <row r="7184">
      <c r="A7184" t="inlineStr">
        <is>
          <t>er2mul</t>
        </is>
      </c>
      <c r="B7184" t="inlineStr">
        <is>
          <t>this may be my dad's last night</t>
        </is>
      </c>
      <c r="C7184" t="inlineStr">
        <is>
          <t>im staying up whilst he is sedated and mum is asleep, was wondering if anyone felt like chatting</t>
        </is>
      </c>
      <c r="D7184" t="n">
        <v>1</v>
      </c>
      <c r="E7184" t="n">
        <v>4</v>
      </c>
      <c r="F7184">
        <f>HYPERLINK("https://www.reddit.com/r/cancer/comments/er2mul/this_may_be_my_dads_last_night/")</f>
        <v/>
      </c>
      <c r="G7184" t="inlineStr">
        <is>
          <t>2020-01-19 13:29:24</t>
        </is>
      </c>
      <c r="H7184" t="inlineStr"/>
    </row>
    <row r="7185">
      <c r="A7185" t="inlineStr">
        <is>
          <t>er3jo7</t>
        </is>
      </c>
      <c r="B7185" t="inlineStr">
        <is>
          <t>Cancer survivors: what were the first steps you took after you've received the news so you'd stay positive? What are the things your family and friends did that worked for you?</t>
        </is>
      </c>
      <c r="C7185" t="inlineStr">
        <is>
          <t>I know it's a broad question, but I'm just trying to make sense fo the whole thing with my dad being in this position, and I want to help him create support tools that makes sense to his situation. He's 76 and it's his second time battling cancer (first it was prostate which he beat, now liver cancer).</t>
        </is>
      </c>
      <c r="D7185" t="n">
        <v>1</v>
      </c>
      <c r="E7185" t="n">
        <v>4</v>
      </c>
      <c r="F7185">
        <f>HYPERLINK("https://www.reddit.com/r/cancer/comments/er3jo7/cancer_survivors_what_were_the_first_steps_you/")</f>
        <v/>
      </c>
      <c r="G7185" t="inlineStr">
        <is>
          <t>2020-01-19 14:32:59</t>
        </is>
      </c>
      <c r="H7185" t="inlineStr"/>
    </row>
    <row r="7186">
      <c r="A7186" t="inlineStr">
        <is>
          <t>er43tm</t>
        </is>
      </c>
      <c r="B7186" t="inlineStr">
        <is>
          <t>Positive stories anyone?</t>
        </is>
      </c>
      <c r="C7186" t="inlineStr">
        <is>
          <t>Hello! I (22f) have been diagnosed with hepatic cancer with metastases in the peritoneal cavity last week. Doctors from the internal medicine unit in the hospital I was staying at told me it would be terminal and chemotherapy would only give me some more time. An oncologist from the very same hospital told me there are still possibilities and a surgery after (hopefully!) removing the metastases by chemo therapy would open the option to eventually be cancer free. I really want to believe the oncologist but I cannot get rid of the thought that he just wanted to seem positive to keep me going for the chemo I am going to start soon. Is there maybe anyone who has been in a similar situation where things turned out fine? Right now I am just really scared and could use some stories of people who made it even though the odds seemed to be against them. I know nobody here can give me any securities for the future or anything but I think knowing that there are people out there who made it could really help me keep going right now..</t>
        </is>
      </c>
      <c r="D7186" t="n">
        <v>1</v>
      </c>
      <c r="E7186" t="n">
        <v>44</v>
      </c>
      <c r="F7186">
        <f>HYPERLINK("https://www.reddit.com/r/cancer/comments/er43tm/positive_stories_anyone/")</f>
        <v/>
      </c>
      <c r="G7186" t="inlineStr">
        <is>
          <t>2020-01-19 15:14:03</t>
        </is>
      </c>
      <c r="H7186" t="inlineStr"/>
    </row>
    <row r="7187">
      <c r="A7187" t="inlineStr">
        <is>
          <t>er47kq</t>
        </is>
      </c>
      <c r="B7187" t="inlineStr">
        <is>
          <t>Surgery update.</t>
        </is>
      </c>
      <c r="C7187" t="inlineStr">
        <is>
          <t>I had my surgery on 1/16. It ended up being 10 hours long instead of 8, but they didn’t end up having to cut my sternum. When they laid me down, everything fell to my throat, which I was so thankful for. Also, we found out that my tumor was wrapped around my esophagus and my trachea. My surgeon was also able to save both vocal cords, after she told us that morning that there’s a very good chance she couldn’t. I’ve been in the hospital since then and I’m doing so well. I had two drains and one got removed this morning. I’ve been having a hard time with my calcium levels so I was on a 30 hour infusion of calcium, which sucked, but now I’m able to maintain my levels with just oral meds. I’m hopefully going to be heading home tomorrow. I’m just so thankful to be doing so well after such a major surgery, and I’m so blessed to have such wonderful surgeons.</t>
        </is>
      </c>
      <c r="D7187" t="n">
        <v>1</v>
      </c>
      <c r="E7187" t="n">
        <v>6</v>
      </c>
      <c r="F7187">
        <f>HYPERLINK("https://www.reddit.com/r/cancer/comments/er47kq/surgery_update/")</f>
        <v/>
      </c>
      <c r="G7187" t="inlineStr">
        <is>
          <t>2020-01-19 15:21:46</t>
        </is>
      </c>
      <c r="H7187" t="inlineStr"/>
    </row>
    <row r="7188">
      <c r="A7188" t="inlineStr">
        <is>
          <t>er47sz</t>
        </is>
      </c>
      <c r="B7188" t="inlineStr">
        <is>
          <t>Does grief actually bring everyone together?</t>
        </is>
      </c>
      <c r="C7188" t="inlineStr">
        <is>
          <t>My grandpa is dying. Our family is already very estranged. It's not anyones fault, its just the way we are. Will everything be different when he passes? 
Will we all be brought together? Will it happen briefly then go back to normal? I want to have everyone close knit. All the time. I feel they want the same. What should I do? what can I do? I'm so lost.</t>
        </is>
      </c>
      <c r="D7188" t="n">
        <v>1</v>
      </c>
      <c r="E7188" t="n">
        <v>3</v>
      </c>
      <c r="F7188">
        <f>HYPERLINK("https://www.reddit.com/r/cancer/comments/er47sz/does_grief_actually_bring_everyone_together/")</f>
        <v/>
      </c>
      <c r="G7188" t="inlineStr">
        <is>
          <t>2020-01-19 15:22:14</t>
        </is>
      </c>
      <c r="H7188" t="inlineStr"/>
    </row>
    <row r="7189">
      <c r="A7189" t="inlineStr">
        <is>
          <t>er5axf</t>
        </is>
      </c>
      <c r="B7189" t="inlineStr">
        <is>
          <t>Stage 4 liver cancer</t>
        </is>
      </c>
      <c r="C7189" t="inlineStr">
        <is>
          <t>Hi reddit, this is my first post ever here. I would be very grateful if you guys could help enlighten me on cancer. 
Just yesterday, my uncle got diagnosed with liver cancer. Doctor did not specifically say which stage it is but it’s inoperable and it has spread to the lymph nodes.  It’s most probably stage 4 as it’s no longer curable. We can only improve his quality of life. 
Understand that whether on medication or chemotherapy, the results really depends on individuals and there’s no definite answer. 
The doctor told us there’s around 1-2 years or so left for my uncle. 
My main point is, is there anything we should be expecting as time passes? Like changes to his physical/mental abilities etc. 
And is 1-2 years a more or less accurate number? Because most posts I read ranges around 7-9 months only. 
Also, are the side effects of chemo worth it? Just to extend that ~6months more of life.. 
Thank you all in advance for your input on this.</t>
        </is>
      </c>
      <c r="D7189" t="n">
        <v>1</v>
      </c>
      <c r="E7189" t="n">
        <v>5</v>
      </c>
      <c r="F7189">
        <f>HYPERLINK("https://www.reddit.com/r/cancer/comments/er5axf/stage_4_liver_cancer/")</f>
        <v/>
      </c>
      <c r="G7189" t="inlineStr">
        <is>
          <t>2020-01-19 16:46:47</t>
        </is>
      </c>
      <c r="H7189" t="inlineStr"/>
    </row>
    <row r="7190">
      <c r="A7190" t="inlineStr">
        <is>
          <t>er5ehv</t>
        </is>
      </c>
      <c r="B7190" t="inlineStr">
        <is>
          <t>My mom died of lung cancer.</t>
        </is>
      </c>
      <c r="C7190" t="inlineStr">
        <is>
          <t>I don't really no how to start this so I'm just jumping in.
My mom died about 3 months ago, I can't believe time is moving so fast but really slow at the same time.
My mom got pretty sick in January of 2019, everyone thought it was something small but it got worse, she couldn't bend over anymore because of pressure in her neck and she didn't have as much energy anymore, my familie just said she was overreacting in the beginning, but that stopped when I had to help her take a shower, getting dressed, the basic stuff. She went to doctor several times but they never found anything until one night. It was late on a school night, my mom started panicking she thought she was having a heart attack, a ambulance came after some time and she was brought to the hospital. After a few hours she came home, they did allot of test, she didn't have a heart attack but the next day we found out wat she did have. We found out in may of 2019 she had lung cancer. After finding out she had to go to the hospital in 1 hour so we packed her stuff and left ( my mom dad and me) that memory is hard for me, they came home from the hospital after they got the news, I saw a tear in my dad's eyes my mom was crying ( my dad never cries) she came up to me told me she had cancer and hugged me for 5 minutes. Time was going so fast, she had to stay in the hospital after two hours I got a ride home and my dad went to my grandpa en grandma. I forgot to mention we found out my grandma had cancer again, we found that out on Thursday and about my mom on Friday, so chaos. (My grandmother is still alive and beating cancer for the second time she is 82 years old) I came home walked in the door and immediately fell to my knees and cried for hours. The next couple of days where my mom was in the hospital are a blur for me all i know is crying with my brothers and my dad and visiting my mom every day, I don't really remember any conversations. We talked about my mother's treatment, she got pills that should have shrunk the cancer. She came home after 3 weeks of being in the hospital, she had check ups but every thing seemed to be fine, we thought she was getting better, life went on and all seemed well we were all home ( my mom,dad,3 brothers and me) until November 2019.
In November my mom got picked up by an ambulance again because she wasn't feeling well, she said I wasn't necessary but her doctor send one to be sure, she got taken to the hospital again, everybody seemed to think it was nothing except me and my oldest brother we knew something wast right, I didn't know it at time but a do now. Another thing I haven't had the easy life so I had some mental problems I was working on, I hadn't got a panic attack since may but I did the day after my mom got in the hospital again my oldest brother felt shit that day to, I had no clue where that panic attack came from. On 2 October I was in the city I needed something and also got my second ear piercing, I say this because I remember this day extremely well, my dad texted me we needed the talk, I got a pit in my stomach and knew something was wrong, I went home immediately.
On 2 October 2019 we found out my mom would not beat lung cancer. I got home and my dad said me down and told me: " we found out the pills didn't work and some others pills we where looking at won't work as well and chemotherapy is not an option" my dad started crying and so did I, I knew exactly what that ment, there was nothing we could to stop the cancer. Mom was still in the hospital she wanted to go home. All I remember is crying with my familie, my mom finally got home on October 8.
On 8 October 2019 my mom got home from the hospital to make her comfortable. They told us she wouldn't have years, well years turned into months, months turned into days, and days eventually turned into hours. She came home and was so happy, she didn't really talk anymore ore eat we knew she didn't have long but we didn't know how long exactly. She got worse every hour I couldn't be in the room with her just seeing the shell of wat my mother used to be was extremely hard for me, the next day her hands and feet started to turn black, it got worse and worse, my mom was frightened by wat was happening. 
The night of 9 October 2019. It was around 11 PM and I was in charge of looking for a burial dress for my mother, I came downstairs to at 11:25, we where all looking at wat I chose when my mom started breathing harder, we didn't know what was happening she just didn't get enough oxygen, to our horror she woke up and started choking on fluids in her lungs, that was when we knew she needed the needle that would but her down.
9 October 2019 11:30 PM, my mother was dying slowly with that shot it could take about 24 hours before she died, me and my oldest brother couldn't watch her breathing get slower so went for a smoke we got back in 9 minutes, she had about 3 more breathes in her and then she took her last breath and died.
9 October 2019 11:40/11:45 PM. My mom died around that time time was moving so slow, they cleaned her and put her in the dress I picked out, everyone one was outside smoking and saying nothing, after some time I went inside and helped get her ready. The sad part about this was, I was more comfortable being with her when she was dead then when she was alive. After some time we made her look like mom again. Everyone got to say goodbye to her. They picked up her body around 4 AM. 4 days later we had her cremation. 
Its been a little more then 3 months since my mom died, we are healing but I'm not okay and that's okay, I know this is not going to be easy but I just miss my mom so much, i keep seeing stuff and thinking about her. I left out allot of details but its 1:40 AM and I have shool tomorrow. 
If any of you have some tips that may help with grieving that would be great. it just feels good typing this out. For anyone wondering my mom was 52 years old and I'm 17. Thankyou for reading.</t>
        </is>
      </c>
      <c r="D7190" t="n">
        <v>1</v>
      </c>
      <c r="E7190" t="n">
        <v>5</v>
      </c>
      <c r="F7190">
        <f>HYPERLINK("https://www.reddit.com/r/cancer/comments/er5ehv/my_mom_died_of_lung_cancer/")</f>
        <v/>
      </c>
      <c r="G7190" t="inlineStr">
        <is>
          <t>2020-01-19 16:55:00</t>
        </is>
      </c>
      <c r="H7190" t="inlineStr"/>
    </row>
    <row r="7191">
      <c r="A7191" t="inlineStr">
        <is>
          <t>er6hr7</t>
        </is>
      </c>
      <c r="B7191" t="inlineStr">
        <is>
          <t>Chest Port Recovery</t>
        </is>
      </c>
      <c r="C7191" t="inlineStr">
        <is>
          <t>Has anyone else had a chest port put in for chemotherapy? How long until you were around comfortably?</t>
        </is>
      </c>
      <c r="D7191" t="n">
        <v>1</v>
      </c>
      <c r="E7191" t="n">
        <v>19</v>
      </c>
      <c r="F7191">
        <f>HYPERLINK("https://www.reddit.com/r/cancer/comments/er6hr7/chest_port_recovery/")</f>
        <v/>
      </c>
      <c r="G7191" t="inlineStr">
        <is>
          <t>2020-01-19 18:22:54</t>
        </is>
      </c>
      <c r="H7191" t="inlineStr"/>
    </row>
    <row r="7192">
      <c r="A7192" t="inlineStr">
        <is>
          <t>er6iok</t>
        </is>
      </c>
      <c r="B7192" t="inlineStr">
        <is>
          <t>Dad’s Getting Lungs Drained Every 3 Days</t>
        </is>
      </c>
      <c r="C7192" t="inlineStr">
        <is>
          <t>Stage IV pancreatic cancer. No liver mets, but fluid accumulating rapidly in lungs now. Anyone have experience with this? Its terrible.</t>
        </is>
      </c>
      <c r="D7192" t="n">
        <v>1</v>
      </c>
      <c r="E7192" t="n">
        <v>1</v>
      </c>
      <c r="F7192">
        <f>HYPERLINK("https://www.reddit.com/r/cancer/comments/er6iok/dads_getting_lungs_drained_every_3_days/")</f>
        <v/>
      </c>
      <c r="G7192" t="inlineStr">
        <is>
          <t>2020-01-19 18:24:57</t>
        </is>
      </c>
      <c r="H7192" t="inlineStr"/>
    </row>
    <row r="7193">
      <c r="A7193" t="inlineStr">
        <is>
          <t>er7n6q</t>
        </is>
      </c>
      <c r="B7193" t="inlineStr">
        <is>
          <t>I was wondering...</t>
        </is>
      </c>
      <c r="C7193" t="inlineStr">
        <is>
          <t>why some tumors are affected by some types of chemo and some don't.</t>
        </is>
      </c>
      <c r="D7193" t="n">
        <v>1</v>
      </c>
      <c r="E7193" t="n">
        <v>11</v>
      </c>
      <c r="F7193">
        <f>HYPERLINK("https://www.reddit.com/r/cancer/comments/er7n6q/i_was_wondering/")</f>
        <v/>
      </c>
      <c r="G7193" t="inlineStr">
        <is>
          <t>2020-01-19 19:57:41</t>
        </is>
      </c>
      <c r="H7193" t="inlineStr"/>
    </row>
    <row r="7194">
      <c r="A7194" t="inlineStr">
        <is>
          <t>er98pa</t>
        </is>
      </c>
      <c r="B7194" t="inlineStr">
        <is>
          <t>Sleep please</t>
        </is>
      </c>
      <c r="C7194" t="inlineStr">
        <is>
          <t>Well I don't know what to say Here I Am 1 in the morning tomorrow I have my bone marrow biopsy next week I have my stem cell transplant it just seems like the closer and closer I get the less and less sleep that I get I started getting up at 5 in the morning and I just can't seem to sleep its 1 in the morning and I'm going to be up in 4 hours. Cant just talk to my wife, sh has anxiety disorder with panic attacks.  So here I am set to boil. I do all the things they say medication,  mindfulness,  sleeping pills, weed, ceratonin, and clonazepam. Everyone just keeps saying stay positive. Well fuck sometimes I dont want to. Sometimes I want to let myself feel awful and not have someone tell me to think positive.</t>
        </is>
      </c>
      <c r="D7194" t="n">
        <v>1</v>
      </c>
      <c r="E7194" t="n">
        <v>4</v>
      </c>
      <c r="F7194">
        <f>HYPERLINK("https://www.reddit.com/r/cancer/comments/er98pa/sleep_please/")</f>
        <v/>
      </c>
      <c r="G7194" t="inlineStr">
        <is>
          <t>2020-01-19 22:17:08</t>
        </is>
      </c>
      <c r="H7194" t="inlineStr"/>
    </row>
    <row r="7195">
      <c r="A7195" t="inlineStr">
        <is>
          <t>er9j5l</t>
        </is>
      </c>
      <c r="B7195" t="inlineStr">
        <is>
          <t>My mom just got diagnosed for the third time, looking for advice</t>
        </is>
      </c>
      <c r="C7195" t="inlineStr">
        <is>
          <t>I (24, M) can’t believe I’m having to post this but I just found out my mom has been diagnosed with some form of stomach cancer. She has beat breast and ovarian cancer in the past and I foolishly thought that would be the end of it.
I live in a different city than my family (about 2 hour drive away) for university. I’m just wondering if you guys have any advice on how to best support my family and mom from a different city. I know it will make my family happiest if I focus on school to finish my degree, but I still want to visit as much as possible. 
Do you guys have any advice? Thank you, and I have all of you in my heart as we cope with this fucking horrible disease together.</t>
        </is>
      </c>
      <c r="D7195" t="n">
        <v>1</v>
      </c>
      <c r="E7195" t="n">
        <v>4</v>
      </c>
      <c r="F7195">
        <f>HYPERLINK("https://www.reddit.com/r/cancer/comments/er9j5l/my_mom_just_got_diagnosed_for_the_third_time/")</f>
        <v/>
      </c>
      <c r="G7195" t="inlineStr">
        <is>
          <t>2020-01-19 22:45:48</t>
        </is>
      </c>
      <c r="H7195" t="inlineStr"/>
    </row>
    <row r="7196">
      <c r="A7196" t="inlineStr">
        <is>
          <t>er9npo</t>
        </is>
      </c>
      <c r="B7196" t="inlineStr">
        <is>
          <t>Mast cell leukemia?</t>
        </is>
      </c>
      <c r="C7196" t="inlineStr">
        <is>
          <t>Does anyone out there have this or are in remission.  I have my stem cell transplant next week and I cannot find anyone who has what I have.</t>
        </is>
      </c>
      <c r="D7196" t="n">
        <v>1</v>
      </c>
      <c r="E7196" t="n">
        <v>4</v>
      </c>
      <c r="F7196">
        <f>HYPERLINK("https://www.reddit.com/r/cancer/comments/er9npo/mast_cell_leukemia/")</f>
        <v/>
      </c>
      <c r="G7196" t="inlineStr">
        <is>
          <t>2020-01-19 22:58:18</t>
        </is>
      </c>
      <c r="H7196" t="inlineStr"/>
    </row>
    <row r="7197">
      <c r="A7197" t="inlineStr">
        <is>
          <t>er9sdu</t>
        </is>
      </c>
      <c r="B7197" t="inlineStr">
        <is>
          <t>Just lost my mom to cancer last Tuesday.</t>
        </is>
      </c>
      <c r="C7197" t="inlineStr">
        <is>
          <t>I’m 24 and I just lost my 57 year old mother to cancer. She was diagnosed back in 2016 with ovarian cancer and even after two rounds of chemotherapy and getting her ovaries and uterus removed, and even being in remission in 2018, it unfortunately ended up coming back. And it came back with a damn vengeance too. It spread everywhere. 
I found out my mom was going to die on December 13th and it felt like my world was crumbling around me. I’ll never forget my stepdad’s words on the phone, “this is going to take your mother, Sara.” 
Last Tuesday she passed away in the morning, holding my stepdad’s hand. I didn’t get to say goodbye to her, but I honestly think it would have been way too hard for me to do that. My mom also didn’t want me to be in pain by seeing her like that. She actually hid how sick she was from me for months even though in the back of my mind I had a bad feeling. She always just wanted to protect me from any pain I would be in. The last time I saw her was Christmas and I’m honestly thankful that my very last memory of her she was in a good mood and we were saying “I love you” to each other. 
I miss my mom so much and I think that I will miss her for the rest of my life, but I know that she is still with me somehow. I’m pretty sure she sent me a sign in my dream the other night, at least that’s how I’m choosing to take it. I feel as though I’ve been grieving and mourning my mom before she was even gone because I knew it was coming and she wasn’t herself the last couple months. It was as if she was the shell of who she used to be. She couldn’t do anything by herself anymore and she was the most independent, strong woman in the world so I know that was absolute hell for her. I feel relief that my mom is no longer sick and in pain but I resent that she had to get cancer in the first place. It’s just not fair. I don’t even know why I’m posting this to be honest, I kinda just needed to write it all out I guess. 
To anyone going through anything similar, my heart is with you. We will get through this. And to anyone who is battling cancer, you are so strong and I hope that you kick it’s ass. Fuck cancer.</t>
        </is>
      </c>
      <c r="D7197" t="n">
        <v>1</v>
      </c>
      <c r="E7197" t="n">
        <v>19</v>
      </c>
      <c r="F7197">
        <f>HYPERLINK("https://www.reddit.com/r/cancer/comments/er9sdu/just_lost_my_mom_to_cancer_last_tuesday/")</f>
        <v/>
      </c>
      <c r="G7197" t="inlineStr">
        <is>
          <t>2020-01-19 23:11:29</t>
        </is>
      </c>
      <c r="H7197" t="inlineStr"/>
    </row>
    <row r="7198">
      <c r="A7198" t="inlineStr">
        <is>
          <t>erb1yh</t>
        </is>
      </c>
      <c r="B7198" t="inlineStr">
        <is>
          <t>I’m really really surprised by who my supportive friends turned out to be</t>
        </is>
      </c>
      <c r="C7198" t="inlineStr">
        <is>
          <t>At the beginning of my treatment I thought maybe two or three of my friends would actually support me and that the others would just write one message and move on with their lives. But I realized that not only a lot more of them turned to be ultra supportive (like almost a dozen people write me everyday about various stuff and haven’t stopped in almost a month ) but I’m almost shocked at who it turned out to be ? Of course it feels weird that some people actually don’t give a shit about my treatment (like that one friend whom I was really close with basically told me that she wasn’t interested and another one who just hugged me without a word when I first told them and  hasn’t said anything to me ever since. ) All of that is weird but I’m also so gladly surprised by some other other people who revealed themselves to be amazing and supporting and very loving and I just can’t be grateful enough ! I just wanted to share this with you guys enjoy your day</t>
        </is>
      </c>
      <c r="D7198" t="n">
        <v>1</v>
      </c>
      <c r="E7198" t="n">
        <v>5</v>
      </c>
      <c r="F7198">
        <f>HYPERLINK("https://www.reddit.com/r/cancer/comments/erb1yh/im_really_really_surprised_by_who_my_supportive/")</f>
        <v/>
      </c>
      <c r="G7198" t="inlineStr">
        <is>
          <t>2020-01-20 01:29:47</t>
        </is>
      </c>
      <c r="H7198" t="inlineStr"/>
    </row>
    <row r="7199">
      <c r="A7199" t="inlineStr">
        <is>
          <t>erbn5x</t>
        </is>
      </c>
      <c r="B7199" t="inlineStr">
        <is>
          <t>Brother has a brain tumour, what can I do to help?</t>
        </is>
      </c>
      <c r="C7199" t="inlineStr">
        <is>
          <t>My (24M) brother (22M) found out a couple weeks ago that he has a brain tumour, about the size of a large grape. It is located above the pituitary gland, between the carotid arteries and optic nerves. 
Sounds like a pretty shitty place to get a brain tumour to be honest, although the neurosurgeon seems confident it would be easy to remove.  We are yet to know what type of tumour it is and won’t know until he has a biopsy. 
He has already started acting differently, not going to work, making impulse purchases outside his normal financial limits, spending a lot of time away from home. 
It’s upsetting to see home acting this way, and I know it must be his way of dealing with the news that he might have a rather serious brain tumour. 
We are reasonably close, I’m probably his closest friend, plus we work together so spend a lot of time around each other. Our boss has obviously noted his absence so I had a discrete conversation with the boss so he knows to be sensitive that my brother is dealing with this at the moment. 
I was hoping I might be able to get some advice on what I can do to help him cope? I don’t really want him to get himself in to financial difficulty without knowing what the potential outcome is.</t>
        </is>
      </c>
      <c r="D7199" t="n">
        <v>1</v>
      </c>
      <c r="E7199" t="n">
        <v>0</v>
      </c>
      <c r="F7199">
        <f>HYPERLINK("https://www.reddit.com/r/cancer/comments/erbn5x/brother_has_a_brain_tumour_what_can_i_do_to_help/")</f>
        <v/>
      </c>
      <c r="G7199" t="inlineStr">
        <is>
          <t>2020-01-20 02:40:22</t>
        </is>
      </c>
      <c r="H7199" t="inlineStr"/>
    </row>
    <row r="7200">
      <c r="A7200" t="inlineStr">
        <is>
          <t>ercwxp</t>
        </is>
      </c>
      <c r="B7200" t="inlineStr">
        <is>
          <t>Check up. Scared</t>
        </is>
      </c>
      <c r="C7200" t="inlineStr">
        <is>
          <t>On my way to my twice a year check up for cancer. A month ago they saw som "shadows" in my chest and some lymph nodes growth. They said it was normal and nothing to worry about, but I'm scared! Really scared!
In November 2017 I was diagnosed with malignant melanoma, amputated a toe and got rid of my cancer. I was chosen to participate in a research project. Now I get CAT scan every 6 month for the next 3 years.</t>
        </is>
      </c>
      <c r="D7200" t="n">
        <v>1</v>
      </c>
      <c r="E7200" t="n">
        <v>6</v>
      </c>
      <c r="F7200">
        <f>HYPERLINK("https://www.reddit.com/r/cancer/comments/ercwxp/check_up_scared/")</f>
        <v/>
      </c>
      <c r="G7200" t="inlineStr">
        <is>
          <t>2020-01-20 05:01:24</t>
        </is>
      </c>
      <c r="H7200" t="inlineStr"/>
    </row>
    <row r="7201">
      <c r="A7201" t="inlineStr">
        <is>
          <t>erizxe</t>
        </is>
      </c>
      <c r="B7201" t="inlineStr">
        <is>
          <t>Have you had Radioactive Iodine treatment? What are the long term side effects you've experienced?</t>
        </is>
      </c>
      <c r="C7201" t="inlineStr">
        <is>
          <t>I am told I need radioactive iodine treatment but am reading that there are long term effects that include significant damage to the tear ducts, salivary glands in addition to damage to the ability to smell and taste.
Six weeks ago I had a laryngectomy which has left me with a quality of life so low I hesitate to do anything that reduces it further.
If you've had radioactive iodine treatment, have you experienced any long term side effects?</t>
        </is>
      </c>
      <c r="D7201" t="n">
        <v>1</v>
      </c>
      <c r="E7201" t="n">
        <v>31</v>
      </c>
      <c r="F7201">
        <f>HYPERLINK("https://www.reddit.com/r/cancer/comments/erizxe/have_you_had_radioactive_iodine_treatment_what/")</f>
        <v/>
      </c>
      <c r="G7201" t="inlineStr">
        <is>
          <t>2020-01-20 12:21:25</t>
        </is>
      </c>
      <c r="H7201" t="inlineStr"/>
    </row>
    <row r="7202">
      <c r="A7202" t="inlineStr">
        <is>
          <t>erj0je</t>
        </is>
      </c>
      <c r="B7202" t="inlineStr">
        <is>
          <t>How to deal with scanxiety?</t>
        </is>
      </c>
      <c r="C7202" t="inlineStr">
        <is>
          <t>I'll have the pet/ct-scan to find out if I'm in remission or not this upcoming friday. And getting the results from my hematologist the tuesday after. I'm currently super moody, most likely because of the anxiety around this. Any tips on how to deal with this?</t>
        </is>
      </c>
      <c r="D7202" t="n">
        <v>1</v>
      </c>
      <c r="E7202" t="n">
        <v>13</v>
      </c>
      <c r="F7202">
        <f>HYPERLINK("https://www.reddit.com/r/cancer/comments/erj0je/how_to_deal_with_scanxiety/")</f>
        <v/>
      </c>
      <c r="G7202" t="inlineStr">
        <is>
          <t>2020-01-20 12:22:33</t>
        </is>
      </c>
      <c r="H7202" t="inlineStr"/>
    </row>
    <row r="7203">
      <c r="A7203" t="inlineStr">
        <is>
          <t>erksfq</t>
        </is>
      </c>
      <c r="B7203" t="inlineStr">
        <is>
          <t>Trying to post some good news</t>
        </is>
      </c>
      <c r="C7203" t="inlineStr">
        <is>
          <t>I had a longer post that was auto deleted without explanation, maybe it was too long, so here’s the TLDR. Last July I was diagnosed with metastatic HER2 positive breast cancer. Stage 2 officially, but I think actually stage 3 since later tests showed two additional affected lymph nodes.  Was convinced against my every instinct to have chemo first. The newer drugs, Herceptin and Perjeta, are supposed to provide good, almost miraculous, results in the majority of cases, but of course when you’re on that side of treatment, the number for people who saw less or no benefit looks pretty large. After six rounds, I could still feel the original swollen lymph node and something hard in my breast. Remnants of dead cancer cells the doctors thought, but could not be sure until surgery, which had to be delayed due to my stubborn low red blood cell count and the holidays. Finally had surgery on the 9th but had to wait another week for testing to be concluded. Turns out I had a very good response to the drugs and am in good shape to see the 5-10 years without recurrence that the majority with my response achieve (while still worrying I might be one of the minority that has a recurrence). I have six more months of targeted chemo and six weeks of radiation to endure but am starting to recover the hope that was lost all those months ago.</t>
        </is>
      </c>
      <c r="D7203" t="n">
        <v>1</v>
      </c>
      <c r="E7203" t="n">
        <v>11</v>
      </c>
      <c r="F7203">
        <f>HYPERLINK("https://www.reddit.com/r/cancer/comments/erksfq/trying_to_post_some_good_news/")</f>
        <v/>
      </c>
      <c r="G7203" t="inlineStr">
        <is>
          <t>2020-01-20 14:22:30</t>
        </is>
      </c>
      <c r="H7203" t="inlineStr"/>
    </row>
    <row r="7204">
      <c r="A7204" t="inlineStr">
        <is>
          <t>erm991</t>
        </is>
      </c>
      <c r="B7204" t="inlineStr">
        <is>
          <t>Radiotherapy for brain tumours</t>
        </is>
      </c>
      <c r="C7204" t="inlineStr">
        <is>
          <t>Hi,
I have had some good news in terms of my left ethmoid sinus tumour massively shrinking.
The oncologists have left me with an option for radio therapy. Unfortunately my tumour had spread through the lining of my brain cst layer and they are going to have to radiate my frontal and temporal lobe
I'm told this can have long term effects on personality short term memory whether I recognise certain people amongst others.
Does anybody have a good resource to look up stories of people who have had radio around brain masses and how it affected them long and short term?
I'm.looking through various forums and hospitals and charity sites but the statistics are always so varied.
My oncologist told me I have a 40 to 50 percent chance of serious damage to my brain. But then another source of info he handed to me said 5 Percent.
 Is he just overing his back? In case it all goes to hell. People are treated with radio for brain tumours every day. Surely they wouldn't all be given a 50 50 chance then treated.
I should mention my diagnosis is undifferentiated carcinoma of the left ethmlid sinus. It's very rare so there are basically bugger all case studies for it and the treatment is largely guess work they tell me. Well educated guess work..
T4b n2b mo 
Thanks for any help. I wish you all the best in your individual cases and challenges</t>
        </is>
      </c>
      <c r="D7204" t="n">
        <v>1</v>
      </c>
      <c r="E7204" t="n">
        <v>23</v>
      </c>
      <c r="F7204">
        <f>HYPERLINK("https://www.reddit.com/r/cancer/comments/erm991/radiotherapy_for_brain_tumours/")</f>
        <v/>
      </c>
      <c r="G7204" t="inlineStr">
        <is>
          <t>2020-01-20 16:06:18</t>
        </is>
      </c>
      <c r="H7204" t="inlineStr"/>
    </row>
    <row r="7205">
      <c r="A7205" t="inlineStr">
        <is>
          <t>ern8p1</t>
        </is>
      </c>
      <c r="B7205" t="inlineStr">
        <is>
          <t>She was an Angel, of the most valiant (8 year breast cancer battle) my story as her son</t>
        </is>
      </c>
      <c r="C7205" t="inlineStr">
        <is>
          <t>Hello everyone, I have never been on this sub but I read the rules and I hope this doesn’t break any, being that I am just going to quickly lay out the impact her fight with cancer had on her, our family, and my own wellbeing as a human in this world. I am feeling lost once again, and I believe support or hearing from others in my position may help.
She had a perfect life, met my dad when she was 18, and they were together every single moment until her passing. 
She never did drugs, never lied, never stole, never ever ever put herself before anyone especially her family. 
She only wanted to rejoice and shout to the heavens about how beautiful life is and all that is in it.
Then came the summer of my sophomore year in high school, where she called my siblings and I into the main room to inform us she has been diagnosed with Breast cancer. Of course we all mourned and sobbed, but she and my father quickly instilled in us the idea that this would be something we battle and defeat, and to support indefinitely.
8 years then went by, all full of laughter and happiness, she was the most positive happy go lucky a person could be, and most didn’t even know she was battling. She made the most of everything, wore wigs, we all shaved our Heads every time that she did. 
I was raised with the idea my mom was invincible. 
One day my father called me and said “this is it son, you need to come to the hospital, I am calling your siblings after you, it has become more complicated than medicine can handle, and she only has a few days”
It had spread to her liver, after like what, 4 or 5 fucking bouts of “remission” whatever that means ?? I dropped my phone and cried harder than I have ever seen a human cry, movies , funerals, nothing prepares you for the impending doom feeling of knowing my mom was sitting in a bed waiting for our faces so she could say goodbye. 
I didn’t have 8 years to mentally prepare for her death. I had one day. She passed away in front of my eyes, her body went cold and her fingers locked. 
She smiled at all of us and said to follow Jesus Christ in all that we do. I’m not here to get religious but that part wAas already something she AlwYs instilled in us 
I am 27 years old now, as she passed 4 years ago .. and guess what? I’m so much fuckint different. I am successful with my own business, a girl I love, my family is intact. 
But I fucking miss her ... I want to hug her and tell her stories and laugh with her. And there’s nothing I can ever do to prove that will ever happen, because if Heaven is real I won’t remember these sorrows and if it isn’t, then when I die that’s it. 
Please help me understand how to stop being pissed off @ the universe , God, or the world for giving me the best life and then ripping my heart out by taking her away. 
She was an Angel. Too good for this world.
I love you Danielle 💕💕💕 May you rest peacefully</t>
        </is>
      </c>
      <c r="D7205" t="n">
        <v>1</v>
      </c>
      <c r="E7205" t="n">
        <v>5</v>
      </c>
      <c r="F7205">
        <f>HYPERLINK("https://www.reddit.com/r/cancer/comments/ern8p1/she_was_an_angel_of_the_most_valiant_8_year/")</f>
        <v/>
      </c>
      <c r="G7205" t="inlineStr">
        <is>
          <t>2020-01-20 17:23:51</t>
        </is>
      </c>
      <c r="H7205" t="inlineStr"/>
    </row>
    <row r="7206">
      <c r="A7206" t="inlineStr">
        <is>
          <t>ero4b2</t>
        </is>
      </c>
      <c r="B7206" t="inlineStr">
        <is>
          <t>Free trips/perks for cancer patients and survivors?</t>
        </is>
      </c>
      <c r="C7206" t="inlineStr">
        <is>
          <t>35 yo aml/stem cell transplant a year ago. I'm currently on disability and have never really traveled. I'm wondering if any of you have done or heard of any fun or interesting free trips or other things out there for people dealing with our have dealt with cancer. I'm also planning on going back to school and am looking into scholarships. if anyone knows about anything i can take advantage of i would love to hear about it!</t>
        </is>
      </c>
      <c r="D7206" t="n">
        <v>1</v>
      </c>
      <c r="E7206" t="n">
        <v>4</v>
      </c>
      <c r="F7206">
        <f>HYPERLINK("https://www.reddit.com/r/cancer/comments/ero4b2/free_tripsperks_for_cancer_patients_and_survivors/")</f>
        <v/>
      </c>
      <c r="G7206" t="inlineStr">
        <is>
          <t>2020-01-20 18:35:34</t>
        </is>
      </c>
      <c r="H7206" t="inlineStr"/>
    </row>
    <row r="7207">
      <c r="A7207" t="inlineStr">
        <is>
          <t>ero6ox</t>
        </is>
      </c>
      <c r="B7207" t="inlineStr">
        <is>
          <t>Having a Bone marrow biopsy tomorrow...</t>
        </is>
      </c>
      <c r="C7207" t="inlineStr">
        <is>
          <t>M26, in the 17th I was diagnosed with T-cell Non Hodgkin’s lymphoma and tomorrow they are performing a bone marrow biopsy and I’m scared to death. Anyone in here had one and know what to expect? I know it’s the process before I start chemo but still any advice would help.</t>
        </is>
      </c>
      <c r="D7207" t="n">
        <v>1</v>
      </c>
      <c r="E7207" t="n">
        <v>18</v>
      </c>
      <c r="F7207">
        <f>HYPERLINK("https://www.reddit.com/r/cancer/comments/ero6ox/having_a_bone_marrow_biopsy_tomorrow/")</f>
        <v/>
      </c>
      <c r="G7207" t="inlineStr">
        <is>
          <t>2020-01-20 18:41:06</t>
        </is>
      </c>
      <c r="H7207" t="inlineStr"/>
    </row>
    <row r="7208">
      <c r="A7208" t="inlineStr">
        <is>
          <t>erot4h</t>
        </is>
      </c>
      <c r="B7208" t="inlineStr">
        <is>
          <t>She isn't getting better...</t>
        </is>
      </c>
      <c r="C7208" t="inlineStr">
        <is>
          <t>My best friend (15 y/o female) was diagnosed with Glioblastoma for the third time in June 2019, and told she had a month to live. She started treatments, and was getting better for a while, then a bit worse, but then she stabilized for about 3 months. On January 1st she had a large seizure (or potentially a small stroke, the doctors aren't sure), and she wound up in the hospital, but ever since then she hasn't been getting better.
I was hanging out with her tonight and she had no energy. She almost fell out of her seat because she could not hold herself up on her own. She is getting worse every day. She had another seizure today. She'll probably wind up in the hospital tomorrow. (We are just monitoring her for tonight.) I'm scared. She looked so sick. She has never looked so bad before. Ever. In 3 rounds of Glio, never once has she been like this. She has had seizures before, but said this one felt different than her others she has had before. I think we are near the end, but no one wants to say it. My best friend in the whole world is dying and there is nothing I can do to save her.</t>
        </is>
      </c>
      <c r="D7208" t="n">
        <v>1</v>
      </c>
      <c r="E7208" t="n">
        <v>3</v>
      </c>
      <c r="F7208">
        <f>HYPERLINK("https://www.reddit.com/r/cancer/comments/erot4h/she_isnt_getting_better/")</f>
        <v/>
      </c>
      <c r="G7208" t="inlineStr">
        <is>
          <t>2020-01-20 19:32:38</t>
        </is>
      </c>
      <c r="H7208" t="inlineStr"/>
    </row>
    <row r="7209">
      <c r="A7209" t="inlineStr">
        <is>
          <t>erpq7n</t>
        </is>
      </c>
      <c r="B7209" t="inlineStr">
        <is>
          <t>Grandfather</t>
        </is>
      </c>
      <c r="C7209" t="inlineStr">
        <is>
          <t>Hi my grandpa passed away 1 decade ago because of ling cancer. i have decided to raise some money for Cancer research Uk by selling a david dobrik official hoodie. 
Thanks for your time, here is the link: https://www.ebay.co.uk/ulk/itm/164033239260 ⁦‪</t>
        </is>
      </c>
      <c r="D7209" t="n">
        <v>1</v>
      </c>
      <c r="E7209" t="n">
        <v>0</v>
      </c>
      <c r="F7209">
        <f>HYPERLINK("https://www.reddit.com/r/cancer/comments/erpq7n/grandfather/")</f>
        <v/>
      </c>
      <c r="G7209" t="inlineStr">
        <is>
          <t>2020-01-20 20:53:45</t>
        </is>
      </c>
      <c r="H7209" t="inlineStr"/>
    </row>
    <row r="7210">
      <c r="A7210" t="inlineStr">
        <is>
          <t>erqmgw</t>
        </is>
      </c>
      <c r="B7210" t="inlineStr">
        <is>
          <t>soft cell sarcoma in leg. Sared &amp;amp; Need some positive encouragement</t>
        </is>
      </c>
      <c r="C7210" t="inlineStr">
        <is>
          <t>I have a soft cell scaroma tumor in my thigh, Have done 5 weeks of radiation &amp;amp; am going for surgery this coming monday. I think I'll be okay, Drs. say so &amp;amp; friends &amp;amp; family say so too.  BUT am scared as hell!! &amp;amp; my imagination is going crazy!! What pisses me off is that I Have NO Choice. Either cut it out of suffer hell if don't do anything. Damn, Damn, Damn!!!!!
Guess I Need some - A LOT - of positive encouragement. Wish me well I guess.  Maybe Telling me a joke might help.</t>
        </is>
      </c>
      <c r="D7210" t="n">
        <v>1</v>
      </c>
      <c r="E7210" t="n">
        <v>3</v>
      </c>
      <c r="F7210">
        <f>HYPERLINK("https://www.reddit.com/r/cancer/comments/erqmgw/soft_cell_sarcoma_in_leg_sared_need_some_positive/")</f>
        <v/>
      </c>
      <c r="G7210" t="inlineStr">
        <is>
          <t>2020-01-20 22:18:58</t>
        </is>
      </c>
      <c r="H7210" t="inlineStr"/>
    </row>
    <row r="7211">
      <c r="A7211" t="inlineStr">
        <is>
          <t>errh2h</t>
        </is>
      </c>
      <c r="B7211" t="inlineStr">
        <is>
          <t>My mother has recently been diagnosed with colon cancer</t>
        </is>
      </c>
      <c r="C7211" t="inlineStr">
        <is>
          <t>My mother has recently been diagnosed with colon cancer. I am glad I have stumbled upon this subreddit because I genuinely need all the support I can get. My heart is shattered into pieces. I cry every day and I can't get it off my mind. I try my best to be happy, but the thought of seeing my mother in the hospital brings upon my tears. I don't know how I can handle this. If someone can give me tips on how to get through this I would really appreciate it. Its very hard for me to deal with this. I'm trying my best to stay strong, but its difficult. If anyone has had a loved with or is with a loved one with colon cancer, please share your experience, I would appreciate it. Thank you.</t>
        </is>
      </c>
      <c r="D7211" t="n">
        <v>1</v>
      </c>
      <c r="E7211" t="n">
        <v>13</v>
      </c>
      <c r="F7211">
        <f>HYPERLINK("https://www.reddit.com/r/cancer/comments/errh2h/my_mother_has_recently_been_diagnosed_with_colon/")</f>
        <v/>
      </c>
      <c r="G7211" t="inlineStr">
        <is>
          <t>2020-01-20 23:50:12</t>
        </is>
      </c>
      <c r="H7211" t="inlineStr"/>
    </row>
    <row r="7212">
      <c r="A7212" t="inlineStr">
        <is>
          <t>erru5t</t>
        </is>
      </c>
      <c r="B7212" t="inlineStr">
        <is>
          <t>Oncology Appointment (Checkup) In The Morning</t>
        </is>
      </c>
      <c r="C7212" t="inlineStr">
        <is>
          <t>Hello, everyone. As the title says, I have an oncology appointment in the morning and I'm nervous. I was diagnosed with stage 2 Hodgkin's Lymphoma back in 2017, and until I get news otherwise, I've been cancer-free since January of 2018.
I'm just scared that something could be back (I have a bit of suspicion but can't really say until I speak to my doctor) and I guess I could just use a few kind words to prep me for it.
I'll update after my appointment, but thank you, everyone.</t>
        </is>
      </c>
      <c r="D7212" t="n">
        <v>1</v>
      </c>
      <c r="E7212" t="n">
        <v>12</v>
      </c>
      <c r="F7212">
        <f>HYPERLINK("https://www.reddit.com/r/cancer/comments/erru5t/oncology_appointment_checkup_in_the_morning/")</f>
        <v/>
      </c>
      <c r="G7212" t="inlineStr">
        <is>
          <t>2020-01-21 00:32:47</t>
        </is>
      </c>
      <c r="H7212" t="inlineStr"/>
    </row>
    <row r="7213">
      <c r="A7213" t="inlineStr">
        <is>
          <t>ersnbe</t>
        </is>
      </c>
      <c r="B7213" t="inlineStr">
        <is>
          <t>My aunt is going to die</t>
        </is>
      </c>
      <c r="C7213" t="inlineStr">
        <is>
          <t>I've been super lethargic, low appetite, unmotivated, nauseous and light headed. I thought I was coming down with something, then I realised I'm probably going through a grieving process. My aunt was suddenly diagnosed with liver cancer, they took it out and started chemo to make sure it was all gone. It was going well and she tested cancer free.. until she didn't, and the mass was right back where it was removed from again in a matter of months, only this time it's inoperable. She's doing chemo but it'll only buy her some time. She already beat cancer once, it's so unfair she has to fight again and a losing battle this time.</t>
        </is>
      </c>
      <c r="D7213" t="n">
        <v>1</v>
      </c>
      <c r="E7213" t="n">
        <v>4</v>
      </c>
      <c r="F7213">
        <f>HYPERLINK("https://www.reddit.com/r/cancer/comments/ersnbe/my_aunt_is_going_to_die/")</f>
        <v/>
      </c>
      <c r="G7213" t="inlineStr">
        <is>
          <t>2020-01-21 02:12:40</t>
        </is>
      </c>
      <c r="H7213" t="inlineStr"/>
    </row>
    <row r="7214">
      <c r="A7214" t="inlineStr">
        <is>
          <t>ertj23</t>
        </is>
      </c>
      <c r="B7214" t="inlineStr">
        <is>
          <t>How did your doctor tell you that you have cancer?</t>
        </is>
      </c>
      <c r="C7214" t="inlineStr">
        <is>
          <t>I’m interested in how doctors break bad news to their patients, both good experiences and bad experiences.</t>
        </is>
      </c>
      <c r="D7214" t="n">
        <v>1</v>
      </c>
      <c r="E7214" t="n">
        <v>0</v>
      </c>
      <c r="F7214">
        <f>HYPERLINK("https://www.reddit.com/r/cancer/comments/ertj23/how_did_your_doctor_tell_you_that_you_have_cancer/")</f>
        <v/>
      </c>
      <c r="G7214" t="inlineStr">
        <is>
          <t>2020-01-21 03:46:17</t>
        </is>
      </c>
      <c r="H7214" t="inlineStr"/>
    </row>
    <row r="7215">
      <c r="A7215" t="inlineStr">
        <is>
          <t>eruq43</t>
        </is>
      </c>
      <c r="B7215" t="inlineStr">
        <is>
          <t>How to best support sister with cancer? Also, FUCK CANCER.</t>
        </is>
      </c>
      <c r="C7215" t="inlineStr">
        <is>
          <t>Hello reddit! This is my first post and I was wondering if any of you could shed some light on this shitty roller coaster of a situation.
My sister (44) was diagnosed in 2017 with metastatic breast cancer, now the cancer has moved to her lung and unfortunately, we don't know how much longer she has. She had been getting great care, but ended up getting really sick and coughing (ughhh) over Christmas due to fluid build-up around her heart and lung. She's been in and out of the hospital since then and is there now getting the area drained. She doesn't even look sick and she's been almost invincible (and hilarious) throughout this whole process. I am obviously feeling all kinds of things (READ: freaking the fuck out), but I would love to hear any advice so I can best support my brother-in-law and my 2 nieces (ages 11 &amp;amp; 13) without distressing or scaring the shit out of my nieces. I am trying to deal with my own self and I will soon have to support my parents as they don't quite know the seriousness yet. 
Thank you all so much in advance and lots of love to everyone affected by this terrible disease. (Sorry for all the profanity, but oh boy does cancer warrant it.)</t>
        </is>
      </c>
      <c r="D7215" t="n">
        <v>1</v>
      </c>
      <c r="E7215" t="n">
        <v>7</v>
      </c>
      <c r="F7215">
        <f>HYPERLINK("https://www.reddit.com/r/cancer/comments/eruq43/how_to_best_support_sister_with_cancer_also_fuck/")</f>
        <v/>
      </c>
      <c r="G7215" t="inlineStr">
        <is>
          <t>2020-01-21 05:31:21</t>
        </is>
      </c>
      <c r="H7215" t="inlineStr"/>
    </row>
    <row r="7216">
      <c r="A7216" t="inlineStr">
        <is>
          <t>erwaxk</t>
        </is>
      </c>
      <c r="B7216" t="inlineStr">
        <is>
          <t>Can chemo still work if there's no side-effects?</t>
        </is>
      </c>
      <c r="C7216" t="inlineStr">
        <is>
          <t>You know nausea, swelling, fatigue, etc.?</t>
        </is>
      </c>
      <c r="D7216" t="n">
        <v>1</v>
      </c>
      <c r="E7216" t="n">
        <v>8</v>
      </c>
      <c r="F7216">
        <f>HYPERLINK("https://www.reddit.com/r/cancer/comments/erwaxk/can_chemo_still_work_if_theres_no_sideeffects/")</f>
        <v/>
      </c>
      <c r="G7216" t="inlineStr">
        <is>
          <t>2020-01-21 07:42:25</t>
        </is>
      </c>
      <c r="H7216" t="inlineStr"/>
    </row>
    <row r="7217">
      <c r="A7217" t="inlineStr">
        <is>
          <t>erx6wp</t>
        </is>
      </c>
      <c r="B7217" t="inlineStr">
        <is>
          <t>Afterlife hacks: any tips for life after good news?</t>
        </is>
      </c>
      <c r="C7217" t="inlineStr">
        <is>
          <t>I've been supremely 'lucky'. I've been supremely 'unlucky'. 
After a dramatically horrible 6 months, I got the all-clear in September. I'm still having a hard time, and want to pull myself together, and... I dunno, be a bit more hopeful. 
I suspect that maintaining gratitude is probably key, but how do I do that? I read the stories on here about people facing endless shitty rounds of chemo and metastases etc, and I know how fortunate I am to be spared that. 
On the other hand, cancer has robbed me of so much, and revealed so many harsh facts, that it's easy to slip into a kind of benign nihilism. 
I don't want that. I want to do more than just survive and trudge along. 
If I'm the one in a (colloquial) million who survives ovarian cancer long term, I want to ENJOY my life. And if I've got less time left than I think, then I want to ENJOY my life. 
I spent years getting through, and then "over" a properly shitty childhood. And it feels like my last chance of fun/youth in my 30's was eaten up by a cancer I didn't even know I had! (surgeon reckoned at least 8 years, and I know a scan in 2010/11 showed a "cyst" which I believe was the start of it). I spent my thirties exhausted and pretty much constantly beating myself up. I'll turn 40 in a few months, and feel like I have nothing to show for myself/my life up to this point. 
Any ideas, or advice, or insight appreciated.</t>
        </is>
      </c>
      <c r="D7217" t="n">
        <v>1</v>
      </c>
      <c r="E7217" t="n">
        <v>10</v>
      </c>
      <c r="F7217">
        <f>HYPERLINK("https://www.reddit.com/r/cancer/comments/erx6wp/afterlife_hacks_any_tips_for_life_after_good_news/")</f>
        <v/>
      </c>
      <c r="G7217" t="inlineStr">
        <is>
          <t>2020-01-21 08:42:00</t>
        </is>
      </c>
      <c r="H7217" t="inlineStr"/>
    </row>
    <row r="7218">
      <c r="A7218" t="inlineStr">
        <is>
          <t>erx99m</t>
        </is>
      </c>
      <c r="B7218" t="inlineStr">
        <is>
          <t>The pain of losing a parent to this disease</t>
        </is>
      </c>
      <c r="C7218" t="inlineStr">
        <is>
          <t>I remember when I first found out my father was diagnosed. He hid a lot from me to protect me from the bad news. I don’t blame him. I remember he would go days without talking to me because he didn’t want me to see him going bald from the chemo. He didn’t want me to watch him die. He loved me so much. 
I left for California for a few weeks and came back to him in the hospital. I never would have went to California if I knew that was going to be the last time I saw my father outside of a hospital. I didn’t see him for weeks. When I came back, I got the news that he was jaundice. I ran to the hospital and he was so yellow, so skinny, throwing up, and just angry at the world. 
The damn doctors came in and started talking about hospice right in front of him. I was the only one who had faith he’d get better. 
My family tried to talk some sense into me, but I refused to believe he was dying. He’s my father, he raised me, he’s not dying. 
I remember trying to let loose at the club, but was just always constantly looking at my phone. I started crying in the club and just lost it. 
The morning before he died, I gave him a speech, he was so high off drugs but I knew he could hear me. I told him how much I loved him and how I promised to take care of things. My nose started to bleed from crying so hard. I told him to wait for me for when I got out of work. He did. I held his hand and watched him take his last breathe. 
Everyone was crying, but I just couldn’t. I cried in my car and screamed on my way back home. I didn’t want to cry in front of anyone. Even at his funeral, I just refused to cry. 
But I just always want to cry. The pain is still there and I miss him more than anything in the world. He made sure I was well taken care of before he left. And I will always be thankful for that. 
I wish I could cry about him to someone, but I just can’t. I want to cry in someone’s lap and just have my head rubbed. But I just can’t.
He was always so proud of me. When everyone doubted me, or thought I wasn’t capable of doing something, he was the one to support my every decision. He knew I could reach the stars. 
And now that I am, he’s not here to see it. I finally got a job that he would be so freakin proud of. I left my toxic relationship which he knew I deserved better. He always knew I deserved better. He would talk about me to his friends as if he was my biggest fan. 
My life is changing and I’m happy, but he’s not here to say “I knew you could do it”. 
Why did it have to be him? I hold no anger towards people who successfully beat cancer, but I get envious of hearing those stories. My father tried, until he just couldn’t. The chemo killed him. 
I know many people feel the pain I’m feeling - which comforts me. I’m not alone. 
I want to see him again, I want to hear his voice again, I want to hear him sneeze again, I want to feel his facial stubble again, I want to smell him again.</t>
        </is>
      </c>
      <c r="D7218" t="n">
        <v>1</v>
      </c>
      <c r="E7218" t="n">
        <v>26</v>
      </c>
      <c r="F7218">
        <f>HYPERLINK("https://www.reddit.com/r/cancer/comments/erx99m/the_pain_of_losing_a_parent_to_this_disease/")</f>
        <v/>
      </c>
      <c r="G7218" t="inlineStr">
        <is>
          <t>2020-01-21 08:46:20</t>
        </is>
      </c>
      <c r="H7218" t="inlineStr"/>
    </row>
    <row r="7219">
      <c r="A7219" t="inlineStr">
        <is>
          <t>ery37i</t>
        </is>
      </c>
      <c r="B7219" t="inlineStr">
        <is>
          <t>Waiting for results might be one of the hardest parts</t>
        </is>
      </c>
      <c r="C7219" t="inlineStr">
        <is>
          <t>I posted a while ago about having sudden back pains  didn’t think much of it yet here I am one month later waiting for the results of the biopsy to see if what was a harmless cyst is actually a recurrence of ovarian cancer. Hopefully I’ll get my results by the end of this week but waiting is the hardest part. I wish they could just tell you instantly instead of having to hold my breath for 3-5 days for a call from the doctor. Every time my phone rings I think my heart skips a beat. All I can think about it leaving behind my family way too soon. Anyone else relate?</t>
        </is>
      </c>
      <c r="D7219" t="n">
        <v>1</v>
      </c>
      <c r="E7219" t="n">
        <v>12</v>
      </c>
      <c r="F7219">
        <f>HYPERLINK("https://www.reddit.com/r/cancer/comments/ery37i/waiting_for_results_might_be_one_of_the_hardest/")</f>
        <v/>
      </c>
      <c r="G7219" t="inlineStr">
        <is>
          <t>2020-01-21 09:39:58</t>
        </is>
      </c>
      <c r="H7219" t="inlineStr"/>
    </row>
    <row r="7220">
      <c r="A7220" t="inlineStr">
        <is>
          <t>erzkcg</t>
        </is>
      </c>
      <c r="B7220" t="inlineStr">
        <is>
          <t>How do you put up with being treated different after diagnosis?</t>
        </is>
      </c>
      <c r="C7220" t="inlineStr">
        <is>
          <t>I have IDC Stage IIB breast cancer - tumor was cut out last week..waiting to go see oncologist on this friday for chemo and radiation.
&amp;amp;#x200B;
My cancer is not good...but not horrible/fatal - if anything it was still early when caught and cut out. 
Before I was even diagnosed with cancer I would occasionally get a text from family maybe once a week (I would visit only after work on my friday - just to get a guarantee that I would be left alone - no "we miss seeing you" .... you literally saw me yesterday....its saturday I WANT TO DO NOTHING!!! I WANT TO SEE NOTHING) and that worked....
&amp;amp;#x200B;
But now.....after diagnosis my family has become super clingy ..... \*sigh\* I just want to be left alone at this point, I am fully capable of going to the store to get food, no I don't want to put pants on and go to your house to eat spaghetti.....yes I am fine for the 30th time in 2 hours.........
&amp;amp;#x200B;
Seriously what is so "horrible" about enjoying solitude before my schedule of chemo ramps up.....and I will more than likely become sick....I just want to enjoy some peace and quiet and avoid the "talks" about cancer and what is to come....MY BRAIN DOES NOT LIVE IN WHAT IF LAND IT JUST DEALS WITH THE FUCKING NOW!!!! - my parents are the biggest offenders of this.....they don't understand how I can just go "hmm see what happens" - NO I DO NOT WANT TO HEAR "BUT WHAT IF.....HAPPENS......WHAT THEN....AND WHAT IF THAT HAS THESE TWO POSSIBILITIES...AND WHAT IF EACH OF THOSE TWO POSSIBILITIES HAS THESE TWO SEPERATE OUTCOMES....AND THEN WHAT IF EACH OF THOSE FOUR OUTCOMES HAS...." - Seriously shut the fuck up....I am not hyping myself up on what "could" happen.
&amp;amp;#x200B;
\*sigh\* I just want to go back to normal where I can be alone and left alone......I tried saying nicely when I do visit my parents "I do not need to be checked in on...I am fine taking care of myself"....yet my parents INSIST!!!!!! on texting me on a clingy basis every damn day......I am not a teenage man child that needs mommy and daddy's hand to be tucked in every night.....I just want to go back to work, go back to my routine....and let me be in my solitude.</t>
        </is>
      </c>
      <c r="D7220" t="n">
        <v>1</v>
      </c>
      <c r="E7220" t="n">
        <v>1</v>
      </c>
      <c r="F7220">
        <f>HYPERLINK("https://www.reddit.com/r/cancer/comments/erzkcg/how_do_you_put_up_with_being_treated_different/")</f>
        <v/>
      </c>
      <c r="G7220" t="inlineStr">
        <is>
          <t>2020-01-21 11:23:25</t>
        </is>
      </c>
      <c r="H7220" t="inlineStr"/>
    </row>
    <row r="7221">
      <c r="A7221" t="inlineStr">
        <is>
          <t>erzs9e</t>
        </is>
      </c>
      <c r="B7221" t="inlineStr">
        <is>
          <t>Relationship Suffering Due to GF's Breast Cancer Treatment</t>
        </is>
      </c>
      <c r="C7221" t="inlineStr">
        <is>
          <t>My girlfriend (35F) was diagnosed with early stage in September. For background, she works full-time with like 2 side gigs, and has custody of her 2 adolescent kids full-time.
Prior to the diagnosis, we had a relationship that shot across the sky. We talked about marriage, more kids, moving in, everything. I've got a great relationship with her kids. They want me around all the time. Then the diagnosis happened, and she sort of mysteriously disappeared. Took a couple weeks to tell me.
Since then, we've reconciled and are "back" but things are not the same. We don't talk as often. We don't see each other as often. When we do, I feel like I have to initiate and push for it. 
I've really tried to do a lot to be supportive and understanding. I've given her space. For example, we've not talked/texted going on day 3. Which sadly, isn't abnormal. But I'm afraid to even attempt to initiate at this point, because I'm feeling like Charlie Brown trying to kick the damn football. 
I feel disposable. I feel like a chore she has to remember to keep up with. Like if I went away, I'd be doing her a favor, and scratching something off her list permanently. And that if I ask her to do something, I'm like a child asking for a favor. It's digging at my self-esteem. I always think I'm doing something wrong, or she's just not attracted to me or doesn't feel the same about me.
I've tried to frame this as a short term issue in a long-term relationship, but it's hard to soldier on. I give her every benefit of every doubt. The medication sounds brutal and I know she's actually struggling with the symptoms. So I don't want to be selfish. 
How do you express this to your partner without sounding needy and selfish? What can I do other than being continuously patient and just sucking it up all the time and pretending I'm fine.
Tl;dr - GF has early stage breast cancer and our relationship is very one-sided since.</t>
        </is>
      </c>
      <c r="D7221" t="n">
        <v>1</v>
      </c>
      <c r="E7221" t="n">
        <v>8</v>
      </c>
      <c r="F7221">
        <f>HYPERLINK("https://www.reddit.com/r/cancer/comments/erzs9e/relationship_suffering_due_to_gfs_breast_cancer/")</f>
        <v/>
      </c>
      <c r="G7221" t="inlineStr">
        <is>
          <t>2020-01-21 11:38:38</t>
        </is>
      </c>
      <c r="H7221" t="inlineStr"/>
    </row>
    <row r="7222">
      <c r="A7222" t="inlineStr">
        <is>
          <t>es0yjq</t>
        </is>
      </c>
      <c r="B7222" t="inlineStr">
        <is>
          <t>I feel it’s in my gfs best interest I end our relationship</t>
        </is>
      </c>
      <c r="C7222" t="inlineStr">
        <is>
          <t>I plan on ending a relationship with a young woman I really care about. I think it’s the only right thing to do.
I feel selfish starting the relationship in the first place.
A summary.
I have been battling cancer (melanoma) since February 2018. The cancer spread everywhere ie brain liver, lungs and groin. Thanks to an excellent oncologist and advancements in cancer treatment all of the cancer has gone... for now.
Due to the cancer been melanoma, it has a very, very high chance of returning again or even mutating.
I have been single for most of the time during treatment. I returned to work and I look healthy, I don’t appear to be I’ll at all. 
I met a girl last year who flirted with me and told me she found me attractive. We went on a date and I thought this was a bad idea. She’s a sweetheart and I wanted to limit the collateral damage if worse came to the worse.
I “ghosted” her and through a friend I was told she was very upset and thinks she’s done me wrong and thinks I hate her etc 
I met her and told her I cared abort her and she’s on my mind a lot and frankly told her due to my health it’s not a good idea having a relationship and she’s a young very attractive woman and could have her pick.
She told me she admires my strength and trusts me and it’s up to her to decide. 
Due to my tumours have all gone she thinks I’m in the clear and can’t wrap her head around that it could return.
Anyway I was feeling lonely and we was texting and I got her an Uber and we had sex all weekend and been seeing each other since (5 months ago)
I feel like I should end it and I know her dad doesn’t approve of the relationship due to my illness anyway.
Any advice on how to end it amicably?</t>
        </is>
      </c>
      <c r="D7222" t="n">
        <v>1</v>
      </c>
      <c r="E7222" t="n">
        <v>0</v>
      </c>
      <c r="F7222">
        <f>HYPERLINK("https://www.reddit.com/r/cancer/comments/es0yjq/i_feel_its_in_my_gfs_best_interest_i_end_our/")</f>
        <v/>
      </c>
      <c r="G7222" t="inlineStr">
        <is>
          <t>2020-01-21 13:00:00</t>
        </is>
      </c>
      <c r="H7222" t="inlineStr"/>
    </row>
    <row r="7223">
      <c r="A7223" t="inlineStr">
        <is>
          <t>es14q7</t>
        </is>
      </c>
      <c r="B7223" t="inlineStr">
        <is>
          <t>Dad Tried To Continue Business...it’s a mess</t>
        </is>
      </c>
      <c r="C7223" t="inlineStr">
        <is>
          <t>Stage IV PC. My dad is a general contractor for residential home renovations. After overhearing enough disheartening information on how the job sites were goin, I finally stepped in.
It’s a mess. We’re talking family friends calling him a thief and saying our family has stolen money from them. Im trying to keep legal out of it, and I’ve been fronting him the money from the small crew, but its just turning bad.
I’m realizing I can’t protect him. That him and my mom may lose their home and other assets (their are few...dad is a gc and mom a elementary teacher). Ive realized my dad may die full of shame, guilt, and lawyers pounding at the door. It’s sad. I’m fucking exhausted after just a few days of trying to tie up his loose ends...he just wanted to try to make a few extra bucks and maybe give his wife a little peice of mind before he check out.
Ive never been this low before. Im not depressed. Just low. Low as fuck.</t>
        </is>
      </c>
      <c r="D7223" t="n">
        <v>1</v>
      </c>
      <c r="E7223" t="n">
        <v>0</v>
      </c>
      <c r="F7223">
        <f>HYPERLINK("https://www.reddit.com/r/cancer/comments/es14q7/dad_tried_to_continue_businessits_a_mess/")</f>
        <v/>
      </c>
      <c r="G7223" t="inlineStr">
        <is>
          <t>2020-01-21 13:11:26</t>
        </is>
      </c>
      <c r="H7223" t="inlineStr"/>
    </row>
    <row r="7224">
      <c r="A7224" t="inlineStr">
        <is>
          <t>es17pu</t>
        </is>
      </c>
      <c r="B7224" t="inlineStr">
        <is>
          <t>Dad Tried To Continue Business...it’s a mess</t>
        </is>
      </c>
      <c r="C7224" t="inlineStr">
        <is>
          <t>Stage IV PC. My dad is a general contractor for residential home renovations. After overhearing enough disheartening information on how the job sites were goin, I finally stepped in.
It’s a mess. We’re talking family friends calling him a thief and saying our family has stolen money from them. Im trying to keep legal out of it, and I’ve been fronting him the money from the small crew, but its just turning bad.
I’m realizing I can’t protect him. That him and my mom may lose their home and other assets (their are few...dad is a gc and mom a elementary teacher). Ive realized my dad may die full of shame, guilt, and lawyers pounding at the door. It’s sad. I’m fucking exhausted after just a few days of trying to tie up his loose ends...he just wanted to try to make a few extra bucks and maybe give his wife a little peice of mind before he check out.
Ive never been this low before. Im not depressed. Just low. Low as fuck.</t>
        </is>
      </c>
      <c r="D7224" t="n">
        <v>1</v>
      </c>
      <c r="E7224" t="n">
        <v>11</v>
      </c>
      <c r="F7224">
        <f>HYPERLINK("https://www.reddit.com/r/cancer/comments/es17pu/dad_tried_to_continue_businessits_a_mess/")</f>
        <v/>
      </c>
      <c r="G7224" t="inlineStr">
        <is>
          <t>2020-01-21 13:17:08</t>
        </is>
      </c>
      <c r="H7224" t="inlineStr"/>
    </row>
    <row r="7225">
      <c r="A7225" t="inlineStr">
        <is>
          <t>es1faf</t>
        </is>
      </c>
      <c r="B7225" t="inlineStr">
        <is>
          <t>Went to the doctor for a torn MCL and left with news of possible bone cancer..</t>
        </is>
      </c>
      <c r="C7225" t="inlineStr">
        <is>
          <t>My ankle has had severe pain for the past 4 months, but i disregarded as a sprained ankle. I tore my mcl at a wrestling tournament and went for x rays, in which they also X rayed my ankle. The doctors noticed a large bump right where my pain has been. They flagged it as a possible tumor / bone cancer tumor. In 4 weeks I go to talk to a doctor about getting it tested. My sympoms match those of the cancerZ Bone cancer has been consistent in my family. Am i wrong to feel panicked or worried? I have been reading up on how common bone cancer is and it seems it isnt. I’m still worried, thinking about the IFS of diagnosis. Anybody have any input?</t>
        </is>
      </c>
      <c r="D7225" t="n">
        <v>1</v>
      </c>
      <c r="E7225" t="n">
        <v>8</v>
      </c>
      <c r="F7225">
        <f>HYPERLINK("https://www.reddit.com/r/cancer/comments/es1faf/went_to_the_doctor_for_a_torn_mcl_and_left_with/")</f>
        <v/>
      </c>
      <c r="G7225" t="inlineStr">
        <is>
          <t>2020-01-21 13:31:10</t>
        </is>
      </c>
      <c r="H7225" t="inlineStr"/>
    </row>
    <row r="7226">
      <c r="A7226" t="inlineStr">
        <is>
          <t>es1i75</t>
        </is>
      </c>
      <c r="B7226" t="inlineStr">
        <is>
          <t>We go back tomorrow for more testing</t>
        </is>
      </c>
      <c r="C7226" t="inlineStr">
        <is>
          <t>My husband has a tumor in his sinus that was discovered two or three weeks ago (it’s been a blur) and they sent him home on prednisone for the past two or three weeks which has been awful for him and kind of awful for me, too, since he has operated on a continuum of irritable and angry to outright abusive. 
The steroids caused the blockage in his sinus to clear, and he’s been blowing out lots of dark brown goop which is hoping against hope evidence that the assumption that he doesn’t have cancer but allergic fungal sinusitis. They are taking another CT scan and consulting him with the ENT and neurosurgeon. 
I’ve honestly not been who I always wished I could be through something like this. I’d always hoped I’d be a beacon of optimism and encouragement and that my faith in God would flourish and I would be all, it is well with my soul. 
But honestly, I’m not and it isn’t. I’m probably more scared than I’ve ever been in my life. And it makes me feel selfish I suppose. That being afraid is somehow selfish. Especially since I’ve not handled his personality change on this medicine very well. Like I’ve felt, if I was a good wife, wouldn’t I put my head down and shut my mouth and avoid setting him off or arguing back? I’ve been a wreck. He’s been a wreck. At a time of this uncertainty, I always thought it would draw us closer together by r feels the opposite like we have pushed each other further apart. 
I’ll update tomorrow with what happens.</t>
        </is>
      </c>
      <c r="D7226" t="n">
        <v>1</v>
      </c>
      <c r="E7226" t="n">
        <v>2</v>
      </c>
      <c r="F7226">
        <f>HYPERLINK("https://www.reddit.com/r/cancer/comments/es1i75/we_go_back_tomorrow_for_more_testing/")</f>
        <v/>
      </c>
      <c r="G7226" t="inlineStr">
        <is>
          <t>2020-01-21 13:36:16</t>
        </is>
      </c>
      <c r="H7226" t="inlineStr"/>
    </row>
    <row r="7227">
      <c r="A7227" t="inlineStr">
        <is>
          <t>es1qu5</t>
        </is>
      </c>
      <c r="B7227" t="inlineStr">
        <is>
          <t>Question</t>
        </is>
      </c>
      <c r="C7227" t="inlineStr">
        <is>
          <t>My dad was just diagnosed with stage 4 lung cancer. He was diagnosed because he had a bad cough that wouldn't go away, so he had an xray which led to a CT scan which led to a PET scan which led to the diagnosis. In August, he was admitted to the hospital for difficulty breathing. He had fluid build up around his heart, putting pressure on his lungs. My question is, why didnt his cancer get diagnosed in August? The whole thing makes me so angry. The doctors saw something on the xray in August but didnt didnt do anything about it. So for the last 5 months hes been walking around with cancer and it got worse and worse, and now hes stage 4, when he may not have been this far along in August. Is there anything we should do about this? I feel so upset when I think about it because that doctors mistake might have cost me my dads life and I cant get over the anger I feel, which is making the whole thing much more difficult to digest and come to terms with. Sorry for the rant, if anybody has any thoughts towards this, I'd appreciate it.</t>
        </is>
      </c>
      <c r="D7227" t="n">
        <v>1</v>
      </c>
      <c r="E7227" t="n">
        <v>14</v>
      </c>
      <c r="F7227">
        <f>HYPERLINK("https://www.reddit.com/r/cancer/comments/es1qu5/question/")</f>
        <v/>
      </c>
      <c r="G7227" t="inlineStr">
        <is>
          <t>2020-01-21 13:53:05</t>
        </is>
      </c>
      <c r="H7227" t="inlineStr"/>
    </row>
    <row r="7228">
      <c r="A7228" t="inlineStr">
        <is>
          <t>es25dr</t>
        </is>
      </c>
      <c r="B7228" t="inlineStr">
        <is>
          <t>Pancreatic and Urinary Tracy Cancers</t>
        </is>
      </c>
      <c r="C7228" t="inlineStr">
        <is>
          <t>My father, who will be 80 in April, has a couple of tumors - one in his pancreas and the other in his urinary tract. We are awaiting biopsy results to determine malignancy and are hopeful that they are both benign. These types of cancers do not run in our family. He is a retired Pathologist and has repeatedly said that having 2 types of cancers is a very rare thing. 
In doing research, the internet provides an incredible amount of broad and specific knowledge and everything in between. For instance, some sites say that the incidences of cancer is 95% related to environment, diet and luck vs genetic predispositions. 
I'm interested in seeing what Redditors can tell me from a scientific perspective. You can provide any type of information that you would like as I'm learning more about the disease. For instance, what causes recurrence? How effective is immunotherapy? How much do diet and exercise factor in? Does age indicate a greater percentage of occurrence? Country that you live in? And this question may be off the wall and a Redditor may forward slash comment me to put it in a different thread but...any experiences with Near Death Experiences from oneself or from others that you've cared for? 
Thank you for your help and for taking the time to read my post.</t>
        </is>
      </c>
      <c r="D7228" t="n">
        <v>1</v>
      </c>
      <c r="E7228" t="n">
        <v>6</v>
      </c>
      <c r="F7228">
        <f>HYPERLINK("https://www.reddit.com/r/cancer/comments/es25dr/pancreatic_and_urinary_tracy_cancers/")</f>
        <v/>
      </c>
      <c r="G7228" t="inlineStr">
        <is>
          <t>2020-01-21 14:21:56</t>
        </is>
      </c>
      <c r="H7228" t="inlineStr"/>
    </row>
    <row r="7229">
      <c r="A7229" t="inlineStr">
        <is>
          <t>es3ivo</t>
        </is>
      </c>
      <c r="B7229" t="inlineStr">
        <is>
          <t>thoughts on “gerson therapy”</t>
        </is>
      </c>
      <c r="C7229" t="inlineStr">
        <is>
          <t>I personally think it’s goddamn quack medicine but my mom is pushing it pretty hard and if anyone has opinions or just about anything about gerson therapy... i’d love to hear it</t>
        </is>
      </c>
      <c r="D7229" t="n">
        <v>1</v>
      </c>
      <c r="E7229" t="n">
        <v>5</v>
      </c>
      <c r="F7229">
        <f>HYPERLINK("https://www.reddit.com/r/cancer/comments/es3ivo/thoughts_on_gerson_therapy/")</f>
        <v/>
      </c>
      <c r="G7229" t="inlineStr">
        <is>
          <t>2020-01-21 15:59:37</t>
        </is>
      </c>
      <c r="H7229" t="inlineStr"/>
    </row>
    <row r="7230">
      <c r="A7230" t="inlineStr">
        <is>
          <t>es3jbu</t>
        </is>
      </c>
      <c r="B7230" t="inlineStr">
        <is>
          <t>Looking for support</t>
        </is>
      </c>
      <c r="C7230" t="inlineStr">
        <is>
          <t>If this is the most least put together thing I type in my life I am sorry. I don’t even know how to type this. I have an aunt who I lived with my whole life and essentially half raised me and is like my mother. Three weeks ago this aunt was diagnosed with stage 4 lung cancer. She was in the hospital for a little over a week when she was first diagnosed and has now been out for probably like 2 weeks. While she was in the hospital she had brain surgery to remove a cancerous tumor on her brain. She finally had all of her appointments today with a neurosurgeon, oncologist,etc. I called her afterwards to see how they went and she said very bad. My aunts’ cancer is in both of her lungs, spread to her brain, liver, ribs, and stomach (essentially all over). My aunt currently is at home on an oxygen tank 24/7 but she might have to go back in the hospital because her breathing is so poor. Since being out of the hospital she can not eat because the oxygen makes everything tastes so bad she throws up. She is not allowed to drive with all the medicine she is on. She has literally 0 energy she says she only sits on the couch and that’s it. She can not even go to the bathroom alone. My grandfather died 2 months after being diagnosed with cancer and at this rate that is how it is looking for my aunt. I feel like I am just going to wake up any day now and she will be gone. My aunt raises my 2 little sibilings and my mom and dad can not support them. I have a sister who lives across the country with her husband and I currently am just staying with my husbands family so I can not take in my little sibilings but I do not know where they can go or what they are going to do. I lost my grandmother also to cancer and I was pretty close with her and the pain from that 2 years after her passing still hurts so much. I literally can not fathom losing my aunt. I also forgot to mention now my aunt has to start chemotherapy next week, which will make her even sicker. I can not wrap my brain around my aunt dying, I just literally can’t make it feel like this is real. I don’t know what to do, I am going crazy someone please help me I am so overwhelmed.</t>
        </is>
      </c>
      <c r="D7230" t="n">
        <v>1</v>
      </c>
      <c r="E7230" t="n">
        <v>2</v>
      </c>
      <c r="F7230">
        <f>HYPERLINK("https://www.reddit.com/r/cancer/comments/es3jbu/looking_for_support/")</f>
        <v/>
      </c>
      <c r="G7230" t="inlineStr">
        <is>
          <t>2020-01-21 16:00:36</t>
        </is>
      </c>
      <c r="H7230" t="inlineStr"/>
    </row>
    <row r="7231">
      <c r="A7231" t="inlineStr">
        <is>
          <t>es3qob</t>
        </is>
      </c>
      <c r="B7231" t="inlineStr">
        <is>
          <t>After a successful chemotherapy, I go in for a resection tomorrow.</t>
        </is>
      </c>
      <c r="C7231" t="inlineStr">
        <is>
          <t>I was diagnosed last year at 26 with primary mediastinal seminoma. I had 3x BEP chemo and finished early July. PET scan shows the remaining mass dark; all is well. Since I’m so young, the risk of resection is less than the increased risk of radiation through scans for monitoring my mass, so here I am. Wish me luck. I got lucky compared to some since mine is a very curable cancer, but resecting a mass that is heart and lung adjacent is very scary. Here’s to being cancer free tomorrow.</t>
        </is>
      </c>
      <c r="D7231" t="n">
        <v>1</v>
      </c>
      <c r="E7231" t="n">
        <v>5</v>
      </c>
      <c r="F7231">
        <f>HYPERLINK("https://www.reddit.com/r/cancer/comments/es3qob/after_a_successful_chemotherapy_i_go_in_for_a/")</f>
        <v/>
      </c>
      <c r="G7231" t="inlineStr">
        <is>
          <t>2020-01-21 16:17:00</t>
        </is>
      </c>
      <c r="H7231" t="inlineStr"/>
    </row>
    <row r="7232">
      <c r="A7232" t="inlineStr">
        <is>
          <t>es444g</t>
        </is>
      </c>
      <c r="B7232" t="inlineStr">
        <is>
          <t>Nope no more CT with contrast scans</t>
        </is>
      </c>
      <c r="C7232" t="inlineStr">
        <is>
          <t>Nope, not doing anymore CT with contrast scans. Between the nurses needing to stick me 4-6+ times just to run an IV on top of a horrible case of vomiting literally every time, nope, not doing them anymore. I'll do a CT without contrast or an MRI but no more CT with contrast ☠️</t>
        </is>
      </c>
      <c r="D7232" t="n">
        <v>1</v>
      </c>
      <c r="E7232" t="n">
        <v>15</v>
      </c>
      <c r="F7232">
        <f>HYPERLINK("https://www.reddit.com/r/cancer/comments/es444g/nope_no_more_ct_with_contrast_scans/")</f>
        <v/>
      </c>
      <c r="G7232" t="inlineStr">
        <is>
          <t>2020-01-21 16:45:02</t>
        </is>
      </c>
      <c r="H7232" t="inlineStr"/>
    </row>
    <row r="7233">
      <c r="A7233" t="inlineStr">
        <is>
          <t>es5a6j</t>
        </is>
      </c>
      <c r="B7233" t="inlineStr">
        <is>
          <t>My family is going to make me lose my mind</t>
        </is>
      </c>
      <c r="C7233" t="inlineStr">
        <is>
          <t>We've all heard of climate change deniers, flat-earthers, alien abductees but I guarantee you have probably not heard about my family.
I've been telling my doctor my cancer is back since October. My tumor marker levels are 2,500 when they should be 39 and I kept having areas on scans that my doctor would want biopsied and then the surgeons told them they couldn't be. This happened 3 times.
I ended up in the ER because it hurt to breathe and I had a temp of 100.4. Apparently, I have disease on my liver and it's swelling and making it feel like lung pain. The oncologist called the next day to say my cancer is back.
I met them Monday. Since my family has trouble understanding information, I brought my father, my best friend, and my brother Facetimed the appointment. The oncologist said the cancer was back, but he kept using words like "disease," "progression" or "metastasis." He also typed the following on the notes, which I have shared with my family: "1/14/2020: Patient presents to ER with fever, malaise, and persistent lung pain. CT A/P shows clear evidence of cancer progression."
So my brother's been texting me all day telling me it's not for sure the cancer's back. My mom just asked me why I am stressed.
I swear, they are more stress than the cancer is. I also need to find a new power of attorney, one that believes I actually have cancer.</t>
        </is>
      </c>
      <c r="D7233" t="n">
        <v>1</v>
      </c>
      <c r="E7233" t="n">
        <v>4</v>
      </c>
      <c r="F7233">
        <f>HYPERLINK("https://www.reddit.com/r/cancer/comments/es5a6j/my_family_is_going_to_make_me_lose_my_mind/")</f>
        <v/>
      </c>
      <c r="G7233" t="inlineStr">
        <is>
          <t>2020-01-21 18:17:59</t>
        </is>
      </c>
      <c r="H7233" t="inlineStr"/>
    </row>
    <row r="7234">
      <c r="A7234" t="inlineStr">
        <is>
          <t>es5qgp</t>
        </is>
      </c>
      <c r="B7234" t="inlineStr">
        <is>
          <t>Chemo side effects</t>
        </is>
      </c>
      <c r="C7234" t="inlineStr">
        <is>
          <t>My mom is going through stage 4 uterine cancer that she just found out about last month on christmas eve.  after the first chemo, she has not been able to walk. the hospital kept her in a bed for 2 weeks, and now after a week at home, i am trying to get her to walk one block, but its tough. she had a doctors visit today but on the way back home, her legs gave way and she fell, and it was difficult to lift her back up. i think she passed out from exhaustion, as the nurses could not find her veins and poked her 20 times to draw blood. and she keeps shivering, but has no fever.  the oncologist said she might have an infection, but dismissed it as there was no fever. i have no idea what to do. i have no idea where else to get support.</t>
        </is>
      </c>
      <c r="D7234" t="n">
        <v>1</v>
      </c>
      <c r="E7234" t="n">
        <v>8</v>
      </c>
      <c r="F7234">
        <f>HYPERLINK("https://www.reddit.com/r/cancer/comments/es5qgp/chemo_side_effects/")</f>
        <v/>
      </c>
      <c r="G7234" t="inlineStr">
        <is>
          <t>2020-01-21 18:54:57</t>
        </is>
      </c>
      <c r="H7234" t="inlineStr"/>
    </row>
    <row r="7235">
      <c r="A7235" t="inlineStr">
        <is>
          <t>es72j1</t>
        </is>
      </c>
      <c r="B7235" t="inlineStr">
        <is>
          <t>Will cancer ever have a cure?</t>
        </is>
      </c>
      <c r="C7235" t="inlineStr">
        <is>
          <t>There so many studies that say there can be a cure and then there’s that false advertisement as well. What do you all think? I’m 24 pregnant and I always fear I’ll get it idk why 🥺</t>
        </is>
      </c>
      <c r="D7235" t="n">
        <v>1</v>
      </c>
      <c r="E7235" t="n">
        <v>8</v>
      </c>
      <c r="F7235">
        <f>HYPERLINK("https://www.reddit.com/r/cancer/comments/es72j1/will_cancer_ever_have_a_cure/")</f>
        <v/>
      </c>
      <c r="G7235" t="inlineStr">
        <is>
          <t>2020-01-21 20:51:14</t>
        </is>
      </c>
      <c r="H7235" t="inlineStr"/>
    </row>
    <row r="7236">
      <c r="A7236" t="inlineStr">
        <is>
          <t>es7hf8</t>
        </is>
      </c>
      <c r="B7236" t="inlineStr">
        <is>
          <t>I had Cancer last year and I need advice!!!</t>
        </is>
      </c>
      <c r="C7236" t="inlineStr">
        <is>
          <t>Hi, im new to reddit. I don’t know where to post this or who to tell and im sorry and also im sorry it might be a little too long and if I misspelled something .  I had Large B cell lymphoma last year and i finished my chemotheraphy around 5 months ago and Radiation 2 months ago, so my hair grew back to its normal size (im a male) except its thinner which i dont mind but recently a lot of my eyebrows and hair in my legs and chest are falling off and the rest of my body doesnt for some reason and i just don’t know if its normal but it scares me I don’t know what causes it and why only in those parts and not in my head or my beard.  I have also started to be a really nervous person, I get anxiety and stressed really easy which at first I thought was normal for my age (48yo) but now I don’t think its because of my age. Everytime I notice something hurts or there is something wierd with my body I get really scared that it might be another cancer or something bad and I don’t want to wait until I go to the doctor because first it takes a really long time to get an appointment for me then when I see them they think im just tramatized or exaggerating and don’t really answer any of the questions I have, I haven’t seen them in a month and my next appointment is in 2 weeks. Recently like 3 weeks ago I started feeling really nauseas and start vomiting after I eat, there’s days were it’s not too bad and days were I really can’t even smell or eat food.  Im trying not to worry because I think it might be GERD (most symptoms seem to be those of GERD) but what bothers me the most is that once im feeling normal again I start feeling a different symptom or thing and then I get rid of it another comes and so on. I felt normal again for like a month and I was really happy, I wouldn’t feel anything wrong or weird with my body and I wasn’t stressed or worrying even day about having cancer or something.  I feel like I can’t be like this for much longer, when I tell my wife or my brother they just keep telling me I shouldn’t worry and that im just scared because I had a bad experience and maybe they are right its just that when im feeling nauseas or not feeling good and I hear them say this I just feel like it doesn’t help and being honest I don’t think anything would help because I don’t even know what I want to hear from them or even if there is something I would like to hear from them to feel better.  I feel really stressed and I new some advice. Thank you for reading.</t>
        </is>
      </c>
      <c r="D7236" t="n">
        <v>1</v>
      </c>
      <c r="E7236" t="n">
        <v>9</v>
      </c>
      <c r="F7236">
        <f>HYPERLINK("https://www.reddit.com/r/cancer/comments/es7hf8/i_had_cancer_last_year_and_i_need_advice/")</f>
        <v/>
      </c>
      <c r="G7236" t="inlineStr">
        <is>
          <t>2020-01-21 21:29:41</t>
        </is>
      </c>
      <c r="H7236" t="inlineStr"/>
    </row>
    <row r="7237">
      <c r="A7237" t="inlineStr">
        <is>
          <t>es7now</t>
        </is>
      </c>
      <c r="B7237" t="inlineStr">
        <is>
          <t>Inquiry about Experience with Cancer</t>
        </is>
      </c>
      <c r="C7237" t="inlineStr">
        <is>
          <t xml:space="preserve"> Hello everyone!
I am a student at Northern Arizona University pursuing my undergraduate degree in Microbiology with a minor in Disability Studies. I am currently taking an Honors Lecture on the cellular mechanics of cancer and the history of cancer research. As an assignment, we need to interview someone who has, had, or works with cancer in a professional field.
The only current stipulation is that the person I interview must be 18 or older as there is an informed consent agreement that must be signed. If anyone sees this post and is willing to work with me, I would love to learn about your experience.
Please contact me via direct message through Reddit and we can exchange further contact information from there. Thanks again!
\-Maddie</t>
        </is>
      </c>
      <c r="D7237" t="n">
        <v>1</v>
      </c>
      <c r="E7237" t="n">
        <v>0</v>
      </c>
      <c r="F7237">
        <f>HYPERLINK("https://www.reddit.com/r/cancer/comments/es7now/inquiry_about_experience_with_cancer/")</f>
        <v/>
      </c>
      <c r="G7237" t="inlineStr">
        <is>
          <t>2020-01-21 21:46:22</t>
        </is>
      </c>
      <c r="H7237" t="inlineStr"/>
    </row>
    <row r="7238">
      <c r="A7238" t="inlineStr">
        <is>
          <t>es8egi</t>
        </is>
      </c>
      <c r="B7238" t="inlineStr">
        <is>
          <t>What to eat when you’re nauseous?</t>
        </is>
      </c>
      <c r="C7238" t="inlineStr">
        <is>
          <t>Hey everyone,
My mom has recently been diagnosed with cancer (she’s also suffered fractures in her back because of this) and she’s in so much pain. The doctors have given her a ton of pain meds, but they make her nauseous all the time. So, she can’t keep much food down and doesn’t really have an appetite, but she needs to eat...especially because I think that will help with the nausea when she takes her pills.
Does anyone have any recommendations for food to eat that is easy on the stomach?</t>
        </is>
      </c>
      <c r="D7238" t="n">
        <v>1</v>
      </c>
      <c r="E7238" t="n">
        <v>12</v>
      </c>
      <c r="F7238">
        <f>HYPERLINK("https://www.reddit.com/r/cancer/comments/es8egi/what_to_eat_when_youre_nauseous/")</f>
        <v/>
      </c>
      <c r="G7238" t="inlineStr">
        <is>
          <t>2020-01-21 23:02:17</t>
        </is>
      </c>
      <c r="H7238" t="inlineStr"/>
    </row>
    <row r="7239">
      <c r="A7239" t="inlineStr">
        <is>
          <t>esacyw</t>
        </is>
      </c>
      <c r="B7239" t="inlineStr">
        <is>
          <t>Parent with cancer becoming very reflective.</t>
        </is>
      </c>
      <c r="C7239" t="inlineStr">
        <is>
          <t>My dad recently found out his cancer is non-curative. Am waiting for a meeting on way forward regarding palliative care. Dad is becoming very reflective. Asking us kids how we all are, almost asking whether he was a good parent without actually directly asking that question. Is being reflective like this part of the process? We haven’t been told how much time is left yet, but this kind of reflection feels very final, a little ominous.Hope I am making sense.</t>
        </is>
      </c>
      <c r="D7239" t="n">
        <v>1</v>
      </c>
      <c r="E7239" t="n">
        <v>16</v>
      </c>
      <c r="F7239">
        <f>HYPERLINK("https://www.reddit.com/r/cancer/comments/esacyw/parent_with_cancer_becoming_very_reflective/")</f>
        <v/>
      </c>
      <c r="G7239" t="inlineStr">
        <is>
          <t>2020-01-22 02:56:16</t>
        </is>
      </c>
      <c r="H7239" t="inlineStr"/>
    </row>
    <row r="7240">
      <c r="A7240" t="inlineStr">
        <is>
          <t>esauhu</t>
        </is>
      </c>
      <c r="B7240" t="inlineStr">
        <is>
          <t>Fenbendazole success story</t>
        </is>
      </c>
      <c r="C7240" t="inlineStr">
        <is>
          <t>So I'm not sure the view of fenbendazole is, but I searched reddit and haven't seen much about it, so I figured I'd share a story. Be advised this is told to me from my mother who is the subject of this posts friend, and I am not well versed in the terminology or anything, I just wanted to share because I was amazed by this. 
Last year our friend (lady in her 60s, heavy smoker) was diagnosed with stage 4 lung cancer. She went through 3 rounds (I believe) of chemo/radiation to no avail. Given a life expectancy of a few months, she read about Joe Tippens and figured what the hell, and started fenbendazole.
So one scan later, cancer was slightly smaller. The next scan (I believe 2 months later) it was gone completely.
She didn't tell her doctors she was taking it, and I don't know if she has yet, as she announced this at a dinner party. They were obviously extremely surprised. She said other patients in her hospital that had been through the same stuff had passed away, so she thanks fenbendazole for her victory.
Again, not sure if this has been tried much, but I wanted to share her story (albeit secondhand from my mother, as she is her friend) with y'all and maybe if you are in a similar situation it night work.
Share any stories you may have, siccess or not. There's not much on reddit yet, and people might be trying to find anything they can.
Sorry if this isn't appropriate for this sub!
Tldr; friend with stage 4 lung cancer tried everything and failed, took dog dewormer and beat it in a couple months.</t>
        </is>
      </c>
      <c r="D7240" t="n">
        <v>1</v>
      </c>
      <c r="E7240" t="n">
        <v>9</v>
      </c>
      <c r="F7240">
        <f>HYPERLINK("https://www.reddit.com/r/cancer/comments/esauhu/fenbendazole_success_story/")</f>
        <v/>
      </c>
      <c r="G7240" t="inlineStr">
        <is>
          <t>2020-01-22 03:50:25</t>
        </is>
      </c>
      <c r="H7240" t="inlineStr"/>
    </row>
    <row r="7241">
      <c r="A7241" t="inlineStr">
        <is>
          <t>esawvc</t>
        </is>
      </c>
      <c r="B7241" t="inlineStr">
        <is>
          <t>Thank you...</t>
        </is>
      </c>
      <c r="C7241" t="inlineStr">
        <is>
          <t>A most heartfelt thank you to Beau, Joy and Bill for having me on their show;
https://businessradiox.com/podcast/northgeorgiabusinessradio/https-stats-businessradiox-com-31007-mp3/</t>
        </is>
      </c>
      <c r="D7241" t="n">
        <v>1</v>
      </c>
      <c r="E7241" t="n">
        <v>0</v>
      </c>
      <c r="F7241">
        <f>HYPERLINK("https://www.reddit.com/r/cancer/comments/esawvc/thank_you/")</f>
        <v/>
      </c>
      <c r="G7241" t="inlineStr">
        <is>
          <t>2020-01-22 03:57:44</t>
        </is>
      </c>
      <c r="H7241" t="inlineStr"/>
    </row>
    <row r="7242">
      <c r="A7242" t="inlineStr">
        <is>
          <t>esaxln</t>
        </is>
      </c>
      <c r="B7242" t="inlineStr">
        <is>
          <t>Most effective pain management meds</t>
        </is>
      </c>
      <c r="C7242" t="inlineStr">
        <is>
          <t>I was just wondering what everyone uses for pain management, other than Dilaudid (doc is tight giving me this). I can't tolerate opiods and am on Tramadol 50 instead. Sometimes it is very effective, sometimes not so much. Thanks!</t>
        </is>
      </c>
      <c r="D7242" t="n">
        <v>1</v>
      </c>
      <c r="E7242" t="n">
        <v>40</v>
      </c>
      <c r="F7242">
        <f>HYPERLINK("https://www.reddit.com/r/cancer/comments/esaxln/most_effective_pain_management_meds/")</f>
        <v/>
      </c>
      <c r="G7242" t="inlineStr">
        <is>
          <t>2020-01-22 03:59:52</t>
        </is>
      </c>
      <c r="H7242" t="inlineStr"/>
    </row>
    <row r="7243">
      <c r="A7243" t="inlineStr">
        <is>
          <t>esd7us</t>
        </is>
      </c>
      <c r="B7243" t="inlineStr">
        <is>
          <t>Testicular Lymphoma</t>
        </is>
      </c>
      <c r="C7243" t="inlineStr">
        <is>
          <t>Hello - my amazing 66yo father was diagnosed with testicular lymphoma, they are still in pathology with the type but believe its diffuse b cell as that is the most common. Initial CT clear. Waiting to get a PET scan. He has already had a orchiectomy. Afp and bhcg tumor markers neg. Still waiting on LDH results.
From my research I know this is rare and is treated differently that other lymphomas due to the aggressiveness and the fact that it was in the testicle. 
Any advice or recommendations on doctors, second opinions, anything at all, please share. We are in the Chicagoland area. 
Thank you so so so much.</t>
        </is>
      </c>
      <c r="D7243" t="n">
        <v>1</v>
      </c>
      <c r="E7243" t="n">
        <v>5</v>
      </c>
      <c r="F7243">
        <f>HYPERLINK("https://www.reddit.com/r/cancer/comments/esd7us/testicular_lymphoma/")</f>
        <v/>
      </c>
      <c r="G7243" t="inlineStr">
        <is>
          <t>2020-01-22 07:05:08</t>
        </is>
      </c>
      <c r="H7243" t="inlineStr"/>
    </row>
    <row r="7244">
      <c r="A7244" t="inlineStr">
        <is>
          <t>esdkl8</t>
        </is>
      </c>
      <c r="B7244" t="inlineStr">
        <is>
          <t>simple Q about a clinical trial</t>
        </is>
      </c>
      <c r="C7244" t="inlineStr">
        <is>
          <t>Hello, this is 16 y/o girl and It's third times to have leukemia.
A few days ago, my doctor said that no chemo works and I have not many days to live on earth.
And the doctor wants to get a bone marrow transplant... but my dad is considering me to participate in the clinical trial firstly.
So, my question is simple. Have you ever heard/experienced this kinda situation? or Have ever participated in a clinical trial and do you think it's worth taking part in a clinical trial before a bone marrow transplantation?
I'm too young umm and I'm pretty confused now so please understand if the post contains sth wrong.
&amp;amp;#x200B;
Thank you and have a good day,</t>
        </is>
      </c>
      <c r="D7244" t="n">
        <v>1</v>
      </c>
      <c r="E7244" t="n">
        <v>0</v>
      </c>
      <c r="F7244">
        <f>HYPERLINK("https://www.reddit.com/r/cancer/comments/esdkl8/simple_q_about_a_clinical_trial/")</f>
        <v/>
      </c>
      <c r="G7244" t="inlineStr">
        <is>
          <t>2020-01-22 07:30:21</t>
        </is>
      </c>
      <c r="H7244" t="inlineStr"/>
    </row>
    <row r="7245">
      <c r="A7245" t="inlineStr">
        <is>
          <t>esfct8</t>
        </is>
      </c>
      <c r="B7245" t="inlineStr">
        <is>
          <t>My aunt was just told that there is nothing they can do anymore.</t>
        </is>
      </c>
      <c r="C7245" t="inlineStr">
        <is>
          <t>She has been fighting ovarian cancer for 1 year and a half. The chemo never worked as we hoped. The cancer just kept growing. Today she called me from the hospital and told me that her doctor said there is nothing they can do anymore. They said someone in the family needs to come over so the doctors can talk to them. They arnt going to give her chemo anymore.
I dont know what to do. Im sitting here crying because i dont know whats going to happen next. What happens to a person after they stop taking chemo? What is she going to feel like? Will she be in pain? How long do people last after stopping chemo? What should i do to help her?
Can anybody please respond? I dont know what to think right now. Im googling what happens after stopping chemo but i cant find what im looking for.
Please, if anybody can give me some insight, i would appreciate it.</t>
        </is>
      </c>
      <c r="D7245" t="n">
        <v>1</v>
      </c>
      <c r="E7245" t="n">
        <v>0</v>
      </c>
      <c r="F7245">
        <f>HYPERLINK("https://www.reddit.com/r/cancer/comments/esfct8/my_aunt_was_just_told_that_there_is_nothing_they/")</f>
        <v/>
      </c>
      <c r="G7245" t="inlineStr">
        <is>
          <t>2020-01-22 09:41:13</t>
        </is>
      </c>
      <c r="H7245" t="inlineStr"/>
    </row>
    <row r="7246">
      <c r="A7246" t="inlineStr">
        <is>
          <t>esff6o</t>
        </is>
      </c>
      <c r="B7246" t="inlineStr">
        <is>
          <t>After A 13 Month Fight, Cancer Stole My Mother From Me This Morning</t>
        </is>
      </c>
      <c r="C7246" t="inlineStr">
        <is>
          <t>35 rounds of radiation… I can’t even tell you the amount of Grays ... and seven rounds of chemo. 
Regression we beat it - then 40 days over a July 4th weekend barbecue, she said she felt some discomfort in the same area are before. The cancer was back and growing at twice the aggressiveness. Like it knew we tried to kill it and wanted revenge. 
We tried three rounds of immunotherapy. No response. Fuck it, we knew that was a longshot anyway. She didn’t have the right genetic marker that showed the best clinical success with that particular drug. 
Moved on to a new dual compound drug. Five rounds of a more aggressive chemotherapy. 
The compound began to work effectively and quite noticeably by the third session. The tumor shrank. Her CT scans came back with increasingly positive news. 
Her liveliness and desire to go out and do activities, although limited, returned. We went to the movies - Knives Out. Her appetite returned. Things were on the upswing. 
I was getting my mother back and not this hollow shell of an entity that used to represent my mother the occupied the spare bedroom in my house that now doubled as a medical center.
It’s like the cancer knew we were winning again and so it decided to employ a new trick to fuck us over - it waited for a blood infection to strike. She felt a little wheezy on Friday. They gave a strong dose of antibiotic drip that day. 
Saturday she felt a little better. Sunday, not so well. Sunday night diarrhea. Monday, wouldn’t leave the room but largely responsive. By Tuesday she was deep in the throws of septic shock. Unable to fight off the illness, she died early this morning. 
I was with her in her waning hours. She looked at me and called me “Mom” although I’m her son. Her speech was garbled and unintelligible. I gave her a pad and pen so she could hopefully communicate with me - all she wrote was “Home”. Over and over and over. Each letter deteriorating in repetition. 
She was Lifeflighted to a pre-eminent medical facility. The medical staff did everything they could for her but the level of toxicity in her blood was simply too great. Seven hours her soul joined the ever after. 
I am not a particularly violent person. I’m violent only when need necessitates. But make no mistake, if cancer were an entity, with my bare hands, I would choke it till it shit on itself and died before it even had a chance to apologize.</t>
        </is>
      </c>
      <c r="D7246" t="n">
        <v>1</v>
      </c>
      <c r="E7246" t="n">
        <v>26</v>
      </c>
      <c r="F7246">
        <f>HYPERLINK("https://www.reddit.com/r/cancer/comments/esff6o/after_a_13_month_fight_cancer_stole_my_mother/")</f>
        <v/>
      </c>
      <c r="G7246" t="inlineStr">
        <is>
          <t>2020-01-22 09:45:50</t>
        </is>
      </c>
      <c r="H7246" t="inlineStr"/>
    </row>
    <row r="7247">
      <c r="A7247" t="inlineStr">
        <is>
          <t>esfqog</t>
        </is>
      </c>
      <c r="B7247" t="inlineStr">
        <is>
          <t>Port maintenance</t>
        </is>
      </c>
      <c r="C7247" t="inlineStr">
        <is>
          <t>Hello, I’ve had my port installed early this month. Is there anything particular to do to keep the port clean and avoid infection? For example, if you want to keep it even in remission, do you need to go to the hospital regularly to keep it clean inside ?</t>
        </is>
      </c>
      <c r="D7247" t="n">
        <v>1</v>
      </c>
      <c r="E7247" t="n">
        <v>4</v>
      </c>
      <c r="F7247">
        <f>HYPERLINK("https://www.reddit.com/r/cancer/comments/esfqog/port_maintenance/")</f>
        <v/>
      </c>
      <c r="G7247" t="inlineStr">
        <is>
          <t>2020-01-22 10:08:05</t>
        </is>
      </c>
      <c r="H7247" t="inlineStr"/>
    </row>
    <row r="7248">
      <c r="A7248" t="inlineStr">
        <is>
          <t>esg45j</t>
        </is>
      </c>
      <c r="B7248" t="inlineStr">
        <is>
          <t>My mom</t>
        </is>
      </c>
      <c r="C7248" t="inlineStr">
        <is>
          <t>My mom had went through breast cancer before, but I was little.
Today, it was confirmed that the cancer spread to her lungs and bones. Now that I'm old enough I want to actually do something. What can I do? I really wanna keep her alive.</t>
        </is>
      </c>
      <c r="D7248" t="n">
        <v>1</v>
      </c>
      <c r="E7248" t="n">
        <v>2</v>
      </c>
      <c r="F7248">
        <f>HYPERLINK("https://www.reddit.com/r/cancer/comments/esg45j/my_mom/")</f>
        <v/>
      </c>
      <c r="G7248" t="inlineStr">
        <is>
          <t>2020-01-22 10:36:03</t>
        </is>
      </c>
      <c r="H7248" t="inlineStr"/>
    </row>
    <row r="7249">
      <c r="A7249" t="inlineStr">
        <is>
          <t>esgcfd</t>
        </is>
      </c>
      <c r="B7249" t="inlineStr">
        <is>
          <t>AML and headaches?</t>
        </is>
      </c>
      <c r="C7249" t="inlineStr">
        <is>
          <t>My mom was diagnosed with AML last November and she's started her second round of chemo yesterday. Today she is having some pretty bad headaches, like to the point of tears. This happened to her last time she had chemo. Is this common?</t>
        </is>
      </c>
      <c r="D7249" t="n">
        <v>1</v>
      </c>
      <c r="E7249" t="n">
        <v>0</v>
      </c>
      <c r="F7249">
        <f>HYPERLINK("https://www.reddit.com/r/cancer/comments/esgcfd/aml_and_headaches/")</f>
        <v/>
      </c>
      <c r="G7249" t="inlineStr">
        <is>
          <t>2020-01-22 10:53:33</t>
        </is>
      </c>
      <c r="H7249" t="inlineStr"/>
    </row>
    <row r="7250">
      <c r="A7250" t="inlineStr">
        <is>
          <t>esge9q</t>
        </is>
      </c>
      <c r="B7250" t="inlineStr">
        <is>
          <t>Blocked Nose after Head and Neck Radiotherapy</t>
        </is>
      </c>
      <c r="C7250" t="inlineStr">
        <is>
          <t>I've had a blocked nose ever since my treatment ended nearly two months ago (Sinonasal Undifferentiated Carcinoma), initially thought it was just swollen due to radiation, but at a doctor's check up today I found out why: The radiotherapy has scarred my nose shut.
My doctor was supposed to clean the insides of my nose as well as see how my recovery is going, couldn't do neither of those things and from what I understood they can't really do much until I have had my CT/PET scan at the end of March.
Has anyone else experienced this after receiving radiotherapy to the head and neck area? How was it fixed for you? I've already had two surgeries prior to my chemo and radiation, really not looking forward to a possible third one.</t>
        </is>
      </c>
      <c r="D7250" t="n">
        <v>1</v>
      </c>
      <c r="E7250" t="n">
        <v>1</v>
      </c>
      <c r="F7250">
        <f>HYPERLINK("https://www.reddit.com/r/cancer/comments/esge9q/blocked_nose_after_head_and_neck_radiotherapy/")</f>
        <v/>
      </c>
      <c r="G7250" t="inlineStr">
        <is>
          <t>2020-01-22 10:57:38</t>
        </is>
      </c>
      <c r="H7250" t="inlineStr"/>
    </row>
    <row r="7251">
      <c r="A7251" t="inlineStr">
        <is>
          <t>esggsl</t>
        </is>
      </c>
      <c r="B7251" t="inlineStr">
        <is>
          <t>January is cervical cancer awareness month and my wife (31) just became part of Team Teal in December. Shes at chemo right now.</t>
        </is>
      </c>
      <c r="C7251" t="inlineStr">
        <is>
          <t>Hello, January is cervical cancer awareness month so welcome to what we like to Team Teal!!!!
(Gofundme link:
https://www.gofundme.com/f/eud9m-cervical-cancer-medication?sharetype=teams&amp;amp;member=3550414&amp;amp;utm_medium=copy_link&amp;amp;utm_source=customer&amp;amp;utm_campaign=p_na+share-sheet&amp;amp;pc_code=ot_co_dashboard_a&amp;amp;rcid=55a1e0e6baa64f4fbecad5bdabb22232 )
My name is Devin, and my wife's name is Mattie. She's currently going though radiation and chemotherapy because she is diagnosed at Stage 3C  (the last stage before stage four which is the final stage of cancer) which means its progressed to her lymph nodes as well as her pelvic wall and other non organ abdominal areas, meaning radical hysterectomy was out of the question. She being a trooper and also my hero because she's being so strong. She does have some really bad days and nights though; especially with abdominal pain and has so far refused narcotic pain relief because she's seen first hand how bad opiate addiction can be. I literally have to sleep on the floor because the slightest movements makes her abdominal pain so bad it wakes her up for at least two hours. She had to quit her job and I'll hopefully have a job soon (we just  moved back to NC from Myrtle Beach two weels before she was diagnosed and I'm a welder by trade and welding jobs are hard to find in the winter around here for some reason. But its got to the point where I'm not buying my medicine for my epilepsy so we can afford her medicine. Hopefully she'll be put on disability soon (medicaid requires you to either have children or be on full disability to qualify for Medicaid and since were between jobs we obviously don't have insurance). In the mean time we've gone completely through our entire life savings paying for all this. I am a hopeful man who prays daily and we have so many friends and family praying for us but I'm also a rational facts based man. Best case scenario, as long as her cancer stays the way it is, she has a 63% of being alive still in five years. Worst case scenario she has a 30 to 50 percent chance in three years. Im so scared for her and selfishly, I'm scared to be a 35 year old widower. We won't even be able to have kids because of the cancers location not to mention she has endometriosis and we have about 12 miscarriages so I won't even have a child by her in case the worst happens (which is why we didn't think anything was particularly wrong because of the endometriosis) She's my soulmate and I couldn't find another woman as perfect for me as her. I just had to pawn my guitar to pay or rent. We are very proud people and can not stand taking hand outs but we have no idea what else there is we can do. But any money we do raise we will be donating 25% to cervical cancer research to give back to the cause. So for those of you who wish to donate even two or three dollars, we would be so appreciative and we will send you a thank you email, text, or letter if you do not wish to remain anonymous. Thanks so much everyone. We send all our love to you and yours. Take care of your selves and if you're a woman, save a tear and get your smear!!
P.S. If you feel inclined to donate even just a couple dollars we will be so appreciative. We'll thank you immensely if you don't want to be anonymous we can send our deepest thanks via email, DM, text or however you prefer. Thank you all so much, even those who can't give. We send our love to you all. The go fund me link is below:
https://www.gofundme.com/f/eud9m-cervical-cancer-medication?sharetype=teams&amp;amp;member=3550414&amp;amp;utm_medium=copy_link&amp;amp;utm_source=customer&amp;amp;utm_campaign=p_na+share-sheet&amp;amp;pc_code=ot_co_dashboard_a&amp;amp;rcid=55a1e0e6baa64f4fbecad5bdabb22232</t>
        </is>
      </c>
      <c r="D7251" t="n">
        <v>1</v>
      </c>
      <c r="E7251" t="n">
        <v>0</v>
      </c>
      <c r="F7251">
        <f>HYPERLINK("https://www.reddit.com/r/cancer/comments/esggsl/january_is_cervical_cancer_awareness_month_and_my/")</f>
        <v/>
      </c>
      <c r="G7251" t="inlineStr">
        <is>
          <t>2020-01-22 11:02:58</t>
        </is>
      </c>
      <c r="H7251" t="inlineStr"/>
    </row>
    <row r="7252">
      <c r="A7252" t="inlineStr">
        <is>
          <t>esgzu6</t>
        </is>
      </c>
      <c r="B7252" t="inlineStr">
        <is>
          <t>Oral pain meds stopped working for dad, so they’ve started him on 2.4 mgs on morphine an hour.</t>
        </is>
      </c>
      <c r="C7252" t="inlineStr">
        <is>
          <t>But what amazes me is he’s still able to talk, he still has strength in his convos and can walk with the help of walking frame with wheels. I’m trying to get him to rest (he’s in the palliative care unit now to manage the pain) but he still has so much fight in him. Yesterday he started cramping in his hands and feet a lot during the day and I asked the nurses but they didn’t seem to do anything for him. Is there anything they can do? He’s very restless and I don’t want him in any emotional, physical or mental pain before he passes. But with regards to the morphine, shouldn’t it make him more sleepy? He has end stage liver cancer</t>
        </is>
      </c>
      <c r="D7252" t="n">
        <v>1</v>
      </c>
      <c r="E7252" t="n">
        <v>2</v>
      </c>
      <c r="F7252">
        <f>HYPERLINK("https://www.reddit.com/r/cancer/comments/esgzu6/oral_pain_meds_stopped_working_for_dad_so_theyve/")</f>
        <v/>
      </c>
      <c r="G7252" t="inlineStr">
        <is>
          <t>2020-01-22 11:42:41</t>
        </is>
      </c>
      <c r="H7252" t="inlineStr"/>
    </row>
    <row r="7253">
      <c r="A7253" t="inlineStr">
        <is>
          <t>esijld</t>
        </is>
      </c>
      <c r="B7253" t="inlineStr">
        <is>
          <t>What does this mean...?</t>
        </is>
      </c>
      <c r="C7253" t="inlineStr">
        <is>
          <t>Had some more swollen lymph nodes pop up recently (previously had Hodgkin's Lymphoma so that was one of the major symptoms I had the first time around) and went in for CT scan, doc said I definitely had swollen lymph nodes around my neck. Then went in for a biopsy last week, got a call from one of the nurses yesterday saying doc got the results and wants to set up a follow up appointment...
 not sure what this could mean but my initial thoughts are shit, must not be good then. Really not sure what to expect at this point. I am trying not to drive myself crazy thinking about what the results were and if the cancer is back. Why else would my oncologist want me to come in to talk about the results? I wont be seeing her till Monday so I have got quite a bit of time before I will have any answers... could really use some positive vibes right now and virtual hugs</t>
        </is>
      </c>
      <c r="D7253" t="n">
        <v>1</v>
      </c>
      <c r="E7253" t="n">
        <v>10</v>
      </c>
      <c r="F7253">
        <f>HYPERLINK("https://www.reddit.com/r/cancer/comments/esijld/what_does_this_mean/")</f>
        <v/>
      </c>
      <c r="G7253" t="inlineStr">
        <is>
          <t>2020-01-22 13:29:21</t>
        </is>
      </c>
      <c r="H7253" t="inlineStr"/>
    </row>
    <row r="7254">
      <c r="A7254" t="inlineStr">
        <is>
          <t>esj88y</t>
        </is>
      </c>
      <c r="B7254" t="inlineStr">
        <is>
          <t>One way of knowing chemo (or any other treatment) is working without actually having to wait until the follow-up a month later is...</t>
        </is>
      </c>
      <c r="C7254" t="inlineStr">
        <is>
          <t>that the symptoms of the cancer isn't affecting you. 
You know, weight loss, constipation, coughing, or anything with any cancer that you have.
If you're not feeling the symptoms then that means the tumor is shrinking or stable.</t>
        </is>
      </c>
      <c r="D7254" t="n">
        <v>1</v>
      </c>
      <c r="E7254" t="n">
        <v>5</v>
      </c>
      <c r="F7254">
        <f>HYPERLINK("https://www.reddit.com/r/cancer/comments/esj88y/one_way_of_knowing_chemo_or_any_other_treatment/")</f>
        <v/>
      </c>
      <c r="G7254" t="inlineStr">
        <is>
          <t>2020-01-22 14:16:52</t>
        </is>
      </c>
      <c r="H7254" t="inlineStr"/>
    </row>
    <row r="7255">
      <c r="A7255" t="inlineStr">
        <is>
          <t>esjayq</t>
        </is>
      </c>
      <c r="B7255" t="inlineStr">
        <is>
          <t>Well, it’s the end I guess.</t>
        </is>
      </c>
      <c r="C7255" t="inlineStr">
        <is>
          <t>My grandpa has gotten to the point where he needs to be on methadone for the pain. He sleeps all day. He barely drinks any water. He hasn’t eaten for a few days now because he isn’t wanting to swallow. It’s so hard to see him like this. I don’t want to lose him but he’s not living anymore just existing. I’m just terrified it’s going to get to the point where he’s suffering even worse than what he is now. This is the hardest thing I’ve ever experienced in my life. How do I proceed? My entire family dynamic is changing. I’m about to lose a person I love with all of my heart and I don’t know how it’s going to happen and I don’t know when it’s going to happen but I know it’s coming. How do I proceed?</t>
        </is>
      </c>
      <c r="D7255" t="n">
        <v>1</v>
      </c>
      <c r="E7255" t="n">
        <v>5</v>
      </c>
      <c r="F7255">
        <f>HYPERLINK("https://www.reddit.com/r/cancer/comments/esjayq/well_its_the_end_i_guess/")</f>
        <v/>
      </c>
      <c r="G7255" t="inlineStr">
        <is>
          <t>2020-01-22 14:22:02</t>
        </is>
      </c>
      <c r="H7255" t="inlineStr"/>
    </row>
    <row r="7256">
      <c r="A7256" t="inlineStr">
        <is>
          <t>esk8at</t>
        </is>
      </c>
      <c r="B7256" t="inlineStr">
        <is>
          <t>Newly diagnosed with breast cancer</t>
        </is>
      </c>
      <c r="C7256" t="inlineStr">
        <is>
          <t>Any advice is appreciated! I'm a 30 yr old mom of 3 and so scared. Just found out I have breast cancer. They are doing genetic testing do determine if I have a certain gene that would require I get a double mastectomy as well as removing my ovaries at some point.. 
I have stage 3 breast cancer, they are going to do a ct scan and bone scan to make sure it hasn't spread. I'm gonna have to do chemo and radiation to shrink the masses before she can do surgery. Then once the gene testing comes back they will decide on a surgical procedure.
Did anyone else have chemo/radiation before surgery?</t>
        </is>
      </c>
      <c r="D7256" t="n">
        <v>1</v>
      </c>
      <c r="E7256" t="n">
        <v>22</v>
      </c>
      <c r="F7256">
        <f>HYPERLINK("https://www.reddit.com/r/cancer/comments/esk8at/newly_diagnosed_with_breast_cancer/")</f>
        <v/>
      </c>
      <c r="G7256" t="inlineStr">
        <is>
          <t>2020-01-22 15:29:43</t>
        </is>
      </c>
      <c r="H7256" t="inlineStr"/>
    </row>
    <row r="7257">
      <c r="A7257" t="inlineStr">
        <is>
          <t>eskqxb</t>
        </is>
      </c>
      <c r="B7257" t="inlineStr">
        <is>
          <t>brother is dying</t>
        </is>
      </c>
      <c r="C7257" t="inlineStr">
        <is>
          <t>i dont know what to do anymore, this is so fucked up</t>
        </is>
      </c>
      <c r="D7257" t="n">
        <v>1</v>
      </c>
      <c r="E7257" t="n">
        <v>0</v>
      </c>
      <c r="F7257">
        <f>HYPERLINK("https://www.reddit.com/r/cancer/comments/eskqxb/brother_is_dying/")</f>
        <v/>
      </c>
      <c r="G7257" t="inlineStr">
        <is>
          <t>2020-01-22 16:07:58</t>
        </is>
      </c>
      <c r="H7257" t="inlineStr"/>
    </row>
    <row r="7258">
      <c r="A7258" t="inlineStr">
        <is>
          <t>eskw07</t>
        </is>
      </c>
      <c r="B7258" t="inlineStr">
        <is>
          <t>Still feeling the effects of Chemotherapy</t>
        </is>
      </c>
      <c r="C7258" t="inlineStr">
        <is>
          <t>My last treatment of Methotrexate was on September 13th 2019. While getting my chemotherapy I didn't lose much of my hair and my looks never changed. I gained a little weight but it was because of all of the medications
I was on.  Right after I stopped my treatments I started losing lots of patches of hair, I lost a ton of weight and I'm developing horrible acne, mostly on my back, my hair color is also coming in white. I'm very concerned I'm only 24 and I'm having a breakdown. My doctor told me that its going to take a while for everything to go back to normal. Has anyone went through this ?  I'm supposed to be better but I feel worse.</t>
        </is>
      </c>
      <c r="D7258" t="n">
        <v>1</v>
      </c>
      <c r="E7258" t="n">
        <v>5</v>
      </c>
      <c r="F7258">
        <f>HYPERLINK("https://www.reddit.com/r/cancer/comments/eskw07/still_feeling_the_effects_of_chemotherapy/")</f>
        <v/>
      </c>
      <c r="G7258" t="inlineStr">
        <is>
          <t>2020-01-22 16:18:55</t>
        </is>
      </c>
      <c r="H7258" t="inlineStr"/>
    </row>
    <row r="7259">
      <c r="A7259" t="inlineStr">
        <is>
          <t>eslhoe</t>
        </is>
      </c>
      <c r="B7259" t="inlineStr">
        <is>
          <t>Taking the bar exam while undergoing treatment</t>
        </is>
      </c>
      <c r="C7259" t="inlineStr">
        <is>
          <t>Is it possible? For context, I'm in my last semester of law school and was diagnosed this past November. I'm on immunotherapy (Keytruda) and targeted therapy (Inlyta). My treatment is ongoing and the end date is currently unknown.  I have some time until I need to decide (April) but I wanted to know if anyone has ever studied for the bar exam while undergoing treatment and passed while not totally killing yourself at the same time. I've heard horror stories of completely healthy people struggling with this exam so I worry.  
Currently getting through my last semester and trying to learn how to work through being tired all the time as well as the aches and pains in my back. I think I can get through the semester and graduate, but all the talk about studying for the bar exam for 8-9 hours every day for 10 weeks has me worried that I may not be able to do so until I have finished my treatment. I have the privilege of being able to break my lease and live with my parents if needed until I get a job. Mostly wondering if anyone has insight on doing this for me to think about before I have to cross that bridge.</t>
        </is>
      </c>
      <c r="D7259" t="n">
        <v>1</v>
      </c>
      <c r="E7259" t="n">
        <v>9</v>
      </c>
      <c r="F7259">
        <f>HYPERLINK("https://www.reddit.com/r/cancer/comments/eslhoe/taking_the_bar_exam_while_undergoing_treatment/")</f>
        <v/>
      </c>
      <c r="G7259" t="inlineStr">
        <is>
          <t>2020-01-22 17:04:00</t>
        </is>
      </c>
      <c r="H7259" t="inlineStr"/>
    </row>
    <row r="7260">
      <c r="A7260" t="inlineStr">
        <is>
          <t>eslrod</t>
        </is>
      </c>
      <c r="B7260" t="inlineStr">
        <is>
          <t>My dad got diagnosed with liver cancer today, I'm devastated &amp;amp; looking for anything that can help him</t>
        </is>
      </c>
      <c r="C7260" t="inlineStr">
        <is>
          <t>My lovely dad (60 y.o) who's always been my role model and hero in life got diagnosed with sarcamatoid carcinoma starting from liver and spread all over his body (Stage 4 liver cancer). It started when a careless doctor performed a blood transfusion when my dad had an accident a few years ago and needed operation on his leg and the injected blood had a virus for Hepatitis B. We believe the cancer cells come from this liver infection of Hep B. 
He currently has Jaundice and a bloated stomach and cancer treatment can't start unless Jaundice goes away first. The doctor told him about his diagnosis and he seems to have lost all his fight. How do I help him feel better? I can't think straight but I want to do anything and everything I possibly can to help him get through this. The doctor's plan is to cure the Jaundice ASAP and start chemo treatment.
Please people of reddit, tell me what I can do? He is already admitted in one of the best hospitals in my city but I want to move him to the best cancer facility in the world; So where is that?</t>
        </is>
      </c>
      <c r="D7260" t="n">
        <v>1</v>
      </c>
      <c r="E7260" t="n">
        <v>0</v>
      </c>
      <c r="F7260">
        <f>HYPERLINK("https://www.reddit.com/r/cancer/comments/eslrod/my_dad_got_diagnosed_with_liver_cancer_today_im/")</f>
        <v/>
      </c>
      <c r="G7260" t="inlineStr">
        <is>
          <t>2020-01-22 17:25:26</t>
        </is>
      </c>
      <c r="H7260" t="inlineStr"/>
    </row>
    <row r="7261">
      <c r="A7261" t="inlineStr">
        <is>
          <t>eslt9l</t>
        </is>
      </c>
      <c r="B7261" t="inlineStr">
        <is>
          <t>Bad reaction post CT scan with contrast</t>
        </is>
      </c>
      <c r="C7261" t="inlineStr">
        <is>
          <t>Tw/cw: anxiety, post ct scans, body aches, kind of clammy feeling (not suffocating, just borderline cold sweats and almost like a dry mouth sensation in the back of my throat)
 I feel like my body is having a really hard time post CT scan with contrast. A lot worse than last time.
Not sure if I had a panic attack or not but my whole body is aching. 
Nurse said only come to the hospital post CT if something is seriously wrong (racing heart, severe headaches, rapid breathing, etc). I've been slightly nauseated all day post CT scan (got it January 21/Tuesday, I threw up pretty bad at the scan).</t>
        </is>
      </c>
      <c r="D7261" t="n">
        <v>1</v>
      </c>
      <c r="E7261" t="n">
        <v>2</v>
      </c>
      <c r="F7261">
        <f>HYPERLINK("https://www.reddit.com/r/cancer/comments/eslt9l/bad_reaction_post_ct_scan_with_contrast/")</f>
        <v/>
      </c>
      <c r="G7261" t="inlineStr">
        <is>
          <t>2020-01-22 17:28:43</t>
        </is>
      </c>
      <c r="H7261" t="inlineStr"/>
    </row>
    <row r="7262">
      <c r="A7262" t="inlineStr">
        <is>
          <t>esmlaq</t>
        </is>
      </c>
      <c r="B7262" t="inlineStr">
        <is>
          <t>My patient</t>
        </is>
      </c>
      <c r="C7262" t="inlineStr">
        <is>
          <t>Walked into my shift with a patient I've had for about 1.5 months inpatient with neutropenic fever/aspergillus pneumonia transitioning to dying. Got very close with family. 
Getting home and I just... sobbed. Families, patients, loved ones, how do you feel your nurse could have supported you more during this time? I've cared for so many at EOL from cancer, including my two grandparents, but I NEED to know how to make it better/be better.</t>
        </is>
      </c>
      <c r="D7262" t="n">
        <v>1</v>
      </c>
      <c r="E7262" t="n">
        <v>7</v>
      </c>
      <c r="F7262">
        <f>HYPERLINK("https://www.reddit.com/r/cancer/comments/esmlaq/my_patient/")</f>
        <v/>
      </c>
      <c r="G7262" t="inlineStr">
        <is>
          <t>2020-01-22 18:25:27</t>
        </is>
      </c>
      <c r="H7262" t="inlineStr"/>
    </row>
    <row r="7263">
      <c r="A7263" t="inlineStr">
        <is>
          <t>esn50q</t>
        </is>
      </c>
      <c r="B7263" t="inlineStr">
        <is>
          <t>My dad 60M got diagnosed with liver cancer today, I'm devastated &amp;amp; looking for anything that can help him</t>
        </is>
      </c>
      <c r="C7263" t="inlineStr">
        <is>
          <t xml:space="preserve"> 
My lovely dad (60 y.o male, 5'10" tall, 78 kg weight, doesn't smoke and doesn't drink, previously had Hepatitis B) who's always been my role model and hero in life got diagnosed with sarcamatoid carcinoma starting from liver and spread all over his body (Stage 4 liver cancer). It started when a careless doctor performed a blood transfusion when my dad had an accident a few years ago and needed operation on his leg and the injected blood had a virus for Hepatitis B. We believe the cancer cells come from this liver infection of Hep B.
He currently has Jaundice and a bloated stomach and cancer treatment can't start unless Jaundice goes away first. The doctor told him about his diagnosis and he seems to have lost all his fight. How do I help him feel better? I can't think straight but I want to do anything and everything I possibly can to help him get through this. The doctor's plan is to cure the Jaundice ASAP and start chemo treatment.
Please people of reddit, tell me what I can do? He is already admitted in one of the best hospitals in my city but I want to move him to the best cancer facility in the world; So where is that?</t>
        </is>
      </c>
      <c r="D7263" t="n">
        <v>1</v>
      </c>
      <c r="E7263" t="n">
        <v>0</v>
      </c>
      <c r="F7263">
        <f>HYPERLINK("https://www.reddit.com/r/cancer/comments/esn50q/my_dad_60m_got_diagnosed_with_liver_cancer_today/")</f>
        <v/>
      </c>
      <c r="G7263" t="inlineStr">
        <is>
          <t>2020-01-22 19:05:52</t>
        </is>
      </c>
      <c r="H7263" t="inlineStr"/>
    </row>
    <row r="7264">
      <c r="A7264" t="inlineStr">
        <is>
          <t>esn9i8</t>
        </is>
      </c>
      <c r="B7264" t="inlineStr">
        <is>
          <t>My grandmother started chemo today</t>
        </is>
      </c>
      <c r="C7264" t="inlineStr">
        <is>
          <t>This is my first post here, but I've a member of the community for awhile. I'll try to keep this short and to the point, while providing as much necessary backstory as I can. Thanks to anyone who takes the time to read or respond.
Yesterday my grandmother had a PICC line inserted, and today she started chemotherapy (I think FOLFOX is the name of the drug combo). She was diagnosed with stage IV metastasized liver cancer around the end of November 2019. PET scans show the cancer is also in her stomach, and they noted a small spot on her lung that they were uncertain about. They said it would be too invasive to biopsy to see if the lung spot is cancerous and that given the metastasis elsewhere it wasn't worth the risk.
They think the cancer originated from her stomach. The tumors in her liver are widespread, with some as large as "small apples". The doctors originally they gave her 3-9 months to live, but the latest estimates are 9-15 months. Obviously these are just estimates, but the reality of the situation is that the cancer is inoperable and terminal and chemotherapy is the only available option for extending her life.
She was not pressured in any way to select the chemotherapy option. She has been making her own treatment decisions, as she should be. However, I'm not sure what I should expect as her grandson as she undergoes chemotherapy. I've never been so close to someone undergoing chemo and I want to know what's expected and also what (if anything) within my power I can do to improve the situation. 
I'm experiencing a lot of analysis paralysis about the entire situation, and I wanted to get some input from a community that has been personally affected by the evil we call cancer.
Some questions that have been on my mind...
* How will the chemotherapy affect her body?
* How will it affect her mind?
* What can I do to try to improve the quality of the remaining time she has left?
* What are some things I should say and do?
* What are some things I should avoid saying or doing?
Additional suggestions, stories, advice, etc. are more than welcome. Thank you so much.</t>
        </is>
      </c>
      <c r="D7264" t="n">
        <v>1</v>
      </c>
      <c r="E7264" t="n">
        <v>4</v>
      </c>
      <c r="F7264">
        <f>HYPERLINK("https://www.reddit.com/r/cancer/comments/esn9i8/my_grandmother_started_chemo_today/")</f>
        <v/>
      </c>
      <c r="G7264" t="inlineStr">
        <is>
          <t>2020-01-22 19:15:20</t>
        </is>
      </c>
      <c r="H7264" t="inlineStr"/>
    </row>
    <row r="7265">
      <c r="A7265" t="inlineStr">
        <is>
          <t>esntc8</t>
        </is>
      </c>
      <c r="B7265" t="inlineStr">
        <is>
          <t>Help</t>
        </is>
      </c>
      <c r="C7265" t="inlineStr">
        <is>
          <t>I have B cell all and I have to take steroids every other week, I’m having really bad nerve pain from withdrawal. Just wondering if anyone knows a way to stop the withdrawal, side effects or just the pain. I haven’t had a follow up yet so I can’t ask for cymbalta</t>
        </is>
      </c>
      <c r="D7265" t="n">
        <v>1</v>
      </c>
      <c r="E7265" t="n">
        <v>6</v>
      </c>
      <c r="F7265">
        <f>HYPERLINK("https://www.reddit.com/r/cancer/comments/esntc8/help/")</f>
        <v/>
      </c>
      <c r="G7265" t="inlineStr">
        <is>
          <t>2020-01-22 19:58:31</t>
        </is>
      </c>
      <c r="H7265" t="inlineStr"/>
    </row>
    <row r="7266">
      <c r="A7266" t="inlineStr">
        <is>
          <t>eso90f</t>
        </is>
      </c>
      <c r="B7266" t="inlineStr">
        <is>
          <t>My dad just got diagnosed with advanced prostate cancer (stage 4) how do I keep my family off the streets long term?</t>
        </is>
      </c>
      <c r="C7266" t="inlineStr">
        <is>
          <t>I'm 21 my brother is 19 as of last week, and my sister is 13. We all live together. We just moved across the country from East to West coast because my dad makes a lot of money. 
He's only told me. 
He's gonna have to quit his job to do chemo to extend his life(?) And we don't have a lot of extra money since we just got this new house.
He's gonna die soon.
My mom is a stay at home mom who is unable to work, and I make min wage. $15/hr. here. He has a big life insurance policy but my job won't even cover the taxes and regular fees of living here. Is the best plan to move back? We were living in a very very low cost area of the east coast.
Anything helps.</t>
        </is>
      </c>
      <c r="D7266" t="n">
        <v>1</v>
      </c>
      <c r="E7266" t="n">
        <v>9</v>
      </c>
      <c r="F7266">
        <f>HYPERLINK("https://www.reddit.com/r/cancer/comments/eso90f/my_dad_just_got_diagnosed_with_advanced_prostate/")</f>
        <v/>
      </c>
      <c r="G7266" t="inlineStr">
        <is>
          <t>2020-01-22 20:39:47</t>
        </is>
      </c>
      <c r="H7266" t="inlineStr"/>
    </row>
    <row r="7267">
      <c r="A7267" t="inlineStr">
        <is>
          <t>esokxs</t>
        </is>
      </c>
      <c r="B7267" t="inlineStr">
        <is>
          <t>My brother has brain cancer</t>
        </is>
      </c>
      <c r="C7267" t="inlineStr">
        <is>
          <t>My brother who is 24, was hit by a car and suffered a head injury. When he was being checked over by the hospital, they ran tests and discovered he had brain cancer. He is in week 2 of treatment. After 8 weeks if it hasn't shrunk they are going to operate. I've seen online there's only a 40% chance of him surviving. I'm trying to stay positive. I'm not sure what my role should be. I live 5400 miles from him. Some days I want to head home, my brother and parents have said wait and see what happens after the 8 week results. I contact him everyday but I feel like I'm not helping at all. This has turned his world upside down and I don't know how best to support him. If anyone could give me advice on things I can do, I would appreciate it. I've never experienced anything like this with a family member.</t>
        </is>
      </c>
      <c r="D7267" t="n">
        <v>1</v>
      </c>
      <c r="E7267" t="n">
        <v>5</v>
      </c>
      <c r="F7267">
        <f>HYPERLINK("https://www.reddit.com/r/cancer/comments/esokxs/my_brother_has_brain_cancer/")</f>
        <v/>
      </c>
      <c r="G7267" t="inlineStr">
        <is>
          <t>2020-01-22 21:17:30</t>
        </is>
      </c>
      <c r="H7267" t="inlineStr"/>
    </row>
    <row r="7268">
      <c r="A7268" t="inlineStr">
        <is>
          <t>espft2</t>
        </is>
      </c>
      <c r="B7268" t="inlineStr">
        <is>
          <t>Beating my prognosis</t>
        </is>
      </c>
      <c r="C7268" t="inlineStr">
        <is>
          <t>One year ago I (F 64) learned I had stage IV metastatic urethelial cancer. Incurable. The prognosis was that I had 18 months to live. Urethelial cancer is 90% of bladder cancers, though mine was in my kidney and beyond. It's the sixth most common cancer in the U.S. 
I entered a trial using Enfortumab vedotin combined with Cisplatin. By the second scan, all signs of the cancer were gone!
I'm still receiving treatment. We'll reevaluate in March. They expect a recurrence at some point and will treat me with Keytruda then. Keytruda only works in 20% of urethelial cancer patients, but when it works, it can be a cure--a word I've never heard my oncologist say.
He says I'll be around a long time and attributed my success to good health and a great support system.
There's so much bad news on this thread that I had to share my great news!
Don't lose hope or pay attention to statistics.</t>
        </is>
      </c>
      <c r="D7268" t="n">
        <v>1</v>
      </c>
      <c r="E7268" t="n">
        <v>63</v>
      </c>
      <c r="F7268">
        <f>HYPERLINK("https://www.reddit.com/r/cancer/comments/espft2/beating_my_prognosis/")</f>
        <v/>
      </c>
      <c r="G7268" t="inlineStr">
        <is>
          <t>2020-01-22 22:50:46</t>
        </is>
      </c>
      <c r="H7268" t="inlineStr"/>
    </row>
    <row r="7269">
      <c r="A7269" t="inlineStr">
        <is>
          <t>espk60</t>
        </is>
      </c>
      <c r="B7269" t="inlineStr">
        <is>
          <t>North America is Dominant in the Global Leukemia Therapeutics Market</t>
        </is>
      </c>
      <c r="C7269" t="inlineStr">
        <is>
          <t>In US, more than 60,000 people were estimated to be diagnosed with leukemia in 2019. The upsurge in leukemia cases across the globe has elevated global leukemia therapeutics market.   
Know more about leukemia therapeutics market ping me:</t>
        </is>
      </c>
      <c r="D7269" t="n">
        <v>1</v>
      </c>
      <c r="E7269" t="n">
        <v>0</v>
      </c>
      <c r="F7269">
        <f>HYPERLINK("https://www.reddit.com/r/cancer/comments/espk60/north_america_is_dominant_in_the_global_leukemia/")</f>
        <v/>
      </c>
      <c r="G7269" t="inlineStr">
        <is>
          <t>2020-01-22 23:03:50</t>
        </is>
      </c>
      <c r="H7269" t="inlineStr"/>
    </row>
    <row r="7270">
      <c r="A7270" t="inlineStr">
        <is>
          <t>esq2yu</t>
        </is>
      </c>
      <c r="B7270" t="inlineStr">
        <is>
          <t>Should I get checked?</t>
        </is>
      </c>
      <c r="C7270" t="inlineStr">
        <is>
          <t>This is quick because I’m at a friends party it i found a decently large lump (about the size of my mmmmm an American nickel) on the left of my trachea/ throat, should I get screened? The only other thing I’ve noticed is some coughing I get.</t>
        </is>
      </c>
      <c r="D7270" t="n">
        <v>1</v>
      </c>
      <c r="E7270" t="n">
        <v>4</v>
      </c>
      <c r="F7270">
        <f>HYPERLINK("https://www.reddit.com/r/cancer/comments/esq2yu/should_i_get_checked/")</f>
        <v/>
      </c>
      <c r="G7270" t="inlineStr">
        <is>
          <t>2020-01-23 00:04:40</t>
        </is>
      </c>
      <c r="H7270" t="inlineStr"/>
    </row>
    <row r="7271">
      <c r="A7271" t="inlineStr">
        <is>
          <t>esqg1c</t>
        </is>
      </c>
      <c r="B7271" t="inlineStr">
        <is>
          <t>I don't know what this means. Is my partner going to be ok?</t>
        </is>
      </c>
      <c r="C7271" t="inlineStr">
        <is>
          <t>A few months ago my partner noticed blood in his urine. He is stubborn and justified not getting it checked out believing it was probably a uti or kidney stone (which I insisted would still need treatment). Finally he went in to do tests and they found a small mass on his gallbladder. 
I wasn't there, but my partner says they didn't seem worried about it and want to take another urine sample.  They doctors said they would like to check in one year to see it it grows. 
I hope this isn't coming off as insensitive as I know most people here have officially been diagnosed,  but I don't know where to post this or where to receive answers. 
I'm worried. Why would they wait an entire year to check? What it it grows within that time?</t>
        </is>
      </c>
      <c r="D7271" t="n">
        <v>1</v>
      </c>
      <c r="E7271" t="n">
        <v>3</v>
      </c>
      <c r="F7271">
        <f>HYPERLINK("https://www.reddit.com/r/cancer/comments/esqg1c/i_dont_know_what_this_means_is_my_partner_going/")</f>
        <v/>
      </c>
      <c r="G7271" t="inlineStr">
        <is>
          <t>2020-01-23 00:51:26</t>
        </is>
      </c>
      <c r="H7271" t="inlineStr"/>
    </row>
    <row r="7272">
      <c r="A7272" t="inlineStr">
        <is>
          <t>essroo</t>
        </is>
      </c>
      <c r="B7272" t="inlineStr">
        <is>
          <t>Anyone else have a rough time after colorectal surgery?</t>
        </is>
      </c>
      <c r="C7272" t="inlineStr">
        <is>
          <t>On January 6th I had eras robotic surgery for colon cancer and was told most patients recover quite well after surgery.  I'm still in pain in the areas around my incisions and still have a hard time getting sleep since sleeping on my sides or stomach hurts even more. I've hard had a hard time falling asleep on my back. The giant scabs are still there and one long incision is where my waste band on every pants sits. 
Yesterday when getting ready for my post-op appointment, I bent over to tie my shoes and felt a terrible sharp pain in my stomach. It was so painful it knocked the breath out of me and I couldn't breathe without having excruciating pain. Before that, I thought I was improving daily. When I got to the hospital for my appointment, I needed a wheelchair since I couldn't walk down the halls. 
My surgeon said it's the exact area that had the most surgical equipment inserted, and new healthy tissue growing there must have hit a nerve when bending over too far. At least that's what I think he said. I could be way off as I was still crying at that time, trying to compose myself  and wasn't as focused as I would have been.  
That was yesterday and this morning I'm reluctant to get out of bed. I'm not sure if I have a low pain tolerance or what's going on. I'm just sick of the pain. I was done with the ibuprofen but after what happened yesterday I need it more than ever. 
I'm also feeling discouraged this morning, but should be feeling on top of the world despite the pain and should be the most grateful, positive person right now given that I was lucky enough to be diagnosed at stage 1 and now considered cancer free. I guess I'm just impatiently waiting to feel better. 
If you've been diagnosed with colon cancer and went through the same/similar surgery, how did your recovery process go?</t>
        </is>
      </c>
      <c r="D7272" t="n">
        <v>1</v>
      </c>
      <c r="E7272" t="n">
        <v>8</v>
      </c>
      <c r="F7272">
        <f>HYPERLINK("https://www.reddit.com/r/cancer/comments/essroo/anyone_else_have_a_rough_time_after_colorectal/")</f>
        <v/>
      </c>
      <c r="G7272" t="inlineStr">
        <is>
          <t>2020-01-23 05:00:35</t>
        </is>
      </c>
      <c r="H7272" t="inlineStr"/>
    </row>
    <row r="7273">
      <c r="A7273" t="inlineStr">
        <is>
          <t>estsh1</t>
        </is>
      </c>
      <c r="B7273" t="inlineStr">
        <is>
          <t>Please recommend meals and food we can cook for friend who was diagnosed with colorectal cancer</t>
        </is>
      </c>
      <c r="C7273" t="inlineStr">
        <is>
          <t>A good friend of ours was recently diagnosed. We want to help them out by cooking some freezer meals they can pull out whenever a night off from cooking is needed. 
Please share your favorite freezer friendly recipes. We're focusing on low sugar, low saturated fat, high fiber, high protein.</t>
        </is>
      </c>
      <c r="D7273" t="n">
        <v>1</v>
      </c>
      <c r="E7273" t="n">
        <v>5</v>
      </c>
      <c r="F7273">
        <f>HYPERLINK("https://www.reddit.com/r/cancer/comments/estsh1/please_recommend_meals_and_food_we_can_cook_for/")</f>
        <v/>
      </c>
      <c r="G7273" t="inlineStr">
        <is>
          <t>2020-01-23 06:24:41</t>
        </is>
      </c>
      <c r="H7273" t="inlineStr"/>
    </row>
    <row r="7274">
      <c r="A7274" t="inlineStr">
        <is>
          <t>esu2qk</t>
        </is>
      </c>
      <c r="B7274" t="inlineStr">
        <is>
          <t>My dad continues to fight. He is my inspiration</t>
        </is>
      </c>
      <c r="C7274" t="inlineStr">
        <is>
          <t>My dad was diagnosed with Acute Lymphoblastic Leukemia (ALL) in May of 2017. ALL is primarily seen in infants and adolescents, but when it is seen in older adults aged 55 and up it is difficult to treat.
My dad went through so much. Many rounds of chemotherapy, a trial of blinatumomab, and very high doses of radiation. He received a bone marrow transplant in January of 2018 from his 100% match sister, almost 7 months after his diagnosis.
The battle has been such a struggle since. Not long after the bone marrow transplant my dad suffered a heart attack. Then rounds of blood clots. Then it was discovered that he had lingering lymphoma around his liver/kidney. This seemed to be a really hard blow for us, but more rounds of chemotherapy he did, and it went back into remission. 
This summer he was diagnosed with PCP Pneumonia after weeks in the hospital and ICU. Fought it off only to have to be put back in the ICU, this time with the tube, because of Acute Respiratory Distress Syndrome (ARDS).
He has continued to recover and is able to walk again for short distances. This man just keeps fighting and fighting. We have the absolute worst wife/mother around that has made things so much harder for all of us, and she’s dealing with a broken femur. It’s just heart wrenching, but he continues to fight for his family, his family that acts as if nothing is wrong but I’ve always had a sense of urgency. I just want to throw this story out there to inspire anyone who is going through so much shit in their lives. My dad has made it back from so much and continues to fight for his family every single fucking day. This disease and this struggle will define all of us for the rest of our life, but what I won’t forget is how hard he fought every single second of every day, even as my own life spirals out of control.</t>
        </is>
      </c>
      <c r="D7274" t="n">
        <v>1</v>
      </c>
      <c r="E7274" t="n">
        <v>4</v>
      </c>
      <c r="F7274">
        <f>HYPERLINK("https://www.reddit.com/r/cancer/comments/esu2qk/my_dad_continues_to_fight_he_is_my_inspiration/")</f>
        <v/>
      </c>
      <c r="G7274" t="inlineStr">
        <is>
          <t>2020-01-23 06:47:33</t>
        </is>
      </c>
      <c r="H7274" t="inlineStr"/>
    </row>
    <row r="7275">
      <c r="A7275" t="inlineStr">
        <is>
          <t>esujeq</t>
        </is>
      </c>
      <c r="B7275" t="inlineStr">
        <is>
          <t>Newly diagnosed and on Medicaid, what to do?</t>
        </is>
      </c>
      <c r="C7275" t="inlineStr">
        <is>
          <t>Hey guys, this is regarding my coworker. She was newly diagnosed with ovarian cancer stage 2 and is on Medicaid. She’s like family and I honestly don’t know what to do for her.
She’s having trouble finding a doctor/treatment and I’m just as much at a loss. 
Diagnosis came out of the blue too, no one was prepared. Any suggestions could help.</t>
        </is>
      </c>
      <c r="D7275" t="n">
        <v>1</v>
      </c>
      <c r="E7275" t="n">
        <v>9</v>
      </c>
      <c r="F7275">
        <f>HYPERLINK("https://www.reddit.com/r/cancer/comments/esujeq/newly_diagnosed_and_on_medicaid_what_to_do/")</f>
        <v/>
      </c>
      <c r="G7275" t="inlineStr">
        <is>
          <t>2020-01-23 07:22:38</t>
        </is>
      </c>
      <c r="H7275" t="inlineStr"/>
    </row>
    <row r="7276">
      <c r="A7276" t="inlineStr">
        <is>
          <t>esur11</t>
        </is>
      </c>
      <c r="B7276" t="inlineStr">
        <is>
          <t>terrible patient -</t>
        </is>
      </c>
      <c r="C7276" t="inlineStr">
        <is>
          <t>my brother is a terrible patient. in 2018 he was treated for METASTATIC SQUAMISH NECK CANCER W. OCCULT PRIMARY TREATMENT. I understand that. He had what was labeled tonsil cancer, and let a lump on his neck turn into a baseball ,size wise. Finally he got radiation and chemo but no surgery. Tthe lump is gone. as far as he is concerned the problems is solved. He can't  fatten back up because radiation killed his salivary gland. This make him uncomfortable and pissy. he tried a feeding tube orginally but let it go and now just takes in soft food. lots of it, but to no avail. He still 80# underweight.
&amp;amp;#x200B;
some 1-1/2 years later, what does he need to do? go back to Oncologist, see a GP, what? I get very few chances to prod him into a visit to a doc so I want to send him to the right place. He has heart problems and Hep C and is on methadone. Would sending him to heart doctor get him referred to the Onc, or vice versa?</t>
        </is>
      </c>
      <c r="D7276" t="n">
        <v>1</v>
      </c>
      <c r="E7276" t="n">
        <v>5</v>
      </c>
      <c r="F7276">
        <f>HYPERLINK("https://www.reddit.com/r/cancer/comments/esur11/terrible_patient/")</f>
        <v/>
      </c>
      <c r="G7276" t="inlineStr">
        <is>
          <t>2020-01-23 07:38:47</t>
        </is>
      </c>
      <c r="H7276" t="inlineStr"/>
    </row>
    <row r="7277">
      <c r="A7277" t="inlineStr">
        <is>
          <t>esv9fn</t>
        </is>
      </c>
      <c r="B7277" t="inlineStr">
        <is>
          <t>Just found out that my dad has cancer</t>
        </is>
      </c>
      <c r="C7277" t="inlineStr">
        <is>
          <t>I don’t know what to think about this. It feels so surreal. I’m scared to even think about that I might lose him.</t>
        </is>
      </c>
      <c r="D7277" t="n">
        <v>1</v>
      </c>
      <c r="E7277" t="n">
        <v>6</v>
      </c>
      <c r="F7277">
        <f>HYPERLINK("https://www.reddit.com/r/cancer/comments/esv9fn/just_found_out_that_my_dad_has_cancer/")</f>
        <v/>
      </c>
      <c r="G7277" t="inlineStr">
        <is>
          <t>2020-01-23 08:14:27</t>
        </is>
      </c>
      <c r="H7277" t="inlineStr"/>
    </row>
    <row r="7278">
      <c r="A7278" t="inlineStr">
        <is>
          <t>esvqb2</t>
        </is>
      </c>
      <c r="B7278" t="inlineStr">
        <is>
          <t>First scan after stage IV colorectal cancer liver resection.... STILL CANCER FREE</t>
        </is>
      </c>
      <c r="C7278" t="inlineStr">
        <is>
          <t>Hi reddit family!
I've posted quite a bit in here about my dad's journey. He's a 50 year old man diagnosed with stage 3C colorectal cancer February 2018. After 6 months of chemo and radiation, he beat cancer.
For a few months, that is. May 2019 it came back in his liver, boosting us up to stage IV. I was devastated. But after 6 more months of chemo, an outstanding surgery, and a bit more chemo, he was cancer fucking free in November 2019.
Flash forward to now, he had his first scan and blood work. I was so terrified. But his CEA level decreased even more to an all time low of 0.5!! I know we aren't out of the woods yet, but this small victory is enough to make me jump out of my seat and dance a jig. 
Thank you so much to this amazing community for all the support. I hope this story can serve as inspiration to everyone. 
Also quick plug for the amazing doctors that helped us on this journey. We are in Pittsburgh and see Dr. Remtulla as our oncologist and our liver surgeon was Dr. Gellar. These doctors played such a huge role in our journey and I owe them a million thank yous.</t>
        </is>
      </c>
      <c r="D7278" t="n">
        <v>1</v>
      </c>
      <c r="E7278" t="n">
        <v>18</v>
      </c>
      <c r="F7278">
        <f>HYPERLINK("https://www.reddit.com/r/cancer/comments/esvqb2/first_scan_after_stage_iv_colorectal_cancer_liver/")</f>
        <v/>
      </c>
      <c r="G7278" t="inlineStr">
        <is>
          <t>2020-01-23 08:47:21</t>
        </is>
      </c>
      <c r="H7278" t="inlineStr"/>
    </row>
    <row r="7279">
      <c r="A7279" t="inlineStr">
        <is>
          <t>esvusv</t>
        </is>
      </c>
      <c r="B7279" t="inlineStr">
        <is>
          <t>Friend has/might have Non-Hodgkins Lymphoma</t>
        </is>
      </c>
      <c r="C7279" t="inlineStr">
        <is>
          <t>My best friend from grade school (we're both 49) went in to see his doctor recently complaining of abdominal pain.   He had an MRI and a CAT scan done, and they found a 5 x 7" mass in his upper abdomen.  At his oncologist appt. today he was told that more than likely it is NHL.  A biopsy to confirm has been scheduled.  Does anyone have experience with this?</t>
        </is>
      </c>
      <c r="D7279" t="n">
        <v>1</v>
      </c>
      <c r="E7279" t="n">
        <v>4</v>
      </c>
      <c r="F7279">
        <f>HYPERLINK("https://www.reddit.com/r/cancer/comments/esvusv/friend_hasmight_have_nonhodgkins_lymphoma/")</f>
        <v/>
      </c>
      <c r="G7279" t="inlineStr">
        <is>
          <t>2020-01-23 08:55:59</t>
        </is>
      </c>
      <c r="H7279" t="inlineStr"/>
    </row>
    <row r="7280">
      <c r="A7280" t="inlineStr">
        <is>
          <t>esyfr9</t>
        </is>
      </c>
      <c r="B7280" t="inlineStr">
        <is>
          <t>Has Keytruda helped anyone?</t>
        </is>
      </c>
      <c r="C7280" t="inlineStr">
        <is>
          <t>Please share your successes with it here</t>
        </is>
      </c>
      <c r="D7280" t="n">
        <v>1</v>
      </c>
      <c r="E7280" t="n">
        <v>23</v>
      </c>
      <c r="F7280">
        <f>HYPERLINK("https://www.reddit.com/r/cancer/comments/esyfr9/has_keytruda_helped_anyone/")</f>
        <v/>
      </c>
      <c r="G7280" t="inlineStr">
        <is>
          <t>2020-01-23 11:58:05</t>
        </is>
      </c>
      <c r="H7280" t="inlineStr"/>
    </row>
    <row r="7281">
      <c r="A7281" t="inlineStr">
        <is>
          <t>esyhcv</t>
        </is>
      </c>
      <c r="B7281" t="inlineStr">
        <is>
          <t>Breast cancer patients - if your radiation oncologist doesn’t offer hypofractionated radiation, ask about it.</t>
        </is>
      </c>
      <c r="C7281" t="inlineStr">
        <is>
          <t>What is hypofractionated therapy?  
“With hypofractionated WBI, patients receive larger doses of radiation across fewer treatment sessions—typically completing treatment in three to four weeks, compared with five to seven weeks for conventional treatment.”  
The The American Society for Radiation Oncology in 2018 said -  
“Reflecting current evidence from clinical trials and large cohort studies, the new guideline recommends hypofractionated WBI for breast cancer patients regardless of age, tumor stage and whether they have received chemotherapy. It replaces the existing ASTRO WBI guideline published in 2011.”  
[Source](https://www.astro.org/News-and-Publications/News-and-Media-Center/News-Releases/2018/ASTRO-issues-clinical-guideline-for-whole-breast-r)
I am posting this because I occasionally see BC patients still referring to being given 6-7 weeks of radiation and am thinking a fair number of people aren’t aware that this is even an option.</t>
        </is>
      </c>
      <c r="D7281" t="n">
        <v>1</v>
      </c>
      <c r="E7281" t="n">
        <v>1</v>
      </c>
      <c r="F7281">
        <f>HYPERLINK("https://www.reddit.com/r/cancer/comments/esyhcv/breast_cancer_patients_if_your_radiation/")</f>
        <v/>
      </c>
      <c r="G7281" t="inlineStr">
        <is>
          <t>2020-01-23 12:01:03</t>
        </is>
      </c>
      <c r="H7281" t="inlineStr"/>
    </row>
    <row r="7282">
      <c r="A7282" t="inlineStr">
        <is>
          <t>esymp7</t>
        </is>
      </c>
      <c r="B7282" t="inlineStr">
        <is>
          <t>Mom diagnosed with throat cancer</t>
        </is>
      </c>
      <c r="C7282" t="inlineStr">
        <is>
          <t>Recently my mom was diagnosed with throat cancer. PET scan was done on Wednesday, so no information on what stage or even if it's spread from her tonsils to her lymph nodes (or anywhere else for that matter). We find all that out on the 27th.
She beat stage 3 breast cancer a little over 10 years ago now. I was 11 when she was diagnosed so I wasn't able to help her much, considering for almost a year I wasn't even allowed to see her all that often. Now that I'm an adult, I need to know how to help her.
I'm taking this extremely hard. I'll be seeking therapy because right now I need to be there for her, but also know that this is too hard for me to handle. That's got me taken care of. For her I'm at a loss. She'll be going through radiation and chemo. I went out and bought her and her husband some cleaning supplies for when she throws up (she puked a LOT during chemo). I also got some really good lotion because she'll get all dry and itchy. I want to get her a good water bottle that will remind her to drink water, often. My fiance and I will also go over once a week and meal prep for them.
Emotionally, how can I help her? Right now I'm actually no help because I just can't stop crying. It's been 4 days and I've cried the entire time. I'm at such a loss here and I want to make sure I'm doing all I can to keep her comfortable and happy. I'm sorry this is so long I'm just scared.</t>
        </is>
      </c>
      <c r="D7282" t="n">
        <v>1</v>
      </c>
      <c r="E7282" t="n">
        <v>7</v>
      </c>
      <c r="F7282">
        <f>HYPERLINK("https://www.reddit.com/r/cancer/comments/esymp7/mom_diagnosed_with_throat_cancer/")</f>
        <v/>
      </c>
      <c r="G7282" t="inlineStr">
        <is>
          <t>2020-01-23 12:11:10</t>
        </is>
      </c>
      <c r="H7282" t="inlineStr"/>
    </row>
    <row r="7283">
      <c r="A7283" t="inlineStr">
        <is>
          <t>esywh3</t>
        </is>
      </c>
      <c r="B7283" t="inlineStr">
        <is>
          <t>question about ct scan and pet ct scan?</t>
        </is>
      </c>
      <c r="C7283" t="inlineStr">
        <is>
          <t>so my doctor ordered a ct scan of the chest, then he ordered a saparate pet-ct scan of the same area, now i was under the impression that a pet-ct scan already included the ct scan, so im confused why he ordered 2 different scans, i tried calling him but hes busy</t>
        </is>
      </c>
      <c r="D7283" t="n">
        <v>1</v>
      </c>
      <c r="E7283" t="n">
        <v>10</v>
      </c>
      <c r="F7283">
        <f>HYPERLINK("https://www.reddit.com/r/cancer/comments/esywh3/question_about_ct_scan_and_pet_ct_scan/")</f>
        <v/>
      </c>
      <c r="G7283" t="inlineStr">
        <is>
          <t>2020-01-23 12:29:34</t>
        </is>
      </c>
      <c r="H7283" t="inlineStr"/>
    </row>
    <row r="7284">
      <c r="A7284" t="inlineStr">
        <is>
          <t>esyzi4</t>
        </is>
      </c>
      <c r="B7284" t="inlineStr">
        <is>
          <t>Melanoma i was lucky as hell</t>
        </is>
      </c>
      <c r="C7284" t="inlineStr">
        <is>
          <t>I know it is only skin cancer and I was lucky enough to catch it early.  But i had not been checked out in over 4 years.  And they found 4.
Luckily they were all stage 2 . I have had 2 of 4 operations. 35 stitches on one. 30 stitches and 35 staples on the second.  People need to be checked.  The odds that one of mine was not in my lymph nodes had to be phenomenal. 
The pain of the surgery is bad but the other option is alot worse. 
Thanks for letting me rant.  I feel better now.</t>
        </is>
      </c>
      <c r="D7284" t="n">
        <v>1</v>
      </c>
      <c r="E7284" t="n">
        <v>2</v>
      </c>
      <c r="F7284">
        <f>HYPERLINK("https://www.reddit.com/r/cancer/comments/esyzi4/melanoma_i_was_lucky_as_hell/")</f>
        <v/>
      </c>
      <c r="G7284" t="inlineStr">
        <is>
          <t>2020-01-23 12:35:17</t>
        </is>
      </c>
      <c r="H7284" t="inlineStr"/>
    </row>
    <row r="7285">
      <c r="A7285" t="inlineStr">
        <is>
          <t>eszn12</t>
        </is>
      </c>
      <c r="B7285" t="inlineStr">
        <is>
          <t>Hope?, help?</t>
        </is>
      </c>
      <c r="C7285" t="inlineStr">
        <is>
          <t>Hope?
I’ve known I had cancer for about 10 months now and I have only shared this information with my partner who is completely unable to provide any sort of financial help. I am also not able to afford the treatment I might need, therefore I have decided to let it kill me. I thought it would be a much faster/deadlier process but it is slowly destroying my body and mind and life has turned into hell. The pain I am experiencing now is extremely severe and I am thinking about ending my life myself to rid myself of all this suffering. I am conflicted in asking my family for help because of my relationship with them, they pretty much don’t speak to me due to them not accepting my because of my sexual orientation (I am gay). I am 22 years old and very much unequipped to handle something like this, and am on the verge of suicide. If anyone has any advice it would be greatly appreciated. This is the first time I am sharing this with anyone apart from my partner.</t>
        </is>
      </c>
      <c r="D7285" t="n">
        <v>1</v>
      </c>
      <c r="E7285" t="n">
        <v>24</v>
      </c>
      <c r="F7285">
        <f>HYPERLINK("https://www.reddit.com/r/cancer/comments/eszn12/hope_help/")</f>
        <v/>
      </c>
      <c r="G7285" t="inlineStr">
        <is>
          <t>2020-01-23 13:19:21</t>
        </is>
      </c>
      <c r="H7285" t="inlineStr"/>
    </row>
    <row r="7286">
      <c r="A7286" t="inlineStr">
        <is>
          <t>et0hw4</t>
        </is>
      </c>
      <c r="B7286" t="inlineStr">
        <is>
          <t>Radiation moisturizer</t>
        </is>
      </c>
      <c r="C7286" t="inlineStr">
        <is>
          <t>Hey.
My dad started radiation last week, says the burns are bothering him.
I was just wondering what people recommend for a good moisturizer?
Thank you :)</t>
        </is>
      </c>
      <c r="D7286" t="n">
        <v>1</v>
      </c>
      <c r="E7286" t="n">
        <v>10</v>
      </c>
      <c r="F7286">
        <f>HYPERLINK("https://www.reddit.com/r/cancer/comments/et0hw4/radiation_moisturizer/")</f>
        <v/>
      </c>
      <c r="G7286" t="inlineStr">
        <is>
          <t>2020-01-23 14:18:39</t>
        </is>
      </c>
      <c r="H7286" t="inlineStr"/>
    </row>
    <row r="7287">
      <c r="A7287" t="inlineStr">
        <is>
          <t>et27g4</t>
        </is>
      </c>
      <c r="B7287" t="inlineStr">
        <is>
          <t>[Serious] What is the softest/best beanie?</t>
        </is>
      </c>
      <c r="C7287" t="inlineStr">
        <is>
          <t>My aunt has cancer and has lost all her hair.  It is very cold.  Can anyone recommend a good beanie? Something that isn't too tight, or too itchy, that will cover the entire ear?
THANKS!</t>
        </is>
      </c>
      <c r="D7287" t="n">
        <v>1</v>
      </c>
      <c r="E7287" t="n">
        <v>5</v>
      </c>
      <c r="F7287">
        <f>HYPERLINK("https://www.reddit.com/r/cancer/comments/et27g4/serious_what_is_the_softestbest_beanie/")</f>
        <v/>
      </c>
      <c r="G7287" t="inlineStr">
        <is>
          <t>2020-01-23 16:20:58</t>
        </is>
      </c>
      <c r="H7287" t="inlineStr"/>
    </row>
    <row r="7288">
      <c r="A7288" t="inlineStr">
        <is>
          <t>et2l9q</t>
        </is>
      </c>
      <c r="B7288" t="inlineStr">
        <is>
          <t>Update on my mom - GREAT results from radiation/chemo - immunotherapy next!</t>
        </is>
      </c>
      <c r="C7288" t="inlineStr">
        <is>
          <t>My mom was diagnosed with Stage IV lung cancer (adenocarcinoma) in September, and just recently finished her chemo and radiation  At the appointment last Friday to discuss her newest scans the doctor was very pleased! Her swollen/cancerous lymph nodes are now completely back to normal! The mass in her chest has also significantly reduced in size, and that may be partially scar tissue as the radiation is still working!
She also just started IMFINZI (durvalumab) so any advice and experience with that drug is welcome :) I'm feeling hopeful!</t>
        </is>
      </c>
      <c r="D7288" t="n">
        <v>1</v>
      </c>
      <c r="E7288" t="n">
        <v>12</v>
      </c>
      <c r="F7288">
        <f>HYPERLINK("https://www.reddit.com/r/cancer/comments/et2l9q/update_on_my_mom_great_results_from/")</f>
        <v/>
      </c>
      <c r="G7288" t="inlineStr">
        <is>
          <t>2020-01-23 16:49:59</t>
        </is>
      </c>
      <c r="H7288" t="inlineStr"/>
    </row>
    <row r="7289">
      <c r="A7289" t="inlineStr">
        <is>
          <t>et31dw</t>
        </is>
      </c>
      <c r="B7289" t="inlineStr">
        <is>
          <t>Recommendations for the best clinic or hospital for colon cancer treatment.</t>
        </is>
      </c>
      <c r="C7289" t="inlineStr">
        <is>
          <t>Recently someone really close to me was diagnosed with colon cancer. The doctor has recommended chemo and radiation and then removal of the cancerous part of the colon. Other than that, I have no other information about the cancer. I would go to the ends of the earth to get her the best treatment possible. Wondering if there is/are world-renowned colon cancer treatment clinics or hospitals that she could potentially go to? She lives in Canada but we are willing to send her anywhere to receive the best treatment.</t>
        </is>
      </c>
      <c r="D7289" t="n">
        <v>1</v>
      </c>
      <c r="E7289" t="n">
        <v>15</v>
      </c>
      <c r="F7289">
        <f>HYPERLINK("https://www.reddit.com/r/cancer/comments/et31dw/recommendations_for_the_best_clinic_or_hospital/")</f>
        <v/>
      </c>
      <c r="G7289" t="inlineStr">
        <is>
          <t>2020-01-23 17:24:54</t>
        </is>
      </c>
      <c r="H7289" t="inlineStr"/>
    </row>
    <row r="7290">
      <c r="A7290" t="inlineStr">
        <is>
          <t>et44b3</t>
        </is>
      </c>
      <c r="B7290" t="inlineStr">
        <is>
          <t>Hard lump in neck</t>
        </is>
      </c>
      <c r="C7290" t="inlineStr">
        <is>
          <t>So basically i went to the doctor 3 years ago about a hard lump on the left side of my neck. At the time i had no idea how long it was there. He told me to not worry unless it grows. It hasn’t seemed to grow much but also hasn’t disappeared. Help?</t>
        </is>
      </c>
      <c r="D7290" t="n">
        <v>1</v>
      </c>
      <c r="E7290" t="n">
        <v>10</v>
      </c>
      <c r="F7290">
        <f>HYPERLINK("https://www.reddit.com/r/cancer/comments/et44b3/hard_lump_in_neck/")</f>
        <v/>
      </c>
      <c r="G7290" t="inlineStr">
        <is>
          <t>2020-01-23 18:50:47</t>
        </is>
      </c>
      <c r="H7290" t="inlineStr"/>
    </row>
    <row r="7291">
      <c r="A7291" t="inlineStr">
        <is>
          <t>et48n9</t>
        </is>
      </c>
      <c r="B7291" t="inlineStr">
        <is>
          <t>Advice on how to support my wife and daughters after my father in law's cancer diagnosis.</t>
        </is>
      </c>
      <c r="C7291" t="inlineStr">
        <is>
          <t>I'm going to be honest, cancer has never really impacted me or anyone close to me until now and I'm lost.  I came here and spent the last few hours reading post, in tears, thinking about how cancer has turned lives upside down. I'm in awe of the courage many people have shown and the responses have been amazing. Thank you for sharing your stories! 
To start, my father in law ( age 72) and I have never been close. Always very respectful in the 20 years I've known him but not close. I just figured he'd never had a son before and I've never had a dad so we just never really connected. He's been a great husband for 50+ years, dad to my wife and grandfather to my two girls, ages 11 and 8. We found out Monday that he has stage 4 liver cancer and colon cancer and to say the least, my family is devastated. I pride myself on being very open and loving with my wife and daughters, not afraid to listen, love, or show emotion and for the first time, I have nothing for them. I'm choking and don't know how to respond. I don't know what to to say to them, how to comfort them through this, support them, anything. I want to do everything to let them know everything is going to be OK but I know it isn't. Especially my girls, they know now and are going to be crushed when he passes. 
Anyone have any suggestions? I'll take any advice I can get. Thank you!</t>
        </is>
      </c>
      <c r="D7291" t="n">
        <v>1</v>
      </c>
      <c r="E7291" t="n">
        <v>0</v>
      </c>
      <c r="F7291">
        <f>HYPERLINK("https://www.reddit.com/r/cancer/comments/et48n9/advice_on_how_to_support_my_wife_and_daughters/")</f>
        <v/>
      </c>
      <c r="G7291" t="inlineStr">
        <is>
          <t>2020-01-23 19:00:15</t>
        </is>
      </c>
      <c r="H7291" t="inlineStr"/>
    </row>
    <row r="7292">
      <c r="A7292" t="inlineStr">
        <is>
          <t>et4dj5</t>
        </is>
      </c>
      <c r="B7292" t="inlineStr">
        <is>
          <t>Gentler alternatives to alleviating chemo symptoms?</t>
        </is>
      </c>
      <c r="C7292" t="inlineStr">
        <is>
          <t>Hi y'all!
I have my head on a little straighter than my last post. Dad and I actually had a really impactful chat about how this whole process has been affecting me (in times of crisis I tend to withdraw my feelings and focus on who needs help) now that we feel like cancer is going to be a part of our lives for the indefinite future. 
Our last visit hit like a ton of bricks when we realized that the maintenance chemo has no difinitive end date. The hardest part of this process is having to watch him take the brunt of the chemo side effects. It's a struggle feeling like I cant make him better, and that theres no finish line for this suffering that we can see. I want him to have good days, even weeks, again, instead of indefinite suffering. gah.
I asked his doctor about treating these symptoms with something less harsh than prescription drugs, but still with scientific research behind them (my dad is not a holistic man - if I discover something that may help, I have to run it by his doctor to confirm any validity in the medical community before he will even agree to try it lol). 
The supplement NRF2 was suggested to me by a doctor of my own when I mentioned my dad, when I mentioned it to my dad's Dr she took a look and said it could be worth a try. I also suggested probiotics and she didnt shoot that down either. Her suggestions included ginseng and capsaicin. 
Does anyone else have any methods to help alleviate chemo symptoms or experience with the ones I've listed? Pops is already equipped with two anti-nausea meds (which alternate between stopping him up or causing him to use the restroom nonstop), but his stuggles really lie in his uncooperative digestive tract and his lack of energy. He mutters about the numbness in his hands and feet from time to time, but his main concern is having SOME amount of energy and being able to leave the house without having to turn back around an hour later or immediately after having a meal out. 
Sorry if this is long winded. Ive never felt so helpless watching a loved one struggle. I refuse this will be my dad's life from now on, he is committed to treatment whatever the cost but my stubborn ass refuses to believe I cant be doing more to help him.
Y'all are a wonderful community. Thanks for being here, and I hope I can gather the strength to be there for y'all, too. 💕</t>
        </is>
      </c>
      <c r="D7292" t="n">
        <v>1</v>
      </c>
      <c r="E7292" t="n">
        <v>18</v>
      </c>
      <c r="F7292">
        <f>HYPERLINK("https://www.reddit.com/r/cancer/comments/et4dj5/gentler_alternatives_to_alleviating_chemo_symptoms/")</f>
        <v/>
      </c>
      <c r="G7292" t="inlineStr">
        <is>
          <t>2020-01-23 19:11:25</t>
        </is>
      </c>
      <c r="H7292" t="inlineStr"/>
    </row>
    <row r="7293">
      <c r="A7293" t="inlineStr">
        <is>
          <t>et5d0t</t>
        </is>
      </c>
      <c r="B7293" t="inlineStr">
        <is>
          <t>Reoccurrence after lymph node clearance ?</t>
        </is>
      </c>
      <c r="C7293" t="inlineStr">
        <is>
          <t>Just wondering if anyone has heard of the possibility of breast cancer reoccurrence after having lymph nodes removed ?
In 2011 I had cancer in the right breast... 65mm grade 3 (IDC)... ER/PR negative, HER2 positive.
After initial chemo, tumor was 60mm grade 2 (IDC) with 0/16 lymph nodes positive.
Chose to have double mastectomy and lymph node clearance.
Received further chemo (Herceptin and Taxane) plus radiation therapy.
Had some initial discomfort with axillary cording but not too bad.
Over the past couple of weeks I’ve noticed some swelling in my right armpit. It doesn’t feel like a lump as such but more like a thickening of the area. It’s not sore or tender, no pain at all actually.
I would love to hear thoughts from others. TIA</t>
        </is>
      </c>
      <c r="D7293" t="n">
        <v>1</v>
      </c>
      <c r="E7293" t="n">
        <v>0</v>
      </c>
      <c r="F7293">
        <f>HYPERLINK("https://www.reddit.com/r/cancer/comments/et5d0t/reoccurrence_after_lymph_node_clearance/")</f>
        <v/>
      </c>
      <c r="G7293" t="inlineStr">
        <is>
          <t>2020-01-23 20:36:56</t>
        </is>
      </c>
      <c r="H7293" t="inlineStr"/>
    </row>
    <row r="7294">
      <c r="A7294" t="inlineStr">
        <is>
          <t>et66jp</t>
        </is>
      </c>
      <c r="B7294" t="inlineStr">
        <is>
          <t>Is anyone else having this problem?</t>
        </is>
      </c>
      <c r="C7294" t="inlineStr">
        <is>
          <t>So basically we still haven’t started chemo (was supposed to start December 20th they moved it because she got sick, they then said we would start January 10th) now they’ve moved it again they are not saying anymore dates or anything because they told us yesterday they weren’t willing to do chemo unless she could build the muscle she needs and the immunity, the problem with that is, mum can’t do anything she can barely sit up on her own and she can’t eat anything (Mildly thick fluids only) so we’re in a pretty rough situation, I’m just wondering if anyone else has had this problem? it was only 3 months ago that she was able to walk and run and now she’s using a walker and a wheelchair from all the weight loss and muscle loss, I’m at my wits end I’ve tried googling high protein meals that she can eat without choking on but I cannot find anything and I’m ripping my hair out because of it lol, I’m desperate to get her better and I’m just wondering if anyone else had this problem and if they have any meal ideas?</t>
        </is>
      </c>
      <c r="D7294" t="n">
        <v>1</v>
      </c>
      <c r="E7294" t="n">
        <v>20</v>
      </c>
      <c r="F7294">
        <f>HYPERLINK("https://www.reddit.com/r/cancer/comments/et66jp/is_anyone_else_having_this_problem/")</f>
        <v/>
      </c>
      <c r="G7294" t="inlineStr">
        <is>
          <t>2020-01-23 21:54:14</t>
        </is>
      </c>
      <c r="H7294" t="inlineStr"/>
    </row>
    <row r="7295">
      <c r="A7295" t="inlineStr">
        <is>
          <t>et797i</t>
        </is>
      </c>
      <c r="B7295" t="inlineStr">
        <is>
          <t>My Dad has Stage 4 RCC. Need some advice.</t>
        </is>
      </c>
      <c r="C7295" t="inlineStr">
        <is>
          <t>8 years ago, while I was away at college, my dad had a kidney removed from what he told me was not metastatic tumors on the kidney itself. Well, 8 years later, he just got diagnosed with stage 4 renal cancer in both lungs, lining, and 5 positive lymph nodes. Hes a young, healthy 53 year old with environmental exposure to toxins through work and a smoking history up until 3 weeks ago when he got his diagnosis. Needless to say, I'm looking for guidance from someone who has gone through all this. Dr wont give us a actual prognosis  he just tells my dad that hes young, and dont give up until I tell you otherwise. We just got the pet scan done yesterday. Waiting on a mri of the brain this week. Treatment (immunotherapy only) starts next week. From what his doctor said he cannot enroll in the dual therapy clinical trial because he is already coughing up blood. 
Big questions: 
how do I be there for my dad? I can barely talk to him about normal things because I just talk about the cancer, his appointments, his symptoms. I fear my dad will be disheartened overtime, but right now is a fighter.
Has anyone been able to take oral RCC while coughing up blood? Or are there other onown treatment options I should ask about?  Is coughing up blood a common contradiction for medications like sutent? 
Anyone else have a prognosis for simular presenting cases. It's a slow growing form of renal clear cell.. I think that's what they said. Hes now has to wear 02 at all times (but doesnt actually) because his o2 saturation is down to 84. 
How do I get him to wear his oxygen... or do I just educate him and let him come to terms with wearing the continuous oxygen on his own. 
What questions should I be asking at the appointments. I seem to get overwhelmed everytime and dont ask anything..
Let me know if I should post somewhere else..</t>
        </is>
      </c>
      <c r="D7295" t="n">
        <v>1</v>
      </c>
      <c r="E7295" t="n">
        <v>3</v>
      </c>
      <c r="F7295">
        <f>HYPERLINK("https://www.reddit.com/r/cancer/comments/et797i/my_dad_has_stage_4_rcc_need_some_advice/")</f>
        <v/>
      </c>
      <c r="G7295" t="inlineStr">
        <is>
          <t>2020-01-23 23:45:31</t>
        </is>
      </c>
      <c r="H7295" t="inlineStr"/>
    </row>
    <row r="7296">
      <c r="A7296" t="inlineStr">
        <is>
          <t>et8g9f</t>
        </is>
      </c>
      <c r="B7296" t="inlineStr">
        <is>
          <t>My mom has just been diagnosed with Stage IV kidney cancer and I don’t know how to cope</t>
        </is>
      </c>
      <c r="C7296" t="inlineStr">
        <is>
          <t>I just turned 20, and my mom is only 50. I’m not ready to live without her. It breaks my heart every day even thinking about that possibility. I love her so much. She’s my mom. 
I’m doing my best to stay strong for her in front of her. I know she worries about me, and the last thing I want is to make her days any harder. But I don’t know what to do. 
Does anyone have any advice on what to do? She hasn’t been given a life expectancy yet, as she still has to go through surgery and biopsies. Am I supposed to pretend everything’s okay? What can I do for her, and what can I do for myself?</t>
        </is>
      </c>
      <c r="D7296" t="n">
        <v>1</v>
      </c>
      <c r="E7296" t="n">
        <v>22</v>
      </c>
      <c r="F7296">
        <f>HYPERLINK("https://www.reddit.com/r/cancer/comments/et8g9f/my_mom_has_just_been_diagnosed_with_stage_iv/")</f>
        <v/>
      </c>
      <c r="G7296" t="inlineStr">
        <is>
          <t>2020-01-24 02:11:56</t>
        </is>
      </c>
      <c r="H7296" t="inlineStr"/>
    </row>
    <row r="7297">
      <c r="A7297" t="inlineStr">
        <is>
          <t>et8zqd</t>
        </is>
      </c>
      <c r="B7297" t="inlineStr">
        <is>
          <t>Have any of you had an experience of someone going back to clinical Mammography?</t>
        </is>
      </c>
      <c r="C7297" t="inlineStr">
        <is>
          <t>My mom has just been in to a Mammography  some days ago, but got a phone call from the hospital that the two doctors weren't clear of the images they got, so she needs to go back in on tuesday. She has a history of having dense breast tissues. 
So I wanted to ask if this is a sign of something bad or if it's just procedure, and we are just nervous of the result.</t>
        </is>
      </c>
      <c r="D7297" t="n">
        <v>1</v>
      </c>
      <c r="E7297" t="n">
        <v>13</v>
      </c>
      <c r="F7297">
        <f>HYPERLINK("https://www.reddit.com/r/cancer/comments/et8zqd/have_any_of_you_had_an_experience_of_someone/")</f>
        <v/>
      </c>
      <c r="G7297" t="inlineStr">
        <is>
          <t>2020-01-24 03:11:07</t>
        </is>
      </c>
      <c r="H7297" t="inlineStr"/>
    </row>
    <row r="7298">
      <c r="A7298" t="inlineStr">
        <is>
          <t>etagrw</t>
        </is>
      </c>
      <c r="B7298" t="inlineStr">
        <is>
          <t>Creams/recommendations for alleviating hand-foot syndrome?</t>
        </is>
      </c>
      <c r="C7298" t="inlineStr">
        <is>
          <t>Hi everyone, my mum was diagnosed with Stage3 colorectal cancer in April last year and has since completed her radiation and chemo treatments as well as surgery. She is now waiting for her reversal surgery for the stoma. 
Fortunately, she did not get the side effects of chemo until her last cycle, but the effects still linger after it's all done. Her hands and feet are very dry, and although she moisturises them regularly, it's still quite painful. I'd like to have some recommendations on which products worked for you if you had the same/similar experiences with hand-foot syndrome.
Thank you so much in advance!</t>
        </is>
      </c>
      <c r="D7298" t="n">
        <v>1</v>
      </c>
      <c r="E7298" t="n">
        <v>9</v>
      </c>
      <c r="F7298">
        <f>HYPERLINK("https://www.reddit.com/r/cancer/comments/etagrw/creamsrecommendations_for_alleviating_handfoot/")</f>
        <v/>
      </c>
      <c r="G7298" t="inlineStr">
        <is>
          <t>2020-01-24 05:33:44</t>
        </is>
      </c>
      <c r="H7298" t="inlineStr"/>
    </row>
    <row r="7299">
      <c r="A7299" t="inlineStr">
        <is>
          <t>etb0zs</t>
        </is>
      </c>
      <c r="B7299" t="inlineStr">
        <is>
          <t>Help Needed!</t>
        </is>
      </c>
      <c r="C7299" t="inlineStr">
        <is>
          <t>Hi there! So my father is terminal with Prostate cancer. Trying to come up with something meaningful for Him and my siblings to do. Does anyone have good ideas? Thank you!!</t>
        </is>
      </c>
      <c r="D7299" t="n">
        <v>1</v>
      </c>
      <c r="E7299" t="n">
        <v>1</v>
      </c>
      <c r="F7299">
        <f>HYPERLINK("https://www.reddit.com/r/cancer/comments/etb0zs/help_needed/")</f>
        <v/>
      </c>
      <c r="G7299" t="inlineStr">
        <is>
          <t>2020-01-24 06:21:44</t>
        </is>
      </c>
      <c r="H7299" t="inlineStr"/>
    </row>
    <row r="7300">
      <c r="A7300" t="inlineStr">
        <is>
          <t>etc94a</t>
        </is>
      </c>
      <c r="B7300" t="inlineStr">
        <is>
          <t>A familiar feeling...</t>
        </is>
      </c>
      <c r="C7300" t="inlineStr">
        <is>
          <t>A week ago my cousin was diagnosed with breast cancer and a few days ago my aunt was diagnosed with stomach cancer. My aunt's illness had already spread through her body so she's taking stronger chemo...
i don't know what to feel but what im feeling now is familiar, something from childhood that i thought I'd be better dealing with. 
 you never get better from that, you forget it but its never gone that feeling of emptiness, numbness, of what do i do when i can't do anything?!</t>
        </is>
      </c>
      <c r="D7300" t="n">
        <v>1</v>
      </c>
      <c r="E7300" t="n">
        <v>3</v>
      </c>
      <c r="F7300">
        <f>HYPERLINK("https://www.reddit.com/r/cancer/comments/etc94a/a_familiar_feeling/")</f>
        <v/>
      </c>
      <c r="G7300" t="inlineStr">
        <is>
          <t>2020-01-24 07:58:03</t>
        </is>
      </c>
      <c r="H7300" t="inlineStr"/>
    </row>
    <row r="7301">
      <c r="A7301" t="inlineStr">
        <is>
          <t>etdrwn</t>
        </is>
      </c>
      <c r="B7301" t="inlineStr">
        <is>
          <t>The cancer won and now we have to watch her die.</t>
        </is>
      </c>
      <c r="C7301" t="inlineStr">
        <is>
          <t>My fiancé (34f) was being treated for brca 125+ ovarian cancer stage 4 since May 19. After a good round of chemo and ‘successful’ surgery things were looking good. That was until in December she fell sick again and the cancer was back and more aggressive. It had gone from being a serous high grade to carsenosarcoma. Throughout the festive period she got worse but was still getting treatment and told they were going to try a new parp inhibitor. Fast forward to yesterday when she was due to go on the drug. To be told her liver and kidneys are failing as the cancer has hold, she’s deteriorated in 24 to the point she’s now bed bound receiving palliative care. Never knew how hard it is watching someone you love slowly get worse and you can’t do anything. She’s confused and drowsy so isn’t fully aware of what’s happening either so keeps mentioning the wedding and future plans we had ‘when I get better’ it’s heartbreaking. End rant</t>
        </is>
      </c>
      <c r="D7301" t="n">
        <v>1</v>
      </c>
      <c r="E7301" t="n">
        <v>39</v>
      </c>
      <c r="F7301">
        <f>HYPERLINK("https://www.reddit.com/r/cancer/comments/etdrwn/the_cancer_won_and_now_we_have_to_watch_her_die/")</f>
        <v/>
      </c>
      <c r="G7301" t="inlineStr">
        <is>
          <t>2020-01-24 09:45:32</t>
        </is>
      </c>
      <c r="H7301" t="inlineStr"/>
    </row>
    <row r="7302">
      <c r="A7302" t="inlineStr">
        <is>
          <t>etdvoo</t>
        </is>
      </c>
      <c r="B7302" t="inlineStr">
        <is>
          <t>Advice to calm down relatives?</t>
        </is>
      </c>
      <c r="C7302" t="inlineStr">
        <is>
          <t>Hey guys, i got my tumor removed and the chances with a chemo look very good.
It seems like i am very lucky compared to other people on here.
My problem is that my family is very worried and this is hurting me more than everything else.
Do any of you have some advice what i could tell them to make them feel better?
Thanks in advance</t>
        </is>
      </c>
      <c r="D7302" t="n">
        <v>1</v>
      </c>
      <c r="E7302" t="n">
        <v>4</v>
      </c>
      <c r="F7302">
        <f>HYPERLINK("https://www.reddit.com/r/cancer/comments/etdvoo/advice_to_calm_down_relatives/")</f>
        <v/>
      </c>
      <c r="G7302" t="inlineStr">
        <is>
          <t>2020-01-24 09:52:50</t>
        </is>
      </c>
      <c r="H7302" t="inlineStr"/>
    </row>
    <row r="7303">
      <c r="A7303" t="inlineStr">
        <is>
          <t>etef68</t>
        </is>
      </c>
      <c r="B7303" t="inlineStr">
        <is>
          <t>Well... I need a chemo port</t>
        </is>
      </c>
      <c r="C7303" t="inlineStr">
        <is>
          <t>Fuck life, fuck cancer, that is all... 3 months of chemo TC chemo once every 3 weeks... 4 infusions.</t>
        </is>
      </c>
      <c r="D7303" t="n">
        <v>1</v>
      </c>
      <c r="E7303" t="n">
        <v>57</v>
      </c>
      <c r="F7303">
        <f>HYPERLINK("https://www.reddit.com/r/cancer/comments/etef68/well_i_need_a_chemo_port/")</f>
        <v/>
      </c>
      <c r="G7303" t="inlineStr">
        <is>
          <t>2020-01-24 10:30:50</t>
        </is>
      </c>
      <c r="H7303" t="inlineStr"/>
    </row>
    <row r="7304">
      <c r="A7304" t="inlineStr">
        <is>
          <t>etffvn</t>
        </is>
      </c>
      <c r="B7304" t="inlineStr">
        <is>
          <t>Salirasib (farnesyl thiosalicylic acid), why is this drug not being researched?</t>
        </is>
      </c>
      <c r="C7304" t="inlineStr">
        <is>
          <t>Greetings everyone, this drug is a RAS inhibitor (that is said to be effective by some papers),  
I'm shocked to know that there is only 120 studies talking about this paper on the NCBI, and only 3 clinical trials since 1995, I'm a researcher and I want to know why is this drug not being studied enough by research facilities?</t>
        </is>
      </c>
      <c r="D7304" t="n">
        <v>1</v>
      </c>
      <c r="E7304" t="n">
        <v>1</v>
      </c>
      <c r="F7304">
        <f>HYPERLINK("https://www.reddit.com/r/cancer/comments/etffvn/salirasib_farnesyl_thiosalicylic_acid_why_is_this/")</f>
        <v/>
      </c>
      <c r="G7304" t="inlineStr">
        <is>
          <t>2020-01-24 11:41:59</t>
        </is>
      </c>
      <c r="H7304" t="inlineStr"/>
    </row>
    <row r="7305">
      <c r="A7305" t="inlineStr">
        <is>
          <t>etflz9</t>
        </is>
      </c>
      <c r="B7305" t="inlineStr">
        <is>
          <t>Hearing Loss due to Cisplatin / Carboplatin Chemotherapy in Children</t>
        </is>
      </c>
      <c r="C7305" t="inlineStr">
        <is>
          <t>Hi all,
My name is Alfred, I'm a fellow in the Stanford Biodesign program. I was hoping that you all could help  my team and I get some feedback on our project to prevent hearing loss in chidlren with cancer.  We are looking for any parents (children do not have to have a diagnosis of cancer) to take a survey which is available here: [https://stanforduniversity.qualtrics.com/jfe/form/SV\_8AoXfM7Zgfk0mMd](https://stanforduniversity.qualtrics.com/jfe/form/SV_8AoXfM7Zgfk0mMd) 
Having been in close proximity to cancer myself, I know that some of the questions and answer choices can evoke memories and emotions.  Know that we appreciate your participation, but you by no means must finish, it's completely voluntary. 
Thanks,
Alfred
The survey has received a pass by the Stanford IRB.  We appreciate the permission and guidance by the moderators of r/cancer</t>
        </is>
      </c>
      <c r="D7305" t="n">
        <v>1</v>
      </c>
      <c r="E7305" t="n">
        <v>1</v>
      </c>
      <c r="F7305">
        <f>HYPERLINK("https://www.reddit.com/r/cancer/comments/etflz9/hearing_loss_due_to_cisplatin_carboplatin/")</f>
        <v/>
      </c>
      <c r="G7305" t="inlineStr">
        <is>
          <t>2020-01-24 11:54:28</t>
        </is>
      </c>
      <c r="H7305" t="inlineStr"/>
    </row>
    <row r="7306">
      <c r="A7306" t="inlineStr">
        <is>
          <t>etgdgu</t>
        </is>
      </c>
      <c r="B7306" t="inlineStr">
        <is>
          <t>My coworker’s mom was just diagnosed with stage IV pancreatic cancer. What to say/how to be supportive?</t>
        </is>
      </c>
      <c r="C7306" t="inlineStr">
        <is>
          <t>She’s elderly, so it’s likely that this is the end of the road for her. 
What can I say when he brings it up? How can I be supportive during this time? I’m not great with these types of situations. 😐</t>
        </is>
      </c>
      <c r="D7306" t="n">
        <v>1</v>
      </c>
      <c r="E7306" t="n">
        <v>1</v>
      </c>
      <c r="F7306">
        <f>HYPERLINK("https://www.reddit.com/r/cancer/comments/etgdgu/my_coworkers_mom_was_just_diagnosed_with_stage_iv/")</f>
        <v/>
      </c>
      <c r="G7306" t="inlineStr">
        <is>
          <t>2020-01-24 12:48:45</t>
        </is>
      </c>
      <c r="H7306" t="inlineStr"/>
    </row>
    <row r="7307">
      <c r="A7307" t="inlineStr">
        <is>
          <t>etgin8</t>
        </is>
      </c>
      <c r="B7307" t="inlineStr">
        <is>
          <t>Positive Progress Report - Angio Sarcoma in Mediastinal Area (26/Male)</t>
        </is>
      </c>
      <c r="C7307" t="inlineStr">
        <is>
          <t>Hi All,
&amp;amp;#x200B;
I've been lurking here for a while. I'm going through treatment for an angio sarcoma in my mediastinal area. The tumor goes from my right lung, to my diaphragm, light intrusion into the liver. It has not metastasized, it is thankfully local and singular. I was diagnosed on November 27th and my first round of chemo was December 5th.
&amp;amp;#x200B;
Symptoms: I was coughing up blood, lost 30 pounds, feverish, couldn't keep down a small meal. As soon as I coughed up blood, I went to the ER.  
&amp;amp;#x200B;
At 26, when there was a shadow over my lung, everyone guessed germ cell or some sort of lymphoma. The initial bronchoscopy wasn't able to get a sufficient sample. However, needle biopsy via CT scan was able to get a proper sample. Initially declared a germ cell. But something seemed "off" to pathology, so they sent it to another facility here in the Bay Area where it was finally diagnosed. My doctor scheduled my first round of chemo the following week - hit hard and hit fast.
&amp;amp;#x200B;
I am going to complete twelve rounds of chemotherapy, administered every 14 days.  Meds are a large dose of Gemzar, and Taxotere. There will be a surgery at some point in the next four months. I will need to have my lung resectioned. My liver may require resectioning. My diaphragm will be resectioned and rebuilt.
&amp;amp;#x200B;
I finished round four of chemo last Thursday. We are seeing GREAT results! If we wouldn't have seen good results, my doctor would have me go through radiation as well. The second line of treatment would have been AIM. 
&amp;amp;#x200B;
Thoughts on Gemzar/Taxotere. I have learned that chemo effects everyone differently. Between different meds, dosages, frequency of infusions, it's just a gamble for side effects. For me, both have been lovely and largely side-effect free \*so far\*. Side effects for me have been:
&amp;amp;#x200B;
1. (Every round) This sort of lower intestinal feeling pressure/discomfort.
2. (Round two, onward) A bit of hair falling out - anywheres between 5-15 strands.
3. (Round three only) I threw up about a half-dozen times, diarrhea. 
4. (Round two, onward) GAS! Oh my goodness, I never realized how uncomfortable it could be! Gas-x has been my faithful companion.
&amp;amp;#x200B;
Thank you all for having this community and being a part of it. I obviously am not an expert of any sort, but if you have any questions - I am happy to answer. My greatest piece of advice is so generic, you've heard it before many a-times: stay positive, stay optimistic. I have NEVER considered myself an optimist, but this experience has changed that. 
&amp;amp;#x200B;
Have a goal and stay busy: I am studying for the GRE right now and am jogging daily.
&amp;amp;#x200B;
IF YOU CAN GET A PORT, GET ONE. The initial IV burned for me (Gemzar).
&amp;amp;#x200B;
&amp;amp;#x200B;
I'll update soon.</t>
        </is>
      </c>
      <c r="D7307" t="n">
        <v>1</v>
      </c>
      <c r="E7307" t="n">
        <v>0</v>
      </c>
      <c r="F7307">
        <f>HYPERLINK("https://www.reddit.com/r/cancer/comments/etgin8/positive_progress_report_angio_sarcoma_in/")</f>
        <v/>
      </c>
      <c r="G7307" t="inlineStr">
        <is>
          <t>2020-01-24 12:59:11</t>
        </is>
      </c>
      <c r="H7307" t="inlineStr"/>
    </row>
    <row r="7308">
      <c r="A7308" t="inlineStr">
        <is>
          <t>ethw61</t>
        </is>
      </c>
      <c r="B7308" t="inlineStr">
        <is>
          <t>I think about to be diagnosed with cancer at 21</t>
        </is>
      </c>
      <c r="C7308" t="inlineStr">
        <is>
          <t>I’m a 21 year old female presenting with the classic symptoms of non-Hodgkins lymphoma. About 2 months ago, I got a scaly rash on the back of my neck that itched and did not change. I blamed it on dry weather, I went to see a doctor and was prescribed steroid cream for eczema even though I have never had eczema. The cream helped the itch but the rash persisted. Suddenly 2-3 weeks ago I began getting night sweats to the point where I was waking up soaked multiple times a night. I was also sleeping constantly all day and found regular daily activities difficult, I accredited this to the fact that I wasn’t sleeping well due to the night sweats. 
I went to see my doctor for a follow up for the “eczema” when I also brought up the night sweats and fatigue. He immediately looked concerned and felt my lymph nodes and found them swollen in my armpit. He ordered blood work which came back worrisome, elevated WBCs and Lymphocytes. He ordered more tests and referred me to an oncologist. I know I don’t have any solid answers yet, but I’m afraid and I don’t know how to feel. I don’t know if I’m valid I’m feeling afraid yet or if I’m stressing over something I don’t know for sure yet. Has anyone been here before, who do I talk to? When am I allowed to be worried?</t>
        </is>
      </c>
      <c r="D7308" t="n">
        <v>1</v>
      </c>
      <c r="E7308" t="n">
        <v>6</v>
      </c>
      <c r="F7308">
        <f>HYPERLINK("https://www.reddit.com/r/cancer/comments/ethw61/i_think_about_to_be_diagnosed_with_cancer_at_21/")</f>
        <v/>
      </c>
      <c r="G7308" t="inlineStr">
        <is>
          <t>2020-01-24 14:39:39</t>
        </is>
      </c>
      <c r="H7308" t="inlineStr"/>
    </row>
    <row r="7309">
      <c r="A7309" t="inlineStr">
        <is>
          <t>eti5j8</t>
        </is>
      </c>
      <c r="B7309" t="inlineStr">
        <is>
          <t>Questions About A Port Not Giving Blood</t>
        </is>
      </c>
      <c r="C7309" t="inlineStr">
        <is>
          <t>My mom (74, stage IV breast to bone) is nearing the end of several rounds of chemo, recently her chest port has started not allowing them to draw blood from it. Last time they got some out with positioning, this time they couldn't get anything. The chemo is able to go in, it's just the blood can't come out.
For people who've had this happen, what was you experience with this issue?
They said it was a clot but not a full on blood clot, clot according to my mom but I was at work and not there to hear it myself. Did she get that right? 
Is there really no worry this can move into the blood stream and go elsewhere?  (That's my biggest concern, she's still pretty healthy and doing well as the cancer goes. Complications getting her are my fear.)
And is there anything in particular that can cause this that we should watch out for once this is fixed?
Thanks for any help.</t>
        </is>
      </c>
      <c r="D7309" t="n">
        <v>1</v>
      </c>
      <c r="E7309" t="n">
        <v>10</v>
      </c>
      <c r="F7309">
        <f>HYPERLINK("https://www.reddit.com/r/cancer/comments/eti5j8/questions_about_a_port_not_giving_blood/")</f>
        <v/>
      </c>
      <c r="G7309" t="inlineStr">
        <is>
          <t>2020-01-24 14:59:22</t>
        </is>
      </c>
      <c r="H7309" t="inlineStr"/>
    </row>
    <row r="7310">
      <c r="A7310" t="inlineStr">
        <is>
          <t>etiaux</t>
        </is>
      </c>
      <c r="B7310" t="inlineStr">
        <is>
          <t>Scared</t>
        </is>
      </c>
      <c r="C7310" t="inlineStr">
        <is>
          <t>Headache concern
So on my left side , behind my ear towards the back is an area on my head that sometimes if I lightly touch or ru, I feel pressure in my head . It doesn’t happen all the time and sometimes when I rub it nothing happens . My anxiety keeps telling me brain tumor .
Demographics - male —- 23——— 5,8 216 pounds non smoker , diet is average</t>
        </is>
      </c>
      <c r="D7310" t="n">
        <v>1</v>
      </c>
      <c r="E7310" t="n">
        <v>0</v>
      </c>
      <c r="F7310">
        <f>HYPERLINK("https://www.reddit.com/r/cancer/comments/etiaux/scared/")</f>
        <v/>
      </c>
      <c r="G7310" t="inlineStr">
        <is>
          <t>2020-01-24 15:10:31</t>
        </is>
      </c>
      <c r="H7310" t="inlineStr"/>
    </row>
    <row r="7311">
      <c r="A7311" t="inlineStr">
        <is>
          <t>etidun</t>
        </is>
      </c>
      <c r="B7311" t="inlineStr">
        <is>
          <t>I feel so bad for my wife</t>
        </is>
      </c>
      <c r="C7311" t="inlineStr">
        <is>
          <t>I'm an 8 year brain tumor survivor and she has been amazing(we have been together for 3. The part that is killing me right now is that her best friend probably has stage 2 or 3 CLL  non-hodgkin's Lymphoma and her dad died of lung cancer about 6 years ago. This is so shitty for her.</t>
        </is>
      </c>
      <c r="D7311" t="n">
        <v>1</v>
      </c>
      <c r="E7311" t="n">
        <v>6</v>
      </c>
      <c r="F7311">
        <f>HYPERLINK("https://www.reddit.com/r/cancer/comments/etidun/i_feel_so_bad_for_my_wife/")</f>
        <v/>
      </c>
      <c r="G7311" t="inlineStr">
        <is>
          <t>2020-01-24 15:16:45</t>
        </is>
      </c>
      <c r="H7311" t="inlineStr"/>
    </row>
    <row r="7312">
      <c r="A7312" t="inlineStr">
        <is>
          <t>etij4x</t>
        </is>
      </c>
      <c r="B7312" t="inlineStr">
        <is>
          <t>Gatsby #2</t>
        </is>
      </c>
      <c r="C7312" t="inlineStr">
        <is>
          <t>The 23rd of December 2019 now seems a long time ago! Round 2 of chemo was yesterday and I’m now 50% of the way through the BIG hit with 12 smaller ones to follow. Having the port fitted in my arm has made me feel somehow like I’m connected to the chemo and beating the cancer now seems realistic... weird really as Marks Mum said I’d feel like this (she is now 14 years clear of her cancer and describes her port as her comfort blanket). #reminder1
One thing I will say and it may sound naive to you, brave to some or silly others, but I feel great!! What I mean about this is, when will I feel bad and trust me I have, all the stereotypes of sickness and sadness you read about I’ve asked myself when will this hit me? I know I’m being slightly naive (Surely I am right, as the darker days you hear about have to happen??) but I’m grateful so far as I feel so good! #reminder2
Those that know me will know I’m a private person, not one to shout about life or share too much. I guess that’s why I am so truly humbled by everyone’s messages and support, I cannot truly express how people far away and close to home have made me feel. I would just like to say the biggest thank you to you all, it has made me feel stronger than anyone can imagine. A special thanks to Mark, he has been by my side every step of the way and I could not do this without him. #Reminder3
If you’d have told me 30 days ago I would be writing about my cancer journey, openly sharing my thoughts and emotions (neither come naturally to me LOL) and would be having chemotherapy, well I’d have called you a liar. This is what “other” people do, not me, not my life.
Well, that’s not the case and I’d like to share my reminders for those that read;
#1 Loved ones have beaten cancer, so can you and so will I  
#2 Like my Mum said to me, the dark days mean the chemo is working so see the darkest of them as good days, it means you’re winning  
#3 Loved ones, family and friends are so important, cliche yes, but never truer than now
Reminder #4 
I have be profoundly touched by the sheer number of people that have cancer, it’s everywhere I look. Every radio advert for a fund raiser, TV commercial, underground advert and people on the streets fundraising. I never noticed it before and for that I’m sad and sorry. Stage 2, Grade 3 breast cancer doesn’t seem too bad when you consider how much worse it could be. 
Gatsby by the way is a name we gave CANCER. Read it and say it out loud, cancer. Makes you feel slightly cold and most people look at the floor in this almost child like awkwardness... cancer .. they assume you’re dying or dead. Well, I choose life, I choose to fight, I chose my favorite decade from the Twentieth Century, the 20’s. If I could have chosen a decade to live in that’s one I’d have loved to have experienced. 
As we found out I had cancer, we were ending a year, a decade and starting the 20’s. Gatsby seems a fitting name.
Follow me to hear about my fight against Gatsby and share stories, the good ones and not so good ones. I’d love to hear your story too.
Thank you for reading.
Enette, the Gatsby Beater !</t>
        </is>
      </c>
      <c r="D7312" t="n">
        <v>1</v>
      </c>
      <c r="E7312" t="n">
        <v>7</v>
      </c>
      <c r="F7312">
        <f>HYPERLINK("https://www.reddit.com/r/cancer/comments/etij4x/gatsby_2/")</f>
        <v/>
      </c>
      <c r="G7312" t="inlineStr">
        <is>
          <t>2020-01-24 15:27:37</t>
        </is>
      </c>
      <c r="H7312" t="inlineStr"/>
    </row>
    <row r="7313">
      <c r="A7313" t="inlineStr">
        <is>
          <t>etj5ol</t>
        </is>
      </c>
      <c r="B7313" t="inlineStr">
        <is>
          <t>Advice</t>
        </is>
      </c>
      <c r="C7313" t="inlineStr">
        <is>
          <t>My buddy got dignosed with stage 4 cancer. That they found during a surgury.
Am going to see him next week what should i take to help him feel better?</t>
        </is>
      </c>
      <c r="D7313" t="n">
        <v>1</v>
      </c>
      <c r="E7313" t="n">
        <v>11</v>
      </c>
      <c r="F7313">
        <f>HYPERLINK("https://www.reddit.com/r/cancer/comments/etj5ol/advice/")</f>
        <v/>
      </c>
      <c r="G7313" t="inlineStr">
        <is>
          <t>2020-01-24 16:15:23</t>
        </is>
      </c>
      <c r="H7313" t="inlineStr"/>
    </row>
    <row r="7314">
      <c r="A7314" t="inlineStr">
        <is>
          <t>etkn2j</t>
        </is>
      </c>
      <c r="B7314" t="inlineStr">
        <is>
          <t>Weird sense of identity</t>
        </is>
      </c>
      <c r="C7314" t="inlineStr">
        <is>
          <t>Hello 38M ASM -》mast cell leukemia,  I go in for my allogeneic stem cell transplant next week. Physical symptoms aren't an issue for me, but the mental health stuff has me messed up alot, had to leave work early, couple bad explosions at my family. After alot of crazy emotions, I find that I do not feel like me anymore.  I feel like this new inconvenient person that cant relate to people the same way anymore. I used to be a very opinionated person, more unwilling. Now I feel different.  Hard to put into words . I feel like a different person. 
I have been looking for someone that has maybe been through the same problem, but rare diseases and all.  Fuck . I have a step-daughter who I wish so very much was more in our lives but she's 19 and has no time, no time. I have called and messaged and tried talking in person. She lives in a different town for college.  But she wont even return a message or call. 
I am a music lover and for a very long time I just listened and enjoyed, but it seems now that all music causes me emotions as well . Sometimes I feel like I need to cry for a while but I cant and I need music to let me get it out. 
I know I'm ranting. But I needed it out. 
Thanks.</t>
        </is>
      </c>
      <c r="D7314" t="n">
        <v>1</v>
      </c>
      <c r="E7314" t="n">
        <v>19</v>
      </c>
      <c r="F7314">
        <f>HYPERLINK("https://www.reddit.com/r/cancer/comments/etkn2j/weird_sense_of_identity/")</f>
        <v/>
      </c>
      <c r="G7314" t="inlineStr">
        <is>
          <t>2020-01-24 18:13:56</t>
        </is>
      </c>
      <c r="H7314" t="inlineStr"/>
    </row>
    <row r="7315">
      <c r="A7315" t="inlineStr">
        <is>
          <t>etkn3w</t>
        </is>
      </c>
      <c r="B7315" t="inlineStr">
        <is>
          <t>(F14) might be showing signs of cancer?</t>
        </is>
      </c>
      <c r="C7315" t="inlineStr">
        <is>
          <t>Hi! I dont mean to offend anyone, but I have a serious question. A year ago, i noticed that my left nipple started bleeding and peeling. It got better for a while with medication but yesterday i felt a lump on my chest which hurt a lot and today the hole was back on my nipple and hurt a lot. Im very scared. Please someone give me an insight of what might be going on :/</t>
        </is>
      </c>
      <c r="D7315" t="n">
        <v>1</v>
      </c>
      <c r="E7315" t="n">
        <v>4</v>
      </c>
      <c r="F7315">
        <f>HYPERLINK("https://www.reddit.com/r/cancer/comments/etkn3w/f14_might_be_showing_signs_of_cancer/")</f>
        <v/>
      </c>
      <c r="G7315" t="inlineStr">
        <is>
          <t>2020-01-24 18:14:03</t>
        </is>
      </c>
      <c r="H7315" t="inlineStr"/>
    </row>
    <row r="7316">
      <c r="A7316" t="inlineStr">
        <is>
          <t>etkucg</t>
        </is>
      </c>
      <c r="B7316" t="inlineStr">
        <is>
          <t>Is Maid Service Offensive?</t>
        </is>
      </c>
      <c r="C7316" t="inlineStr">
        <is>
          <t>Hi everyone!
I have a coworker who's father was just diagnosed with brain cancer. I am putting together a care package that so far includes an Audible account, restaurant certificates and an Uber Eats gift card.  
I wanted to go further and get her a free month of maid service, but my husband said it was too weird and offensive.  I never even thought of it that way. She has children, and the father is living with her. He said that the kids could clean and that it may not be good for him to be around cleaning chemicals?   
 I just know that when I am depressed I am less inclined to cook or clean, so I thought it was a nice thing to give. 
Would you find a gift like this offensive?</t>
        </is>
      </c>
      <c r="D7316" t="n">
        <v>1</v>
      </c>
      <c r="E7316" t="n">
        <v>21</v>
      </c>
      <c r="F7316">
        <f>HYPERLINK("https://www.reddit.com/r/cancer/comments/etkucg/is_maid_service_offensive/")</f>
        <v/>
      </c>
      <c r="G7316" t="inlineStr">
        <is>
          <t>2020-01-24 18:31:41</t>
        </is>
      </c>
      <c r="H7316" t="inlineStr"/>
    </row>
    <row r="7317">
      <c r="A7317" t="inlineStr">
        <is>
          <t>etlr7j</t>
        </is>
      </c>
      <c r="B7317" t="inlineStr">
        <is>
          <t>Help. Natural path-wife is refusing treatment.</t>
        </is>
      </c>
      <c r="C7317" t="inlineStr">
        <is>
          <t>Wife had had a large lump on her breast.  She refused a mammogram and had to wait five weeks for a biopsy.  She had a biopsy on her breast a few days ago, doctor told her she had a mass inside a milk duct that is an aggressive type of cancer.  Wife is supposed to go in on Monday for the next steps but is refusing, instead she has chosen to take the advice posted by “Medical Medium” (r/medicalmedium) Instagram people.  She has been following this MedicalMedium for two years an it’s been expensive, but harmless, now I am crying every two hours because I’m so worried she will be forgoing treatment for something they might be treatable.  
First please help me figure out what type of cancer she has.  She will not give me the notes from her call.  
Next, I need to know if all breast cancers are treated invasively or if they can be done with limited chemo. 
Help me.  I am so scared for her, that her ignorance will make her much worse.  If I don’t see her coming around and her health getting worse then I will have to leave her with my son.  This is terrifying.</t>
        </is>
      </c>
      <c r="D7317" t="n">
        <v>1</v>
      </c>
      <c r="E7317" t="n">
        <v>0</v>
      </c>
      <c r="F7317">
        <f>HYPERLINK("https://www.reddit.com/r/cancer/comments/etlr7j/help_natural_pathwife_is_refusing_treatment/")</f>
        <v/>
      </c>
      <c r="G7317" t="inlineStr">
        <is>
          <t>2020-01-24 19:54:23</t>
        </is>
      </c>
      <c r="H7317" t="inlineStr"/>
    </row>
    <row r="7318">
      <c r="A7318" t="inlineStr">
        <is>
          <t>etmdw3</t>
        </is>
      </c>
      <c r="B7318" t="inlineStr">
        <is>
          <t>I loath insurance companies</t>
        </is>
      </c>
      <c r="C7318" t="inlineStr">
        <is>
          <t>I hate insurance companies. I didn’t like them before and I loath them now. 
My fiancee (who has stage IV colorectal cancer) was released from the hospital January 9th. We did a round of radiation in the hospital but now that we’re outpatients it’s just a “hurry up and wait” game. 
His first PET scan keeps being pushed back as is his appointment to start chemo. We keep getting calls saying we’re in, then limp excuses a few days later as to why it needs to be pushed back. It’s all “issues” with insurance and calling them is like talking to a brick wall. 
I hate having to watch this knowing that the cancer is only going to keep growing the more we postpone treatment. And I can’t do ANYTHING to help. I can just say “darling I’m sorry” as the love of my life sits there in pain. He can barely get up at this point. 
FUCK CANCER</t>
        </is>
      </c>
      <c r="D7318" t="n">
        <v>1</v>
      </c>
      <c r="E7318" t="n">
        <v>4</v>
      </c>
      <c r="F7318">
        <f>HYPERLINK("https://www.reddit.com/r/cancer/comments/etmdw3/i_loath_insurance_companies/")</f>
        <v/>
      </c>
      <c r="G7318" t="inlineStr">
        <is>
          <t>2020-01-24 20:54:51</t>
        </is>
      </c>
      <c r="H7318" t="inlineStr"/>
    </row>
    <row r="7319">
      <c r="A7319" t="inlineStr">
        <is>
          <t>etnq9v</t>
        </is>
      </c>
      <c r="B7319" t="inlineStr">
        <is>
          <t>And so it begins..</t>
        </is>
      </c>
      <c r="C7319" t="inlineStr">
        <is>
          <t>25, Testicular cancer moved to my lungs, my first infusion begins in a few hours. I’ve got to say that I find it hard to read these other posts just yet, it seems like it’s hard to relate to anything specifically, all happening very fast for me! Monday was diagnosed, and well yes today’s the day. I believe the treatment is called PEB (I’m in Germany)  But if anyone has some experience they would like to share or something similar.. I don’t know..  wanted to make some sort of post.. I’ve purposefully tried to not research too much prior. I’ve woken up feeling fucking strong tho, just wanna get this shit started already. I have a port in place, and it’s swollen lymph nodes and small cancer cells in lungs (?) I believe so I feel I could be in a worse situation for sure.
Im in Germany so the doctors don’t tell you everything all at once.. and as I learned from my first orchitomy that attitude was very helpful in keeping you calm and focused on one thing at a time. I’ll be doing 3x 21 day cycles with 5 days in hospital and 1 as outpatient. 
Much love to everyone on here and their journey.</t>
        </is>
      </c>
      <c r="D7319" t="n">
        <v>1</v>
      </c>
      <c r="E7319" t="n">
        <v>19</v>
      </c>
      <c r="F7319">
        <f>HYPERLINK("https://www.reddit.com/r/cancer/comments/etnq9v/and_so_it_begins/")</f>
        <v/>
      </c>
      <c r="G7319" t="inlineStr">
        <is>
          <t>2020-01-24 23:20:54</t>
        </is>
      </c>
      <c r="H7319" t="inlineStr"/>
    </row>
    <row r="7320">
      <c r="A7320" t="inlineStr">
        <is>
          <t>etozzp</t>
        </is>
      </c>
      <c r="B7320" t="inlineStr">
        <is>
          <t>Neighbour has leukemia, how can I help?</t>
        </is>
      </c>
      <c r="C7320" t="inlineStr">
        <is>
          <t>While walking the dog with a friend yesterday and we bumped into one of our neighbours.
She told us her sister had recently died from (I believe ovarian) cancer and that during a checkup to see if if there was a hereditary component, they found out she actually has leukemia.
I have never had a conversation with this neighbour before, but we do greet each other and wave whenever we see each other.
I don't want to be "all up in her face" about it, and I can offer limited support, because, well, I'm just not a stable person, but I can offer her a listening ear.
Not everyone deals with an offer of help in the same way, but I was thinking of going to her door, give her my phone number and tell her she can call me whenever she needs someone to talk to.
Does that sound like a decent plan?</t>
        </is>
      </c>
      <c r="D7320" t="n">
        <v>1</v>
      </c>
      <c r="E7320" t="n">
        <v>8</v>
      </c>
      <c r="F7320">
        <f>HYPERLINK("https://www.reddit.com/r/cancer/comments/etozzp/neighbour_has_leukemia_how_can_i_help/")</f>
        <v/>
      </c>
      <c r="G7320" t="inlineStr">
        <is>
          <t>2020-01-25 01:57:46</t>
        </is>
      </c>
      <c r="H7320" t="inlineStr"/>
    </row>
    <row r="7321">
      <c r="A7321" t="inlineStr">
        <is>
          <t>etr3iu</t>
        </is>
      </c>
      <c r="B7321" t="inlineStr">
        <is>
          <t>False hope ?</t>
        </is>
      </c>
      <c r="C7321" t="inlineStr">
        <is>
          <t>Hey guys,
First of all it's my first time posting to this sub, i hope I don't do something wrong. It's not easy to talk about all this, but since today I have a really significant problem.
One of my family members has a brain tumor and about 10 days ago, we were informed that it was a glioblastoma. Since I studied much about Tumors, I knew what that meant. The others were shocked and the doctor that explained everything was a bit harsh. A day after another doctor explained eveything again, but left out on the "how long?" Part, as he thought they understood.
Now noone believes the diagnosis and they say that it cannot be true since the affected person does not have any symptoms beside paralysis.
They were now told, that there is a guy from Hungary, that hase some sort of therapy that could heal that person.
Everyone is ready to pay any amout of money for that guy and his holy water. They were talking thousands of Euros.
I told them that it's a lie and that they are just trying to steal money from hopeless people.
But they don't listen.
What can I do. We dont have that money. We are already in debt and I think that this is a scam.
Am I wrong?
Or how should I approach this?
What can i do?</t>
        </is>
      </c>
      <c r="D7321" t="n">
        <v>1</v>
      </c>
      <c r="E7321" t="n">
        <v>11</v>
      </c>
      <c r="F7321">
        <f>HYPERLINK("https://www.reddit.com/r/cancer/comments/etr3iu/false_hope/")</f>
        <v/>
      </c>
      <c r="G7321" t="inlineStr">
        <is>
          <t>2020-01-25 06:00:53</t>
        </is>
      </c>
      <c r="H7321" t="inlineStr"/>
    </row>
    <row r="7322">
      <c r="A7322" t="inlineStr">
        <is>
          <t>etrdz1</t>
        </is>
      </c>
      <c r="B7322" t="inlineStr">
        <is>
          <t>Planning for treatment (colorectal adenocarcinoma)</t>
        </is>
      </c>
      <c r="C7322" t="inlineStr">
        <is>
          <t>Hello, 
My partner(30m) was diagnosed with colon cancer on Monday, and I'm getting a lot of conflicting information. Currently he has a tumor in his colon and they are going to need to do surgery, but he also has a precancerous polyp that needs to be removed and that they can't remove through normal means due to placement. The CT scan showed no sign of the cancer having spread, but they said they'll still need to biopsy a lymph node during the removal surgery anyways just to be sure. The doctor said they don't give the cancer a stage until after the removal surgery, but he feels confident that we caught it early enough that he thinks the survival chances are good. 
The doctor said that they need to deal with the mass first, and then after treatment is finished he'll send a referral for my partner to get the polyp removed. I understand that the cancer is the most important thing, but isn't it risky to leave the polyp there for potentially a year before dealing with it? Should we be looking into going somewhere that can treat the cancer and remove the polyp? (We're looking at out of state treatment anyways just because of our comfort level of the care received locally)
The doctor told him that he should go on a vegan, high fiber diet. We already eat plant based foods 4-5 days a week so I'm not super concerned about that, but I am worried after ice been reading and a lot of people are saying that with colon cancer they needed to go on a low fiber diet. What determines that? I'm the cook in my family and I don't want to bathe the wrong foods. 
I could just use some guidance because I'm feeling overwhelmed with conflicting information right now. Does anyone have any recommendations for hospitals for second opinions? (We're in the USA, and are up for flying anywhere in country for treatment). Does not giving a stage until after surgery sound normal, as well as leaving the polyp until after chemo? Any tips on diet/things were should be looking into? 
Sorry for the long post, I'm just feeling anxious and am struggling not having the answer to these things.</t>
        </is>
      </c>
      <c r="D7322" t="n">
        <v>1</v>
      </c>
      <c r="E7322" t="n">
        <v>6</v>
      </c>
      <c r="F7322">
        <f>HYPERLINK("https://www.reddit.com/r/cancer/comments/etrdz1/planning_for_treatment_colorectal_adenocarcinoma/")</f>
        <v/>
      </c>
      <c r="G7322" t="inlineStr">
        <is>
          <t>2020-01-25 06:27:30</t>
        </is>
      </c>
      <c r="H7322" t="inlineStr"/>
    </row>
    <row r="7323">
      <c r="A7323" t="inlineStr">
        <is>
          <t>ets3zi</t>
        </is>
      </c>
      <c r="B7323" t="inlineStr">
        <is>
          <t>Reliability of PET Scan</t>
        </is>
      </c>
      <c r="C7323" t="inlineStr">
        <is>
          <t>Hello. Had stage III-A colon cancer - finished surgery and chemo mid-2017. CT discovered a mass in my spleen in December which had doubled in size in a year. Getting a PET scan on Tuesday. I'm curious if there's any info about false positives/negatives in cancer diagnosis using PET scan. Did some googling and got scientific articles over my head. Thanks.</t>
        </is>
      </c>
      <c r="D7323" t="n">
        <v>1</v>
      </c>
      <c r="E7323" t="n">
        <v>6</v>
      </c>
      <c r="F7323">
        <f>HYPERLINK("https://www.reddit.com/r/cancer/comments/ets3zi/reliability_of_pet_scan/")</f>
        <v/>
      </c>
      <c r="G7323" t="inlineStr">
        <is>
          <t>2020-01-25 07:31:09</t>
        </is>
      </c>
      <c r="H7323" t="inlineStr"/>
    </row>
    <row r="7324">
      <c r="A7324" t="inlineStr">
        <is>
          <t>ettmzf</t>
        </is>
      </c>
      <c r="B7324" t="inlineStr">
        <is>
          <t>How can I manage breathlessness?</t>
        </is>
      </c>
      <c r="C7324" t="inlineStr">
        <is>
          <t>Hi, I was diagnosed with stage 4 osteosarcoma that metastasised to my lungs. I went through many treatments (different types of chemo, many different surgeries) and I think this is the end of the road. As my lung metastases grow bigger, I've been experiencing some breathlessness that isn't too severe yet but it feels like my chest is tight and I'm breathing a lot heavier. It's stressing me out thinking about how it will only get worse from here on, and I was wondering if anyone with lung tumours or caretakers with experience has any tips/things I should know about managing my breathlessness? Thanks a lot in advance</t>
        </is>
      </c>
      <c r="D7324" t="n">
        <v>1</v>
      </c>
      <c r="E7324" t="n">
        <v>7</v>
      </c>
      <c r="F7324">
        <f>HYPERLINK("https://www.reddit.com/r/cancer/comments/ettmzf/how_can_i_manage_breathlessness/")</f>
        <v/>
      </c>
      <c r="G7324" t="inlineStr">
        <is>
          <t>2020-01-25 09:29:10</t>
        </is>
      </c>
      <c r="H7324" t="inlineStr"/>
    </row>
    <row r="7325">
      <c r="A7325" t="inlineStr">
        <is>
          <t>etu9ve</t>
        </is>
      </c>
      <c r="B7325" t="inlineStr">
        <is>
          <t>.</t>
        </is>
      </c>
      <c r="C7325" t="inlineStr">
        <is>
          <t>I was found to have 2 cancers (leukemia in june2019) and an ependymoma in July of 2019. My doctors said it’s extremely rare for someone to have those 2 at the same exact time. Just wondering if there’s someone out there that has the same condition as me</t>
        </is>
      </c>
      <c r="D7325" t="n">
        <v>1</v>
      </c>
      <c r="E7325" t="n">
        <v>2</v>
      </c>
      <c r="F7325">
        <f>HYPERLINK("https://www.reddit.com/r/cancer/comments/etu9ve/_/")</f>
        <v/>
      </c>
      <c r="G7325" t="inlineStr">
        <is>
          <t>2020-01-25 10:15:07</t>
        </is>
      </c>
      <c r="H7325" t="inlineStr"/>
    </row>
    <row r="7326">
      <c r="A7326" t="inlineStr">
        <is>
          <t>etuesn</t>
        </is>
      </c>
      <c r="B7326" t="inlineStr">
        <is>
          <t>Apps to keep on track wit treatment?</t>
        </is>
      </c>
      <c r="C7326" t="inlineStr">
        <is>
          <t>So it looks like I am going to have various pills at various times of day and certain days of the week as well as a bunch of exercises, keeping track of bowel movements, etc., etc. Any apps you guys have found to help keep all this stuff organized?</t>
        </is>
      </c>
      <c r="D7326" t="n">
        <v>1</v>
      </c>
      <c r="E7326" t="n">
        <v>0</v>
      </c>
      <c r="F7326">
        <f>HYPERLINK("https://www.reddit.com/r/cancer/comments/etuesn/apps_to_keep_on_track_wit_treatment/")</f>
        <v/>
      </c>
      <c r="G7326" t="inlineStr">
        <is>
          <t>2020-01-25 10:25:19</t>
        </is>
      </c>
      <c r="H7326" t="inlineStr"/>
    </row>
    <row r="7327">
      <c r="A7327" t="inlineStr">
        <is>
          <t>etufz0</t>
        </is>
      </c>
      <c r="B7327" t="inlineStr">
        <is>
          <t>Any apps to keep on track with treatment?</t>
        </is>
      </c>
      <c r="C7327" t="inlineStr">
        <is>
          <t>So it looks like I am going to have various pills at various times of day and certain days of the week as well as a bunch of exercises, keeping track of bowel movements, etc., etc. Any apps you guys have found to help keep all this stuff organized?</t>
        </is>
      </c>
      <c r="D7327" t="n">
        <v>1</v>
      </c>
      <c r="E7327" t="n">
        <v>13</v>
      </c>
      <c r="F7327">
        <f>HYPERLINK("https://www.reddit.com/r/cancer/comments/etufz0/any_apps_to_keep_on_track_with_treatment/")</f>
        <v/>
      </c>
      <c r="G7327" t="inlineStr">
        <is>
          <t>2020-01-25 10:27:41</t>
        </is>
      </c>
      <c r="H7327" t="inlineStr"/>
    </row>
    <row r="7328">
      <c r="A7328" t="inlineStr">
        <is>
          <t>etuwui</t>
        </is>
      </c>
      <c r="B7328" t="inlineStr">
        <is>
          <t>Looking for hair loss advice, specific details included in post.</t>
        </is>
      </c>
      <c r="C7328" t="inlineStr">
        <is>
          <t>Hi r/cancer - sorry that you are here in this sub at all but am grateful that you may be able to offer some advice for me! 
My grandmother who is in her 70’s was diagnosed with Hodgkins Lymphoma and recently completed radiation therapy that lasted about 30 treatment days. I’m not ENTIRELY sure this is the appropriate sub to ask for advice, as I understand radiation should not affect hair loss for her treatment area, however I’m not sure where else to turn for advice. She has been losing a good bit of hair since the treatment, although she has struggled with hair loss in the past so it may or may not be related. 
Specifics are she also has thyroid issues and has an extremely elevated calcium level, so can’t take any supplements that contain calcium. Her current diet is pretty solid and healthy, but if there’s anything she could change to encourage hair growth or strength I would definitely love to know. 
Really just looking for any advice or suggestions to pass along to her. She has a check up appointment next month so anything would be cleared with a doctor first but I’d really love to be able to help her out if anyone has anything they can suggest.</t>
        </is>
      </c>
      <c r="D7328" t="n">
        <v>1</v>
      </c>
      <c r="E7328" t="n">
        <v>4</v>
      </c>
      <c r="F7328">
        <f>HYPERLINK("https://www.reddit.com/r/cancer/comments/etuwui/looking_for_hair_loss_advice_specific_details/")</f>
        <v/>
      </c>
      <c r="G7328" t="inlineStr">
        <is>
          <t>2020-01-25 11:01:27</t>
        </is>
      </c>
      <c r="H7328" t="inlineStr"/>
    </row>
    <row r="7329">
      <c r="A7329" t="inlineStr">
        <is>
          <t>etxumj</t>
        </is>
      </c>
      <c r="B7329" t="inlineStr">
        <is>
          <t>I found this today and found it comforting. Albeit I am not a follower of any religion, but this science can be interpreted however you choose, whether you believe in a god or not.</t>
        </is>
      </c>
      <c r="C7329" t="inlineStr">
        <is>
          <t>If nothing else can assuage some of the fear of death, the below advice from physicist Aaron Freemen [via NPR](http://www.npr.org/templates/story/story.php?storyId=4675953) should do it:
&amp;gt;You want a physicist to speak at your funeral. You want the physicist to talk to your grieving family about the conservation of energy, so they will understand that your energy has not died.   
&amp;gt;  
&amp;gt;You want the physicist to remind your sobbing mother about the first law of thermodynamics; that no energy gets created in the universe, and none is destroyed. You want your mother to know that all your energy, every vibration, every Btu of heat, every wave of every particle that was her beloved child remains with her in this world.   
&amp;gt;  
&amp;gt;You want the physicist to tell your weeping father that amid energies of the cosmos, you gave as good as you got.  
&amp;gt;  
&amp;gt;And at one point you’d hope that the physicist would step down from the pulpit and walk to your brokenhearted spouse there in the pew and tell him that all the photons that ever bounced off your face, all the particles whose paths were interrupted by your smile, by the touch of your hair, hundreds of trillions of particles, have raced off like children, their ways forever changed by you.  
&amp;gt;  
&amp;gt;And as your widow rocks in the arms of a loving family, may the physicist let her know that all the photons that bounced from you were gathered in the particle detectors that are her eyes, that those photons created within her constellations of electromagnetically charged neurons whose energy will go on forever.  
&amp;gt;  
&amp;gt;You can hope your family will examine the evidence and satisfy themselves that the science is sound and that they’ll be comforted to know your energy’s still around. According to the law of the conservation of energy, not a bit of you is gone; you’re just less orderly.</t>
        </is>
      </c>
      <c r="D7329" t="n">
        <v>1</v>
      </c>
      <c r="E7329" t="n">
        <v>12</v>
      </c>
      <c r="F7329">
        <f>HYPERLINK("https://www.reddit.com/r/cancer/comments/etxumj/i_found_this_today_and_found_it_comforting_albeit/")</f>
        <v/>
      </c>
      <c r="G7329" t="inlineStr">
        <is>
          <t>2020-01-25 14:37:41</t>
        </is>
      </c>
      <c r="H7329" t="inlineStr"/>
    </row>
    <row r="7330">
      <c r="A7330" t="inlineStr">
        <is>
          <t>etzw7i</t>
        </is>
      </c>
      <c r="B7330" t="inlineStr">
        <is>
          <t>Lost my MIL today</t>
        </is>
      </c>
      <c r="C7330" t="inlineStr">
        <is>
          <t>My sweet MIL was diagnosed with multiple myeloma back in 2014. She went through treatment like a champ.  
Last September she had a scan and it was clear.  
In mid December she started having pains in her chest, right arm. After numerous tests it was declared the myeloma had returned &amp;amp; was ‘all over her body’. We were told 2 weeks ago she had 6/8 months with treatment, 3 months without.  
She declined fast &amp;amp; we lost her today.  
Fuck cancer and all it’s bullshit ways.</t>
        </is>
      </c>
      <c r="D7330" t="n">
        <v>1</v>
      </c>
      <c r="E7330" t="n">
        <v>2</v>
      </c>
      <c r="F7330">
        <f>HYPERLINK("https://www.reddit.com/r/cancer/comments/etzw7i/lost_my_mil_today/")</f>
        <v/>
      </c>
      <c r="G7330" t="inlineStr">
        <is>
          <t>2020-01-25 17:18:56</t>
        </is>
      </c>
      <c r="H7330" t="inlineStr"/>
    </row>
    <row r="7331">
      <c r="A7331" t="inlineStr">
        <is>
          <t>etzzoj</t>
        </is>
      </c>
      <c r="B7331" t="inlineStr">
        <is>
          <t>Port placement &amp;amp; bra straps</t>
        </is>
      </c>
      <c r="C7331" t="inlineStr">
        <is>
          <t>My mom got her port placed yesterday and is home recovering today, but feeling antsy to get out of the house. But she’s nervous about going out bra-less and she thinks the bra strap will be uncomfortable.
Ladies who’ve been down this road before us, any advice?</t>
        </is>
      </c>
      <c r="D7331" t="n">
        <v>1</v>
      </c>
      <c r="E7331" t="n">
        <v>0</v>
      </c>
      <c r="F7331">
        <f>HYPERLINK("https://www.reddit.com/r/cancer/comments/etzzoj/port_placement_bra_straps/")</f>
        <v/>
      </c>
      <c r="G7331" t="inlineStr">
        <is>
          <t>2020-01-25 17:26:35</t>
        </is>
      </c>
      <c r="H7331" t="inlineStr"/>
    </row>
    <row r="7332">
      <c r="A7332" t="inlineStr">
        <is>
          <t>eu0s2p</t>
        </is>
      </c>
      <c r="B7332" t="inlineStr">
        <is>
          <t>A hobby gone for a ... while.</t>
        </is>
      </c>
      <c r="C7332" t="inlineStr">
        <is>
          <t>So today was a good but hard day. I went to my best friends house and gave him my firearms and ammo, since I am going to be away from home for an extended period of time I cannot leave them there. I know it is only temporary,  but with the instability of politics surrounding gun control o worry that when I get back from my treatment and recovery, that I may not get them back. But still at least I know they will be taken care of. 
Alo went to range yoo and got to shot some civil war era black powder pistols, neat experience. Also some old friends at work were at the club too, it was a good day to be out even if the weather was crap. (Southern Ontario)</t>
        </is>
      </c>
      <c r="D7332" t="n">
        <v>1</v>
      </c>
      <c r="E7332" t="n">
        <v>4</v>
      </c>
      <c r="F7332">
        <f>HYPERLINK("https://www.reddit.com/r/cancer/comments/eu0s2p/a_hobby_gone_for_a_while/")</f>
        <v/>
      </c>
      <c r="G7332" t="inlineStr">
        <is>
          <t>2020-01-25 18:32:57</t>
        </is>
      </c>
      <c r="H7332" t="inlineStr"/>
    </row>
    <row r="7333">
      <c r="A7333" t="inlineStr">
        <is>
          <t>eu2db4</t>
        </is>
      </c>
      <c r="B7333" t="inlineStr">
        <is>
          <t>Fuck this disease</t>
        </is>
      </c>
      <c r="C7333" t="inlineStr">
        <is>
          <t>We just found out that my grandma has a brain tumor the size of a golf ball  today. She's the most wonderful person and she doesn't even know. This morning we were helping her move her house and she's been acting strange for a bit and she had another hallucination today so we took her to the hospital thinking that she was just nervous or something until they called out my dad and my uncle to tell them. We still haven't told her and she has no clue. She was talking about all the recipes that she wants to cook when she gets home but she's not going to cook. I feel so bad and I've never been personally affected by cancer until now and I really do understand why it sucks so much. Best wishes to all of you that also are being burdened and torn apart by this. Stay strong :)</t>
        </is>
      </c>
      <c r="D7333" t="n">
        <v>1</v>
      </c>
      <c r="E7333" t="n">
        <v>12</v>
      </c>
      <c r="F7333">
        <f>HYPERLINK("https://www.reddit.com/r/cancer/comments/eu2db4/fuck_this_disease/")</f>
        <v/>
      </c>
      <c r="G7333" t="inlineStr">
        <is>
          <t>2020-01-25 20:54:41</t>
        </is>
      </c>
      <c r="H7333" t="inlineStr"/>
    </row>
    <row r="7334">
      <c r="A7334" t="inlineStr">
        <is>
          <t>eu2kmo</t>
        </is>
      </c>
      <c r="B7334" t="inlineStr">
        <is>
          <t>Stage 4 colon cancer 5-year survival rate/survival rate</t>
        </is>
      </c>
      <c r="C7334" t="inlineStr">
        <is>
          <t>I made a post here a while ago about my mom had colon cancer. Its been a week since I found out. I know what the circumstances might and I know what can happen, but I do have hope that my mother can live for a decent amount of time and I really do hope that she can. She has stage 4 colon cancer, it has gone to her liver. If there is anyone out there that has been or knows someone in this situation, would you happen to know the survival time? I really want to spend time with my mother and I really want to have enough time to make every moment count. If she can live for a couple of more years more i'll be content with that as i'll make every day count. IF she can possibly even survive this and live, i'll be even happier, I do have hope there is a small chance. I know that right now this chance is small, but I do believe it is possible and nothing is set in stone right now. She hasn't started treatment just yet. Right now she is having regular symptoms. Nausea, heartburn, diarrhea, stomach pain etc.. Thank you.</t>
        </is>
      </c>
      <c r="D7334" t="n">
        <v>1</v>
      </c>
      <c r="E7334" t="n">
        <v>16</v>
      </c>
      <c r="F7334">
        <f>HYPERLINK("https://www.reddit.com/r/cancer/comments/eu2kmo/stage_4_colon_cancer_5year_survival_ratesurvival/")</f>
        <v/>
      </c>
      <c r="G7334" t="inlineStr">
        <is>
          <t>2020-01-25 21:15:13</t>
        </is>
      </c>
      <c r="H7334" t="inlineStr"/>
    </row>
    <row r="7335">
      <c r="A7335" t="inlineStr">
        <is>
          <t>eu3oi1</t>
        </is>
      </c>
      <c r="B7335" t="inlineStr">
        <is>
          <t>Has anyone been declared “cancer free” after having a remission?</t>
        </is>
      </c>
      <c r="C7335" t="inlineStr">
        <is>
          <t>I was diagnosed with stage 3 ovarian cancer two years ago. Had surgery, did chemo for 6 months and was cancer free for around 16-17 months. Last week, I was diagnosed with a recurrence. It is just a very small tumor right besides my ureter. I’m still processing the information as I am only 41, I have a 4 year old daughter, and I keep thinking that I won’t be alive much longer. 
Are there any cases you know of, or you personally, where there was a recurrence of ovarian cancer and then were cancer free for more than 5-7 years?? What treatments did you go on??
It might be wishful thinking, but I can’t help but be hopeful about it.</t>
        </is>
      </c>
      <c r="D7335" t="n">
        <v>1</v>
      </c>
      <c r="E7335" t="n">
        <v>2</v>
      </c>
      <c r="F7335">
        <f>HYPERLINK("https://www.reddit.com/r/cancer/comments/eu3oi1/has_anyone_been_declared_cancer_free_after_having/")</f>
        <v/>
      </c>
      <c r="G7335" t="inlineStr">
        <is>
          <t>2020-01-25 23:18:32</t>
        </is>
      </c>
      <c r="H7335" t="inlineStr"/>
    </row>
    <row r="7336">
      <c r="A7336" t="inlineStr">
        <is>
          <t>eu5hyb</t>
        </is>
      </c>
      <c r="B7336" t="inlineStr">
        <is>
          <t>Compression sleeves are a torture device</t>
        </is>
      </c>
      <c r="C7336" t="inlineStr">
        <is>
          <t>Damn I'm sick of this thing.  Makes my shoulder, elbow and wrist act up.  My ongoing mild carpal tunnel has gone to severe, and now surgery is about my only option.</t>
        </is>
      </c>
      <c r="D7336" t="n">
        <v>1</v>
      </c>
      <c r="E7336" t="n">
        <v>3</v>
      </c>
      <c r="F7336">
        <f>HYPERLINK("https://www.reddit.com/r/cancer/comments/eu5hyb/compression_sleeves_are_a_torture_device/")</f>
        <v/>
      </c>
      <c r="G7336" t="inlineStr">
        <is>
          <t>2020-01-26 03:17:39</t>
        </is>
      </c>
      <c r="H7336" t="inlineStr"/>
    </row>
    <row r="7337">
      <c r="A7337" t="inlineStr">
        <is>
          <t>eu6xo5</t>
        </is>
      </c>
      <c r="B7337" t="inlineStr">
        <is>
          <t>7 months is all it took. Miss you, Ma.</t>
        </is>
      </c>
      <c r="C7337" t="inlineStr">
        <is>
          <t>Lost my mom a couple of weeks back. We tried hard. Tried all under our control. And still all it took this disease was 7months to destroy our world. I sometimes feel surprisingly normal and strong, and yet at other times I'm a complete mess. No amount of time can make me get used to it, let alone heal the damage.
I've been on this thread for some time now and while I may no longer post or comment here, I'll still stop by once in a while. For all of you fighting cancer or those of you who have a close one fighting it, you should know I'm praying for each one of you.</t>
        </is>
      </c>
      <c r="D7337" t="n">
        <v>1</v>
      </c>
      <c r="E7337" t="n">
        <v>11</v>
      </c>
      <c r="F7337">
        <f>HYPERLINK("https://www.reddit.com/r/cancer/comments/eu6xo5/7_months_is_all_it_took_miss_you_ma/")</f>
        <v/>
      </c>
      <c r="G7337" t="inlineStr">
        <is>
          <t>2020-01-26 05:52:45</t>
        </is>
      </c>
      <c r="H7337" t="inlineStr"/>
    </row>
    <row r="7338">
      <c r="A7338" t="inlineStr">
        <is>
          <t>eubdln</t>
        </is>
      </c>
      <c r="B7338" t="inlineStr">
        <is>
          <t>My pregnant wife (23w) has been diagnosed with cervical cancer</t>
        </is>
      </c>
      <c r="C7338" t="inlineStr">
        <is>
          <t>Well...the title says it all. This is our first (and probably only) daughter and since her 3rd week, even before she knew she was pregnant, she started having these horrible hip and back pains.
The doctors never knew what was happening until two weeks ago, when she got a MRI that showed she had a mass in her cervix. Since then, they have been speculating and concluded that she has a ver severe cervical cancer. We are still waiting for the biopsy results but it is almost certain that she has this.
We are very nervous...terrified even. We don’t know just yet which is going to be the treatment but the doctors say that she could wait until w34 to have a c-section and have the baby and start the treatment she will need. There’s no need to have an abortion...but it still is a (very low) possibility.
I’m scared. It’s a lot to process in such a small time, having just recently started planning a family life with her.
So... can anybody help me cope with this?</t>
        </is>
      </c>
      <c r="D7338" t="n">
        <v>1</v>
      </c>
      <c r="E7338" t="n">
        <v>15</v>
      </c>
      <c r="F7338">
        <f>HYPERLINK("https://www.reddit.com/r/cancer/comments/eubdln/my_pregnant_wife_23w_has_been_diagnosed_with/")</f>
        <v/>
      </c>
      <c r="G7338" t="inlineStr">
        <is>
          <t>2020-01-26 11:27:15</t>
        </is>
      </c>
      <c r="H7338" t="inlineStr"/>
    </row>
    <row r="7339">
      <c r="A7339" t="inlineStr">
        <is>
          <t>eubkcx</t>
        </is>
      </c>
      <c r="B7339" t="inlineStr">
        <is>
          <t>Seeking realistic, honest opinions.</t>
        </is>
      </c>
      <c r="C7339" t="inlineStr">
        <is>
          <t>So my mother had 10 rounds of radiation on her T-Spine to help shrink a tumor there to help pain and prevent her from becoming paralyzed. She has steadily been having more and more issues with swallowing and extreme pain in her chest area. The hospital/oncologist said it was all unrelated to her cancer and was only the burn in her esophagus from the radiation, sent her home after a 10 day stay.
Fast forward 8 days, I'm calling 911 because the pain has become unbearable. She even said it was worse than the pain caused by the tumor breaking up her spine previously. She is getting worked up now (at a different hospital even, because the hospital that has been dealing with her cancer is too far). I have never seen her in this amount of pain, I'm worried that it is actually the cancer causing this pain. 
She was diagnosed with small cell lung cancer in September. Went through chemo (she did great with chemo, surprisingly). Started immunotherapy after 4 rounds of chemo because the cancer went dormant. The immunotherapy actually ended up attacking her entire body and before we could even return for another treatment 21 days later, we landed in the hospital with the pain from the tumor in her spine.
They said then that the cancer has returned. Aggressive and metastasized. Lungs, liver, spine, blood, lymph nodes and bones. They gave her 2 weeks to regain her strength to endure a 2nd round of chemo (which was only given a 25% chance of being effective). 
3 days later, called 911 and back in the hospital.
I'm really tired of people telling me that she'll be fine, she will survive, the chemo will work and she will be back to normal soon. 
What I want is for someone to be honest with me and I feel like this is the best place for that honesty since most of you have lived through or via a friend or family member. 
Realistically, what should I be preparing for?</t>
        </is>
      </c>
      <c r="D7339" t="n">
        <v>1</v>
      </c>
      <c r="E7339" t="n">
        <v>7</v>
      </c>
      <c r="F7339">
        <f>HYPERLINK("https://www.reddit.com/r/cancer/comments/eubkcx/seeking_realistic_honest_opinions/")</f>
        <v/>
      </c>
      <c r="G7339" t="inlineStr">
        <is>
          <t>2020-01-26 11:39:45</t>
        </is>
      </c>
      <c r="H7339" t="inlineStr"/>
    </row>
    <row r="7340">
      <c r="A7340" t="inlineStr">
        <is>
          <t>eucj72</t>
        </is>
      </c>
      <c r="B7340" t="inlineStr">
        <is>
          <t>Anyone been on crutches during chemo?</t>
        </is>
      </c>
      <c r="C7340" t="inlineStr">
        <is>
          <t>Hello! I’m a 25F that has been recently diagnosed with non-Hodgkin lymphoma in the bone. I’ve had bad knee pain for months now, and have been unable to bear weight on the leg for 5 weeks, so have been on crutches. I start R-CHOP chemo on 4 February, 6 cycles of it.
It’s already been so difficult being on crutches for that long, living with a housemate in an apartment that is up 2 flights of stairs...
I was wondering if anyone has been through chemo on crutches as well? I’m concerned about getting fatigued or weak and not being able to get around. I already get tired using them now! Any tips, tricks or experiences would be extremely welcome. Thank you!</t>
        </is>
      </c>
      <c r="D7340" t="n">
        <v>1</v>
      </c>
      <c r="E7340" t="n">
        <v>10</v>
      </c>
      <c r="F7340">
        <f>HYPERLINK("https://www.reddit.com/r/cancer/comments/eucj72/anyone_been_on_crutches_during_chemo/")</f>
        <v/>
      </c>
      <c r="G7340" t="inlineStr">
        <is>
          <t>2020-01-26 12:40:28</t>
        </is>
      </c>
      <c r="H7340" t="inlineStr"/>
    </row>
    <row r="7341">
      <c r="A7341" t="inlineStr">
        <is>
          <t>eudme4</t>
        </is>
      </c>
      <c r="B7341" t="inlineStr">
        <is>
          <t>My mom’s chemo isn’t working</t>
        </is>
      </c>
      <c r="C7341" t="inlineStr">
        <is>
          <t>Today I found out that the chemo my mom has been receiving for the past few months for her stage 4 cancer isn’t working. She still needs to talk to the doctor about other options, but there’s still the chance that there isn’t anything they can do. I’ve been lucky in life so far and haven’t lost anyone close to me, so I have no idea how I should be handling this. Even thinking about my mom dying gives me a kind of sadness that I’ve never had before. Does anyone have any advice on how to better handle situations like this because I have no clue what to do?</t>
        </is>
      </c>
      <c r="D7341" t="n">
        <v>1</v>
      </c>
      <c r="E7341" t="n">
        <v>17</v>
      </c>
      <c r="F7341">
        <f>HYPERLINK("https://www.reddit.com/r/cancer/comments/eudme4/my_moms_chemo_isnt_working/")</f>
        <v/>
      </c>
      <c r="G7341" t="inlineStr">
        <is>
          <t>2020-01-26 13:52:36</t>
        </is>
      </c>
      <c r="H7341" t="inlineStr"/>
    </row>
    <row r="7342">
      <c r="A7342" t="inlineStr">
        <is>
          <t>eudx31</t>
        </is>
      </c>
      <c r="B7342" t="inlineStr">
        <is>
          <t>Solutions for chemo port pain relief?</t>
        </is>
      </c>
      <c r="C7342" t="inlineStr">
        <is>
          <t>My mom just got her port/stent implanted on her chest, and whenever she moves in certain ways she feels like its scraping her insides.bis there anything i can do to help? Does it tend to stop hurting after a certain period of time? Thanks</t>
        </is>
      </c>
      <c r="D7342" t="n">
        <v>1</v>
      </c>
      <c r="E7342" t="n">
        <v>6</v>
      </c>
      <c r="F7342">
        <f>HYPERLINK("https://www.reddit.com/r/cancer/comments/eudx31/solutions_for_chemo_port_pain_relief/")</f>
        <v/>
      </c>
      <c r="G7342" t="inlineStr">
        <is>
          <t>2020-01-26 14:12:52</t>
        </is>
      </c>
      <c r="H7342" t="inlineStr"/>
    </row>
    <row r="7343">
      <c r="A7343" t="inlineStr">
        <is>
          <t>eufoue</t>
        </is>
      </c>
      <c r="B7343" t="inlineStr">
        <is>
          <t>Radiation Therapy - Subreddit Revival</t>
        </is>
      </c>
      <c r="C7343" t="inlineStr">
        <is>
          <t>I know that this isn't directly related to cancer, but I just came here to say that I am currently working on reviving the radiation therapy subreddit! If any of you have questions specific to radiation therapy and radiation-based cancer treatment, please come over to our subreddit and we will do our best to answer your questions! You're welcome to discuss things such as how exactly radiation therapy works, or what exactly do radiation therapists do once we leave the room?
&amp;amp;nbsp;
Mods, if this type of promotion is not allowed on this subreddit please let me know and I'll be more than fine with having this post taken down.</t>
        </is>
      </c>
      <c r="D7343" t="n">
        <v>1</v>
      </c>
      <c r="E7343" t="n">
        <v>0</v>
      </c>
      <c r="F7343">
        <f>HYPERLINK("https://www.reddit.com/r/cancer/comments/eufoue/radiation_therapy_subreddit_revival/")</f>
        <v/>
      </c>
      <c r="G7343" t="inlineStr">
        <is>
          <t>2020-01-26 16:16:21</t>
        </is>
      </c>
      <c r="H7343" t="inlineStr"/>
    </row>
    <row r="7344">
      <c r="A7344" t="inlineStr">
        <is>
          <t>eug8dk</t>
        </is>
      </c>
      <c r="B7344" t="inlineStr">
        <is>
          <t>Grieving For Who You Once Were</t>
        </is>
      </c>
      <c r="C7344" t="inlineStr">
        <is>
          <t>Hello Fellow Cancer Warriors,
I recently (like this past Thursday) had my final chemo treatment for Stage 3 Hodgkin's Lymphoma. I went into the treatment clinic energized and excited, and optimistic about the future. I was there for about 5 hours and that moment came... the final beep from the IV... saying that it wss all over (fingers crossed, of course. Have to get my PET Scan in 3 weeks). And then a curious thing happened... I started to cry. And not just a few tears - full on sobbing. I cried for 10 minutes, clutching my mother.
For 24 hours after, I was in shock. It's now been 3 days and I realize that I was grieving. I was mourning the person I once was, the pain my family had to go through, the time I lost to fighting. Through that grief I realized that I have been given a gift of a 2nd chance, which I fully intend to run with as fast and as far as my imagination allows.
I was wondering if anyone had a similar experience at the end of their treatment? I would love to hear your stories.</t>
        </is>
      </c>
      <c r="D7344" t="n">
        <v>1</v>
      </c>
      <c r="E7344" t="n">
        <v>16</v>
      </c>
      <c r="F7344">
        <f>HYPERLINK("https://www.reddit.com/r/cancer/comments/eug8dk/grieving_for_who_you_once_were/")</f>
        <v/>
      </c>
      <c r="G7344" t="inlineStr">
        <is>
          <t>2020-01-26 16:57:59</t>
        </is>
      </c>
      <c r="H7344" t="inlineStr"/>
    </row>
    <row r="7345">
      <c r="A7345" t="inlineStr">
        <is>
          <t>euh7hi</t>
        </is>
      </c>
      <c r="B7345" t="inlineStr">
        <is>
          <t>"went in for back pain" update</t>
        </is>
      </c>
      <c r="C7345" t="inlineStr">
        <is>
          <t>So I was in the neurosurgeons' office Friday and doc called to say not Pheo and sending my to surgeon consult for removal. That's all she said. Not where/who/when. So far it's been 24 days. I've had to make all referral/imaging appointments otherwise I'd still be waiting. 
I know I sound dumb but what does that mean? Do I find out prognosis after removal? 
My potassium was low last 3 blood test. And whites are elevated but not high high. 
I'm straight losing my mind. I've been crying all weekend. I cannot calm down. I don't know what's happening. 
I plan on having another sit in tomorrow at the doc office so I know what's next. 
Thanks for reading.</t>
        </is>
      </c>
      <c r="D7345" t="n">
        <v>1</v>
      </c>
      <c r="E7345" t="n">
        <v>4</v>
      </c>
      <c r="F7345">
        <f>HYPERLINK("https://www.reddit.com/r/cancer/comments/euh7hi/went_in_for_back_pain_update/")</f>
        <v/>
      </c>
      <c r="G7345" t="inlineStr">
        <is>
          <t>2020-01-26 18:17:09</t>
        </is>
      </c>
      <c r="H7345" t="inlineStr"/>
    </row>
    <row r="7346">
      <c r="A7346" t="inlineStr">
        <is>
          <t>euiec4</t>
        </is>
      </c>
      <c r="B7346" t="inlineStr">
        <is>
          <t>Here again</t>
        </is>
      </c>
      <c r="C7346" t="inlineStr">
        <is>
          <t>Well it's strange but even when I have a great day, I can still end with me sitting here with a hole in my chest.  Went out tobogganing with my kids, had my favorite dinner, made love to my wife, but here I am sitting again unable to slow my thoughts . All I can do is analyze everything I did today and think was it enough, did I do my best today. I want to cry, I tried music , reading, , I dont know how to open. I feel like I need to release emotion but I cant and it eats at me.   I find that I doubt everything I do now and I am so unsure of myself. I want to be strong and keep my head up, but tonight is hard.
My admission to hospital is in3 days and I find my self questioning everything. I saw my older sone picking on the younger today and I had to go and take a break alone. I wanted to tell my head off so badly and that would only make things worse. I have already mad an ass of my self a couple of times and it feels like my brain wants to sxrew me over with another one. 
Most of my day o feel like I am on a hair trigger for all of my emotions.  But the only one that wants to come out is anger, but all the others feel like they are sitting on edge but will never let go.  I think I have done all I  can do to prepare for my future, not that I think I am ready, just that there is nothing else I have time for.  Alot of sadness as alot of the people that I thought would be here for me were not. Not that I blame them there lives are hard too. I just wish my circle was bigger.</t>
        </is>
      </c>
      <c r="D7346" t="n">
        <v>1</v>
      </c>
      <c r="E7346" t="n">
        <v>4</v>
      </c>
      <c r="F7346">
        <f>HYPERLINK("https://www.reddit.com/r/cancer/comments/euiec4/here_again/")</f>
        <v/>
      </c>
      <c r="G7346" t="inlineStr">
        <is>
          <t>2020-01-26 19:54:21</t>
        </is>
      </c>
      <c r="H7346" t="inlineStr"/>
    </row>
    <row r="7347">
      <c r="A7347" t="inlineStr">
        <is>
          <t>euj6qk</t>
        </is>
      </c>
      <c r="B7347" t="inlineStr">
        <is>
          <t>CT lung biopsy Tuesday and am scared</t>
        </is>
      </c>
      <c r="C7347" t="inlineStr">
        <is>
          <t>As the title said I’m freaking out about the procedure and results, even though er doc Pulmonologist both said 99% nothing. I will leave a lengthy post with X-ray, ct scan and blood work. I put on ask docs. Thanks 
Question about solitary lung nodule.
I went to the er with chest pin turned out to be anxiety. My blood work is all good. 
Male Non smoker. 36 years old
When I had a chest X-ray they saw a spot and ordered a ct scan with contrast. The er doc told me he was 99.99% sure it was nothing. This was December 23. I followed up with a Pulmonologist she was on the same page as er doc but wants a fine needle biopsy. So I am now freaking out as I have it Tuesday I am both afraid of the procedure and results. 
Why do they state questionable calcification and possible granuloma? The Pulmonologist told my it was calcified. They are not worried about the liver lesion. I included test results. 
Sorry it’s a lot but I’m freaking out how bad is the biopsy? Any advice is welcome 
My pulmonary function test was normal
Thanks for letting me vent. I am hoping for reassurance. 
X-ray 
One view study. 
Comparison: None
Impression:
* Oval-shaped 14 mm opacity projects over portion of the very lateral left lung field. This may be calcification or external to the lung. Consider shallow oblique imaging. Additional workup is requested
* No acute cardio pulmonary process
* No pneumothorax.Stat reading provided
CT results 
CT of the chest with contrast
INDICATION: Lung nodule.
PROCEDURE: Automatic radiation exposure lowering techniques were utilized. Following the intravenous injection of 100 mL of Omnipaque 300, a CT of the chest and sagittal and coronal reformats obtained. All CT scans at this facility use dose modulation, iterative reconstruction, and/or weight based
dosing when appropriate to reduce radiation dose to as low as reasonably achievable.
FINDINGS: Comparison is the prior chest x-ray from earlier today. There is a well-circumscribed nodule in the left upper lobe measuring 1.7 cm in diameter, with the suggestion of areas of calcification in it on the sagittal reformats. The rest of the lungs are clear. No airspace disease. No 
pleural or pericardial effusions. No enlarged lymph nodes in the axilla or mediastinum. The heart is within normal limits. No coronary calcifications. Bilateral gynecomastia more prominent on the right. Visualized portions of the upper abdomen reveal large gallstones and an ill-defined 
low-attenuation lesion in the left lobe of the liver on slice #53.
IMPRESSION:
1. Undetermined 1.7 cm nodule in the left upper lobe; questionable calcifications in the nodule on the sagittal reformats suggesting possible granuloma but this is not definitive.
2. Gallstones.
3. Small indeterminate low-attenuation lesion in the left lobe of the liver.
Blood work
Basic metabolic 
Sodium
Your Value
142 mmol/L
Standard Range
134 - 146 mmol/L
Potassium, Bld
Your Value
3.5 mmol/L
Standard Range
3.5 - 5.0 mmol/L
Chloride
Your Value
106 mmol/L
Standard Range
98 - 109 mmol/L
CO2
Your Value
30 mmol/L
Standard Range
22 - 32 mmol/L
Anion gap
Your Value
6 mmol/L
Standard Range
4 - 12 mmol/L
BUN
Your Value
11 mg/dL
Standard Range
5 - 23 mg/dL
Creatinine
Your Value
0.81 mg/dL
Standard Range
0.60 - 1.30 mg/dL
METHOD TRACEABLE TO IDMS STANDARD
Glucose
Your Value
98 mg/dL
Standard Range
65 - 99 mg/dL
Calcium
Your Value
9.3 mg/dL
Standard Range
8.5 - 10.5 mg/dL
GFR MDRD Non Af Amer
Your Value
&amp;amp;gt;60 ml/min/1.73sq.m
Standard Range
&amp;amp;gt;59 ml/min/1.73sq.m
GFR MDRD Af Amer
Your Value
&amp;amp;gt;60 ml/min/1.73sq.m
Standard Range
&amp;amp;gt;59 ml/min/1.73sq.m
CBC
White Blood Cells
Your Value
5.5 X10E9/L
Standard Range
4.8 - 10.8 X10E9/L
RBC count
Your Value
5.34 X10E12/L
Standard Range
4.25 - 5.65 X10E12/L
Hemoglobin
Your Value
15.9 g/dL
Standard Range
13.1 - 17.3 g/dL
Hematocrit
Your Value
46.7 %
Standard Range
39 - 49 %
MCV
Your Value
88 fL
Standard Range
80 - 99 fL
MCH
Your Value
29.8 pg
Standard Range
27 - 34 pg
MCHC
Your Value
34.1 g/dL
Standard Range
32 - 37 g/dL
RDW
Your Value
13.5 %
Standard Range
11.4 - 14.3 %
Platelets
Your Value
240 X10E9/L
Standard Range
150 - 450 X10E9/L
MPV
Your Value
8.1 fL
Standard Range
7 - 12 fL
% neutrophils
Your Value
63.5 %
Standard Range
%
% lymphocytes
Your Value
26.7 %
Standard Range
%
% monocytes
Your Value
7.9 %
Standard Range
%
% eosinophils
Your Value
1.1 %
Standard Range
%
% Basophils
Your Value
0.8 %
Standard Range
%
Neutrophils Absolute (A)
Your Value
3.5 X10E9/L
Standard Range
1.5 - 6.6 X10E9/L
Lymphocytes Absolute
Your Value
1.5 X10E9/L
Standard Range
1.0 - 3.5 X10E9/L
Monocytes Absolute
Your Value
0.4 X10E9/L
Standard Range
0 - 0.9 X10E9/L
Eosinophils Absolute
Your Value
0.1 X10E9/L
Standard Range
0.0 - 0.4 X10E9/L
Basophils Absolute
Your Value
0.0 X10E9/L
Standard Range
0 - 0.9 X10E9/L
Lipid Profile 
Cholesterol
Your Value
153 mg/dL
Standard Range
150 - 200 mg/dL
Triglycerides
Your Value
75 mg/dL
Standard Range
27 - 150 mg/dL
HDL
Your Value
33 mg/dL
Standard Range
&amp;amp;gt;39 mg/dL
HDL &amp;amp;lt;40 mg/dL - High Risk
HDL &amp;amp;gt; or = 40mg/dL- Desirable
HDL &amp;amp;gt;60 mg/dL - Negative Risk
---------------------------------------------
Very low lipoprotein
Your Value
15 mg/dL
Standard Range
0 - 30 mg/dL
LDL (calc)
Your Value
105 mg/dL
Standard Range
&amp;amp;lt;130 mg/dL
LDL &amp;amp;lt;100 mg/dL - Desirable
LDL &amp;amp;gt;160 mg/dL - High Risk
---------------------------------------------
Cholesterol hdl
Your Value
4.6
Standard Range
1.0 - 5.0</t>
        </is>
      </c>
      <c r="D7347" t="n">
        <v>1</v>
      </c>
      <c r="E7347" t="n">
        <v>3</v>
      </c>
      <c r="F7347">
        <f>HYPERLINK("https://www.reddit.com/r/cancer/comments/euj6qk/ct_lung_biopsy_tuesday_and_am_scared/")</f>
        <v/>
      </c>
      <c r="G7347" t="inlineStr">
        <is>
          <t>2020-01-26 21:03:37</t>
        </is>
      </c>
      <c r="H7347" t="inlineStr"/>
    </row>
    <row r="7348">
      <c r="A7348" t="inlineStr">
        <is>
          <t>eujold</t>
        </is>
      </c>
      <c r="B7348" t="inlineStr">
        <is>
          <t>The first round</t>
        </is>
      </c>
      <c r="C7348" t="inlineStr">
        <is>
          <t>I’m on number 12 for my chemo for stage 4 cancer. Having a little break for now and having neuropathy in my hands and the rashes. I haven’t gone through nausea but hell of a time on the toilet to get the deposit (if you catch on) I have to face more or immunotherapy but with my liver and pancreas on the fritz it may look like another round which is causing more stress without my sick leave dissipating.
Also, I have to deal with more doctors than ever but the main thing has been enjoying life through small victories and hoping to win the war soon</t>
        </is>
      </c>
      <c r="D7348" t="n">
        <v>1</v>
      </c>
      <c r="E7348" t="n">
        <v>3</v>
      </c>
      <c r="F7348">
        <f>HYPERLINK("https://www.reddit.com/r/cancer/comments/eujold/the_first_round/")</f>
        <v/>
      </c>
      <c r="G7348" t="inlineStr">
        <is>
          <t>2020-01-26 21:48:39</t>
        </is>
      </c>
      <c r="H7348" t="inlineStr"/>
    </row>
    <row r="7349">
      <c r="A7349" t="inlineStr">
        <is>
          <t>eumim1</t>
        </is>
      </c>
      <c r="B7349" t="inlineStr">
        <is>
          <t>Coronavirus Precautions</t>
        </is>
      </c>
      <c r="C7349" t="inlineStr">
        <is>
          <t>Diagnosed with Acute Lymphatic Leukemia, and in 3rd month of treatment. Should I be taking special precautions in light of this virus? Anyone else doing anything?
Ex. Going to hospital for chemo or blood test. ( surrounded by sick people )</t>
        </is>
      </c>
      <c r="D7349" t="n">
        <v>1</v>
      </c>
      <c r="E7349" t="n">
        <v>9</v>
      </c>
      <c r="F7349">
        <f>HYPERLINK("https://www.reddit.com/r/cancer/comments/eumim1/coronavirus_precautions/")</f>
        <v/>
      </c>
      <c r="G7349" t="inlineStr">
        <is>
          <t>2020-01-27 03:03:37</t>
        </is>
      </c>
      <c r="H7349" t="inlineStr"/>
    </row>
    <row r="7350">
      <c r="A7350" t="inlineStr">
        <is>
          <t>eunsxr</t>
        </is>
      </c>
      <c r="B7350" t="inlineStr">
        <is>
          <t>Parent's marriage in turmoil - help</t>
        </is>
      </c>
      <c r="C7350" t="inlineStr">
        <is>
          <t>Hi everyone, 
My Mum was diagnosed with bile duct cancer about a year and a half ago and she's fought so well against it. The doctors didn't give her a good prognosis and she has repeatedly surpassed their expectations. However, in the past month, the cancer has spread dramatically, and my Mum is now in bed most days and doesn't have a lot of power in her legs. 
Her and my Dad have been married for 30 years - always been very in love and supportive of each other. My sister and I both live in a different town about an hour away but come back 3 days a week. Basically, my parent's marriage seems - for the first time in my life - to be in trouble, understandably. My Dad is so unhappy and so so angry and grumpy. My Mum is understandably angry and fed up and they are both projecting their feelings onto each other. I understand entirely why they are angry and upset, but I just want to shake them both because it's making things so much worse. My Mum speaks to a therapist once a week but my Dad is an absolute nightmare guy who thinks therapy is BS. I've told him so many times that he needs some form of release, but he won't listen. The atmosphere in my house is just so so upsetting at the moment. Anyone been through a similar thing? Any tips on how I could help make things better?</t>
        </is>
      </c>
      <c r="D7350" t="n">
        <v>1</v>
      </c>
      <c r="E7350" t="n">
        <v>4</v>
      </c>
      <c r="F7350">
        <f>HYPERLINK("https://www.reddit.com/r/cancer/comments/eunsxr/parents_marriage_in_turmoil_help/")</f>
        <v/>
      </c>
      <c r="G7350" t="inlineStr">
        <is>
          <t>2020-01-27 05:20:55</t>
        </is>
      </c>
      <c r="H7350" t="inlineStr"/>
    </row>
    <row r="7351">
      <c r="A7351" t="inlineStr">
        <is>
          <t>euodb5</t>
        </is>
      </c>
      <c r="B7351" t="inlineStr">
        <is>
          <t>Anyone else on cancer treatment and still in work?</t>
        </is>
      </c>
      <c r="C7351" t="inlineStr">
        <is>
          <t>I’ve been out of work since November last year and I’m bored as hell.
I had 4 hrs of gamma knife surgery and my oncologist signed me off work. I’ll admit I enjoyed just being at home for the first few weeks and had a trip to Dubai...
But I kind of get restless and yes I have cancer etc but I feel like I’m getting lazy</t>
        </is>
      </c>
      <c r="D7351" t="n">
        <v>1</v>
      </c>
      <c r="E7351" t="n">
        <v>11</v>
      </c>
      <c r="F7351">
        <f>HYPERLINK("https://www.reddit.com/r/cancer/comments/euodb5/anyone_else_on_cancer_treatment_and_still_in_work/")</f>
        <v/>
      </c>
      <c r="G7351" t="inlineStr">
        <is>
          <t>2020-01-27 06:10:16</t>
        </is>
      </c>
      <c r="H7351" t="inlineStr"/>
    </row>
    <row r="7352">
      <c r="A7352" t="inlineStr">
        <is>
          <t>euom9r</t>
        </is>
      </c>
      <c r="B7352" t="inlineStr">
        <is>
          <t>Should i tell my sister that her days are numbered or should i just keep quiet and let her live her life normally and happily until she passes?</t>
        </is>
      </c>
      <c r="C7352" t="inlineStr">
        <is>
          <t>My sister has  leptomeningeal carcinomatosis a  much more terminal complication from her stage 4 stomach cancer.the doctor told me that she only has 4 months or less to live.I haven't told her yet and she doesn't know about this.Unfortunately there is no suitable treatment for her.Now the only option is palliative care.pls help me make the decision.
ALSO,FUCK YOU CANCER WHY DO YOU HAVE TO GODDAMN EXIST</t>
        </is>
      </c>
      <c r="D7352" t="n">
        <v>1</v>
      </c>
      <c r="E7352" t="n">
        <v>12</v>
      </c>
      <c r="F7352">
        <f>HYPERLINK("https://www.reddit.com/r/cancer/comments/euom9r/should_i_tell_my_sister_that_her_days_are/")</f>
        <v/>
      </c>
      <c r="G7352" t="inlineStr">
        <is>
          <t>2020-01-27 06:30:18</t>
        </is>
      </c>
      <c r="H7352" t="inlineStr"/>
    </row>
    <row r="7353">
      <c r="A7353" t="inlineStr">
        <is>
          <t>eup7lq</t>
        </is>
      </c>
      <c r="B7353" t="inlineStr">
        <is>
          <t>Father just diagnosed with stage 4 metastatic, inoperable lung cancer. Radiation not possible and has since he has crohn's, they said immunotherapy isn't an option. Only chemotherapy is being provided as a treatment. Any support or insight anyone can give would be great. (cross-posted)</t>
        </is>
      </c>
      <c r="C7353" t="inlineStr">
        <is>
          <t>My dad - 62 years old (non-smoker) super healthy guy, unfortunately, was just diagnosed with stage 4 lung cancer which has metastasized to his outer lung/chest fluid. They are saying it can spread anywhere in the body at this point, but at the moment have not found anything in his other organs. They said there are many spots/freckles all throughout both of his lungs, so they cannot operate to remove it or do radiation, since it is not localized. He has Crohn's so they said immunotherapy only has a 25% chance of success and it could cause more harm to him than good, so they are not offering it as an option. His only chance of beating this is with chemotherapy. Any insight anyone can give on this (who has maybe seen someone beat stage 4 with these complications) would be great. I'm a 28 y/o female, having a really hard time with this. My dad is the rock and foundation of our family and such an amazing man.</t>
        </is>
      </c>
      <c r="D7353" t="n">
        <v>1</v>
      </c>
      <c r="E7353" t="n">
        <v>24</v>
      </c>
      <c r="F7353">
        <f>HYPERLINK("https://www.reddit.com/r/cancer/comments/eup7lq/father_just_diagnosed_with_stage_4_metastatic/")</f>
        <v/>
      </c>
      <c r="G7353" t="inlineStr">
        <is>
          <t>2020-01-27 07:16:31</t>
        </is>
      </c>
      <c r="H7353" t="inlineStr"/>
    </row>
    <row r="7354">
      <c r="A7354" t="inlineStr">
        <is>
          <t>euqhl5</t>
        </is>
      </c>
      <c r="B7354" t="inlineStr">
        <is>
          <t>Just finished 6 months of chemo for Stage 4 HL, is the hematologist/oncologist not being honest?</t>
        </is>
      </c>
      <c r="C7354" t="inlineStr">
        <is>
          <t>In June/July of 2019 my wife was DXd with Stage 4 HL, with masses from her neck to her abdomen with PET scan results showing HL in her lungs as well. She has just finished with her 6 cycles (12 treatments) of A+AVD 2 weeks ago. She had a PET Scan in July for staging, and another PET Scan in October which did show improvement in the sizes of her affected lymph nodes.
She still notices swelling in her neck lymph nodes, so her hematologist ordered a CT scan in the beginning of January. He went over the results 2 Fridays ago implied that "things looked good" and that she can be done with chemotherapy, but ordered another PET scan for end of March. (he said they prefer to be 6 months apart). They're also leaving her port in and want it to be flushed every so often. 
Well today her CT scan results just showed up in her online chart account, and the results from the radiologist paint a completely different picture. Showing only marginal improvement or no changes in the masses within her chest and abdomen. She has also been getting fevers and having night sweats again.
I guess my question is it normal for oncologists/hematologists to be misleading and allow someone with signs of cancer to take a chemo break like this? Should they just do a PET scan to know for sure? Just curious if we should get a second opinion. She left a message with the nurse asking to explain and urging them to be honest. But I gotta know what to expect the doctors to say in these situations.</t>
        </is>
      </c>
      <c r="D7354" t="n">
        <v>1</v>
      </c>
      <c r="E7354" t="n">
        <v>5</v>
      </c>
      <c r="F7354">
        <f>HYPERLINK("https://www.reddit.com/r/cancer/comments/euqhl5/just_finished_6_months_of_chemo_for_stage_4_hl_is/")</f>
        <v/>
      </c>
      <c r="G7354" t="inlineStr">
        <is>
          <t>2020-01-27 08:49:03</t>
        </is>
      </c>
      <c r="H7354" t="inlineStr"/>
    </row>
    <row r="7355">
      <c r="A7355" t="inlineStr">
        <is>
          <t>euqju6</t>
        </is>
      </c>
      <c r="B7355" t="inlineStr">
        <is>
          <t>if a CT scan results is normal do i still need to do a pet-ct scan?</t>
        </is>
      </c>
      <c r="C7355" t="inlineStr">
        <is>
          <t>a pet-ct scan is supposed to scan how tumors metabolize, but if the regular CT scan shows no tumors, then is there still a reason to do the pet-scan?</t>
        </is>
      </c>
      <c r="D7355" t="n">
        <v>1</v>
      </c>
      <c r="E7355" t="n">
        <v>6</v>
      </c>
      <c r="F7355">
        <f>HYPERLINK("https://www.reddit.com/r/cancer/comments/euqju6/if_a_ct_scan_results_is_normal_do_i_still_need_to/")</f>
        <v/>
      </c>
      <c r="G7355" t="inlineStr">
        <is>
          <t>2020-01-27 08:53:09</t>
        </is>
      </c>
      <c r="H7355" t="inlineStr"/>
    </row>
    <row r="7356">
      <c r="A7356" t="inlineStr">
        <is>
          <t>euqy7l</t>
        </is>
      </c>
      <c r="B7356" t="inlineStr">
        <is>
          <t>Now that things have slowed down I'm having a harder time</t>
        </is>
      </c>
      <c r="C7356" t="inlineStr">
        <is>
          <t>First time really posting, I really need to get some things off my chest. My dad was diagnosed with stage 4 metastatic non-small cell lung cancer back in September/October. It was inoperable due to it's location on the lung (next to the heart) and it had already spread everywhere including the brain and bone.
He started treatment - chemo and immunotherapy. Went through gamma knife radiation. Was in and out of the hospital too much with chemo side effects so they skipped his last one and he's just doing the immunotherapy now. Now everything's quiet and I had thought that would be better but it's like all the appointments made me feel like we were fighting. With them only consisting of check ups, you start to realize there's nothing else to do. He's still functioning most days. But just looking at him, you know. He doesn't always look like my dad.
If in the beginning someone would have suggested not fighting this, we all would have told them to fuck off, my dad too. But after everything he's been through... I wonder if it was worth all the pain mentally and physically. I don't know how many good days it gave him. I'd give anything for one more day with my dad before the cancer diagnosis - where it wasn't constantly in the back of our minds. 
I honestly never understood how truly fucking awful cancer is - it takes over everything. And talking about death and timelines and 40 medications and holding your dad's hospital gown up while he pees into a container next to the bed, that's just the territory. My friends don't get it. I feel like I can't fall apart because it's not physically happening to me, and what if I can't pull it back together? Whenever I spend a night crying, it's like I'm on the edge of the cliff for the next several days.
I'm supposed to get married in the Spring, and I don't know if he's going to make it. For a while it's been like, well I gotta think positive but now it's come down to thinking realistically and moving the wedding up so he can still somewhat participate. 
Sorry for the length, I just needed to vent. If you're going through something similar, I am sending good vibes your way.</t>
        </is>
      </c>
      <c r="D7356" t="n">
        <v>1</v>
      </c>
      <c r="E7356" t="n">
        <v>17</v>
      </c>
      <c r="F7356">
        <f>HYPERLINK("https://www.reddit.com/r/cancer/comments/euqy7l/now_that_things_have_slowed_down_im_having_a/")</f>
        <v/>
      </c>
      <c r="G7356" t="inlineStr">
        <is>
          <t>2020-01-27 09:19:04</t>
        </is>
      </c>
      <c r="H7356" t="inlineStr"/>
    </row>
    <row r="7357">
      <c r="A7357" t="inlineStr">
        <is>
          <t>eusyl0</t>
        </is>
      </c>
      <c r="B7357" t="inlineStr">
        <is>
          <t>My fear of recurrence is keeping me from from applying to better jobs due to my current job having extremely generous benefits and because of my seniority.</t>
        </is>
      </c>
      <c r="C7357" t="inlineStr">
        <is>
          <t>After I typed this up I re-read it and it sounded very humble-braggy/first world problemy but I promise this was not my intention. This subreddit is the only place I feel comfortable talking about this besides my wife and best friend and it's something I just needed to get off my chest.
So I work for a very large *Swedish* company who are known for having extremely good benefits. When I was hospitalized for a week in 2018 post-op, the combined bill was a little under $90,000 but all I paid for it was $87. Over 1000 times less than the total bill. I am super thankful that I worked there when I did, but that was back when I was finishing up school and I didn't mind making $14/hr. 
It's been about a year and a half since I graduated college/had surgery and I'm making significantly more than I did when I had cancer, but I know I could have a better paying job outside the company. Because of my statistics degree I have several open doors to better paying jobs but I'm honestly afraid that as soon as I switch jobs, my cancer will come back and I'll have to take another leave of absence and because I'd be new in the role whatever health insurance plan I'd have would be nowhere near as good as the one I have now, and I'd be leaving my new position early on.
I was lucky that my cancer was caught almost immediately. I happened to get appendicitis in May of 2018 and by that July I had half my colon removed. Yeah I never had to go through chemo but I still feel the after-effects of having half of my colon removed every day. It's not something I can just forget ever happened. I can't eat the same foods. I constantly have to go to the bathroom. Every year I have to have a colonoscopy and endoscopy and drink that nasty ass fluid. If the cancer does come back, what if I have to have the rest of my colon removed and then live with a bag attached to my side. That's what I'm afraid of. I'm afraid of not being able to afford all that. I got extremely lucky that my job had such good insurance as it did because i know there are countless people that don't have that and the struggle and financial strain it puts on them and I don't want that for me and my wife. For fuck's sake I was 22 years old when i got cancer. I had just gotten married 2 months prior and graduated two weeks before. 
So now I'm in a pickle. Do I try to move up in the company I'm in but then all my hard work going through school will be basically for naught but I'll feel safe in case my cancer comes back, or do I try to use what I learned in school and try to move past that period of my life. I have an interview for a promotion in my company in half an hour and I can't stop thinking about what if this or what if that.
Thank you for reading if you got this far.</t>
        </is>
      </c>
      <c r="D7357" t="n">
        <v>1</v>
      </c>
      <c r="E7357" t="n">
        <v>37</v>
      </c>
      <c r="F7357">
        <f>HYPERLINK("https://www.reddit.com/r/cancer/comments/eusyl0/my_fear_of_recurrence_is_keeping_me_from_from/")</f>
        <v/>
      </c>
      <c r="G7357" t="inlineStr">
        <is>
          <t>2020-01-27 11:29:57</t>
        </is>
      </c>
      <c r="H7357" t="inlineStr"/>
    </row>
    <row r="7358">
      <c r="A7358" t="inlineStr">
        <is>
          <t>eutl8l</t>
        </is>
      </c>
      <c r="B7358" t="inlineStr">
        <is>
          <t>Mom just got diagnosed with breast cancer, seems like late stage 1 / early stage 2. Anyone with experience and how should I approach?</t>
        </is>
      </c>
      <c r="C7358" t="inlineStr">
        <is>
          <t>Biospy shows breast cancer is 2.1cm, so right at the 2cm cut off for Stage 2, also a smaller 0.8cm tumor adjacent to it. No evidence of axillary lymphadenopathy (can someone let me know if this means cancer hasn't reached lymph node?). One year ago the tumor was at 1.3cm, which also stayed like that for the year prior. Mom just turned 60 years old.
We're seeing the breast cancer / specialist next week, as this was just getting biopsy results from the family doctor.
I'm distraught... I'm a 32 y/o, still living at home. Have been looking forward to starting my new life and moving out of my home town after finishing school, but now this... feeling very sad.</t>
        </is>
      </c>
      <c r="D7358" t="n">
        <v>1</v>
      </c>
      <c r="E7358" t="n">
        <v>15</v>
      </c>
      <c r="F7358">
        <f>HYPERLINK("https://www.reddit.com/r/cancer/comments/eutl8l/mom_just_got_diagnosed_with_breast_cancer_seems/")</f>
        <v/>
      </c>
      <c r="G7358" t="inlineStr">
        <is>
          <t>2020-01-27 12:12:06</t>
        </is>
      </c>
      <c r="H7358" t="inlineStr"/>
    </row>
    <row r="7359">
      <c r="A7359" t="inlineStr">
        <is>
          <t>eutlds</t>
        </is>
      </c>
      <c r="B7359" t="inlineStr">
        <is>
          <t>Can I speed things up with insurance and doctor? (Survivor and fear of cancer back)</t>
        </is>
      </c>
      <c r="C7359" t="inlineStr">
        <is>
          <t>Hi there. I am a Ewing's Sarcoma survivor; 2004 in right fibula. Chemo, radiation, surgery to remove top half of fibula, more chemo and radiation.
Things have been fine and I go back yearly for my annual checkup with my oncologist. However, a few weeks ago I began experiencing pain in my right fibula above the ankle. I thought it was a sprain and have been taking it easy. It hasn't gotten better, so I went to the walk in clinic to get an official sprain diagnosis. They say it is not a sprain and not a break, but might be a hairline/stress fracture.
I go to my regular physician to get a referral to an orthopedic doctor. I see the doctor today. He says it would be odd to have a stress fracture there because I have no upper fibula for it to basically stress against, but he didn't rule it out. He also said that it could be a tendon issue and that he did not see any type of tumor on the x ray (however, xrays did not pick up my initial tumor, either). He says he will order an MRI and that I will see him again in about a week.
However, my insurance will not cover an MRI without ten business days to process the claim. So, that means waiting 2 weeks for an MRI. I called my insurance company and they only way they will do it sooner is if the doctor makes it a stat request. I go back  in the office and ask if he will do so. I'm told that they won't because it's not considered stat.
Of course, everyone on this sub can understand the anxiety I have in not wanting to wait 2 weeks for an MRI when I have a history of cancer in that same bone.
I have called my oncologist and am awaiting a call back to tell him what is going on. I figure if he is concerned, he can order a stat MRI and I can get in more quickly.
Is there anything I can do to speed up the process? Am I being ridiculous for reaching out to my oncologist and going over the head of the orthopedic doctor to get in faster? Do I need to just chill and wait the 2 weeks before getting in? Is there anything I can do to relieve the almost crippling anxiety this fear of my cancer returning has given me?
Anyway, sorry for the wall of text, but this has scared me more than I would like to admit.</t>
        </is>
      </c>
      <c r="D7359" t="n">
        <v>1</v>
      </c>
      <c r="E7359" t="n">
        <v>3</v>
      </c>
      <c r="F7359">
        <f>HYPERLINK("https://www.reddit.com/r/cancer/comments/eutlds/can_i_speed_things_up_with_insurance_and_doctor/")</f>
        <v/>
      </c>
      <c r="G7359" t="inlineStr">
        <is>
          <t>2020-01-27 12:12:24</t>
        </is>
      </c>
      <c r="H7359" t="inlineStr"/>
    </row>
    <row r="7360">
      <c r="A7360" t="inlineStr">
        <is>
          <t>euts9f</t>
        </is>
      </c>
      <c r="B7360" t="inlineStr">
        <is>
          <t>Pregnant after chemo</t>
        </is>
      </c>
      <c r="C7360" t="inlineStr">
        <is>
          <t>Pregnancy after chemo.
I finished BEP X3 in august. I had testicular cancer. 
My fiancé and I just found out we’re pregnant.
I’ve read you should wait a year, but there also haven’t been anything medically confirmed that my treatment could cause defects... 
Anyone have any input, personal stories, etc? 
Also, I know my best thing is speaking with a doctor but it’s gonna be a bit before I can get in to see my medical team to discuss this. 
We’re really excited, and scared.</t>
        </is>
      </c>
      <c r="D7360" t="n">
        <v>1</v>
      </c>
      <c r="E7360" t="n">
        <v>5</v>
      </c>
      <c r="F7360">
        <f>HYPERLINK("https://www.reddit.com/r/cancer/comments/euts9f/pregnant_after_chemo/")</f>
        <v/>
      </c>
      <c r="G7360" t="inlineStr">
        <is>
          <t>2020-01-27 12:24:24</t>
        </is>
      </c>
      <c r="H7360" t="inlineStr"/>
    </row>
    <row r="7361">
      <c r="A7361" t="inlineStr">
        <is>
          <t>euu2xb</t>
        </is>
      </c>
      <c r="B7361" t="inlineStr">
        <is>
          <t>WLE &amp;amp; SNB results</t>
        </is>
      </c>
      <c r="C7361" t="inlineStr">
        <is>
          <t>Just got the results from the WLE and SNB - No residual cellular blue nevus or melanoma is identified.  
Surgery is scheduled for Friday when they will close up the incision on my scalp. It's pretty large, and you can see my skull, so I'm really looking forward to having it closed and not having to look after it anymore. Obviously very excited about the biopsy results as well.  
Given that it was melanoma ex blue nevus, recurrence rate is high and I will need to be checked regularly for the next few years. As of 2018 there were only 150 documented cases in literature. Not sure where I fit in, but they're doing a case study on me as well.  
Extremely elated obviously, but also cautiously optimistic. All this disease needs is one cell to ruin lives, but for now I can breathe a little easier.</t>
        </is>
      </c>
      <c r="D7361" t="n">
        <v>1</v>
      </c>
      <c r="E7361" t="n">
        <v>0</v>
      </c>
      <c r="F7361">
        <f>HYPERLINK("https://www.reddit.com/r/cancer/comments/euu2xb/wle_snb_results/")</f>
        <v/>
      </c>
      <c r="G7361" t="inlineStr">
        <is>
          <t>2020-01-27 12:43:48</t>
        </is>
      </c>
      <c r="H7361" t="inlineStr"/>
    </row>
    <row r="7362">
      <c r="A7362" t="inlineStr">
        <is>
          <t>euui7p</t>
        </is>
      </c>
      <c r="B7362" t="inlineStr">
        <is>
          <t>My mom has cancer</t>
        </is>
      </c>
      <c r="C7362" t="inlineStr">
        <is>
          <t>And I’m fucking sad. It’s cancer in her womb. I thought they would just remove it, but they told her it’s risky since it can spread if they remove it? It’s a cancerous growth. Sorry, English is not my first language. They didn’t tell her yet about stage, so I don’t know how bad it is yet. But it fucking sucks, and I’m sad and scared</t>
        </is>
      </c>
      <c r="D7362" t="n">
        <v>1</v>
      </c>
      <c r="E7362" t="n">
        <v>3</v>
      </c>
      <c r="F7362">
        <f>HYPERLINK("https://www.reddit.com/r/cancer/comments/euui7p/my_mom_has_cancer/")</f>
        <v/>
      </c>
      <c r="G7362" t="inlineStr">
        <is>
          <t>2020-01-27 13:12:08</t>
        </is>
      </c>
      <c r="H7362" t="inlineStr"/>
    </row>
    <row r="7363">
      <c r="A7363" t="inlineStr">
        <is>
          <t>euv87n</t>
        </is>
      </c>
      <c r="B7363" t="inlineStr">
        <is>
          <t>Has anyone skipped a biopsy straight to surgery.</t>
        </is>
      </c>
      <c r="C7363" t="inlineStr">
        <is>
          <t>Hi all,
I had a followup appt. with an ENT specialist today and it appears I have a bone lesion beside my nose. It grew a little bit since my last year's CT  and my ENT want's to have it removed but as its in my maxillary sinus bone, he just wants to skip biopsy and just remove it. Two ENTs have looked at my scan and are not able to determine what it is. They say it looks benign but I think maybe he is trying to not freak me out. Any one have a similar story?</t>
        </is>
      </c>
      <c r="D7363" t="n">
        <v>1</v>
      </c>
      <c r="E7363" t="n">
        <v>10</v>
      </c>
      <c r="F7363">
        <f>HYPERLINK("https://www.reddit.com/r/cancer/comments/euv87n/has_anyone_skipped_a_biopsy_straight_to_surgery/")</f>
        <v/>
      </c>
      <c r="G7363" t="inlineStr">
        <is>
          <t>2020-01-27 13:58:45</t>
        </is>
      </c>
      <c r="H7363" t="inlineStr"/>
    </row>
    <row r="7364">
      <c r="A7364" t="inlineStr">
        <is>
          <t>euxhon</t>
        </is>
      </c>
      <c r="B7364" t="inlineStr">
        <is>
          <t>Life expectancy for stage 3c ovarian cancer with no treatment?</t>
        </is>
      </c>
      <c r="C7364" t="inlineStr">
        <is>
          <t>So my mom tried one round of chemo and decided she'd prefer to enjoy the time she has left. At 84 and stage 3c ovarian cancer, with the decision not to have any treatment, does anyone know how much time to expect? Approximately?</t>
        </is>
      </c>
      <c r="D7364" t="n">
        <v>1</v>
      </c>
      <c r="E7364" t="n">
        <v>10</v>
      </c>
      <c r="F7364">
        <f>HYPERLINK("https://www.reddit.com/r/cancer/comments/euxhon/life_expectancy_for_stage_3c_ovarian_cancer_with/")</f>
        <v/>
      </c>
      <c r="G7364" t="inlineStr">
        <is>
          <t>2020-01-27 16:31:02</t>
        </is>
      </c>
      <c r="H7364" t="inlineStr"/>
    </row>
    <row r="7365">
      <c r="A7365" t="inlineStr">
        <is>
          <t>euxkrz</t>
        </is>
      </c>
      <c r="B7365" t="inlineStr">
        <is>
          <t>How can I be a better support without letting my own anxieties interfere?</t>
        </is>
      </c>
      <c r="C7365" t="inlineStr">
        <is>
          <t>I started seeing someone a few months back, knowing that his mom was diagnosed with cancer. Recently she was given 6-12 months. I want to be there for him during this heart wrenching time but I am at a loss. I feel like I am not doing a fantastic job and to top it off I have added the extra pressure of relationship insecurities. I feel as if instead of being a support I have instead asked for things he can’t even possibly wrap his head around at this time; understandably so. My uncertainty with where I stand has directly affected my ability to provide support. 
Every time I check in with him, ask what he needs etc. the response is “I don’t know”.  I have suggested he try therapy/counseling and while he has agreed it would be a good idea, he has made no attempt to seek it. I sit and listen, reach out and check in frequently. At this time I feel as if I am just inserting myself into his life without him asking me too. I feel as if right now if I walked away, it would be better for him as it would be once less thing to worry about. 
I care very deeply about him, and while I believe he feels the same based on interactions when we are together, I crave verbal confirmation. Which he cannot give me now or anytime soon I imagine. The anxiety of not wanting to overburden him with my feelings but needing some type of reassurance is crippling me and my ability to be a good support.  I don’t want to be afraid of my own feelings and how they effect him, I just want to be there and love him but I do not know how without seeking for validation. 
Looking for suggestions, insights, anything really.</t>
        </is>
      </c>
      <c r="D7365" t="n">
        <v>1</v>
      </c>
      <c r="E7365" t="n">
        <v>4</v>
      </c>
      <c r="F7365">
        <f>HYPERLINK("https://www.reddit.com/r/cancer/comments/euxkrz/how_can_i_be_a_better_support_without_letting_my/")</f>
        <v/>
      </c>
      <c r="G7365" t="inlineStr">
        <is>
          <t>2020-01-27 16:36:48</t>
        </is>
      </c>
      <c r="H7365" t="inlineStr"/>
    </row>
    <row r="7366">
      <c r="A7366" t="inlineStr">
        <is>
          <t>euymah</t>
        </is>
      </c>
      <c r="B7366" t="inlineStr">
        <is>
          <t>I am so depressed</t>
        </is>
      </c>
      <c r="C7366" t="inlineStr">
        <is>
          <t>Watching someone I love disintegrate slowly to such an evil disease has caused me to fall into a deep depression. Does anyone else feel like this? I feel paralyzed. I graduated in December and nothing feels pleasant to me anymore. I am so, so sad.</t>
        </is>
      </c>
      <c r="D7366" t="n">
        <v>1</v>
      </c>
      <c r="E7366" t="n">
        <v>16</v>
      </c>
      <c r="F7366">
        <f>HYPERLINK("https://www.reddit.com/r/cancer/comments/euymah/i_am_so_depressed/")</f>
        <v/>
      </c>
      <c r="G7366" t="inlineStr">
        <is>
          <t>2020-01-27 17:55:26</t>
        </is>
      </c>
      <c r="H7366" t="inlineStr"/>
    </row>
    <row r="7367">
      <c r="A7367" t="inlineStr">
        <is>
          <t>euymie</t>
        </is>
      </c>
      <c r="B7367" t="inlineStr">
        <is>
          <t>Help. Wife is against all western medicine</t>
        </is>
      </c>
      <c r="C7367" t="inlineStr">
        <is>
          <t>I can give you more info but essentially my wife has a biopsy and has an aggressive cancer in the milk duct.  She is refusing a blood test,  X-ray and any further visits to doctor.   
Instead she has been following “Dr Morse ND” and “Medical Medium”.  She is on a grape fast, starting enema and others.  Dr Morse advises against all scans and states food is the way to cure cancer.  
What should I do? I can not force treatment on my wife, neither can her doctors.  These holistic people are starting to bother me deeply.  Non of them tests results of their protocols via blood tests, they just hope for vulnerable people to join their groups, which are uplifting mentally but in my wife’s case her choices may lead to terrible outcomes.</t>
        </is>
      </c>
      <c r="D7367" t="n">
        <v>1</v>
      </c>
      <c r="E7367" t="n">
        <v>92</v>
      </c>
      <c r="F7367">
        <f>HYPERLINK("https://www.reddit.com/r/cancer/comments/euymie/help_wife_is_against_all_western_medicine/")</f>
        <v/>
      </c>
      <c r="G7367" t="inlineStr">
        <is>
          <t>2020-01-27 17:55:55</t>
        </is>
      </c>
      <c r="H7367" t="inlineStr"/>
    </row>
    <row r="7368">
      <c r="A7368" t="inlineStr">
        <is>
          <t>euyoyw</t>
        </is>
      </c>
      <c r="B7368" t="inlineStr">
        <is>
          <t>My auntie is going through treatment and is feeling really bad about her hair, can anyone help me figure out how to help her?</t>
        </is>
      </c>
      <c r="C7368" t="inlineStr">
        <is>
          <t>So just to start right out with, I'm not sure if this is the right spot to post this and im so sorry and dont want to be any kind of disrespectful if that's the case, I posted on a subreddit for haircare as well but I just thought people here might be more knowledgeable about the specifics of it.
So just a quick summary, she found out she had stage 4 kidney cancer in the beginning of the summer, they removed the kidney and an adrenal gland and since then shes been in treatment. It's not chemo though, shes doing immunotherapy. It’s called Keytruda, it's an iv medicine she gets every 3 weeks for 30 mins for 17 sittings (if more info about her diagnosis etc. Is needed let me know)
Shes always had very very thick really dark chocolate brown hair it's been down to her butt for as long as I can remember, shes in her mid 40s now so she has alot of gray and has been dying it for years. Usually heavy foils, shell go lighter through the spring and early summer and then darker towards the end of summer into winter.
The problem is, well a couple of things, for one it's making her eyebrows fall out and she's really self conscious about that but other than drawing them on or getting the stick ons I'm not sure what to do for that one.
But to her actual hair, the treatments are making it lose pigment, not just as its growing in but just throughout her hair in general, and in some spots just random patches will lose pigment, it just wont hold color and fades out shes saying. It's also having a strange effect on the parts of her hair that have been dyed alot she says they feel melted and like paste (like when its over processed). So shes cut alot off already but it's still about halfway down her back. Shes just thinking more about its color because it's not falling out although she says it's not growing in like it used to. She was thinking of doing that trendy dyed gray look that's hot right now and i think her thought is that once its that color the pigment loss wont be so noticeable. I'm worried that doing it may make her hair break or melt though.
honestly I'm not even sure she likes the look to begin with but is just trying to be practical. I suggested loading up a mini bottle of conditioner with a good few blue or purple koolaid packs and putting it on after a hot shower once a week and letting it sit w a towel wrapped around it once a week or so, it's not chemical so it wont hurt and it will stain her roots (her grays have all turned white now) andthe areas that are fading, in theory it will more or less blend with the dark brown she has left and darken the area up. Plus since they're not natural colors it could, hopefully, look cute and fun.
I know it's not this big huge thing but shes such a strong confident person. She hates pity and I know it really hurts her to have people look at her like shes sick. I just want to find a way to make her feel confident and like her regular self.
I'm not sure if this is the right place to even be posting but I wasnt sure where else, i really just want to help her feel good about herself. I love her so so much, shes been like a mom to me my entire life and even though shes been joking and acting like it's no big deal through this whole thing j know shes been having such a hard time. Her hair has always been her biggest thing, her thing she loved most about her looks. I'm out of my realm when it comes to something this complicated, my mothers a hairstylist and I apprenticed with her in highschool and I've always done my own/friends/bfs hair but I only have the baisics.
If anyone has experience with this or has any suggestions i would appreciate it so much.</t>
        </is>
      </c>
      <c r="D7368" t="n">
        <v>1</v>
      </c>
      <c r="E7368" t="n">
        <v>1</v>
      </c>
      <c r="F7368">
        <f>HYPERLINK("https://www.reddit.com/r/cancer/comments/euyoyw/my_auntie_is_going_through_treatment_and_is/")</f>
        <v/>
      </c>
      <c r="G7368" t="inlineStr">
        <is>
          <t>2020-01-27 18:01:14</t>
        </is>
      </c>
      <c r="H7368" t="inlineStr"/>
    </row>
    <row r="7369">
      <c r="A7369" t="inlineStr">
        <is>
          <t>euyr5b</t>
        </is>
      </c>
      <c r="B7369" t="inlineStr">
        <is>
          <t>Weepiness?</t>
        </is>
      </c>
      <c r="C7369" t="inlineStr">
        <is>
          <t>My father is a stage 4 cancer patient on several medications, two of them being opiates. Lately he’s been having a moment or two of weepiness a day. Does anyone else experience this?</t>
        </is>
      </c>
      <c r="D7369" t="n">
        <v>1</v>
      </c>
      <c r="E7369" t="n">
        <v>6</v>
      </c>
      <c r="F7369">
        <f>HYPERLINK("https://www.reddit.com/r/cancer/comments/euyr5b/weepiness/")</f>
        <v/>
      </c>
      <c r="G7369" t="inlineStr">
        <is>
          <t>2020-01-27 18:05:54</t>
        </is>
      </c>
      <c r="H7369" t="inlineStr"/>
    </row>
    <row r="7370">
      <c r="A7370" t="inlineStr">
        <is>
          <t>euywdb</t>
        </is>
      </c>
      <c r="B7370" t="inlineStr">
        <is>
          <t>traditional medicine</t>
        </is>
      </c>
      <c r="C7370" t="inlineStr">
        <is>
          <t>Hi guys, is there anyone who knows what the best helps to recover after chemotherapy and radiology, my dad is experiencing body aches , weakness and the mouth get dry fast .</t>
        </is>
      </c>
      <c r="D7370" t="n">
        <v>1</v>
      </c>
      <c r="E7370" t="n">
        <v>4</v>
      </c>
      <c r="F7370">
        <f>HYPERLINK("https://www.reddit.com/r/cancer/comments/euywdb/traditional_medicine/")</f>
        <v/>
      </c>
      <c r="G7370" t="inlineStr">
        <is>
          <t>2020-01-27 18:17:15</t>
        </is>
      </c>
      <c r="H7370" t="inlineStr"/>
    </row>
    <row r="7371">
      <c r="A7371" t="inlineStr">
        <is>
          <t>euz9hm</t>
        </is>
      </c>
      <c r="B7371" t="inlineStr">
        <is>
          <t>Camp Kesem FIU</t>
        </is>
      </c>
      <c r="C7371" t="inlineStr">
        <is>
          <t>Please take the time to read this in its entirety.
Florida International University has been chosen as a finalist for the Camp Kesem expansion campaign. Camp Kesem is a nonprofit organization that helps children whose parents have/had cancer. The kids of our community will be sent to an all-inclusive **FREE** summer camp. **Kesem is a symbol of hope, an escape.** It signifies how having even one person who believes in you makes all the difference. This will provide an everlasting bridge between all types of people and create unforgettable memories.  
There are hundreds of children in our community that wake up with the fear that they might lose a parent or loved one. There are hundreds of children that feel alone, helpless, and pain. We are here to remind them that they will never be alone. 
To bring this home, we need to have the majority of the votes. **Voting will take place tomorrow, January 27th through January 31st on** [**vote.campkesem.org**](http://vote.campkesem.org/). Keep in mind that you can vote through various emails, as long as you can verify them. We also get more votes if shared on Facebook and Twitter. 
Below I have attached a link to a WhatsApp group chat, a link to a google sheets for tabling events, and various flyers. Please feel free to share this email and links with anyone! We need all hands on deck and all the votes possible.
I know it is easy to get caught up in life. I know we all have a lot on our plates. As Kobe Bryant once said, 
&amp;gt;"You have to keep on moving. You have to keep going. Put one foot in front of the other, smile and just keep on rolling."
Take a moment and realize that this is something way bigger than us. Life is the most precious gift. These kids need us. Let's give our kids the best week of their lives, together. Let's bring Camp Kesem home.    
**Voting Link:**[http://vote.campkesem.org/](http://vote.campkesem.org/)
&amp;amp;#x200B;
**PLEASE VOTE FOR FLORIDA INTERNATIONAL UNIVERSITY AND HELP OUR KIDS!**</t>
        </is>
      </c>
      <c r="D7371" t="n">
        <v>1</v>
      </c>
      <c r="E7371" t="n">
        <v>0</v>
      </c>
      <c r="F7371">
        <f>HYPERLINK("https://www.reddit.com/r/cancer/comments/euz9hm/camp_kesem_fiu/")</f>
        <v/>
      </c>
      <c r="G7371" t="inlineStr">
        <is>
          <t>2020-01-27 18:45:10</t>
        </is>
      </c>
      <c r="H7371" t="inlineStr"/>
    </row>
    <row r="7372">
      <c r="A7372" t="inlineStr">
        <is>
          <t>euze2e</t>
        </is>
      </c>
      <c r="B7372" t="inlineStr">
        <is>
          <t>Is it wrong to feel relieved?</t>
        </is>
      </c>
      <c r="C7372" t="inlineStr">
        <is>
          <t>For some background info, my dad was diagnosed with pancreatic cancer in September 2018. Since then he's went through way more than anyone should have to go through and he passed tonight. He was everything a son, a daughter, a wife, a brother, a friend, or anyone could have ever asked for. Of course I wish this never would have happened and he could've seen everything I do in life. I wish he could have seen me graduate from college. I wish he could be there some day when I get married. I don't want to have to tell my kids about how great their grandfather was. If this would have happened out of the blue I would have been inconsolable but after all that he's been through I guess the feeling I get from all of this is relief. I'm sad that we can't do all the things we loved doing together before he was diagnosed but I know he put up a much longer fight than I ever could have. I'm not religious by any means but I'm just relieved that he finally let go of his pain and moved on to whatever is after death. I almost feel guilty for feeling this because my whole family is in tears when I'm just relieved that he doesn't have to fight anymore.</t>
        </is>
      </c>
      <c r="D7372" t="n">
        <v>1</v>
      </c>
      <c r="E7372" t="n">
        <v>7</v>
      </c>
      <c r="F7372">
        <f>HYPERLINK("https://www.reddit.com/r/cancer/comments/euze2e/is_it_wrong_to_feel_relieved/")</f>
        <v/>
      </c>
      <c r="G7372" t="inlineStr">
        <is>
          <t>2020-01-27 18:54:55</t>
        </is>
      </c>
      <c r="H7372" t="inlineStr"/>
    </row>
    <row r="7373">
      <c r="A7373" t="inlineStr">
        <is>
          <t>euzw49</t>
        </is>
      </c>
      <c r="B7373" t="inlineStr">
        <is>
          <t>Looking for way to help my brother cope with my SIL agressive cancer (2nd go in 10)</t>
        </is>
      </c>
      <c r="C7373" t="inlineStr">
        <is>
          <t>My SIL had breast cancer 7 years ago but caught it early and was able to fully recover. They have two kids. Back in July she was stage 4 bone cancer, they went to a facility in German and surprisingly after a month in a half went into remission. She was looking great through Xmas and gaining weight back and back to herself.
Today we just found out she has agressive liver cancer. My brother and I just lost our grandmother two weeks ago and I know it doesn't seem big but he just lost his 15 old cat that was there through some major changes. 
My SIL is very private and doesn't want anyone to know but my brother let me know. All I want to do is support him and help with the kids or whatever would help but the last thing I want to do is not respect her wishes. 
I'd love to get some ideas on how I can help him mentally other then just offering to talk or vent. Any help is appreciated, I'm not good with this stuff.</t>
        </is>
      </c>
      <c r="D7373" t="n">
        <v>1</v>
      </c>
      <c r="E7373" t="n">
        <v>5</v>
      </c>
      <c r="F7373">
        <f>HYPERLINK("https://www.reddit.com/r/cancer/comments/euzw49/looking_for_way_to_help_my_brother_cope_with_my/")</f>
        <v/>
      </c>
      <c r="G7373" t="inlineStr">
        <is>
          <t>2020-01-27 19:34:10</t>
        </is>
      </c>
      <c r="H7373" t="inlineStr"/>
    </row>
    <row r="7374">
      <c r="A7374" t="inlineStr">
        <is>
          <t>ev1j41</t>
        </is>
      </c>
      <c r="B7374" t="inlineStr">
        <is>
          <t>Starting with a late period.</t>
        </is>
      </c>
      <c r="C7374" t="inlineStr">
        <is>
          <t>I don’t entirely know what to do. So I’m female bodied and I’m not taking any hormones or medications to clarify any misconceptions. 
So my periods stopped around 10 months ago, over that time the normal menstrual cramps would occur like usual but no blood and increasing in the pain. I brought up my concerns with my pediatrician at the three month mark, she told me that I should give it a few more months in case I was just having a few skipped periods. I waited and here we are at ten months. 
I’ve reached out to an obgyn and after describing my symptoms she listed off a lot of things that could be wrong going through multiple cancers (uterus, cervical, and ovarian) and they really startled me.
If it is the case I’d be the first in my family to have anything like this, after my bloodwork got done I was tested high for a hormone called prolactin. Are there any good places I can find good sources on this hormone?
And general advice for someone nervous about the procedure and results, of an MRI.</t>
        </is>
      </c>
      <c r="D7374" t="n">
        <v>1</v>
      </c>
      <c r="E7374" t="n">
        <v>0</v>
      </c>
      <c r="F7374">
        <f>HYPERLINK("https://www.reddit.com/r/cancer/comments/ev1j41/starting_with_a_late_period/")</f>
        <v/>
      </c>
      <c r="G7374" t="inlineStr">
        <is>
          <t>2020-01-27 22:02:08</t>
        </is>
      </c>
      <c r="H7374" t="inlineStr"/>
    </row>
    <row r="7375">
      <c r="A7375" t="inlineStr">
        <is>
          <t>ev3v76</t>
        </is>
      </c>
      <c r="B7375" t="inlineStr">
        <is>
          <t>lump on the back of my head</t>
        </is>
      </c>
      <c r="C7375" t="inlineStr">
        <is>
          <t>im terrified, i dont have insurance until febuary, and mt dad doesnt rhink its serious. it really hurts, it feels like a headache specifically only in that area and its really really freaking me out. it hurts kinda when i touch it and it has shrunk a bit but still. ive been trying to post to askdocs or medical_advice but ive never gotten a reply and im desperate
im sorry if this isnt the right sub for this but im so scared i dont know what to do. im about to turn 15 ina few days and i just dont know what to do. should i push my dad to take me to urgent care or a doctor soon?? im just really scared, im sorry</t>
        </is>
      </c>
      <c r="D7375" t="n">
        <v>1</v>
      </c>
      <c r="E7375" t="n">
        <v>3</v>
      </c>
      <c r="F7375">
        <f>HYPERLINK("https://www.reddit.com/r/cancer/comments/ev3v76/lump_on_the_back_of_my_head/")</f>
        <v/>
      </c>
      <c r="G7375" t="inlineStr">
        <is>
          <t>2020-01-28 02:27:27</t>
        </is>
      </c>
      <c r="H7375" t="inlineStr"/>
    </row>
    <row r="7376">
      <c r="A7376" t="inlineStr">
        <is>
          <t>ev4885</t>
        </is>
      </c>
      <c r="B7376" t="inlineStr">
        <is>
          <t>Fuck you cancer</t>
        </is>
      </c>
      <c r="C7376" t="inlineStr">
        <is>
          <t>I think the worst part is not being able to help, you know? All I can do is sit here and act brave while my mom is sobbing in pain and fear. 
This fucking sucks....</t>
        </is>
      </c>
      <c r="D7376" t="n">
        <v>1</v>
      </c>
      <c r="E7376" t="n">
        <v>16</v>
      </c>
      <c r="F7376">
        <f>HYPERLINK("https://www.reddit.com/r/cancer/comments/ev4885/fuck_you_cancer/")</f>
        <v/>
      </c>
      <c r="G7376" t="inlineStr">
        <is>
          <t>2020-01-28 03:10:33</t>
        </is>
      </c>
      <c r="H7376" t="inlineStr"/>
    </row>
    <row r="7377">
      <c r="A7377" t="inlineStr">
        <is>
          <t>ev4h01</t>
        </is>
      </c>
      <c r="B7377" t="inlineStr">
        <is>
          <t>Lymphoma experiences please?</t>
        </is>
      </c>
      <c r="C7377" t="inlineStr">
        <is>
          <t>I am 21 years old and I’m afraid I may have lymphoma. My tonsils and lymph nodes in my throat have been swollen for 5 months. They ache and swell when I drink even small amounts of alcohol and sometimes I feel disoriented or my vision is blurred during these episodes. I have been to the doctor several times since my symptoms first appeared. I do not have a thermometer at home, but each time I have been I have had a low to mid grade fever (100.1 about a week ago). I have tested negative for mono and strep 3 times. My bloodwork for variant lymphocytes has been marked as elevated for about 2 years now. I have experienced extreme fatigue, sometimes feeling the need to sleep for 16-20 hours a day. I’ve also been very short of breath and have had strange cramps in my abdomen. My vital signs were not great when I went to the doctor. Both my blood pressure and pulse were very high (142/96 and 150). The nurse was really visibly concerned. I told her I was worried it may be lymphoma and she told me if anyone would be able to help me it would be the doctor that I was seeing. The doctor sent me for lots of bloodwork and referred me to an ENT. Has anyone had a similar experience to this? Is a referral to an ENT a sign that the doctor thinks it might be lymphoma? What else could it be at this point? Thanks for any and all answers. They are greatly appreciated.</t>
        </is>
      </c>
      <c r="D7377" t="n">
        <v>1</v>
      </c>
      <c r="E7377" t="n">
        <v>1</v>
      </c>
      <c r="F7377">
        <f>HYPERLINK("https://www.reddit.com/r/cancer/comments/ev4h01/lymphoma_experiences_please/")</f>
        <v/>
      </c>
      <c r="G7377" t="inlineStr">
        <is>
          <t>2020-01-28 03:37:45</t>
        </is>
      </c>
      <c r="H7377" t="inlineStr"/>
    </row>
    <row r="7378">
      <c r="A7378" t="inlineStr">
        <is>
          <t>ev6e8d</t>
        </is>
      </c>
      <c r="B7378" t="inlineStr">
        <is>
          <t>Some perspective? Am I the asshole here [UPDATE]</t>
        </is>
      </c>
      <c r="C7378" t="inlineStr">
        <is>
          <t>Yeah. I was the asshole. I still am the asshole sometimes. 
I realized keto isn't my hill to die on. I was scared and grasping at straws and I realize how stupid I was. Only experience can teach you some things. And watching my brother go thru his bad days is terrifying and sucky and I can only imagine how awful it is for him. 
He's started chemo and radiation. 
The house is very stressful to say the least. But I cannot complain- any inconvience I have to bear pales in comparison to my brothers discomforts right now. 
I can escape. I can go to my boyfriend's home to get away for awhile. My brother cant. 
I wish I could do more to help him. 
He's on a lot of steroids and it makes him very angry. I don't like being yelled at for ordinary stuff I always do like watching TV. He gets frustrated real easy. So normally he'll start to yell so then I will fire back some creatively colorful and crass profanity that upsets my mom and makes him laugh. 
I like to see him laugh. On one of his good days we went out to the mall and played video games. He won some.tickers and bought candy he liked from the prize shop. I just have to remember good days are ahead to.</t>
        </is>
      </c>
      <c r="D7378" t="n">
        <v>1</v>
      </c>
      <c r="E7378" t="n">
        <v>4</v>
      </c>
      <c r="F7378">
        <f>HYPERLINK("https://www.reddit.com/r/cancer/comments/ev6e8d/some_perspective_am_i_the_asshole_here_update/")</f>
        <v/>
      </c>
      <c r="G7378" t="inlineStr">
        <is>
          <t>2020-01-28 06:39:01</t>
        </is>
      </c>
      <c r="H7378" t="inlineStr"/>
    </row>
    <row r="7379">
      <c r="A7379" t="inlineStr">
        <is>
          <t>ev6edq</t>
        </is>
      </c>
      <c r="B7379" t="inlineStr">
        <is>
          <t>Child Life insurance options after diagnosis</t>
        </is>
      </c>
      <c r="C7379" t="inlineStr">
        <is>
          <t>My daughter has a diffused midline glioma on her spinal cord.  She is currently getting radiation at St. Jude but I want to purchase life insurance for her.  Does anyone know a company that will still insure a child, either as a rider or standalone policy, after a cancer diagnosis? All the websites just seem to say call us and we will talk but I don't want to waste a bunch of time on hold with a salesman just to be told they don't offer coverage.</t>
        </is>
      </c>
      <c r="D7379" t="n">
        <v>1</v>
      </c>
      <c r="E7379" t="n">
        <v>5</v>
      </c>
      <c r="F7379">
        <f>HYPERLINK("https://www.reddit.com/r/cancer/comments/ev6edq/child_life_insurance_options_after_diagnosis/")</f>
        <v/>
      </c>
      <c r="G7379" t="inlineStr">
        <is>
          <t>2020-01-28 06:39:22</t>
        </is>
      </c>
      <c r="H7379" t="inlineStr"/>
    </row>
    <row r="7380">
      <c r="A7380" t="inlineStr">
        <is>
          <t>ev6ti7</t>
        </is>
      </c>
      <c r="B7380" t="inlineStr">
        <is>
          <t>Immunotherapy (Pembrolizumab) and blood tests</t>
        </is>
      </c>
      <c r="C7380" t="inlineStr">
        <is>
          <t>Hi everyone, my Dad had his first session of Immunotherapy - Pembrolizumab 3 weeks ago after previous Chemotherapies failing. His next one is this Friday.
His bloods were always quite bad during Chemotherapy however, today, he went in for the usual blood test before his next treatment and the Doctor said his bloods are the best he's ever seen within this two year span.
Without speculating or getting too much hope, does this mean the Immunotherapy is in some cases, working?  
Thanks :)</t>
        </is>
      </c>
      <c r="D7380" t="n">
        <v>1</v>
      </c>
      <c r="E7380" t="n">
        <v>3</v>
      </c>
      <c r="F7380">
        <f>HYPERLINK("https://www.reddit.com/r/cancer/comments/ev6ti7/immunotherapy_pembrolizumab_and_blood_tests/")</f>
        <v/>
      </c>
      <c r="G7380" t="inlineStr">
        <is>
          <t>2020-01-28 07:13:13</t>
        </is>
      </c>
      <c r="H7380" t="inlineStr"/>
    </row>
    <row r="7381">
      <c r="A7381" t="inlineStr">
        <is>
          <t>ev9ryx</t>
        </is>
      </c>
      <c r="B7381" t="inlineStr">
        <is>
          <t>Dr: Cancer is Rare, So we won't Bother to Check</t>
        </is>
      </c>
      <c r="C7381" t="inlineStr">
        <is>
          <t>I (37f) have pretty extreme doctor anxiety so I rarely go. I've also had digestive issues my whole life so that's nothing new, but recently it's been different. I really feel I have a blockage and I've been having some new pain. Finally I went to see a doctor that I've never met before. She completely blew off my concerns telling me "cancer is rare" and telling me I have IBS. Well maybe I do have IBS, but cancer is absolutely not rare in my family. I have 4 Grandparents who died of it. My grandma found out when she had an 8 pound tumor inside her and died in her early 60s, I have several aunt's and uncles and cousins who have had different forms of cancer, two of them dead in their 50s, my dad is in recovery for bladder cancer, and my mom had a hysterectomy because there was something concerning and she didn't want to die like her mom. When I asked if there was some sort of scan to just check if there are any obvious tumors she said "we don't do scans for that. It's too much radiation". She barely felt around my stomach and then said, "you're thin, we'd be able to see if there was an 8 pound tumor in there."  No shit, but tumors start small! That's why I'm here!
So since I only have IBS I'm sent home to do a food diary. I've already tried countless diets. I obviously don't want to have cancer. But if I do, I'd rather catch it early and take care of it before it's too late like it was for so many of my family members. But because of my anxiety it's so difficult for me to go in and disheartening to have my concerns blown off like that.
So, I'm wondering if any cancer survivors out there can tell me a few things. What symptoms were you having that lead you to see a doctor? What did you say to the doctor? What did they say initially? what tests did they do? How were you diagnosed? 
And how do I get my doctor to actually listen to me and take my concerns seriously?</t>
        </is>
      </c>
      <c r="D7381" t="n">
        <v>1</v>
      </c>
      <c r="E7381" t="n">
        <v>10</v>
      </c>
      <c r="F7381">
        <f>HYPERLINK("https://www.reddit.com/r/cancer/comments/ev9ryx/dr_cancer_is_rare_so_we_wont_bother_to_check/")</f>
        <v/>
      </c>
      <c r="G7381" t="inlineStr">
        <is>
          <t>2020-01-28 10:58:54</t>
        </is>
      </c>
      <c r="H7381" t="inlineStr"/>
    </row>
    <row r="7382">
      <c r="A7382" t="inlineStr">
        <is>
          <t>ev9tro</t>
        </is>
      </c>
      <c r="B7382" t="inlineStr">
        <is>
          <t>Cancer came back and now headed for HIPEC, Anyone have this yet?</t>
        </is>
      </c>
      <c r="C7382" t="inlineStr">
        <is>
          <t>Was diagnosed with stage 4 colon cancer with metastatices to the liver, came back in liver with some spots on peripancreatic lymph nodes so my oncologist now recommended me for HIPEC.  Newish treatment and I'm a bit weary of the treatment, I'm gonna do it, but I wanted to see if anyone has had this treatment and what their experience was.  
Here's a vid explaining the process [https://youtu.be/qrASF\_CtuiI](https://youtu.be/qrASF_CtuiI)</t>
        </is>
      </c>
      <c r="D7382" t="n">
        <v>2</v>
      </c>
      <c r="E7382" t="n">
        <v>6</v>
      </c>
      <c r="F7382">
        <f>HYPERLINK("https://www.reddit.com/r/cancer/comments/ev9tro/cancer_came_back_and_now_headed_for_hipec_anyone/")</f>
        <v/>
      </c>
      <c r="G7382" t="inlineStr">
        <is>
          <t>2020-01-28 11:02:24</t>
        </is>
      </c>
      <c r="H7382" t="inlineStr"/>
    </row>
    <row r="7383">
      <c r="A7383" t="inlineStr">
        <is>
          <t>evaobc</t>
        </is>
      </c>
      <c r="B7383" t="inlineStr">
        <is>
          <t>Got a morbid hunch and possible symptoms melanoma has spread to my (left) eye.</t>
        </is>
      </c>
      <c r="C7383" t="inlineStr">
        <is>
          <t>When I was in hospital last December I had gamma knife surgery. I was rescanned and 13 mets were found in my brain.
Whilst the Neurologist was fitting the frame onto my head he commented it’s very common for melanoma to spread to the optic nerve and cause blindness..
I asked what happens then? He candidly told me we just remove the eyes nothing else can be done..
I was like jeez thanks.
Last week I started having a dull pain around the eye area and Ive just had a nap and woke up with a bruised left eye and it feels sore.
I know I can’t know for certain if it’s melanoma or something else. But I feel anxious right now.
I couldn’t live on without my sight.  I’m lonely enough as it is. 
Being blind I’ll be completely cut off from the world</t>
        </is>
      </c>
      <c r="D7383" t="n">
        <v>2</v>
      </c>
      <c r="E7383" t="n">
        <v>4</v>
      </c>
      <c r="F7383">
        <f>HYPERLINK("https://www.reddit.com/r/cancer/comments/evaobc/got_a_morbid_hunch_and_possible_symptoms_melanoma/")</f>
        <v/>
      </c>
      <c r="G7383" t="inlineStr">
        <is>
          <t>2020-01-28 12:01:41</t>
        </is>
      </c>
      <c r="H7383" t="inlineStr"/>
    </row>
    <row r="7384">
      <c r="A7384" t="inlineStr">
        <is>
          <t>evaskh</t>
        </is>
      </c>
      <c r="B7384" t="inlineStr">
        <is>
          <t>My mom died November 25th and I am a little mad that I couldn't hold her while it happened.</t>
        </is>
      </c>
      <c r="C7384" t="inlineStr">
        <is>
          <t>I had pictured how I would be there with her since she had begun looking into hospice care. She had a DNR but she didnt have it out in the open. I want at her house when it happened and the home health nurse did CPR and got 911 on the phone. I saw her at the hospital... tube down her throat, blood coming out her nose... it hurt me to see her like that. My step dad and I were going to withdraw care. They were going to move us out of the ER to somewhere more private first.
She died on the way there. I wanted to hold her when it happened. I wanted to lay in the bed and hold her hand and stroke her hair. Instead she was alone. Other than a bunch of nurses and such. She was all alone as she went to the other side.</t>
        </is>
      </c>
      <c r="D7384" t="n">
        <v>1</v>
      </c>
      <c r="E7384" t="n">
        <v>2</v>
      </c>
      <c r="F7384">
        <f>HYPERLINK("https://www.reddit.com/r/cancer/comments/evaskh/my_mom_died_november_25th_and_i_am_a_little_mad/")</f>
        <v/>
      </c>
      <c r="G7384" t="inlineStr">
        <is>
          <t>2020-01-28 12:09:40</t>
        </is>
      </c>
      <c r="H7384" t="inlineStr"/>
    </row>
    <row r="7385">
      <c r="A7385" t="inlineStr">
        <is>
          <t>evax9k</t>
        </is>
      </c>
      <c r="B7385" t="inlineStr">
        <is>
          <t>Question on Blood Clot with Liver Cancer</t>
        </is>
      </c>
      <c r="C7385" t="inlineStr">
        <is>
          <t>Hi Everyone,
I'm hoping to get some answers on what I can reasonably expect for my dad going forward. He's 60, and was diagnosed with Stage 4 Liver Cancer last May. In case it's helpful, he has a 5cm tumor on his liver and it's been categorized as hepatocellular carcinoma which has spread to a few surrounding lymph nodes and a spot on his hip and sternum which they recently treated with radiation. 
So far, his chemo treatment of   has been really helpful. The cancer markers in his blood samples have dropped from over 1,400 per sample down in to the low 200s.
Today, we found out he has developed a blood clot that is cutting off blood flow to the liver which has drastically impacted his liver function. They've had to take him off his chemo until they sort out what to do about the blood clot. He isn't a candidate for surgical treatment because they fear exposing the liver to oxygen would just accelerate the spread of the cancer.
Does anyone have any idea what I should be expecting? Is a blood clot typically treatable at this stage of liver cancer? Is a blood thinner compatible with chemotherapy? Should we be preparing for a rapid decline in his health?
His oncologist didn't want to speculate (I understand why), but I'm just looking for a little guidance because I have no sense of what magnitude this news is. I'm getting all of my information second-hand from my stepmom who I have some doubts on for a number of different reasons.</t>
        </is>
      </c>
      <c r="D7385" t="n">
        <v>1</v>
      </c>
      <c r="E7385" t="n">
        <v>0</v>
      </c>
      <c r="F7385">
        <f>HYPERLINK("https://www.reddit.com/r/cancer/comments/evax9k/question_on_blood_clot_with_liver_cancer/")</f>
        <v/>
      </c>
      <c r="G7385" t="inlineStr">
        <is>
          <t>2020-01-28 12:18:30</t>
        </is>
      </c>
      <c r="H7385" t="inlineStr"/>
    </row>
    <row r="7386">
      <c r="A7386" t="inlineStr">
        <is>
          <t>evbeh0</t>
        </is>
      </c>
      <c r="B7386" t="inlineStr">
        <is>
          <t>Financial Resources that we’re useful to you or a family member...</t>
        </is>
      </c>
      <c r="C7386" t="inlineStr">
        <is>
          <t>Hi all,
I’m sure this has been posted before but I don’t know how to search within subreddits. My dad was diagnosed with a form of leukemia called CMML2. He’s currently on short term disability, and the social worker at the hospital (Moffitt Cancer Center) told my mom once that was up, then they could apply to social security. 
Yesterday my dad had his first post-chemo biopsy, and my mom went to talk to the social worker who told my mom she didn’t know anything about social security. I guess my mom started crying when the social worker then alluded to my dad not getting the procedure done since they wouldn’t be able to pay for it (it’s been really hard for her to get anyone to give her any actual help or resources), so they scheduled a call with the social security office to discuss disability. Don’t get me started at how crazy it is to tell someone they’ll be refused life-saving procedures because they don’t have money.
Beyond giving my parents all my money left over (after bills) and taking out a personal loan, I can’t find any other way to help financially (my brother is in college and we don’t have extended family in the country). 
I say all of this to ask if anyone knows about good resources to pay for treatments/medical costs, and if so, which resources are these? My mom says “everyone tells me they’re sorry to hear your dad is sick, and that they sympathize, and at the same time they tell me they can’t do anything for me.” Even the hospital’s financial assistance program...doesn’t cover the specific type of cancer my dad has. How the hell does a cancer hospital exclude types of cancer procedures they help finance?!
Edit: apologies for the grammatical error in the title.</t>
        </is>
      </c>
      <c r="D7386" t="n">
        <v>2</v>
      </c>
      <c r="E7386" t="n">
        <v>17</v>
      </c>
      <c r="F7386">
        <f>HYPERLINK("https://www.reddit.com/r/cancer/comments/evbeh0/financial_resources_that_were_useful_to_you_or_a/")</f>
        <v/>
      </c>
      <c r="G7386" t="inlineStr">
        <is>
          <t>2020-01-28 12:51:59</t>
        </is>
      </c>
      <c r="H7386" t="inlineStr"/>
    </row>
    <row r="7387">
      <c r="A7387" t="inlineStr">
        <is>
          <t>evbidv</t>
        </is>
      </c>
      <c r="B7387" t="inlineStr">
        <is>
          <t>Mass detected in Brain - going for additional MRI - what should I expect?</t>
        </is>
      </c>
      <c r="C7387" t="inlineStr">
        <is>
          <t>I've already been through the magnet washer and had my chakras alligned before, that is not what I am worried about
My father died within 4 months of a Glioblastoma diagnosis
Just... What should I expect from this point on?</t>
        </is>
      </c>
      <c r="D7387" t="n">
        <v>1</v>
      </c>
      <c r="E7387" t="n">
        <v>4</v>
      </c>
      <c r="F7387">
        <f>HYPERLINK("https://www.reddit.com/r/cancer/comments/evbidv/mass_detected_in_brain_going_for_additional_mri/")</f>
        <v/>
      </c>
      <c r="G7387" t="inlineStr">
        <is>
          <t>2020-01-28 12:59:32</t>
        </is>
      </c>
      <c r="H7387" t="inlineStr"/>
    </row>
    <row r="7388">
      <c r="A7388" t="inlineStr">
        <is>
          <t>evbmiy</t>
        </is>
      </c>
      <c r="B7388" t="inlineStr">
        <is>
          <t>Any recommended support boards for parents of sick kids?</t>
        </is>
      </c>
      <c r="C7388" t="inlineStr">
        <is>
          <t>The pediatric cancer reddit isn't very active, are there other cancer-related support forums, perhaps specific to kids?
Thanks.</t>
        </is>
      </c>
      <c r="D7388" t="n">
        <v>2</v>
      </c>
      <c r="E7388" t="n">
        <v>4</v>
      </c>
      <c r="F7388">
        <f>HYPERLINK("https://www.reddit.com/r/cancer/comments/evbmiy/any_recommended_support_boards_for_parents_of/")</f>
        <v/>
      </c>
      <c r="G7388" t="inlineStr">
        <is>
          <t>2020-01-28 13:07:12</t>
        </is>
      </c>
      <c r="H7388" t="inlineStr"/>
    </row>
    <row r="7389">
      <c r="A7389" t="inlineStr">
        <is>
          <t>evcgxf</t>
        </is>
      </c>
      <c r="B7389" t="inlineStr">
        <is>
          <t>My mom just got diagnosed with Stage 1 Breast cancer.</t>
        </is>
      </c>
      <c r="C7389" t="inlineStr">
        <is>
          <t>Hi, like the title says I just found out my mom got diagnosed with stage 1 Breast cancer. I know that there is a 99% survival rate within the first five years after treatment. She’s going in for surgery on Monday. 
What should I expect? I’m worried and sad. I just wanna be there for her.</t>
        </is>
      </c>
      <c r="D7389" t="n">
        <v>1</v>
      </c>
      <c r="E7389" t="n">
        <v>6</v>
      </c>
      <c r="F7389">
        <f>HYPERLINK("https://www.reddit.com/r/cancer/comments/evcgxf/my_mom_just_got_diagnosed_with_stage_1_breast/")</f>
        <v/>
      </c>
      <c r="G7389" t="inlineStr">
        <is>
          <t>2020-01-28 14:02:45</t>
        </is>
      </c>
      <c r="H7389" t="inlineStr"/>
    </row>
    <row r="7390">
      <c r="A7390" t="inlineStr">
        <is>
          <t>evflju</t>
        </is>
      </c>
      <c r="B7390" t="inlineStr">
        <is>
          <t>Do you think CRISPR Cas 9 will replace current methods to cure cancer?</t>
        </is>
      </c>
      <c r="C7390" t="inlineStr">
        <is>
          <t>CRISPR Cas 9 is a method used to remove, add or alter sections of a specific DNA sequence. Cancer, as we know it, is a genetic disease, meaning that it causes mutations in DNA. If we had a genetic sequence that would enhance our defenses against cancer (for instance, a protein or acid like hyaluronan that would avoid the cell division's "check points" from failing), and use CRISPR Cas 9 as a method to introduce this new DNA sequence, would it replace the current treatments we use to treat cancer?
This post is only meant for discussion purposes. I know my explanation to this theory is very simple and barely grasps the basics of genome editing and the complexity of cancer. However, I still wanted to bring this up and know what people think about it.</t>
        </is>
      </c>
      <c r="D7390" t="n">
        <v>3</v>
      </c>
      <c r="E7390" t="n">
        <v>4</v>
      </c>
      <c r="F7390">
        <f>HYPERLINK("https://www.reddit.com/r/cancer/comments/evflju/do_you_think_crispr_cas_9_will_replace_current/")</f>
        <v/>
      </c>
      <c r="G7390" t="inlineStr">
        <is>
          <t>2020-01-28 17:35:00</t>
        </is>
      </c>
      <c r="H7390" t="inlineStr"/>
    </row>
    <row r="7391">
      <c r="A7391" t="inlineStr">
        <is>
          <t>evg64c</t>
        </is>
      </c>
      <c r="B7391" t="inlineStr">
        <is>
          <t>My father has Terminal Stage 4 Liver Carcinoma. The doctor found a tumor on his lung today. I need help coping.</t>
        </is>
      </c>
      <c r="C7391" t="inlineStr">
        <is>
          <t>He was given 6 months to live 1 year ago. 
Multiple people have said, "I should've already of said my goodbyes to him, or grieved for him already." Its not that easy for me. Ill be 23 tomorrow, and I've never felt more like a scared child.</t>
        </is>
      </c>
      <c r="D7391" t="n">
        <v>2</v>
      </c>
      <c r="E7391" t="n">
        <v>15</v>
      </c>
      <c r="F7391">
        <f>HYPERLINK("https://www.reddit.com/r/cancer/comments/evg64c/my_father_has_terminal_stage_4_liver_carcinoma/")</f>
        <v/>
      </c>
      <c r="G7391" t="inlineStr">
        <is>
          <t>2020-01-28 18:18:35</t>
        </is>
      </c>
      <c r="H7391" t="inlineStr"/>
    </row>
    <row r="7392">
      <c r="A7392" t="inlineStr">
        <is>
          <t>evgqqv</t>
        </is>
      </c>
      <c r="B7392" t="inlineStr">
        <is>
          <t>Good news and bad news</t>
        </is>
      </c>
      <c r="C7392" t="inlineStr">
        <is>
          <t>Good news: I got deemed cancer free today, YAAAY :D (January 28 2020) from Hogkin's Lymphoma Stage 2.
Bad news? I'm going to be late on bills because of chemotherapy and radiation bills just eating away at my money :(  If a client I work for follows up I'll only be 1-3 days late on the bill but that still means the late fee. 
Fuck medical bills in the USA, it is a damn shame :(</t>
        </is>
      </c>
      <c r="D7392" t="n">
        <v>0</v>
      </c>
      <c r="E7392" t="n">
        <v>3</v>
      </c>
      <c r="F7392">
        <f>HYPERLINK("https://www.reddit.com/r/cancer/comments/evgqqv/good_news_and_bad_news/")</f>
        <v/>
      </c>
      <c r="G7392" t="inlineStr">
        <is>
          <t>2020-01-28 19:02:53</t>
        </is>
      </c>
      <c r="H7392" t="inlineStr"/>
    </row>
    <row r="7393">
      <c r="A7393" t="inlineStr">
        <is>
          <t>evh9gy</t>
        </is>
      </c>
      <c r="B7393" t="inlineStr">
        <is>
          <t>Never Mourned Properly</t>
        </is>
      </c>
      <c r="C7393" t="inlineStr">
        <is>
          <t>My dad died at 65 of a cholangiocarcinoma.  I was on vacation with my wife and son when I learned he had a week to live. I rushed home and was able to drive him home from the hospital to our childhood home where he would eventually die. 
My sister was married in front of him a couple days later. It was one of the best moments I’ve ever seen. 
The issue I have is that religion took over and by the time I rushed home to see my dad, he no longer had emotion and was reserved to focus his efforts on ensuring his place in heaven and asking us if we were prepared to join him. 
I gave the eulogy and remained extremely positive. The feedback I received from this was amazing. 
However, I feel like I’ve cried more about Kobe Bryant than I have my own father who I loved more than I loved myself. 
I have kids and I love my wife. I just don’t want to be messed up for their sake. If anyone has recommendations for ways to cope way after the fact, I would appreciate it.</t>
        </is>
      </c>
      <c r="D7393" t="n">
        <v>1</v>
      </c>
      <c r="E7393" t="n">
        <v>4</v>
      </c>
      <c r="F7393">
        <f>HYPERLINK("https://www.reddit.com/r/cancer/comments/evh9gy/never_mourned_properly/")</f>
        <v/>
      </c>
      <c r="G7393" t="inlineStr">
        <is>
          <t>2020-01-28 19:45:54</t>
        </is>
      </c>
      <c r="H7393" t="inlineStr"/>
    </row>
    <row r="7394">
      <c r="A7394" t="inlineStr">
        <is>
          <t>evjy4a</t>
        </is>
      </c>
      <c r="B7394" t="inlineStr">
        <is>
          <t>Chemo Days in the US</t>
        </is>
      </c>
      <c r="C7394" t="inlineStr">
        <is>
          <t>I lost my Hubby to this scourge last August. I am still grieving, of course, but I want to do something productive. Shortly before or after he died, I don't remember which, I brought up the fact that there are very few free things for cancer patients unless you fall into very narrowly defined categories and you live in specific geographic areas (the info I have applies to the USA as that is where I live).
I want to start in my area and see if I can get a drink coupon donated so that after chemo, a patient can get a drink that sounds good (or after they are less ill after a treatment, they can get something that tempts them to at least drink something). 
Does this sound like a good place to start? I would approach the fast food restaurants in my area after I talk with someone at our cancer center about their willingness and how many treatments they do a week. I have a feeling I will be staggered by the number of treatments per week.
Any suggestions or ideas?</t>
        </is>
      </c>
      <c r="D7394" t="n">
        <v>1</v>
      </c>
      <c r="E7394" t="n">
        <v>9</v>
      </c>
      <c r="F7394">
        <f>HYPERLINK("https://www.reddit.com/r/cancer/comments/evjy4a/chemo_days_in_the_us/")</f>
        <v/>
      </c>
      <c r="G7394" t="inlineStr">
        <is>
          <t>2020-01-28 23:59:27</t>
        </is>
      </c>
      <c r="H7394" t="inlineStr"/>
    </row>
    <row r="7395">
      <c r="A7395" t="inlineStr">
        <is>
          <t>evllbg</t>
        </is>
      </c>
      <c r="B7395" t="inlineStr">
        <is>
          <t>Car accident lead to unrelated diagnosis of kidney cancer and am emotionally overwhelmed</t>
        </is>
      </c>
      <c r="C7395" t="inlineStr">
        <is>
          <t>Hello all!
I (24F) am a 1st year medical student that just started my 2nd semester of med school. Over the break, I took a 6 hour road trip with my best friend and on the way back, about 20 minutes from home, we were struck by (possibly) a deer on the interstate. No one saw the deer that hit us and it happened so fast, neither did we. We say a deer because there was hair everywhere, but no deer to be found. Another car stopped that was right behind us on the highway and he even said he did not see anything, but our car was totaled. Well, my best friend was the driver and was complaining of knee pain and I thought something might have hit my stomach, so I thought I would give her company in the ER and get checked out myself, but I wouldn't have otherwise gone. They did a CT of my abdomen and originally thought I had a kidney laceration, but did another image and saw it was an 8.5cm mass on my left kidney. A week later, I had a young uro-oncologist that was ambitious enough to remove only the tumor and leave half my kidney and path report came back with clear margins. I am very lucky and the amount of times I heard of this as a "blessing in the disguise" I know. I did fine recovering at home, felt well emotionally and physically, but today is my 2nd day back at school and I am feeling emotionally overwhelmed. I should mention I live on an island for school, so I am far away from the States and my family. I had gotten so used to my family "babying" me and caring for me, now I feel so lonely that I am contemplating going back home. Becoming a doctor is my dream so I don't want to quit, but I also don't want to take a semester off because I had gotten so lazy at home and I feel I would become depressed doing nothing at home. I also don't want to be on this island either. Any advice would be appreciated on how to deal with everything I went through and am going through.</t>
        </is>
      </c>
      <c r="D7395" t="n">
        <v>1</v>
      </c>
      <c r="E7395" t="n">
        <v>20</v>
      </c>
      <c r="F7395">
        <f>HYPERLINK("https://www.reddit.com/r/cancer/comments/evllbg/car_accident_lead_to_unrelated_diagnosis_of/")</f>
        <v/>
      </c>
      <c r="G7395" t="inlineStr">
        <is>
          <t>2020-01-29 03:19:33</t>
        </is>
      </c>
      <c r="H7395" t="inlineStr"/>
    </row>
    <row r="7396">
      <c r="A7396" t="inlineStr">
        <is>
          <t>evlorb</t>
        </is>
      </c>
      <c r="B7396" t="inlineStr">
        <is>
          <t>Symptoms for Breast Cancer</t>
        </is>
      </c>
      <c r="C7396" t="inlineStr">
        <is>
          <t>"It is plausible that about 10-15% of newly diagnosed breast cancer cases in India have a strong familial history or inheritance patterns,'' says Dr. Chaitanyanand Koppiker, [**breast surgeon Pune**](https://orchidshealth.in/about-dr-koppiker/).
It impacts over 1.5 million women every year with the U.S., India, and China, accounting for almost one-third of the global cases. While breast cancer generally indicates no symptoms in the early stages; many signs can help to detect the disease. Most women detect breast cancer during their daily activities like bathing or dressing. Its symptoms range widely- from lumps to swelling and skin changes, many breast cancers have no visible signs at all.
Breast cancer is sure to instill fear and assumptions in the minds of many, but timely detection can ease the treatment process while increasing the survival chances. In this article, we explain some of the potential signs and symptoms of breast cancer that should not be ignored-
**Breast Lumps-**
Often the first thing that women notice, a breast lump can be too small to see on your own. Though most lumps may not be cancerous, any lump that is painless, hard, and has uneven edges is more likely to be dangerous.
**Changes in your skin-**
Breast cancer can induce inflammation in skin cells that can cause changes in the texture of the skin, such as redness, scaliness, or thickening of the nipple or breast skin. These changes may also cause itching, dimpling, or puckering of the skin.
**Nipple discharge-**
Any discharge that is brown, red, or yellow from either of the nipples can signify breast cancer or infection. Though nipple discharge can be a side effect of birth control pills, pregnancy, or certain medical conditions such as thyroid, it is advisable to see a doctor.
**Breast or Nipple pain-**
Usually, not a sign of breast cancer, any breast or nipple pain that persists for an extended period should not be neglected. Often described as a burning sensation, it is essential to look out for pain that is extreme or prolonged even after your period.
**Nipple retraction or inversion-**
A nipple that turns inward instead of outwards is known as nipple retraction or inversion. The condition of the nipples can frequently change during ovulation or other parts of the menstrual period but may need medical care if it causes pain, discharge, or swelling.
**Changes in lymph nodes-**
Any swelling or a lump around the collarbone or under the arm can be a potential symptom of breast cancer. Usually, small, firm, and tender to touch, these lymph nodes carry potentially harmful cancer cells and can cause concern.
If you notice these symptoms, it is advisable not to panic or be fearful. Several reasons might be causing these concerns such as age, menstrual cycles, changes in hormone levels, injury, infection, etc. It is best to consult a [**breast cancer doctor in Pune**](https://orchidshealth.in/) or other cities for a complete evaluation and to understand the plausible reasons for such signs.</t>
        </is>
      </c>
      <c r="D7396" t="n">
        <v>1</v>
      </c>
      <c r="E7396" t="n">
        <v>0</v>
      </c>
      <c r="F7396">
        <f>HYPERLINK("https://www.reddit.com/r/cancer/comments/evlorb/symptoms_for_breast_cancer/")</f>
        <v/>
      </c>
      <c r="G7396" t="inlineStr">
        <is>
          <t>2020-01-29 03:30:16</t>
        </is>
      </c>
      <c r="H7396" t="inlineStr"/>
    </row>
    <row r="7397">
      <c r="A7397" t="inlineStr">
        <is>
          <t>evlzcb</t>
        </is>
      </c>
      <c r="B7397" t="inlineStr">
        <is>
          <t>My dad was recently declared cancer free (leukemia) but I keep having dreams where he's dead.</t>
        </is>
      </c>
      <c r="C7397" t="inlineStr">
        <is>
          <t>First off, I'm so thankful that he's made it through - a year ago he was dying. Despite the fact that he's okay, and his own assertions that he's healthy as a horse, I can't help but worrying. A lot. Recently it's started to affect my sleep - I dream that he's dead and that I have to visit his grave etc. I keep waking up and can't seem to dream of anything else once I fall asleep again.
 Does anyone have any advice on how to cope/sleep better? I know I probably won't ever stop worrying about him and the cancer but I'd like to cope with it better.</t>
        </is>
      </c>
      <c r="D7397" t="n">
        <v>1</v>
      </c>
      <c r="E7397" t="n">
        <v>3</v>
      </c>
      <c r="F7397">
        <f>HYPERLINK("https://www.reddit.com/r/cancer/comments/evlzcb/my_dad_was_recently_declared_cancer_free_leukemia/")</f>
        <v/>
      </c>
      <c r="G7397" t="inlineStr">
        <is>
          <t>2020-01-29 04:02:46</t>
        </is>
      </c>
      <c r="H7397" t="inlineStr"/>
    </row>
    <row r="7398">
      <c r="A7398" t="inlineStr">
        <is>
          <t>evo9ff</t>
        </is>
      </c>
      <c r="B7398" t="inlineStr">
        <is>
          <t>TV to binge while going through chemo and radiation?</t>
        </is>
      </c>
      <c r="C7398" t="inlineStr">
        <is>
          <t>I need something positive, non-violent, maybe comedic? I just can’t even think of watching 95% of what I used to love before my diagnosis. Thanks you all.</t>
        </is>
      </c>
      <c r="D7398" t="n">
        <v>1</v>
      </c>
      <c r="E7398" t="n">
        <v>20</v>
      </c>
      <c r="F7398">
        <f>HYPERLINK("https://www.reddit.com/r/cancer/comments/evo9ff/tv_to_binge_while_going_through_chemo_and/")</f>
        <v/>
      </c>
      <c r="G7398" t="inlineStr">
        <is>
          <t>2020-01-29 07:23:20</t>
        </is>
      </c>
      <c r="H7398" t="inlineStr"/>
    </row>
    <row r="7399">
      <c r="A7399" t="inlineStr">
        <is>
          <t>evovek</t>
        </is>
      </c>
      <c r="B7399" t="inlineStr">
        <is>
          <t>Looking for some help</t>
        </is>
      </c>
      <c r="C7399" t="inlineStr">
        <is>
          <t>Mother just got diagnosed stage 4  breast cancer. Traveled in lymph nodes outer lining of  one kidney and they say there's something they see in the liver as well?
We live in a small town and we would like a second opinion just to see the pet scan she took to give us there opinon. Insurance and financial issue are our issues as well. God bless you all and thank you in advance for taking time out.</t>
        </is>
      </c>
      <c r="D7399" t="n">
        <v>1</v>
      </c>
      <c r="E7399" t="n">
        <v>1</v>
      </c>
      <c r="F7399">
        <f>HYPERLINK("https://www.reddit.com/r/cancer/comments/evovek/looking_for_some_help/")</f>
        <v/>
      </c>
      <c r="G7399" t="inlineStr">
        <is>
          <t>2020-01-29 08:08:50</t>
        </is>
      </c>
      <c r="H7399" t="inlineStr"/>
    </row>
    <row r="7400">
      <c r="A7400" t="inlineStr">
        <is>
          <t>evpjhj</t>
        </is>
      </c>
      <c r="B7400" t="inlineStr">
        <is>
          <t>Impact of cancer on finances and fertility for young adult</t>
        </is>
      </c>
      <c r="C7400" t="inlineStr">
        <is>
          <t>Hi everyone,
I am a journalism student hoping to write a story about the ways cancer affects young adults in Ontario (Canada) - specifically the impact of cancer on finances and fertility. I am wondering what kind of support systems or initiatives exist to help, what emotional stress this brings, and overall any information about this difficult issue.  
I was myself recently diagnosed with two abdominal masses and I found that there really isn't a lot of information or talk about how cancer affects young people. 
If you would be interested in talking to me about your experience or if you have any information to share, I would love to hear it!
Feel free to send me a private message, email me ([emilie.warren@carleton.ca](mailto:emilie.warren@carleton.ca)) or reply :) 
Thank you!</t>
        </is>
      </c>
      <c r="D7400" t="n">
        <v>1</v>
      </c>
      <c r="E7400" t="n">
        <v>1</v>
      </c>
      <c r="F7400">
        <f>HYPERLINK("https://www.reddit.com/r/cancer/comments/evpjhj/impact_of_cancer_on_finances_and_fertility_for/")</f>
        <v/>
      </c>
      <c r="G7400" t="inlineStr">
        <is>
          <t>2020-01-29 08:57:58</t>
        </is>
      </c>
      <c r="H7400" t="inlineStr"/>
    </row>
    <row r="7401">
      <c r="A7401" t="inlineStr">
        <is>
          <t>evq9yc</t>
        </is>
      </c>
      <c r="B7401" t="inlineStr">
        <is>
          <t>Will I get cancer no matter what? Please be honest</t>
        </is>
      </c>
      <c r="C7401" t="inlineStr">
        <is>
          <t>I was a heavy, heavy smoker who smoked around 15 cigarettes and more than 5 spliffs per day for around 9 years. On top of that I ate unhealthy: barely any vegetables and fruits but did eat fastfood, candy while I was also underweight, I rarely ate enough calories and it was usually junkfood. Excercise? Nahhhh. I played soccer sometimes and would ride my bike, but usually I was sedentary. 
So I tick all the boxes that are risk factors for getting cancer. I'm only 27 and changed my life completely this summer. Is it too late for me? Because I'm convinced that I'll die within the next 20 years.</t>
        </is>
      </c>
      <c r="D7401" t="n">
        <v>1</v>
      </c>
      <c r="E7401" t="n">
        <v>15</v>
      </c>
      <c r="F7401">
        <f>HYPERLINK("https://www.reddit.com/r/cancer/comments/evq9yc/will_i_get_cancer_no_matter_what_please_be_honest/")</f>
        <v/>
      </c>
      <c r="G7401" t="inlineStr">
        <is>
          <t>2020-01-29 09:48:58</t>
        </is>
      </c>
      <c r="H7401" t="inlineStr"/>
    </row>
    <row r="7402">
      <c r="A7402" t="inlineStr">
        <is>
          <t>evqfjq</t>
        </is>
      </c>
      <c r="B7402" t="inlineStr">
        <is>
          <t>Today’s my birthday</t>
        </is>
      </c>
      <c r="C7402" t="inlineStr">
        <is>
          <t>Today’s my 28th birthday and it is my first one without my mom. I have people sending me plenty of love and support but all I can do is think about how I want to hear my mom sing happy birthday to me one more time. Cancer fucking sucks.</t>
        </is>
      </c>
      <c r="D7402" t="n">
        <v>1</v>
      </c>
      <c r="E7402" t="n">
        <v>4</v>
      </c>
      <c r="F7402">
        <f>HYPERLINK("https://www.reddit.com/r/cancer/comments/evqfjq/todays_my_birthday/")</f>
        <v/>
      </c>
      <c r="G7402" t="inlineStr">
        <is>
          <t>2020-01-29 09:59:43</t>
        </is>
      </c>
      <c r="H7402" t="inlineStr"/>
    </row>
    <row r="7403">
      <c r="A7403" t="inlineStr">
        <is>
          <t>evqs56</t>
        </is>
      </c>
      <c r="B7403" t="inlineStr">
        <is>
          <t>I need some unbiased opinions.</t>
        </is>
      </c>
      <c r="C7403" t="inlineStr">
        <is>
          <t>Hello everyone!  I’m new to the group and could really use the opinions of people that don’t know me. In my 20’s I had pre cancerous cells in my cervix and had half of it removed, then in my late 20’s I had kidney cancer. They removed the right kidney, then a few month later I was diagnosed with kidney disease in my left kidney. Then when I was 37 I was diagnosed with breast cancer. I had a right mastectomy with reconstruction. I had so many complications and surgeries due to them. Also, because of the stress all of this put on my body, it triggered fibromyalgia, so I’m in pain all the time. Because all of this happened before the ago of 40 the doctors performed DNA tests on me and found that I have genetic mutation that causes cancer. It’s been almost 7 years since the breast cancer and yesterday 2 masses were found in the armpit of my right arm. I have a biopsy on Friday for these.  This has really thrown me for a loop. I realize it may not be cancer but I feel like I’ve been kicked in the stomach. I had a conversation with my husband last night and I’ve made the decision that if it is then I’m not doing anything about it. My husband fully understands and said he will stand by me and this decision. Then I spoke to my mom who told me I was being selfish. And I know if I fight I’ll just have to deal with it again in a few years...and so on. Is it selfish of me to not do anything?  It wasn’t just hard on me, but my husband and family as well...especially my husband that took care of me through all of it. I don’t want to keep putting everyone through this. But frankly, I’m just tired of fighting my own body. I’m tired. I’m just looking for the opinion of people that are not emotionally attached to me. I appreciate all opinions.</t>
        </is>
      </c>
      <c r="D7403" t="n">
        <v>1</v>
      </c>
      <c r="E7403" t="n">
        <v>11</v>
      </c>
      <c r="F7403">
        <f>HYPERLINK("https://www.reddit.com/r/cancer/comments/evqs56/i_need_some_unbiased_opinions/")</f>
        <v/>
      </c>
      <c r="G7403" t="inlineStr">
        <is>
          <t>2020-01-29 10:24:06</t>
        </is>
      </c>
      <c r="H7403" t="inlineStr"/>
    </row>
    <row r="7404">
      <c r="A7404" t="inlineStr">
        <is>
          <t>evr7am</t>
        </is>
      </c>
      <c r="B7404" t="inlineStr">
        <is>
          <t>How long was your skin irritated after radiation?</t>
        </is>
      </c>
      <c r="C7404" t="inlineStr">
        <is>
          <t>Hi everyone! just a quick question that I was hoping somebody could share their experience/answers.
Five months ago, I had one week of high dose radiation therapy to my head (parietal-occipital tumor)  and my scalp is still itchy right in that irradiated spot. My hair has fallen out and it has started to grow back, but for whatever reason I still get extremely itchy just there. No dandruff or flaking or overt redness; unfortunately I can't really see/photograph the back of my head well enough to look for anything more subtle. Also I wash my hair every other day after I work out.  
Is this normal? How long can the skin irritation last? Is that area just prone to irritation forever? Or am I a dumbass completely missing the mark and maybe there's a totally unrelated cause for this. 
Thank you in advance. Super sorry if this question isn't appropriate for this particular reddit.</t>
        </is>
      </c>
      <c r="D7404" t="n">
        <v>1</v>
      </c>
      <c r="E7404" t="n">
        <v>1</v>
      </c>
      <c r="F7404">
        <f>HYPERLINK("https://www.reddit.com/r/cancer/comments/evr7am/how_long_was_your_skin_irritated_after_radiation/")</f>
        <v/>
      </c>
      <c r="G7404" t="inlineStr">
        <is>
          <t>2020-01-29 10:52:53</t>
        </is>
      </c>
      <c r="H7404" t="inlineStr"/>
    </row>
    <row r="7405">
      <c r="A7405" t="inlineStr">
        <is>
          <t>evr8v0</t>
        </is>
      </c>
      <c r="B7405" t="inlineStr">
        <is>
          <t>15 days until chemo</t>
        </is>
      </c>
      <c r="C7405" t="inlineStr">
        <is>
          <t>... Surgery is in 14 days then it's 3 long months of chemo 4 sessions once every 3 weeks.... I want off this fucking ride!
Why the fuck did I have to get breast cancer I'm a 32 year old guy who genetically shouldn't have this!!</t>
        </is>
      </c>
      <c r="D7405" t="n">
        <v>1</v>
      </c>
      <c r="E7405" t="n">
        <v>2</v>
      </c>
      <c r="F7405">
        <f>HYPERLINK("https://www.reddit.com/r/cancer/comments/evr8v0/15_days_until_chemo/")</f>
        <v/>
      </c>
      <c r="G7405" t="inlineStr">
        <is>
          <t>2020-01-29 10:55:46</t>
        </is>
      </c>
      <c r="H7405" t="inlineStr"/>
    </row>
    <row r="7406">
      <c r="A7406" t="inlineStr">
        <is>
          <t>evrw7h</t>
        </is>
      </c>
      <c r="B7406" t="inlineStr">
        <is>
          <t>I’m exhausted.</t>
        </is>
      </c>
      <c r="C7406" t="inlineStr">
        <is>
          <t>I don’t have your “typical” cancer. I have a brain tumor on my optic nerve near my hippocampus and other sensitive parts of my brain that has caused me to lose all of my vision in my left eye, and 3/4 of my field in my right eye.
I’ve been a pediatric oncology patient for 15 years (diagnosed at 2.5 years old), and I’ve been on treatment for most of those years. trametinib, lenalidomide, carboplatin, temodar, proton therapy... I’ve been through a ton of treatments.
I thought I was done after radiation therapy in eighth grade. Nope, had to get emergency surgery at the end of sophomore year of high school due to vision loss and tumor growth. After undergoing treatment (Avastin) during fall of junior year (2018)--desperately working to maintain my grades--I was done in December of 2018.
Then, of fucking course, senior year rolls around. I’m busy as hell, trying to apply to college, and trying to deal with a crazy workload. Tumor growth again, more Avastin starting last November.
I’m so tired. My digestive system is shot, I feel nauseous when I wake up, and I can barely stay awake past 9 PM. I can't wake up earlier than 7 either. This makes it extremely hard for me to get everything done.
Is there any way to deal with this? Avastin is a lot better than most of the treatments I've been on, so I don't want to change. Idk how to deal with it.
Sorry for the brusque nature of this post, I just really need to vent.</t>
        </is>
      </c>
      <c r="D7406" t="n">
        <v>1</v>
      </c>
      <c r="E7406" t="n">
        <v>16</v>
      </c>
      <c r="F7406">
        <f>HYPERLINK("https://www.reddit.com/r/cancer/comments/evrw7h/im_exhausted/")</f>
        <v/>
      </c>
      <c r="G7406" t="inlineStr">
        <is>
          <t>2020-01-29 11:39:15</t>
        </is>
      </c>
      <c r="H7406" t="inlineStr"/>
    </row>
    <row r="7407">
      <c r="A7407" t="inlineStr">
        <is>
          <t>evt3u3</t>
        </is>
      </c>
      <c r="B7407" t="inlineStr">
        <is>
          <t>They found a spot on my mom</t>
        </is>
      </c>
      <c r="C7407" t="inlineStr">
        <is>
          <t>Hi all,
I started following this page after they found a "spot" on my mom while looking at something unrelated. They were optimistic it'd be benign, but wanted to check it out more. A PET scan confirmed cancer in that one spot. It was no where else (not even lymph nodes) so I'm assuming that's good? It's a very small spot. They say they are lucky that they caught it so early.
I'm still terrified. The word "cancer" terrifies me. They said it's in a hard to reach spot (they keep saying it's on the back of her abdomen?) and I'm worried they won't be able to get it out? Can that happen?
I'm 31 years old and a mother myself, but I cannot live with out my mom. My daughter is also SUPER close with her. Im so scared.
I'm sorry that this post is not very well written and that's its a bit pointless and vague, but I'm still kind of in shock and just scared and looking for support. 
I know that some people here are dealing with serious cancers and I don't mean to jump in and whine about one spot that was caught early. I just don't even know what this means or how everything will proceed. What if it is actually an aggressive kind? I don't know. She's not old. She's only 57.
Like I said, I'm sorry. Just looking for some support. 
Thank you guys. Wishing every one of you the best.</t>
        </is>
      </c>
      <c r="D7407" t="n">
        <v>1</v>
      </c>
      <c r="E7407" t="n">
        <v>0</v>
      </c>
      <c r="F7407">
        <f>HYPERLINK("https://www.reddit.com/r/cancer/comments/evt3u3/they_found_a_spot_on_my_mom/")</f>
        <v/>
      </c>
      <c r="G7407" t="inlineStr">
        <is>
          <t>2020-01-29 12:55:19</t>
        </is>
      </c>
      <c r="H7407" t="inlineStr"/>
    </row>
    <row r="7408">
      <c r="A7408" t="inlineStr">
        <is>
          <t>evt5li</t>
        </is>
      </c>
      <c r="B7408" t="inlineStr">
        <is>
          <t>Liver cancer experience?</t>
        </is>
      </c>
      <c r="C7408" t="inlineStr">
        <is>
          <t>Does anyone on here have experience with liver cancer? I have a few questions as my grandpa is going through it right now.</t>
        </is>
      </c>
      <c r="D7408" t="n">
        <v>1</v>
      </c>
      <c r="E7408" t="n">
        <v>0</v>
      </c>
      <c r="F7408">
        <f>HYPERLINK("https://www.reddit.com/r/cancer/comments/evt5li/liver_cancer_experience/")</f>
        <v/>
      </c>
      <c r="G7408" t="inlineStr">
        <is>
          <t>2020-01-29 12:58:22</t>
        </is>
      </c>
      <c r="H7408" t="inlineStr"/>
    </row>
    <row r="7409">
      <c r="A7409" t="inlineStr">
        <is>
          <t>evtfi8</t>
        </is>
      </c>
      <c r="B7409" t="inlineStr">
        <is>
          <t>My mom was just diagnosed with breast cancer and I don’t know if her treatment plan sounds right.</t>
        </is>
      </c>
      <c r="C7409" t="inlineStr">
        <is>
          <t>My 65 year old mom was diagnosed with ILC about a week ago and she had a consultation with a surgeon that specializes in breast cancer and other cancers. My mom opted to get a double mastectomy as opposed to a lumpectomy. The doctor said that they would biopsy a lymph node to see if the cancer has spread to her lymph nodes, but they would not need to do any type of imaging, because the cancer would spread to the lymph nodes first if it has spread.
Is there any possibility that the cancer could have spread without moving to the lymph nodes first? It seems to me like one of the first steps should be to get a PET scan, but her doctor has said otherwise. Our family has dealt with cancer too much in the last few years for me to want to take any chances.
I was also going to have my mom ask if she has a BRCA gene, and if her cancer has estrogen and progesterone receptors, as well as the HER2 protein. Her doctor hasn’t mentioned any of that, but she mentioned using Tamoxifen, so I assume my mom is ER+. Are there any other questions my mom should ask her doctor? I feel like my mom should get a second opinion, but we’re not sure what to do.</t>
        </is>
      </c>
      <c r="D7409" t="n">
        <v>1</v>
      </c>
      <c r="E7409" t="n">
        <v>12</v>
      </c>
      <c r="F7409">
        <f>HYPERLINK("https://www.reddit.com/r/cancer/comments/evtfi8/my_mom_was_just_diagnosed_with_breast_cancer_and/")</f>
        <v/>
      </c>
      <c r="G7409" t="inlineStr">
        <is>
          <t>2020-01-29 13:15:46</t>
        </is>
      </c>
      <c r="H7409" t="inlineStr"/>
    </row>
    <row r="7410">
      <c r="A7410" t="inlineStr">
        <is>
          <t>evtjag</t>
        </is>
      </c>
      <c r="B7410" t="inlineStr">
        <is>
          <t>Last steak.</t>
        </is>
      </c>
      <c r="C7410" t="inlineStr">
        <is>
          <t>Well here I am at THE KEG. Getting my steak before transplant. All meat basically has to be burned after ward so I am getting a rare striploin, mmmm Cole meat and cold beer today is going to be a good day.</t>
        </is>
      </c>
      <c r="D7410" t="n">
        <v>1</v>
      </c>
      <c r="E7410" t="n">
        <v>19</v>
      </c>
      <c r="F7410">
        <f>HYPERLINK("https://www.reddit.com/r/cancer/comments/evtjag/last_steak/")</f>
        <v/>
      </c>
      <c r="G7410" t="inlineStr">
        <is>
          <t>2020-01-29 13:22:38</t>
        </is>
      </c>
      <c r="H7410" t="inlineStr"/>
    </row>
    <row r="7411">
      <c r="A7411" t="inlineStr">
        <is>
          <t>evuira</t>
        </is>
      </c>
      <c r="B7411" t="inlineStr">
        <is>
          <t>Feeding after throat cancer</t>
        </is>
      </c>
      <c r="C7411" t="inlineStr">
        <is>
          <t>Looking for tips on feeding and nutrition after surgery.</t>
        </is>
      </c>
      <c r="D7411" t="n">
        <v>1</v>
      </c>
      <c r="E7411" t="n">
        <v>4</v>
      </c>
      <c r="F7411">
        <f>HYPERLINK("https://www.reddit.com/r/cancer/comments/evuira/feeding_after_throat_cancer/")</f>
        <v/>
      </c>
      <c r="G7411" t="inlineStr">
        <is>
          <t>2020-01-29 14:26:45</t>
        </is>
      </c>
      <c r="H7411" t="inlineStr"/>
    </row>
    <row r="7412">
      <c r="A7412" t="inlineStr">
        <is>
          <t>evvgpi</t>
        </is>
      </c>
      <c r="B7412" t="inlineStr">
        <is>
          <t>I want to join a clinical trial, but I can't because of the costs</t>
        </is>
      </c>
      <c r="C7412" t="inlineStr">
        <is>
          <t>I was thinking about joining a clinical trial, but I can't because my insurance most likely won't cover the infusion cost. The clinical trial is out of state. I am still going to research it a little further, but I believe infusions cost anywhere from $1500-2500 per session, so I would need 2 per month x 8 months  ($24000 - $40000).  I just don't see the value for a phase II clinical trial.  If I knew the drug worked and cured me , it would be one thing, but it sounds just experimental, so I just don't know if I want to bother pursuing. I am still going to see if my local oncologist can speak with the insurance company, but I don't know if it will go anywhere or not. The other option is trying to live another 11 months, and buy new health insurance that covers out of state and then maybe participate in the trail. The study is for the drug ASP1650 by Astellas Pharma.</t>
        </is>
      </c>
      <c r="D7412" t="n">
        <v>1</v>
      </c>
      <c r="E7412" t="n">
        <v>10</v>
      </c>
      <c r="F7412">
        <f>HYPERLINK("https://www.reddit.com/r/cancer/comments/evvgpi/i_want_to_join_a_clinical_trial_but_i_cant/")</f>
        <v/>
      </c>
      <c r="G7412" t="inlineStr">
        <is>
          <t>2020-01-29 15:29:54</t>
        </is>
      </c>
      <c r="H7412" t="inlineStr"/>
    </row>
    <row r="7413">
      <c r="A7413" t="inlineStr">
        <is>
          <t>evvskd</t>
        </is>
      </c>
      <c r="B7413" t="inlineStr">
        <is>
          <t>Feel like I’m in Limbo</t>
        </is>
      </c>
      <c r="C7413" t="inlineStr">
        <is>
          <t>I was diagnosed with cancer several years ago and things looked very grim. I’ve got 4 kids and have been married for 21 years now. Problem is, my husband is loyal and loving but I know he has always wanted something more, like I’m just not good enough for him. When I was diagnosed with cancer I think he secretly thought he was going to luck out and get a second chance to find a younger, healthier, prettier girl to marry and no one would blame him, they’d all feel sorry for him after everything he went through while I was battling cancer. He wanted to move to the beach and get a boat, meet someone new... And then- I beat it. I survived and he seemed so disappointed. Not openly, but I could tell, it’s just a feeling. I have gone back to work and so far, so good- it’s been 3 years and it hasn’t returned. We are still clicking along but I feel more unloved than ever. I’ve started some antidepressants and they are dulling the ache but it’s a bitter pill to swallow always feeling like I have only been “kinda loved” for over 20 years and knowing I will continue on like this for the rest of my life, I guess. I fought so hard to survive and now I daydream about driving into a tree. My kids are the only thing that keep me going honestly. I just wanted to finally get this off my chest and put it out here to see if anyone else that has survived cancer has experienced this? You were expected to die to everyone “checked out” and then you didn’t? It’s nuts.</t>
        </is>
      </c>
      <c r="D7413" t="n">
        <v>1</v>
      </c>
      <c r="E7413" t="n">
        <v>4</v>
      </c>
      <c r="F7413">
        <f>HYPERLINK("https://www.reddit.com/r/cancer/comments/evvskd/feel_like_im_in_limbo/")</f>
        <v/>
      </c>
      <c r="G7413" t="inlineStr">
        <is>
          <t>2020-01-29 15:52:39</t>
        </is>
      </c>
      <c r="H7413" t="inlineStr"/>
    </row>
    <row r="7414">
      <c r="A7414" t="inlineStr">
        <is>
          <t>evxkqb</t>
        </is>
      </c>
      <c r="B7414" t="inlineStr">
        <is>
          <t>Stage 4 Stomach Cancer - Susan Thirst for Life!</t>
        </is>
      </c>
      <c r="C7414" t="inlineStr">
        <is>
          <t>I’ve been diagnosed and living with the above since August 2019.  I’m about to do cycle 5 of  Chemo.  So far my journey hasn’t been bad and only suffered a bit of fatigued.  I am told it is incurable and the cancer can simply be managed.  Yet, I’m positive, happy and enjoying life to its fullest.  It feels like I was living with depression before Cancer and it’s now given me drive in life!  Is this normal?  Is anyone else suffering with similar and had the same change in their approach to life?</t>
        </is>
      </c>
      <c r="D7414" t="n">
        <v>1</v>
      </c>
      <c r="E7414" t="n">
        <v>7</v>
      </c>
      <c r="F7414">
        <f>HYPERLINK("https://www.reddit.com/r/cancer/comments/evxkqb/stage_4_stomach_cancer_susan_thirst_for_life/")</f>
        <v/>
      </c>
      <c r="G7414" t="inlineStr">
        <is>
          <t>2020-01-29 17:52:47</t>
        </is>
      </c>
      <c r="H7414" t="inlineStr"/>
    </row>
    <row r="7415">
      <c r="A7415" t="inlineStr">
        <is>
          <t>evxp7t</t>
        </is>
      </c>
      <c r="B7415" t="inlineStr">
        <is>
          <t>Cancer survivor here and constantly living in fear I’m going to get sick again</t>
        </is>
      </c>
      <c r="C7415" t="inlineStr">
        <is>
          <t>The cancer I had has an 85-90% mortality rate and it is incredibly rare. ~25 new cases reported in the United States each year. Globally the number probably isn’t that much higher. So basically it’s probably one of the most rare diseases in the world. It’s called a malignant rhabdoid rumor.
How did I survive this? I have no idea. I went into remission 13 years ago. Now in my late twenties I constantly live in fear of getting sick again. I often feel like I am living on borrowed time and that I must have some pretty inferior genetics to get such an aggressive and rare disease. Thus, it’s only a matter of time before I get a second cancer or some other awful, debilitating disease. Obviously I know this isn’t entirely grounded in reality, but there is some medical ptsd that I am still working through for sure. I do talk to someone about it, but there’s only so much I can do to feel better about it. 
Recently, I noticed a lump in my neck. It’s small, soft and movable and feels more like a small lipoma than anything. Urgent care NP also wasn’t worried. But now I am experiencing night sweats and have a constant low grade fever. I am very weak and fatigued. This has been going on for about a week. It doesn’t feel like any cold or flu I’ve ever had. I just feel...not like myself.
Of course I went to the doctor and asked for a CBC and that’ll be a pretty quick indicator of whether or not there’s anything concerning going on I’m sure.
In the meantime, I really wish I could get over this and enjoy my life a little bit.</t>
        </is>
      </c>
      <c r="D7415" t="n">
        <v>1</v>
      </c>
      <c r="E7415" t="n">
        <v>0</v>
      </c>
      <c r="F7415">
        <f>HYPERLINK("https://www.reddit.com/r/cancer/comments/evxp7t/cancer_survivor_here_and_constantly_living_in/")</f>
        <v/>
      </c>
      <c r="G7415" t="inlineStr">
        <is>
          <t>2020-01-29 18:01:18</t>
        </is>
      </c>
      <c r="H7415" t="inlineStr"/>
    </row>
    <row r="7416">
      <c r="A7416" t="inlineStr">
        <is>
          <t>evxpuo</t>
        </is>
      </c>
      <c r="B7416" t="inlineStr">
        <is>
          <t>They lost their mom, now the family dog?</t>
        </is>
      </c>
      <c r="C7416" t="inlineStr">
        <is>
          <t>Just a vent on this shiat road.
We lost my wife to breast cancer three years ago. Our children handled that fairly well, probably because my wife and I helped them get ready. As per usual for children our dog and cats helped them quite a bit because pets are like that (aside from my wife's cat crying for her for a few weeks, she has now adopted me). Last fall, we found a growth on our dog's chest. It was removed but it was cancer. Vet thought that was it taken care of but warned us to keep an eye out. 
Sure enough, a few weeks ago we found a lump on the dog's ear that has grown, Vet isn't sure if it is cancer, blood tests were inconclusive but she wasn't happy about the stem she saw. After my wife's fight I can read between the lines.
Surgery is tomorrow but I shuddered when I heard the hope for "clear margins" from the vet (margins were clear for my wife, four years later cancer was back for it's assassination). He is "just" a dog but he got my children through their mother's death. I don't know what we will do if he goes too.
That is all, no advice -- just needed to get this off my chest.</t>
        </is>
      </c>
      <c r="D7416" t="n">
        <v>1</v>
      </c>
      <c r="E7416" t="n">
        <v>3</v>
      </c>
      <c r="F7416">
        <f>HYPERLINK("https://www.reddit.com/r/cancer/comments/evxpuo/they_lost_their_mom_now_the_family_dog/")</f>
        <v/>
      </c>
      <c r="G7416" t="inlineStr">
        <is>
          <t>2020-01-29 18:02:26</t>
        </is>
      </c>
      <c r="H7416" t="inlineStr"/>
    </row>
    <row r="7417">
      <c r="A7417" t="inlineStr">
        <is>
          <t>evxzwj</t>
        </is>
      </c>
      <c r="B7417" t="inlineStr">
        <is>
          <t>Lately I’ve been experiencing some moments where I feel like everything will be alright. How do I hold on to that feeling?</t>
        </is>
      </c>
      <c r="C7417" t="inlineStr">
        <is>
          <t>Life is tough, but I know I don’t have to tell you guys that. I started experiencing an unexplainable pain in my foot when I was 10. It was discovered to be cancer at age 14. Chemo, radiation therapy and many surgeries between ages 14-16. Free of cancer at 17. Cancer returned 22 and I did 1 more surgery. I’m 24 now. 
I’ve gone through some difficult things, same as anyone else here. The chronic pain has been with me since I was 10 and it’s taken many things from me. I wanted to be a professional football player - hard to do with constant pain in your foot. I’ve always been good with physical stuff, but the pain took more and more of that away from me. I always knew I wanted to work with my body, footballer was the biggest dream of course, but police officer, firefighter, military were all childhood dreams of mine. When I was 18 and out of high school I struggled to get a job. I failed the physical requirements for police/firefighter/military. Not from lack of trying: I was in a lot of pain but I’ve always been relatively fit and despite it hurting, I’ve always been pretty fast. I’ve always had strength and whatever I lost during treatment I’ve long since regained. But the effect on my kidneys from chemo, my history with cancer, and chronic pain would be too much of a burden for all of the above. I get the reasoning, but still sucks being me.
My leg was amputated when the cancer returned. I run better now and I walk even better. The pain is still here, but mainly phantom limb pains. It’s pretty frequent but atleast it’s not constant. 
I think I never really noticed how my mental health deteriorated over time. When you live it, it’s hard to get perspective I guess. I went through these weird things and I lost more and more, I just kept getting worse. I could not do the things I’d always felt were my purpose and for that I’ve always felt lost. 
It sounds horrible, but lately I’ve been experiencing moments where I truly feel like everything will be alright. I never thought of it that way before. I have plans for the future, I have new dreams unrelated to the things I’ve previously lost, and every now and then I feel pretty much fine. I’ve thought for a long time that I felt fine, because how I felt before had been the ”normal” for so long. Unfortunately, now that I can see more clearly, I notice my more destructive tendencies aswell. I slip back into periods of feeling like I’m worthless, like I have no purpose, and the things I was supposed to do were taken from me. I forget that I’m on a new path and I forget all of the good things I’ve got going. I overdrink, overthink and overspend, and each time I lose a little more hope. These destructive tendencies prevent my growth and I don’t know, I feel like if I could just figure out how to cling to those moments of ”everything will be alright”, maybe I could finally rid myself of all these horrible behaviours?</t>
        </is>
      </c>
      <c r="D7417" t="n">
        <v>1</v>
      </c>
      <c r="E7417" t="n">
        <v>1</v>
      </c>
      <c r="F7417">
        <f>HYPERLINK("https://www.reddit.com/r/cancer/comments/evxzwj/lately_ive_been_experiencing_some_moments_where_i/")</f>
        <v/>
      </c>
      <c r="G7417" t="inlineStr">
        <is>
          <t>2020-01-29 18:21:16</t>
        </is>
      </c>
      <c r="H7417" t="inlineStr"/>
    </row>
    <row r="7418">
      <c r="A7418" t="inlineStr">
        <is>
          <t>evy08r</t>
        </is>
      </c>
      <c r="B7418" t="inlineStr">
        <is>
          <t>So what happens after?</t>
        </is>
      </c>
      <c r="C7418" t="inlineStr">
        <is>
          <t>My dad has been battling throat cancer (not in  the vocal cords) for over 5 years and now he has been fighting it in the strongest form. He is done all the chemo and radiation. He now has a feeding tube and a tracheotomy. Both can’t be removed until the swelling in his mouth goes away. Everyday is something new with him, emergency room, etc. Some days he acts like he’s out of it (i think from the oxycodone he takes) and other days he seems fine. Can anyone explain to me what life is like after all this stuff? I just don’t see how he lives long enough to even have the feeding tube and trach removed. Can someone please help me!</t>
        </is>
      </c>
      <c r="D7418" t="n">
        <v>1</v>
      </c>
      <c r="E7418" t="n">
        <v>3</v>
      </c>
      <c r="F7418">
        <f>HYPERLINK("https://www.reddit.com/r/cancer/comments/evy08r/so_what_happens_after/")</f>
        <v/>
      </c>
      <c r="G7418" t="inlineStr">
        <is>
          <t>2020-01-29 18:21:57</t>
        </is>
      </c>
      <c r="H7418" t="inlineStr"/>
    </row>
    <row r="7419">
      <c r="A7419" t="inlineStr">
        <is>
          <t>evy7c8</t>
        </is>
      </c>
      <c r="B7419" t="inlineStr">
        <is>
          <t>Helping my girlfriend with Stage 4 Cancer</t>
        </is>
      </c>
      <c r="C7419" t="inlineStr">
        <is>
          <t>So a bit of backstory. My girlfriend was diagnosed with a very aggressive, stage 4, form of neuroendocrine carcinoma. She has gone through three rounds of chemo, however the mass came back after the third round, when it was gone after the second round. She had been doing treatments from mid October through Christmas, and in that time, became very clouded and broke up with me. 
After she was through, and about three weeks removed from the last chemo, she was of clear mind, and we talked about everything and have since gotten back together. She is in absolute severe pain, and had an appointment to discuss further treatment. The only option was imunotherapy, which she said has a success rate of only 20%. Since then, she has not talked to me much at all, appears distant again, and feels as though I'm going to be all over her when I just want to care for her. She sleeps a lot to overcome the constant pain, but says she wants space again. She was appreciative of my help over the last month, and everything has been ok up until after her immunotherapy appointment.
I understand she's very upset and probably just wants alone time to process everything, but I'm unsure what to think about everything, and what to do when I just want to show her the love and affection she deserves, and be there by her side and help care for her. Any help is appreciated, whether it be advice, or just telling me to relax. Thanks!</t>
        </is>
      </c>
      <c r="D7419" t="n">
        <v>1</v>
      </c>
      <c r="E7419" t="n">
        <v>6</v>
      </c>
      <c r="F7419">
        <f>HYPERLINK("https://www.reddit.com/r/cancer/comments/evy7c8/helping_my_girlfriend_with_stage_4_cancer/")</f>
        <v/>
      </c>
      <c r="G7419" t="inlineStr">
        <is>
          <t>2020-01-29 18:36:18</t>
        </is>
      </c>
      <c r="H7419" t="inlineStr"/>
    </row>
    <row r="7420">
      <c r="A7420" t="inlineStr">
        <is>
          <t>evzv9f</t>
        </is>
      </c>
      <c r="B7420" t="inlineStr">
        <is>
          <t>What can we do for my mom (breast cancer but spread everywhere stage 4)??</t>
        </is>
      </c>
      <c r="C7420" t="inlineStr">
        <is>
          <t>We found out she has breast cancer, last May. Stage 4. They thought it was ovarian at first bc it spread everywhere and there's a huge mass on her urinary bladder organ so she has been using a catheter since May. But its spread everywhere including her heart (I think its small) and abdomen. 
Dr told us to try a medicine that was supposed to work, its supposedly better than regular chemo but works slower but more effectively.  We did what dr said, but in December we found out that it didnt help, the tumors didnt shrink, and grew just a tiny bit. She stopped taking it for 1/ 2 months and is doing pin point radiation now. She only had 2 treatments so far.
 But she isnt doing well at all. Shes actually doing really bad. She hasn't eaten since.... idk when. Maybe Friday. The huge problem now is her abdomen is swollen/ bloated and there's immense discomfort/pain. We thought the issue was ascites, so we thought maybe we can ask the dr to drain the fluid. But the dr said it's not and its bc the tumor is growing fast.
 She cant eat anything because she feels so full, and when she tries it makes the discomfortness worse. She is also very nauseous and vomiting.
 Anyways the issue is she cant eat and she is losing energy. I want to bring her to her 3rd radiation appt tomorrow but she said today she may not go because she feels really bad. Dr was saying to start chemo. But my mom doesnt want to bc she is already so weak she thinks chemo will make it all worse, too weak to handle it. We dont know what to do. We are panicking but also trying to stay positive especially for my mom. I don't want her to mentally give up, because once she does it's over. Feeding tube?? Idk?????</t>
        </is>
      </c>
      <c r="D7420" t="n">
        <v>1</v>
      </c>
      <c r="E7420" t="n">
        <v>4</v>
      </c>
      <c r="F7420">
        <f>HYPERLINK("https://www.reddit.com/r/cancer/comments/evzv9f/what_can_we_do_for_my_mom_breast_cancer_but/")</f>
        <v/>
      </c>
      <c r="G7420" t="inlineStr">
        <is>
          <t>2020-01-29 20:41:07</t>
        </is>
      </c>
      <c r="H7420" t="inlineStr"/>
    </row>
    <row r="7421">
      <c r="A7421" t="inlineStr">
        <is>
          <t>ew02ug</t>
        </is>
      </c>
      <c r="B7421" t="inlineStr">
        <is>
          <t>Sister may have thyroid cancer (nodule found). She won't be able to get an appointment for a biopsy for months. Is that normal?</t>
        </is>
      </c>
      <c r="C7421" t="inlineStr">
        <is>
          <t>My sister had an ultrasound and she has a nodule that is TI-RAD 5 (probably malignant). She couldn't get a consultation with an endocrinologist until early March and get GP said to just wait and see what they say before scheduling a biopsy. That will likely be for another few months. Is it normal for this to take so long? We are in Oklahoma.</t>
        </is>
      </c>
      <c r="D7421" t="n">
        <v>1</v>
      </c>
      <c r="E7421" t="n">
        <v>1</v>
      </c>
      <c r="F7421">
        <f>HYPERLINK("https://www.reddit.com/r/cancer/comments/ew02ug/sister_may_have_thyroid_cancer_nodule_found_she/")</f>
        <v/>
      </c>
      <c r="G7421" t="inlineStr">
        <is>
          <t>2020-01-29 20:58:23</t>
        </is>
      </c>
      <c r="H7421" t="inlineStr"/>
    </row>
    <row r="7422">
      <c r="A7422" t="inlineStr">
        <is>
          <t>ew0hwk</t>
        </is>
      </c>
      <c r="B7422" t="inlineStr">
        <is>
          <t>Controbute to research</t>
        </is>
      </c>
      <c r="C7422" t="inlineStr">
        <is>
          <t>Here is a fundraiser they are doing in febuary called dryfeb for canada, the cancer society has it setup. I made a link and am helping spread other links to help raise more donations so more meet their wanted goal.[cancer fundraiser](http://www.dryfeb.ca/teams/f-k-cancer-3)</t>
        </is>
      </c>
      <c r="D7422" t="n">
        <v>1</v>
      </c>
      <c r="E7422" t="n">
        <v>0</v>
      </c>
      <c r="F7422">
        <f>HYPERLINK("https://www.reddit.com/r/cancer/comments/ew0hwk/controbute_to_research/")</f>
        <v/>
      </c>
      <c r="G7422" t="inlineStr">
        <is>
          <t>2020-01-29 21:34:37</t>
        </is>
      </c>
      <c r="H7422" t="inlineStr"/>
    </row>
    <row r="7423">
      <c r="A7423" t="inlineStr">
        <is>
          <t>ew1yun</t>
        </is>
      </c>
      <c r="B7423" t="inlineStr">
        <is>
          <t>Cannabis Oil</t>
        </is>
      </c>
      <c r="C7423" t="inlineStr">
        <is>
          <t>Hi everyone! What has been your experience using Cannabis oil as a cancer treatment/tumor reduction? My husband's coworker was diagnosed with lung cancer stage 4 and nothing would work to stop the growth until he used cannabis oil. His tumor is almost gone. I'm considering using Cannabis oil as well to stop my cancer from coming back (Osteosarcoma Chrondroblastic stage 2) although I've found some scientific research on cannabis oil been catalogued a san antitumor agent which may help kill cancer cells, more research needs to be conducted. I've also seen articles on how it can do the opposite, and make cancer cells grow (every person's reaction to it is different). What has been your personal experience concerning cannabis oil?</t>
        </is>
      </c>
      <c r="D7423" t="n">
        <v>1</v>
      </c>
      <c r="E7423" t="n">
        <v>3</v>
      </c>
      <c r="F7423">
        <f>HYPERLINK("https://www.reddit.com/r/cancer/comments/ew1yun/cannabis_oil/")</f>
        <v/>
      </c>
      <c r="G7423" t="inlineStr">
        <is>
          <t>2020-01-29 23:54:52</t>
        </is>
      </c>
      <c r="H7423" t="inlineStr"/>
    </row>
    <row r="7424">
      <c r="A7424" t="inlineStr">
        <is>
          <t>ew2fso</t>
        </is>
      </c>
      <c r="B7424" t="inlineStr">
        <is>
          <t>Please send me hugs and kisses</t>
        </is>
      </c>
      <c r="C7424" t="inlineStr">
        <is>
          <t>I'm in some desperate need since my dad's cancer is spreading. I couldn't stop crying in class and had to go talk with the school nurse to help calm myself down
I got the day off, and i'm home now. My dad cried with me when i got back. ❤️❤️</t>
        </is>
      </c>
      <c r="D7424" t="n">
        <v>1</v>
      </c>
      <c r="E7424" t="n">
        <v>10</v>
      </c>
      <c r="F7424">
        <f>HYPERLINK("https://www.reddit.com/r/cancer/comments/ew2fso/please_send_me_hugs_and_kisses/")</f>
        <v/>
      </c>
      <c r="G7424" t="inlineStr">
        <is>
          <t>2020-01-30 00:45:43</t>
        </is>
      </c>
      <c r="H7424" t="inlineStr"/>
    </row>
    <row r="7425">
      <c r="A7425" t="inlineStr">
        <is>
          <t>ew3e50</t>
        </is>
      </c>
      <c r="B7425" t="inlineStr">
        <is>
          <t>How can I stop myself from feeling guilty?</t>
        </is>
      </c>
      <c r="C7425" t="inlineStr">
        <is>
          <t>Hi everyone! If you’ve followed along with my posts you would know my story but If not I’ll trim it down for you rn so you don’t have to scroll all the way back to the beginning! Basically a week before my 17th birthday (October 2019) they found a tumour on my mums lung and had mets to the brain we did one huge session of radiation for the ones on the brain and a week full of radiation for her lung one, in November we found out she was stage 4 incurable lung cancer my mum can’t walk anymore and more cancer has grown, and she is now staying in hospital so she stops getting infections, during all of this I’ve stayed by her side and cancelled most of my plans with every single friend to be with her, I used to stay at my bfs house every second weekend to have a break but every single time I would stay she would be rushed into hospital, this has now created a fear inside of me even now despite her being in the care of professionals I can’t go to his house because of this fear, next week he wanted to take me to a musical festival and we’ve been planning on this for a while now (he bought me my ticket and everything) but for some reason every time he brings up about leaving the house and being an hour away, I get sick I literally vomit I am so terrified to leave incase something happens and I’m not there for it, there is so much built up guilt from the last time I went out because she had seizures and ended up in the hospital again and I wasn’t there to help her or keep my siblings calm I am so terrified of something  happening again and I know I shouldn’t be because she’s safe but it’s still that huge fear I know I have the option of not going, my bf completely understands if I don’t want to but my sister is also telling me to go and have a break and be a normal teenager for once but I still have this huge guilt inside of me about leaving incase something happens idk if any of this made sense and I’m incredibly sorry for any grammar mistakes but it’s really really hard to put into words what I’m trying to say, thank you all for reading and continuing to send your support and love to me and my family it means the world it truly does &amp;lt;3</t>
        </is>
      </c>
      <c r="D7425" t="n">
        <v>1</v>
      </c>
      <c r="E7425" t="n">
        <v>5</v>
      </c>
      <c r="F7425">
        <f>HYPERLINK("https://www.reddit.com/r/cancer/comments/ew3e50/how_can_i_stop_myself_from_feeling_guilty/")</f>
        <v/>
      </c>
      <c r="G7425" t="inlineStr">
        <is>
          <t>2020-01-30 02:30:30</t>
        </is>
      </c>
      <c r="H7425" t="inlineStr"/>
    </row>
    <row r="7426">
      <c r="A7426" t="inlineStr">
        <is>
          <t>ew555s</t>
        </is>
      </c>
      <c r="B7426" t="inlineStr">
        <is>
          <t>Lung cancer response to self-administration of cannabidiol: A case report and literature review</t>
        </is>
      </c>
      <c r="C7426" t="inlineStr">
        <is>
          <t>Hi Everyone. I had posted a similar post earlier today but my post was removed by the moderators, I'm thinking because perhaps cannabis oil falls within a holistic medicine? I'm posting again, but this time I'm including an academic/scientific case report concerning lung cancer and cannabis oil. In summary:  A patient with adenocarcinoma of the lung who, after declining chemotherapy and radiotherapy, presented with tumour response following self-administration of cannabidiol (tumor shrank significantly).  Prior work has shown that cannabidiol may have anti-neoplastic properties and enhance the immune response to cancer. The data presented here indicate that cannabidiol might have led to a striking response in a patient with lung cancer. 
Based on the aforementioned, has any of you had any experience concerning cannabis oil and how it has affected your cancer as a treatment? My cancer is Osteosarcoma Chondroblastic stage II (a rare type of cancer) - I was in remission for around a year, until it came back to my lungs. I went through Chemotherapy and surgery, and I'm most likely under remission (further CT scan needs to be made to confirm), however, I will have chemotherapy again (with a variation of medications) as this type of cancer is very aggressive and tends to come back.</t>
        </is>
      </c>
      <c r="D7426" t="n">
        <v>1</v>
      </c>
      <c r="E7426" t="n">
        <v>0</v>
      </c>
      <c r="F7426">
        <f>HYPERLINK("https://www.reddit.com/r/cancer/comments/ew555s/lung_cancer_response_to_selfadministration_of/")</f>
        <v/>
      </c>
      <c r="G7426" t="inlineStr">
        <is>
          <t>2020-01-30 05:05:27</t>
        </is>
      </c>
      <c r="H7426" t="inlineStr"/>
    </row>
    <row r="7427">
      <c r="A7427" t="inlineStr">
        <is>
          <t>ew587u</t>
        </is>
      </c>
      <c r="B7427" t="inlineStr">
        <is>
          <t>Lung cancer response to self-administration of cannabidiol: A case report and literature review</t>
        </is>
      </c>
      <c r="C7427" t="inlineStr">
        <is>
          <t>Hi Everyone. I had posted a similar post earlier today but my post was removed by the moderators, I'm thinking because perhaps cannabis oil falls within a holistic medicine? I'm posting again, but this time I'm including an academic/scientific case report concerning lung cancer and cannabis oil. In summary: A patient with adenocarcinoma of the lung who, after declining chemotherapy and radiotherapy, presented with tumour response following self-administration of cannabidiol (tumor shrank significantly). Prior work has shown that cannabidiol may have anti-neoplastic properties and enhance the immune response to cancer. The data presented here indicate that cannabidiol might have led to a striking response in a patient with lung cancer.
My cancer is Osteosarcoma Chondroblastic stage II (a rare type of cancer) - I was in remission for around a year, until it came back to my lungs. I went through Chemotherapy and surgery, and I'm most likely under remission (further CT scan needs to be made to confirm), however, I will have chemotherapy again (with a variation of medications) as this type of cancer is very aggressive and tends to come back.
Based on the aforementioned, has any of you had any experience concerning cannabis oil and how it has affected your cancer as a treatment?</t>
        </is>
      </c>
      <c r="D7427" t="n">
        <v>1</v>
      </c>
      <c r="E7427" t="n">
        <v>3</v>
      </c>
      <c r="F7427">
        <f>HYPERLINK("https://www.reddit.com/r/cancer/comments/ew587u/lung_cancer_response_to_selfadministration_of/")</f>
        <v/>
      </c>
      <c r="G7427" t="inlineStr">
        <is>
          <t>2020-01-30 05:11:58</t>
        </is>
      </c>
      <c r="H7427" t="inlineStr"/>
    </row>
    <row r="7428">
      <c r="A7428" t="inlineStr">
        <is>
          <t>ew58t6</t>
        </is>
      </c>
      <c r="B7428" t="inlineStr">
        <is>
          <t>Great news!!! I am still in tears and disbelief.</t>
        </is>
      </c>
      <c r="C7428" t="inlineStr">
        <is>
          <t>Hey guys,
As some of you may remember, my mom has been battling metastatic lung cancer (NSCLC - large cell or NOS) since June 2019. She had metastectomy of the spine (6 hour surgery involving titanium planks for stabilization), then IMRT of the spine, then four cycles of immunochemotherapy and now she receives Keytruda only. 
Today, we had the first control PET scan after four cycles of chemo and Keytruda and two Keytruda-only infusions.
ALL her metastatic sites have DISAPPEARED. Her huge spine met (78x54mm) has gone. Her adrenal gland met has gone. Her bone mets have gone. Her mediastinal lymph nodes have cleared. All satellite nodules in the lungs have gone. Her main tumor has shrunk from 88x64mm to 19mm at most. 
Her doctors looked at the PET report today and could not believe their eyes. I cried. Mom cried. They looked confused. We looked flabbergasted. It was just a huge mess of happiness, confusion and sheer “how did this happen” reactions. The results surpassed my wildest dreams. Especially since mom’s PD1 negative so she had a very small chance of responding to immunotherapy.
Next, we’ll do SBRT of the original site and doctors hope to end that saga with that last, final blow. My mom will stay on Keytruda for at least two years in the absence of any adverse event.
Still cannot believe what’s happening. My emotions today have ranged from sheer happiness to shock (like I cannot internalize that information) to fear of that beast returning. How do you deal with all of that? 
Also, thank you for all the relentless support while I scribbled posts while under massive scanxiety. I will keep you updated as we move forward.</t>
        </is>
      </c>
      <c r="D7428" t="n">
        <v>1</v>
      </c>
      <c r="E7428" t="n">
        <v>61</v>
      </c>
      <c r="F7428">
        <f>HYPERLINK("https://www.reddit.com/r/cancer/comments/ew58t6/great_news_i_am_still_in_tears_and_disbelief/")</f>
        <v/>
      </c>
      <c r="G7428" t="inlineStr">
        <is>
          <t>2020-01-30 05:13:08</t>
        </is>
      </c>
      <c r="H7428" t="inlineStr"/>
    </row>
    <row r="7429">
      <c r="A7429" t="inlineStr">
        <is>
          <t>ew5spo</t>
        </is>
      </c>
      <c r="B7429" t="inlineStr">
        <is>
          <t>Just saying hello</t>
        </is>
      </c>
      <c r="C7429" t="inlineStr">
        <is>
          <t>I'm having surgery on February 5th to remove a 7cm neuroendocrine tumor from my pancreas. My surgical oncologist won't know if he can save any of my pancreas until he's opened me up and examined things. So, basically, I won't know if I'm a "brittle" diabetic until I wake up post-op and can focus through the pain meds. I'm not nervous about the procedure, I'm just nervous about this outcome.   
I have some support, but had a friend bail on me just yesterday for selfish reasons and that kinda hurt. I have a cousin who is basically like a sister to me who is 100% with me and it means the world to me.   
Stay strong all you peeps reading this, I love and support you!</t>
        </is>
      </c>
      <c r="D7429" t="n">
        <v>1</v>
      </c>
      <c r="E7429" t="n">
        <v>5</v>
      </c>
      <c r="F7429">
        <f>HYPERLINK("https://www.reddit.com/r/cancer/comments/ew5spo/just_saying_hello/")</f>
        <v/>
      </c>
      <c r="G7429" t="inlineStr">
        <is>
          <t>2020-01-30 05:56:45</t>
        </is>
      </c>
      <c r="H7429" t="inlineStr"/>
    </row>
    <row r="7430">
      <c r="A7430" t="inlineStr">
        <is>
          <t>ew6bev</t>
        </is>
      </c>
      <c r="B7430" t="inlineStr">
        <is>
          <t>Retirement</t>
        </is>
      </c>
      <c r="C7430" t="inlineStr">
        <is>
          <t>I was diagnosed in my early 40s with a very aggressive cancer. 
I am in such dire economical straits. I’m living day to day but still have stress about what will become of me if I happen to live a long life. But does anyone else out there, either still actively fighting or even in remission, feel like what’s the point, that you might not live long enough to even have a retirement so why bother worrying about setting yourself up for the future? While at the same time completely stressing out about the future?
I don’t know if this question makes sense.</t>
        </is>
      </c>
      <c r="D7430" t="n">
        <v>1</v>
      </c>
      <c r="E7430" t="n">
        <v>5</v>
      </c>
      <c r="F7430">
        <f>HYPERLINK("https://www.reddit.com/r/cancer/comments/ew6bev/retirement/")</f>
        <v/>
      </c>
      <c r="G7430" t="inlineStr">
        <is>
          <t>2020-01-30 06:35:21</t>
        </is>
      </c>
      <c r="H7430" t="inlineStr"/>
    </row>
    <row r="7431">
      <c r="A7431" t="inlineStr">
        <is>
          <t>ew6qyj</t>
        </is>
      </c>
      <c r="B7431" t="inlineStr">
        <is>
          <t>Update on my wife's lymphoma, it's not good but not bad, but glad we got a second opinion!</t>
        </is>
      </c>
      <c r="C7431" t="inlineStr">
        <is>
          <t>I posted a few days ago asking if my wife's current oncologist was being too optimistic. She just finished her 6 cycles (12 treatments) of A+AVD to cure classic Hodgkin's lymphoma. She had a very good prognosis even at Stage IV with bulky characteristics, lung involvement and masses above and below the diaphragm. 
Her last oncologist did a full body CT scan between her 5th and 6th cycle because she was feeling large lymph nodes in her neck that were varying in size. 3 weeks ago, the day of her final treatment, the oncologist simply told us "everything looked good", no further treatment plan yet, and told her she didn't need to get a PET scan until April which we thought was odd. He also didn't show her the images as he did with her other scans.
Over the past 2 weeks she was getting night sweats and mild fevers again. She contacted her oncologist who wrote it off as possibly chemotherapy induced menopause (she's early 30s still). Then she ended up reading her CT scan results on her eChart, which mentioned large masses in her chest still, that were unchanged or only showed marginal improvement form her PET scan between cycle 2 and 3. This freaked her out, so we immediately sought a second opinion and got a next day appointment with a different oncologist at a different hospital.
First off the Oncologist that we saw Tuesday explained things so much better to us. He said he would have done a PET scan between cycle 4 and 5, and then would have had a PET scan done 2 weeks after her cycles were completed. He was very concerned with what he saw on the latest CT scan, and couldn't understand why her first oncologist wanted to wait over 2 months to do a PET scan. 
She has a PET scan scheduled for tomorrow morning, and will hopefully have results the same day. The new oncologist warned that there's a high likelihood that she's only in partial remission and will need to start a new type of chemotherapy for refractory lymphoma. We'll find everything out next week.</t>
        </is>
      </c>
      <c r="D7431" t="n">
        <v>1</v>
      </c>
      <c r="E7431" t="n">
        <v>6</v>
      </c>
      <c r="F7431">
        <f>HYPERLINK("https://www.reddit.com/r/cancer/comments/ew6qyj/update_on_my_wifes_lymphoma_its_not_good_but_not/")</f>
        <v/>
      </c>
      <c r="G7431" t="inlineStr">
        <is>
          <t>2020-01-30 07:06:03</t>
        </is>
      </c>
      <c r="H7431" t="inlineStr"/>
    </row>
    <row r="7432">
      <c r="A7432" t="inlineStr">
        <is>
          <t>ew7ab6</t>
        </is>
      </c>
      <c r="B7432" t="inlineStr">
        <is>
          <t>Rough week</t>
        </is>
      </c>
      <c r="C7432" t="inlineStr">
        <is>
          <t>I don’t even know where to start.. my moms husband, who will now be called step-dad died Monday. He was diagnosed with lung cancer back in May. Mom and him got married so she’d be taken care of if something happened. He was responding well to treatment, the tumor shrank and he moved on to immunotherapy. We thought he was gonna be around for many more years, the universe had a different plan. Things had been a bit rocky the last few months, he started sleeping a lot, drinking all hours of the day and night, he still smoked, he was falling a lot, his moods changed a bit. When we (me, fiancé and son) went over for Christmas he looked different. His face was puffy, he was slow moving and fragile, like a puffier shell of the man he was. He slept most of the time we were there. My mom is utterly lost cuz they had only been married for 8 months and suddenly she’s a widow. It’s new territory for her. 
I’m having a hard time wrapping my head around it. Him dying never really seemed like a possibility to me. I thought he was gonna be better and be around to watch my son grow up. I’m also dealing with some guilt about not seeing him more. Like on weekends, If fiancé wasn’t working, we could’ve just taken a trip and stopped in to see them. I could’ve taken more pictures of him with my son. I don’t think I have any of them together for my son to look back on when he’s older. I had to tell my 5 yr old that pap pap was gone and then watch his little world crumble. He was my step-dads monster truck buddy. They were supposed to drive around the neighborhood in the jacked up truck Step-dad had. 
I feel like he died not knowing how much I loved and appreciated him for treating my mom like he did. He was the first man my moms been with who actually welcomed me with open arms and fully understood that my mom is all I have in the way of family. He worried about me, constantly asked about me and my son, told me and told my mom constantly he was proud of me n fiancé for how we’re raising our son, how well mannered and smart he is.
Anyways, thanks for listening :)</t>
        </is>
      </c>
      <c r="D7432" t="n">
        <v>1</v>
      </c>
      <c r="E7432" t="n">
        <v>1</v>
      </c>
      <c r="F7432">
        <f>HYPERLINK("https://www.reddit.com/r/cancer/comments/ew7ab6/rough_week/")</f>
        <v/>
      </c>
      <c r="G7432" t="inlineStr">
        <is>
          <t>2020-01-30 07:44:10</t>
        </is>
      </c>
      <c r="H7432" t="inlineStr"/>
    </row>
    <row r="7433">
      <c r="A7433" t="inlineStr">
        <is>
          <t>ew7j29</t>
        </is>
      </c>
      <c r="B7433" t="inlineStr">
        <is>
          <t>Home testing for asbestos/mold</t>
        </is>
      </c>
      <c r="C7433" t="inlineStr">
        <is>
          <t>First time posting here. Hope this is the appropriate sub. A friend’s parents are diagnosed with the same type of lung cancer within months of each other. Stage 3 and 4.  Non smokers. Is there an organization or the CDC for example which has a service coming out to the home to test for mold/asbestos? Is there a lawyer in NY State who specializes in this?</t>
        </is>
      </c>
      <c r="D7433" t="n">
        <v>1</v>
      </c>
      <c r="E7433" t="n">
        <v>1</v>
      </c>
      <c r="F7433">
        <f>HYPERLINK("https://www.reddit.com/r/cancer/comments/ew7j29/home_testing_for_asbestosmold/")</f>
        <v/>
      </c>
      <c r="G7433" t="inlineStr">
        <is>
          <t>2020-01-30 07:59:50</t>
        </is>
      </c>
      <c r="H7433" t="inlineStr"/>
    </row>
    <row r="7434">
      <c r="A7434" t="inlineStr">
        <is>
          <t>ew8b59</t>
        </is>
      </c>
      <c r="B7434" t="inlineStr">
        <is>
          <t>SURVEY! College capstone project, need info from cancer survivors/those with cancer. THANK YOU!</t>
        </is>
      </c>
      <c r="C7434" t="inlineStr">
        <is>
          <t>Hi! I am a cancer survivor (pediatric osteosarcoma) and currently a senior in college studying graphic design. For my capstone project, I am designing a theoretical app (and branding) for young adults with cancer. I am in the stage of identifying needs from this demographic. If this is you, please help me out and take my survey: [https://forms.gle/FAPL6gYi5UT87fsj6](https://forms.gle/FAPL6gYi5UT87fsj6)
\*\*\*This is anonymous and the project is for a university. This app is just my design project and will not be coded/published in reality.
If anyone has anything they'd like to contribute, please leave a comment. And I apologize if this is against the sub's rules!
THANK YOU!</t>
        </is>
      </c>
      <c r="D7434" t="n">
        <v>1</v>
      </c>
      <c r="E7434" t="n">
        <v>1</v>
      </c>
      <c r="F7434">
        <f>HYPERLINK("https://www.reddit.com/r/cancer/comments/ew8b59/survey_college_capstone_project_need_info_from/")</f>
        <v/>
      </c>
      <c r="G7434" t="inlineStr">
        <is>
          <t>2020-01-30 08:48:31</t>
        </is>
      </c>
      <c r="H7434" t="inlineStr"/>
    </row>
    <row r="7435">
      <c r="A7435" t="inlineStr">
        <is>
          <t>ew8sd9</t>
        </is>
      </c>
      <c r="B7435" t="inlineStr">
        <is>
          <t>Hair help please!</t>
        </is>
      </c>
      <c r="C7435" t="inlineStr">
        <is>
          <t>I had my first round of RCHOP chemo 3 weeks ago and my hair is falling out very quickly as expected! I had very long, thick, wavy hair and starting 2 days ago clumps have been coming out. I would say I'm now at the point where it is starting to look noticeably thinner. Running my hand through my hair produces a handful of shedded hair. 
How do people smoothly transition from hair to no hair?? The long hair constantly falling out is messy and driving me crazy. I'm at work and I've just been putting the hair in my trash can and hoping the cleaning lady doesn't ask questions. 
I have a wig but it doesn't fit right since I still have hair. But I don't want to let my hair get to the point where it looks patchy. And it's awkward constantly shedding in public. I could shave it all off or really short at least. But then wouldn't I just be shedding shorter hairs? I feel like I'm missing some kind of cancer patient secret here. Like how does a woman transition gracefully from beautiful long hair to bald?</t>
        </is>
      </c>
      <c r="D7435" t="n">
        <v>1</v>
      </c>
      <c r="E7435" t="n">
        <v>16</v>
      </c>
      <c r="F7435">
        <f>HYPERLINK("https://www.reddit.com/r/cancer/comments/ew8sd9/hair_help_please/")</f>
        <v/>
      </c>
      <c r="G7435" t="inlineStr">
        <is>
          <t>2020-01-30 09:18:02</t>
        </is>
      </c>
      <c r="H7435" t="inlineStr"/>
    </row>
    <row r="7436">
      <c r="A7436" t="inlineStr">
        <is>
          <t>ew925g</t>
        </is>
      </c>
      <c r="B7436" t="inlineStr">
        <is>
          <t>How do you keep going?</t>
        </is>
      </c>
      <c r="C7436" t="inlineStr">
        <is>
          <t>I read everyone's stories and everybody here is so strong. 
My brother had stage 2 astrocytoma of the brain. He's 22. I'm 20. He's my only sibling. 
He's gone from a very bright and witty young man to someone who struggles to dress themselves and go about the day. He migrates between the bathroom and couch most days. 
He gets very confused and sometimes falls asleep in the bathroom. The steroids he's on for the inflammation for be brain makes him very moody and he has a hard time sleeping. 
I'm an anxious person by nature but everything sucks rn. We came off 2 days of hell where he spent the entire time in the bathroom. I literally slid him some cheese burgers from McDonald's under the door because I knew it'd make him happy. 
I don't know how much time we have left and it terrifies me. 
I am in my last semester of college and I'm taking 6 credit hours but I'm such an anxious wreck I feel like I'm doomed. I leave the house and feel like I'm going to die. My anxiety is off the charts and I'm terrified of failing g but my family doesn't want me to give up just because of this. 
My dad is driving me to my classes (2 days a week rn) because I'm like this. How do you guys do it? I don't want to be an only child. He's my brother. 
I just feel like such a fuck up. And it shouldn't even be about me it should be about him. I think he's dying and I hope to God he doesn't realize it. 
I have to go see my counselor. I don't know how you guys keep going and working and living thru all this. I have anxiety and other issues and it's like my world stopped when. My brother got sick. 
I worry I'm using it as an excuse to sit at home and give up but there's so much stress I don't know what else to do. 
Please talk to me.</t>
        </is>
      </c>
      <c r="D7436" t="n">
        <v>1</v>
      </c>
      <c r="E7436" t="n">
        <v>6</v>
      </c>
      <c r="F7436">
        <f>HYPERLINK("https://www.reddit.com/r/cancer/comments/ew925g/how_do_you_keep_going/")</f>
        <v/>
      </c>
      <c r="G7436" t="inlineStr">
        <is>
          <t>2020-01-30 09:35:25</t>
        </is>
      </c>
      <c r="H7436" t="inlineStr"/>
    </row>
    <row r="7437">
      <c r="A7437" t="inlineStr">
        <is>
          <t>ewav36</t>
        </is>
      </c>
      <c r="B7437" t="inlineStr">
        <is>
          <t>How Long Did You Experience "Brain Fog" After Chemo?</t>
        </is>
      </c>
      <c r="C7437" t="inlineStr">
        <is>
          <t>Hi, I just finished finished chemotherapy a few weeks ago. I am experiencing a lot of "mental fog" or "brain fog". I find it much more difficult to hold conversations, do any critical thinking, etc. I am honestly pretty scared that it may be permanent. My question is for others that have gone through chemo. Did you regain your mental clarity, and how long did it take?</t>
        </is>
      </c>
      <c r="D7437" t="n">
        <v>1</v>
      </c>
      <c r="E7437" t="n">
        <v>12</v>
      </c>
      <c r="F7437">
        <f>HYPERLINK("https://www.reddit.com/r/cancer/comments/ewav36/how_long_did_you_experience_brain_fog_after_chemo/")</f>
        <v/>
      </c>
      <c r="G7437" t="inlineStr">
        <is>
          <t>2020-01-30 11:33:24</t>
        </is>
      </c>
      <c r="H7437" t="inlineStr"/>
    </row>
    <row r="7438">
      <c r="A7438" t="inlineStr">
        <is>
          <t>ewaxcr</t>
        </is>
      </c>
      <c r="B7438" t="inlineStr">
        <is>
          <t>Looking for a bit of guidance</t>
        </is>
      </c>
      <c r="C7438" t="inlineStr">
        <is>
          <t>Just a bit of back story my name is Lou I’m 20 years old. 
Over the past year my mom got a terminal diagnosis and it’s really rocked my world.
I’ve tried to use weed to cope and it truly didn’t help I regret ever doing it as it’s temporarily set me back in life. 
As far as it goes I’m trying to join the military I want to have a healthy mind I just want to feel normal again and that truly seems so hard to do.
I workout as I’m trying to lose weight to join so I love being able to go in the gym and work on myself. 
I’ve contemplated suicide a few different times as it just seems unfair this amazing person in my life got sick and there isn’t a fucking thing I can do about it.
I guess you could say I’m very angry at the world I’m sad with myself and what I’m facing. I’m just really looking for some guidance on how to combat these feelings and turn this energy into positivity.
I’m so tired of seeing my mom cry and it just takes such a toll on my mind having my mom worry about how much time she has left with her 6 kids and it truly seems like no one cares for what I’m going through or what my family is going through. It’s like “well it’s not my mom so it doesn’t matter.” I’m just so scared of the future. 
My mom says she’s tired a lot and I know she wants to fight and I’ll be here till the end but I’m worried what am I supposed to do with myself when that time comes ?
 I know I’m not ready I just hide my feelings around her so she doesn’t know what I’m going through mentally, but it’s begin to take affect me as well and I can tell it’s starting to do some damage on my mind. 
I’m just truly crying out and asking for some help.</t>
        </is>
      </c>
      <c r="D7438" t="n">
        <v>1</v>
      </c>
      <c r="E7438" t="n">
        <v>4</v>
      </c>
      <c r="F7438">
        <f>HYPERLINK("https://www.reddit.com/r/cancer/comments/ewaxcr/looking_for_a_bit_of_guidance/")</f>
        <v/>
      </c>
      <c r="G7438" t="inlineStr">
        <is>
          <t>2020-01-30 11:37:39</t>
        </is>
      </c>
      <c r="H7438" t="inlineStr"/>
    </row>
    <row r="7439">
      <c r="A7439" t="inlineStr">
        <is>
          <t>ewc4a6</t>
        </is>
      </c>
      <c r="B7439" t="inlineStr">
        <is>
          <t>Carbon Ion Radiation for Prostate Cancer</t>
        </is>
      </c>
      <c r="C7439" t="inlineStr">
        <is>
          <t>Has anyone used Carbon Ion radiation in another country for prostate cancer?  I read Mayo is bringing one to Jacksonville in 2025 but that doesn't help anyone now.  How much does it cost if you go to say, Germany?</t>
        </is>
      </c>
      <c r="D7439" t="n">
        <v>1</v>
      </c>
      <c r="E7439" t="n">
        <v>6</v>
      </c>
      <c r="F7439">
        <f>HYPERLINK("https://www.reddit.com/r/cancer/comments/ewc4a6/carbon_ion_radiation_for_prostate_cancer/")</f>
        <v/>
      </c>
      <c r="G7439" t="inlineStr">
        <is>
          <t>2020-01-30 12:55:53</t>
        </is>
      </c>
      <c r="H7439" t="inlineStr"/>
    </row>
    <row r="7440">
      <c r="A7440" t="inlineStr">
        <is>
          <t>ewceip</t>
        </is>
      </c>
      <c r="B7440" t="inlineStr">
        <is>
          <t>Testicular cancer?</t>
        </is>
      </c>
      <c r="C7440" t="inlineStr">
        <is>
          <t>A family friend of mine has just been diagnosed with testicular cancer. He is 21 years old. How can I support him through this difficult time/his chemotherapy?</t>
        </is>
      </c>
      <c r="D7440" t="n">
        <v>1</v>
      </c>
      <c r="E7440" t="n">
        <v>4</v>
      </c>
      <c r="F7440">
        <f>HYPERLINK("https://www.reddit.com/r/cancer/comments/ewceip/testicular_cancer/")</f>
        <v/>
      </c>
      <c r="G7440" t="inlineStr">
        <is>
          <t>2020-01-30 13:13:07</t>
        </is>
      </c>
      <c r="H7440" t="inlineStr"/>
    </row>
    <row r="7441">
      <c r="A7441" t="inlineStr">
        <is>
          <t>ewes03</t>
        </is>
      </c>
      <c r="B7441" t="inlineStr">
        <is>
          <t>Type of doctor or specialist recommendation?</t>
        </is>
      </c>
      <c r="C7441" t="inlineStr">
        <is>
          <t>Hello- It was suggested I re-post my post to my local subreddit here, as someone thought people here might have experience with my challenge (below.) The family member described below also has a lung cancer diagnosis, but they are not doing any treatments for the cancer just yet, as they are still figuring out some of the diagnostics. Thank you! 
I've been asked by a family member who gets medical care at the VA to assist him with finding a doctor and/or specialist who can review his long list of medications to see if there is any way to decrease the number of medications he is taking. His PCP and the specialists he sees at the VA seem to want him to keep adding more to the list of medications; he has been experiencing lots of negative side effects from the medications and would like to have them reviewed.
I am not asking for health advice, but would love to know if anyone has experience with a doctor or specialist in Portland (or surrounding area) who has been helpful in decreasing the number of medications a patient is on or at least taking the time to review the medications and my family member's case to make sure there are not any unnecessary medications. We have not had any luck at the VA getting someone to listen to his concerns or take the time to review the overall case with us, from a medications and side effects perspective.
I've been thinking that having some sort of outside perspective on his case and medications could be super helpful, but I am not even sure if that is a thing doctors do! And if so, I have been unsure of how to find the right person. If it is useful, he has been diagnosed with 2 auto-immune diseases in addition to several other health concerns, and is on 12 dif medications (might be 13 now).
AFAIK, he has good insurance: care through the VA + TriCare + Medicare (or Medicaid, not sure which), so I think that would cover this sort of thing.
Thank you in advance!</t>
        </is>
      </c>
      <c r="D7441" t="n">
        <v>1</v>
      </c>
      <c r="E7441" t="n">
        <v>0</v>
      </c>
      <c r="F7441">
        <f>HYPERLINK("https://www.reddit.com/r/cancer/comments/ewes03/type_of_doctor_or_specialist_recommendation/")</f>
        <v/>
      </c>
      <c r="G7441" t="inlineStr">
        <is>
          <t>2020-01-30 15:41:22</t>
        </is>
      </c>
      <c r="H7441" t="inlineStr"/>
    </row>
    <row r="7442">
      <c r="A7442" t="inlineStr">
        <is>
          <t>ewf6ny</t>
        </is>
      </c>
      <c r="B7442" t="inlineStr">
        <is>
          <t>Lymphoma help.</t>
        </is>
      </c>
      <c r="C7442" t="inlineStr">
        <is>
          <t>On oct 18 of 2019 I was diagnosed with Burketts lymphoma. And after failed chemo and 30 treatments of radiation. Ive been told I will either have to do stem cell transplant or have to be directed to clinical trials. I feel completely overwhelmed and dont understand how irt all can go so quickly any advice from yall would be much appreciated.</t>
        </is>
      </c>
      <c r="D7442" t="n">
        <v>1</v>
      </c>
      <c r="E7442" t="n">
        <v>8</v>
      </c>
      <c r="F7442">
        <f>HYPERLINK("https://www.reddit.com/r/cancer/comments/ewf6ny/lymphoma_help/")</f>
        <v/>
      </c>
      <c r="G7442" t="inlineStr">
        <is>
          <t>2020-01-30 16:06:56</t>
        </is>
      </c>
      <c r="H7442" t="inlineStr"/>
    </row>
    <row r="7443">
      <c r="A7443" t="inlineStr">
        <is>
          <t>ewghh2</t>
        </is>
      </c>
      <c r="B7443" t="inlineStr">
        <is>
          <t>Nervous about PET scan</t>
        </is>
      </c>
      <c r="C7443" t="inlineStr">
        <is>
          <t>I'm going in for a pet scan tomorrow. I had a mastectomy done 3 weeks ago... Stage 2B
Tumor was 5cm and 1/6 lymphnodes were positive for cancer. My tumor was non aggressive grade 2. Her2- and EP+
So not only do I need another expensive test... I have to wait 2-3 business days to get the results to see if the cancer spread past my lymphnodes.
I just wish my doctor would say you have % chance of this having spread... Not some vague answer of its high enough I am concerned to order this test. I'll do it like I have for my past tests... Try to not think about it... Enjoy YouTube, play video games, not talk about it..... Then dash to my phone everytime it rings. 
I understand Walter white beating the paper dispenser in the bathroom at the Dr office now in breaking bad
I'm tired of hearing the words concerned or suspicious. Never thought I'd be a 32 year old male worrying about fucking cancer. Next is chemo, radiation, then an estrogen blocking pill for 5 years.</t>
        </is>
      </c>
      <c r="D7443" t="n">
        <v>2</v>
      </c>
      <c r="E7443" t="n">
        <v>14</v>
      </c>
      <c r="F7443">
        <f>HYPERLINK("https://www.reddit.com/r/cancer/comments/ewghh2/nervous_about_pet_scan/")</f>
        <v/>
      </c>
      <c r="G7443" t="inlineStr">
        <is>
          <t>2020-01-30 17:36:56</t>
        </is>
      </c>
      <c r="H7443" t="inlineStr"/>
    </row>
    <row r="7444">
      <c r="A7444" t="inlineStr">
        <is>
          <t>ewhjh9</t>
        </is>
      </c>
      <c r="B7444" t="inlineStr">
        <is>
          <t>Calling all dietary experts: Esophageal cancer.</t>
        </is>
      </c>
      <c r="C7444" t="inlineStr">
        <is>
          <t>My father in law was diagnosed with an esophageal tumor staged at T3 N1-2. He will begin radiation and chemo therapy soon and I want to help by researching the best nutritional diet plan to help him fight through this harrowing treatment. I'm hoping the magic of Reddit can help me find advice, tips, recipes, and/or meal plans to help him keep his weight up, stay as healthy as possible, and fight his cancer. 
Please help by sharing and resources you can. 
Thank you in advance and also keep being awesome.
Edit:
We will, of course, be working with a registered dietitian as part of his treatment plan. Just looking for advice or recipes.</t>
        </is>
      </c>
      <c r="D7444" t="n">
        <v>1</v>
      </c>
      <c r="E7444" t="n">
        <v>4</v>
      </c>
      <c r="F7444">
        <f>HYPERLINK("https://www.reddit.com/r/cancer/comments/ewhjh9/calling_all_dietary_experts_esophageal_cancer/")</f>
        <v/>
      </c>
      <c r="G7444" t="inlineStr">
        <is>
          <t>2020-01-30 18:51:28</t>
        </is>
      </c>
      <c r="H7444" t="inlineStr"/>
    </row>
    <row r="7445">
      <c r="A7445" t="inlineStr">
        <is>
          <t>ewhyuf</t>
        </is>
      </c>
      <c r="B7445" t="inlineStr">
        <is>
          <t>Do you have any idea what caused your cancer?</t>
        </is>
      </c>
      <c r="C7445" t="inlineStr">
        <is>
          <t>A month ago I was diagnosed with colon cancer at the age of 44. Fortunately it was caught at stage 1 and all signs of cancer were removed during surgery. 
I wish I knew what caused my cancer but I actually have no idea. From what I understand, benign polyps in my colon slowly became cancerous over time in the last 10 years or so.. but why did they turn into cancer?  
Could there be a reason why they turned cancerous? Is it most likely diet, environmental, genetic defects, sedentary lifestyle at office job or other reasons? I just wish I had more of a clue or idea of how this happened to me. 
Do you all know or at least have an idea what caused your cancer?</t>
        </is>
      </c>
      <c r="D7445" t="n">
        <v>1</v>
      </c>
      <c r="E7445" t="n">
        <v>22</v>
      </c>
      <c r="F7445">
        <f>HYPERLINK("https://www.reddit.com/r/cancer/comments/ewhyuf/do_you_have_any_idea_what_caused_your_cancer/")</f>
        <v/>
      </c>
      <c r="G7445" t="inlineStr">
        <is>
          <t>2020-01-30 19:22:35</t>
        </is>
      </c>
      <c r="H7445" t="inlineStr"/>
    </row>
    <row r="7446">
      <c r="A7446" t="inlineStr">
        <is>
          <t>ewi9gw</t>
        </is>
      </c>
      <c r="B7446" t="inlineStr">
        <is>
          <t>Fast growing hard lump on shin</t>
        </is>
      </c>
      <c r="C7446" t="inlineStr">
        <is>
          <t>Hi everyone 
About three weeks ago I noticed a hard lump under the skin on my left shin. I knew I hadn't had any injury to the area, so I found it odd. Now, almost three weeks letter it has doubled in size, is hard to the touch, tender (like a sore bruise feels) and does not move. It "feels" pretty deep to me. I had it looked at today at the clinic, they took x-rays to rule out it being attached to my bone and the nurse practitioner is chalking it up to being a lipoma.
I know the only way to truly know what it is, is to get it removed. However, from what I've read and know about lipomas, it doesnt seem that most grow this quickly and are usually described as soft and easy to move. Has anyone else had an experience like this with a fast growing, hard lipoma? I have an appointment with a general surgeon to get it looked at in a few weeks and I do not really know what to expect or what questions to ask in terms of getting it biopsied. 
Thank you in advance!</t>
        </is>
      </c>
      <c r="D7446" t="n">
        <v>1</v>
      </c>
      <c r="E7446" t="n">
        <v>1</v>
      </c>
      <c r="F7446">
        <f>HYPERLINK("https://www.reddit.com/r/cancer/comments/ewi9gw/fast_growing_hard_lump_on_shin/")</f>
        <v/>
      </c>
      <c r="G7446" t="inlineStr">
        <is>
          <t>2020-01-30 19:44:53</t>
        </is>
      </c>
      <c r="H7446" t="inlineStr"/>
    </row>
    <row r="7447">
      <c r="A7447" t="inlineStr">
        <is>
          <t>ewiekl</t>
        </is>
      </c>
      <c r="B7447" t="inlineStr">
        <is>
          <t>Grieving</t>
        </is>
      </c>
      <c r="C7447" t="inlineStr">
        <is>
          <t>Less than a month ago my aunt was diagnosed with stage 4 lung cancer that had already spread to both lungs,her brain,her stomach,her liver, and her ribs. I have known a lot of people with different types of cancer this is the most fast spreading most aggressive cancer I have ever seen- with that being said she is now starting hospice care. My aunt literally raised me and my siblings she lived with us our whole lives. My whole family is in utter complete disbelief and shock. None of us can imagine a life without her. I literally can not cope/handle this loss. I can not focus on anything, no matter what I do I can’t focus, wether I am trying to watch Tv or workout or out shopping or in the shower literally anything I can not focus on. I have not been able to sleep in weeks I literally can’t fall asleep until 4 am every night and I will be asleep for 2-3 hours. I can barely eat I just literally have no desire to eat. I feel an incredible indescribable amount of sadness. Sadness that is so deep and idk I have just never felt this much sadness in my life. I have lost loved ones before, but this is different. Like I know it is okay to feel feelings and go through the grieving process and everything else but I am scared of me and this does not feel like a normal grieving process. So if anyone has any advice or anything I am open to whatever.
One day, one day I know there will be a cure for cancer.</t>
        </is>
      </c>
      <c r="D7447" t="n">
        <v>1</v>
      </c>
      <c r="E7447" t="n">
        <v>2</v>
      </c>
      <c r="F7447">
        <f>HYPERLINK("https://www.reddit.com/r/cancer/comments/ewiekl/grieving/")</f>
        <v/>
      </c>
      <c r="G7447" t="inlineStr">
        <is>
          <t>2020-01-30 19:56:07</t>
        </is>
      </c>
      <c r="H7447" t="inlineStr"/>
    </row>
    <row r="7448">
      <c r="A7448" t="inlineStr">
        <is>
          <t>ewini1</t>
        </is>
      </c>
      <c r="B7448" t="inlineStr">
        <is>
          <t>15 months in remission, going for CT scan tomorrow, very nervous.</t>
        </is>
      </c>
      <c r="C7448" t="inlineStr">
        <is>
          <t>I’ve (20M) been in remission from Bulky Hodgkins Lymphoma for 15 months, and last week they found a mass in my chest in a routine check up. I’m going back in tomorrow morning for a scan, but I’m extremely nervous. I don’t want to be told I’m sick again, but I’m hoping everything will be alright.
I know this post doesn’t really have a point, but this sub has meant a lot to me the last two years, and reading all the stories of survival on here helped me on my journey.</t>
        </is>
      </c>
      <c r="D7448" t="n">
        <v>1</v>
      </c>
      <c r="E7448" t="n">
        <v>11</v>
      </c>
      <c r="F7448">
        <f>HYPERLINK("https://www.reddit.com/r/cancer/comments/ewini1/15_months_in_remission_going_for_ct_scan_tomorrow/")</f>
        <v/>
      </c>
      <c r="G7448" t="inlineStr">
        <is>
          <t>2020-01-30 20:15:35</t>
        </is>
      </c>
      <c r="H7448" t="inlineStr"/>
    </row>
    <row r="7449">
      <c r="A7449" t="inlineStr">
        <is>
          <t>ewjad9</t>
        </is>
      </c>
      <c r="B7449" t="inlineStr">
        <is>
          <t>My mom was diagnosed with lymphoma the other day and it's getting to me</t>
        </is>
      </c>
      <c r="C7449" t="inlineStr">
        <is>
          <t>I told myself that everything would be fine and that there was no way it was cancer. Now I'm telling myself everything will be fine and that there's no way it won't be cured. But my mom is one of my best friends and I'm scared as hell. I'm 17 and about to graduate and I don't know what's gonna happen to her. I wish she would stop smoking and stuff but I don't know if that would even change a thing. She's been having nightmares about it already and crying just about every day. I've only told one of my mentor figures and my best friend, I want my other friends to know but I'm so fucking scared of seeming like it's an attention grab or asking for pity but I don't wanna worry about this alone, but even that seems selfish. I don't want her to be sick.</t>
        </is>
      </c>
      <c r="D7449" t="n">
        <v>1</v>
      </c>
      <c r="E7449" t="n">
        <v>4</v>
      </c>
      <c r="F7449">
        <f>HYPERLINK("https://www.reddit.com/r/cancer/comments/ewjad9/my_mom_was_diagnosed_with_lymphoma_the_other_day/")</f>
        <v/>
      </c>
      <c r="G7449" t="inlineStr">
        <is>
          <t>2020-01-30 21:07:21</t>
        </is>
      </c>
      <c r="H7449" t="inlineStr"/>
    </row>
    <row r="7450">
      <c r="A7450" t="inlineStr">
        <is>
          <t>ewjxfx</t>
        </is>
      </c>
      <c r="B7450" t="inlineStr">
        <is>
          <t>Any tips for protein?</t>
        </is>
      </c>
      <c r="C7450" t="inlineStr">
        <is>
          <t>My life expectancy goes up if I can keep my protein levels up. So somewhat of a priority now. Problem is that I struggle to get my protein uptake via food because my diet is bad/unstable right now and I struggle to eat vast amounts of good food. Does anyone know of any good protein supplements? (Preferably pills.) I had a look online but a lot of them are advertised as fat burners which obviously aren't good for people in my situation. I was given some protein rich drinks from my doctor but they don't go down easy. Any recommendations for pills which are legit just solid protein, no fat burners involved?</t>
        </is>
      </c>
      <c r="D7450" t="n">
        <v>1</v>
      </c>
      <c r="E7450" t="n">
        <v>6</v>
      </c>
      <c r="F7450">
        <f>HYPERLINK("https://www.reddit.com/r/cancer/comments/ewjxfx/any_tips_for_protein/")</f>
        <v/>
      </c>
      <c r="G7450" t="inlineStr">
        <is>
          <t>2020-01-30 22:05:05</t>
        </is>
      </c>
      <c r="H7450" t="inlineStr"/>
    </row>
    <row r="7451">
      <c r="A7451" t="inlineStr">
        <is>
          <t>ewkkr5</t>
        </is>
      </c>
      <c r="B7451" t="inlineStr">
        <is>
          <t>Hi I need support 🥺</t>
        </is>
      </c>
      <c r="C7451" t="inlineStr">
        <is>
          <t>Hey dudes I’m new here I’ve never rly used reddit before anyways I have a super rare type of bone cancer called pseudomyogenic hemangioendothelioma and I’m only 22.. I had to drop out of nursing school and I feel like my life is over, I’d love to talk to more people who understand what it’s like because idk anyone else who’s going through anything similar. Kk thank u bye</t>
        </is>
      </c>
      <c r="D7451" t="n">
        <v>1</v>
      </c>
      <c r="E7451" t="n">
        <v>0</v>
      </c>
      <c r="F7451">
        <f>HYPERLINK("https://www.reddit.com/r/cancer/comments/ewkkr5/hi_i_need_support/")</f>
        <v/>
      </c>
      <c r="G7451" t="inlineStr">
        <is>
          <t>2020-01-30 23:06:13</t>
        </is>
      </c>
      <c r="H7451" t="inlineStr"/>
    </row>
    <row r="7452">
      <c r="A7452" t="inlineStr">
        <is>
          <t>ewkuq1</t>
        </is>
      </c>
      <c r="B7452" t="inlineStr">
        <is>
          <t>Just a tip, my wife absolutely loves her bedjet</t>
        </is>
      </c>
      <c r="C7452" t="inlineStr">
        <is>
          <t>Not a shill, just laying here with my lady and the bedjet has her comforter poofed with a steady stream of 92° air.  We have the v2 which has issues with the remote (the app is good enough) but it’s something she always looks forward to at the end of the day.   They aren’t cheap but I’m really glad we got it (originally for helping with hot flashes).
That’s all.</t>
        </is>
      </c>
      <c r="D7452" t="n">
        <v>1</v>
      </c>
      <c r="E7452" t="n">
        <v>5</v>
      </c>
      <c r="F7452">
        <f>HYPERLINK("https://www.reddit.com/r/cancer/comments/ewkuq1/just_a_tip_my_wife_absolutely_loves_her_bedjet/")</f>
        <v/>
      </c>
      <c r="G7452" t="inlineStr">
        <is>
          <t>2020-01-30 23:32:48</t>
        </is>
      </c>
      <c r="H7452" t="inlineStr"/>
    </row>
    <row r="7453">
      <c r="A7453" t="inlineStr">
        <is>
          <t>ewlf3z</t>
        </is>
      </c>
      <c r="B7453" t="inlineStr">
        <is>
          <t>Blind mole rat and cancer immunity</t>
        </is>
      </c>
      <c r="C7453" t="inlineStr">
        <is>
          <t>Hi my name is Denisse and I'm taking a biology course in which I'm learning about biomimetic and we are concentrating in lung cancer possible treatments based on this. I have a few questions and I would like to have some opinions in what you think about using the blind mole rat species as a base to create possible cures for cancer. If you are not familiar with this topic, the blind mole rat is a mammal which has de ability of cancer immunity which leads to a lot of investigations of what we can do to use it in the human body. This ability is possible due to the hyaluronic acid that occurs in fibroblasts which differs from humans because it has a larger chain. What occured to me while investigating this topic is that we can inject this hyaluronic acid to our system so that we can have the immunity this species has. My question is, what are the obstacles to using this element as a cure for cancer in humans? Why can't we simply alter our genetics to produce the same type of hyaluronic acid this species has since children?</t>
        </is>
      </c>
      <c r="D7453" t="n">
        <v>1</v>
      </c>
      <c r="E7453" t="n">
        <v>0</v>
      </c>
      <c r="F7453">
        <f>HYPERLINK("https://www.reddit.com/r/cancer/comments/ewlf3z/blind_mole_rat_and_cancer_immunity/")</f>
        <v/>
      </c>
      <c r="G7453" t="inlineStr">
        <is>
          <t>2020-01-31 00:34:00</t>
        </is>
      </c>
      <c r="H7453" t="inlineStr"/>
    </row>
    <row r="7454">
      <c r="A7454" t="inlineStr">
        <is>
          <t>ewlgbi</t>
        </is>
      </c>
      <c r="B7454" t="inlineStr">
        <is>
          <t>Blind rat mole and cancer</t>
        </is>
      </c>
      <c r="C7454" t="inlineStr">
        <is>
          <t>Hi my name is Denisse and I'm taking a biology course in which I'm learning about biomimetic and we are concentrating in lung cancer possible treatments based on this. I have a few questions and I would like to have some opinions in what you think about using the blind mole rat species as a base to create possible cures for cancer. If you are not familiar with this topic, the blind mole rat is a mammal which has de ability of cancer immunity which leads to a lot of investigations of what we can do to use it in the human body. This ability is possible due to the hyaluronic acid that occurs in fibroblasts which differs from humans because it has a larger chain. What occured to me while investigating this topic is that we can inject this hyaluronic acid to our system so that we can have the immunity this species has. My question is, what are the obstacles to using this element as a cure for cancer in humans? Why can't we simply alter our genetics to produce the same type of hyaluronic acid this species has since children?</t>
        </is>
      </c>
      <c r="D7454" t="n">
        <v>1</v>
      </c>
      <c r="E7454" t="n">
        <v>0</v>
      </c>
      <c r="F7454">
        <f>HYPERLINK("https://www.reddit.com/r/cancer/comments/ewlgbi/blind_rat_mole_and_cancer/")</f>
        <v/>
      </c>
      <c r="G7454" t="inlineStr">
        <is>
          <t>2020-01-31 00:37:57</t>
        </is>
      </c>
      <c r="H7454" t="inlineStr"/>
    </row>
    <row r="7455">
      <c r="A7455" t="inlineStr">
        <is>
          <t>ewmgat</t>
        </is>
      </c>
      <c r="B7455" t="inlineStr">
        <is>
          <t>Understanding Chemo Fog from Cancer Patients' Experiences</t>
        </is>
      </c>
      <c r="C7455" t="inlineStr">
        <is>
          <t>Voice of Cancer Patients analyzed more than 5.5 million breast cancer messages written by 170,000 users in 22 unrestricted cancer forums. The analysis revealed some interesting insights with respect to chemo fog in breast cancer patients.
[Read the article here](https://www.voiceofcancerpatients.com/articles/cognitive-deficit-in-breast-cancer-patients)</t>
        </is>
      </c>
      <c r="D7455" t="n">
        <v>1</v>
      </c>
      <c r="E7455" t="n">
        <v>0</v>
      </c>
      <c r="F7455">
        <f>HYPERLINK("https://www.reddit.com/r/cancer/comments/ewmgat/understanding_chemo_fog_from_cancer_patients/")</f>
        <v/>
      </c>
      <c r="G7455" t="inlineStr">
        <is>
          <t>2020-01-31 02:20:30</t>
        </is>
      </c>
      <c r="H7455" t="inlineStr"/>
    </row>
    <row r="7456">
      <c r="A7456" t="inlineStr">
        <is>
          <t>ewoaj1</t>
        </is>
      </c>
      <c r="B7456" t="inlineStr">
        <is>
          <t>Oral /tongue cancer at young age</t>
        </is>
      </c>
      <c r="C7456" t="inlineStr">
        <is>
          <t>Hello, im looking for people who got diagnosed with oral cancer at a young age
I got a lesion removed on my palate 2 years ago and the biopsy was inconclusive, it was indeterminate for dysplasia
I just want to know if this shit is genetic, that's the only thing that make me afraid
I read a lot of scientific paper on pubmed, some suggest a genetic component but they cannot prove anything, they didn't even manage to find a causal mutation (if we exclude cancer syndrom like fanconi anemia...)</t>
        </is>
      </c>
      <c r="D7456" t="n">
        <v>1</v>
      </c>
      <c r="E7456" t="n">
        <v>13</v>
      </c>
      <c r="F7456">
        <f>HYPERLINK("https://www.reddit.com/r/cancer/comments/ewoaj1/oral_tongue_cancer_at_young_age/")</f>
        <v/>
      </c>
      <c r="G7456" t="inlineStr">
        <is>
          <t>2020-01-31 05:13:34</t>
        </is>
      </c>
      <c r="H7456" t="inlineStr"/>
    </row>
    <row r="7457">
      <c r="A7457" t="inlineStr">
        <is>
          <t>ewoloj</t>
        </is>
      </c>
      <c r="B7457" t="inlineStr">
        <is>
          <t>Sidelined by constant infections</t>
        </is>
      </c>
      <c r="C7457" t="inlineStr">
        <is>
          <t>I’m feeling very defeated at the moment. My dad (75) is currently battling state 3 bladder cancer. His prognosis is actually fairly positive, they believe that the tumor is operable and slow growing/not aggressive and they don’t believe it has metastasized. But my poor dad just cannot catch a break. He is constantly battling one infection after another and hasn’t even been able to begin any treatment for the cancer.  
Two days after Christmas he ended up in the hospital with the flu (Influenza A). He spent 5 days in the hospital and then came home for about a week and then developed pneumonia. Back to the hospital for another 5 days. He lost so much weight and muscle strength just in those few weeks that he could barely stand. He completely lost his appetite and ability to swallow. The hospital suggested rehab for a few weeks to build back up his weight and strength, and he was doing pretty good. His appetite came back, it seemed like his weight loss was starting to stabilize, he progressed to being able to get himself out of bed and to the bathroom, and was able to walk up and down the hall with a walker. They set his release date for next week and everyone (especially my mom) was looking forward to having him back home. He had successful meetings with the oncologist and the surgeon to discuss his treatments.  
Then it all came crashing down again last night. He had to be rushed back to the hospital for another infection. His blood pressure skyrocketed and he started shaking and throwing up. The hospital said he either has a UTI or a kidney infection. They’re running a bunch of tests today to confirm. 
It has just been such a roller coaster of emotions these last few months. One second we have hope and the next we don’t even know if he’s going to make it through the night. I’m just so worried that at his age, all these infections are just going to weaken his body so much that he won’t even have a fighting chance at the cancer. It’s like a stack of dominos. One goes over, and then the next, and then the next, and now we are facing so many more issues than just the cancer alone. I know a lot of you can probably relate. Just praying for some good news at this point.</t>
        </is>
      </c>
      <c r="D7457" t="n">
        <v>1</v>
      </c>
      <c r="E7457" t="n">
        <v>4</v>
      </c>
      <c r="F7457">
        <f>HYPERLINK("https://www.reddit.com/r/cancer/comments/ewoloj/sidelined_by_constant_infections/")</f>
        <v/>
      </c>
      <c r="G7457" t="inlineStr">
        <is>
          <t>2020-01-31 05:39:27</t>
        </is>
      </c>
      <c r="H7457" t="inlineStr"/>
    </row>
    <row r="7458">
      <c r="A7458" t="inlineStr">
        <is>
          <t>ewoo2x</t>
        </is>
      </c>
      <c r="B7458" t="inlineStr">
        <is>
          <t>Received positive biopsy results from my stomach polyps, still not sure how to feel.</t>
        </is>
      </c>
      <c r="C7458" t="inlineStr">
        <is>
          <t>I met with my doctor yesterday and he said that they found one small tumor but in my report it says, "One of the gastric polyp tissue fragments show features of fundic gland polyp. **The findings in the other two tissue fragments** are consistent with well-differentiated neuroendocrine tumor, grade 1." An Oncologist will be calling me about getting a PET Scan soon.
The report also only lists data for one tumor. I'm still a little numb because I'm not sure what the PET scan will show, considering the margins are "involved".
Tumor Summary
Tumor site: Stomach  
Tumor size: 0.25cm  
Mitotic Rate: &amp;lt;1/2 mm2  
Ki-67 index: &amp;lt;3%  
Tumor Extension: Tumor invades the submucosa  
Margins:  
Deep Margin: Involved by tumor  
Mucosal Margin: Involved by tumor  
Primary Tumor (pT): pT1: Tumor invades the lamina propria or submucosa and less or equal to 1 cm in size</t>
        </is>
      </c>
      <c r="D7458" t="n">
        <v>1</v>
      </c>
      <c r="E7458" t="n">
        <v>5</v>
      </c>
      <c r="F7458">
        <f>HYPERLINK("https://www.reddit.com/r/cancer/comments/ewoo2x/received_positive_biopsy_results_from_my_stomach/")</f>
        <v/>
      </c>
      <c r="G7458" t="inlineStr">
        <is>
          <t>2020-01-31 05:44:58</t>
        </is>
      </c>
      <c r="H7458" t="inlineStr"/>
    </row>
    <row r="7459">
      <c r="A7459" t="inlineStr">
        <is>
          <t>ewpbog</t>
        </is>
      </c>
      <c r="B7459" t="inlineStr">
        <is>
          <t>Is there any significance to being scheduled for an MRI on a Saturday? It feels weird to me, but so does everything lately.</t>
        </is>
      </c>
      <c r="C7459" t="inlineStr">
        <is>
          <t>Had a bad fall onto my knee, had scans for the bad sprain, got referred to ortho who told me the scans revealed a bone lesion. Knowing that there's a lot of cancer in my family including adults with osteosarcoma (apparently not very common), and thinking there's also probably some torn ligaments in there, they wanted to get an MRI with and without contrast. Sent me to the receptionist to schedule it for me. The receptionist noticed I have a routine mammogram scheduled for today already, and then just quietly put my MRI down for tomorrow (saturday). 
I've NEVER had a scan on a weekend before. And I've had plenty of scans for various things, I'm not young. 
Has anyone here ever found that MRIs done on Saturdays have significance, or is this simply a coincidence that my most urgent MRI just happened to be scheduled for a weekend? 
I do understand why they want my mammogram results first, before trying to decide what this lesion in my femur is, but I don't understand why they didn't schedule the MRI for Monday. 
After googling "MRI on Saturday" and only finding links for people with actual health problems, I wonder whether there's some weekend protocol in place to weed out fishing expeditions or something in general?
Just figured why not ask here if anyone has noticed any rhyme or reason to this sort of scheduling, while I wait for my mammo. thanks!</t>
        </is>
      </c>
      <c r="D7459" t="n">
        <v>1</v>
      </c>
      <c r="E7459" t="n">
        <v>14</v>
      </c>
      <c r="F7459">
        <f>HYPERLINK("https://www.reddit.com/r/cancer/comments/ewpbog/is_there_any_significance_to_being_scheduled_for/")</f>
        <v/>
      </c>
      <c r="G7459" t="inlineStr">
        <is>
          <t>2020-01-31 06:36:49</t>
        </is>
      </c>
      <c r="H7459" t="inlineStr"/>
    </row>
    <row r="7460">
      <c r="A7460" t="inlineStr">
        <is>
          <t>ewri68</t>
        </is>
      </c>
      <c r="B7460" t="inlineStr">
        <is>
          <t>Having kids after High Dose Chemotherapy</t>
        </is>
      </c>
      <c r="C7460" t="inlineStr">
        <is>
          <t>Hey guys.My fiancé was diagnosed last year with testicular cancer 3c Choriocarcinoma. Had to be hospitalized and start chemo immediately after diagnosis. VIPx4 ( etoposide, ifosfamide, cisplatin). After the first round they sent us to the sperm bank, nothing came out. After talking to drs about this they basically said sometimes it happens due to the disease and they aren’t really sure why but it wasn’t the one round of chemo. Leading up to diagnosis we really weren’t having sex anyway because he had abdominal pain. Thought a pulled muscle from heavy deadlift. So we aren’t sure how long that “nothing coming out” was really happening.
He then had to go through 3 x HDCT with stem cell transplant TI-CE ( 1x paclitaxel, ifosfamide, 3x high dose carboplatin, etoposide) then the RPLND (removal of abdominal lymph nodes) and orchiectomy (removal of one testicle). 
We are both 30 and rather heartbroken over the high likely hood of not being able to naturally have kids. They did say there was a procedure that they could extract sperm from the testicle itself but that doesn’t help if he no longer can produce sperm. He’s not open to a sperm donor so I’m also going through my own grief of never being pregnant at all. But I can understand his feelings and how hard everything is.
My question for you guys is: has anyone had children after chemo/ more specifically HDCT?</t>
        </is>
      </c>
      <c r="D7460" t="n">
        <v>1</v>
      </c>
      <c r="E7460" t="n">
        <v>8</v>
      </c>
      <c r="F7460">
        <f>HYPERLINK("https://www.reddit.com/r/cancer/comments/ewri68/having_kids_after_high_dose_chemotherapy/")</f>
        <v/>
      </c>
      <c r="G7460" t="inlineStr">
        <is>
          <t>2020-01-31 09:11:44</t>
        </is>
      </c>
      <c r="H7460" t="inlineStr"/>
    </row>
    <row r="7461">
      <c r="A7461" t="inlineStr">
        <is>
          <t>ewsszk</t>
        </is>
      </c>
      <c r="B7461" t="inlineStr">
        <is>
          <t>How big is Cailiou’s Penis?</t>
        </is>
      </c>
      <c r="C7461" t="inlineStr">
        <is>
          <t>Me and my friends at lunch are very curious to hear your thoughts please let us know</t>
        </is>
      </c>
      <c r="D7461" t="n">
        <v>1</v>
      </c>
      <c r="E7461" t="n">
        <v>0</v>
      </c>
      <c r="F7461">
        <f>HYPERLINK("https://www.reddit.com/r/cancer/comments/ewsszk/how_big_is_cailious_penis/")</f>
        <v/>
      </c>
      <c r="G7461" t="inlineStr">
        <is>
          <t>2020-01-31 10:39:52</t>
        </is>
      </c>
      <c r="H7461" t="inlineStr"/>
    </row>
    <row r="7462">
      <c r="A7462" t="inlineStr">
        <is>
          <t>ewt99r</t>
        </is>
      </c>
      <c r="B7462" t="inlineStr">
        <is>
          <t>Is it possible to sue radiologist for missed cancer diagnosis in Canada?</t>
        </is>
      </c>
      <c r="C7462" t="inlineStr">
        <is>
          <t>My mom was recently diagnosed with breast cancer, which we had been tracking for 1.5 years via ultra sound. At the last ultrasound in May 2019, the radiologist report said the mass was “stable” and recommended monitoring every 6 months, and labeled it BI-RAD3. We went for the follow up in Dec 2019, and the mast had grown from 1.3cm to 2.1cm, another radiologist who reviewed it immediately ordered biopsy (and got a second opinion from a colleague who’s specialty was breast imaging), and the mass turned out to be breast cancer. I’m shocked that the earlier radiologist did not offer to give us a biopsy option, and did not get a second opinion from a colleague.
I looked at the radiologist’s profile on the diagnostic center’s website, and she’s just 4 years out of residency in radiology, and 3 years out of fellowship in abdominal imaging (so her specialty is not even breast imaging). I think she misdiagnosed the imaging potentially due to lack of experience. Is there a possible case to be made against her?</t>
        </is>
      </c>
      <c r="D7462" t="n">
        <v>1</v>
      </c>
      <c r="E7462" t="n">
        <v>12</v>
      </c>
      <c r="F7462">
        <f>HYPERLINK("https://www.reddit.com/r/cancer/comments/ewt99r/is_it_possible_to_sue_radiologist_for_missed/")</f>
        <v/>
      </c>
      <c r="G7462" t="inlineStr">
        <is>
          <t>2020-01-31 11:10:12</t>
        </is>
      </c>
      <c r="H7462" t="inlineStr"/>
    </row>
    <row r="7463">
      <c r="A7463" t="inlineStr">
        <is>
          <t>ewtpkw</t>
        </is>
      </c>
      <c r="B7463" t="inlineStr">
        <is>
          <t>My friend's mom passed last night and I don't know what to tell her</t>
        </is>
      </c>
      <c r="C7463" t="inlineStr">
        <is>
          <t>Hey! Hope you're all doing great! Lasts night, one of my best friend's mom passed away after many years of suffering because of breast cancer. I was really devastated when I heard the news, and so was my friend. I really want her to know that I'm here for her, but I don't know what to tell her to make her feel better... I told her that she can call me if her family needs anything but I feel like that's not enough. 
I know many of you guys had to deal with the loss of family members to that monstrous disease, so this is why I'm asking for advice on here. What made you feel better? Should I give her some space or should i make sure to be there for her 24/7?</t>
        </is>
      </c>
      <c r="D7463" t="n">
        <v>1</v>
      </c>
      <c r="E7463" t="n">
        <v>11</v>
      </c>
      <c r="F7463">
        <f>HYPERLINK("https://www.reddit.com/r/cancer/comments/ewtpkw/my_friends_mom_passed_last_night_and_i_dont_know/")</f>
        <v/>
      </c>
      <c r="G7463" t="inlineStr">
        <is>
          <t>2020-01-31 11:41:38</t>
        </is>
      </c>
      <c r="H7463" t="inlineStr"/>
    </row>
    <row r="7464">
      <c r="A7464" t="inlineStr">
        <is>
          <t>ewutal</t>
        </is>
      </c>
      <c r="B7464" t="inlineStr">
        <is>
          <t>My brother was given one year to live, pancreatic cancer. Has anyone gone longer having chemo?</t>
        </is>
      </c>
      <c r="C7464" t="inlineStr">
        <is>
          <t>Hi everyone. My beloved brother , who has a young baby, was devastated yesterday when doctors said most people at his stage don't make a year. He had a Whipples and one cycle of chemo ( he had two doses of FOLFIRINOX but didn't tolerate it well so switched to Gemzar) He developed septeceamia and whilst he was in hospital over xmas, unfortunately they found tumours in his bile duct and Liver. He was diagnosed last May. 
We are beside ourselves and I'm desperate to hear stories of folks surviving periods of time on treatment. How about proton beam therapy? Anyone experience that?
He put himself up for trials but apparently there's only a 2 in 400 chance of finding a match? We're just desperate for some positive news. Has taking a small holiday with his kid prior to chemo as he's never felt better since his operation!! So frustrating. Anyone relate??</t>
        </is>
      </c>
      <c r="D7464" t="n">
        <v>1</v>
      </c>
      <c r="E7464" t="n">
        <v>33</v>
      </c>
      <c r="F7464">
        <f>HYPERLINK("https://www.reddit.com/r/cancer/comments/ewutal/my_brother_was_given_one_year_to_live_pancreatic/")</f>
        <v/>
      </c>
      <c r="G7464" t="inlineStr">
        <is>
          <t>2020-01-31 12:56:08</t>
        </is>
      </c>
      <c r="H7464" t="inlineStr"/>
    </row>
    <row r="7465">
      <c r="A7465" t="inlineStr">
        <is>
          <t>ewvc29</t>
        </is>
      </c>
      <c r="B7465" t="inlineStr">
        <is>
          <t>Tongue Surgery</t>
        </is>
      </c>
      <c r="C7465" t="inlineStr">
        <is>
          <t>On 9/19/2018 I was diagnosed with pancreatic cancer. I had the Whipple Procedure to have it removed. We caught it so early it was small and easy to remove, well, easy relative to Whipple. I've been NED (no evidence of disease) since then, until now.   
I went to my dentist to get a general treatment plan. I left with an impromptu biopsy on the side of my tongue that hurt like hell!!! Turns out, I have severe epithelial dysplasia, a precancerous lesion on my tongue that I have to get removed so it doesn't become a problem. I'm nervous about it--not really about the procedure or recovery so much as I'm worried they may find more problems in my mouth. Cancer paranoia is coming down hard on me.  
I don't even know why I'm writing this. Maybe if you have suggestions for post-op care and eating after having skin scraped off the side of your tongue, let me know!</t>
        </is>
      </c>
      <c r="D7465" t="n">
        <v>1</v>
      </c>
      <c r="E7465" t="n">
        <v>0</v>
      </c>
      <c r="F7465">
        <f>HYPERLINK("https://www.reddit.com/r/cancer/comments/ewvc29/tongue_surgery/")</f>
        <v/>
      </c>
      <c r="G7465" t="inlineStr">
        <is>
          <t>2020-01-31 13:31:12</t>
        </is>
      </c>
      <c r="H7465" t="inlineStr"/>
    </row>
    <row r="7466">
      <c r="A7466" t="inlineStr">
        <is>
          <t>ewvu6z</t>
        </is>
      </c>
      <c r="B7466" t="inlineStr">
        <is>
          <t>My father-in-law has cancer and has been getting localized injections near his spine. It caused back pain when he walks, or does most activity. He's getting depressed, because he's used to being active and hand-on... Can anyone give me ideas on what to suggest for hobbies?</t>
        </is>
      </c>
      <c r="C7466" t="inlineStr">
        <is>
          <t>I left this out in the title, but he can't be in the sun long either, and they live in Florida. It bleaches his skin (he's from St. Maarten) and causes issues. 
My wife is pretty distraught having heard this today and has to fly down to day. FIL and I had a pretty deep convo over christmas about how depressed he was, and it really sucks to see someone in that state of mind, and I really want to do whatever I can to help. 
Does anyone have any recommendations? Also, I apologize for the rushed post... but it's pretty last minute and I'm trying to understand what we can do.</t>
        </is>
      </c>
      <c r="D7466" t="n">
        <v>1</v>
      </c>
      <c r="E7466" t="n">
        <v>6</v>
      </c>
      <c r="F7466">
        <f>HYPERLINK("https://www.reddit.com/r/cancer/comments/ewvu6z/my_fatherinlaw_has_cancer_and_has_been_getting/")</f>
        <v/>
      </c>
      <c r="G7466" t="inlineStr">
        <is>
          <t>2020-01-31 14:05:26</t>
        </is>
      </c>
      <c r="H7466" t="inlineStr"/>
    </row>
    <row r="7467">
      <c r="A7467" t="inlineStr">
        <is>
          <t>ewvy48</t>
        </is>
      </c>
      <c r="B7467" t="inlineStr">
        <is>
          <t>Lung cancer</t>
        </is>
      </c>
      <c r="C7467" t="inlineStr">
        <is>
          <t xml:space="preserve"> 
What do you think of the use of Trabectedin to treat types of soft tissue sarcoma?</t>
        </is>
      </c>
      <c r="D7467" t="n">
        <v>1</v>
      </c>
      <c r="E7467" t="n">
        <v>0</v>
      </c>
      <c r="F7467">
        <f>HYPERLINK("https://www.reddit.com/r/cancer/comments/ewvy48/lung_cancer/")</f>
        <v/>
      </c>
      <c r="G7467" t="inlineStr">
        <is>
          <t>2020-01-31 14:12:46</t>
        </is>
      </c>
      <c r="H7467" t="inlineStr"/>
    </row>
    <row r="7468">
      <c r="A7468" t="inlineStr">
        <is>
          <t>eww0gw</t>
        </is>
      </c>
      <c r="B7468" t="inlineStr">
        <is>
          <t>Has anyone struggled with their own mortality after a loved one has died?</t>
        </is>
      </c>
      <c r="C7468" t="inlineStr">
        <is>
          <t>My mother passed away on Saturday after her 2.5 year battle with cancer. I also lost my dad to cancer in December. I’ve been stuck in my thoughts lately about death and I can’t help but fear my own. Has anyone dealt with this feeling and If so what helped you get out this slump?</t>
        </is>
      </c>
      <c r="D7468" t="n">
        <v>1</v>
      </c>
      <c r="E7468" t="n">
        <v>10</v>
      </c>
      <c r="F7468">
        <f>HYPERLINK("https://www.reddit.com/r/cancer/comments/eww0gw/has_anyone_struggled_with_their_own_mortality/")</f>
        <v/>
      </c>
      <c r="G7468" t="inlineStr">
        <is>
          <t>2020-01-31 14:17:19</t>
        </is>
      </c>
      <c r="H7468" t="inlineStr"/>
    </row>
    <row r="7469">
      <c r="A7469" t="inlineStr">
        <is>
          <t>ewxxfn</t>
        </is>
      </c>
      <c r="B7469" t="inlineStr">
        <is>
          <t>We were told yesterday that my dad has 6-9 months left to live.</t>
        </is>
      </c>
      <c r="C7469" t="inlineStr">
        <is>
          <t>I'm only 18. This is so scary and so sad. My parents never married, and were split up before I was born. My dad lived about 8 hours away from us until I was 9 years old, and I didn't visit him as much as I should have. He first got a cancer diagnosis in September 2019. My brother was ready to drop everything and leave college to support my dad, unless my dad would move up there and let my brother take care of him. I never was a good son to my dad. And now I have 6-9 months to catch up. Cancer is so hard to deal with. I'm so scared, not only of losing my dad, but of being a failure in his eyes and of being a horrible son. I'm living up here and trying to help the best that I can, but this is so hard.</t>
        </is>
      </c>
      <c r="D7469" t="n">
        <v>1</v>
      </c>
      <c r="E7469" t="n">
        <v>9</v>
      </c>
      <c r="F7469">
        <f>HYPERLINK("https://www.reddit.com/r/cancer/comments/ewxxfn/we_were_told_yesterday_that_my_dad_has_69_months/")</f>
        <v/>
      </c>
      <c r="G7469" t="inlineStr">
        <is>
          <t>2020-01-31 16:34:20</t>
        </is>
      </c>
      <c r="H7469" t="inlineStr"/>
    </row>
    <row r="7470">
      <c r="A7470" t="inlineStr">
        <is>
          <t>ewy9pc</t>
        </is>
      </c>
      <c r="B7470" t="inlineStr">
        <is>
          <t>How long between a diagnosis and a "plan"?</t>
        </is>
      </c>
      <c r="C7470" t="inlineStr">
        <is>
          <t>My mom went to a surgeon after being diagnosed with a lipoma in her lower back. They did an MRI to make sure that everything was clear before removing it, and found a spot on her "lower abdomen". After a follow up CT scan and PET scan, they've determined its cancerous. The surgeon says it's in a hard to reach place and he is consulting with his radiology team to come up with a plan. This was all said on Wednesday.
It's been just over a month since finding the spot. Is this normal? How long do we wait to hear from the surgeon? Should we be looking for an oncologist or waiting for the surgeons plan and recommendation? 
They say that no lymph nodes seem to be affected and the spot is very small, which I'm assuming is good. I'm terrified, though. Beyond terrified.
I do not know how to proceed. I'm clearly not familiar with this. 
Thanks, guys. Wishing all of you the best.</t>
        </is>
      </c>
      <c r="D7470" t="n">
        <v>1</v>
      </c>
      <c r="E7470" t="n">
        <v>12</v>
      </c>
      <c r="F7470">
        <f>HYPERLINK("https://www.reddit.com/r/cancer/comments/ewy9pc/how_long_between_a_diagnosis_and_a_plan/")</f>
        <v/>
      </c>
      <c r="G7470" t="inlineStr">
        <is>
          <t>2020-01-31 17:00:24</t>
        </is>
      </c>
      <c r="H7470" t="inlineStr"/>
    </row>
    <row r="7471">
      <c r="A7471" t="inlineStr">
        <is>
          <t>ewyu1r</t>
        </is>
      </c>
      <c r="B7471" t="inlineStr">
        <is>
          <t>Feeling very alone - about to start chemo</t>
        </is>
      </c>
      <c r="C7471" t="inlineStr">
        <is>
          <t>So I’m 25F, about to start RCHOP for non-Hodgkin lymphoma, DLBCL. I’m glad to be starting because I’ve been on crutches for 7 weeks now, unable to weight bear on my right leg (where the cancer is in the bone). So hopefully the treatment helps the pain and can get me back to work and life sometime soon.
I’ve been overall pretty positive and accepting of the situation. But yesterday I went for my chemo education session and the nurse asked “who is your main support person?” and I froze.
My mum is dying from advanced Lewy Bodies dementia and my dad is her carer. They live over an hour away. My sister lives about 40 minutes away and she is the carer for her live-in boyfriend who was diagnosed with Hodgkin lymphoma in November, so is currently undergoing an intensive clinical trial of chemo.
My housemate moved in 3 weeks ago and she’s lovely but I hardly know her in the scheme of things and would never expect her to help or support me.
I have great friends but they all have their own lives and loved ones.
I feel so so so alone, not having family or a partner to be able to rely on and be here with me.
Can anyone relate? How do you deal with the feeling of complete loneliness? I’m so terrified of all the chemo side effects but also just lack of support.</t>
        </is>
      </c>
      <c r="D7471" t="n">
        <v>1</v>
      </c>
      <c r="E7471" t="n">
        <v>13</v>
      </c>
      <c r="F7471">
        <f>HYPERLINK("https://www.reddit.com/r/cancer/comments/ewyu1r/feeling_very_alone_about_to_start_chemo/")</f>
        <v/>
      </c>
      <c r="G7471" t="inlineStr">
        <is>
          <t>2020-01-31 17:44:43</t>
        </is>
      </c>
      <c r="H7471" t="inlineStr"/>
    </row>
    <row r="7472">
      <c r="A7472" t="inlineStr">
        <is>
          <t>ewz742</t>
        </is>
      </c>
      <c r="B7472" t="inlineStr">
        <is>
          <t>Painful swallowing after port placement?</t>
        </is>
      </c>
      <c r="C7472" t="inlineStr">
        <is>
          <t>My dad just had his port placed today and he is having pain with swallowing. Is this common? Anything we need to watch for? Worried about infection. Thank you for your help!</t>
        </is>
      </c>
      <c r="D7472" t="n">
        <v>1</v>
      </c>
      <c r="E7472" t="n">
        <v>6</v>
      </c>
      <c r="F7472">
        <f>HYPERLINK("https://www.reddit.com/r/cancer/comments/ewz742/painful_swallowing_after_port_placement/")</f>
        <v/>
      </c>
      <c r="G7472" t="inlineStr">
        <is>
          <t>2020-01-31 18:13:51</t>
        </is>
      </c>
      <c r="H7472" t="inlineStr"/>
    </row>
    <row r="7473">
      <c r="A7473" t="inlineStr">
        <is>
          <t>ewzzmn</t>
        </is>
      </c>
      <c r="B7473" t="inlineStr">
        <is>
          <t>Dealing With Personality Changes from Grade III to Grade IV</t>
        </is>
      </c>
      <c r="C7473" t="inlineStr">
        <is>
          <t>Since going to Grade IV in January/February 2019, I noticed a lot of significant personality changes, including irritability, anxiety, and severe depression. Has anyone dealt with this (or even via a loved one), and are there any suggestions for sticking to one more permanent personality? I feel like I can be happy and energized one minute, then completely despondent the next. It's driving me (literally?) crazy.</t>
        </is>
      </c>
      <c r="D7473" t="n">
        <v>1</v>
      </c>
      <c r="E7473" t="n">
        <v>6</v>
      </c>
      <c r="F7473">
        <f>HYPERLINK("https://www.reddit.com/r/cancer/comments/ewzzmn/dealing_with_personality_changes_from_grade_iii/")</f>
        <v/>
      </c>
      <c r="G7473" t="inlineStr">
        <is>
          <t>2020-01-31 19:18:57</t>
        </is>
      </c>
      <c r="H7473" t="inlineStr"/>
    </row>
    <row r="7474">
      <c r="A7474" t="inlineStr">
        <is>
          <t>ex08vt</t>
        </is>
      </c>
      <c r="B7474" t="inlineStr">
        <is>
          <t>Father was just diagnosed with Gastric Cancer (Already started Chemo)</t>
        </is>
      </c>
      <c r="C7474" t="inlineStr">
        <is>
          <t>So my dad [M60] has gastric cancer. He just started chemo about two weeks ago, his next chemo appointment is on Tuesday. And wanted to see if anyone could recommend stuff that he could take to ease the pain. We’re open to everything including Marijuana (We live in California, so it’s legal).</t>
        </is>
      </c>
      <c r="D7474" t="n">
        <v>1</v>
      </c>
      <c r="E7474" t="n">
        <v>2</v>
      </c>
      <c r="F7474">
        <f>HYPERLINK("https://www.reddit.com/r/cancer/comments/ex08vt/father_was_just_diagnosed_with_gastric_cancer/")</f>
        <v/>
      </c>
      <c r="G7474" t="inlineStr">
        <is>
          <t>2020-01-31 19:40:41</t>
        </is>
      </c>
      <c r="H7474" t="inlineStr"/>
    </row>
    <row r="7475">
      <c r="A7475" t="inlineStr">
        <is>
          <t>ex09h9</t>
        </is>
      </c>
      <c r="B7475" t="inlineStr">
        <is>
          <t>Help. Stage IVA Ovarian Cancer. What to do next?</t>
        </is>
      </c>
      <c r="C7475" t="inlineStr">
        <is>
          <t>Hi everyone,
Shitty situation and just need to know what to do next. 
My best friend’s mother has stage 4a ovarian cancer and has been given 6 months to live as of today at her appointment. She was originally diagnosed back in 2017 but has kept my friend largely in the dark about the progression and treatment over the past few years. But now that it’s this far advanced, her mother is handing over power of attorney. My friend wants to start with a second opinion but has no idea where to start or what to do. She is pretty much on her own to figure this out and she’s trying to get her mom to open up about what’s really been going on with treatment as it’s clear now that she’s been hiding things. 
She wants to look for a second opinion but has no idea where to look / what to look for / if she should look into trials / aim for specific doctors / etc. She is in shock and asked for help, I don’t know what to do so looking to you guys.  All I’ve told her so far is to get the legal paperwork for power of attorney and/or HIPAA complete and to get her medical records and referral paperwork. What can she do? What can I do? Are there any support groups for family members? What can we expect? 
Thanks in advance.</t>
        </is>
      </c>
      <c r="D7475" t="n">
        <v>1</v>
      </c>
      <c r="E7475" t="n">
        <v>2</v>
      </c>
      <c r="F7475">
        <f>HYPERLINK("https://www.reddit.com/r/cancer/comments/ex09h9/help_stage_iva_ovarian_cancer_what_to_do_next/")</f>
        <v/>
      </c>
      <c r="G7475" t="inlineStr">
        <is>
          <t>2020-01-31 19:42:05</t>
        </is>
      </c>
      <c r="H7475" t="inlineStr"/>
    </row>
    <row r="7476">
      <c r="A7476" t="inlineStr">
        <is>
          <t>ex15a4</t>
        </is>
      </c>
      <c r="B7476" t="inlineStr">
        <is>
          <t>When using a mouthpiece inspired by the functioning of the cell wall as a filter, it can be used as a preventive treatment for lung cancer.</t>
        </is>
      </c>
      <c r="C7476" t="inlineStr">
        <is>
          <t xml:space="preserve"> To prevent lung cancer, it is proposed to create a mouthpiece that purifies the air that would ultimately reach the lung of the individual. The mouth cover would have two layers, the outer and inner. The top layer of the mouthpiece would be covered by a material made of a combination of sodium alginate, a polysaccharide that can be extracted from naturally abundant algae and algae, with silica smoke, a high-volume industrial by-product of metal alloy processing. Sodium alginate is widely distributed in cell walls, which are responsible for providing these cells with support and protection, in addition to acting as a filter, which in this case is what is sought. The sodium alginate and silica fume compound is cheap and clean to produce, and can be easily expanded. The material also demonstrated a capacity to trap particulate material from diesel exhaust (Zanoletti, 2018). The hybrid material absorbs and removes the contaminant with an efficiency of 94%.  The inner layer would be composed of a textile that purifies the air that passes through the outer layer, the cold plasma technology that uses the inner layer is a really high voltage that divides the particles in the air, collects the dust and then loose, so all the bad particles in the air fall to the ground.  The operation of this mouthpiece covers resembles the design of the cell wall in the cells of the plants, which only allows certain compounds to pass inside the cell.</t>
        </is>
      </c>
      <c r="D7476" t="n">
        <v>1</v>
      </c>
      <c r="E7476" t="n">
        <v>2</v>
      </c>
      <c r="F7476">
        <f>HYPERLINK("https://www.reddit.com/r/cancer/comments/ex15a4/when_using_a_mouthpiece_inspired_by_the/")</f>
        <v/>
      </c>
      <c r="G7476" t="inlineStr">
        <is>
          <t>2020-01-31 20:59:42</t>
        </is>
      </c>
      <c r="H7476" t="inlineStr"/>
    </row>
    <row r="7477">
      <c r="A7477" t="inlineStr">
        <is>
          <t>ex1zo8</t>
        </is>
      </c>
      <c r="B7477" t="inlineStr">
        <is>
          <t>Survival rates for 2nd bout of prostate cancer</t>
        </is>
      </c>
      <c r="C7477" t="inlineStr">
        <is>
          <t>What is the survival rate for someone with a recurrence of prostate cancer? PSA level 33</t>
        </is>
      </c>
      <c r="D7477" t="n">
        <v>1</v>
      </c>
      <c r="E7477" t="n">
        <v>2</v>
      </c>
      <c r="F7477">
        <f>HYPERLINK("https://www.reddit.com/r/cancer/comments/ex1zo8/survival_rates_for_2nd_bout_of_prostate_cancer/")</f>
        <v/>
      </c>
      <c r="G7477" t="inlineStr">
        <is>
          <t>2020-01-31 22:21:32</t>
        </is>
      </c>
      <c r="H7477" t="inlineStr"/>
    </row>
    <row r="7478">
      <c r="A7478" t="inlineStr">
        <is>
          <t>ex2kvo</t>
        </is>
      </c>
      <c r="B7478" t="inlineStr">
        <is>
          <t>My dads on a syringe driver of morphine, his dr called me up and told me he has two weeks to live. Is this true?</t>
        </is>
      </c>
      <c r="C7478" t="inlineStr">
        <is>
          <t>My dads been battling liver cancer for 5 years and he stopped chemo in February 2019. We’ve been trying to manage pain at home but it got to the point it was too much and he went into palliative care where they have given him a driver 2 weeks ago. He also has up to 4 breakthroughs of morphine .75ml through out the day. The thing is my dad was good speaking and talking up until today where he’s so tired (we brought my sisters wedding forward to today and for dads sake, and he had so much energy, and now that she’s married I feel like he’s more relaxed and he’s actually sleeping during the day). His dr called me up during the wedding to let me know that because he has the driver in he won’t live longer than two weeks. I was not ready for that because no one at palliative care told us this before hand. I’m worried. If anyone has any insight I would like to hear. Sorry if my writing is jumbled, I am utterly exhausted</t>
        </is>
      </c>
      <c r="D7478" t="n">
        <v>1</v>
      </c>
      <c r="E7478" t="n">
        <v>16</v>
      </c>
      <c r="F7478">
        <f>HYPERLINK("https://www.reddit.com/r/cancer/comments/ex2kvo/my_dads_on_a_syringe_driver_of_morphine_his_dr/")</f>
        <v/>
      </c>
      <c r="G7478" t="inlineStr">
        <is>
          <t>2020-01-31 23:23:53</t>
        </is>
      </c>
      <c r="H7478" t="inlineStr"/>
    </row>
    <row r="7479">
      <c r="A7479" t="inlineStr">
        <is>
          <t>ex3ax0</t>
        </is>
      </c>
      <c r="B7479" t="inlineStr">
        <is>
          <t>Can an ultrasound be wrong when detecting lesions?</t>
        </is>
      </c>
      <c r="C7479" t="inlineStr">
        <is>
          <t>Found a lump near my epididymis went to the dr , ordered an ultrasound, came back as a 3mm lesion at the head of epididymis 
as well as a 4mm kind of free floating lesion I can only sometimes feel bc it moves around . In report  either a scrotolith , adamentoid tumor or , lipoma suggested by the radiologist. I was referred to a urologist who is apparently good , I got labs done they came back normal. I went yesterday to see him and he basically said i didnt have cancer before he even did anything . He felt and said that what he was feeling was a normal feature of my epididymis near the head , I'm not sure he felt the lump or not . I told him the other testicle didnt have that and he said sometimes they can be different. He said not to worry that I 100 percent didnt have cancer . My original dr could feel it and that's why he ordered the ultrasound.  Can the ultrasound be wrong that it wasnt a lesion? I can feel it and it definatly feels like a bump. Maybe the radiologist thought it was a lesion? I dont feel much better about it even though he said i was fine.</t>
        </is>
      </c>
      <c r="D7479" t="n">
        <v>1</v>
      </c>
      <c r="E7479" t="n">
        <v>1</v>
      </c>
      <c r="F7479">
        <f>HYPERLINK("https://www.reddit.com/r/cancer/comments/ex3ax0/can_an_ultrasound_be_wrong_when_detecting_lesions/")</f>
        <v/>
      </c>
      <c r="G7479" t="inlineStr">
        <is>
          <t>2020-02-01 00:46:14</t>
        </is>
      </c>
      <c r="H7479" t="inlineStr"/>
    </row>
    <row r="7480">
      <c r="A7480" t="inlineStr">
        <is>
          <t>ex3kmz</t>
        </is>
      </c>
      <c r="B7480" t="inlineStr">
        <is>
          <t>Please give me some advice</t>
        </is>
      </c>
      <c r="C7480" t="inlineStr">
        <is>
          <t>My grandmother finally got her test results from her scan and the doctor told her it’s stage 4 lung cancer(she never smoked) and that the treatment she was told about taking a pill etc won’t work. She also cannot have surgery to remove the lung because something to do with her diaphragm. However I want her to get a second opinion on the surgery am I wrong for this?
I also want to say the doctor told her she has a few months without kemo treatment but if she chooses kemo that the treatment is better these days than it was and instead of 15% there’s a 60 to 75% chance of remission. 
Is there any actual hope for her? Has anyone with stage 4 forced it dormant? 
Should I push her to get a second opinion for surgery?</t>
        </is>
      </c>
      <c r="D7480" t="n">
        <v>1</v>
      </c>
      <c r="E7480" t="n">
        <v>11</v>
      </c>
      <c r="F7480">
        <f>HYPERLINK("https://www.reddit.com/r/cancer/comments/ex3kmz/please_give_me_some_advice/")</f>
        <v/>
      </c>
      <c r="G7480" t="inlineStr">
        <is>
          <t>2020-02-01 01:14:32</t>
        </is>
      </c>
      <c r="H7480" t="inlineStr"/>
    </row>
    <row r="7481">
      <c r="A7481" t="inlineStr">
        <is>
          <t>ex3oh4</t>
        </is>
      </c>
      <c r="B7481" t="inlineStr">
        <is>
          <t>Nevus moles</t>
        </is>
      </c>
      <c r="C7481" t="inlineStr">
        <is>
          <t>Has anyone had a moderate nevus mole removed that was already cancer? What was the treatment?</t>
        </is>
      </c>
      <c r="D7481" t="n">
        <v>1</v>
      </c>
      <c r="E7481" t="n">
        <v>2</v>
      </c>
      <c r="F7481">
        <f>HYPERLINK("https://www.reddit.com/r/cancer/comments/ex3oh4/nevus_moles/")</f>
        <v/>
      </c>
      <c r="G7481" t="inlineStr">
        <is>
          <t>2020-02-01 01:25:51</t>
        </is>
      </c>
      <c r="H7481" t="inlineStr"/>
    </row>
    <row r="7482">
      <c r="A7482" t="inlineStr">
        <is>
          <t>ex3ugx</t>
        </is>
      </c>
      <c r="B7482" t="inlineStr">
        <is>
          <t>Any Insight/ Experience with Secondary Cancer(s) after Thyroid Cancer?</t>
        </is>
      </c>
      <c r="C7482" t="inlineStr">
        <is>
          <t>Please remove if this post isn't okay.
Long story short, I just passed my 3-year diagnosis anniversary, and I was declared NED about a year and a half ago. I've read that leukemia can develop after radiation treatments, and I had a particularly high dose of radioactive iodine when first going through treatment. I've recently started having some concerning symptoms, and being a hypochondriac, I tried to find some info.
Needless to say, I'm worried.
Thanks for reading</t>
        </is>
      </c>
      <c r="D7482" t="n">
        <v>1</v>
      </c>
      <c r="E7482" t="n">
        <v>3</v>
      </c>
      <c r="F7482">
        <f>HYPERLINK("https://www.reddit.com/r/cancer/comments/ex3ugx/any_insight_experience_with_secondary_cancers/")</f>
        <v/>
      </c>
      <c r="G7482" t="inlineStr">
        <is>
          <t>2020-02-01 01:43:28</t>
        </is>
      </c>
      <c r="H7482" t="inlineStr"/>
    </row>
    <row r="7483">
      <c r="A7483" t="inlineStr">
        <is>
          <t>ex3vt8</t>
        </is>
      </c>
      <c r="B7483" t="inlineStr">
        <is>
          <t>IF MY DAD HAD COLON CANCER AT 19 AM I GOING TO ALSO HAVE IT AROUND THAT AGE</t>
        </is>
      </c>
      <c r="C7483" t="inlineStr">
        <is>
          <t xml:space="preserve">   (due to circumstances i can’t just call my dad back and ask him more about it) it’s also 1:23 am so i cannot call a relative
So today at (18) i found out that my father had colon cancer at 19 nobody ever told me. He said it was caught before it got worse but he had a lot of pain and was having bloody stools, he got the paullips removed and presumably had to get it checked every year after. i don’t usually have pain and i never have blood. I never got checked at the recommended 10 years prior, maybe because it’s an extremely rare case but my dad had very bad drug habits from all around the table and most likely didn’t eat good. I also don’t eat good and the symptoms line up to someone who either eats extremely unhealthy or this type of cancer which could go either way for me. what do you guys think?
symptoms i have or had: I’ve gone through a patch of throwing up for a good amount of time around last summer 2019f from July to September  and  September of 2018 for a couple months as well (at some points around that time i was involved in drugs), i get random constipation, random diarrhea, upset stomachs, no blood ever and very rarely sharp pain.</t>
        </is>
      </c>
      <c r="D7483" t="n">
        <v>1</v>
      </c>
      <c r="E7483" t="n">
        <v>0</v>
      </c>
      <c r="F7483">
        <f>HYPERLINK("https://www.reddit.com/r/cancer/comments/ex3vt8/if_my_dad_had_colon_cancer_at_19_am_i_going_to/")</f>
        <v/>
      </c>
      <c r="G7483" t="inlineStr">
        <is>
          <t>2020-02-01 01:47:29</t>
        </is>
      </c>
      <c r="H7483" t="inlineStr"/>
    </row>
    <row r="7484">
      <c r="A7484" t="inlineStr">
        <is>
          <t>ex54lz</t>
        </is>
      </c>
      <c r="B7484" t="inlineStr">
        <is>
          <t>Early stage need help</t>
        </is>
      </c>
      <c r="C7484" t="inlineStr">
        <is>
          <t>concern:
-health
-financial
-planning
helo if diagnose high risk of to getting breast cancer can i take cancer insurance? or is there any product or advice for case like this. Only have medical and life insirance. thank you. please reply ASAP
This case is for my mom, she not a woman that computer literacy. So i responsible to reach for help or advice in any circumstance and possible way. Thank you so muvh.</t>
        </is>
      </c>
      <c r="D7484" t="n">
        <v>1</v>
      </c>
      <c r="E7484" t="n">
        <v>1</v>
      </c>
      <c r="F7484">
        <f>HYPERLINK("https://www.reddit.com/r/cancer/comments/ex54lz/early_stage_need_help/")</f>
        <v/>
      </c>
      <c r="G7484" t="inlineStr">
        <is>
          <t>2020-02-01 03:56:52</t>
        </is>
      </c>
      <c r="H7484" t="inlineStr"/>
    </row>
    <row r="7485">
      <c r="A7485" t="inlineStr">
        <is>
          <t>ex6ciy</t>
        </is>
      </c>
      <c r="B7485" t="inlineStr">
        <is>
          <t>Father diagnosed with stomach cancer with Mets - looking for advice.</t>
        </is>
      </c>
      <c r="C7485" t="inlineStr">
        <is>
          <t>Hi all, everyone here in this community is so amazing and I guess I’m looking for some advice/information.
My father who is 83 years old was diagnosed with Stomach cancer which has spread to the liver, lung and hip bone about two weeks ago. He was complaining about pain in his left hip which led me to taking him to the GP and then discovering he had a low haemogloblin count in his blood. Which led to being admitted to the hospital and the discovery of the cancer. Since then it’s been a crazy two weeks of up and down high emotions. The Oncologists are saying it’s not curable which we(my family) all understand especially with his age and physical condition being very frail and has recommended getting radio first to stop the bleeding in the stomach and pain in the hip and then trying to get his condition better to be able to take chemo. My brothers and I all disagree with the way he should be treated, my oldest brother is against chemo/radio and wants to do quack medicine (alternative medicine involving diet and oils and a lot of questionable supplements such as DSMO and Liquid Chlorophyll) whereas my second oldest brother and I want him to do radio and if he gets stronger, chemo. The only problem is trying to motivate him to do more exercise to get the blood circulating and the pain in his hip is not helping. He sits and watches TV most of the day and sleeps as well and is eating less and less because he feels full all the time. His legs and arms are retaining fluids and that also hinders him to move about. We’re thinking about getting a second opinion but I feel like time is running out :-( I’m worried that radio and chemo will make him worse and I almost just want him to enjoy life as it is, travel overseas for one last time and enjoy eating and family as much as possible but I know he will want to fight it and I don’t want my last memory to be him suffering. My mum constantly nags him to do things and then they get into an argument (their marriage isn’t the strongest) and my brother joins in to tell them both off and everything is high in emotions and I don’t know what to do. 
I guess I’m asking whether anybody else here has had a similar experience, what was your loved one like during the whole process? What treatment did you go through and how long you are having/had with your loved one? What should I expect in terms of his energy levels and his reaction to radio and chemo? Asking because I guess I’m trying to prepare myself for what to expect ...</t>
        </is>
      </c>
      <c r="D7485" t="n">
        <v>1</v>
      </c>
      <c r="E7485" t="n">
        <v>8</v>
      </c>
      <c r="F7485">
        <f>HYPERLINK("https://www.reddit.com/r/cancer/comments/ex6ciy/father_diagnosed_with_stomach_cancer_with_mets/")</f>
        <v/>
      </c>
      <c r="G7485" t="inlineStr">
        <is>
          <t>2020-02-01 05:47:55</t>
        </is>
      </c>
      <c r="H7485" t="inlineStr"/>
    </row>
    <row r="7486">
      <c r="A7486" t="inlineStr">
        <is>
          <t>ex7ud1</t>
        </is>
      </c>
      <c r="B7486" t="inlineStr">
        <is>
          <t>Blood and brain</t>
        </is>
      </c>
      <c r="C7486" t="inlineStr">
        <is>
          <t>I used to wax poetic that my wife and I are perfect for each other because we both have experienced cancer. After a sudden seizure I got saddled with a grade III astrocytoma with a grim prognosis while she saw her health decline slowly as a blast crisis appeared in her blood. Even though my wife's AML was "cured" with a whopping few rounds of a chemo, this rare genetic (variant?) quality of hers lent itself to the blood disease making an extravagant and untimely reappearance earlier this week. Five years out I am now in the 1 in 10 club (or is it 1 in 20?)—if summary statistics are to be taken seriously—of those who are not dead as result glial cells gone awry in one of the more mission critical parts of the body. 
So far, my cancer is about as lazy as coming back as I am about going to the gym. Although, every 6 months after a clean scan comes back my oncologist assures me that the astrocytoma will, in fact, recur (thanks for the constant reminders, doc). The poetry of it all is becoming dull with this second manifestation of my wife's AML. This time around, her oncology team will try a bone marrow transplant, which all of the thoughtful nurses and doctors assured her was terrible during the first bout with cancer ("Well, this chemo sure is tough, but at least you don't have to have a bone marrow transplant! It's way worse!") 
So now, I'm in a different city in the hospital for a month playing the role of caregiver once again while my wife undergoes induction chemo and desperately hoping my own precarious health (epilepsy, ulcerative colitis, and the brain thing) doesn't fall beneath me during the next few critical months—while also worrying that job loss (and thus health insurance! America!) for both of us seems about inevitable at this point. 
Regardless of all that, it's nice to take a break from work (we spend too much of our time working!). **What do you like to do when you're not busy living/dying?** We've just started watching season 4 of The Good Place and I'm rediscovering my love for Sudoku.</t>
        </is>
      </c>
      <c r="D7486" t="n">
        <v>1</v>
      </c>
      <c r="E7486" t="n">
        <v>10</v>
      </c>
      <c r="F7486">
        <f>HYPERLINK("https://www.reddit.com/r/cancer/comments/ex7ud1/blood_and_brain/")</f>
        <v/>
      </c>
      <c r="G7486" t="inlineStr">
        <is>
          <t>2020-02-01 07:40:54</t>
        </is>
      </c>
      <c r="H7486" t="inlineStr"/>
    </row>
    <row r="7487">
      <c r="A7487" t="inlineStr">
        <is>
          <t>exb2ce</t>
        </is>
      </c>
      <c r="B7487" t="inlineStr">
        <is>
          <t>RANT - "Oh, how'd you do that?"</t>
        </is>
      </c>
      <c r="C7487" t="inlineStr">
        <is>
          <t>I had Osteosarcoma, a bone cancer, after chemo ended in October I had part of my femur replaced with a sweet titanium implant. Been crutch and wheelchair bound since, while the implant fuses to my bone.
Ugh, everyday, some unsuspecting stranger says, "Oh, how'd you do that?"
I used to be honest, bone cancer. Typical OMG response, you're so strong, so brave, etc.
I've started lying lately, because I don't need to spend 10 minutes nut shelling my past year of suck.
Rant over. Please feel free to share your moments.</t>
        </is>
      </c>
      <c r="D7487" t="n">
        <v>1</v>
      </c>
      <c r="E7487" t="n">
        <v>28</v>
      </c>
      <c r="F7487">
        <f>HYPERLINK("https://www.reddit.com/r/cancer/comments/exb2ce/rant_oh_howd_you_do_that/")</f>
        <v/>
      </c>
      <c r="G7487" t="inlineStr">
        <is>
          <t>2020-02-01 11:17:07</t>
        </is>
      </c>
      <c r="H7487" t="inlineStr"/>
    </row>
    <row r="7488">
      <c r="A7488" t="inlineStr">
        <is>
          <t>exb3ll</t>
        </is>
      </c>
      <c r="B7488" t="inlineStr">
        <is>
          <t>We’re new to this and scared.</t>
        </is>
      </c>
      <c r="C7488" t="inlineStr">
        <is>
          <t>My mother in law was diagnosed with Heptocellular Carcinoma. They said it was stage 4 and surgery or transplant were to dangerous. We’re looking for a second opinion but where should we go from here? First oncology appointment is next week.</t>
        </is>
      </c>
      <c r="D7488" t="n">
        <v>1</v>
      </c>
      <c r="E7488" t="n">
        <v>2</v>
      </c>
      <c r="F7488">
        <f>HYPERLINK("https://www.reddit.com/r/cancer/comments/exb3ll/were_new_to_this_and_scared/")</f>
        <v/>
      </c>
      <c r="G7488" t="inlineStr">
        <is>
          <t>2020-02-01 11:19:37</t>
        </is>
      </c>
      <c r="H7488" t="inlineStr"/>
    </row>
    <row r="7489">
      <c r="A7489" t="inlineStr">
        <is>
          <t>exbq9z</t>
        </is>
      </c>
      <c r="B7489" t="inlineStr">
        <is>
          <t>How do I deal with the fact that my husband may never be cured?</t>
        </is>
      </c>
      <c r="C7489" t="inlineStr">
        <is>
          <t>Hello everyone,
I have only made 2-3 posts here before about my husband's situation. He has been diagnosed with stage 4 lung cancer around the end of december due to malignant pleural effusion and spread to nearby lymph nodes. His tumor is located in the right lung and has remained localized there with no mets to anywhere else in his body.
He has been taking to chemo fairly well and will be on his 3rd of 6 rounds in a few days. These days though I can't help but think even if we were to beat this the first time around and he is in remission, that there is a high likelihood his cancer will come back with a vengence. I just feel like all of this is merely buying time. He will no longer be able to live a normal life like we were used to before his diagnosis, we can no longer think about having children because I am just horrified at the idea of them either never being old enough to remember him or having them tell daddy goodbye forever while they are still children, and worst of all we will both constantly be on the fence about any pain or ache he might feel after remission (if it happens) and think its his cancer coming back
We are currently seeking treatment at a different hospital that is more specialized and hope to transfer all his paperwork there this month. I fear having to hear the doctors say there is no chance for a cure and all we are doing is extending his life by a year or two. I am doing my best to mentally prepare myself for that by thinking about it 24/7 which just leads to me hardly being able to sleep, eat/drink and generally care about my wellbeing at all. I dont know how I can even try to carve out any kind of hope while having the complete knowledge that cure is highly unlikely as it is for most if not all stage 4 patients. I feel like even the best case scenario of him being in remission is still extremely scary because the cancer will just come back eventually and take him for good, no one knows when but it will within 5-10 years time
I dont know anymore, I try to stop myself from crying every night and begging god to help us. I try my best not to cry infront of him when he smiles or laughs because I know all of this is just temporary until we receive the final news that comes to all of us "you are dying and there is nothin we can do anymore". You could argue with me that even without having cancer, we never know when our days are numbered but at the same time knowing that cancer will take him very soon away from me rather than when we are both old and gray hurts so bad</t>
        </is>
      </c>
      <c r="D7489" t="n">
        <v>1</v>
      </c>
      <c r="E7489" t="n">
        <v>11</v>
      </c>
      <c r="F7489">
        <f>HYPERLINK("https://www.reddit.com/r/cancer/comments/exbq9z/how_do_i_deal_with_the_fact_that_my_husband_may/")</f>
        <v/>
      </c>
      <c r="G7489" t="inlineStr">
        <is>
          <t>2020-02-01 12:03:22</t>
        </is>
      </c>
      <c r="H7489" t="inlineStr"/>
    </row>
    <row r="7490">
      <c r="A7490" t="inlineStr">
        <is>
          <t>exbzns</t>
        </is>
      </c>
      <c r="B7490" t="inlineStr">
        <is>
          <t>Hello</t>
        </is>
      </c>
      <c r="C7490" t="inlineStr">
        <is>
          <t>Hi, my uncle has two brain tumours that affect the balance area of the brain, and we are having a really hard time finding a position for him to stay in without his head hurting, I wanted to know if you guys knew any good positions.</t>
        </is>
      </c>
      <c r="D7490" t="n">
        <v>1</v>
      </c>
      <c r="E7490" t="n">
        <v>2</v>
      </c>
      <c r="F7490">
        <f>HYPERLINK("https://www.reddit.com/r/cancer/comments/exbzns/hello/")</f>
        <v/>
      </c>
      <c r="G7490" t="inlineStr">
        <is>
          <t>2020-02-01 12:21:40</t>
        </is>
      </c>
      <c r="H7490" t="inlineStr"/>
    </row>
    <row r="7491">
      <c r="A7491" t="inlineStr">
        <is>
          <t>exdyrk</t>
        </is>
      </c>
      <c r="B7491" t="inlineStr">
        <is>
          <t>How do you feel about non-cancer patients and their views on recovery?</t>
        </is>
      </c>
      <c r="C7491" t="inlineStr">
        <is>
          <t>how do you feel when non-cancer patients bring up your treatment of or recovery from cancer? In the sense of: either “oh, you must be/ will be totally fine now!” Or sometimes (often on reddit o_o) someone who has read one page of cancer stats and says “you’re not out of the woods yet!! cancer never truly leaves haha”. 
It’s weird - this time last year, if it weren’t for a very new treatment that I gained access to, I would have been classed as terminal, and believed I was for a while. I’m very slowly getting used to the idea of not being in immediate danger, but it still hits a nerve when people either tell me I should be acting like nothing happened (when I still suffer from a disability due to chemo) or ‘inform’ me that I’ll never really be cured and need to watch out for cancer scares (as if i don’t do it already). Does anyone ever feel similarly? Love and luck to you guys.</t>
        </is>
      </c>
      <c r="D7491" t="n">
        <v>1</v>
      </c>
      <c r="E7491" t="n">
        <v>11</v>
      </c>
      <c r="F7491">
        <f>HYPERLINK("https://www.reddit.com/r/cancer/comments/exdyrk/how_do_you_feel_about_noncancer_patients_and/")</f>
        <v/>
      </c>
      <c r="G7491" t="inlineStr">
        <is>
          <t>2020-02-01 14:42:26</t>
        </is>
      </c>
      <c r="H7491" t="inlineStr"/>
    </row>
    <row r="7492">
      <c r="A7492" t="inlineStr">
        <is>
          <t>exee6a</t>
        </is>
      </c>
      <c r="B7492" t="inlineStr">
        <is>
          <t>Is there such a thing as the perfect chemo care kit?</t>
        </is>
      </c>
      <c r="C7492" t="inlineStr">
        <is>
          <t>Cancer patients of reddit who have/are undergoing chemo or radiation treatments, do you have a 'care kit'? If so, what items do you swear by, that keep you cool, comfortable, entertained, relaxed, etc while going through treatments?</t>
        </is>
      </c>
      <c r="D7492" t="n">
        <v>1</v>
      </c>
      <c r="E7492" t="n">
        <v>9</v>
      </c>
      <c r="F7492">
        <f>HYPERLINK("https://www.reddit.com/r/cancer/comments/exee6a/is_there_such_a_thing_as_the_perfect_chemo_care/")</f>
        <v/>
      </c>
      <c r="G7492" t="inlineStr">
        <is>
          <t>2020-02-01 15:10:11</t>
        </is>
      </c>
      <c r="H7492" t="inlineStr"/>
    </row>
    <row r="7493">
      <c r="A7493" t="inlineStr">
        <is>
          <t>exfbk9</t>
        </is>
      </c>
      <c r="B7493" t="inlineStr">
        <is>
          <t>I’m terrified / worried that I might have cancer.</t>
        </is>
      </c>
      <c r="C7493" t="inlineStr">
        <is>
          <t>I’m a 20 year old male who lives with my parents, and for the past 6 or 7 months I’ve been having problems with my voice. I have to clear my throat EVERY time I talk, my voice feels weaker, it feels like it’s harder to speak, and now I feel as if my throat is starting to feel tight. This has been going on for 6 months or so, and I’ve never put my foot down and went to a ENT doctor. Ive been told it’s my horrible anxiety, post nasal drip, etc and none of those treatments have worked for me. I’ve been pushing around my throat and feel like there’s a hard lump on the upper left side of my throat that’s not on the right side (I don’t think).
Today I talked with my parents about getting an appointment with an ENT doctor and I’ll finally be scheduling an appointment. I know this post is pointless but I’m just terrified. I feel so stupid for letting this go for so long and now my already bad anxiety is though the roof. Sorry for a post like this, I just need to get my thoughts out somewhere...</t>
        </is>
      </c>
      <c r="D7493" t="n">
        <v>1</v>
      </c>
      <c r="E7493" t="n">
        <v>20</v>
      </c>
      <c r="F7493">
        <f>HYPERLINK("https://www.reddit.com/r/cancer/comments/exfbk9/im_terrified_worried_that_i_might_have_cancer/")</f>
        <v/>
      </c>
      <c r="G7493" t="inlineStr">
        <is>
          <t>2020-02-01 16:12:51</t>
        </is>
      </c>
      <c r="H7493" t="inlineStr"/>
    </row>
    <row r="7494">
      <c r="A7494" t="inlineStr">
        <is>
          <t>exff1v</t>
        </is>
      </c>
      <c r="B7494" t="inlineStr">
        <is>
          <t>Mom diagnosed with myeloid sarcoma. I'm not getting any answers and no one understands how frustrating that is.</t>
        </is>
      </c>
      <c r="C7494" t="inlineStr">
        <is>
          <t>When my mom was about my age (28) she was diagnosed with ovarian cancer. They took out one of her ovaries, but she was still able to have children (3- my twin sister and me, then my little bro).
March of last year she was having bad abdominal pain. Doctors found a mass originating in her gynecological tract. Mom underwent a complete hysterectomy. They sent off the tumor to get analyzed. Turns out it was myeloid sarcoma... some weird sort of leukemia that created a tumor. The leukemia did not begin in her blood or bone marrow, but the equivalent diagnosis was AML. 
They wanted her to get a bone marrow transplant, but she refused. They wanted to put her on a stronger chemotherapy, she refused. She ended up electing to receive a "lighter" (?) chemotherapy. She did that for some months and her scans were coming back clean. During this time my sister and I were not told much info, other than being told about the clear scans. She stopped the chemotherapy and hoped for a good outcome. 
My sister and I sat her down hoping to get some answers. She told us that her form of cancer isn't curable (with a BMT there would be a small chance... but my mom doesn't want to do it). She told us that she believes in miracles, and said she was eating well, felt ok, and wants to live her life without feeling sick. 
About a week ago she was having some severe belly pain. They did a scan and found the cancer in her lymph nodes. The doctor put her back on the chemotherapy... and that's all I know. Nothing else. No prognosis. No clarity. Nothing about what to expect. She is saying she doesn't know anything either. 
I'm so frustrated I could scream. Is she hiding information from me? What else did her doctors say? What is her prognosis? What can I expect? How long do I have with my mom? I just want to know, and I wish someone would tell me. 
Ughhhhhhhhh 😭</t>
        </is>
      </c>
      <c r="D7494" t="n">
        <v>1</v>
      </c>
      <c r="E7494" t="n">
        <v>2</v>
      </c>
      <c r="F7494">
        <f>HYPERLINK("https://www.reddit.com/r/cancer/comments/exff1v/mom_diagnosed_with_myeloid_sarcoma_im_not_getting/")</f>
        <v/>
      </c>
      <c r="G7494" t="inlineStr">
        <is>
          <t>2020-02-01 16:19:38</t>
        </is>
      </c>
      <c r="H7494" t="inlineStr"/>
    </row>
    <row r="7495">
      <c r="A7495" t="inlineStr">
        <is>
          <t>exfzf5</t>
        </is>
      </c>
      <c r="B7495" t="inlineStr">
        <is>
          <t>IV CHEMO QUESTION</t>
        </is>
      </c>
      <c r="C7495" t="inlineStr">
        <is>
          <t>QUESTION- my dad does IV chemo for 7 hours a day then goes home for 3 weeks. Then he goes back, has chemo for 7 hours a day, then goes home for 3 weeks. that’s the plan he’s on. 
He just had his first chemo treatment on Tuesday and today(Saturday) he’s starting to feel the effects. body aches all over, weakness etc. 
my question is, how long does the pain go on, for the entire three weeks, and then basically perpetually until treatment is over? or has anyone experienced a break in the pain until more chemo is administered?</t>
        </is>
      </c>
      <c r="D7495" t="n">
        <v>1</v>
      </c>
      <c r="E7495" t="n">
        <v>15</v>
      </c>
      <c r="F7495">
        <f>HYPERLINK("https://www.reddit.com/r/cancer/comments/exfzf5/iv_chemo_question/")</f>
        <v/>
      </c>
      <c r="G7495" t="inlineStr">
        <is>
          <t>2020-02-01 16:57:41</t>
        </is>
      </c>
      <c r="H7495" t="inlineStr"/>
    </row>
    <row r="7496">
      <c r="A7496" t="inlineStr">
        <is>
          <t>exh3xc</t>
        </is>
      </c>
      <c r="B7496" t="inlineStr">
        <is>
          <t>36 hours away</t>
        </is>
      </c>
      <c r="C7496" t="inlineStr">
        <is>
          <t>From my radical hysterectomy that’s the first treatment option we are seeking for my 1b1 cervical cancer. I drove 2 hours to see friends who live far(ish) away, because I don’t know when I’m going to make it there in the future. Hubby ordered food when I got home (NPO tomorrow with a bowel prep). 
I’m so scared. I’m scared about the surgery, I’m scared about the pain afterwards, I’m scared about the pathology results, staying in the hospital for a couple of days, I’m scared my cat is going to miss me too much and be so mad with me when I get back that she won’t want to be around me. I’m scared for early menopause, scared how this is going to affect my marriage. I don’t know how I’m going to make the next 36 hours without having a major anxiety attack. And I don’t feel like I can tell anyone about how scared I am because they all think I’m being so brave. So thanks Reddit for letting me say (mostly anonymously) that I am terrified for Monday, honestly, and that contrary to what I told all of my friends today, I am not ready and I wish I had more time.</t>
        </is>
      </c>
      <c r="D7496" t="n">
        <v>1</v>
      </c>
      <c r="E7496" t="n">
        <v>13</v>
      </c>
      <c r="F7496">
        <f>HYPERLINK("https://www.reddit.com/r/cancer/comments/exh3xc/36_hours_away/")</f>
        <v/>
      </c>
      <c r="G7496" t="inlineStr">
        <is>
          <t>2020-02-01 18:14:38</t>
        </is>
      </c>
      <c r="H7496" t="inlineStr"/>
    </row>
    <row r="7497">
      <c r="A7497" t="inlineStr">
        <is>
          <t>exhuql</t>
        </is>
      </c>
      <c r="B7497" t="inlineStr">
        <is>
          <t>My favourite auntie might have a rare form of cancer</t>
        </is>
      </c>
      <c r="C7497" t="inlineStr">
        <is>
          <t>She’s waiting on the results to see if it’s benign or malignant. It’s in her stomach. Forgive me I’ve forgot the name of it.
She’s almost 76 and I have cancer myself and the last 2 yrs she’s been very supportive.
I don’t want her to be not ill for selfish reasons. I’m very independent. But I’m kind of bummed. Out of all my aunties and uncles, she and her husband (uncle my marriage) and her Daughter (cousin) are the only ones that cared and visited me in hospital, took me out for a meal and visited me at home and brought me food and shopping.
Happens to the best of people it seems. It’s not fair.
I’m praying it’s only benign.</t>
        </is>
      </c>
      <c r="D7497" t="n">
        <v>1</v>
      </c>
      <c r="E7497" t="n">
        <v>0</v>
      </c>
      <c r="F7497">
        <f>HYPERLINK("https://www.reddit.com/r/cancer/comments/exhuql/my_favourite_auntie_might_have_a_rare_form_of/")</f>
        <v/>
      </c>
      <c r="G7497" t="inlineStr">
        <is>
          <t>2020-02-01 19:06:35</t>
        </is>
      </c>
      <c r="H7497" t="inlineStr"/>
    </row>
    <row r="7498">
      <c r="A7498" t="inlineStr">
        <is>
          <t>exkls7</t>
        </is>
      </c>
      <c r="B7498" t="inlineStr">
        <is>
          <t>The loss of a wonderful mom, wife, and friend</t>
        </is>
      </c>
      <c r="C7498" t="inlineStr">
        <is>
          <t>Hi all, 
      All of you don’t know me but we are here for the same reason, we have all been affected by cancer one way or another. My name is Jacob R. and I am 14 years old . In 2018 my family moved up to where we live now in central California and we’re living a pretty good life up here until around late April of 2019. My mom started seeing complications in her health, we went to the hospital and she was diagnosed with pneumonia and blood clots she was then treated for those things. We saw the hospitals out two more time and it was all going uphill. We were at my 8th grade promotion and she was off of oxogen the entire time and after we had fun, we barbecued, we told stories, etc. Summer started and 4 days in, she had a stroke and was airlifted to west hills hospital. We were there for 31 days. While there we learned that the “pneumonia and blood clots” was a non-small cancer ALK1+. With this news we looked at all of the treatments and saw that there were so many advances in this field and I was so happy that hopefully in a few month life would be normal again. We got out of the hospital and the road to recovery began. We had a few bumps in the road but we were making more progress. Eventually we had learned that the cancer had spread to the brain from the lungs. With this, we started chemotherapy. This was all looking good and it was really kicking cancers ass. Life was looking normal again. We made it all the way through 2019 with December being one of the best months since diagnosis. She was out with friends and family almost everyday and was beginning to act like herself again. Then the new year hit, we saw a weird decline and some pain, we went to the hospital and they said it was nothing but a pulled muscle. We went on with everything and then around the 22 of January,  it was too much pain to bear. She went back to the hospital with my dad leaving me to run the household and take care of my brother(age 12) we got through the week and went to see her everyday after school. January 30th I went to school and about 30 minutes in I was pulled out and checked my phone with a text from my dad saying “Love you all so much” I knew something had gone wrong at this point. We got to the hospital and we talked about how the cancer had spread beyond the lung and brain and now was in the lower spine, liver, and ribs. She was in unbearable pain and my dad told me she only had a few days left. With this knowledge I had no idea how to react as I am only 14 and the thought of that scared me. That day, I only left her bedside to go use the restroom or eat and the rest of the time I was right there, with her and my dad. We had numerous people come and go and the nurses told us that they had never seen so much love and support for one person. She was heavily sedated but completely out of pain. Earlier that day was the last time I got to talk to her and her last words to me were “hi, love you”, around 9pm, we took her off of her bigger oxogen mask and put her on a regular O2 tube. We knew once we did this, she would only have 4-5 hours left. We did this and those were the last few hours I got with her. At 2:38 in the morning I watched her take her last breath and pass over to the next world. I couldn’t bear the fact I had just lost my mom, someone who has been in my life since the beginning. I was so sad and so was everyone else. I don’t really know how to end this because I can’t think straight and I can’t stop crying so sorry. But I do want to say, don’t take anything for granted. If your friends or family, or whoever has cancer, spend as much time with them as you can. You will be so happy about that in the end. I spent as much time as I could with her and I am happy to be left with those memories I shared with her. I am sorry to anyone who has lost someone and I wish the best of luck to anyone fighting the battle.</t>
        </is>
      </c>
      <c r="D7498" t="n">
        <v>1</v>
      </c>
      <c r="E7498" t="n">
        <v>9</v>
      </c>
      <c r="F7498">
        <f>HYPERLINK("https://www.reddit.com/r/cancer/comments/exkls7/the_loss_of_a_wonderful_mom_wife_and_friend/")</f>
        <v/>
      </c>
      <c r="G7498" t="inlineStr">
        <is>
          <t>2020-02-01 22:55:54</t>
        </is>
      </c>
      <c r="H7498" t="inlineStr"/>
    </row>
    <row r="7499">
      <c r="A7499" t="inlineStr">
        <is>
          <t>exlex0</t>
        </is>
      </c>
      <c r="B7499" t="inlineStr">
        <is>
          <t>To the adoptive mother who chose me...thank you. And to cancer...fuck you.</t>
        </is>
      </c>
      <c r="C7499" t="inlineStr">
        <is>
          <t>My adoptive mother. It was her decision to adopt me from Syktyvkar, Russia at 14 months old. In my  high school years she was diagnosed with ovarian cancer. She thought it was constipation. I saw her do lots of enemas and laxatives. But I was curled up with my best friend when my father called saying it was cancer. I held my friend close as I knew it was over. Over the next few years I watched my mother go into remission; into conquering...then I'd see her spirit retreat. I felt something wrong as she sat in the car in tears. "I'm sorry." is all I'd say. I hate myself for everything I've done. I distanced myself from there on. I didn't want to bond or connect with mom. The woman who chose me. Flew thousands of miles for me. I let her down. When she was in pain from the illness i said she was a bitch and she deserved this. I apologized and she didn't remember me saying this... she was in shock I did this... I said it. I listened to her and her father mumble who would die first at the dinner table. Grandpa had a back pain; my mom said he is being dramatic so I ignored it.  He is in a heated sheet. We take him off of life support. My mom asked for a pillow. I took a photo of him and his daughter, my mom. Both mouths open. My grandpa taking his last inhale and my mom yawning in boredom and impatience. Six months later the impatience caught up. You were in hospice and the nurse said you weren't leaving. I'm sorry I didn't visit you. I wanted to distance myself. I don't want to be attached but I came to you. One night we left and dad and I woke up at 10. The same time mom.... he came in 2 hours later asking if I was awake. He told me you were gone. The last memory is me giving you morphine because I hugged you and you said "ow" those are my last words I heard from you. I love you and I am sorry.</t>
        </is>
      </c>
      <c r="D7499" t="n">
        <v>1</v>
      </c>
      <c r="E7499" t="n">
        <v>3</v>
      </c>
      <c r="F7499">
        <f>HYPERLINK("https://www.reddit.com/r/cancer/comments/exlex0/to_the_adoptive_mother_who_chose_methank_you_and/")</f>
        <v/>
      </c>
      <c r="G7499" t="inlineStr">
        <is>
          <t>2020-02-02 00:19:43</t>
        </is>
      </c>
      <c r="H7499" t="inlineStr"/>
    </row>
    <row r="7500">
      <c r="A7500" t="inlineStr">
        <is>
          <t>exnbe6</t>
        </is>
      </c>
      <c r="B7500" t="inlineStr">
        <is>
          <t>2 years</t>
        </is>
      </c>
      <c r="C7500" t="inlineStr">
        <is>
          <t>It’s been two years since Dads been gone. My god does the time fly. He’s got a granddaughter on the way. Would have made a hell of a good influence on her.  So many ways I miss him everyday but I’m so thankful for the days I had with him. 
For those of you fighting your battle. Stay strong. So many people are on your side. Fuck Cancer.</t>
        </is>
      </c>
      <c r="D7500" t="n">
        <v>1</v>
      </c>
      <c r="E7500" t="n">
        <v>2</v>
      </c>
      <c r="F7500">
        <f>HYPERLINK("https://www.reddit.com/r/cancer/comments/exnbe6/2_years/")</f>
        <v/>
      </c>
      <c r="G7500" t="inlineStr">
        <is>
          <t>2020-02-02 03:44:37</t>
        </is>
      </c>
      <c r="H7500" t="inlineStr"/>
    </row>
    <row r="7501">
      <c r="A7501" t="inlineStr">
        <is>
          <t>exodzv</t>
        </is>
      </c>
      <c r="B7501" t="inlineStr">
        <is>
          <t>Brunner gland hyperplasia or duodenal cancer</t>
        </is>
      </c>
      <c r="C7501" t="inlineStr">
        <is>
          <t>Hello, im 23 years old guy. And after an endoscopy, they found barrets esophagus and  some "polyp like" in my first duodenum (the bulb)
The second duodenum was completly normal
My endoscopist told me it's probably Brunner gland hyperplasia (completly benign) but took biopsy to be sure
Im waiting for the result
I really  can't handle these problem, handling barrets esophagus is ok but a duodenal cancer or even an adenoma would be terrible, Ill clearly end up in a psychiatric hospital or ask to remove all my gastric system
So my question :Are Brunner gland hyperplasia easy to recognize? Why my endoscopist did 1 biopsy if it's just Brunner gland
Im really afraid and can't sleep</t>
        </is>
      </c>
      <c r="D7501" t="n">
        <v>1</v>
      </c>
      <c r="E7501" t="n">
        <v>4</v>
      </c>
      <c r="F7501">
        <f>HYPERLINK("https://www.reddit.com/r/cancer/comments/exodzv/brunner_gland_hyperplasia_or_duodenal_cancer/")</f>
        <v/>
      </c>
      <c r="G7501" t="inlineStr">
        <is>
          <t>2020-02-02 05:26:51</t>
        </is>
      </c>
      <c r="H7501" t="inlineStr"/>
    </row>
    <row r="7502">
      <c r="A7502" t="inlineStr">
        <is>
          <t>exoee4</t>
        </is>
      </c>
      <c r="B7502" t="inlineStr">
        <is>
          <t>WHAT TO DO...?</t>
        </is>
      </c>
      <c r="C7502" t="inlineStr">
        <is>
          <t>Hi all! 
I’m 25 at the moment and my father is going through his cancer journey. He was diagnosed in 2018 with lung cancer (non smokers) due to a gene mutation. This damn gene gets my dads cells to mutate and his original cancer has now spread to his adrenal gland and brain. He is doing targeted gene therapy now with the hopes of slowing the whole process down. 
What I want to ask is how do y’all deal with this? 
I’m young (fortunately not as young as others) and have an extremely tight bond and attachment to my dad. This whole cancer journey has destroyed my ability to really do anything.... I constantly think about it and live in a fight or flight kind of feeling all the time. I’ve isolated myself from friends, family (except my immediate), my boyfriend.  Stopped working as I went back to school to study my masters which in turn has isolated me more. Stopped really being able to self motivate etc. I feel guilty because I feel I am making it about myself but I’ve basicallly put my life on hold. It is transient in the sense that some days I am better than others but it is mostly always there underlining everything I do. 
I have thought about meds but I think, what is the point in medicating a depression that i am aware is rooted within the pain of this disease. 
Please let me know if you guys have any alternative options of coping... big or small changes that can help me get through. 
Thank you and #fuckcancer</t>
        </is>
      </c>
      <c r="D7502" t="n">
        <v>1</v>
      </c>
      <c r="E7502" t="n">
        <v>18</v>
      </c>
      <c r="F7502">
        <f>HYPERLINK("https://www.reddit.com/r/cancer/comments/exoee4/what_to_do/")</f>
        <v/>
      </c>
      <c r="G7502" t="inlineStr">
        <is>
          <t>2020-02-02 05:27:55</t>
        </is>
      </c>
      <c r="H7502" t="inlineStr"/>
    </row>
    <row r="7503">
      <c r="A7503" t="inlineStr">
        <is>
          <t>exofu0</t>
        </is>
      </c>
      <c r="B7503" t="inlineStr">
        <is>
          <t>Losing sanity, do I fight this or do I give up and call indifference.</t>
        </is>
      </c>
      <c r="C7503" t="inlineStr">
        <is>
          <t>Over the last year I've watched my father battle stage 4 lung cancer. Along the way many people have sold hope and lies breaching from homeopathy to westerners appointing Chinese medicines. "You'll beat it in a few months" "three more weeks and it's cured" "I guarantee you will be here longer than 15 years". These are not exaggerated quotes. Hope is a beautiful and necessary thing, but the mental manipulative comments made by this group of people have impacted in major financial issues and poor general life decisions. Diets have been tried which brought my father way closer to death more than once than the cancer has so far...
The entire time I've known and watched scams unfold genuinely not being able to do a thing about it. My morals and conscious have never been more battered and bruised trying to decide when to bite my tongue and when to tell them to stop taking advantage and tearing a family apart. These aren't my decisions to make nor my life and I understand that, but what can I do to make this time easier, on everyone... What's currently going on is deeply hurting the family and straining multiple relationships in many ways and areas.
I myself have anger issues and am temperamental in the face of things known to be invidious and wrong. I struggle immensely staying calm when scientific fact is thrown out the window based on a strangers advice and bill... So this is my problem also. But, are there even any answers for things like this?
Thank-you,-Troubled, 23.</t>
        </is>
      </c>
      <c r="D7503" t="n">
        <v>1</v>
      </c>
      <c r="E7503" t="n">
        <v>0</v>
      </c>
      <c r="F7503">
        <f>HYPERLINK("https://www.reddit.com/r/cancer/comments/exofu0/losing_sanity_do_i_fight_this_or_do_i_give_up_and/")</f>
        <v/>
      </c>
      <c r="G7503" t="inlineStr">
        <is>
          <t>2020-02-02 05:31:13</t>
        </is>
      </c>
      <c r="H7503" t="inlineStr"/>
    </row>
    <row r="7504">
      <c r="A7504" t="inlineStr">
        <is>
          <t>exrbqz</t>
        </is>
      </c>
      <c r="B7504" t="inlineStr">
        <is>
          <t>How to make time for self-care practices and stop feeling guilty?</t>
        </is>
      </c>
      <c r="C7504" t="inlineStr">
        <is>
          <t>It's surprising how three little words can conjure up such a maelstrom of emotions, but when I received a text message from my father asking me to "get \[him\] out", I wasn't sure how I felt. To be perfectly frank, I still don't, as I've been doing my best to keep a lid on the situation lest it spiral wildly out of control. 
A little under a week ago, in defiance of his physicians' recommendations, my father opted to discharge himself from the hospital and signed a form to acknowledge he would be leaving against medical advice. I cannot, in all good conscience, fault him for making such a difficult decision: he is dying of stage IV metastatic cancer and would rather spend the remainder of his life at home. The cats are pleased to have him with us, as am I, but I've been having trouble taking care of myself amidst the chaos of it all. 
&amp;amp;#x200B;
1. 1. I was never legally adopted by my father and severed all ties with my biological mother - his ex-wife -  approximately half a decade ago. His illness has forced me to get in touch with her to make all the necessary arrangements: the mortgage is in both their names, and given the fact that there is no will as of yet and I would rather not end up homeless, this is a grim responsibility I cannot possibly shirk. Dealing with someone who has historically caused me so much physical and emotional pain, however, has been taking quite a toll on me. I do whatever I can to either address and/or sublimate my feelings by utlising dialectical and cognitive behavioural therapy techniques, but I'd be lying if I said my approach has been effective so far, even though I'm functioning relatively well for an anorexic with persistent depressive disorder, avoidant personality disorder, and PTSD.
2. 2. I cannot shake the feeling that I should be doing more. While this might have something to do with my obsessive/compulsive tendencies, I suspect many of us feel at least a smidge of guilt whenever we decide to partake in recreational activities. I'm running myself into the ground preparing fortified high-calorie protein shakes, running errands, delivering meals to my father's bedridden and somewhat obstreperous mother, sending updates to his father's friends and family, doing chores, taking care of all the paperwork, and ensuring that I'll have access to my dad's important accounts after his passing. I'm also trying to enjoy spending time with him by planning small, manageable activities like watching Star Trek: Picard together and to take as many pictures as I can so I'll have a photographic record of his last few months.
3. 3. I'm not sure how to cope with the uncertainty of it all: since he left the hospital early, we'll never find out where the cancer originated from. At best, we'll receive some information regarding the outcome of his tests (a biopsy and gastroscopy) over the course of the next two weeks, but there's simply no way of telling how much time he has left. It could be days, weeks, or even months, and since you just never know when things might take a change for the worse, I often find myself lying in bed waiting for the sun to rise. Sooner rather than later, I will have to get out of bed, pop the kettle on, and march up to his bedroom, only to find a cold corpse instead of the man I love above everything else on earth. 
Suffice it to say that I am frankly mystified as to how to get on with things. I am doing what I can to stay afloat, even though this experience is making me feel like a chipped tree-topper wobbling precariously on top of the Christmas tree, but I simply cannot get over these horrible feelings of guilt and shame. When is enough enough? How can we best take care of ourselves when we're busy taking care of everyone else?</t>
        </is>
      </c>
      <c r="D7504" t="n">
        <v>1</v>
      </c>
      <c r="E7504" t="n">
        <v>2</v>
      </c>
      <c r="F7504">
        <f>HYPERLINK("https://www.reddit.com/r/cancer/comments/exrbqz/how_to_make_time_for_selfcare_practices_and_stop/")</f>
        <v/>
      </c>
      <c r="G7504" t="inlineStr">
        <is>
          <t>2020-02-02 08:59:28</t>
        </is>
      </c>
      <c r="H7504" t="inlineStr"/>
    </row>
    <row r="7505">
      <c r="A7505" t="inlineStr">
        <is>
          <t>exs8dd</t>
        </is>
      </c>
      <c r="B7505" t="inlineStr">
        <is>
          <t>No more "big scary" tests</t>
        </is>
      </c>
      <c r="C7505" t="inlineStr">
        <is>
          <t>No more big tests such as genetic testing or PET tests. Stage 2B breast cancer. Tumor is 5 cm (literally the size of a baby's fist) and one lymphnode was positive out of 6.
Now it's just do do do!!!
I'm going to have a chemo port put in, do 4 sessions once every 3 weeks (TC chemo) followed by radiation.... And then 5 years of a estrogen blocking pill.
Never thought at 32 years old and male I'd ever have breast cancer. The true kicker I always assumed from a young age (maybe 13 years old... Memory is fickle... Definitely at 21 years old) that my inverted nipple was normal...... Well curiosity got the best of me and a mammogram /ultrasound/and a needle biopsy (OW!!!) later invasive ductal carcinoma. EP+, HER2- grade 2 non aggressive breast cancer.
Got a mastectomy and sentinel biopsy 3 weeks ago... and PET scan this past weekend shows no metastasis in my body. 
Fuck you cancer!</t>
        </is>
      </c>
      <c r="D7505" t="n">
        <v>1</v>
      </c>
      <c r="E7505" t="n">
        <v>5</v>
      </c>
      <c r="F7505">
        <f>HYPERLINK("https://www.reddit.com/r/cancer/comments/exs8dd/no_more_big_scary_tests/")</f>
        <v/>
      </c>
      <c r="G7505" t="inlineStr">
        <is>
          <t>2020-02-02 09:59:21</t>
        </is>
      </c>
      <c r="H7505" t="inlineStr"/>
    </row>
    <row r="7506">
      <c r="A7506" t="inlineStr">
        <is>
          <t>exubxm</t>
        </is>
      </c>
      <c r="B7506" t="inlineStr">
        <is>
          <t>Dealing with everything that came with getting testicular cancer</t>
        </is>
      </c>
      <c r="C7506" t="inlineStr">
        <is>
          <t>I wanted to share my experience with dealing with testicular cancer to see if others have had the same experience or to just get it out there. I suspected I had testicular cancer because I could feel it. So I went and got diagnosed and after getting a ultrasound I was told by the doctor I have testicular cancer. Even though I suspected it I was pretty devastated. I called my parents right away and this is where everything really went down hill. My mom got involved and next thing I know the place I was going to get the surgery at wasn't good enough and she demanded I go to a different hospital. At this supposedly better hospital I was being charged $4000 dollars to even get through the door because my insurance was so bad. After taking care of that the surgery went well and I was in recovery. After a follow up visit I was told the cancer had spread to my lymph nodes. Something seemed off though. I told my mom I wanted a second opinion and she thought I was being stupid. I got a second, a third, and even a forth opinion and all said my lymph nodes looked good. The whole time my mom wanted me to get the surgery to remove my lymph nodes and didn't care how I felt about the whole thing. It got to the point where my dad and sister were calling me to just get the surgery to make my mom happy. I feel buried in debt now and mad at my family over how they acted over the whole thing. I'm not even stressed or have any feeling they had to remove a testicle to get rid of the cancer but how buried in debt I am and how my family just wanted me to get extra surgery for their or just my mom's peace of mind. 
TL;DR: Got testicular cancer, my mom got involved and now I'm stressing over debt and family.</t>
        </is>
      </c>
      <c r="D7506" t="n">
        <v>1</v>
      </c>
      <c r="E7506" t="n">
        <v>7</v>
      </c>
      <c r="F7506">
        <f>HYPERLINK("https://www.reddit.com/r/cancer/comments/exubxm/dealing_with_everything_that_came_with_getting/")</f>
        <v/>
      </c>
      <c r="G7506" t="inlineStr">
        <is>
          <t>2020-02-02 12:11:02</t>
        </is>
      </c>
      <c r="H7506" t="inlineStr"/>
    </row>
    <row r="7507">
      <c r="A7507" t="inlineStr">
        <is>
          <t>exuztn</t>
        </is>
      </c>
      <c r="B7507" t="inlineStr">
        <is>
          <t>Shameless plugs not allowed?</t>
        </is>
      </c>
      <c r="C7507" t="inlineStr">
        <is>
          <t>Just finished reading When Breath Becomes Air a lovely memior about a neurosurgeon who himself succumbs to lung cancer. Its a brave and helpful accounting of what happens to the human body when you die as well as a revealing look at the relationship between patient and doctor/oncologist. I feel a little less frightened by the prospect of dying as im a stage 4 cancer patient after reading this book. Maybe youll find comfort in reading it too.</t>
        </is>
      </c>
      <c r="D7507" t="n">
        <v>1</v>
      </c>
      <c r="E7507" t="n">
        <v>6</v>
      </c>
      <c r="F7507">
        <f>HYPERLINK("https://www.reddit.com/r/cancer/comments/exuztn/shameless_plugs_not_allowed/")</f>
        <v/>
      </c>
      <c r="G7507" t="inlineStr">
        <is>
          <t>2020-02-02 12:52:22</t>
        </is>
      </c>
      <c r="H7507" t="inlineStr"/>
    </row>
    <row r="7508">
      <c r="A7508" t="inlineStr">
        <is>
          <t>exxj77</t>
        </is>
      </c>
      <c r="B7508" t="inlineStr">
        <is>
          <t>Pain management help</t>
        </is>
      </c>
      <c r="C7508" t="inlineStr">
        <is>
          <t>I just finished another week of steroids and I’m already having withdrawal effects, does anyone know any good way to control the pain that I’m getting from the withdrawal.</t>
        </is>
      </c>
      <c r="D7508" t="n">
        <v>1</v>
      </c>
      <c r="E7508" t="n">
        <v>0</v>
      </c>
      <c r="F7508">
        <f>HYPERLINK("https://www.reddit.com/r/cancer/comments/exxj77/pain_management_help/")</f>
        <v/>
      </c>
      <c r="G7508" t="inlineStr">
        <is>
          <t>2020-02-02 15:34:39</t>
        </is>
      </c>
      <c r="H7508" t="inlineStr"/>
    </row>
    <row r="7509">
      <c r="A7509" t="inlineStr">
        <is>
          <t>exxj7e</t>
        </is>
      </c>
      <c r="B7509" t="inlineStr">
        <is>
          <t>I’m getting my bone marrow transplant in 4 days. In hospital now.</t>
        </is>
      </c>
      <c r="C7509" t="inlineStr">
        <is>
          <t>I just finished my last round of hard chemo, full body radiation is next. Transplant happening February 6th. I’m scared and excited at the same time. Docs gave me 60-80% chance of a cure, and less than 5% risk of passing. Those are pretty good odds. 
I hear the days to come will be the toughest. If anyone here has some insights or similar experiences they can share. I’d appreciate it. 
I’m not a spiritual person, and I don’t believe in any of the gods. I’m mainly looking for words of advice to make it through a tough time. 
If anyone has questions for me, I’ll gladly take the time to answer them!
I’m 31, male, and I have ALL B-Type leukemia.</t>
        </is>
      </c>
      <c r="D7509" t="n">
        <v>1</v>
      </c>
      <c r="E7509" t="n">
        <v>32</v>
      </c>
      <c r="F7509">
        <f>HYPERLINK("https://www.reddit.com/r/cancer/comments/exxj7e/im_getting_my_bone_marrow_transplant_in_4_days_in/")</f>
        <v/>
      </c>
      <c r="G7509" t="inlineStr">
        <is>
          <t>2020-02-02 15:34:40</t>
        </is>
      </c>
      <c r="H7509" t="inlineStr"/>
    </row>
    <row r="7510">
      <c r="A7510" t="inlineStr">
        <is>
          <t>exyqby</t>
        </is>
      </c>
      <c r="B7510" t="inlineStr">
        <is>
          <t>What's next after done with chemo and radiation?</t>
        </is>
      </c>
      <c r="C7510" t="inlineStr">
        <is>
          <t>My mom finished chemo took about 8 months and almost 2 months of radiation how do we know the cancer is gone? They just gave her congratulation paper after completing her last radiation</t>
        </is>
      </c>
      <c r="D7510" t="n">
        <v>1</v>
      </c>
      <c r="E7510" t="n">
        <v>3</v>
      </c>
      <c r="F7510">
        <f>HYPERLINK("https://www.reddit.com/r/cancer/comments/exyqby/whats_next_after_done_with_chemo_and_radiation/")</f>
        <v/>
      </c>
      <c r="G7510" t="inlineStr">
        <is>
          <t>2020-02-02 17:04:11</t>
        </is>
      </c>
      <c r="H7510" t="inlineStr"/>
    </row>
    <row r="7511">
      <c r="A7511" t="inlineStr">
        <is>
          <t>ey1acp</t>
        </is>
      </c>
      <c r="B7511" t="inlineStr">
        <is>
          <t>Goodbye Gigi, I love you so much</t>
        </is>
      </c>
      <c r="C7511" t="inlineStr">
        <is>
          <t>Goodbye gigi (grandmother) this is so hard I'm glad I didn't have to watch you suffer until your last breath but I'm glad you dont have to suffer anymore. I love you so much and I cant wait to see you again and even though I new it was coming after you were diagnosed with brain cancer you were "a dead duck" but I still had hope and was very shocked when I found out and I'm so proud of you for holding on for 3 years and I am so sorry that it was open casket I know you didnt want it that way but I hope you know we are all glad you are no longer suffering but it's not really that you aren't here anymore its that we will never see you again. I really hope your having a good time and know I'm proud of you and I miss you especially after yesterday. Pappaw really knew you well because the song he picked out really fit you well. He is taking it really hard and I am too but just know we all loved you and are happy for you. At first jaxx (4) didnt understand but he said he will miss you and memphis higher me and told me he seen it all and seeing it changed him so much but I know that you couldn't hold anymore and thank you for making sure Matthew and Mackenzie didnt see you take your last breath and I'm so sorry for all the pain you went through and Pappaw told me that your bed sores were so bad he seen actuallu seen your spine so I know you suffered and I know that when I was in pain you always said you wished that you could control pain because you would take it all away forever and then I had to watch you suffer until your final breath you know I and we all love you, jennifier Britton Morgan Mclain and goodbye, I miss you and will never forget you and everything you ever done for me. FUCK YOU CANCER, Your nothing but a fuckface for taking my sweet precious gigi</t>
        </is>
      </c>
      <c r="D7511" t="n">
        <v>1</v>
      </c>
      <c r="E7511" t="n">
        <v>13</v>
      </c>
      <c r="F7511">
        <f>HYPERLINK("https://www.reddit.com/r/cancer/comments/ey1acp/goodbye_gigi_i_love_you_so_much/")</f>
        <v/>
      </c>
      <c r="G7511" t="inlineStr">
        <is>
          <t>2020-02-02 20:20:14</t>
        </is>
      </c>
      <c r="H7511" t="inlineStr"/>
    </row>
    <row r="7512">
      <c r="A7512" t="inlineStr">
        <is>
          <t>ey23nq</t>
        </is>
      </c>
      <c r="B7512" t="inlineStr">
        <is>
          <t>WHAT I LEARNED FROM MY MOM'S CANCER</t>
        </is>
      </c>
      <c r="C7512" t="inlineStr">
        <is>
          <t>I've posted a few times here and found tremendous support from everyone. Thank you to everyone who has offered their humor, support, condolences and kindness. I will spare everyone the detailed story of my mother's cancer, but she was diagnosed with probable stage 4 pancreatic cancer on December 16th, and died five weeks later. One thing that drove me crazy during my mom's illness, was not knowing what to expect, or how to get help. Granted, my mom's sickness moved really fast, and we barely had time to understand what was happening before everything would change. But I wanted to provide some details of my experience so that it might help someone facing something similar.
&amp;amp;#x200B;
1) Don't get sick over the holidays. Nobody is answering the phone, let alone scheduling any appointments.
&amp;amp;#x200B;
2) All doctors now think that everyone is a drug seeking junkie. A 75 year old woman with multiple lesions on her pancreas and liver is no exception.
&amp;amp;#x200B;
3) Nobody will give a shit unless you press them. Press them.
&amp;amp;#x200B;
4) You can't leave your loved one alone. They will not be cared for. I can't stress this one enough. In the ER, ICU, and especially in hospice, you have to ask for help. Help going to the bathroom, help getting ice chips or water, and most importantly, help getting pain medication. I'm not shitting on the nurses, or doctors, it's more systemic than that. I spent many days and nights with my mom in each setting, and I was really surprised at how difficult it was to get doctors to treat my mom's pain. At one point, my mom was cringing and said her pain was "getting up there" and we were told she couldn't get any more morphine for another six hours. "would you like some tylenol?" Mind you, this was a week before she died. 
&amp;amp;#x200B;
If you have a loved one with a stage 4 cancer, get ready to advocate for them. Nobody else will. That was my family's experience, more or less. Lots of details left out, but feel free to ask questions. And again, thank you to everyone for your random love and support through this ordeal. My mom had a beautiful life, and a quick death, and was still able to say goodbye to all the people she loved. For that I am very grateful.</t>
        </is>
      </c>
      <c r="D7512" t="n">
        <v>1</v>
      </c>
      <c r="E7512" t="n">
        <v>5</v>
      </c>
      <c r="F7512">
        <f>HYPERLINK("https://www.reddit.com/r/cancer/comments/ey23nq/what_i_learned_from_my_moms_cancer/")</f>
        <v/>
      </c>
      <c r="G7512" t="inlineStr">
        <is>
          <t>2020-02-02 21:27:37</t>
        </is>
      </c>
      <c r="H7512" t="inlineStr"/>
    </row>
    <row r="7513">
      <c r="A7513" t="inlineStr">
        <is>
          <t>ey2d9b</t>
        </is>
      </c>
      <c r="B7513" t="inlineStr">
        <is>
          <t>My dad stage 4 gastric cancer patient sometimes gets random fevers</t>
        </is>
      </c>
      <c r="C7513" t="inlineStr">
        <is>
          <t>Hi!  
So, my dad (59M) gets random fevers, at first he got one after a surgery (he had one because in early January he started to vomit blood and turns out a tumor was split open) the hospital treated the fever and let him go, the next day he got a fever again so we called the ambulance and he was back to the hospital. At first we thought that maybe he has some infection after the surgery but everything turned alright, he was given meds etc and his fever went down pretty fast, a few weeks pass and my dad came back home again, everything is fine and 2 days after he got a fever again, doctors say he doesn't have an infection, so I am not sure what is the cause of the fever.  
My dad has gastric cancer that has spread to aorta, esophagus and lower part of the spine so he has stage 4 advanced cancer. Is this a sign of nearing death? Or is this normal for cancer patients in general? Overall he functions normally and doesn't have pains, it's just that one thing that is scaring me.</t>
        </is>
      </c>
      <c r="D7513" t="n">
        <v>1</v>
      </c>
      <c r="E7513" t="n">
        <v>1</v>
      </c>
      <c r="F7513">
        <f>HYPERLINK("https://www.reddit.com/r/cancer/comments/ey2d9b/my_dad_stage_4_gastric_cancer_patient_sometimes/")</f>
        <v/>
      </c>
      <c r="G7513" t="inlineStr">
        <is>
          <t>2020-02-02 21:51:40</t>
        </is>
      </c>
      <c r="H7513" t="inlineStr"/>
    </row>
    <row r="7514">
      <c r="A7514" t="inlineStr">
        <is>
          <t>ey6eza</t>
        </is>
      </c>
      <c r="B7514" t="inlineStr">
        <is>
          <t>Immune System Worries and Virus Outbreak</t>
        </is>
      </c>
      <c r="C7514" t="inlineStr">
        <is>
          <t>TL/DR: Mum is worried about the Coronavirus outbreak and her lowered immune system, any advice on how to support/ease her worries? 
Mum was diagnosed with secondary breast cancer last year, she’s been given a 5 year outlook. She’s responded well to treatment which is medication that acts a bit like chemo (but isn’t the full works). Because of these meds her immune system is lowered and she’s stressing about the outbreak of the Coronavirus, especially with it recently coming to the U.K. 
Obviously my family would like to help ease her stress but can’t think of the best way to do this apart from make her smoothies or something. Already tried to talk to her about it but can see it’s still stressing her out. 
Any advice is greatly appreciated, thank you</t>
        </is>
      </c>
      <c r="D7514" t="n">
        <v>1</v>
      </c>
      <c r="E7514" t="n">
        <v>9</v>
      </c>
      <c r="F7514">
        <f>HYPERLINK("https://www.reddit.com/r/cancer/comments/ey6eza/immune_system_worries_and_virus_outbreak/")</f>
        <v/>
      </c>
      <c r="G7514" t="inlineStr">
        <is>
          <t>2020-02-03 04:25:23</t>
        </is>
      </c>
      <c r="H7514" t="inlineStr"/>
    </row>
    <row r="7515">
      <c r="A7515" t="inlineStr">
        <is>
          <t>ey6gaf</t>
        </is>
      </c>
      <c r="B7515" t="inlineStr">
        <is>
          <t>My aunt was just diagnosed and I don't know how to react</t>
        </is>
      </c>
      <c r="C7515" t="inlineStr">
        <is>
          <t xml:space="preserve"> Hello everyone. Last week, a tumor was discovered in my aunt's nose. My aunt is like a second mother to me. They did a scan and there was also something visible behind her eye. Today she heard that it is most likely a brain tumor that they won't be able to treat. I try to be hopeful, there is a very small chance that it's benign. Later this week we will know for sure, but I don't think it will be good news. I don't know how to react to this, I have no idea how I should feel. I feel broken. I don't feel extreme sadness, I just cry. I've been crying for the past hour. I don't know what to do. I was hoping someone could tell me how they felt when they received bad news like this. Is it normal to react like this?
Also a small disclaimer, English is not my first language so there could be some mistakes. I also posted this in r/CancerFamilySupport.</t>
        </is>
      </c>
      <c r="D7515" t="n">
        <v>1</v>
      </c>
      <c r="E7515" t="n">
        <v>10</v>
      </c>
      <c r="F7515">
        <f>HYPERLINK("https://www.reddit.com/r/cancer/comments/ey6gaf/my_aunt_was_just_diagnosed_and_i_dont_know_how_to/")</f>
        <v/>
      </c>
      <c r="G7515" t="inlineStr">
        <is>
          <t>2020-02-03 04:28:54</t>
        </is>
      </c>
      <c r="H7515" t="inlineStr"/>
    </row>
    <row r="7516">
      <c r="A7516" t="inlineStr">
        <is>
          <t>ey8dm3</t>
        </is>
      </c>
      <c r="B7516" t="inlineStr">
        <is>
          <t>Just got diagnosed</t>
        </is>
      </c>
      <c r="C7516" t="inlineStr">
        <is>
          <t>Hi All, I just found out about a week ago that I (28M) have testicular cancer.
 When I found out, I immediately called my wife. She was 34 weeks pregnant at the time and her blood pressure was so high at her check up later that day that she was sent to the hospital for fear of pre-eclampsia. We had to spend the entire weekend in the hospital and they eventually let her go home on bed rest last monday. They decided with the blood pressure they are inducing at 37 weeks. So now I have surgery this coming Friday, the 7th and we will be going into the hospital to have a baby exactly 1 week later.
It feels like everything is piling on at the worst possible time. The only bright side I can see is that they are doing a scan to check my lymph nodes tomorrow to make it one surgery if they need to remove any.</t>
        </is>
      </c>
      <c r="D7516" t="n">
        <v>1</v>
      </c>
      <c r="E7516" t="n">
        <v>15</v>
      </c>
      <c r="F7516">
        <f>HYPERLINK("https://www.reddit.com/r/cancer/comments/ey8dm3/just_got_diagnosed/")</f>
        <v/>
      </c>
      <c r="G7516" t="inlineStr">
        <is>
          <t>2020-02-03 07:03:40</t>
        </is>
      </c>
      <c r="H7516" t="inlineStr"/>
    </row>
    <row r="7517">
      <c r="A7517" t="inlineStr">
        <is>
          <t>ey8hug</t>
        </is>
      </c>
      <c r="B7517" t="inlineStr">
        <is>
          <t>Googled Out</t>
        </is>
      </c>
      <c r="C7517" t="inlineStr">
        <is>
          <t>Anyone else get googled out, or burned out, from doing too much research?
My doctors, including my surgeon, have all been great at answering my questions before and after surgery (4 weeks ago from today) and explaining things thoroughly but I still have so many unanswered questions. But I feel like I've already contacted my doctors too much recently. And I feel burned out from researching on my own. 
One concern is that one of my incisions doesn't look like it's healing. It may be healing but I don't notice any difference from day to day. I stayed up till 3am researching how to tell if an incision is infected. And I'm still as clueless now as I was before. I feel silly for even researching that, as I'm in my 40s and should know this by now. It's turned into a red sore about the size of a quarter, with a pink ring around it, and now the middle of the sore is half-filled with a dark scan that has some areas looking yellowish. It doesn't hurt, it's not warm to the touch, and I don't have a fever. I plan on calling my surgeon today and making another fool of myself. 
Another embarrassing thing happened after my post-op appointment with my surgeon 2 weeks ago. The first half of my appt I asked about hemorrhoids that has been mildly itching for months, maybe even years, can't remember when it started. He took a look at it and said I do have an external hemorrhoid and an anal fissure. The 2nd half of the appt he went over taking care of the surgical incisions, and he also covered the one that may now be infected with a piece of cotton covered by gauze. I was distracted when he was going over this, but iirc he mentioned if I do something, presumably just keep it clean, that it should heal in a few days. 
While I was checking out at the front desk and about to walk out, the assistant came rushing out and handed me 3 sample packets of calmoseptine ointment. I had never heard of this before. The assistant said it was from my surgeon and asked what I knew they were for. Without giving much thought, I said yes, took the samples and headed home. Initially I assumed it was for the itchy hemorrhoid. Now I'm wondering if they were actually for the incisions to help them heal faster. Looking up calmoseptine online, apparently it can be used for both. If you had to take a guess, what was this ointment intended for?
.. and so many more questions.. hopefully some will be answered over time.</t>
        </is>
      </c>
      <c r="D7517" t="n">
        <v>1</v>
      </c>
      <c r="E7517" t="n">
        <v>0</v>
      </c>
      <c r="F7517">
        <f>HYPERLINK("https://www.reddit.com/r/cancer/comments/ey8hug/googled_out/")</f>
        <v/>
      </c>
      <c r="G7517" t="inlineStr">
        <is>
          <t>2020-02-03 07:12:01</t>
        </is>
      </c>
      <c r="H7517" t="inlineStr"/>
    </row>
    <row r="7518">
      <c r="A7518" t="inlineStr">
        <is>
          <t>ey9737</t>
        </is>
      </c>
      <c r="B7518" t="inlineStr">
        <is>
          <t>Advice Please: Dad sick from chemo after not getting sick before</t>
        </is>
      </c>
      <c r="C7518" t="inlineStr">
        <is>
          <t>My dad has IVb colorectal cancer with Her2 amplification. He’s on herceptin and tykerb which is often used for breast cancer or other cancers with the Her2 mutation. 
My dad took a chemo break, went back on tykerb and then two days later started herceptin. Herceptin made him throw up and have diahrea all night. 
Does this mean he is won’t be able to tolerate these two chemos that have been working for him anymore? Has anyone had experience being able to handle a chemo well and then all of a sudden not?
I am worried because this is one of his last chemos. Thank you.</t>
        </is>
      </c>
      <c r="D7518" t="n">
        <v>1</v>
      </c>
      <c r="E7518" t="n">
        <v>10</v>
      </c>
      <c r="F7518">
        <f>HYPERLINK("https://www.reddit.com/r/cancer/comments/ey9737/advice_please_dad_sick_from_chemo_after_not/")</f>
        <v/>
      </c>
      <c r="G7518" t="inlineStr">
        <is>
          <t>2020-02-03 08:01:24</t>
        </is>
      </c>
      <c r="H7518" t="inlineStr"/>
    </row>
    <row r="7519">
      <c r="A7519" t="inlineStr">
        <is>
          <t>ey9fae</t>
        </is>
      </c>
      <c r="B7519" t="inlineStr">
        <is>
          <t>Limiting the health-impact of moderate alcohol consumption</t>
        </is>
      </c>
      <c r="C7519" t="inlineStr">
        <is>
          <t>Disclaimer: Alcohol apparently has no or a low safe limit for increasing all-cause mortality (such as carcinogenic effects) based on recent bigger studies such as in the Lancet (https://www.thelancet.com/journals/lancet/article/PIIS0140-6736(18)30134-X/fulltext). This indicates going beyond 100g per week of alcohol, or 5-6 standard wine glasses a week or about 10 alcohol units (units henceforth), causes non-negligible effects on years of life lost (more than half a year, for instance, between 100-200gr). This is unfortunate as I enjoy moderate drinking but would like to do so in a balanced way. For this I am seeking advice in (1) better gauging the risk of alcohol consumption and (2) how to reduce or limit this risk while still enjoying alcohol.
Concretely:
My current average consumption pattern is drinking 2 to 4 units on Friday, Saturday, and Sunday and perhaps 2 to 3 units on a random day in the week. So I average about 3-4 non-drinking days and I'd say a max of 15 units a week
On special occasions - such as holidays, vacations, ... - this can increase, including drinking units every day or consuming 10 units on a single day
Can you help me more easily quantify what this mean in terms of risk? For instance, if this is 100% chance increase in cancer but the original chance was only 0.1% so is now 0.2% this does not seem overly significant. I'd like to be able to better interpret how to gauge the risk of alcohol consumption.
What, if any, are potential ways to reduce the risk of alcohol consumption, beyond the obvious one of reducing it? Are studies done on limiting the harmful effects of alcohol? Supplements, guidelines, or certain types of alcoholic beverages that are lower/higher risk?
What is your overall view on this discussion and can you provide additional insights? I feel it is weird to ask - knowing a risk and accepting it - and compare it to deciding to live in the city, a more pollution-prone area. That also increases all-cause mortality which might be a worthwhile trade-off depending on your lifestyle. The reason I like to start this discussion is because I want to correctly balance healthy living with the actual living part, and my companion and I enjoy alcohol in moderate amounts.
Thank you in advance!
TLDR: How do I limit the harmful effects of alcohol?</t>
        </is>
      </c>
      <c r="D7519" t="n">
        <v>1</v>
      </c>
      <c r="E7519" t="n">
        <v>3</v>
      </c>
      <c r="F7519">
        <f>HYPERLINK("https://www.reddit.com/r/cancer/comments/ey9fae/limiting_the_healthimpact_of_moderate_alcohol/")</f>
        <v/>
      </c>
      <c r="G7519" t="inlineStr">
        <is>
          <t>2020-02-03 08:16:51</t>
        </is>
      </c>
      <c r="H7519" t="inlineStr"/>
    </row>
    <row r="7520">
      <c r="A7520" t="inlineStr">
        <is>
          <t>eyayhd</t>
        </is>
      </c>
      <c r="B7520" t="inlineStr">
        <is>
          <t>What can I do to show my support?</t>
        </is>
      </c>
      <c r="C7520" t="inlineStr">
        <is>
          <t>Not sure if this is ok in this sub but this one has a lot more members than the lymphoma sub. My dad was diagnosed with an aggressive form of stage 4 mantle cell lymphoma in July. Since then it’s been a rollercoaster. Just as he was about to get his stem cell transplant, a kidney started acting weird and a PET scan was done. The PET scan was done just 3 weeks after his final chemo treatment before the transplant. 
Well, when they said aggressive, I guess I didn’t understand the actual degree aggressiveness that they were describing. The fucking cancer had come back full force (basically back to how it looked when he was first diagnosed) in just three weeks, even when he was responding very well to treatment. 
My dad is depressed but doesn’t show to vocalize his actually feelings, my mom is non emotional and buzzes around as her coping mechanism. I am the most emotional member of my family and I can’t help but feel like I’m not showing enough support. When I visit (at least once a week) it’s just tv and dinner pretty much. And I think the at home activities (or lack thereof) are actually adding to the depressive mood. What can I do for my family that is fun, exciting, and shows my support? Without forcing anything....
Gift ideas, in-home activity ideas? We play games with my siblings sometimes but overall it’s just an air of depressive moods most of the time it seems. 
TLDR: dad was diagnosed with an aggressive lymphoma, how can I show my support to my family in a way that has effects that last longer than a weekly visit for dinner and tv?</t>
        </is>
      </c>
      <c r="D7520" t="n">
        <v>1</v>
      </c>
      <c r="E7520" t="n">
        <v>4</v>
      </c>
      <c r="F7520">
        <f>HYPERLINK("https://www.reddit.com/r/cancer/comments/eyayhd/what_can_i_do_to_show_my_support/")</f>
        <v/>
      </c>
      <c r="G7520" t="inlineStr">
        <is>
          <t>2020-02-03 09:58:45</t>
        </is>
      </c>
      <c r="H7520" t="inlineStr"/>
    </row>
    <row r="7521">
      <c r="A7521" t="inlineStr">
        <is>
          <t>eybc3t</t>
        </is>
      </c>
      <c r="B7521" t="inlineStr">
        <is>
          <t>Abnormal echo from chemo...</t>
        </is>
      </c>
      <c r="C7521" t="inlineStr">
        <is>
          <t>Hi. I’m a 27F with breast cancer stage 1b. I’m undergoing TCHP. I had my echo today and was told something to do with my heart function went from 64% to 50% and now I have to see a cardio-oncologist. I’ve only had two of my treatments so far and am now being told they aren’t sure if I can go again Friday. 
Anyone else been referred to a cardio-oncologist? Is this a pretty typical reaction to chemo? Not sure what to think of it.</t>
        </is>
      </c>
      <c r="D7521" t="n">
        <v>1</v>
      </c>
      <c r="E7521" t="n">
        <v>11</v>
      </c>
      <c r="F7521">
        <f>HYPERLINK("https://www.reddit.com/r/cancer/comments/eybc3t/abnormal_echo_from_chemo/")</f>
        <v/>
      </c>
      <c r="G7521" t="inlineStr">
        <is>
          <t>2020-02-03 10:23:53</t>
        </is>
      </c>
      <c r="H7521" t="inlineStr"/>
    </row>
    <row r="7522">
      <c r="A7522" t="inlineStr">
        <is>
          <t>eycyg3</t>
        </is>
      </c>
      <c r="B7522" t="inlineStr">
        <is>
          <t>I will forever tell people how much Keytruda did NOT work!!!</t>
        </is>
      </c>
      <c r="C7522" t="inlineStr">
        <is>
          <t>My father is a stage 4 cancer patient and was not doing well to begin with, that's a given. However after one round of Keytruda his immune system has weakened to the point of developing RSV, pnuemonia, and E. Coli in his blood. Do I think the treatment itself actually did this? No, but it certainly did not help. I've read reviews about how people have passed away after this treatment, and now my mother has made the heart shattering decision to stop his treatment of the infections. I saw a major change in my dad's demeanor, even in his eyes after that one treatment and now he has days to live.</t>
        </is>
      </c>
      <c r="D7522" t="n">
        <v>1</v>
      </c>
      <c r="E7522" t="n">
        <v>5</v>
      </c>
      <c r="F7522">
        <f>HYPERLINK("https://www.reddit.com/r/cancer/comments/eycyg3/i_will_forever_tell_people_how_much_keytruda_did/")</f>
        <v/>
      </c>
      <c r="G7522" t="inlineStr">
        <is>
          <t>2020-02-03 12:05:39</t>
        </is>
      </c>
      <c r="H7522" t="inlineStr"/>
    </row>
    <row r="7523">
      <c r="A7523" t="inlineStr">
        <is>
          <t>eyd0so</t>
        </is>
      </c>
      <c r="B7523" t="inlineStr">
        <is>
          <t>Anyone else self destructive occasionally?</t>
        </is>
      </c>
      <c r="C7523" t="inlineStr">
        <is>
          <t>My mum has had cancer since 2014. 
She went through full chemo. Then went into remission. Came back a couple of years ago and the last couple of months more and more problems. Yesterday two more tumors found in her organs.
My wife was also diagnosed with spread breast cancer three years ago.
I'm pretty tired and sick of it.
Tomorrow flying to help take care of my mum. Today came from oncologist with my wife.
Try to be strong, but it also flares up and I can be quite angry and self-destructive over it. Sometimes it is overwhelming.
I guess I'm not the only one who can't keep my shit together 100% of the time huh?
It's a cruel disease.
Peace and respect to all on the sub.</t>
        </is>
      </c>
      <c r="D7523" t="n">
        <v>1</v>
      </c>
      <c r="E7523" t="n">
        <v>8</v>
      </c>
      <c r="F7523">
        <f>HYPERLINK("https://www.reddit.com/r/cancer/comments/eyd0so/anyone_else_self_destructive_occasionally/")</f>
        <v/>
      </c>
      <c r="G7523" t="inlineStr">
        <is>
          <t>2020-02-03 12:09:31</t>
        </is>
      </c>
      <c r="H7523" t="inlineStr"/>
    </row>
    <row r="7524">
      <c r="A7524" t="inlineStr">
        <is>
          <t>eydx67</t>
        </is>
      </c>
      <c r="B7524" t="inlineStr">
        <is>
          <t>Having a repeat biopsy Thursday - just a vent</t>
        </is>
      </c>
      <c r="C7524" t="inlineStr">
        <is>
          <t>This is just a vent I guess. Both CT and PET showed lesions in the spleen and reports said “malignancy should be considered” and “concern for metastatic disease.”  The interventional radiologist has to repeat the biopsy because the pathologist report said the biopsy likely was from tissue around the tumor but not tumor itself. I’m concerned because the oncologist said there may not even be a lesion - I assume he meant that things show up on scans that may not be real. But I think that’s far-fetched here given the 2 reports. I’m losing confidence in my oncologist to be honest but trying not to play doctor. I just hope they get the tumor tissue this time.</t>
        </is>
      </c>
      <c r="D7524" t="n">
        <v>1</v>
      </c>
      <c r="E7524" t="n">
        <v>0</v>
      </c>
      <c r="F7524">
        <f>HYPERLINK("https://www.reddit.com/r/cancer/comments/eydx67/having_a_repeat_biopsy_thursday_just_a_vent/")</f>
        <v/>
      </c>
      <c r="G7524" t="inlineStr">
        <is>
          <t>2020-02-03 13:04:12</t>
        </is>
      </c>
      <c r="H7524" t="inlineStr"/>
    </row>
    <row r="7525">
      <c r="A7525" t="inlineStr">
        <is>
          <t>eyeya7</t>
        </is>
      </c>
      <c r="B7525" t="inlineStr">
        <is>
          <t>Pancreatic cancer and diabetes</t>
        </is>
      </c>
      <c r="C7525" t="inlineStr">
        <is>
          <t>Has any one had experience with pancreatic cancer BUT the blood sugar levels staying stable? Asking for stage 4 really. 
My dad was diagnosed with diabetes after his cancer diagnosis and his sugar levels were rising really high and was put on insulin to control it. 
Since his chemo finished his latest CT scan shows his tumour has shrunk and his blood sugar levels are now under control so they've taken him off insulin. 
However, he has been getting more pain recently with his painkillers not working and is sleeping more.  
His blood sugar levels are staying stable though. So his pancreatic tumour might not have grown? Or does it not matter sometimes? Can it grow and his blood sugar levels stay ok? 
Sorry - long post.</t>
        </is>
      </c>
      <c r="D7525" t="n">
        <v>1</v>
      </c>
      <c r="E7525" t="n">
        <v>8</v>
      </c>
      <c r="F7525">
        <f>HYPERLINK("https://www.reddit.com/r/cancer/comments/eyeya7/pancreatic_cancer_and_diabetes/")</f>
        <v/>
      </c>
      <c r="G7525" t="inlineStr">
        <is>
          <t>2020-02-03 14:06:44</t>
        </is>
      </c>
      <c r="H7525" t="inlineStr"/>
    </row>
    <row r="7526">
      <c r="A7526" t="inlineStr">
        <is>
          <t>eyfgjr</t>
        </is>
      </c>
      <c r="B7526" t="inlineStr">
        <is>
          <t>Lung mass. Right upper lobe.</t>
        </is>
      </c>
      <c r="C7526" t="inlineStr">
        <is>
          <t>30 years old. What is the survival rate for these kinds of lung cancer?</t>
        </is>
      </c>
      <c r="D7526" t="n">
        <v>1</v>
      </c>
      <c r="E7526" t="n">
        <v>5</v>
      </c>
      <c r="F7526">
        <f>HYPERLINK("https://www.reddit.com/r/cancer/comments/eyfgjr/lung_mass_right_upper_lobe/")</f>
        <v/>
      </c>
      <c r="G7526" t="inlineStr">
        <is>
          <t>2020-02-03 14:38:48</t>
        </is>
      </c>
      <c r="H7526" t="inlineStr"/>
    </row>
    <row r="7527">
      <c r="A7527" t="inlineStr">
        <is>
          <t>eyfue4</t>
        </is>
      </c>
      <c r="B7527" t="inlineStr">
        <is>
          <t>Does this look like penile melanoma?</t>
        </is>
      </c>
      <c r="C7527" t="inlineStr">
        <is>
          <t>I’ve had a brown patch on my penis for a couple of months. Hasn’t changed appearance since I first noticed it. I am considering scheduling an appointment to get it looked at, but I live rurally and they are booked a few weeks out. Does this discoloration look like possible melanoma, or hopefully just melanosis (not as much of a concern) ?[NSFW (obviously)](https://imgur.com/a/zx9nRbD)</t>
        </is>
      </c>
      <c r="D7527" t="n">
        <v>1</v>
      </c>
      <c r="E7527" t="n">
        <v>0</v>
      </c>
      <c r="F7527">
        <f>HYPERLINK("https://www.reddit.com/r/cancer/comments/eyfue4/does_this_look_like_penile_melanoma/")</f>
        <v/>
      </c>
      <c r="G7527" t="inlineStr">
        <is>
          <t>2020-02-03 15:03:49</t>
        </is>
      </c>
      <c r="H7527" t="inlineStr"/>
    </row>
    <row r="7528">
      <c r="A7528" t="inlineStr">
        <is>
          <t>eyg66f</t>
        </is>
      </c>
      <c r="B7528" t="inlineStr">
        <is>
          <t>How do I (35F) prepare myself mentally for a double mastectomy?</t>
        </is>
      </c>
      <c r="C7528" t="inlineStr">
        <is>
          <t>The title says it all. I had my fifth chemotherapy for breast cancer (stage I) today and still have three to go. At the end of April will be the double mastectomy. 
A few week ago, I had my first panic attack over it. I know in a year will my breasts be reconstructed, but I’m really scared to lose them. They are a part of me and I started to be in peace with them just a few years ago, only worth the knowledge that they have to go. 
I know they don’t define me as a person, but it will still be a huge cut in my life and with my mental health.
Can anyone, who is/was in a similar situation, give me some advice how to deal with the situation and how I can prepare myself for the big cut?</t>
        </is>
      </c>
      <c r="D7528" t="n">
        <v>1</v>
      </c>
      <c r="E7528" t="n">
        <v>16</v>
      </c>
      <c r="F7528">
        <f>HYPERLINK("https://www.reddit.com/r/cancer/comments/eyg66f/how_do_i_35f_prepare_myself_mentally_for_a_double/")</f>
        <v/>
      </c>
      <c r="G7528" t="inlineStr">
        <is>
          <t>2020-02-03 15:25:02</t>
        </is>
      </c>
      <c r="H7528" t="inlineStr"/>
    </row>
    <row r="7529">
      <c r="A7529" t="inlineStr">
        <is>
          <t>eyhlhs</t>
        </is>
      </c>
      <c r="B7529" t="inlineStr">
        <is>
          <t>Is there a breast cancer website 'calculator'?</t>
        </is>
      </c>
      <c r="C7529" t="inlineStr">
        <is>
          <t>Ive seen a couple websites where you input various stats like age, type of cancer, stage, lymph nodes affected or not, etc and it will give a survivability rating. These were for other types like lung cancer, but I cant seem to find any websites specifically for breast cancer. Is there anything like it for cancer and/or specifically breast cancer?
I'm asking because my mother in law has stage 3 breast cancer and it was also found in half of her lymph nodes. Her breast was removed. She is now almost done with chemo treatments. Doctors have been great and they said she'll be fine when its all over but in all honesty I'd like to find some more detailed statistics.
My wife has been having a hard time seeing her mom go through all of the chemo so Id love to offer some data or something to boost everyones morale. Thanks for any good links!</t>
        </is>
      </c>
      <c r="D7529" t="n">
        <v>1</v>
      </c>
      <c r="E7529" t="n">
        <v>7</v>
      </c>
      <c r="F7529">
        <f>HYPERLINK("https://www.reddit.com/r/cancer/comments/eyhlhs/is_there_a_breast_cancer_website_calculator/")</f>
        <v/>
      </c>
      <c r="G7529" t="inlineStr">
        <is>
          <t>2020-02-03 17:03:50</t>
        </is>
      </c>
      <c r="H7529" t="inlineStr"/>
    </row>
    <row r="7530">
      <c r="A7530" t="inlineStr">
        <is>
          <t>eyhqr1</t>
        </is>
      </c>
      <c r="B7530" t="inlineStr">
        <is>
          <t>Mom passed away exactly how she wanted to</t>
        </is>
      </c>
      <c r="C7530" t="inlineStr">
        <is>
          <t>Hi everyone,
My beautiful mother has peacefully passed away two weeks ago.
When she first got diagnosed, I found great comfort from this sub.
Thank you to everyone who have given great advice this past year and for those who have kept me in your thoughts and prayers.
My mom had a rare form of stage 4 uterine cancer. It was one HELL of a journey. She stopped chemo in October, with no other treatment options left we knew it was coming. But nothing will ever prepare you to lose a mother.
The last month and a halfish consisted of many emergency lung and stomach drains. Hospice was not an option as she was very comfortable at home. Her last hour was her on her favorite recliner surrounded by her children (me and my two younger siblings), and her sisters. 
With one was last breathe, we knew she was gone.
Her funeral was last week, it was a beautiful service. 
We got to see her one last time before she was cremated on Saturday. We placed letters written by us (her children) and Polaroid pictures we took that morning with cousins, aunt's and uncles in her casket. 
Thank you again to everyone for your support last year and I won't stop sharing my experiences as a caregiver to hopefully help someone else in the future.</t>
        </is>
      </c>
      <c r="D7530" t="n">
        <v>1</v>
      </c>
      <c r="E7530" t="n">
        <v>14</v>
      </c>
      <c r="F7530">
        <f>HYPERLINK("https://www.reddit.com/r/cancer/comments/eyhqr1/mom_passed_away_exactly_how_she_wanted_to/")</f>
        <v/>
      </c>
      <c r="G7530" t="inlineStr">
        <is>
          <t>2020-02-03 17:15:06</t>
        </is>
      </c>
      <c r="H7530" t="inlineStr"/>
    </row>
    <row r="7531">
      <c r="A7531" t="inlineStr">
        <is>
          <t>eyhw10</t>
        </is>
      </c>
      <c r="B7531" t="inlineStr">
        <is>
          <t>Immunotherapy ??</t>
        </is>
      </c>
      <c r="C7531" t="inlineStr">
        <is>
          <t>Is anyone being treated with immunotherapy? If you are, what type of cancer do you have? My sister was diagnosed with small cell carcinoma and finished her 6 cycles of chemo. Her cancer is aggressive and doctors told us during her chemo that immunotherapy may be an option after chemotherapy. Her chemo ended and her cancer advanced. When we asked about immunotherapy the doctor told us it’s not covered by insurance in Canada and that it would be too expensive. 
I want to know what was your experience with immunotherapy.</t>
        </is>
      </c>
      <c r="D7531" t="n">
        <v>1</v>
      </c>
      <c r="E7531" t="n">
        <v>7</v>
      </c>
      <c r="F7531">
        <f>HYPERLINK("https://www.reddit.com/r/cancer/comments/eyhw10/immunotherapy/")</f>
        <v/>
      </c>
      <c r="G7531" t="inlineStr">
        <is>
          <t>2020-02-03 17:25:40</t>
        </is>
      </c>
      <c r="H7531" t="inlineStr"/>
    </row>
    <row r="7532">
      <c r="A7532" t="inlineStr">
        <is>
          <t>eyiljp</t>
        </is>
      </c>
      <c r="B7532" t="inlineStr">
        <is>
          <t>Tumor showed up in sonogram but not CT scan? Can anyone please explain?</t>
        </is>
      </c>
      <c r="C7532" t="inlineStr">
        <is>
          <t>So back in May I had a sonogram that detected a tumor in my liver. It measured about 1.3 cm. I was told to get another one done between 6 months and a year later. I had one done 7 days ago and it showed that the tumor had gotten bigger. It was now at just under 2 cm.
So they scheduled a CT scan and I went in for it today. I just got my results back and it appears that there is no abnormality detected on my liver. I'm not sure what to make of this, because the ultrasound picked up the tumor in the same place or apparently close enough where they could identify it 8 months later. 
What would cause that kind of thing? I guess now I have to schedule an MRI to make sure that nothing is up. Has anyone had something like this experience before? What did it end up being?</t>
        </is>
      </c>
      <c r="D7532" t="n">
        <v>1</v>
      </c>
      <c r="E7532" t="n">
        <v>0</v>
      </c>
      <c r="F7532">
        <f>HYPERLINK("https://www.reddit.com/r/cancer/comments/eyiljp/tumor_showed_up_in_sonogram_but_not_ct_scan_can/")</f>
        <v/>
      </c>
      <c r="G7532" t="inlineStr">
        <is>
          <t>2020-02-03 18:16:16</t>
        </is>
      </c>
      <c r="H7532" t="inlineStr"/>
    </row>
    <row r="7533">
      <c r="A7533" t="inlineStr">
        <is>
          <t>eykxep</t>
        </is>
      </c>
      <c r="B7533" t="inlineStr">
        <is>
          <t>Early stage liposarcoma in the sacrum. My doctor wants to do radiation, WITHOUT surgery</t>
        </is>
      </c>
      <c r="C7533" t="inlineStr">
        <is>
          <t>My doctor diagnosed the tumor as being of a “very low grade of malignancy”. My issues right now is only the discomfort from the tumor pressing against the S1 nerve in the sacrum 
Has anyone heard of this treatment being done successfully, without surgery? The oncologist sounds optimistic that this could drastically reduce or completely kill the tumor? 
Would this be a “cure” for my cancer? It sounds to good to believe; that I could get radiation only and not have my sacrum cut open</t>
        </is>
      </c>
      <c r="D7533" t="n">
        <v>1</v>
      </c>
      <c r="E7533" t="n">
        <v>6</v>
      </c>
      <c r="F7533">
        <f>HYPERLINK("https://www.reddit.com/r/cancer/comments/eykxep/early_stage_liposarcoma_in_the_sacrum_my_doctor/")</f>
        <v/>
      </c>
      <c r="G7533" t="inlineStr">
        <is>
          <t>2020-02-03 21:11:49</t>
        </is>
      </c>
      <c r="H7533" t="inlineStr"/>
    </row>
    <row r="7534">
      <c r="A7534" t="inlineStr">
        <is>
          <t>eykyr7</t>
        </is>
      </c>
      <c r="B7534" t="inlineStr">
        <is>
          <t>How do I start?</t>
        </is>
      </c>
      <c r="C7534" t="inlineStr">
        <is>
          <t>I just received a phone call from one of my best friends that one of our estranged friends has been battling with leukemia and that the chemo isn’t working. 
Maybe estranged isn’t the proper word to use. She’s been living and working in the Middle East for about 12+ years and we haven’t seen or heard from her in years except for the occasional Instagram posts.
She’s back home in the states and I want to talk to her and call her but I really don’t know how to start. It’s been days since I’ve been told about her diagnosis. She wasn’t even going to tell any of us about any of this but one of our other friends works in the cancer ward and had a meeting with the doctors and saw her name on the charts. But after the friend (that works at the ward) visited her, she is fine with all of us knowing as long as we keep it between us and our respected families. 
Do I call? Do I text? I was thinking of just writing a long letter and sending it along with a care package full of socks and nice candles. I don’t know what to do and it’s making me sick. I want her to know that even though we’ve lost touch I still love her and that I’m here.</t>
        </is>
      </c>
      <c r="D7534" t="n">
        <v>1</v>
      </c>
      <c r="E7534" t="n">
        <v>7</v>
      </c>
      <c r="F7534">
        <f>HYPERLINK("https://www.reddit.com/r/cancer/comments/eykyr7/how_do_i_start/")</f>
        <v/>
      </c>
      <c r="G7534" t="inlineStr">
        <is>
          <t>2020-02-03 21:15:01</t>
        </is>
      </c>
      <c r="H7534" t="inlineStr"/>
    </row>
    <row r="7535">
      <c r="A7535" t="inlineStr">
        <is>
          <t>eyplj3</t>
        </is>
      </c>
      <c r="B7535" t="inlineStr">
        <is>
          <t>SBRT of the lung?</t>
        </is>
      </c>
      <c r="C7535" t="inlineStr">
        <is>
          <t>Hey guys, 
So we’re finally set. My mom will receive pulmonary radiosurgery on the last remaining nodule in her lung on Feb 25-26-27. Simulations will take place on Feb 18.
Our doctors told us that the treatment they will perform does NOT even exist in current clinical guidelines and has yet to undergo studies. That scares me a bit, but her team insists that SBRT stands as the best option in her case, so we will go through with the procedure. They have been exceptional so far and have achieved stunning results.
Has anyone by any chance gone through radiosurgery of the lung? What should we expect? Have you had radiosurgery of anything else? Or do you know of someone who has?
Basically, can we expect SBRT to effectively ablate a lesion of 1.9x1.0cm? What side effects should we prepare for? Will she cough? Have trouble eating (I know esophageal radiation often leads to that)? 
I will ask our radiation oncologist, of course, but just trying to prepare in advance. Any help - greatly appreciated! :)</t>
        </is>
      </c>
      <c r="D7535" t="n">
        <v>1</v>
      </c>
      <c r="E7535" t="n">
        <v>5</v>
      </c>
      <c r="F7535">
        <f>HYPERLINK("https://www.reddit.com/r/cancer/comments/eyplj3/sbrt_of_the_lung/")</f>
        <v/>
      </c>
      <c r="G7535" t="inlineStr">
        <is>
          <t>2020-02-04 04:52:19</t>
        </is>
      </c>
      <c r="H7535" t="inlineStr"/>
    </row>
    <row r="7536">
      <c r="A7536" t="inlineStr">
        <is>
          <t>eyprom</t>
        </is>
      </c>
      <c r="B7536" t="inlineStr">
        <is>
          <t>I might have developed leukemia after my the treatment of HL ?</t>
        </is>
      </c>
      <c r="C7536" t="inlineStr">
        <is>
          <t>Former HL patient 2015-2016. 
Treatment: Chemotherapy. Relapsed shortly after. Received stem cell transplant and maintenance therapy. 
Last blood work was in 25 October 2019: everything looked good. 
I have been losing weight for couple of weeks now. Last week I discovered two swollen lymph node on my neck. They are different from the one I had when I was diagnosed with HL. They move around and feels spongy. Two days after the swelling of my lymp nodes, I developed a fungal infection around my mouth. Also, the area between my buttocks hurt and is red.
I noticed light brushing on my legs. One is very noticeable and hurt. Additionally, I discovered small red bump on my hips. 
My muscles and joints are starting to hurt. 
Has anyone experience the same, and do my symptoms looks like leukaemia?
https://postimg.cc/N9k5VmvD</t>
        </is>
      </c>
      <c r="D7536" t="n">
        <v>1</v>
      </c>
      <c r="E7536" t="n">
        <v>2</v>
      </c>
      <c r="F7536">
        <f>HYPERLINK("https://www.reddit.com/r/cancer/comments/eyprom/i_might_have_developed_leukemia_after_my_the/")</f>
        <v/>
      </c>
      <c r="G7536" t="inlineStr">
        <is>
          <t>2020-02-04 05:06:03</t>
        </is>
      </c>
      <c r="H7536" t="inlineStr"/>
    </row>
    <row r="7537">
      <c r="A7537" t="inlineStr">
        <is>
          <t>eyqh55</t>
        </is>
      </c>
      <c r="B7537" t="inlineStr">
        <is>
          <t>I’m worried about my mother</t>
        </is>
      </c>
      <c r="C7537" t="inlineStr">
        <is>
          <t>My dad is days or possibly hours from passing. My mother hasn’t eaten, slept, or showered in 3 days. She won’t leave his side, she wouldn’t even go anywhere if the building were on fire. How did you guys make sure the dying person’s caretaker was ok? Are there support groups? If dying of a broken heart is a thing, I’m terrified it would happen to my mom.</t>
        </is>
      </c>
      <c r="D7537" t="n">
        <v>1</v>
      </c>
      <c r="E7537" t="n">
        <v>7</v>
      </c>
      <c r="F7537">
        <f>HYPERLINK("https://www.reddit.com/r/cancer/comments/eyqh55/im_worried_about_my_mother/")</f>
        <v/>
      </c>
      <c r="G7537" t="inlineStr">
        <is>
          <t>2020-02-04 06:03:00</t>
        </is>
      </c>
      <c r="H7537" t="inlineStr"/>
    </row>
    <row r="7538">
      <c r="A7538" t="inlineStr">
        <is>
          <t>eyqykc</t>
        </is>
      </c>
      <c r="B7538" t="inlineStr">
        <is>
          <t>Cancer Aftermath</t>
        </is>
      </c>
      <c r="C7538" t="inlineStr">
        <is>
          <t>Hey folks. Back when I was 17 (almost 7 years ago now) I was diagnosed with a Pylocitic Astrocytoma on my pituitary gland. Having this brain tumor grow where it did absolutely wrecked my metabolism, causing me to gain a ridiculous amount of weight.
So I was wondering, does anyone have any experience or advice on regards to getting back into physically fit shape after cancer?
I've had issues being active in the ways that I used to because of nerve damage caused by chemo, and I know my case is slightly atypical in that I've gained weight as opposed to lost, but I would gladly take any input on it.
I've been in remission for three years now, and I seriously want some semblance of my old body back; dropping the 100 pounds cancer so rudely gifted to me would be an amazing step in regaining what I can of my pre-cancer self.</t>
        </is>
      </c>
      <c r="D7538" t="n">
        <v>1</v>
      </c>
      <c r="E7538" t="n">
        <v>9</v>
      </c>
      <c r="F7538">
        <f>HYPERLINK("https://www.reddit.com/r/cancer/comments/eyqykc/cancer_aftermath/")</f>
        <v/>
      </c>
      <c r="G7538" t="inlineStr">
        <is>
          <t>2020-02-04 06:39:24</t>
        </is>
      </c>
      <c r="H7538" t="inlineStr"/>
    </row>
    <row r="7539">
      <c r="A7539" t="inlineStr">
        <is>
          <t>eyrvrq</t>
        </is>
      </c>
      <c r="B7539" t="inlineStr">
        <is>
          <t>#worldcancerday is being hijacked by bots and a snake oil salesman</t>
        </is>
      </c>
      <c r="C7539" t="inlineStr">
        <is>
          <t>I don't know how to start this post, I don't even know if I'm in the right place to post this, so heregoes anyways. I logged onto twitter and saw the #worldcancerday trending globally. I wanted to see inspirational stuff, maybe retweet someones good news or share something that parallels the experience my family is having with cancer. But I couldn't find much, because I had to sift through hundreds of spam tweets that all send you to this monsters twitter profile.  If you haven't checked #worldcancerday on twitter yet, I suggest you do. There's a "religious leader" using the # as a means to advertise his religion and is claiming his style of meditation can cure all types of cancer. I don't want to put his name here cause I don't want him to get the interactions. I am reporting them as I come across them, but they are making accounts so fast I can't keep up. I am ***pissed*** right now. Especially seeing as most of the ads claim to cure blood cancer, and that's what is trying to take my mother away from me before she gets to meet her grandkids. I don't know what to do, twitter support isn't responding.  
If this is the wrong place for this just let me know and I will remove it.</t>
        </is>
      </c>
      <c r="D7539" t="n">
        <v>1</v>
      </c>
      <c r="E7539" t="n">
        <v>0</v>
      </c>
      <c r="F7539">
        <f>HYPERLINK("https://www.reddit.com/r/cancer/comments/eyrvrq/worldcancerday_is_being_hijacked_by_bots_and_a/")</f>
        <v/>
      </c>
      <c r="G7539" t="inlineStr">
        <is>
          <t>2020-02-04 07:43:19</t>
        </is>
      </c>
      <c r="H7539" t="inlineStr"/>
    </row>
    <row r="7540">
      <c r="A7540" t="inlineStr">
        <is>
          <t>eytpag</t>
        </is>
      </c>
      <c r="B7540" t="inlineStr">
        <is>
          <t>Stage 4 survival stories needed!</t>
        </is>
      </c>
      <c r="C7540" t="inlineStr">
        <is>
          <t>Since this subreddit is usually pretty gloomy with all the stories of loss, pain and fear, I thought it would be a good idea to create a topic where the people who did the undoable and survived the most advanced forms of cancer or their family members and friends gather to share their stories of victory. The purpose of this topic is to give hope and support to those currently dealing with stage IV diseases.  
Mine own mother is currently suffering from Stage 4 Breast Cancer. While I am of course desperate and sad, I am also hopeful because we personally know a woman who has survived her own cancer for over 25 years now. While not breast cancer, she was diagnosed Stage IV in 1993 and the Doctors basically gave her 3 to 6 months to life and told her to prepare for Hospice. Well, there she is, and she's still going strong despite also suffering from Lupus! She gets chemo infusions once every 3-4 months, but apart from that, if you don't know her personally you basically wouldn't be able to tell she's sick. Her story is the one that gives me the most hope. If she could do that, who says that my mother and other cancer patients can't?</t>
        </is>
      </c>
      <c r="D7540" t="n">
        <v>1</v>
      </c>
      <c r="E7540" t="n">
        <v>21</v>
      </c>
      <c r="F7540">
        <f>HYPERLINK("https://www.reddit.com/r/cancer/comments/eytpag/stage_4_survival_stories_needed/")</f>
        <v/>
      </c>
      <c r="G7540" t="inlineStr">
        <is>
          <t>2020-02-04 09:38:28</t>
        </is>
      </c>
      <c r="H7540" t="inlineStr"/>
    </row>
    <row r="7541">
      <c r="A7541" t="inlineStr">
        <is>
          <t>eyu3yv</t>
        </is>
      </c>
      <c r="B7541" t="inlineStr">
        <is>
          <t>Stop treating me "special" just because I had/am fighting cancer</t>
        </is>
      </c>
      <c r="C7541" t="inlineStr">
        <is>
          <t>Not sure how to classify it but my breast cancer (stage 2b) was cut out of me and I'm going to have a port for chemo put in soon. Not thrilled about it. 
Anyway before diagnosis I'd visit my parents once a week, before the weekend started I'd visit just to enjoy my solitude and have a gauranteed weekend of solitude, no communication at all. Yes I'm an introvert.... I love being left alone. Nothing pisses me off more than having my me time interrupted by a text message. (that's why I visit the day before... So there's no guilt trip of "we haven't seen you /we miss you.. Blah blah blah.... You saw me yesterday!!). 
Now after diagnosis every damn day my parents text me asking how I'm doing. Seriously stop bugging me!!!! Let me live my normal fucking life!!!
I can be sitting on my couch watching TV doing nothing.... And I get a text... Great now I have to dedicate my energy to another person!!!! I don't need or want my fucking hand held. Leave me alone!!!</t>
        </is>
      </c>
      <c r="D7541" t="n">
        <v>1</v>
      </c>
      <c r="E7541" t="n">
        <v>13</v>
      </c>
      <c r="F7541">
        <f>HYPERLINK("https://www.reddit.com/r/cancer/comments/eyu3yv/stop_treating_me_special_just_because_i_hadam/")</f>
        <v/>
      </c>
      <c r="G7541" t="inlineStr">
        <is>
          <t>2020-02-04 10:03:32</t>
        </is>
      </c>
      <c r="H7541" t="inlineStr"/>
    </row>
    <row r="7542">
      <c r="A7542" t="inlineStr">
        <is>
          <t>eyu7i6</t>
        </is>
      </c>
      <c r="B7542" t="inlineStr">
        <is>
          <t>Weird cravings</t>
        </is>
      </c>
      <c r="C7542" t="inlineStr">
        <is>
          <t>Does anyone else get really weird cravings? Ever since I started steroids again I’ve been craving like a pregnant woman</t>
        </is>
      </c>
      <c r="D7542" t="n">
        <v>1</v>
      </c>
      <c r="E7542" t="n">
        <v>10</v>
      </c>
      <c r="F7542">
        <f>HYPERLINK("https://www.reddit.com/r/cancer/comments/eyu7i6/weird_cravings/")</f>
        <v/>
      </c>
      <c r="G7542" t="inlineStr">
        <is>
          <t>2020-02-04 10:09:29</t>
        </is>
      </c>
      <c r="H7542" t="inlineStr"/>
    </row>
    <row r="7543">
      <c r="A7543" t="inlineStr">
        <is>
          <t>eyumnd</t>
        </is>
      </c>
      <c r="B7543" t="inlineStr">
        <is>
          <t>Is this just how it is?</t>
        </is>
      </c>
      <c r="C7543" t="inlineStr">
        <is>
          <t>I started the capox regimen for colorectal CA last Wednesday (so almost a week ago). I'm taking the antiemetics as directed but I still can only tolerate a little food (think bowl of cereal and yogurt for the day). I'm nauseous more often than not and when I'm not I still don't have any appetite. Anyone else on this regimen and have any tips? I'm post op and post partum so nutrition is really important.</t>
        </is>
      </c>
      <c r="D7543" t="n">
        <v>1</v>
      </c>
      <c r="E7543" t="n">
        <v>7</v>
      </c>
      <c r="F7543">
        <f>HYPERLINK("https://www.reddit.com/r/cancer/comments/eyumnd/is_this_just_how_it_is/")</f>
        <v/>
      </c>
      <c r="G7543" t="inlineStr">
        <is>
          <t>2020-02-04 10:35:15</t>
        </is>
      </c>
      <c r="H7543" t="inlineStr"/>
    </row>
    <row r="7544">
      <c r="A7544" t="inlineStr">
        <is>
          <t>eyv5ip</t>
        </is>
      </c>
      <c r="B7544" t="inlineStr">
        <is>
          <t>Chemo Supplies</t>
        </is>
      </c>
      <c r="C7544" t="inlineStr">
        <is>
          <t>Hello!
Someone very close to me - but who lives very far from me - is beginning 8 weeks of chemo followed by 4 weeks of radiation for stage 3/4 colon cancer. 
What are some things I could send them to make the chemo process more bearable?</t>
        </is>
      </c>
      <c r="D7544" t="n">
        <v>1</v>
      </c>
      <c r="E7544" t="n">
        <v>5</v>
      </c>
      <c r="F7544">
        <f>HYPERLINK("https://www.reddit.com/r/cancer/comments/eyv5ip/chemo_supplies/")</f>
        <v/>
      </c>
      <c r="G7544" t="inlineStr">
        <is>
          <t>2020-02-04 11:07:38</t>
        </is>
      </c>
      <c r="H7544" t="inlineStr"/>
    </row>
    <row r="7545">
      <c r="A7545" t="inlineStr">
        <is>
          <t>eyvetp</t>
        </is>
      </c>
      <c r="B7545" t="inlineStr">
        <is>
          <t>My mom is about to receive a stem cell transplant and I’m freaking out.</t>
        </is>
      </c>
      <c r="C7545" t="inlineStr">
        <is>
          <t xml:space="preserve">
My mom was diagnosed in October 2018 with 2B HL. 
On January 2019 we where told the chemo failed (ABVD) and switched to Brentuximab.
On July 2019 the PET scan showed the cancer had spread to stage IV. 
Brentuxi+ Nivolumab was the winning combo that reduced the activity on her body so much that the doctors decided to proceed with the bone marrow transplant.
She already had her stem cells harvested (it’ll be an autologous transplant, thank goodness) and today is the day we’ve all been hoping and praying for.
I am beyond grateful and happy, but at the same time I’m so scared for her, I know it’s not a simple procedure and my anxiety is making me imagine everything that could go wrong. I’m not ready to see her go.</t>
        </is>
      </c>
      <c r="D7545" t="n">
        <v>1</v>
      </c>
      <c r="E7545" t="n">
        <v>2</v>
      </c>
      <c r="F7545">
        <f>HYPERLINK("https://www.reddit.com/r/cancer/comments/eyvetp/my_mom_is_about_to_receive_a_stem_cell_transplant/")</f>
        <v/>
      </c>
      <c r="G7545" t="inlineStr">
        <is>
          <t>2020-02-04 11:23:17</t>
        </is>
      </c>
      <c r="H7545" t="inlineStr"/>
    </row>
    <row r="7546">
      <c r="A7546" t="inlineStr">
        <is>
          <t>eyvrnm</t>
        </is>
      </c>
      <c r="B7546" t="inlineStr">
        <is>
          <t>father with prostate cancer just got diagnosed with two spots on his ribs</t>
        </is>
      </c>
      <c r="C7546" t="inlineStr">
        <is>
          <t>he just got the test results back and is scheduled to see his oncologist on the 10th. He was only diagnosed with prostate about 3 months ago and has been doing well with hormones , now this...
Can someone tell me what this might mean? I've tried to search the messages but I'm confused between bone cancer and prostate that spreads to the bone. Can it still take 14 years until it becomes acute? He's 92.</t>
        </is>
      </c>
      <c r="D7546" t="n">
        <v>1</v>
      </c>
      <c r="E7546" t="n">
        <v>5</v>
      </c>
      <c r="F7546">
        <f>HYPERLINK("https://www.reddit.com/r/cancer/comments/eyvrnm/father_with_prostate_cancer_just_got_diagnosed/")</f>
        <v/>
      </c>
      <c r="G7546" t="inlineStr">
        <is>
          <t>2020-02-04 11:45:09</t>
        </is>
      </c>
      <c r="H7546" t="inlineStr"/>
    </row>
    <row r="7547">
      <c r="A7547" t="inlineStr">
        <is>
          <t>eywivm</t>
        </is>
      </c>
      <c r="B7547" t="inlineStr">
        <is>
          <t>stage 4 option help</t>
        </is>
      </c>
      <c r="C7547" t="inlineStr">
        <is>
          <t>stage 4 stomach cancer patient, under clinical trial, finished 6 cycle chemo and immunotherapy, CT scan shows good responding, barely see it.  Now doctor now schedule immuno every 2 week, no more chemo.And said surgery is not a option. At this time, should look for 2nd opinion see another hospital or continue treatment here? Thanks.</t>
        </is>
      </c>
      <c r="D7547" t="n">
        <v>1</v>
      </c>
      <c r="E7547" t="n">
        <v>3</v>
      </c>
      <c r="F7547">
        <f>HYPERLINK("https://www.reddit.com/r/cancer/comments/eywivm/stage_4_option_help/")</f>
        <v/>
      </c>
      <c r="G7547" t="inlineStr">
        <is>
          <t>2020-02-04 12:31:18</t>
        </is>
      </c>
      <c r="H7547" t="inlineStr"/>
    </row>
    <row r="7548">
      <c r="A7548" t="inlineStr">
        <is>
          <t>eyxcsa</t>
        </is>
      </c>
      <c r="B7548" t="inlineStr">
        <is>
          <t>My dad has been struggling with metastatic colon cancer for a year now. He has developed ascites. Does this mean it's the end?</t>
        </is>
      </c>
      <c r="C7548" t="inlineStr">
        <is>
          <t>On top of being heartbroken to be losing my best friend, I have to deal with all the confusion and uncertainty that this cruel disease brings. 
He doesn't want to live anymore. He doesn't want to be completely dependent on others. I do understand him. And I feel useless that I can't help him. 
I don't want him to suffer anymore. I'm terrified that it will be painful for him. I'm also terrified that it will continue to last like this for who knows how long. 
It's been a little over a year since we found out, stage IV colon cancer spread to the liver and lungs. His stomach is huge from ascites and his legs are very swollen.  Sometimes he has difficulty breathing.  We sent him to the ER tonight and the doctor wouldn't tell us anything other than "it's terminal, there's nothing we can do."
I was just wondering if I could get some answers here from people who've been through this. I know everyone is different and that it depends on the type of cancer, but nobody is giving us a timeline. I have to know how much longer I have with my dad and if he will die in pain.
I would really appreciate it.</t>
        </is>
      </c>
      <c r="D7548" t="n">
        <v>1</v>
      </c>
      <c r="E7548" t="n">
        <v>13</v>
      </c>
      <c r="F7548">
        <f>HYPERLINK("https://www.reddit.com/r/cancer/comments/eyxcsa/my_dad_has_been_struggling_with_metastatic_colon/")</f>
        <v/>
      </c>
      <c r="G7548" t="inlineStr">
        <is>
          <t>2020-02-04 13:23:16</t>
        </is>
      </c>
      <c r="H7548" t="inlineStr"/>
    </row>
    <row r="7549">
      <c r="A7549" t="inlineStr">
        <is>
          <t>eyy2xa</t>
        </is>
      </c>
      <c r="B7549" t="inlineStr">
        <is>
          <t>Alea jacta est...</t>
        </is>
      </c>
      <c r="C7549" t="inlineStr">
        <is>
          <t>One year before...
My mum complained. She has been suffering a lot . Her stomach was a pain. But the doctor gave her nothing. One pill for bellyache. Her GP doesn't care. After all she was diabetic. 
6 month happened. She still suffered from her stomach. She vomited a lot. She called the emergency department. The doctor doesn't care. After all she was diabetic and her new treatment  was the main problem. But my mum used to be an assistant nurse. With my father, she pushed the health care personnel to be more careful on her situation. She was asking for hospitalisations. What adventure. She couldn't walk as she had some blood circulation problems and a real bellyache. She couldn't do one step by herself. 
At hospital no one borrowed her a wheelchair despite it was full of it. Why ? Because of robbery.  (...) 
After X-ray the caregiver discovered a pulmonary embolism and more. Pancreas cancer , metastasis on liver. As the cancer was diagnosed late she couldn't have a chemotherapy. One month after she passed away in my arms at palliative care. 
Today , I shared you her story. I can not understand why no one at hospital listened on my mother. Why the doctor doesn't care about her needs ? Because she was mixed-race ? Black woman ? Diabetic ? To day I'm still confused about it. She was very courageous cosmopolitan woman. She was very impressive how she fight during her illness and end of life. 
I wrote to all people involved here. Especially if you are struggling with pancreas cancer. The cancer caused to my mother a big pain and to all our family. No one was ready of the announcement of her illness and end of life. 
How life is small and fragile. Everything can change at any time.</t>
        </is>
      </c>
      <c r="D7549" t="n">
        <v>1</v>
      </c>
      <c r="E7549" t="n">
        <v>3</v>
      </c>
      <c r="F7549">
        <f>HYPERLINK("https://www.reddit.com/r/cancer/comments/eyy2xa/alea_jacta_est/")</f>
        <v/>
      </c>
      <c r="G7549" t="inlineStr">
        <is>
          <t>2020-02-04 14:08:22</t>
        </is>
      </c>
      <c r="H7549" t="inlineStr"/>
    </row>
    <row r="7550">
      <c r="A7550" t="inlineStr">
        <is>
          <t>eyyd8j</t>
        </is>
      </c>
      <c r="B7550" t="inlineStr">
        <is>
          <t>My Dad was told on World Cancer Day that his treatment is working!!!</t>
        </is>
      </c>
      <c r="C7550" t="inlineStr">
        <is>
          <t>Some good news in honor of World Cancer Day, my dad is halfway through his treatment and his PSA dropped dramatically and I just wanted to share!!!!!!</t>
        </is>
      </c>
      <c r="D7550" t="n">
        <v>1</v>
      </c>
      <c r="E7550" t="n">
        <v>10</v>
      </c>
      <c r="F7550">
        <f>HYPERLINK("https://www.reddit.com/r/cancer/comments/eyyd8j/my_dad_was_told_on_world_cancer_day_that_his/")</f>
        <v/>
      </c>
      <c r="G7550" t="inlineStr">
        <is>
          <t>2020-02-04 14:26:25</t>
        </is>
      </c>
      <c r="H7550" t="inlineStr"/>
    </row>
    <row r="7551">
      <c r="A7551" t="inlineStr">
        <is>
          <t>ez02lr</t>
        </is>
      </c>
      <c r="B7551" t="inlineStr">
        <is>
          <t>Stage 2a Gastroesophageal Junction Cancer</t>
        </is>
      </c>
      <c r="C7551" t="inlineStr">
        <is>
          <t>Hi everyone.  I have recently been diagnosed with Stage 2a Gastroesophageal Junction Cancer.  What started out as some trouble swallowing turned out to be cancer.  Needless to say it wasn't the best holiday season!
I've now had all the tests done; barium swallow, esophagram, ct scan, pet scan, and an endoscopic ultrasound. The good news is it does not seem to have spread and is locally contained.
I'm in the process of trying to figure out a plan with my doctors.  I'll definitely be starting chemo soon but the type of chemo has yet to be determined depending if I do radiation or not.  If I do radiation depends on the aggressiveness of the surgery that will be performed (partial or full esophagectomy).  I'm getting a second opinion on the surgery shortly.
While I want to try and figure our the best plan, I am also anxious to just get started with chemo and get treatment going already.
I'm very fortunate to have a lot of supportive and well meaning people around me.  My work has also been incredibly supportive and flexible.  I have been trying to stay strong and positive but I know this will be a tough road ahead for myself and others.  I feel worse for the other people this is affecting than for myself.  
Anyway, I've been reading this subreddit a lot lately and it has been very inspiring, uplifting, and educational.  I'm not sure what the point of this is, but I thought I would take a minute to introduce myself, wish everyone good fortune in thier journeys, and hopefully participate in more discussions in the future. 
Thanks.</t>
        </is>
      </c>
      <c r="D7551" t="n">
        <v>1</v>
      </c>
      <c r="E7551" t="n">
        <v>3</v>
      </c>
      <c r="F7551">
        <f>HYPERLINK("https://www.reddit.com/r/cancer/comments/ez02lr/stage_2a_gastroesophageal_junction_cancer/")</f>
        <v/>
      </c>
      <c r="G7551" t="inlineStr">
        <is>
          <t>2020-02-04 16:15:43</t>
        </is>
      </c>
      <c r="H7551" t="inlineStr"/>
    </row>
    <row r="7552">
      <c r="A7552" t="inlineStr">
        <is>
          <t>ez0oo4</t>
        </is>
      </c>
      <c r="B7552" t="inlineStr">
        <is>
          <t>Anyone else experience this post-treatment for childhood leukemia? (24F)</t>
        </is>
      </c>
      <c r="C7552" t="inlineStr">
        <is>
          <t>Hi!
I had Leukemia (ALL) when I was 15 (2011) and I finished treatment in July of 2013. For the first couple of years post-treatment I was active, constantly dancing and going to fitness classes. 
After the first couple years, it became more and more difficult for me to participate in exercise, especially cardio. After only 30 seconds, my chest begins to feel tight and burn, my heart absolutely pounds, I feel a struggle to breathe and it burns in my chest as I start to breathe more heavily, I get dizzy, and my entire body is completely overcome with fatigue. I have to sit down during this, and it takes me several minutes to be able to get back up, but even when I do I can’t resume my physical activity without immediately feeling the same way. 
So, after going to multiple doctors including allergists, cardiologists, urgent cares, and pulmonologist, I’ve been diagnosed with asthma. I thought once I started my asthma treatment that the symptoms would subside, but they have not. I am planning to next schedule an exercise stress test so that a medical professional can actually see what happens when I’m in that situation. 
So now, here I am, 24 years old, desperate to be able to go out and dance for extended periods of time with my friends, go to a yoga or hip hop or Zumba class, and work out in general, without the physical ability to do so. I am desperate to lose weight and I was just wondering:
Has anyone else ever chronically felt this way while exercising? What worked for you?
I really appreciate the opportunity to just share my experience. I have felt very alone because of it. Thank you :)</t>
        </is>
      </c>
      <c r="D7552" t="n">
        <v>1</v>
      </c>
      <c r="E7552" t="n">
        <v>2</v>
      </c>
      <c r="F7552">
        <f>HYPERLINK("https://www.reddit.com/r/cancer/comments/ez0oo4/anyone_else_experience_this_posttreatment_for/")</f>
        <v/>
      </c>
      <c r="G7552" t="inlineStr">
        <is>
          <t>2020-02-04 16:56:51</t>
        </is>
      </c>
      <c r="H7552" t="inlineStr"/>
    </row>
    <row r="7553">
      <c r="A7553" t="inlineStr">
        <is>
          <t>ez0rlt</t>
        </is>
      </c>
      <c r="B7553" t="inlineStr">
        <is>
          <t>Just left a 21 day hospital stay after being diagnosed for the second time. Out of work for 6 months to a year. Are there any financial assistance programs I can take advantage of?</t>
        </is>
      </c>
      <c r="C7553" t="inlineStr">
        <is>
          <t>Title mostly exains it all but I'll provide a little more info and backstory. So about 2 years ago I was diagnosed with Non-Hardgins Large B-Cell Lymphoma and went into remission about a year later. I found out (on my birthday) that the treatment caused me to develop Acute Myloid Leukemia. While in the hospital, I was informed that I will not be able to work for 6 months, but if I undergo a bone marrow transplant, which is likely, I will be out of work for a year.
When I went through this last year, the pro wrestling community came together and ran a series of benefit shows for me to help raise money (I wrestled for 15 years) and that helped me a ton with bills and day to day expenses.
This time around, I can't expect the same thing. My insurance from work offers short term disability but I don't think it's going to last as long as I'll need it to. I've never had to do any of this before and I'm kind of lost. I just thought I'd reach out and see if anyone has any helpful tips that could help me get through this while I'm out of work. If it makes any difference, I live in Indiana.</t>
        </is>
      </c>
      <c r="D7553" t="n">
        <v>1</v>
      </c>
      <c r="E7553" t="n">
        <v>3</v>
      </c>
      <c r="F7553">
        <f>HYPERLINK("https://www.reddit.com/r/cancer/comments/ez0rlt/just_left_a_21_day_hospital_stay_after_being/")</f>
        <v/>
      </c>
      <c r="G7553" t="inlineStr">
        <is>
          <t>2020-02-04 17:02:32</t>
        </is>
      </c>
      <c r="H7553" t="inlineStr"/>
    </row>
    <row r="7554">
      <c r="A7554" t="inlineStr">
        <is>
          <t>ez313h</t>
        </is>
      </c>
      <c r="B7554" t="inlineStr">
        <is>
          <t>Is Transgenic Culture of Helper and Cytotoxic T Cells a feasible Biomimicry Cancer Treatment Proposal?</t>
        </is>
      </c>
      <c r="C7554" t="inlineStr">
        <is>
          <t>Following up on one of the latest trends in medicine, we approach the matter in hand through the lens of immunotherapy. 
Our proposal aims to tackle the issue of carcinogenic cells slipping away from our body’s natural defense mechanisms. 
The methodology we suggest contemplates the perfectionism  ingrained in the millennia supporting the efficiency of naturally evolved systems within our bodies.
We present the idea: Enhancement of T Cells Weaponry against Cancer Cells
Through the extraction of samples, from both the cancerous tumor and thymus secretions of the client, synthetically develop an antigen obtaining a protein fragment to simulate the process of antigen presentation in an in vitro culture of Helper T Cells in order for them to release the needed cytotoxins for the specialization of Cytotoxic T Cells. 
The goal is to create a bio community of Cytotoxic T Cells and Cancer Cells in order to set forth a Mathematical Model that, through a software, allows calculations surrounding the needed relational proportion between the integers of the cell community for the CTCs to gradually dispel the Cancer Treat, the final contrivance consists in the inoculation of the improved CTCs in the client’s body.
This is a rough brief summary of the Statement originated in Scientific Literature and Creative Thinking, I would love to read about your thoughts / opinions and concerns, since I’m just a junior in University and would gladly appreciate the Feedback.</t>
        </is>
      </c>
      <c r="D7554" t="n">
        <v>1</v>
      </c>
      <c r="E7554" t="n">
        <v>2</v>
      </c>
      <c r="F7554">
        <f>HYPERLINK("https://www.reddit.com/r/cancer/comments/ez313h/is_transgenic_culture_of_helper_and_cytotoxic_t/")</f>
        <v/>
      </c>
      <c r="G7554" t="inlineStr">
        <is>
          <t>2020-02-04 19:36:16</t>
        </is>
      </c>
      <c r="H7554" t="inlineStr"/>
    </row>
    <row r="7555">
      <c r="A7555" t="inlineStr">
        <is>
          <t>ez37xt</t>
        </is>
      </c>
      <c r="B7555" t="inlineStr">
        <is>
          <t>Is this skin cancer</t>
        </is>
      </c>
      <c r="C7555" t="inlineStr">
        <is>
          <t>My dad has had this weird kinda bump rough spot for like 2 weeks now and we don't really know what it is but he said it seems to be going away
I took this picture a few days ago what do you guys think it is
http://imgur.com/a/9nnzNoq</t>
        </is>
      </c>
      <c r="D7555" t="n">
        <v>1</v>
      </c>
      <c r="E7555" t="n">
        <v>1</v>
      </c>
      <c r="F7555">
        <f>HYPERLINK("https://www.reddit.com/r/cancer/comments/ez37xt/is_this_skin_cancer/")</f>
        <v/>
      </c>
      <c r="G7555" t="inlineStr">
        <is>
          <t>2020-02-04 19:50:31</t>
        </is>
      </c>
      <c r="H7555" t="inlineStr"/>
    </row>
    <row r="7556">
      <c r="A7556" t="inlineStr">
        <is>
          <t>ez38hx</t>
        </is>
      </c>
      <c r="B7556" t="inlineStr">
        <is>
          <t>I was diagnosed with Lymphoma on the same day that I had a really amazing job interview</t>
        </is>
      </c>
      <c r="C7556" t="inlineStr">
        <is>
          <t>During a routine dental exam, my dentist spotted something that she was worried might be cancer. She referred me to get a biopsy and lab tests done, and I'd been waiting for about a week to get word back from the pathologist on a diagnosis.
Concurrently, I had been in discussions with a dream company for a role that I was really interested in. I had gone through several rounds of interviews over the past couple of months, and was invited to a final in-person discussion. I figured that since I didn't know what the future would hold and that the biopsy might come back negative, I might as well continue pursuing the position.
Friday, I go in for the in-person, and it goes incredibly well. I really enjoy talking with the Hiring Manager and the HM's boss, I confirm that I really like the role and the organization, and I leave the building feeling like I knocked it out of the park.
I get back in my car and start driving home. About 30 minutes after I leave the office, I get a call from the doctor that I've been seeing. He asks if it's okay if we talk about the pathology results, and delivers the news that I have Lymphoma.
There's been a lot that's sucked over the past week. I'm still grappling with my diagnosis and what it really means. I'm going in for a CT scan tomorrow and for consultation with a Lymphoma specialist, and I hope to have some answers soon. But probably the hardest, most difficult thing I've had to do thus far is call up the really friendly HR person at this company and tell her that I'm withdrawing my application because of this recent diagnosis. I decided to tell her the whole truth, because I didn't want her to think that I was flaking on the organization after all the rounds of interviews that I had been through. At this point and with so much uncertainty, I just don't think it would be good to introduce more "change" into my situation.
The silver lining is that the HR person was incredibly sympathetic about my news. She told me that they were planning on offering me the position (which hurt, but was also comforting in a way), and that they would keep me in their thoughts and that I should definitely reach back out once my ordeal was done. That was really amazing to hear, but it also was the first time during all of this that I felt the need to cry.
I'm very new to all of this, and it's been quite shocking. The initial diagnosis was hard to stomach, but up until today I hadn't really felt the impacts of what this would mean for me for however long it takes to fight this. I think that having to withdraw from consideration for the position was the first time that I really felt the consequences of my diagnosis, and I'm now worried about what other things I'll miss out on or have to decline as a consequence of this.</t>
        </is>
      </c>
      <c r="D7556" t="n">
        <v>1</v>
      </c>
      <c r="E7556" t="n">
        <v>4</v>
      </c>
      <c r="F7556">
        <f>HYPERLINK("https://www.reddit.com/r/cancer/comments/ez38hx/i_was_diagnosed_with_lymphoma_on_the_same_day/")</f>
        <v/>
      </c>
      <c r="G7556" t="inlineStr">
        <is>
          <t>2020-02-04 19:51:30</t>
        </is>
      </c>
      <c r="H7556" t="inlineStr"/>
    </row>
    <row r="7557">
      <c r="A7557" t="inlineStr">
        <is>
          <t>ez3fzv</t>
        </is>
      </c>
      <c r="B7557" t="inlineStr">
        <is>
          <t>Does anyone have Oral cancer?</t>
        </is>
      </c>
      <c r="C7557" t="inlineStr">
        <is>
          <t>If you do, Could you please share your experience?</t>
        </is>
      </c>
      <c r="D7557" t="n">
        <v>1</v>
      </c>
      <c r="E7557" t="n">
        <v>0</v>
      </c>
      <c r="F7557">
        <f>HYPERLINK("https://www.reddit.com/r/cancer/comments/ez3fzv/does_anyone_have_oral_cancer/")</f>
        <v/>
      </c>
      <c r="G7557" t="inlineStr">
        <is>
          <t>2020-02-04 20:06:51</t>
        </is>
      </c>
      <c r="H7557" t="inlineStr"/>
    </row>
    <row r="7558">
      <c r="A7558" t="inlineStr">
        <is>
          <t>ez3t9r</t>
        </is>
      </c>
      <c r="B7558" t="inlineStr">
        <is>
          <t>Propuesta basada en biomimética como solución al cáncer</t>
        </is>
      </c>
      <c r="C7558" t="inlineStr">
        <is>
          <t>Hola mi nombre es Denisse Russildi Y actualmente curso una asignatura de biología en la cual nos han ayudado a desarrollar una propuesta basada en biomimetica para ayudar a curar el cáncer de pulmón. Mi propuesta basándome en la producción de anticoagulante antitrombina (AT) utilizando cabras transgénicas en el cual se modificó el genoma de la cabra para producir esta proteína en su leche y de esta manera se han conseguido cantidades de AT necesarias para su uso farmacológico; se podría reproducir este mismo sistema para producir este ácido hialurónico de gran peso molecular y de esta manera administrarlo por vía intravenosa a los pacientes afectados. El uso de ácido hialurónico para combatir células cancerígenas es en base a la inmunidad de la rata topo desnuda a esta enfermedad debido a la variante de acido hialurónico que esta produce con gran eficiencia.
El gen que dicha rata posee para crear esta variante de ácido hialurónico sería el que se le implementaría a la cabra para lograr crear este ácido hialurónico en su leche y poder utilizarlo en tratamientos.
Me gustaría escuchar sus opiniones y aportaciones a esta propuesta.</t>
        </is>
      </c>
      <c r="D7558" t="n">
        <v>1</v>
      </c>
      <c r="E7558" t="n">
        <v>2</v>
      </c>
      <c r="F7558">
        <f>HYPERLINK("https://www.reddit.com/r/cancer/comments/ez3t9r/propuesta_basada_en_biomimética_como_solución_al/")</f>
        <v/>
      </c>
      <c r="G7558" t="inlineStr">
        <is>
          <t>2020-02-04 20:35:43</t>
        </is>
      </c>
      <c r="H7558" t="inlineStr"/>
    </row>
    <row r="7559">
      <c r="A7559" t="inlineStr">
        <is>
          <t>ez4itg</t>
        </is>
      </c>
      <c r="B7559" t="inlineStr">
        <is>
          <t>Flying home from Asia to Europe to support my family. How do I prepare?</t>
        </is>
      </c>
      <c r="C7559" t="inlineStr">
        <is>
          <t>My mom is 65. 2 years ago she had breast cancer. She had an operation and she refused to do chemo therapy. She recovered from the operation but in the last 3 month her condition got worse. She couldn't hold food in, lost weight, got aggressive to her husband, couldn't stand any type of smell, couldn't cross the street anymore because she wouldn't understand the traffic lights. 
&amp;amp;#x200B;
2 Days ago she collapsed in an epileptic seizure and was rushed to the hospital. Brain MRT revealed several metastasis  in the brain. Meanwhile stomach and bones are getting scanned. 
All this happened in Germany. I live abroad in Thailand. I am the responsible person in the family so I am flying home tonight. My sister seems in denial, while her husband is helpless, fears the worst and has no clue what to do. 
How can I prepare myself best?</t>
        </is>
      </c>
      <c r="D7559" t="n">
        <v>1</v>
      </c>
      <c r="E7559" t="n">
        <v>3</v>
      </c>
      <c r="F7559">
        <f>HYPERLINK("https://www.reddit.com/r/cancer/comments/ez4itg/flying_home_from_asia_to_europe_to_support_my/")</f>
        <v/>
      </c>
      <c r="G7559" t="inlineStr">
        <is>
          <t>2020-02-04 21:33:32</t>
        </is>
      </c>
      <c r="H7559" t="inlineStr"/>
    </row>
    <row r="7560">
      <c r="A7560" t="inlineStr">
        <is>
          <t>ez4p1d</t>
        </is>
      </c>
      <c r="B7560" t="inlineStr">
        <is>
          <t>Pancreatic cancer</t>
        </is>
      </c>
      <c r="C7560" t="inlineStr">
        <is>
          <t>I’m sorry if I can’t provide too much information about this. 
My friend has pancreatic cancer. He’s had it for over a year. He just got hospitalized the other day.
I love him so much. I’ve read that the survival rate for 1 year is 20% so I should be happy right?
A while ago his tumor was stable or whatever it’s called when it isn’t growing or shrinking. Lately they’ve been looking for effective treatments because his treatment wasn’t working.
I know you guys aren’t doctors and I know I’d have to ask him to know more. But could you just talk to me? Tell me anything. Should I be scared to lose him? Is he doing well? Did you experience this cancer? Just please say anything</t>
        </is>
      </c>
      <c r="D7560" t="n">
        <v>1</v>
      </c>
      <c r="E7560" t="n">
        <v>2</v>
      </c>
      <c r="F7560">
        <f>HYPERLINK("https://www.reddit.com/r/cancer/comments/ez4p1d/pancreatic_cancer/")</f>
        <v/>
      </c>
      <c r="G7560" t="inlineStr">
        <is>
          <t>2020-02-04 21:48:53</t>
        </is>
      </c>
      <c r="H7560" t="inlineStr"/>
    </row>
    <row r="7561">
      <c r="A7561" t="inlineStr">
        <is>
          <t>ez539o</t>
        </is>
      </c>
      <c r="B7561" t="inlineStr">
        <is>
          <t>hey, i just have a question because i'd like to know more about cancer.</t>
        </is>
      </c>
      <c r="C7561" t="inlineStr">
        <is>
          <t>my mother died of breast cancer when i was 10, and i'm wondering some things about breast cancer and i wish to learn more about what had damaged my mother so greatly. Is paralysis normal, or is it known to happen to some in late stage 4 breast cancer? Is full body pain common to the point where breathing would require a contraption, and it'd be painful to even blink?</t>
        </is>
      </c>
      <c r="D7561" t="n">
        <v>1</v>
      </c>
      <c r="E7561" t="n">
        <v>15</v>
      </c>
      <c r="F7561">
        <f>HYPERLINK("https://www.reddit.com/r/cancer/comments/ez539o/hey_i_just_have_a_question_because_id_like_to/")</f>
        <v/>
      </c>
      <c r="G7561" t="inlineStr">
        <is>
          <t>2020-02-04 22:22:10</t>
        </is>
      </c>
      <c r="H7561" t="inlineStr"/>
    </row>
    <row r="7562">
      <c r="A7562" t="inlineStr">
        <is>
          <t>ez77a2</t>
        </is>
      </c>
      <c r="B7562" t="inlineStr">
        <is>
          <t>Throat Cancer and taste</t>
        </is>
      </c>
      <c r="C7562" t="inlineStr">
        <is>
          <t>1 and 1/2 years prior to being diagnosed with throat cancer, I ordered a beer. As I brought it to my lips, it smelled bad and a sip tasted horrible. My friends told me there was nothing wrong with the beer. During the next 4 weeks each beer I ordered was more unpleasant. Yet my friends said nothing was wrong with the beer.After 40 years of drinking beer I stopped after these 4 weeks. 
Two years of clean scans and after 5 years of not drinking beer I still don't.
I believe that my body was telling me I was sick. Has anyone with throat cancer  had a similar experience?</t>
        </is>
      </c>
      <c r="D7562" t="n">
        <v>1</v>
      </c>
      <c r="E7562" t="n">
        <v>10</v>
      </c>
      <c r="F7562">
        <f>HYPERLINK("https://www.reddit.com/r/cancer/comments/ez77a2/throat_cancer_and_taste/")</f>
        <v/>
      </c>
      <c r="G7562" t="inlineStr">
        <is>
          <t>2020-02-05 01:47:33</t>
        </is>
      </c>
      <c r="H7562" t="inlineStr"/>
    </row>
    <row r="7563">
      <c r="A7563" t="inlineStr">
        <is>
          <t>ez8n9d</t>
        </is>
      </c>
      <c r="B7563" t="inlineStr">
        <is>
          <t>New moles?</t>
        </is>
      </c>
      <c r="C7563" t="inlineStr">
        <is>
          <t>Over the last month I’ve had a bunch of new mole looking things popping up on my back, and a lot of them. My doctors appointment isn’t for another month and a half. I mean these things really came out of nowhere. Should I be worried?</t>
        </is>
      </c>
      <c r="D7563" t="n">
        <v>1</v>
      </c>
      <c r="E7563" t="n">
        <v>2</v>
      </c>
      <c r="F7563">
        <f>HYPERLINK("https://www.reddit.com/r/cancer/comments/ez8n9d/new_moles/")</f>
        <v/>
      </c>
      <c r="G7563" t="inlineStr">
        <is>
          <t>2020-02-05 04:11:42</t>
        </is>
      </c>
      <c r="H7563" t="inlineStr"/>
    </row>
    <row r="7564">
      <c r="A7564" t="inlineStr">
        <is>
          <t>ez8v1c</t>
        </is>
      </c>
      <c r="B7564" t="inlineStr">
        <is>
          <t>Do you trust your oncologist 100%?</t>
        </is>
      </c>
      <c r="C7564" t="inlineStr">
        <is>
          <t>I’m honestly afraid of my moms oncologist. Maybe afraid isn’t the right word but I’m extremely intimidated to ask questions because they are so passive aggressive. The doctor has a huge ego and doesn’t like family members meddling with treatment questions, for example no mentioning stuff you see online and questioning why the doctor is doing a certain thing. Something just feels off and this whole experience has really shown me a different world of medicine and healthcare. I’m disappointed beyond belief. To all the fighters and the caregivers I love you and you will be in my prayers forever, we will all overcome this. Stay strong and advocate for your loved ones.</t>
        </is>
      </c>
      <c r="D7564" t="n">
        <v>1</v>
      </c>
      <c r="E7564" t="n">
        <v>0</v>
      </c>
      <c r="F7564">
        <f>HYPERLINK("https://www.reddit.com/r/cancer/comments/ez8v1c/do_you_trust_your_oncologist_100/")</f>
        <v/>
      </c>
      <c r="G7564" t="inlineStr">
        <is>
          <t>2020-02-05 04:30:52</t>
        </is>
      </c>
      <c r="H7564" t="inlineStr"/>
    </row>
    <row r="7565">
      <c r="A7565" t="inlineStr">
        <is>
          <t>ez9jcn</t>
        </is>
      </c>
      <c r="B7565" t="inlineStr">
        <is>
          <t>After so much fighting to stay with us, my dad passed 2 days ago</t>
        </is>
      </c>
      <c r="C7565" t="inlineStr">
        <is>
          <t>Almost exactly 5 months after finding his lung tumor, my dad passed away surrounded by his family. I think he was peaceful and pain free. I hope his mind was gone and he didn’t feel trapped. 
I wish my dad had an easier death. I wish his younger children didn’t have to see him like that to say goodbye. He was full of life before this diagnosis  and he kept that love for life going for as long as he could. I think he hid a lot of pain from us. We will miss him forever. It still seems so unreal.</t>
        </is>
      </c>
      <c r="D7565" t="n">
        <v>1</v>
      </c>
      <c r="E7565" t="n">
        <v>9</v>
      </c>
      <c r="F7565">
        <f>HYPERLINK("https://www.reddit.com/r/cancer/comments/ez9jcn/after_so_much_fighting_to_stay_with_us_my_dad/")</f>
        <v/>
      </c>
      <c r="G7565" t="inlineStr">
        <is>
          <t>2020-02-05 05:27:05</t>
        </is>
      </c>
      <c r="H7565" t="inlineStr"/>
    </row>
    <row r="7566">
      <c r="A7566" t="inlineStr">
        <is>
          <t>ezasns</t>
        </is>
      </c>
      <c r="B7566" t="inlineStr">
        <is>
          <t>Questions for cancer patients and survivors that you're too scared to ask</t>
        </is>
      </c>
      <c r="C7566" t="inlineStr">
        <is>
          <t>Are you a cancer patient or maybe just interested in the topic? Then we need your help! 
If you’re a patient or survivor, what ridiculous and/or inappropriate questions have we’re you asked regarding cancer? 
If you’re not a patient, what would you like to know from a cancer patient, that you would never dare to really ask? 
There’s no stupid questions!
Shoot us your experiences and questions!</t>
        </is>
      </c>
      <c r="D7566" t="n">
        <v>1</v>
      </c>
      <c r="E7566" t="n">
        <v>25</v>
      </c>
      <c r="F7566">
        <f>HYPERLINK("https://www.reddit.com/r/cancer/comments/ezasns/questions_for_cancer_patients_and_survivors_that/")</f>
        <v/>
      </c>
      <c r="G7566" t="inlineStr">
        <is>
          <t>2020-02-05 07:02:07</t>
        </is>
      </c>
      <c r="H7566" t="inlineStr"/>
    </row>
    <row r="7567">
      <c r="A7567" t="inlineStr">
        <is>
          <t>ezcjp4</t>
        </is>
      </c>
      <c r="B7567" t="inlineStr">
        <is>
          <t>Does "B-Cell Clone" = Lymphoma?</t>
        </is>
      </c>
      <c r="C7567" t="inlineStr">
        <is>
          <t>For a few years, I've had a small but growing, reddish, dry, sometimes-itchy bump on my ribcage which my dermatologist removed and biopsied.
The biopsy results state: "There is no definitive diagnosis of lymphoma from the test. It shows a 'positive B cell clone'."
He has scheduled another appointment to have it fully removed, as the first removal only removed the top. Googling this hasn't helped my understanding of what this means, and I'm left overwhelmed any confused.
Does anyone have experience with "positive b-cell clone", and what that even means? Is it lymphoma, even if the results don't officially identify it?
I do have other very bumps on my body and am becoming very concerned. I'm going to see him again but would appreciate any insight in the meantime...</t>
        </is>
      </c>
      <c r="D7567" t="n">
        <v>1</v>
      </c>
      <c r="E7567" t="n">
        <v>0</v>
      </c>
      <c r="F7567">
        <f>HYPERLINK("https://www.reddit.com/r/cancer/comments/ezcjp4/does_bcell_clone_lymphoma/")</f>
        <v/>
      </c>
      <c r="G7567" t="inlineStr">
        <is>
          <t>2020-02-05 08:58:54</t>
        </is>
      </c>
      <c r="H7567" t="inlineStr"/>
    </row>
    <row r="7568">
      <c r="A7568" t="inlineStr">
        <is>
          <t>ezd2su</t>
        </is>
      </c>
      <c r="B7568" t="inlineStr">
        <is>
          <t>Radiation machine keeps breaking- frustrated!</t>
        </is>
      </c>
      <c r="C7568" t="inlineStr">
        <is>
          <t>So we live in a fairly rural area. There's only one place in town that does radiation for my brother's stage 3 astrocytoma. This is his second week of chemo and radiation. They called today to say the radiation machine had broken (again). Last time they were able to get him in that afternoon. But today nothing after the initial call. 
They said they're having an engineer come out and may need to order parts. Am I the only one who thinks this is unacceptable?
I mean I understand stuff breaks. It happens. But his prognosis already isn't good I'm scared of the damage and growth that could happen if this keeps happening. It makes me wonder about the standard of care even when the machine is workkng- was it working right?
Am I insane for expecting the hospital to either have this fixed in 2 days or have him go somewhere that can accommodate him? He needs chemo and radiation that was the only real option.</t>
        </is>
      </c>
      <c r="D7568" t="n">
        <v>1</v>
      </c>
      <c r="E7568" t="n">
        <v>6</v>
      </c>
      <c r="F7568">
        <f>HYPERLINK("https://www.reddit.com/r/cancer/comments/ezd2su/radiation_machine_keeps_breaking_frustrated/")</f>
        <v/>
      </c>
      <c r="G7568" t="inlineStr">
        <is>
          <t>2020-02-05 09:32:31</t>
        </is>
      </c>
      <c r="H7568" t="inlineStr"/>
    </row>
    <row r="7569">
      <c r="A7569" t="inlineStr">
        <is>
          <t>ezdko8</t>
        </is>
      </c>
      <c r="B7569" t="inlineStr">
        <is>
          <t>Those with GI Cancers: did you have appetite loss as a symptom and what was it like?</t>
        </is>
      </c>
      <c r="C7569" t="inlineStr">
        <is>
          <t>Was it appetite loss due to pain or bloating?
I simply think of food and feel sick and have been worried about it but I don’t experience any sickness or pain when I actually do eat. I just wondered how appetite loss characterised itself.</t>
        </is>
      </c>
      <c r="D7569" t="n">
        <v>1</v>
      </c>
      <c r="E7569" t="n">
        <v>7</v>
      </c>
      <c r="F7569">
        <f>HYPERLINK("https://www.reddit.com/r/cancer/comments/ezdko8/those_with_gi_cancers_did_you_have_appetite_loss/")</f>
        <v/>
      </c>
      <c r="G7569" t="inlineStr">
        <is>
          <t>2020-02-05 10:04:33</t>
        </is>
      </c>
      <c r="H7569" t="inlineStr"/>
    </row>
    <row r="7570">
      <c r="A7570" t="inlineStr">
        <is>
          <t>ezeav6</t>
        </is>
      </c>
      <c r="B7570" t="inlineStr">
        <is>
          <t>What is the little dot that looks like a tattoo called, and what is its purpose?</t>
        </is>
      </c>
      <c r="C7570" t="inlineStr">
        <is>
          <t>I remember seeing my mom come home and she jokingly said she got a "tattoo", and proceeded to show me one or a few black dots on her back, and she told me they were very painful. She said it was supposed to help her cancer somehow, and I don't know if it related to her chemotherapy or not, but regardless, I'd like to know what this thing is called, and what it's purpose is.</t>
        </is>
      </c>
      <c r="D7570" t="n">
        <v>1</v>
      </c>
      <c r="E7570" t="n">
        <v>6</v>
      </c>
      <c r="F7570">
        <f>HYPERLINK("https://www.reddit.com/r/cancer/comments/ezeav6/what_is_the_little_dot_that_looks_like_a_tattoo/")</f>
        <v/>
      </c>
      <c r="G7570" t="inlineStr">
        <is>
          <t>2020-02-05 10:51:26</t>
        </is>
      </c>
      <c r="H7570" t="inlineStr"/>
    </row>
    <row r="7571">
      <c r="A7571" t="inlineStr">
        <is>
          <t>ezevgv</t>
        </is>
      </c>
      <c r="B7571" t="inlineStr">
        <is>
          <t>I guess somewhat goodish news?</t>
        </is>
      </c>
      <c r="C7571" t="inlineStr">
        <is>
          <t>Good news in the sense that we have a longer time with my dad. He got diagnosed with Stage IV stomach cancer and it has stopped his ability to eat and he lost a lot of weight because it caused an ulcer to form at the opening of his stomach.. We all went with him to his oncologist appointment today and he said possibly 1 year without treatment and up to 2 if it responds to treatment. Obviously these are just numbers and everybody is different and he could live longer than that, but my dad took it well and is somewhat relieved because it’s longer than he thought. Also, he’s happy because with treatment he will be able to start eating again and gain his weight back. Obviously I don’t want to lose my dad and wish he had more time, but I’m happy that he’ll most likely be able to live a normal life until the day comes.</t>
        </is>
      </c>
      <c r="D7571" t="n">
        <v>1</v>
      </c>
      <c r="E7571" t="n">
        <v>3</v>
      </c>
      <c r="F7571">
        <f>HYPERLINK("https://www.reddit.com/r/cancer/comments/ezevgv/i_guess_somewhat_goodish_news/")</f>
        <v/>
      </c>
      <c r="G7571" t="inlineStr">
        <is>
          <t>2020-02-05 11:27:46</t>
        </is>
      </c>
      <c r="H7571" t="inlineStr"/>
    </row>
    <row r="7572">
      <c r="A7572" t="inlineStr">
        <is>
          <t>ezevjl</t>
        </is>
      </c>
      <c r="B7572" t="inlineStr">
        <is>
          <t>A year ago today, I started chemotherapy. A year later and I’m in remission!</t>
        </is>
      </c>
      <c r="C7572" t="inlineStr">
        <is>
          <t>It’s been such a long journey. The amount of emotions that have gone through me in the past year are unbelievable. One of the tools that me with my problems while going through treatment was Reddit. The amount of support I received on Reddit and this Subreddit specifically was just unreal. Many of you told me to keep you updated and here is your update. I was diagnosed in January 2019 at the age of 16 with Hodgkin’s Lymphoma and I started chemo in February. By April, I had finished chemo. Chemotherapy definitely knocked me around though. I had multiple hospital visits that were a week long. The way that chemo made me feel is almost indescribable. Anyway, after chemo I started 23 rounds radiation therapy that lasted from late- May to mid-June. I then had a surgery to remove my port from my chest. In October, I had a follow up with my oncologist and he informed me that I was in remission. When he said this, I didn’t know what to feel. I wasn’t really happy or sad. It was weird. I just wanted to say thank you to whoever took the time out of their day to send an encouraging message and supported my throughout this long and tedious journey!</t>
        </is>
      </c>
      <c r="D7572" t="n">
        <v>1</v>
      </c>
      <c r="E7572" t="n">
        <v>21</v>
      </c>
      <c r="F7572">
        <f>HYPERLINK("https://www.reddit.com/r/cancer/comments/ezevjl/a_year_ago_today_i_started_chemotherapy_a_year/")</f>
        <v/>
      </c>
      <c r="G7572" t="inlineStr">
        <is>
          <t>2020-02-05 11:27:56</t>
        </is>
      </c>
      <c r="H7572" t="inlineStr"/>
    </row>
    <row r="7573">
      <c r="A7573" t="inlineStr">
        <is>
          <t>ezhdc6</t>
        </is>
      </c>
      <c r="B7573" t="inlineStr">
        <is>
          <t>Good News</t>
        </is>
      </c>
      <c r="C7573" t="inlineStr">
        <is>
          <t>After about a week of waiting to hear the verdict on my treatment. I was told that my EBV has come back negative. Now all thats left is to see what the PET scan has to show and then we make a decision on the next step of treatment.</t>
        </is>
      </c>
      <c r="D7573" t="n">
        <v>1</v>
      </c>
      <c r="E7573" t="n">
        <v>0</v>
      </c>
      <c r="F7573">
        <f>HYPERLINK("https://www.reddit.com/r/cancer/comments/ezhdc6/good_news/")</f>
        <v/>
      </c>
      <c r="G7573" t="inlineStr">
        <is>
          <t>2020-02-05 14:02:36</t>
        </is>
      </c>
      <c r="H7573" t="inlineStr"/>
    </row>
    <row r="7574">
      <c r="A7574" t="inlineStr">
        <is>
          <t>ezi2sk</t>
        </is>
      </c>
      <c r="B7574" t="inlineStr">
        <is>
          <t>PICC Line</t>
        </is>
      </c>
      <c r="C7574" t="inlineStr">
        <is>
          <t>Hello! I got a PICC line for the first time last week. Everything was fine until they changed the dressing. I think I was allergic to something they used so my arm felt like FIRE on the inside. A constant burning feeling. Had to change the dressing because they thought it was positional. All night fire burning arm (best way to describe). Woke up this AM was red under so I went back to the clinic. They used a dressing with none of that sticky pad stuff and none of that chloro rub.. the burning is still there as a dull burn. The site looks a bit swollen. The clinic has told me it is not very swollen, it's not oozing (yuck) so it is fine despite the burning. So question--&amp;gt; did any of you ever have this burning? was there a slight swollen "bump" at the insertion site of your PICC like where the line is? Is this all normal? I'm paranoid despite the clinic (which is a major cancer hospital) looking at it 3 times.</t>
        </is>
      </c>
      <c r="D7574" t="n">
        <v>1</v>
      </c>
      <c r="E7574" t="n">
        <v>8</v>
      </c>
      <c r="F7574">
        <f>HYPERLINK("https://www.reddit.com/r/cancer/comments/ezi2sk/picc_line/")</f>
        <v/>
      </c>
      <c r="G7574" t="inlineStr">
        <is>
          <t>2020-02-05 14:47:58</t>
        </is>
      </c>
      <c r="H7574" t="inlineStr"/>
    </row>
    <row r="7575">
      <c r="A7575" t="inlineStr">
        <is>
          <t>ezjrln</t>
        </is>
      </c>
      <c r="B7575" t="inlineStr">
        <is>
          <t>Help with lump and swelling</t>
        </is>
      </c>
      <c r="C7575" t="inlineStr">
        <is>
          <t>About 5 days ago I my wife noticed a lump and started having pain in her beast that was uncomfortable under her arm as well.   She went for an exam today and the Dr said normally they would give it a month and recheck it but that he would go ahead and order a mammogram and ultrasound.
Within the last two days you has developed swelling near the collarbone that is alarming.   Mammogram and ultrasound tomorrow but it feels like forever away.
Shes 34 and in great health.   How worried should we be at this point?  Things to look for, etc...</t>
        </is>
      </c>
      <c r="D7575" t="n">
        <v>1</v>
      </c>
      <c r="E7575" t="n">
        <v>2</v>
      </c>
      <c r="F7575">
        <f>HYPERLINK("https://www.reddit.com/r/cancer/comments/ezjrln/help_with_lump_and_swelling/")</f>
        <v/>
      </c>
      <c r="G7575" t="inlineStr">
        <is>
          <t>2020-02-05 16:40:31</t>
        </is>
      </c>
      <c r="H7575" t="inlineStr"/>
    </row>
    <row r="7576">
      <c r="A7576" t="inlineStr">
        <is>
          <t>ezjtz1</t>
        </is>
      </c>
      <c r="B7576" t="inlineStr">
        <is>
          <t>My moms TNBC is metastasizing everywhere.</t>
        </is>
      </c>
      <c r="C7576" t="inlineStr">
        <is>
          <t>6 years controlling her TNBC through a mix of immunotherapy and chemotherapy and in the past three months it has spread to her brain, lungs, ribs and liver. 
While I am grateful she has had as much time as she has (my dad died of small cell lung cancer a week after diagnosis two years ago), I’m just so tired of the worrying and the sadness. I am hopeful she can hang on a while because she has some bucket list things planned that are very important to her and I am hopeful I can stop feeling sorry for myself and try to enjoy the time she has left.
The trauma of my dads unexpected death was acute and intense but my mom has been fighting for so long and it has just worn me down in a way that feels like it is robbing me of my life as well. 
How do you deal with your loved ones disease? How do you appreciate the time you have and not dread the next wave of bad news or seeing them suffer and scared. I really need some advice.</t>
        </is>
      </c>
      <c r="D7576" t="n">
        <v>1</v>
      </c>
      <c r="E7576" t="n">
        <v>2</v>
      </c>
      <c r="F7576">
        <f>HYPERLINK("https://www.reddit.com/r/cancer/comments/ezjtz1/my_moms_tnbc_is_metastasizing_everywhere/")</f>
        <v/>
      </c>
      <c r="G7576" t="inlineStr">
        <is>
          <t>2020-02-05 16:44:56</t>
        </is>
      </c>
      <c r="H7576" t="inlineStr"/>
    </row>
    <row r="7577">
      <c r="A7577" t="inlineStr">
        <is>
          <t>ezklr5</t>
        </is>
      </c>
      <c r="B7577" t="inlineStr">
        <is>
          <t>Is there any real hope for rare cancers?</t>
        </is>
      </c>
      <c r="C7577" t="inlineStr">
        <is>
          <t>I see so many stories of hope and recovery all over this thread and know that the prayers of so many have been answered. However, what about rare cancers?
I just finished reading the book "Hannah's Gift" which is the true story of a little girl that passed away from a Rhabdoid Tumor of the kidney (a rare childhood cancer) in the 1990s. I was dismayed to learn that there remains no standard of care for the condition even in 2020 and the survival rates are about the same.
I had an adult relative who passed away this summer from Nut Midline Carcinoma (a rare cancer of the head and neck that can affect any midline structure of the body). She was diagnosed and gone in less than a year. The prognosis for Nut Midline is 6-9 months and no standard of care has been developed for it either.
So with all the great advances that have been made in cancer research over the last 20 or so years, why does everyone think that rare cancers continue to defy medical science? And what can someone like me do about it? Where could I even donate as it appears that no one is really researching rare cancers much at all which makes it seem even more concerning.</t>
        </is>
      </c>
      <c r="D7577" t="n">
        <v>1</v>
      </c>
      <c r="E7577" t="n">
        <v>0</v>
      </c>
      <c r="F7577">
        <f>HYPERLINK("https://www.reddit.com/r/cancer/comments/ezklr5/is_there_any_real_hope_for_rare_cancers/")</f>
        <v/>
      </c>
      <c r="G7577" t="inlineStr">
        <is>
          <t>2020-02-05 17:41:34</t>
        </is>
      </c>
      <c r="H7577" t="inlineStr"/>
    </row>
    <row r="7578">
      <c r="A7578" t="inlineStr">
        <is>
          <t>ezletm</t>
        </is>
      </c>
      <c r="B7578" t="inlineStr">
        <is>
          <t>Officially 9 years cancer free! Still having heart rhythm monitored, but the cancer is gone!</t>
        </is>
      </c>
      <c r="C7578" t="inlineStr">
        <is>
          <t>https://www.thecompassnews.org/2011/02/family-says-visit-to-shrine-cured-boys-leukemia/
I am catholic, and will always be. But that doesn’t sway that I don’t have cancer anymore. I only remember parts of it, but it must be a good thing for that.</t>
        </is>
      </c>
      <c r="D7578" t="n">
        <v>1</v>
      </c>
      <c r="E7578" t="n">
        <v>2</v>
      </c>
      <c r="F7578">
        <f>HYPERLINK("https://www.reddit.com/r/cancer/comments/ezletm/officially_9_years_cancer_free_still_having_heart/")</f>
        <v/>
      </c>
      <c r="G7578" t="inlineStr">
        <is>
          <t>2020-02-05 18:41:10</t>
        </is>
      </c>
      <c r="H7578" t="inlineStr"/>
    </row>
    <row r="7579">
      <c r="A7579" t="inlineStr">
        <is>
          <t>ezm8og</t>
        </is>
      </c>
      <c r="B7579" t="inlineStr">
        <is>
          <t>One perspective on stopping treatment as a young person</t>
        </is>
      </c>
      <c r="C7579" t="inlineStr">
        <is>
          <t>I just finished the final season of the Good Place. And I really recommend it as a funny, light-hearted show that's wholly cynical and yet at the same time so optimistic about humanity. I really recommend it for that reason alone, but the final season also made me feel more accepting of my fate. Of my death. Because I'm terminal, and I've been terminal for over a year, and for the first time in my life I feel like I can accept that. And I want to talk about my choice to stop treatment. 
I am a young person. I was diagnosed at 23 and I was diagnosed late, I was stage four when they found it and their optimistic guess was ten more years with treatment. I tried some treatment, chemo before surgery, and the sort of chemo that didn't make my hair fall out so life could continue on like it had with little disturbance. But the chemo didn't work and my cancer was aggressive. And my doctor said that there was no right answer, only the answer that is right for you. 
I chose not to do the harsh chemo because I didn't want to suffer before I died. The probability of it actually working (extremely low chance) played into it but honestly I saw it as two choices; dying by the ocean, or dying on the mountain. No wrong answer and either way you're still choosing death. But you get to decide how you die. And I knew I didn't want to suffer with my hair gone and unable to have the good life I so previously enjoyed. I knew I'd hate it. I didn't see the point. 
It's been a year since I made that choice. And truthfully its been a good year. A few ups and downs with symptoms but meds have sorted it and I still live largely as I did when I was completely healthy. I travel, I see people, I mostly play a lot of video games and read and spend time with my family. It is actually a lot like the Good Place in a lot of ways, no real responsibilities. Summer holidays 24/7. And I think that I have made the right choice for me. But I still have mixed feelings sometimes. Because... who can be content with dying? I think we're doing a disservice when the only dying people we see in movies are either the old, who are sad to go but peaceful with their long life lived well, and the young who die in a dramatic act of self-sacrifice in some kind of war. I think the reality is a lot more complicated. I'm not sure if accepting death is always realistic for young people facing the end.
If I wasn't hurting my family, I could find peace with leaving. But I am, so it's hard, and I do feel guilt for not doing the whole rage against the dying light thing. But at the same time, I know I'd hate it, and I enjoy my time now, and while I can't dismiss my fear of death and I know I'll be sad and scared when the time eventually comes, I do think I'm making the right choice to stretch my 'good time' for as long as possible. The illness touches as little as my life as possible. I get as much as my good life as I can grab. My point is that, if you are a person who chooses to stop treatment, you might not be wholly content with your fate. But you have two choices laid out in front of you and you think you know which one you'd prefer. To tell the truth, I do still um and err over my decision on some late nights. Because I don't want to die. I want to find a way to not die. But I don't think that's in the cards for me. So I made my choice, and I chose to die after living like I'm in the Good Place for a little bit. 
I don't want this post to make anyone feel like they shouldn't be doing something if that something is what they feel is right for them. But I would like to open up a little about my choice, because I rarely see it talked about, and I would like to let people know that I don't think anyone stops being afraid of dying.</t>
        </is>
      </c>
      <c r="D7579" t="n">
        <v>1</v>
      </c>
      <c r="E7579" t="n">
        <v>29</v>
      </c>
      <c r="F7579">
        <f>HYPERLINK("https://www.reddit.com/r/cancer/comments/ezm8og/one_perspective_on_stopping_treatment_as_a_young/")</f>
        <v/>
      </c>
      <c r="G7579" t="inlineStr">
        <is>
          <t>2020-02-05 19:44:02</t>
        </is>
      </c>
      <c r="H7579" t="inlineStr"/>
    </row>
    <row r="7580">
      <c r="A7580" t="inlineStr">
        <is>
          <t>ezmt5y</t>
        </is>
      </c>
      <c r="B7580" t="inlineStr">
        <is>
          <t>Mom is in hospice, I am both scared and relieved</t>
        </is>
      </c>
      <c r="C7580" t="inlineStr">
        <is>
          <t>I know I have to stay, but I’m afraid to see the end. My dad went home for the evening - I don’t blame him, since we are both physically and emotionally exhausted. I’m in the same room as her but I am afraid to sleep, for fear she will be gone when I wake up. At the same time I feel more comfortable here. They care for her to a level where I feel like I don’t have to worry anymore. 
My life fell apart last year on October 22nd.  Mom was in the hospital and we were waiting for a diagnosis after a biopsy on the tumor they’d found in her chest the week before. My phone rang that morning and I feared it would be bad news from the hospital. Instead, it was my boss’s wife calling to tell me that he had died suddenly. He was only 53. I worked for a small investment fund - he was the sole partner, and there were only four of us - so I knew the deeper implication immediately: I would no longer have a job. Two hours later I met my mom’s oncologist at the hospital for her formal diagnosis: squamous cell carcinoma, stage four, terminal. All I remember is him asking if I was a doctor or nurse, since I had a lot of detailed questions and didn’t have any emotional reaction to the news. I was already in shock from earlier.
I spent the next three and a half months watching my mom decline. She said the timing with my boss was a blessing because I could spend so much time with her...I know she meant well, but it hurt so much. I feel like I have spent three and a half months mired in grief and I’m about to start the process all over again. I tentatively started interviewing again a few weeks ago, and she was so excited to hear what jobs I was looking at and how my interviews went. It was the one thing that really brightened her up. Two days ago, when she was last mostly lucid, I told her about the amazing job offer I’d just received to work in the investment office of a university endowment. She gave me the biggest smile I’d seen since she got sick, and I am so glad I got to really make her happy.
Her best friend came from out of town today. Mom roused slightly and gave her the faintest hint of a smile when she came in.  She hasn’t woken since, and I don’t think she will. I am so happy her friend got to see that little bit of a smile, and that mom is continuing to rest comfortably and seemingly with no pain. I’m still really scared and sad - I am an only child and she is my best friend. I am endlessly grateful for the hospice nurses that have hugged and comforted me, and for the sweet therapy dog they brought in for me to cuddle today.
Fuck cancer. Thanks for listening, everyone.</t>
        </is>
      </c>
      <c r="D7580" t="n">
        <v>1</v>
      </c>
      <c r="E7580" t="n">
        <v>7</v>
      </c>
      <c r="F7580">
        <f>HYPERLINK("https://www.reddit.com/r/cancer/comments/ezmt5y/mom_is_in_hospice_i_am_both_scared_and_relieved/")</f>
        <v/>
      </c>
      <c r="G7580" t="inlineStr">
        <is>
          <t>2020-02-05 20:29:28</t>
        </is>
      </c>
      <c r="H7580" t="inlineStr"/>
    </row>
    <row r="7581">
      <c r="A7581" t="inlineStr">
        <is>
          <t>ezotyo</t>
        </is>
      </c>
      <c r="B7581" t="inlineStr">
        <is>
          <t>I don’t feel strong anymore....</t>
        </is>
      </c>
      <c r="C7581" t="inlineStr">
        <is>
          <t>So for over a year now I’ve been dealing with my stage 3 breast cancer that may or may not be stage 4 due to spots in my lungs and something in my bones.In the beginning I felt so strong in the beginning going through this whole thing,my chemo,everything.But after I got my double mastectomy done last month I just feel so....defeated now.Mentally I’m weak now,I’m so tired of all the appointments and surgery’s that I have to keep doing.I just feel like I’m going to let my family down if they see how this is all affecting me now,I want to be strong for them and me but it’s taking it’s toll on me now and i just keep crying and get so depressed.I don’t feel like myself anymore.I just want to see if there’s anyone out there that experienced what I’m going through and how they got through it.I mean is this normal to feel this way?</t>
        </is>
      </c>
      <c r="D7581" t="n">
        <v>1</v>
      </c>
      <c r="E7581" t="n">
        <v>7</v>
      </c>
      <c r="F7581">
        <f>HYPERLINK("https://www.reddit.com/r/cancer/comments/ezotyo/i_dont_feel_strong_anymore/")</f>
        <v/>
      </c>
      <c r="G7581" t="inlineStr">
        <is>
          <t>2020-02-05 23:28:49</t>
        </is>
      </c>
      <c r="H7581" t="inlineStr"/>
    </row>
    <row r="7582">
      <c r="A7582" t="inlineStr">
        <is>
          <t>ezpbyr</t>
        </is>
      </c>
      <c r="B7582" t="inlineStr">
        <is>
          <t>Survived Non-Hodgkins lymphoma when I was 16. I just found out after having my appendix removed I have another non related type of cancer.</t>
        </is>
      </c>
      <c r="C7582" t="inlineStr">
        <is>
          <t>I would like to know about any others who have been re diagnosed with cancer after being in remission. Also I can't sleep, If anyone's got some recommendations on Netflix or Hulu etc. Distractions would be nice right now. I'm also here to talk or answer questions.</t>
        </is>
      </c>
      <c r="D7582" t="n">
        <v>1</v>
      </c>
      <c r="E7582" t="n">
        <v>4</v>
      </c>
      <c r="F7582">
        <f>HYPERLINK("https://www.reddit.com/r/cancer/comments/ezpbyr/survived_nonhodgkins_lymphoma_when_i_was_16_i/")</f>
        <v/>
      </c>
      <c r="G7582" t="inlineStr">
        <is>
          <t>2020-02-06 00:21:15</t>
        </is>
      </c>
      <c r="H7582" t="inlineStr"/>
    </row>
    <row r="7583">
      <c r="A7583" t="inlineStr">
        <is>
          <t>ezpnu2</t>
        </is>
      </c>
      <c r="B7583" t="inlineStr">
        <is>
          <t>Support group for caregivers?</t>
        </is>
      </c>
      <c r="C7583" t="inlineStr">
        <is>
          <t>I don't have cancer. I've been caring for my father for almost two years. He is now palliative. Not sure if I'm in the right subreddit. Thank you.</t>
        </is>
      </c>
      <c r="D7583" t="n">
        <v>1</v>
      </c>
      <c r="E7583" t="n">
        <v>5</v>
      </c>
      <c r="F7583">
        <f>HYPERLINK("https://www.reddit.com/r/cancer/comments/ezpnu2/support_group_for_caregivers/")</f>
        <v/>
      </c>
      <c r="G7583" t="inlineStr">
        <is>
          <t>2020-02-06 00:58:02</t>
        </is>
      </c>
      <c r="H7583" t="inlineStr"/>
    </row>
    <row r="7584">
      <c r="A7584" t="inlineStr">
        <is>
          <t>ezqkhh</t>
        </is>
      </c>
      <c r="B7584" t="inlineStr">
        <is>
          <t>What are the chances the cancer has spread?</t>
        </is>
      </c>
      <c r="C7584" t="inlineStr">
        <is>
          <t>I’m 32 M. Few weeks ago they incidentally  found mass on my right kidney while I was getting a CT scan for another condition. Mass is 4.5cm and almost certainly cancer (Bosniak IV). I’m going to surgery soon.
They also did  CT scan of my chest which to their surprise showed several small non-specific nodules with the largest one being less than 4mm. Too small to biopsy or do anything with them. Doctors will be monitoring it over time and have advised that these are not of concern at this stage. I’m not a smoker and have never been. 
Still this has me scared shitless wondering if this is the cancer of kidney that’s spread. All other organs are clear including lymph nodes and the other kidney. 
My question is what are the statistical chances that it’s the kidney cancer that’s spread? How common would it be for a medium sized kidney tumour to spread at this stage? Feel like I’m stuck between Stage 1 cancer or Stage 4 both of which are both ends of spectrum. How worried should I be.</t>
        </is>
      </c>
      <c r="D7584" t="n">
        <v>1</v>
      </c>
      <c r="E7584" t="n">
        <v>14</v>
      </c>
      <c r="F7584">
        <f>HYPERLINK("https://www.reddit.com/r/cancer/comments/ezqkhh/what_are_the_chances_the_cancer_has_spread/")</f>
        <v/>
      </c>
      <c r="G7584" t="inlineStr">
        <is>
          <t>2020-02-06 02:34:43</t>
        </is>
      </c>
      <c r="H7584" t="inlineStr"/>
    </row>
    <row r="7585">
      <c r="A7585" t="inlineStr">
        <is>
          <t>ezreh3</t>
        </is>
      </c>
      <c r="B7585" t="inlineStr">
        <is>
          <t>TW: How my dad spent his final days, and the decisions I would change / things I wish people had told me.</t>
        </is>
      </c>
      <c r="C7585" t="inlineStr">
        <is>
          <t>My Superman passed away from Pancreatic cancer March 2019, and it hurts every single day. 
I have spent A LOT of time replaying everything over in my head, and torturing myself over things I wish I could change, that I simply can’t. So I thought I would share my experiences with anyone who wants an insight into what’s to come, what I did and what I would do differently in the hopes it helps even just one of you guys take a tiny bit of the sting out of a truly evil situation.
I’m going to focus on the final parts of my journey, but please, if you have any questions about any part of my experience, my messages are open. Also we live in the UK, so I’m not sure how similar the palliative care offered is to other countries. If you are going through this now and are worried this will cause you more fear of what’s to come, please message me and I will answer anything I can in as nicer way as possible for you. 
So Dad had Pancreatic Cancer that after a long fight, spread to his liver. 
We took him into hospital because he was experiencing intense pain in his abdomen. Although it wasn’t confirmed, I’m pretty sure his Bile Duct had ruptured. They wanted to operate but when they looked, they saw that the cancer had spread to the Liver and any surgical intervention would have caused more damage then good. 
He went into our local hospice and had a syringe driver fitted. They told us he had a few weeks left. 
When we had first discussed end of life care a few weeks previous to this, they had mentioned going into a hospice. Dad didn’t want to die at home because he didn’t want the family home to be a reminder of his final battle, and inevitable defeat. This hurt me. The thought of him dying somewhere he wasn’t familiar with, surrounded by staff he didn’t know terrified me. I wanted him to go surrounded by the abundance of love my family and I had for him. This, in my opinion I think was my first mistake, and I’ll come back to as to why shortly. 
So we eventually took him home where he slowly deteriorated over a period of about two months. He was a warrior through and through, and went on to defy every doctors opinion in regard to the time he had left. He had nurses come and change his driver daily, and top up the morphine as and when required... I think every other day or so. This is when he started to get forgetful and confused. We laughed with him at what we could to ease the pain of the situation, like him trying to shave with the TV remote. 
Dad was an ostrich. He had buried his head in the sand his whole life when difficult situations required an emotional approach to resolve. He wasn’t good at that, and this is where my biggest regret is. A few days before he died when he was still fairly coherent, I’d been to see him after work like I did every day. When I was about to leave because, I leant over to give him a hug, but this time I held on instead of leaving straight away. I think I hugged him for about 3 seconds when he asked me to stop because it was upsetting him. And I did, because the last thing I wanted to do was upset a dying man. In retrospect I wish I hadn’t. That was the last ever reciprocated cuddle I had with my Daddy. I wish so hard, every day that I had told him that it was ok to be sad and scared, but that I was there with him every step of the way. I wish I had said, “I know you are scared and don’t want to acknowledge what’s happening, but I’m your little boy, I’m scared to lose my dad and although I don’t want to upset you, you aren’t going to be here to cuddle me when I really need it when you’re gone, so please can we just cuddle and cry today, and go back to ignoring it tomorrow?”
This is obviously a very tricky situation because your instinct is to protect your dying loved ones as much as possible, but as I said, they won’t be here to help when you’re grieving for them. Gauge the time/situation as best you can and push for that hug as sensitively as you can. You don’t want to regret not doing so, trust me. 
A couple of days later he went down hill fast. He lost his ability to talk and move. This was hard. Hard to see him this way, but also hard to care for. We had been given the option to have nurses with us full time, but my mum and I wanted to keep him as comfortable as possible, and to us that meant keeping strangers away as much as possible. The night before he died we had to try and move him so that he could be washed and toilet etc. I was terrified. He was so frail and the last thing I wanted to do was hurt him and then have to wait for a doctor to come out and give him more pain relief. It wasn’t until a few weeks after he passed away that I began to regret not accepting the extra nurses, or at least discussing him going into the hospice for his end of life care. The round the clock nurses and equipment available to help people in his condition would have made this part so much more bearable for both him and my family. And they look after you too! They let you stay as much as you want to, set up a bed for you to sleep in and keep you updated every step of the way. 
The night he died will stay with me forever. We had finally made him comfortable thanks to my amazing Sister and Auntie who work I’m elderly care. Without them the entire timeline of his final days would have been even more unbearable and impossible, and I think I’d have much harsher regrets / opinions of myself now. 
This next part is fairly graphic I think, but I wish someone had been able to tell me what was going to happen. I think nurses and doctors tried but everything was sugar coated. 
I went to bed because I’d been up with him for about 48 hours and I was exhausted. My sister came to get me when his breathing changed. I can’t tell you exactly how it changed but I think it became very soft and barely noticeable. I sat next to him and my mum told him I was there. He passed away roughly 10 seconds after. I had no idea it would be that quick and still I hate myself for going to bed instead of spending every single second possible with him while he was still here. When they say to be with them because it’s imminent, in my opinion, do it. Don’t leave unless you absolutely have to. That 10 seconds was nowhere near enough time to say goodbye to my hero. I don’t think any amount of time is enough, but 10 seconds was heartbreaking. 
The passing itself was peaceful. He literally just stopped breathing and passed. But very soon after the body relaxes and fluids are released. The entire thing is a bit of a blur still and I think always will be, but I’m pretty sure we needed to wash him within a minute or so of him passing. The smell was horrendous. It will live with me forever, and again, had he been in a hospice, we wouldn’t have had to deal with that. 
When we rolled him onto his side, the contents of his stomach leaked from his mouth and onto the bed, as well as some blood from his nose. This really affected me.... I’m not sure why because logically it’s fairly obvious that this would happen, but it just wasn’t something I was prepared for, and I wish someone had given me the heads up. I think people are too scared to talk about this sort of stuff when your face to face with losing someone you love, but for me I wish I would have been warned. 
In the UK, you have to ring to get a Doctor to come out to you and confirm that the person is deceased. They were very good on the phone but it took them a good hour to get to us. And hour where I had to sit next to my dads body. I didn’t want to be there, looking at him, but I didn’t want to leave him cold and on his own. I was still very protective of him. 
The doctor arrived and checked for a heart beat and pulse. Once he confirmed that he had passed away, he gave us some paperwork and left. Then we had to ring the funeral home to come and collect him. Luckily we lived a couple of minutes from our chosen home, so we didn’t have to wait long for him to be picked up. But they took him away in a black body bag which was awful to watch. My advice here would be to say your goodbyes and not watch this part. It breaks whatever part of your heart is left in tact. 
Another thing that I wasn’t told is how fast the body will go cold. I think I leant in to kiss dad a few minutes after he had passed, and he was already stone cold which again just added to the heartbreak. 
I’m sorry if this last few pieces read as though they are rushed, but this has been very difficult to write. 
I am also sorry if you are going though this and are now even more scared of what is to come, but as I have said more than once, I wish I had known these things beforehand. 
My own personal views and summary of advice to take away from this....
Spend as much time as you can with your loved one as possible. Cherish the small things like how it feels to hold their warm hand, or kiss them on the forehead. 
If they are resistant to acknowledging what is about to happen, gauge the situation, time, place and surroundings and sensitively ask them for what you need to cope when they are gone. That last long hug. The apology you have never made for something that may be long forgotten but you know you don’t want to live with not making.
Accept help where you can. The strangers very quickly become friends in these situations and make everything more bearable. They also help to shield you from things you may not want to experience and will do anything to help you if they can. They’re not just there for the patient. 
Finally, I send so much love to anyone going through this. Whether you’re waiting on a diagnosis, going through treatment, waiting for the worst to happen or grieving for someone you have lost. So much love ❤️ you are not alone and I am more than happy to talk if you want to.</t>
        </is>
      </c>
      <c r="D7585" t="n">
        <v>1</v>
      </c>
      <c r="E7585" t="n">
        <v>28</v>
      </c>
      <c r="F7585">
        <f>HYPERLINK("https://www.reddit.com/r/cancer/comments/ezreh3/tw_how_my_dad_spent_his_final_days_and_the/")</f>
        <v/>
      </c>
      <c r="G7585" t="inlineStr">
        <is>
          <t>2020-02-06 04:04:25</t>
        </is>
      </c>
      <c r="H7585" t="inlineStr"/>
    </row>
    <row r="7586">
      <c r="A7586" t="inlineStr">
        <is>
          <t>ezt3ea</t>
        </is>
      </c>
      <c r="B7586" t="inlineStr">
        <is>
          <t>Biopsy waiting : doctor should get sued</t>
        </is>
      </c>
      <c r="C7586" t="inlineStr">
        <is>
          <t>Sometimes people wait several weeks to know if their lump is a cancer  or not
This waiting time is just horrific
Pathologist should get sued for that</t>
        </is>
      </c>
      <c r="D7586" t="n">
        <v>1</v>
      </c>
      <c r="E7586" t="n">
        <v>6</v>
      </c>
      <c r="F7586">
        <f>HYPERLINK("https://www.reddit.com/r/cancer/comments/ezt3ea/biopsy_waiting_doctor_should_get_sued/")</f>
        <v/>
      </c>
      <c r="G7586" t="inlineStr">
        <is>
          <t>2020-02-06 06:27:54</t>
        </is>
      </c>
      <c r="H7586" t="inlineStr"/>
    </row>
    <row r="7587">
      <c r="A7587" t="inlineStr">
        <is>
          <t>ezu97e</t>
        </is>
      </c>
      <c r="B7587" t="inlineStr">
        <is>
          <t>Looking for immunotherapy/clinical trials for a friend with stage 4 colon cancer</t>
        </is>
      </c>
      <c r="C7587" t="inlineStr">
        <is>
          <t>I became friends with an unfortunate guy in his 30s with colon cancer in the ward, he has done 50+ chemo rounds, sadly immunotherapy isn't an option in our country ( Algeria ), as it's his last option since chemo is barely working.
The guy only speaks our native language afaik, so I'm doing the work for him. I'm looking for any clinical trials / immunotherapy in Europe/middle East/turkey, preferably not expensive options.</t>
        </is>
      </c>
      <c r="D7587" t="n">
        <v>1</v>
      </c>
      <c r="E7587" t="n">
        <v>6</v>
      </c>
      <c r="F7587">
        <f>HYPERLINK("https://www.reddit.com/r/cancer/comments/ezu97e/looking_for_immunotherapyclinical_trials_for_a/")</f>
        <v/>
      </c>
      <c r="G7587" t="inlineStr">
        <is>
          <t>2020-02-06 07:54:04</t>
        </is>
      </c>
      <c r="H7587" t="inlineStr"/>
    </row>
    <row r="7588">
      <c r="A7588" t="inlineStr">
        <is>
          <t>ezuciv</t>
        </is>
      </c>
      <c r="B7588" t="inlineStr">
        <is>
          <t>Is Rush Limbaugh's prognosis that grim?</t>
        </is>
      </c>
      <c r="C7588" t="inlineStr">
        <is>
          <t>I read that 5-year survival rates for lung cancer is under 10%.</t>
        </is>
      </c>
      <c r="D7588" t="n">
        <v>1</v>
      </c>
      <c r="E7588" t="n">
        <v>7</v>
      </c>
      <c r="F7588">
        <f>HYPERLINK("https://www.reddit.com/r/cancer/comments/ezuciv/is_rush_limbaughs_prognosis_that_grim/")</f>
        <v/>
      </c>
      <c r="G7588" t="inlineStr">
        <is>
          <t>2020-02-06 08:00:45</t>
        </is>
      </c>
      <c r="H7588" t="inlineStr"/>
    </row>
    <row r="7589">
      <c r="A7589" t="inlineStr">
        <is>
          <t>ezujap</t>
        </is>
      </c>
      <c r="B7589" t="inlineStr">
        <is>
          <t>Friend has cancer but is hiding it: what to do?</t>
        </is>
      </c>
      <c r="C7589" t="inlineStr">
        <is>
          <t>Hi all,
I found out by accident that one of my friends has cancer. His partner mentioned chemo in passing and I could see she was horrified when she did.
What is the right course of action? Do I offer my support? Or do I stay silent and wait until he’s ready? I want to help, but I also don’t want to force myself upon them if they prefer to tackle this privately.</t>
        </is>
      </c>
      <c r="D7589" t="n">
        <v>1</v>
      </c>
      <c r="E7589" t="n">
        <v>4</v>
      </c>
      <c r="F7589">
        <f>HYPERLINK("https://www.reddit.com/r/cancer/comments/ezujap/friend_has_cancer_but_is_hiding_it_what_to_do/")</f>
        <v/>
      </c>
      <c r="G7589" t="inlineStr">
        <is>
          <t>2020-02-06 08:13:14</t>
        </is>
      </c>
      <c r="H7589" t="inlineStr"/>
    </row>
    <row r="7590">
      <c r="A7590" t="inlineStr">
        <is>
          <t>ezuz72</t>
        </is>
      </c>
      <c r="B7590" t="inlineStr">
        <is>
          <t>Hard times - bone marrow transplant</t>
        </is>
      </c>
      <c r="C7590" t="inlineStr">
        <is>
          <t>Thank God, my last pet scan was very positive so I'm currently doing a crazy week of chemo and then autologous bone marrow transplant to hopefully just utterly destroy anything that may be left (isolation for about a month in the hospital). The transplant was last week so these are the most difficult days before my levels hopefully start to rise. And today I had a thought.
If I'm going through this, which is terrible, I feel so bad for people that need to get the transplant from a donor. Like this sucks, how could it be even worse. So if that's you just know I'm thinking about you and hope you hey well super soon.</t>
        </is>
      </c>
      <c r="D7590" t="n">
        <v>1</v>
      </c>
      <c r="E7590" t="n">
        <v>11</v>
      </c>
      <c r="F7590">
        <f>HYPERLINK("https://www.reddit.com/r/cancer/comments/ezuz72/hard_times_bone_marrow_transplant/")</f>
        <v/>
      </c>
      <c r="G7590" t="inlineStr">
        <is>
          <t>2020-02-06 08:43:32</t>
        </is>
      </c>
      <c r="H7590" t="inlineStr"/>
    </row>
    <row r="7591">
      <c r="A7591" t="inlineStr">
        <is>
          <t>ezv92e</t>
        </is>
      </c>
      <c r="B7591" t="inlineStr">
        <is>
          <t>Please pray for my mom</t>
        </is>
      </c>
      <c r="C7591" t="inlineStr">
        <is>
          <t>I unfortunately just found out my mom has breast cancer (stage 3) her health has already been on a declining due to her diabetes and multiple sclerosis this is truly the last thing I was expecting to hear today 😢 I'm beyond devasted I don't wanna lose my mom !</t>
        </is>
      </c>
      <c r="D7591" t="n">
        <v>1</v>
      </c>
      <c r="E7591" t="n">
        <v>25</v>
      </c>
      <c r="F7591">
        <f>HYPERLINK("https://www.reddit.com/r/cancer/comments/ezv92e/please_pray_for_my_mom/")</f>
        <v/>
      </c>
      <c r="G7591" t="inlineStr">
        <is>
          <t>2020-02-06 09:02:12</t>
        </is>
      </c>
      <c r="H7591" t="inlineStr"/>
    </row>
    <row r="7592">
      <c r="A7592" t="inlineStr">
        <is>
          <t>ezx3ci</t>
        </is>
      </c>
      <c r="B7592" t="inlineStr">
        <is>
          <t>Powerless</t>
        </is>
      </c>
      <c r="C7592" t="inlineStr">
        <is>
          <t>I'm sat in the hospital right now watching my husband coughing up blood and struggling for air. He was diagnosed with stage 4 lung cancer October 2018.
I'm terrified and so fucking sad. He is only 47. We had our life planned.  I'm praying for a miracle, I just want to take him home. I'm crying and he is trying to comfort me.</t>
        </is>
      </c>
      <c r="D7592" t="n">
        <v>1</v>
      </c>
      <c r="E7592" t="n">
        <v>14</v>
      </c>
      <c r="F7592">
        <f>HYPERLINK("https://www.reddit.com/r/cancer/comments/ezx3ci/powerless/")</f>
        <v/>
      </c>
      <c r="G7592" t="inlineStr">
        <is>
          <t>2020-02-06 11:02:56</t>
        </is>
      </c>
      <c r="H7592" t="inlineStr"/>
    </row>
    <row r="7593">
      <c r="A7593" t="inlineStr">
        <is>
          <t>ezxb56</t>
        </is>
      </c>
      <c r="B7593" t="inlineStr">
        <is>
          <t>Ensure pre and post op drinks</t>
        </is>
      </c>
      <c r="C7593" t="inlineStr">
        <is>
          <t>Found out my partner had cancer (kidney since this is a food question) last week, surgery scheduled next week. We have been hearing different and confusing diet requirements and working really hard to clarify since we’re less than a week out. Found out about Ensure at pre-op meeting (which he will get at the hospital) but came home to research and found out about there’s a shake for 5-7 days pre-surgery. Yes I have a call into his urologist to clarify when to start clear liquid diet (hospital said after; surgeon had day before). And will ask about Ensure shakes pre and post. But do any of you have more hands on info vs my first brief drive by with it 6 hours ago?</t>
        </is>
      </c>
      <c r="D7593" t="n">
        <v>1</v>
      </c>
      <c r="E7593" t="n">
        <v>0</v>
      </c>
      <c r="F7593">
        <f>HYPERLINK("https://www.reddit.com/r/cancer/comments/ezxb56/ensure_pre_and_post_op_drinks/")</f>
        <v/>
      </c>
      <c r="G7593" t="inlineStr">
        <is>
          <t>2020-02-06 11:16:59</t>
        </is>
      </c>
      <c r="H7593" t="inlineStr"/>
    </row>
    <row r="7594">
      <c r="A7594" t="inlineStr">
        <is>
          <t>ezy9uh</t>
        </is>
      </c>
      <c r="B7594" t="inlineStr">
        <is>
          <t>How do someone tell their family that cancer has probably returned?</t>
        </is>
      </c>
      <c r="C7594" t="inlineStr">
        <is>
          <t>These past few weeks have been awful. I started losing weight and still is. Last week I found 2 swollen lymph node on my neck and I'm almost sure the cancer is back. I can't stop myself touching the lymp nodes, and I don't know if it's just my paranoia, but I feel like they're getting bigger everyday. 
I just hope it's a fluke and nothing else, but weight loss was one of my symptoms during my diagnosis and I had a swollen lymph node. I have an appointment with my doctor early in the morning. Dont think I will get any sleep tonight. 
I haven't spoke to anyone. Not my family or friends. I didn't want to cause unnecessary stress and worrisome. But man....my anxiety and depression is eating me inside. First time I was diagnosed, my family was with me from the beginning to the end. However, I have no idea how I'm going to deliver the news to them. How do someone look their mother in the eye and deliver a heartbreaking news? 
I seriously have no idea how I'm going to handle this...</t>
        </is>
      </c>
      <c r="D7594" t="n">
        <v>1</v>
      </c>
      <c r="E7594" t="n">
        <v>2</v>
      </c>
      <c r="F7594">
        <f>HYPERLINK("https://www.reddit.com/r/cancer/comments/ezy9uh/how_do_someone_tell_their_family_that_cancer_has/")</f>
        <v/>
      </c>
      <c r="G7594" t="inlineStr">
        <is>
          <t>2020-02-06 12:16:28</t>
        </is>
      </c>
      <c r="H7594" t="inlineStr"/>
    </row>
    <row r="7595">
      <c r="A7595" t="inlineStr">
        <is>
          <t>ezz1l2</t>
        </is>
      </c>
      <c r="B7595" t="inlineStr">
        <is>
          <t>ICE and stem cell transplant for refractory Hodgkin's, what should we expect?</t>
        </is>
      </c>
      <c r="C7595" t="inlineStr">
        <is>
          <t>Just a bit of a background, my wife was diagnosed with Stage 4 Hodgkin's Lymphoma back in July of '19. After 6 cycles of A+AVD chemotherapy she found out that she her lymphoma is refractory and she will need a salvage treatment.  We have an appointment coming up next week to go over treatment options, but for now we know that they're recommending the ICE regimen of chemotherapy and an auto stem cell transplant so long as she is eligible.
Is there anyone on this sub who has been through both ICE and a stem cell transplant together? I can read about both ICE and transplants separately all over the internet, I just can't seem to find any information on how the treatment will go for her receiving both. 
Thanks for any experiences or advice people can give.</t>
        </is>
      </c>
      <c r="D7595" t="n">
        <v>1</v>
      </c>
      <c r="E7595" t="n">
        <v>0</v>
      </c>
      <c r="F7595">
        <f>HYPERLINK("https://www.reddit.com/r/cancer/comments/ezz1l2/ice_and_stem_cell_transplant_for_refractory/")</f>
        <v/>
      </c>
      <c r="G7595" t="inlineStr">
        <is>
          <t>2020-02-06 13:03:19</t>
        </is>
      </c>
      <c r="H7595" t="inlineStr"/>
    </row>
    <row r="7596">
      <c r="A7596" t="inlineStr">
        <is>
          <t>ezzgxz</t>
        </is>
      </c>
      <c r="B7596" t="inlineStr">
        <is>
          <t>Just finished first day of chemo cisplatin and doxorubicin-any tips</t>
        </is>
      </c>
      <c r="C7596" t="inlineStr">
        <is>
          <t>I’m having 8 cycles but 4 with this and 4 gemox. Today I was fine for 4 hours and then I started throwing up loads, must’ve been like 30/40 times, the anti sickness drugs I’m on now seem to be working but had anyone got any tips to help me with the vomiting?</t>
        </is>
      </c>
      <c r="D7596" t="n">
        <v>1</v>
      </c>
      <c r="E7596" t="n">
        <v>6</v>
      </c>
      <c r="F7596">
        <f>HYPERLINK("https://www.reddit.com/r/cancer/comments/ezzgxz/just_finished_first_day_of_chemo_cisplatin_and/")</f>
        <v/>
      </c>
      <c r="G7596" t="inlineStr">
        <is>
          <t>2020-02-06 13:29:10</t>
        </is>
      </c>
      <c r="H7596" t="inlineStr"/>
    </row>
    <row r="7597">
      <c r="A7597" t="inlineStr">
        <is>
          <t>f003q6</t>
        </is>
      </c>
      <c r="B7597" t="inlineStr">
        <is>
          <t>Dad surgery is happening next week, I’m not ready</t>
        </is>
      </c>
      <c r="C7597" t="inlineStr">
        <is>
          <t>I feel like I’m live in a shell right now, no one really to talk to about how stressful this all is for more.
I’ve lost a lot of family in the last few years and our family is now composed of 3 people. My father, brother and me.
In September 2019, my dad start having issues eating. So he went to the doctor, it was found that he has esophagus cancer, we caught it early as early as we could. Chemo/radiation went well, the tumor shrunk and operation got put on the table. 
So far, the treatment couldn't be go going better, my dad's quality of life has suffered a little bit but nothing that prevents him from being his usual self. I have BPD, I've been through lots of therapy and manage my symptoms quite well. Lately I can't shake the fear of abandonment though, I pray all the time even though I'm not religious that I won't become an orphan. 
The surgeon is confident, he's done it before and is prepared for the best and the worst. He said, there is going to be a 50/50 chance. I can't handle these odds, I'm just as likely to be an orphan as much as its likely my dad will survive.
Mid 2019 my grandfather got diagnosed with throat and lung cancer, it was a short battle and he passed peacefully. My dad took this as an opportunity to re-do his will and set my brother and I to take over his assets pretty seamlessly, he wanted this as he knew when my mother passed her estate put my life on hold for almost 4 years. 
During the process of my grandfathers estate my brother showed my dad how unwilling he would be to co-operate, and made some of the proceedings difficult. My dad then changed the tune of who was going to have control over his estate. My brother still has a 50% holding in the will, but I will be the executor due to his behaviour. 
I live 2000km away from my dad and brother, we don't have the best relations and I moved on with my life after I settled my moms estate. I will be flying down before the surgery where my dad wants to review his paperwork with me and make sure I know everything just in case. 
I'm very sad and distressed, my dad is putting me in the position to help him plan for his death. I understand his wishes, it doesn't make it easier though. I am dreading everything, I leave on Saturday and I just wish time would stop. The surgery is mid next week and I really want to run away from it all but know I need to be ready to make decisions if my father doesn't wake up or if there are complications. 
Even though relations haven't been good, I don't want to lose my dad. I don't want to plan for his death and get all his wishes in order, He has done a lot in the last 3 months to 'balance the scale' between my brother and I. It makes me feel like he is expecting to die.
I know the saying of 'No one expects to bury their children'. Well.. I never expected that I may be burying both my parents before the age of 26. There is so much more in life that I want to share with my parents, I'm not ready for the surgery.</t>
        </is>
      </c>
      <c r="D7597" t="n">
        <v>1</v>
      </c>
      <c r="E7597" t="n">
        <v>0</v>
      </c>
      <c r="F7597">
        <f>HYPERLINK("https://www.reddit.com/r/cancer/comments/f003q6/dad_surgery_is_happening_next_week_im_not_ready/")</f>
        <v/>
      </c>
      <c r="G7597" t="inlineStr">
        <is>
          <t>2020-02-06 14:10:20</t>
        </is>
      </c>
      <c r="H7597" t="inlineStr"/>
    </row>
    <row r="7598">
      <c r="A7598" t="inlineStr">
        <is>
          <t>f006pt</t>
        </is>
      </c>
      <c r="B7598" t="inlineStr">
        <is>
          <t>Grandpa, a poem for you.</t>
        </is>
      </c>
      <c r="C7598" t="inlineStr">
        <is>
          <t>Here is a poem I wrote for my grandpa. Please feel free to critique it. I want to perfect it before I speak at his funeral. 
Grandpa, in my heart now is where I carry you
At once it was full, now not so much so
Just like the sky, it is blue
The days seem to drag on
The sun no longer shines as bright
Life feels so different now that you are gone
I long to hear your laugh and to see your beautiful smile
I miss the way you danced, I miss the way you sang
I know this pain will subside, but not for a while
Though I miss you now, I will see you again when the time is right
This goodbye is not for forever
When I join you, I promise we’ll dance ‘til say turns to night
May God someday grant me life with you forever
Where there is no pain or sorrow
This is where I long to be, where love ceases to never
I will carry on living this life without you it seems
I will miss you now and for forever grandpa
Don’t forget to visit me in my dreams</t>
        </is>
      </c>
      <c r="D7598" t="n">
        <v>1</v>
      </c>
      <c r="E7598" t="n">
        <v>0</v>
      </c>
      <c r="F7598">
        <f>HYPERLINK("https://www.reddit.com/r/cancer/comments/f006pt/grandpa_a_poem_for_you/")</f>
        <v/>
      </c>
      <c r="G7598" t="inlineStr">
        <is>
          <t>2020-02-06 14:15:58</t>
        </is>
      </c>
      <c r="H7598" t="inlineStr"/>
    </row>
    <row r="7599">
      <c r="A7599" t="inlineStr">
        <is>
          <t>f00h0t</t>
        </is>
      </c>
      <c r="B7599" t="inlineStr">
        <is>
          <t>Recommending mental help</t>
        </is>
      </c>
      <c r="C7599" t="inlineStr">
        <is>
          <t>Hi all, I am not sure if our country is advanced enough that we have resources for dealing with cancer patient's mental health. I would think not. 
However, I would like to ask if it is generally recommended to recommend and seek mental help for the family members and not just those afflicted. 
I have an aunt who is diagnosed with stage 4 cervical cancer whose husband was a stage 4 liver cancer only less than 2 years ago. 
This has affected us and esp. my mom to a point that her health is at risk. We can only manage her as she is a natural caregiver. She is dealing with her own health issues as well, as we all are.  
I would want to seek help as well and some wisdom on how to understand cancer. I dread it. I lose sleep over it. I read articles on the internet about it and I struggle and question my faith.  
Suggestions on what book to read or something that might help will be greatly appreciated.</t>
        </is>
      </c>
      <c r="D7599" t="n">
        <v>1</v>
      </c>
      <c r="E7599" t="n">
        <v>6</v>
      </c>
      <c r="F7599">
        <f>HYPERLINK("https://www.reddit.com/r/cancer/comments/f00h0t/recommending_mental_help/")</f>
        <v/>
      </c>
      <c r="G7599" t="inlineStr">
        <is>
          <t>2020-02-06 14:35:07</t>
        </is>
      </c>
      <c r="H7599" t="inlineStr"/>
    </row>
    <row r="7600">
      <c r="A7600" t="inlineStr">
        <is>
          <t>f00k9j</t>
        </is>
      </c>
      <c r="B7600" t="inlineStr">
        <is>
          <t>How long before being diagnosed?</t>
        </is>
      </c>
      <c r="C7600" t="inlineStr">
        <is>
          <t xml:space="preserve"> A little insight; I live in the USA and my grandfather is currently 74. At a doctors appointment last week, they saw a shadow on his bladder. Without doing a biopsy, (I’ll get to that in a minute) his doctor told him he’s almost positive it’s cancer. Now, obviously you need to get testing done to know for sure right? Guess when his surgery for a biopsy is? The end of February. Is that normal? Couldn’t the cancer grow by then? 
I can’t even imagine losing my grandfather.. he’s been the only father figure in my entire life. I can already see it taking a toll on him. He fall asleep in his recliner all the time, doesn’t eat as much, and is just depressed. I’m not really sure what the point of this post is other than to be mad at the health care in the USA. I feel like they’re cheating him out of the rest of his life. Maybe I’m just being selfish because he’s supposed to walk me down the aisle when I get married. I don’t know. Anyways, thanks for reading and letting me vent. I feel like I can’t talk about it with anyone, especially family, because we have to “stay positive” for my grandpa, but that’s really hard considering the way I feel.</t>
        </is>
      </c>
      <c r="D7600" t="n">
        <v>1</v>
      </c>
      <c r="E7600" t="n">
        <v>8</v>
      </c>
      <c r="F7600">
        <f>HYPERLINK("https://www.reddit.com/r/cancer/comments/f00k9j/how_long_before_being_diagnosed/")</f>
        <v/>
      </c>
      <c r="G7600" t="inlineStr">
        <is>
          <t>2020-02-06 14:41:19</t>
        </is>
      </c>
      <c r="H7600" t="inlineStr"/>
    </row>
    <row r="7601">
      <c r="A7601" t="inlineStr">
        <is>
          <t>f01o61</t>
        </is>
      </c>
      <c r="B7601" t="inlineStr">
        <is>
          <t>My mom and I both had cancer</t>
        </is>
      </c>
      <c r="C7601" t="inlineStr">
        <is>
          <t>Hey guys!
I’m 14 years old and I was diagnosed with Neuroblastoma 4S when I was 1 year old. I was cancer free at 3 years old and I’m healthy now. My mom was diagnosed with breast cancer about 5 years ago. She too is healthy now. I want to know if this is some genetic thing where the mother and the child both get cancer, or if it’s just really bad luck.
Thanks!</t>
        </is>
      </c>
      <c r="D7601" t="n">
        <v>1</v>
      </c>
      <c r="E7601" t="n">
        <v>7</v>
      </c>
      <c r="F7601">
        <f>HYPERLINK("https://www.reddit.com/r/cancer/comments/f01o61/my_mom_and_i_both_had_cancer/")</f>
        <v/>
      </c>
      <c r="G7601" t="inlineStr">
        <is>
          <t>2020-02-06 15:56:31</t>
        </is>
      </c>
      <c r="H7601" t="inlineStr"/>
    </row>
    <row r="7602">
      <c r="A7602" t="inlineStr">
        <is>
          <t>f033aw</t>
        </is>
      </c>
      <c r="B7602" t="inlineStr">
        <is>
          <t>I think I have cancer?</t>
        </is>
      </c>
      <c r="C7602" t="inlineStr">
        <is>
          <t>So about 4 months ago I lost a ton of weight like 40 pounds in 2 weeks and I suspect it to muscle that was lost because I weight 130 but I look 170 in clothes buy i have very skinny arms and legs but still have a good amount of pudge left. I also notice that i am a lot weaker than before. I've also got gastritis and gerd. Please help me!</t>
        </is>
      </c>
      <c r="D7602" t="n">
        <v>1</v>
      </c>
      <c r="E7602" t="n">
        <v>12</v>
      </c>
      <c r="F7602">
        <f>HYPERLINK("https://www.reddit.com/r/cancer/comments/f033aw/i_think_i_have_cancer/")</f>
        <v/>
      </c>
      <c r="G7602" t="inlineStr">
        <is>
          <t>2020-02-06 17:40:51</t>
        </is>
      </c>
      <c r="H7602" t="inlineStr"/>
    </row>
    <row r="7603">
      <c r="A7603" t="inlineStr">
        <is>
          <t>f035f4</t>
        </is>
      </c>
      <c r="B7603" t="inlineStr">
        <is>
          <t>Cancer Research Charity Stream</t>
        </is>
      </c>
      <c r="C7603" t="inlineStr">
        <is>
          <t>Hey guys I know this is my first post but just wanted to let you guys know that from Feb 7th at 8pm GMT until 8th at 8pm I'm gonna be streaming a full 24hours for Cancer Research to raise money. I would love it if you guys would stop by to show your support! Thank you so much for your time and I hope you have a wonderful day ❤️
[Cancer Research Donation page ](https://fundraise.cancerresearchuk.org/page/kalvin-takes-on-the-game-changer-challenge-1)
[My twitch](http://www.twitch.tv/kevysplays)</t>
        </is>
      </c>
      <c r="D7603" t="n">
        <v>1</v>
      </c>
      <c r="E7603" t="n">
        <v>0</v>
      </c>
      <c r="F7603">
        <f>HYPERLINK("https://www.reddit.com/r/cancer/comments/f035f4/cancer_research_charity_stream/")</f>
        <v/>
      </c>
      <c r="G7603" t="inlineStr">
        <is>
          <t>2020-02-06 17:45:19</t>
        </is>
      </c>
      <c r="H7603" t="inlineStr"/>
    </row>
    <row r="7604">
      <c r="A7604" t="inlineStr">
        <is>
          <t>f03j9l</t>
        </is>
      </c>
      <c r="B7604" t="inlineStr">
        <is>
          <t>Lung cancer claimed my dad at 6:20pm central standard time</t>
        </is>
      </c>
      <c r="C7604" t="inlineStr">
        <is>
          <t>Or was it the pneumonia? Or the RSV? Or the E. Coli they found in his blood that could’ve been caused by all the times they sent him home several times with blood in his urine? My daddy didn’t even get a fighting chance. Stage 3 cancer was found and turned into stage 4 because they waited six weeks to even do any treatments on him. I HATE the American healthcare system.</t>
        </is>
      </c>
      <c r="D7604" t="n">
        <v>1</v>
      </c>
      <c r="E7604" t="n">
        <v>8</v>
      </c>
      <c r="F7604">
        <f>HYPERLINK("https://www.reddit.com/r/cancer/comments/f03j9l/lung_cancer_claimed_my_dad_at_620pm_central/")</f>
        <v/>
      </c>
      <c r="G7604" t="inlineStr">
        <is>
          <t>2020-02-06 18:14:24</t>
        </is>
      </c>
      <c r="H7604" t="inlineStr"/>
    </row>
    <row r="7605">
      <c r="A7605" t="inlineStr">
        <is>
          <t>f04acz</t>
        </is>
      </c>
      <c r="B7605" t="inlineStr">
        <is>
          <t>Grandpa, a poem for you</t>
        </is>
      </c>
      <c r="C7605" t="inlineStr">
        <is>
          <t>Here is a poem I wrote for my grandpas funeral. Feel free to critique it. 
Dear grandp, in my heart is where I will carry you now
I want to be happy, but your absence will not allow
Life feels so different, now that you are gone
The sun no longer shines bright, the days seem to drag on
I long to hear your laugh and to see your beautiful smile
I know this pain will subside, but not for a long while
I miss the way you sang and I miss the way you danced
I’m sure your concerts in heaven will have all the angels entranced
Though I miss you dearly, I know I will see you when the time is right
When I join you, I promise we will dance ‘til day turns to night
May god someday grant me like with you forever
This is where I long to be, where love ceases to never
So I will carry on living this life without you it seems
Dear grandpa, please do not forget to visit in my dreams</t>
        </is>
      </c>
      <c r="D7605" t="n">
        <v>1</v>
      </c>
      <c r="E7605" t="n">
        <v>0</v>
      </c>
      <c r="F7605">
        <f>HYPERLINK("https://www.reddit.com/r/cancer/comments/f04acz/grandpa_a_poem_for_you/")</f>
        <v/>
      </c>
      <c r="G7605" t="inlineStr">
        <is>
          <t>2020-02-06 19:11:41</t>
        </is>
      </c>
      <c r="H7605" t="inlineStr"/>
    </row>
    <row r="7606">
      <c r="A7606" t="inlineStr">
        <is>
          <t>f04c34</t>
        </is>
      </c>
      <c r="B7606" t="inlineStr">
        <is>
          <t>Is it possible to detect the specific cause of non-hodgkin’s lymphoma in a person?</t>
        </is>
      </c>
      <c r="C7606" t="inlineStr">
        <is>
          <t>Basically the title. I don’t know if it’s possible to be detected but it might clear some things up for me. Thank you</t>
        </is>
      </c>
      <c r="D7606" t="n">
        <v>1</v>
      </c>
      <c r="E7606" t="n">
        <v>3</v>
      </c>
      <c r="F7606">
        <f>HYPERLINK("https://www.reddit.com/r/cancer/comments/f04c34/is_it_possible_to_detect_the_specific_cause_of/")</f>
        <v/>
      </c>
      <c r="G7606" t="inlineStr">
        <is>
          <t>2020-02-06 19:15:40</t>
        </is>
      </c>
      <c r="H7606" t="inlineStr"/>
    </row>
    <row r="7607">
      <c r="A7607" t="inlineStr">
        <is>
          <t>f04g6u</t>
        </is>
      </c>
      <c r="B7607" t="inlineStr">
        <is>
          <t>Stay Strong</t>
        </is>
      </c>
      <c r="C7607" t="inlineStr">
        <is>
          <t>To anyone who has been affected by cancer (directly or indirectly), stay strong! You are strong! You are brave! You are a fighter! You are beautiful! 
You are loved!
We’re all in this crappy group that we didn’t choose to be but we will all come out of this stronger.
You are all in my prayers and thoughts.</t>
        </is>
      </c>
      <c r="D7607" t="n">
        <v>1</v>
      </c>
      <c r="E7607" t="n">
        <v>0</v>
      </c>
      <c r="F7607">
        <f>HYPERLINK("https://www.reddit.com/r/cancer/comments/f04g6u/stay_strong/")</f>
        <v/>
      </c>
      <c r="G7607" t="inlineStr">
        <is>
          <t>2020-02-06 19:24:34</t>
        </is>
      </c>
      <c r="H7607" t="inlineStr"/>
    </row>
    <row r="7608">
      <c r="A7608" t="inlineStr">
        <is>
          <t>f05wrh</t>
        </is>
      </c>
      <c r="B7608" t="inlineStr">
        <is>
          <t>That sociopathic nurse you sometimes get</t>
        </is>
      </c>
      <c r="C7608" t="inlineStr">
        <is>
          <t>Seriously there is such a wide variation in the quality of nursing care. Every now and then you get the one where like even the tone of their voice is awful. Yesterday I was in the recovery area after my spleen biopsy which is painful because they put a needle through your diaphragm. This one told me it would take 2 hours for the doctor to call back re pain meds just to make me leave. I know it’s false because I had the same biopsy a month ago and the doctor called back within like a half hour. Then when I said I wouldn’t wait she pretended to be all nice “are you sure?” This is like behavior out of Mean Girls.</t>
        </is>
      </c>
      <c r="D7608" t="n">
        <v>1</v>
      </c>
      <c r="E7608" t="n">
        <v>0</v>
      </c>
      <c r="F7608">
        <f>HYPERLINK("https://www.reddit.com/r/cancer/comments/f05wrh/that_sociopathic_nurse_you_sometimes_get/")</f>
        <v/>
      </c>
      <c r="G7608" t="inlineStr">
        <is>
          <t>2020-02-06 21:25:34</t>
        </is>
      </c>
      <c r="H7608" t="inlineStr"/>
    </row>
    <row r="7609">
      <c r="A7609" t="inlineStr">
        <is>
          <t>f0a040</t>
        </is>
      </c>
      <c r="B7609" t="inlineStr">
        <is>
          <t>Moved house to a new city, before I had time to unpack I got the news - 18 months.</t>
        </is>
      </c>
      <c r="C7609" t="inlineStr">
        <is>
          <t>New hospital, new doctors, friends and most of my family are miles away. Everything is shit. This is the week I was meant to be going back to work after a broken shoulder but the break was just a symptom in the end. 
The end. I think I'll have that put on my tombstone.</t>
        </is>
      </c>
      <c r="D7609" t="n">
        <v>1</v>
      </c>
      <c r="E7609" t="n">
        <v>0</v>
      </c>
      <c r="F7609">
        <f>HYPERLINK("https://www.reddit.com/r/cancer/comments/f0a040/moved_house_to_a_new_city_before_i_had_time_to/")</f>
        <v/>
      </c>
      <c r="G7609" t="inlineStr">
        <is>
          <t>2020-02-07 04:46:32</t>
        </is>
      </c>
      <c r="H7609" t="inlineStr"/>
    </row>
    <row r="7610">
      <c r="A7610" t="inlineStr">
        <is>
          <t>f0a15q</t>
        </is>
      </c>
      <c r="B7610" t="inlineStr">
        <is>
          <t>My dad died today</t>
        </is>
      </c>
      <c r="C7610" t="inlineStr">
        <is>
          <t>I am currently sitting in front of his coffin with him inside of it. He fought so hard, for over a year. On one hand I'm grateful that he didn't suffer for much longer, but he went too soon and I will miss him so much. This disease sucks and I feel for anyone who's going through this. 
He was my hero, my biggest advisor and my best friend. 
This sucks so much.</t>
        </is>
      </c>
      <c r="D7610" t="n">
        <v>1</v>
      </c>
      <c r="E7610" t="n">
        <v>28</v>
      </c>
      <c r="F7610">
        <f>HYPERLINK("https://www.reddit.com/r/cancer/comments/f0a15q/my_dad_died_today/")</f>
        <v/>
      </c>
      <c r="G7610" t="inlineStr">
        <is>
          <t>2020-02-07 04:49:18</t>
        </is>
      </c>
      <c r="H7610" t="inlineStr"/>
    </row>
    <row r="7611">
      <c r="A7611" t="inlineStr">
        <is>
          <t>f0c5q9</t>
        </is>
      </c>
      <c r="B7611" t="inlineStr">
        <is>
          <t>I'm screwed, the end is near and I'm angry about it.</t>
        </is>
      </c>
      <c r="C7611" t="inlineStr">
        <is>
          <t>That's all I want to say really.</t>
        </is>
      </c>
      <c r="D7611" t="n">
        <v>1</v>
      </c>
      <c r="E7611" t="n">
        <v>0</v>
      </c>
      <c r="F7611">
        <f>HYPERLINK("https://www.reddit.com/r/cancer/comments/f0c5q9/im_screwed_the_end_is_near_and_im_angry_about_it/")</f>
        <v/>
      </c>
      <c r="G7611" t="inlineStr">
        <is>
          <t>2020-02-07 07:41:00</t>
        </is>
      </c>
      <c r="H7611" t="inlineStr"/>
    </row>
    <row r="7612">
      <c r="A7612" t="inlineStr">
        <is>
          <t>f0cotw</t>
        </is>
      </c>
      <c r="B7612" t="inlineStr">
        <is>
          <t>BF’s mom’s cancer came back after 10 years, suddenly Stage IV</t>
        </is>
      </c>
      <c r="C7612" t="inlineStr">
        <is>
          <t>Hi all!
Sadly instead of celebrating her 10 year “all clear so far” scans, we found out the day before that not only had the cancer come back, but it’s spread to her internal abdominal organs and bones. 
Feels like a sick joke to be told you’re cancer free for 9 years and 364 days only to have it come back with a vengeance. 
What we know: 
• it’s cells from her original breast cancer 10 yrs ago 
• she’ll be given oral chemo (pills)
• she has one more PET scan in a few days and then starts treatment literally the day after 
She’s in the healthcare field herself so she seems to be taking it in stride. 
My boyfriend is holding up, still processing it all I think. 
I guess my question is: what was helpful from your partner while you or your parent experienced cancer?
We have no idea how long she’ll live and I just want to be the best possible partner for him in this time. We’ve been together not quite two years (closer to 16ish months). 
Thanks for all your insight, this sub has been helpful as others in my life have been diagnosed and I myself have had a scare.</t>
        </is>
      </c>
      <c r="D7612" t="n">
        <v>1</v>
      </c>
      <c r="E7612" t="n">
        <v>2</v>
      </c>
      <c r="F7612">
        <f>HYPERLINK("https://www.reddit.com/r/cancer/comments/f0cotw/bfs_moms_cancer_came_back_after_10_years_suddenly/")</f>
        <v/>
      </c>
      <c r="G7612" t="inlineStr">
        <is>
          <t>2020-02-07 08:18:11</t>
        </is>
      </c>
      <c r="H7612" t="inlineStr"/>
    </row>
    <row r="7613">
      <c r="A7613" t="inlineStr">
        <is>
          <t>f0cqdv</t>
        </is>
      </c>
      <c r="B7613" t="inlineStr">
        <is>
          <t>Everything is going down in front of my eyes</t>
        </is>
      </c>
      <c r="C7613" t="inlineStr">
        <is>
          <t>Me father was diagnosed with cancer 4 times. doctors have given up and are saying that the tumor has grown too much. Right Now he is in great pain and doctors are telling to continue immunotherapy. however he is in great pain. we should let him go in peace or make him stay for a longer time and make him suffer is the question that is making us worried right now. i am only 14. why is it happening to us.</t>
        </is>
      </c>
      <c r="D7613" t="n">
        <v>1</v>
      </c>
      <c r="E7613" t="n">
        <v>3</v>
      </c>
      <c r="F7613">
        <f>HYPERLINK("https://www.reddit.com/r/cancer/comments/f0cqdv/everything_is_going_down_in_front_of_my_eyes/")</f>
        <v/>
      </c>
      <c r="G7613" t="inlineStr">
        <is>
          <t>2020-02-07 08:21:11</t>
        </is>
      </c>
      <c r="H7613" t="inlineStr"/>
    </row>
    <row r="7614">
      <c r="A7614" t="inlineStr">
        <is>
          <t>f0dmv1</t>
        </is>
      </c>
      <c r="B7614" t="inlineStr">
        <is>
          <t>Anyone else seem to be obsessing over a hobby during their chemo treatment?</t>
        </is>
      </c>
      <c r="C7614" t="inlineStr">
        <is>
          <t>So I’m three treatments in and I cannot stop buying plants, learning about plants, looking up new pots, etc. Does anyone else have a hobby that is becoming an obsession? 
Maybe this is my coping mechanism, I’m not sure but I am buying way too many plants. I’m running out of places to put them.</t>
        </is>
      </c>
      <c r="D7614" t="n">
        <v>1</v>
      </c>
      <c r="E7614" t="n">
        <v>70</v>
      </c>
      <c r="F7614">
        <f>HYPERLINK("https://www.reddit.com/r/cancer/comments/f0dmv1/anyone_else_seem_to_be_obsessing_over_a_hobby/")</f>
        <v/>
      </c>
      <c r="G7614" t="inlineStr">
        <is>
          <t>2020-02-07 09:22:30</t>
        </is>
      </c>
      <c r="H7614" t="inlineStr"/>
    </row>
    <row r="7615">
      <c r="A7615" t="inlineStr">
        <is>
          <t>f0ex0e</t>
        </is>
      </c>
      <c r="B7615" t="inlineStr">
        <is>
          <t>It’s back, with a vengeance.</t>
        </is>
      </c>
      <c r="C7615" t="inlineStr">
        <is>
          <t>We thought we were going to be one of the lucky few. Resection, clear margins, clear lymph nodes, clear scan. But his 3 month follow-up found 2 new spots on his liver.
And a PET scan found they had some friends: one on his lung, and one on his spine. The one on his spine is causing no symptoms (to the doctors’ astonishment), and the one on his lung is growing on a spot that was there before this cancer, but never glowed on a PET scan before. 
Regardless, the radiation oncologist feels that ablating the lesions will not solve his problem. Since the cancer came back so quickly, and in new places, he tells us the disease is now metastatic, and VERY aggressive, and we need a systemic approach to deal with it. More chemo. Which my husband has always insisted he will not do, but has agreed to, given no other choice. This time they’re putting a port in, which should make things a bit more tolerable. But the radiation oncologist also used that dreaded term, “life-limiting disease,” telling us he’ll be lucky to live a year. 
I’m not sure how much treatment he’ll be willing to pursue, or how much misery he’ll be willing to endure, in pursuit of more time. And though it’s absolutely not up to me, I’m not sure how hard I’d be willing to push him. 
More meetings with the medical oncologist, and a port put in next week. Hopefully we’ll get more answers. It’s devastating.</t>
        </is>
      </c>
      <c r="D7615" t="n">
        <v>1</v>
      </c>
      <c r="E7615" t="n">
        <v>22</v>
      </c>
      <c r="F7615">
        <f>HYPERLINK("https://www.reddit.com/r/cancer/comments/f0ex0e/its_back_with_a_vengeance/")</f>
        <v/>
      </c>
      <c r="G7615" t="inlineStr">
        <is>
          <t>2020-02-07 10:50:28</t>
        </is>
      </c>
      <c r="H7615" t="inlineStr"/>
    </row>
    <row r="7616">
      <c r="A7616" t="inlineStr">
        <is>
          <t>f0g1pg</t>
        </is>
      </c>
      <c r="B7616" t="inlineStr">
        <is>
          <t>Quick shoutout to all the survivors</t>
        </is>
      </c>
      <c r="C7616" t="inlineStr">
        <is>
          <t>I see, regrettably, a lot more posts from caregivers or people grieving than cancer survivors. We all, collectively, struggled or continue to struggle with this wretched disease. But I wanted to take a moment to highlight all of the survivors still actively chatting in this subreddit and those lurking. I'd wager a lot more people lurk than comment, so especially big shout out to my fellow lurkers who continue to tread through these threads quietly (you're not alone!). 
With this new year well underway, I hope each of you finds strength, comfort, success, peace, prosperity, or whatever you're hoping to personally achieve. 
And to any gamers looking to connect, we have multiple groups setup on Playstation, Xbox, and PC which I hope you consider joining. I'm sure those group admins can chime in to plug their respective group names. For PC gamers on Steam, check out "rcancer" and join the couple dozen other members on there.
Be well!</t>
        </is>
      </c>
      <c r="D7616" t="n">
        <v>1</v>
      </c>
      <c r="E7616" t="n">
        <v>50</v>
      </c>
      <c r="F7616">
        <f>HYPERLINK("https://www.reddit.com/r/cancer/comments/f0g1pg/quick_shoutout_to_all_the_survivors/")</f>
        <v/>
      </c>
      <c r="G7616" t="inlineStr">
        <is>
          <t>2020-02-07 12:08:10</t>
        </is>
      </c>
      <c r="H7616" t="inlineStr"/>
    </row>
    <row r="7617">
      <c r="A7617" t="inlineStr">
        <is>
          <t>f0gpzb</t>
        </is>
      </c>
      <c r="B7617" t="inlineStr">
        <is>
          <t>Fox News: Shannen Doherty files motion for sanctions against State Farm after company's jab over her cancer diagnosis</t>
        </is>
      </c>
      <c r="C7617" t="inlineStr">
        <is>
          <t>Fox News: Shannen Doherty files motion for sanctions against State Farm after company's jab over her cancer diagnosis.
https://www.foxnews.com/entertainment/shannen-doherty-cancer-state-farm-motion-sanctions-lawsuit</t>
        </is>
      </c>
      <c r="D7617" t="n">
        <v>1</v>
      </c>
      <c r="E7617" t="n">
        <v>0</v>
      </c>
      <c r="F7617">
        <f>HYPERLINK("https://www.reddit.com/r/cancer/comments/f0gpzb/fox_news_shannen_doherty_files_motion_for/")</f>
        <v/>
      </c>
      <c r="G7617" t="inlineStr">
        <is>
          <t>2020-02-07 12:53:58</t>
        </is>
      </c>
      <c r="H7617" t="inlineStr"/>
    </row>
    <row r="7618">
      <c r="A7618" t="inlineStr">
        <is>
          <t>f0gsd4</t>
        </is>
      </c>
      <c r="B7618" t="inlineStr">
        <is>
          <t>Lung Cancer Awareness Project Looking for Contributors</t>
        </is>
      </c>
      <c r="C7618" t="inlineStr">
        <is>
          <t>Hi everyone!
My name is Gabe and I'm working with Meredith Corp. on a compelling new project that seeks to share the stories of how lung cancer fighters and survivors find happiness during treatment. I'm curious if there are any fighters or survivors here who are interested in sharing their story for this project?
We want to show how those living with lung cancer can find emotional well-being, whether it be creating pottery, art classes, spending time with family, or going for a walk to a special duck pond. We want to hear real stories to help inspire others.
We are looking for people who are interested in sharing how they find their own personal happiness and comfort. If selected, we would schedule a day with you to record your story.
If this sounds interesting, please get in touch here or at my email, "casting [at] pairedupmedia [dot] com". We're looking to speak with all potential contributors by early next week so the sooner we connect, the better!</t>
        </is>
      </c>
      <c r="D7618" t="n">
        <v>1</v>
      </c>
      <c r="E7618" t="n">
        <v>2</v>
      </c>
      <c r="F7618">
        <f>HYPERLINK("https://www.reddit.com/r/cancer/comments/f0gsd4/lung_cancer_awareness_project_looking_for/")</f>
        <v/>
      </c>
      <c r="G7618" t="inlineStr">
        <is>
          <t>2020-02-07 12:58:28</t>
        </is>
      </c>
      <c r="H7618" t="inlineStr"/>
    </row>
    <row r="7619">
      <c r="A7619" t="inlineStr">
        <is>
          <t>f0gvr0</t>
        </is>
      </c>
      <c r="B7619" t="inlineStr">
        <is>
          <t>What to give to a friend with breast cancer</t>
        </is>
      </c>
      <c r="C7619" t="inlineStr">
        <is>
          <t>I have a friend who has breast cancer and she had surgery and is being treated for the metastasis. She’s in her early 20’s and has a tough predisposition for cancers. I want to send her something for valentines to let her know I am still here supporting her and loving her (as a friend). Is there anything specific you got or you wanted to get (as a patient) from your friends that made you feel better/good? She lives a few states away and visiting isn’t very viable while I’m in school. Thanks for the help.</t>
        </is>
      </c>
      <c r="D7619" t="n">
        <v>1</v>
      </c>
      <c r="E7619" t="n">
        <v>1</v>
      </c>
      <c r="F7619">
        <f>HYPERLINK("https://www.reddit.com/r/cancer/comments/f0gvr0/what_to_give_to_a_friend_with_breast_cancer/")</f>
        <v/>
      </c>
      <c r="G7619" t="inlineStr">
        <is>
          <t>2020-02-07 13:04:58</t>
        </is>
      </c>
      <c r="H7619" t="inlineStr"/>
    </row>
    <row r="7620">
      <c r="A7620" t="inlineStr">
        <is>
          <t>f0hikf</t>
        </is>
      </c>
      <c r="B7620" t="inlineStr">
        <is>
          <t>Waiting on diagnosis</t>
        </is>
      </c>
      <c r="C7620" t="inlineStr">
        <is>
          <t>I’m not diagnosed yet, but going by my test results, I likely have some type of lymphoma. 
How do you stop the hypochondria from going into overdrive? I’ve been doing research, and thought I was pretty asymptotic. However, no I feel like I’m having a lot of symptoms and I can’t tell is if it’s anxiety drive , or real symptoms. 
This is the most stressful thing ever!</t>
        </is>
      </c>
      <c r="D7620" t="n">
        <v>1</v>
      </c>
      <c r="E7620" t="n">
        <v>10</v>
      </c>
      <c r="F7620">
        <f>HYPERLINK("https://www.reddit.com/r/cancer/comments/f0hikf/waiting_on_diagnosis/")</f>
        <v/>
      </c>
      <c r="G7620" t="inlineStr">
        <is>
          <t>2020-02-07 13:47:29</t>
        </is>
      </c>
      <c r="H7620" t="inlineStr"/>
    </row>
    <row r="7621">
      <c r="A7621" t="inlineStr">
        <is>
          <t>f0l5jd</t>
        </is>
      </c>
      <c r="B7621" t="inlineStr">
        <is>
          <t>What kept you going?</t>
        </is>
      </c>
      <c r="C7621" t="inlineStr">
        <is>
          <t>I have AML, and some days I want to give up...</t>
        </is>
      </c>
      <c r="D7621" t="n">
        <v>1</v>
      </c>
      <c r="E7621" t="n">
        <v>8</v>
      </c>
      <c r="F7621">
        <f>HYPERLINK("https://www.reddit.com/r/cancer/comments/f0l5jd/what_kept_you_going/")</f>
        <v/>
      </c>
      <c r="G7621" t="inlineStr">
        <is>
          <t>2020-02-07 18:26:15</t>
        </is>
      </c>
      <c r="H7621" t="inlineStr"/>
    </row>
    <row r="7622">
      <c r="A7622" t="inlineStr">
        <is>
          <t>f0m2hk</t>
        </is>
      </c>
      <c r="B7622" t="inlineStr">
        <is>
          <t>Is MayoClinic website a reliable source about cancer?</t>
        </is>
      </c>
      <c r="C7622" t="inlineStr">
        <is>
          <t>My dad is about to undergo biopsy 2 days from now, and I am feeling nervous and restless. I looked up signs of nasopharynx cancer, and he seems to have almost all the symptoms listed in MayoClinic. Now I'm feeling more nervous than ever! :(</t>
        </is>
      </c>
      <c r="D7622" t="n">
        <v>1</v>
      </c>
      <c r="E7622" t="n">
        <v>3</v>
      </c>
      <c r="F7622">
        <f>HYPERLINK("https://www.reddit.com/r/cancer/comments/f0m2hk/is_mayoclinic_website_a_reliable_source_about/")</f>
        <v/>
      </c>
      <c r="G7622" t="inlineStr">
        <is>
          <t>2020-02-07 19:43:51</t>
        </is>
      </c>
      <c r="H7622" t="inlineStr"/>
    </row>
    <row r="7623">
      <c r="A7623" t="inlineStr">
        <is>
          <t>f0n1f0</t>
        </is>
      </c>
      <c r="B7623" t="inlineStr">
        <is>
          <t>REMINDER to the women with hair loss</t>
        </is>
      </c>
      <c r="C7623" t="inlineStr">
        <is>
          <t>Keep fighting the good fight! Remember being a woman without hair does not make you any less feminine! Rock that bald head every now and then, and without make up! Learn to embrace it and everything your body has to offer. It may be hard to keep your head up some days but not having it does not make you any less feminine. 
This isn’t meant to target only women going through it just as a female personally when I loss my hair i went through a rough spot, then I lost all eyebrows and eyelashes and it made it even harder. I had/have good days and bad days. From teenagers at the store making fun of the baldness and how awful I looked loudly to learning to embrace the good days when I was able to finish a hike but at the top a child would yell on repeat “mom look at the bald lady” and cry that at least she knew I was female. Just know there is a bigger fight than appearances. Keep fighting the good fight! You’re beautiful in the skin you’re in and there’s so much you have to offer. If you need any support mentally feel free to dm me.</t>
        </is>
      </c>
      <c r="D7623" t="n">
        <v>1</v>
      </c>
      <c r="E7623" t="n">
        <v>1</v>
      </c>
      <c r="F7623">
        <f>HYPERLINK("https://www.reddit.com/r/cancer/comments/f0n1f0/reminder_to_the_women_with_hair_loss/")</f>
        <v/>
      </c>
      <c r="G7623" t="inlineStr">
        <is>
          <t>2020-02-07 21:12:24</t>
        </is>
      </c>
      <c r="H7623" t="inlineStr"/>
    </row>
    <row r="7624">
      <c r="A7624" t="inlineStr">
        <is>
          <t>f0n3d1</t>
        </is>
      </c>
      <c r="B7624" t="inlineStr">
        <is>
          <t>Inspiring healing story by Ripunanda</t>
        </is>
      </c>
      <c r="C7624" t="inlineStr">
        <is>
          <t>Wanted to share an inspiring story by Ripunanda, a breast cancer survivor.
&amp;amp;#x200B;
https://preview.redd.it/omw4ezi4wmf41.jpg?width=1280&amp;amp;format=pjpg&amp;amp;auto=webp&amp;amp;s=bc460bcba0e04e04de94d205f2d8f9ad83f80680
It was November 2016, my father-in-law had suffered a stroke and everyone in the family was worried about him. Around the same time, I discovered a lump in my underarm, I was concerned, but I decided to not tell anyone but my husband. Things at home were already tense and I didn’t want to add to anyone’s worries. My husband and I waited for a couple of weeks to see if the lump would disappear, but it didn’t. Ultrasounds and scans confirmed that there was a lump in my right breast. I had to undergo a lumpectomy almost immediately. The biopsy afterward confirmed that the mass was malignant and that I had stage 2 breast cancer; I was 33 years old then.
For the first few months, I just couldn’t understand what had happened to me. **Acceptance is the hardest bit sometimes.** But I knew I had to fight this for my husband and my baby son. So I mentally prepared myself for whatever needed to be done, I was even ready to undergo a mastectomy if needed. However, doctors at the Rajiv Gandhi Hospital in Delhi suggested that I may not need a mastectomy. Instead, I underwent surgery for the removal of lymph nodes; 19 lymph nodes in my case, out of which 4 were infected.
**The surgery did conserve my breast, but that wasn’t the end. Since my cancer was identified as triple-negative –one of the most aggressive forms of cancer — I needed several cycles of chemotherapy over 5 months.**
During this time, I remember losing my hair to chemo. I remember this well because I am a Sikh and seeing my waist-length hair fall like that was just painful. There were days when I’d go to the park with my head covered and look at other people walking around me and I’d wonder, Why me? Why was I chosen to suffer? I also lost my father during this time. These were the months when my faith and resilience were tested the most.
**Somehow, I powered through and I feel like my faith in God and my husband’s support helped me the most. Just when I thought the worst was over, doctors suggested that I undergo preventive surgery to remove my ovaries.** My BRCA gene test results were positive, which meant that I was at a much higher risk of developing cancer in my ovaries which could then spread to my breasts. I was devastated and couldn’t get myself to make the decision. I was scared of losing my womanhood. I had so many apprehensions running through my mind;
I didn’t know how the surgery would impact my sexual health, and doctors weren’t really ready to answer these questions. I remember crying for days on end. **But once again it was my husband who stood by me, he said he didn’t care if I had ovaries; all he wanted was for me to get better.** I was still putting the surgery at bay when doctors discovered a 10-centimeter cyst in my ovary.
Thankfully, the cyst wasn’t cancerous, but it prompted me to get the surgery done. Not having the surgery would have been like a sword hanging over my head all the time. In hindsight, it was a good decision. It took a lot of courage, but I am glad I did it.
I am 35 now and as of today, I am cancer-free. I still have to undergo regular tests and checkups every three months, but I am better than I was last year. Cancer is a beast, but you have to fight as a warrior, treat it like any other disease and fight it.
These two years have also taught me that life is completely unpredictable and that anyone can fall sick at any time. Don’t take your health for granted. And especially the women out there, when it comes to your health, I’d say “Be Selfish”. I say this because so many women, especially in India, sideline their health for the sake of their families. We need to spread awareness about breast cancer, women need to know about the signs and symptoms and they should know when to get help.
**My aim now is to go out and talk to people. I want to spread awareness about breast cancer and also cast away the stigma around it. I was lucky to have access to good healthcare, but I know that so many women are not that lucky.**
Source: Taken verbatim from [https://zenonco.io/ripunanda-making-our-health-a-priority/](https://zenonco.io/ripunanda-making-our-health-a-priority/)</t>
        </is>
      </c>
      <c r="D7624" t="n">
        <v>1</v>
      </c>
      <c r="E7624" t="n">
        <v>0</v>
      </c>
      <c r="F7624">
        <f>HYPERLINK("https://www.reddit.com/r/cancer/comments/f0n3d1/inspiring_healing_story_by_ripunanda/")</f>
        <v/>
      </c>
      <c r="G7624" t="inlineStr">
        <is>
          <t>2020-02-07 21:17:18</t>
        </is>
      </c>
      <c r="H7624" t="inlineStr"/>
    </row>
    <row r="7625">
      <c r="A7625" t="inlineStr">
        <is>
          <t>f0n7cj</t>
        </is>
      </c>
      <c r="B7625" t="inlineStr">
        <is>
          <t>My ex mil (who I love dearly) was told she’s in the final stages of lung cancer last night</t>
        </is>
      </c>
      <c r="C7625" t="inlineStr">
        <is>
          <t>She was taken to the hospital because she couldn’t breathe and was coughing blood. I went to see her today and she’s so thin and weak. 
My ex husband doesn’t always communicate great and I’m wanting to grasp if this is something where she’s going to pass soon... like within day’s? She is my kids grandma and I love her so much and I feel like I need to know what’s going on so that I can act accordingly. 
I know obviously you all can’t know for sure, but would love opinions or guesses.</t>
        </is>
      </c>
      <c r="D7625" t="n">
        <v>1</v>
      </c>
      <c r="E7625" t="n">
        <v>12</v>
      </c>
      <c r="F7625">
        <f>HYPERLINK("https://www.reddit.com/r/cancer/comments/f0n7cj/my_ex_mil_who_i_love_dearly_was_told_shes_in_the/")</f>
        <v/>
      </c>
      <c r="G7625" t="inlineStr">
        <is>
          <t>2020-02-07 21:28:11</t>
        </is>
      </c>
      <c r="H7625" t="inlineStr"/>
    </row>
    <row r="7626">
      <c r="A7626" t="inlineStr">
        <is>
          <t>f0ocsw</t>
        </is>
      </c>
      <c r="B7626" t="inlineStr">
        <is>
          <t>Heartbreaking</t>
        </is>
      </c>
      <c r="C7626" t="inlineStr">
        <is>
          <t>Hey everyone it’s me again, this time with some heartbreaking news 
They have given my mum weeks to days to live, soon she’s gonna leave us and it hurts so badly I don’t exactly know how to feel anymore tbh I don’t know if I’ll continue posting in here after her passing but we have a heap of stuff she never used (thickening packets never opened nothing) we also have a ton of medical clothes I don’t really know how to describe it but it makes it easier for the patient if they need to get dressed, again never opened never wore she never got the opportunity I’m just wondering if there’s anywhere I can donate this? I’m in Australia and I really really wanna give it to others like me and my siblings that didn’t have a lot of money and needed this stuff once again, thank you all so much for being apart of my mothers journey and sending me messages of encouragement to me and checking up on me it means the world to me</t>
        </is>
      </c>
      <c r="D7626" t="n">
        <v>1</v>
      </c>
      <c r="E7626" t="n">
        <v>4</v>
      </c>
      <c r="F7626">
        <f>HYPERLINK("https://www.reddit.com/r/cancer/comments/f0ocsw/heartbreaking/")</f>
        <v/>
      </c>
      <c r="G7626" t="inlineStr">
        <is>
          <t>2020-02-07 23:26:13</t>
        </is>
      </c>
      <c r="H7626" t="inlineStr"/>
    </row>
    <row r="7627">
      <c r="A7627" t="inlineStr">
        <is>
          <t>f0ogz2</t>
        </is>
      </c>
      <c r="B7627" t="inlineStr">
        <is>
          <t>Ovarian Cancer</t>
        </is>
      </c>
      <c r="C7627" t="inlineStr">
        <is>
          <t>Recently my Grandma was diagnosed with Ovarian cancer. I (grandson) took the news somewhat hard but stood firm. I’m unfamiliar when it comes to death, my Grandfather died when I was young and within my memory it doesn’t feel like we were close. But, my grandma and I are very close and hearing this news has left me feeling like lost. Lost as to what steps i should be taking as a grandson to do for my grieving family and what i should be doing for my grandmother. As far as I know. My uncles and aunts as well as my parents have already taken her to see specialists, oncologists? as well as other physicians to better assess the situation and move immediately to treatment. As for someone like myself who is new to this whole situation. What should I do? What steps have other people taken that I should be taking? If anyone has any advice or guidance in matters relating please let me know. 
Thank you and best wishes,
C</t>
        </is>
      </c>
      <c r="D7627" t="n">
        <v>1</v>
      </c>
      <c r="E7627" t="n">
        <v>2</v>
      </c>
      <c r="F7627">
        <f>HYPERLINK("https://www.reddit.com/r/cancer/comments/f0ogz2/ovarian_cancer/")</f>
        <v/>
      </c>
      <c r="G7627" t="inlineStr">
        <is>
          <t>2020-02-07 23:39:13</t>
        </is>
      </c>
      <c r="H7627" t="inlineStr"/>
    </row>
    <row r="7628">
      <c r="A7628" t="inlineStr">
        <is>
          <t>f0qm8z</t>
        </is>
      </c>
      <c r="B7628" t="inlineStr">
        <is>
          <t>Help</t>
        </is>
      </c>
      <c r="C7628" t="inlineStr">
        <is>
          <t>I’ve got these little white spots on my scrotum. Some are like not very white and not protruding at all others look more like actual spots/pimples. I’ve heard of fordyce spots which I do have around my lips and foreskin. My one testicle feels a little harder than the other. Idk what to do. Doctors make me really nervous. If anyone things I definitely should go then I will but just looking for opinions.</t>
        </is>
      </c>
      <c r="D7628" t="n">
        <v>1</v>
      </c>
      <c r="E7628" t="n">
        <v>0</v>
      </c>
      <c r="F7628">
        <f>HYPERLINK("https://www.reddit.com/r/cancer/comments/f0qm8z/help/")</f>
        <v/>
      </c>
      <c r="G7628" t="inlineStr">
        <is>
          <t>2020-02-08 03:49:51</t>
        </is>
      </c>
      <c r="H7628" t="inlineStr"/>
    </row>
    <row r="7629">
      <c r="A7629" t="inlineStr">
        <is>
          <t>f0rcxm</t>
        </is>
      </c>
      <c r="B7629" t="inlineStr">
        <is>
          <t>My Dad died tonight at 5:30pm.</t>
        </is>
      </c>
      <c r="C7629" t="inlineStr">
        <is>
          <t>I feel so sad. I feel so empty, like a part of me's gone. I don't know how to go on. The only reason I'm for sure sticking around is because of my Mom. This feels like a nightmare I will never be able to wake up from. He was the best Dad in the whole world, and I love him and miss him so much. I am only 16 years old, and he was 64.</t>
        </is>
      </c>
      <c r="D7629" t="n">
        <v>1</v>
      </c>
      <c r="E7629" t="n">
        <v>20</v>
      </c>
      <c r="F7629">
        <f>HYPERLINK("https://www.reddit.com/r/cancer/comments/f0rcxm/my_dad_died_tonight_at_530pm/")</f>
        <v/>
      </c>
      <c r="G7629" t="inlineStr">
        <is>
          <t>2020-02-08 05:08:29</t>
        </is>
      </c>
      <c r="H7629" t="inlineStr"/>
    </row>
    <row r="7630">
      <c r="A7630" t="inlineStr">
        <is>
          <t>f0s31c</t>
        </is>
      </c>
      <c r="B7630" t="inlineStr">
        <is>
          <t>My mum died and my boyfriend left me</t>
        </is>
      </c>
      <c r="C7630" t="inlineStr">
        <is>
          <t>Last week was the worst week of my life. My boyfriend felt like he couldn't support me any longer because the chaos in my life was getting too much for him. And he wanted to focus on himself. He moved his stuff out but wanted to remain friends. He's not a bad person for feeling that way and I understand. A few days later I got a call that my mum was unconscious. While I was waiting for the train I got another call to say she had gone. The train journey was horrible. I was trying not to cry too loudly while everyone around me ignored me, it was really busy. The guy sat next to me pretended to be asleep.
My family kept her body in the living room until I got there so I could say goodbye. I didn't know what to do so I drew her a few times. The break up caused me to lose appetite and the stress on my body has made me very unwell. I came back to the city I live in a few days later. My ex wanted to be there for me and was at my flat when I got back, but he just seemed very uncomfortable and sat in the corner watching videos on his phone like he didn't know what to say to me. I exploded with words on him about how much it hurts that all I want is his comfort right now and I don't know how I'm supposed to get over him at the moment. I know he feels very guilty and really wants to try to help. But everything is just a reminder that we're not together anymore and now is when I need him most. I told him to leave if he wants to and he did. 
I'm so hurt and so sad. I miss her and I miss the relationship I had. 
My mum had suffered for three years with throat cancer. The last year her tumours started to eat through her neck and have rapidly consumed her face. It was unlike anything I'd ever seen. I was lucky enough to spend the weekend before she died with her. You could see her teeth and jaw bones. There was almost nothing left to her neck. It was the most horrific yet fascinating thing I've ever seen. I'm glad she's not suffering anymore. I thought I'd be ready for her passing but it's hit me way harder than I ever expected.</t>
        </is>
      </c>
      <c r="D7630" t="n">
        <v>1</v>
      </c>
      <c r="E7630" t="n">
        <v>7</v>
      </c>
      <c r="F7630">
        <f>HYPERLINK("https://www.reddit.com/r/cancer/comments/f0s31c/my_mum_died_and_my_boyfriend_left_me/")</f>
        <v/>
      </c>
      <c r="G7630" t="inlineStr">
        <is>
          <t>2020-02-08 06:14:08</t>
        </is>
      </c>
      <c r="H7630" t="inlineStr"/>
    </row>
    <row r="7631">
      <c r="A7631" t="inlineStr">
        <is>
          <t>f0s33d</t>
        </is>
      </c>
      <c r="B7631" t="inlineStr">
        <is>
          <t>Getting good news is the best</t>
        </is>
      </c>
      <c r="C7631" t="inlineStr">
        <is>
          <t>I received scans yesterday and my doctor said that the tumors are stable and may even be less defined than last time so that’s good. He also said after the 5 year mark-meaning after I’ve been taking my chemo for 5 years-they’ll consult and consider taking me off of the chemo. I’m very close to the five year mark and I’m so excited. I’ve been taking chemo since about the 8th grade and I’m ready to be done.</t>
        </is>
      </c>
      <c r="D7631" t="n">
        <v>1</v>
      </c>
      <c r="E7631" t="n">
        <v>2</v>
      </c>
      <c r="F7631">
        <f>HYPERLINK("https://www.reddit.com/r/cancer/comments/f0s33d/getting_good_news_is_the_best/")</f>
        <v/>
      </c>
      <c r="G7631" t="inlineStr">
        <is>
          <t>2020-02-08 06:14:16</t>
        </is>
      </c>
      <c r="H7631" t="inlineStr"/>
    </row>
    <row r="7632">
      <c r="A7632" t="inlineStr">
        <is>
          <t>f0sjbr</t>
        </is>
      </c>
      <c r="B7632" t="inlineStr">
        <is>
          <t>I’m too f*cking jumpy since I entered remission</t>
        </is>
      </c>
      <c r="C7632" t="inlineStr">
        <is>
          <t>Earlier this month I had pain (still do) around my axilla area near where my Hodgkins was discovered. Straight to the doc and found nothing. Probably muscle or nerve. Ok, great, no cancer still. 
Yesterday I had a sharp pain around a kidney. Normal me would have ignored this unless it was there for three or four days. Off to ER. 9 hours later they diagnose me with a pulled muscle. 
I didn’t used to be this way, checking on everything my body feels, and I don’t want to be but I also don’t want to have cancer again ever. I was fortunate enough that I caught both of mine (Hodgkins and Non-Hodgkins) early, even though the prognosis is good for both the treatments get much worse as time goes on - I don’t really have a hard time and I don’t want one in the future. 
That’s all... I just wish I wasn’t so fucking jumpy.</t>
        </is>
      </c>
      <c r="D7632" t="n">
        <v>1</v>
      </c>
      <c r="E7632" t="n">
        <v>12</v>
      </c>
      <c r="F7632">
        <f>HYPERLINK("https://www.reddit.com/r/cancer/comments/f0sjbr/im_too_fcking_jumpy_since_i_entered_remission/")</f>
        <v/>
      </c>
      <c r="G7632" t="inlineStr">
        <is>
          <t>2020-02-08 06:51:28</t>
        </is>
      </c>
      <c r="H7632" t="inlineStr"/>
    </row>
    <row r="7633">
      <c r="A7633" t="inlineStr">
        <is>
          <t>f0srza</t>
        </is>
      </c>
      <c r="B7633" t="inlineStr">
        <is>
          <t>What does survival rate mean?</t>
        </is>
      </c>
      <c r="C7633" t="inlineStr">
        <is>
          <t>I was diagnosed with a germinoma,a kind of brain cancer. They said I have a 90% survival rate but I don't understand what does it mean if I'm in the 10%?how can I die from a tumor</t>
        </is>
      </c>
      <c r="D7633" t="n">
        <v>1</v>
      </c>
      <c r="E7633" t="n">
        <v>6</v>
      </c>
      <c r="F7633">
        <f>HYPERLINK("https://www.reddit.com/r/cancer/comments/f0srza/what_does_survival_rate_mean/")</f>
        <v/>
      </c>
      <c r="G7633" t="inlineStr">
        <is>
          <t>2020-02-08 07:10:24</t>
        </is>
      </c>
      <c r="H7633" t="inlineStr"/>
    </row>
    <row r="7634">
      <c r="A7634" t="inlineStr">
        <is>
          <t>f0txyq</t>
        </is>
      </c>
      <c r="B7634" t="inlineStr">
        <is>
          <t>...</t>
        </is>
      </c>
      <c r="C7634" t="inlineStr">
        <is>
          <t>My great grandma had stage 4 colon cancer and she died at the age of 70 (oct 21 2019) and my mom was so sad I still didn’t know what was going on until I heard about cancer she got the treatment but she did it with stage 4 and didn’t work I am still sad to this day :( at least she was alive for 70 years she got cancer in 2017 and died 2 years later witch means she survived 2 years I am suprissed thinking about cancer gives me bad dreams so I watch memes instead becuase it give me no more feelings about cancer so sometimes it confuses me</t>
        </is>
      </c>
      <c r="D7634" t="n">
        <v>1</v>
      </c>
      <c r="E7634" t="n">
        <v>1</v>
      </c>
      <c r="F7634">
        <f>HYPERLINK("https://www.reddit.com/r/cancer/comments/f0txyq/_/")</f>
        <v/>
      </c>
      <c r="G7634" t="inlineStr">
        <is>
          <t>2020-02-08 08:38:06</t>
        </is>
      </c>
      <c r="H7634" t="inlineStr"/>
    </row>
    <row r="7635">
      <c r="A7635" t="inlineStr">
        <is>
          <t>f0u4h3</t>
        </is>
      </c>
      <c r="B7635" t="inlineStr">
        <is>
          <t>My mom was diagnosed with a rare type of cancer yesterday, they won’t tell me the name. She’s on stage 4, the cancer has given her blood clots in her leg and back pains from time to time. What I know is that it’s located on a vein or artery (unsure) close to the heart and lung. Anybody know thename?</t>
        </is>
      </c>
      <c r="C7635" t="inlineStr">
        <is>
          <t>It would help me so much knowing what she has, they won’t tell me. I need to know I need to read about it I want to be informed. Please if anybody knows what it is could you please help me.</t>
        </is>
      </c>
      <c r="D7635" t="n">
        <v>1</v>
      </c>
      <c r="E7635" t="n">
        <v>9</v>
      </c>
      <c r="F7635">
        <f>HYPERLINK("https://www.reddit.com/r/cancer/comments/f0u4h3/my_mom_was_diagnosed_with_a_rare_type_of_cancer/")</f>
        <v/>
      </c>
      <c r="G7635" t="inlineStr">
        <is>
          <t>2020-02-08 08:51:22</t>
        </is>
      </c>
      <c r="H7635" t="inlineStr"/>
    </row>
    <row r="7636">
      <c r="A7636" t="inlineStr">
        <is>
          <t>f0ut44</t>
        </is>
      </c>
      <c r="B7636" t="inlineStr">
        <is>
          <t>New breakthrough on universal cancer treatment.</t>
        </is>
      </c>
      <c r="C7636" t="inlineStr">
        <is>
          <t>[https://www.wbur.org/hereandnow/2020/02/06/universal-cancer-treatment-immunotherapy](https://www.wbur.org/hereandnow/2020/02/06/universal-cancer-treatment-immunotherapy)</t>
        </is>
      </c>
      <c r="D7636" t="n">
        <v>1</v>
      </c>
      <c r="E7636" t="n">
        <v>2</v>
      </c>
      <c r="F7636">
        <f>HYPERLINK("https://www.reddit.com/r/cancer/comments/f0ut44/new_breakthrough_on_universal_cancer_treatment/")</f>
        <v/>
      </c>
      <c r="G7636" t="inlineStr">
        <is>
          <t>2020-02-08 09:39:12</t>
        </is>
      </c>
      <c r="H7636" t="inlineStr"/>
    </row>
    <row r="7637">
      <c r="A7637" t="inlineStr">
        <is>
          <t>f0vh7b</t>
        </is>
      </c>
      <c r="B7637" t="inlineStr">
        <is>
          <t>Is chemo the second time worse?</t>
        </is>
      </c>
      <c r="C7637" t="inlineStr">
        <is>
          <t>My grandad is really weak at the moment idk how else to describe him. His has pelvic cancer. He is 84 y/o and had chemo before. My family says they should do chemo again but I don’t think it is a good idea. I’m open to any suggestions and information. Thank you.</t>
        </is>
      </c>
      <c r="D7637" t="n">
        <v>1</v>
      </c>
      <c r="E7637" t="n">
        <v>5</v>
      </c>
      <c r="F7637">
        <f>HYPERLINK("https://www.reddit.com/r/cancer/comments/f0vh7b/is_chemo_the_second_time_worse/")</f>
        <v/>
      </c>
      <c r="G7637" t="inlineStr">
        <is>
          <t>2020-02-08 10:25:53</t>
        </is>
      </c>
      <c r="H7637" t="inlineStr"/>
    </row>
    <row r="7638">
      <c r="A7638" t="inlineStr">
        <is>
          <t>f0xz3p</t>
        </is>
      </c>
      <c r="B7638" t="inlineStr">
        <is>
          <t>Ovarian Cancer Diet and Prevention</t>
        </is>
      </c>
      <c r="C7638" t="inlineStr">
        <is>
          <t>Hi everyone! 
This is my first time using reddit! I've heard there can be some life saving advice on here. So my mother who is 59 years old just got diagnosed with Stage 3C Ovarian cancer unfortunately. She just is recovering from her debulking surgery. Chest CT scan came out normal. What do you guys recommend for diet? Any foods to avoid from now on? Maybe anti cancer foods that will fight her cancer cells? Any other preventative measures? She is vegetarian as well. Thank you all so much in advance!</t>
        </is>
      </c>
      <c r="D7638" t="n">
        <v>1</v>
      </c>
      <c r="E7638" t="n">
        <v>7</v>
      </c>
      <c r="F7638">
        <f>HYPERLINK("https://www.reddit.com/r/cancer/comments/f0xz3p/ovarian_cancer_diet_and_prevention/")</f>
        <v/>
      </c>
      <c r="G7638" t="inlineStr">
        <is>
          <t>2020-02-08 13:23:27</t>
        </is>
      </c>
      <c r="H7638" t="inlineStr"/>
    </row>
    <row r="7639">
      <c r="A7639" t="inlineStr">
        <is>
          <t>f0ybkw</t>
        </is>
      </c>
      <c r="B7639" t="inlineStr">
        <is>
          <t>A Special Angel is Now Jome</t>
        </is>
      </c>
      <c r="C7639" t="inlineStr">
        <is>
          <t>Today a special person was called by God to join him in heaven.  My angel is now next to God looking after her children, family and friends.  My mother was a caring and lovable person.  She will always be remembered by how well she made others feel aroind her.  We love you mother, you are most sacred person in our life.  We will be uniting soon.
Today we lost our mother/friend due to colon cancer.  It is heart breaking to see her go.  We were blessed to have her in our life.  She is now in a better place.  We were happy God allowed us to express and show her how much we love her and care for her in her final days.</t>
        </is>
      </c>
      <c r="D7639" t="n">
        <v>1</v>
      </c>
      <c r="E7639" t="n">
        <v>0</v>
      </c>
      <c r="F7639">
        <f>HYPERLINK("https://www.reddit.com/r/cancer/comments/f0ybkw/a_special_angel_is_now_jome/")</f>
        <v/>
      </c>
      <c r="G7639" t="inlineStr">
        <is>
          <t>2020-02-08 13:47:43</t>
        </is>
      </c>
      <c r="H7639" t="inlineStr"/>
    </row>
    <row r="7640">
      <c r="A7640" t="inlineStr">
        <is>
          <t>f0yhi1</t>
        </is>
      </c>
      <c r="B7640" t="inlineStr">
        <is>
          <t>My Dad's Pancreatic Cancer</t>
        </is>
      </c>
      <c r="C7640" t="inlineStr">
        <is>
          <t>My dad was recently diagnosed with pancreatic cancer. He's a very closed off person and not telling me much of what is happening. From what I've read, pancreatic cancer tends to be aggressive. I'm only 21. I live 4 hours away in a college town. I have never dealt with anything like this before. Any advice?</t>
        </is>
      </c>
      <c r="D7640" t="n">
        <v>1</v>
      </c>
      <c r="E7640" t="n">
        <v>14</v>
      </c>
      <c r="F7640">
        <f>HYPERLINK("https://www.reddit.com/r/cancer/comments/f0yhi1/my_dads_pancreatic_cancer/")</f>
        <v/>
      </c>
      <c r="G7640" t="inlineStr">
        <is>
          <t>2020-02-08 13:59:30</t>
        </is>
      </c>
      <c r="H7640" t="inlineStr"/>
    </row>
    <row r="7641">
      <c r="A7641" t="inlineStr">
        <is>
          <t>f0yjqp</t>
        </is>
      </c>
      <c r="B7641" t="inlineStr">
        <is>
          <t>A Special Angel Is Now Home</t>
        </is>
      </c>
      <c r="C7641" t="inlineStr">
        <is>
          <t>Today a special person was called by God to join him in heaven.  My angel is now next to God looking after her children, family and friends.  My mother was a caring and lovable person.  She will always be remembered by how well she made others feel aroind her.  We love you mother, you are most sacred person in our life.  We will be uniting soon.
Today we lost our mother/friend due to colon cancer.  It is heart breaking to see her go.  We were blessed to have her in our life.  She is now in a better place.  We were happy God allowed us to express and show her how much we love her and care for her in her final days.</t>
        </is>
      </c>
      <c r="D7641" t="n">
        <v>1</v>
      </c>
      <c r="E7641" t="n">
        <v>0</v>
      </c>
      <c r="F7641">
        <f>HYPERLINK("https://www.reddit.com/r/cancer/comments/f0yjqp/a_special_angel_is_now_home/")</f>
        <v/>
      </c>
      <c r="G7641" t="inlineStr">
        <is>
          <t>2020-02-08 14:03:44</t>
        </is>
      </c>
      <c r="H7641" t="inlineStr"/>
    </row>
    <row r="7642">
      <c r="A7642" t="inlineStr">
        <is>
          <t>f0za4n</t>
        </is>
      </c>
      <c r="B7642" t="inlineStr">
        <is>
          <t>Does icu mean they are dying?</t>
        </is>
      </c>
      <c r="C7642" t="inlineStr">
        <is>
          <t>My ex mil is now in the icu. I tried to visit but her daughters won’t let me. They are resentful cause I had to get a domestic violence RO against their sun. But I am very close with my MIL and she is my kids grandma.</t>
        </is>
      </c>
      <c r="D7642" t="n">
        <v>1</v>
      </c>
      <c r="E7642" t="n">
        <v>12</v>
      </c>
      <c r="F7642">
        <f>HYPERLINK("https://www.reddit.com/r/cancer/comments/f0za4n/does_icu_mean_they_are_dying/")</f>
        <v/>
      </c>
      <c r="G7642" t="inlineStr">
        <is>
          <t>2020-02-08 14:57:13</t>
        </is>
      </c>
      <c r="H7642" t="inlineStr"/>
    </row>
    <row r="7643">
      <c r="A7643" t="inlineStr">
        <is>
          <t>f10etz</t>
        </is>
      </c>
      <c r="B7643" t="inlineStr">
        <is>
          <t>Anyone on low dose Taxol (Paclitacel) using a Pacman cold cap?</t>
        </is>
      </c>
      <c r="C7643" t="inlineStr">
        <is>
          <t>I'll be starting chemo soon and will be doing a "low dose" Taxol regimen, once a week for 12 weeks. My doctors told me that this particular regimen yields good cold cap results (they specifically use this Paxman system) and have offered it to me, but before I spend the money on it, I want to see how people in the wild have fared/are faring with it. I'm really hoping for some details on how much hair is lost and what that means irl - pics would be great if anyone has them. My fear is that it won't save enough of my hair to be worth the cost - but is that an unfounded fear?</t>
        </is>
      </c>
      <c r="D7643" t="n">
        <v>1</v>
      </c>
      <c r="E7643" t="n">
        <v>6</v>
      </c>
      <c r="F7643">
        <f>HYPERLINK("https://www.reddit.com/r/cancer/comments/f10etz/anyone_on_low_dose_taxol_paclitacel_using_a/")</f>
        <v/>
      </c>
      <c r="G7643" t="inlineStr">
        <is>
          <t>2020-02-08 16:19:12</t>
        </is>
      </c>
      <c r="H7643" t="inlineStr"/>
    </row>
    <row r="7644">
      <c r="A7644" t="inlineStr">
        <is>
          <t>f12esg</t>
        </is>
      </c>
      <c r="B7644" t="inlineStr">
        <is>
          <t>Mom</t>
        </is>
      </c>
      <c r="C7644" t="inlineStr">
        <is>
          <t>My mom started hospice care on January 17th,  she’s been doing so well just being home and free of treatments, but i can see her lung cancer is starting to take its toll. We lost my dad only 2 years ago to ALS and my mom was only diagnosed with cancer 6 months after him passing. I’m 30 and I have a 18 year old sister I’ve been taking care of throughout all of this. I am strong but things are really weighing on me. I want to help my mom as much as i can, is there anything i can do besides just being there for her while this terrible disease eats her away. Just asking for support and encouragement.</t>
        </is>
      </c>
      <c r="D7644" t="n">
        <v>1</v>
      </c>
      <c r="E7644" t="n">
        <v>11</v>
      </c>
      <c r="F7644">
        <f>HYPERLINK("https://www.reddit.com/r/cancer/comments/f12esg/mom/")</f>
        <v/>
      </c>
      <c r="G7644" t="inlineStr">
        <is>
          <t>2020-02-08 18:51:56</t>
        </is>
      </c>
      <c r="H7644" t="inlineStr"/>
    </row>
    <row r="7645">
      <c r="A7645" t="inlineStr">
        <is>
          <t>f12ouz</t>
        </is>
      </c>
      <c r="B7645" t="inlineStr">
        <is>
          <t>CAR T-cell therapy</t>
        </is>
      </c>
      <c r="C7645" t="inlineStr">
        <is>
          <t>There a lot of news about car t-cell therapy saying it targets cancer and destroys it. If it is so effective why is this not considered a universal cure yet?</t>
        </is>
      </c>
      <c r="D7645" t="n">
        <v>1</v>
      </c>
      <c r="E7645" t="n">
        <v>7</v>
      </c>
      <c r="F7645">
        <f>HYPERLINK("https://www.reddit.com/r/cancer/comments/f12ouz/car_tcell_therapy/")</f>
        <v/>
      </c>
      <c r="G7645" t="inlineStr">
        <is>
          <t>2020-02-08 19:13:16</t>
        </is>
      </c>
      <c r="H7645" t="inlineStr"/>
    </row>
    <row r="7646">
      <c r="A7646" t="inlineStr">
        <is>
          <t>f134b2</t>
        </is>
      </c>
      <c r="B7646" t="inlineStr">
        <is>
          <t>Coronavirus Precautions (if any)?</t>
        </is>
      </c>
      <c r="C7646" t="inlineStr">
        <is>
          <t>I am a carer for my mother who is currently undergoing chemotherapy. As I’m sure most of you are aware, I know cancer patients immune systems are compromised during treatment.
I make her food, give her medication and normally am in close proximity to her. I live in Sydney city (where I believe a couple of cases have been confirmed). 
If it was just me, I wouldn’t really care, but I am so scared to even go in the public (I do when I need to) especially since I know that you can still transmit it and be asymptomatic. 
So my worst fear is that I could receive it, have no symptoms and pass it on to my mother.
I constantly only see the people in my house and when I see people outside my house (I haven’t in a while, due to this and other factors) it re-energises me and makes me happy.
However, most of the times my friends socialise in the city in bars, and venues where there is an abundance of people, and I have to catch public transport.
I have asked two GPs about this. One has said you’re being over cautious continue as normal and another who has told me to limit my interactions outside and wear a mask. 
Has anyone had a chance to talk to their oncologist about this? What are other people doing (if anything)?
Also, I normally limit my time spent on internet forums on cancer, but does anyone know any place on the internet where people are talking about this?
Thanks :)</t>
        </is>
      </c>
      <c r="D7646" t="n">
        <v>1</v>
      </c>
      <c r="E7646" t="n">
        <v>4</v>
      </c>
      <c r="F7646">
        <f>HYPERLINK("https://www.reddit.com/r/cancer/comments/f134b2/coronavirus_precautions_if_any/")</f>
        <v/>
      </c>
      <c r="G7646" t="inlineStr">
        <is>
          <t>2020-02-08 19:47:55</t>
        </is>
      </c>
      <c r="H7646" t="inlineStr"/>
    </row>
    <row r="7647">
      <c r="A7647" t="inlineStr">
        <is>
          <t>f13zqd</t>
        </is>
      </c>
      <c r="B7647" t="inlineStr">
        <is>
          <t>Questions from a worried son</t>
        </is>
      </c>
      <c r="C7647" t="inlineStr">
        <is>
          <t>Hello, my father was recently diagnosed with stage 2 C 'agressive' prostate cancer. Doctors did testing and it hasn't spread at all and is localized at the moment. Luckily he does yearly testing and caught it but I was curious if anyone has gone through a similar situation with themselves or a family member
He will be doing the treatment where they insert ~100 radioactive pellets until his prostate followed by 5 weeks of radiation from a VMAT machine.
Supposedly from what my mom says the doctors think he'll make a recovery with minimal side effects but I'm a little worried. I know it is an extremely high survival rate so I'm not too worried yet but you never know. His first treatment begins in around a month so I'm hoping for a quick and easy recovery from him.
Just looking to hear people's experiences in similar situations. Wanted to get it off my chest as well, thank you</t>
        </is>
      </c>
      <c r="D7647" t="n">
        <v>1</v>
      </c>
      <c r="E7647" t="n">
        <v>1</v>
      </c>
      <c r="F7647">
        <f>HYPERLINK("https://www.reddit.com/r/cancer/comments/f13zqd/questions_from_a_worried_son/")</f>
        <v/>
      </c>
      <c r="G7647" t="inlineStr">
        <is>
          <t>2020-02-08 21:04:35</t>
        </is>
      </c>
      <c r="H7647" t="inlineStr"/>
    </row>
    <row r="7648">
      <c r="A7648" t="inlineStr">
        <is>
          <t>f14dz2</t>
        </is>
      </c>
      <c r="B7648" t="inlineStr">
        <is>
          <t>I think she'll be gone before I get there</t>
        </is>
      </c>
      <c r="C7648" t="inlineStr">
        <is>
          <t>My aunt took a turn today. Mum and I are making the 5 hour drive first thing in the morning, but I have a feeling she won't make it through the night. I just can't believe it.</t>
        </is>
      </c>
      <c r="D7648" t="n">
        <v>1</v>
      </c>
      <c r="E7648" t="n">
        <v>3</v>
      </c>
      <c r="F7648">
        <f>HYPERLINK("https://www.reddit.com/r/cancer/comments/f14dz2/i_think_shell_be_gone_before_i_get_there/")</f>
        <v/>
      </c>
      <c r="G7648" t="inlineStr">
        <is>
          <t>2020-02-08 21:41:27</t>
        </is>
      </c>
      <c r="H7648" t="inlineStr"/>
    </row>
    <row r="7649">
      <c r="A7649" t="inlineStr">
        <is>
          <t>f14mlp</t>
        </is>
      </c>
      <c r="B7649" t="inlineStr">
        <is>
          <t>My mom told me tonight that she has cancer. How can I give her my hair?</t>
        </is>
      </c>
      <c r="C7649" t="inlineStr">
        <is>
          <t>My mom told me tonight that she was diagnosed with cancer around the time she was in the hospital for pneumonia. She did not want to tell us until she knew the prognosis. 
Luckily, it’s a very good prognosis. They’re basically planning chemo for 6 months and they think that after that she’ll be doing very well. They’ll predict that she’ll be able to work again too after all is said and done. She begins chemo on Monday.
For no reason, I felt extremely compelled to begin growing my hair to donate it around a year or two ago. My mom has always told me that she loves my hair and it’s so healthy and pretty. I asked if I could give her my hair, and she told me to pray about it because she’d be happy to accept it but if I felt called to donate it to a children’s wig charity she would want me to do that.
I love my mom beyond any way I can explain. I really want to give my mom my hair. Is there any way I can specifically have it made for a wig for her? Would I have to work one-on-one with someone who makes wigs, do you think?
thank you in advance. much love to everyone ♥️</t>
        </is>
      </c>
      <c r="D7649" t="n">
        <v>1</v>
      </c>
      <c r="E7649" t="n">
        <v>5</v>
      </c>
      <c r="F7649">
        <f>HYPERLINK("https://www.reddit.com/r/cancer/comments/f14mlp/my_mom_told_me_tonight_that_she_has_cancer_how/")</f>
        <v/>
      </c>
      <c r="G7649" t="inlineStr">
        <is>
          <t>2020-02-08 22:06:05</t>
        </is>
      </c>
      <c r="H7649" t="inlineStr"/>
    </row>
    <row r="7650">
      <c r="A7650" t="inlineStr">
        <is>
          <t>f14sql</t>
        </is>
      </c>
      <c r="B7650" t="inlineStr">
        <is>
          <t>Husband won’t stop drinking and drugging now has ascides and edema in his feet and legs</t>
        </is>
      </c>
      <c r="C7650" t="inlineStr">
        <is>
          <t>He’s 65, Ultrasound scheduled for this week. He’s not responding to diuretics and his weight is increasing about 2 lbs a day. Anyone dealt with this?</t>
        </is>
      </c>
      <c r="D7650" t="n">
        <v>1</v>
      </c>
      <c r="E7650" t="n">
        <v>1</v>
      </c>
      <c r="F7650">
        <f>HYPERLINK("https://www.reddit.com/r/cancer/comments/f14sql/husband_wont_stop_drinking_and_drugging_now_has/")</f>
        <v/>
      </c>
      <c r="G7650" t="inlineStr">
        <is>
          <t>2020-02-08 22:22:31</t>
        </is>
      </c>
      <c r="H7650" t="inlineStr"/>
    </row>
    <row r="7651">
      <c r="A7651" t="inlineStr">
        <is>
          <t>f16etq</t>
        </is>
      </c>
      <c r="B7651" t="inlineStr">
        <is>
          <t>My mother has stage IV lung cancer, she wants me to to marry my girlfriend before she dies.</t>
        </is>
      </c>
      <c r="C7651" t="inlineStr">
        <is>
          <t>My mother is 99% terminally ill with lung cancer at 48 years old. As far as I know she never smoked a day in her life. In fact, she ran her first marathon a year prior to her diagnosis. She is an amazing woman, and has been a major influence on my life.
Only a month before her cancer diagnosis I moved overseas to work in China for a year. I met a great woman during my overseas job. She was also American and we continued our (now &amp;lt;1 year) relationship when we returned to stay with my family after living overseas.
My mother desperately wants to see her son get married &amp;amp; have kids before she dies. She took me aside and gave me her wedding ring (which she can no longer wear due to her swollen fingers from chemotherapy) I care deeply for my GF but I don't feel like I'm in a position to propose to her.
I don't know how to broach the subject with my mother. She is constantly putting pressure on me (the oldest son) to get married, but I don't want to propose to someone prematurely. I want her to be happy, but I can't meet her expectations. I'm honestly not at a place in my life to commit to a marriage which is supposed to last forever. I also don't know what to say to my mother in order to prevent her from dying with regrets...</t>
        </is>
      </c>
      <c r="D7651" t="n">
        <v>1</v>
      </c>
      <c r="E7651" t="n">
        <v>25</v>
      </c>
      <c r="F7651">
        <f>HYPERLINK("https://www.reddit.com/r/cancer/comments/f16etq/my_mother_has_stage_iv_lung_cancer_she_wants_me/")</f>
        <v/>
      </c>
      <c r="G7651" t="inlineStr">
        <is>
          <t>2020-02-09 01:22:27</t>
        </is>
      </c>
      <c r="H7651" t="inlineStr"/>
    </row>
    <row r="7652">
      <c r="A7652" t="inlineStr">
        <is>
          <t>f18b8q</t>
        </is>
      </c>
      <c r="B7652" t="inlineStr">
        <is>
          <t>Is it ever okay to give blood after liposarcoma?</t>
        </is>
      </c>
      <c r="C7652" t="inlineStr">
        <is>
          <t>I was diagnosed with myxoid liposarcoma in july of 2014. The 13cm tumor was removed in August-2014, followed by 33 rounds of local-site radiation, and then three rounds of Adriamycin, Ifosfamide, and Mesna (AIM) regiment chemotherapy which ended in February 2015. 
I had regular local site MRIs and CTs of my chest, abdomen, and chest conducted in the subsequent years with no signs of recurrence. I was released by my orthopedic and medical oncologist in May of 2019! (Yay, right?)
My question is will it ever be okay to give blood? I know the American Red Cross says it’s okay two years after treatments end, but that is a general statement made based on more common types of cancer than myxoid liposarcoma, and there just isn’t enough cases to study how it is potentially spread. I want to give blood but the thought of passing this cancer along is too much. 
TL;DR  i had a rare cancer years ago with recurrence rates that never drop to zero. Is it ever okay to give blood?</t>
        </is>
      </c>
      <c r="D7652" t="n">
        <v>1</v>
      </c>
      <c r="E7652" t="n">
        <v>3</v>
      </c>
      <c r="F7652">
        <f>HYPERLINK("https://www.reddit.com/r/cancer/comments/f18b8q/is_it_ever_okay_to_give_blood_after_liposarcoma/")</f>
        <v/>
      </c>
      <c r="G7652" t="inlineStr">
        <is>
          <t>2020-02-09 04:59:22</t>
        </is>
      </c>
      <c r="H7652" t="inlineStr"/>
    </row>
    <row r="7653">
      <c r="A7653" t="inlineStr">
        <is>
          <t>f19i9s</t>
        </is>
      </c>
      <c r="B7653" t="inlineStr">
        <is>
          <t>Getting results tomorrow, need some words of encouragement</t>
        </is>
      </c>
      <c r="C7653" t="inlineStr">
        <is>
          <t>I've been having some really concerning symptoms in the last two weeks and I've been in and out of the doctor's office while they did blood tests and everything. I'm 24 so they weren't even considering cancer yet. I've smoked weed for about two years and recently quit 3 weeks and I lived in Beijing for a year, where the air quality was consistantly awful (I wore a mask, not sure how much that helped). However the symptoms were felt in my head so I requested that my doctor order a CT scan to be safe, which I had on Friday.
I haven't been having headaches, just muddled thoughts/dizzyness/trouble sleeping. I thought it was that I quit smoking but it's only gotten gradually worse, and I've quit smoking weed successfully before without more than a day or two of feeling off. 
I've had two unrelated family members come down with some form of cancer, and only one of them made it through because of how their body successfully sealed it off. I'm terrified that it's my turn now. I'm terrified that smoking weed masked my symptoms for months and now it's too late. 
Sorry for sounding so doom and gloom, writing has been able to help me process all this. Maybe the health anxiety is making me think up all of these issues.</t>
        </is>
      </c>
      <c r="D7653" t="n">
        <v>1</v>
      </c>
      <c r="E7653" t="n">
        <v>8</v>
      </c>
      <c r="F7653">
        <f>HYPERLINK("https://www.reddit.com/r/cancer/comments/f19i9s/getting_results_tomorrow_need_some_words_of/")</f>
        <v/>
      </c>
      <c r="G7653" t="inlineStr">
        <is>
          <t>2020-02-09 06:43:17</t>
        </is>
      </c>
      <c r="H7653" t="inlineStr"/>
    </row>
    <row r="7654">
      <c r="A7654" t="inlineStr">
        <is>
          <t>f1ahzv</t>
        </is>
      </c>
      <c r="B7654" t="inlineStr">
        <is>
          <t>Request for research survey participation</t>
        </is>
      </c>
      <c r="C7654" t="inlineStr">
        <is>
          <t>Hello All,
 I write to ask for your participation in a short pilot study I am conducting related to adverse childhood experiences (‘ACEs’) and adult health. All participants are welcomed, you do not need to have had any ‘childhood adversity’ . Neither is the survey focused on any particular health or disease state. 
The study has been approved by the Thomas Jefferson University IRB and is completely anonymous – no identifying information is collected, including IP address. The survey only takes 7-10 minutes.
I’m happy to answer any questions you have about the research and also happy to disseminate the results.
With my sincere thanks for your time!
[SURVEY LINK](https://jefferson.co1.qualtrics.com/jfe/form/SV_bNSfaJwDQbGf12d)</t>
        </is>
      </c>
      <c r="D7654" t="n">
        <v>1</v>
      </c>
      <c r="E7654" t="n">
        <v>3</v>
      </c>
      <c r="F7654">
        <f>HYPERLINK("https://www.reddit.com/r/cancer/comments/f1ahzv/request_for_research_survey_participation/")</f>
        <v/>
      </c>
      <c r="G7654" t="inlineStr">
        <is>
          <t>2020-02-09 07:58:07</t>
        </is>
      </c>
      <c r="H7654" t="inlineStr"/>
    </row>
    <row r="7655">
      <c r="A7655" t="inlineStr">
        <is>
          <t>f1avmi</t>
        </is>
      </c>
      <c r="B7655" t="inlineStr">
        <is>
          <t>What can I do? What questions should I ask?</t>
        </is>
      </c>
      <c r="C7655" t="inlineStr">
        <is>
          <t>Just found out that my mom has a stage 1 breast tumour. It’s green a shock and I don’t think she’s taking it well because of the impact cancer has had on her friends and family. 
Should I visit her today or would that be weird (we often don’t see for weeks). She doesn’t want to tell my sister until post op. Should I force her to? Or tell my sister myself? 
I’ll be there at every appointment but want to know where to expect so i I don’t cry. What questions should I ask? Can I speak to the doctors alone (to ask questions without scaring her?)</t>
        </is>
      </c>
      <c r="D7655" t="n">
        <v>1</v>
      </c>
      <c r="E7655" t="n">
        <v>4</v>
      </c>
      <c r="F7655">
        <f>HYPERLINK("https://www.reddit.com/r/cancer/comments/f1avmi/what_can_i_do_what_questions_should_i_ask/")</f>
        <v/>
      </c>
      <c r="G7655" t="inlineStr">
        <is>
          <t>2020-02-09 08:24:52</t>
        </is>
      </c>
      <c r="H7655" t="inlineStr"/>
    </row>
    <row r="7656">
      <c r="A7656" t="inlineStr">
        <is>
          <t>f1dzpb</t>
        </is>
      </c>
      <c r="B7656" t="inlineStr">
        <is>
          <t>Stage IV Cancer</t>
        </is>
      </c>
      <c r="C7656" t="inlineStr">
        <is>
          <t>I escaped cancer for 2 hours.
After eliminating my pain with cannabis I proceeded to recline in my wheelchair and listened to the vinyl "Santana 3" produced and issued in 1971.
I have no knowledge of the amplifiers, pre-amps, rebuilt Swiss turntable, cartridge, stylist but greatly enjoyed the results. My son, Kurt, and husband, Bill, have created this unknown monster by either building the parts themselves, re-furnishing old parts and/or finding super deals on eBay or Black Friday.
Additionally, I have no knowledge of the discussion between Bill and Kurt involving the groove depth of the album track or material from which the album is manufactured. There is a competition between Bill and Kurt, which Kurt continues to win, on purchasing an original clean release and then "scrubbing" the album bringing it back to near perfect condition at the lowest cost. The range has been $2.99 up to $5.99. Again, I have no knowledge of this " scrubbing " process but always enjoy the results, particularly with the use of ancient Chinese medicine.
Not participating in this lowest cost competition, I purchased Billy Joel’s Greatest Hits Volume 1&amp;amp; 2 1985 unopened original recording for $22.00. A big trip down nostalgia road.</t>
        </is>
      </c>
      <c r="D7656" t="n">
        <v>1</v>
      </c>
      <c r="E7656" t="n">
        <v>0</v>
      </c>
      <c r="F7656">
        <f>HYPERLINK("https://www.reddit.com/r/cancer/comments/f1dzpb/stage_iv_cancer/")</f>
        <v/>
      </c>
      <c r="G7656" t="inlineStr">
        <is>
          <t>2020-02-09 11:52:57</t>
        </is>
      </c>
      <c r="H7656" t="inlineStr"/>
    </row>
    <row r="7657">
      <c r="A7657" t="inlineStr">
        <is>
          <t>f1e76i</t>
        </is>
      </c>
      <c r="B7657" t="inlineStr">
        <is>
          <t>Need advice from blood cancer patients in the UK</t>
        </is>
      </c>
      <c r="C7657" t="inlineStr">
        <is>
          <t>Hi all!
I'm a 28 year old guy in Australia who is (hopefully going to hear in March that I'm) in remission from Hodgkin Lymphoma.
Obviously I'll still need my 3 monthly checkups, however there's been a lull in my career as my current employer very sneakily chose not to extend my contract. Coincidentally after I needed time off for treatment last year, go figure.
I'm taking it as a positive though because job prospects in the UK are real good in my field and I've still got time to get a working visa. Aussies get reciprocal healthcare over there via the NHS. I've told my Haematologist about it and she doesn't have any issues with me doing it (provided I'm actually in remission of course).
The problem? I have no idea how to see a Haematologist over there and what it would entail to get referred to one, and if they're covered by the NHS for follow up appointments. I saw on one website that some places over there are starting to suggest patients just monitor their own symptoms at home instead, which is a terrifying concept to me and just reeks of an underfunded healthcare system.
Since I'll probably be working locum jobs around the UK, my plan was to set up with a Haematologist somewhere central whom I could just visit once every few months.
So tl;Dr - can anyone in the UK shed light on how to get referred to a Haematologist in the UK? Are appointments covered by NHS and is there anything I need to know?</t>
        </is>
      </c>
      <c r="D7657" t="n">
        <v>1</v>
      </c>
      <c r="E7657" t="n">
        <v>3</v>
      </c>
      <c r="F7657">
        <f>HYPERLINK("https://www.reddit.com/r/cancer/comments/f1e76i/need_advice_from_blood_cancer_patients_in_the_uk/")</f>
        <v/>
      </c>
      <c r="G7657" t="inlineStr">
        <is>
          <t>2020-02-09 12:06:18</t>
        </is>
      </c>
      <c r="H7657" t="inlineStr"/>
    </row>
    <row r="7658">
      <c r="A7658" t="inlineStr">
        <is>
          <t>f1er3t</t>
        </is>
      </c>
      <c r="B7658" t="inlineStr">
        <is>
          <t>I'm putting together an immunosuppression starter kit for my sister. I could use some suggestions</t>
        </is>
      </c>
      <c r="C7658" t="inlineStr">
        <is>
          <t>Hello,
There isn't a large reddit for immunosuppression but I was hoping you guys would be so kind as to allow me to post this question. First, my sister does not have cancer. I do not mean to mislead anyone. She has recently diagnosed serious and rare autoimmune disease which will require heavy life long immunosuppression with medications that can lead to the same immunocompromised state found in individuals undergoing radiation and chemotherapy. I know many here will have had experience on immunosuppression and know how challenging it can be. 
I am trying to put together a kit for my sister who lives in a rural area on a farm. This kit is to help protect her from the significant risk factors around her and allow her to continue with her daily life with as little interruption as possible.
Minor bit about me (I am a medical student and the below are items are know are helpful and can assign levels of effectiveness for. However, I know that patients are often a reservoir of amazing information that is not always taught in medical school. This is why I ask for your advice.)
So far this is my kit:
\- 3 hand sanitizer stations for each doors to their house. Includes gloves and disposable masks for sick contacts to wear.
\- House hold cleaners that directly target some of the specific pathogens in her area
\- UV lights that will come on in the kitchen at night to disinfect without harming those in the house.
\- Masks/gloves for her to use while cleaning
\- antibiotic ointment to be used prophylactically on cuts and scrapes.
\-Hospital grade disinfectant wipes (the ones used in room turnover) + instructions on how to use them.
\- a really accurate thermometer
\- BP cuff/watch to monitor HR (due the large artery involvement of her condition)
\- A list of foods to avoid/foods that need to be pasteurized or cooked to certain temperatures.
\- Air purifier
\- a list of immunizations to keep up on
\- also bath bombs and lots of chocolate because there has to be something nice and enjoyable in this gift basket.
Additionally, I am compiling symptoms to keep an eye out for and information on the high risk pathogens in her area such as histoplasmosis.
I would sincerely appreciate other suggestions from people who have experienced immunosuppression and those who have known someone who has been immunosuppressed.
Thank you very much.</t>
        </is>
      </c>
      <c r="D7658" t="n">
        <v>1</v>
      </c>
      <c r="E7658" t="n">
        <v>25</v>
      </c>
      <c r="F7658">
        <f>HYPERLINK("https://www.reddit.com/r/cancer/comments/f1er3t/im_putting_together_an_immunosuppression_starter/")</f>
        <v/>
      </c>
      <c r="G7658" t="inlineStr">
        <is>
          <t>2020-02-09 12:42:42</t>
        </is>
      </c>
      <c r="H7658" t="inlineStr"/>
    </row>
    <row r="7659">
      <c r="A7659" t="inlineStr">
        <is>
          <t>f1fboq</t>
        </is>
      </c>
      <c r="B7659" t="inlineStr">
        <is>
          <t>Anyone else have a sour milk taste in their throat?</t>
        </is>
      </c>
      <c r="C7659" t="inlineStr">
        <is>
          <t>Finished my first cycle of cisplatin as doxorubicin the other day and was quite sick, now I can really taste sour milk in the back of my throat and its really stopping me from eating .</t>
        </is>
      </c>
      <c r="D7659" t="n">
        <v>1</v>
      </c>
      <c r="E7659" t="n">
        <v>5</v>
      </c>
      <c r="F7659">
        <f>HYPERLINK("https://www.reddit.com/r/cancer/comments/f1fboq/anyone_else_have_a_sour_milk_taste_in_their_throat/")</f>
        <v/>
      </c>
      <c r="G7659" t="inlineStr">
        <is>
          <t>2020-02-09 13:20:45</t>
        </is>
      </c>
      <c r="H7659" t="inlineStr"/>
    </row>
    <row r="7660">
      <c r="A7660" t="inlineStr">
        <is>
          <t>f1gupu</t>
        </is>
      </c>
      <c r="B7660" t="inlineStr">
        <is>
          <t>Hair loss and regrowth?</t>
        </is>
      </c>
      <c r="C7660" t="inlineStr">
        <is>
          <t>Two and a half years in remission.  My hair came back curly and all gray.  Fast forward about a year and I’m noticing my hair is more straight and it’s been thinning for the past month.  I just turned 55 last year.  Is this normal? 
I just started using Nioxin again. I used to have suer thick hair.
Anyone else experience this?</t>
        </is>
      </c>
      <c r="D7660" t="n">
        <v>1</v>
      </c>
      <c r="E7660" t="n">
        <v>4</v>
      </c>
      <c r="F7660">
        <f>HYPERLINK("https://www.reddit.com/r/cancer/comments/f1gupu/hair_loss_and_regrowth/")</f>
        <v/>
      </c>
      <c r="G7660" t="inlineStr">
        <is>
          <t>2020-02-09 15:04:44</t>
        </is>
      </c>
      <c r="H7660" t="inlineStr"/>
    </row>
    <row r="7661">
      <c r="A7661" t="inlineStr">
        <is>
          <t>f1hotb</t>
        </is>
      </c>
      <c r="B7661" t="inlineStr">
        <is>
          <t>good news !!!!!!!</t>
        </is>
      </c>
      <c r="C7661" t="inlineStr">
        <is>
          <t>[https://www.youtube.com/watch?v=b9r2dG2Rar4&amp;amp;feature=youtu.be](https://www.youtube.com/watch?v=b9r2dG2Rar4&amp;amp;feature=youtu.be)
&amp;amp;#x200B;
hope you like that stuff ill post more in the future.
IM A HAPPY MAN :))))</t>
        </is>
      </c>
      <c r="D7661" t="n">
        <v>1</v>
      </c>
      <c r="E7661" t="n">
        <v>0</v>
      </c>
      <c r="F7661">
        <f>HYPERLINK("https://www.reddit.com/r/cancer/comments/f1hotb/good_news/")</f>
        <v/>
      </c>
      <c r="G7661" t="inlineStr">
        <is>
          <t>2020-02-09 16:05:01</t>
        </is>
      </c>
      <c r="H7661" t="inlineStr"/>
    </row>
    <row r="7662">
      <c r="A7662" t="inlineStr">
        <is>
          <t>f1ijds</t>
        </is>
      </c>
      <c r="B7662" t="inlineStr">
        <is>
          <t>I dont know if this will be excepted but</t>
        </is>
      </c>
      <c r="C7662" t="inlineStr">
        <is>
          <t>Ok this will be short mainly cause I dont know all of the details but my friend today has failed the fight with cancer. He had it in his lungs and went through a lot of chemo. He successfully got rid of the cancer in his lungs and no one realized it spread to his heart. They found out too late. Today in the afternoon, Kevin C. of Ohio has died and will be remembered for being a good friend, son, and sibling. I just wanted to share this with someone. Rip Kevin (he was only 13).</t>
        </is>
      </c>
      <c r="D7662" t="n">
        <v>1</v>
      </c>
      <c r="E7662" t="n">
        <v>5</v>
      </c>
      <c r="F7662">
        <f>HYPERLINK("https://www.reddit.com/r/cancer/comments/f1ijds/i_dont_know_if_this_will_be_excepted_but/")</f>
        <v/>
      </c>
      <c r="G7662" t="inlineStr">
        <is>
          <t>2020-02-09 17:08:37</t>
        </is>
      </c>
      <c r="H7662" t="inlineStr"/>
    </row>
    <row r="7663">
      <c r="A7663" t="inlineStr">
        <is>
          <t>f1isub</t>
        </is>
      </c>
      <c r="B7663" t="inlineStr">
        <is>
          <t>My mother-in-law is terminal and has maybe 90 days.</t>
        </is>
      </c>
      <c r="C7663" t="inlineStr">
        <is>
          <t>The chemo didn’t work and I need help. My wife is struggling with this and I’m watching her entire family (father and brother) suffer. Does anyone have any ideas on how I can help them remember my mother-in-law after she passes? I am already going to have quilts made out of her clothes for my wife and her brother as well as my wife’s father..... but I just feel like I should be doing more. How can I help them remember?</t>
        </is>
      </c>
      <c r="D7663" t="n">
        <v>1</v>
      </c>
      <c r="E7663" t="n">
        <v>6</v>
      </c>
      <c r="F7663">
        <f>HYPERLINK("https://www.reddit.com/r/cancer/comments/f1isub/my_motherinlaw_is_terminal_and_has_maybe_90_days/")</f>
        <v/>
      </c>
      <c r="G7663" t="inlineStr">
        <is>
          <t>2020-02-09 17:29:28</t>
        </is>
      </c>
      <c r="H7663" t="inlineStr"/>
    </row>
    <row r="7664">
      <c r="A7664" t="inlineStr">
        <is>
          <t>f1kfbd</t>
        </is>
      </c>
      <c r="B7664" t="inlineStr">
        <is>
          <t>My grandma was diagnosed with a primary cardiac angiosarcoma</t>
        </is>
      </c>
      <c r="C7664" t="inlineStr">
        <is>
          <t>BACKGROUND: So I recently found out that my 78 YO grandmother was diagnosed with a primary cardiac angiosarcoma in the right atrium. Her only other symptoms are pericardial effusion, shortness of break, and chest pain when she lies down due to the fluid surrounding her heart (other than that she seems extremely healthy, and her blood reports—cholesterol, WBC count, etc.—are totally normal) The extraordinary part of her case is that after both and abdominal CT and chest MRI, they have not discovered any other metastatic lesions anywhere in the body.  The surgeon has assured us that the tumor (located in the wall of the right atrium based on her ECG) looks to be in a good position for it to be removed, and everything I’ve read has suggested the life expectancy dramatically increases if the tumor is removed. The only issue is she recently had an MRI of her brain which showed no growths, however there were enhancements that led the radiologist to deem the report inconclusive. It’s since been passed on to a neuroradiologist for follow up, and if they conclude the enhancement is the beginning of a metastatic growth, they’ve informed us that surgery would no longer be an option as the life expectancy of stage 4 metastatic angiosarcoma is 6 months at best. 
QUESTION: As one of the rarest forms of cancer (~1 in 1,000,000 people diagnosed each year) I’m looking for any advice as to what should be done post surgery as it seems there is no real consensus on the types of chemo that work best. I’ve also done my best to find alternative treatment options  (immunotherapy treatments like anti-PD1, mTOR and RTK inhibitors), however it seems like all the doctors are pretty puzzled by the situation and unsure of how to proceed. Any help regarding effective therapies/multi-modal approaches would be greatly a appreciated if any doctors have come across a similar case. 
P.S. I’m sorry if this isn’t the right group to be posting this to, but I would absolutely welcome any suggestions for what thread this post might be better suited for. Also happy to also answer any other questions if posters feel it might help them to provide more accurate information! Thank you!</t>
        </is>
      </c>
      <c r="D7664" t="n">
        <v>1</v>
      </c>
      <c r="E7664" t="n">
        <v>4</v>
      </c>
      <c r="F7664">
        <f>HYPERLINK("https://www.reddit.com/r/cancer/comments/f1kfbd/my_grandma_was_diagnosed_with_a_primary_cardiac/")</f>
        <v/>
      </c>
      <c r="G7664" t="inlineStr">
        <is>
          <t>2020-02-09 19:36:14</t>
        </is>
      </c>
      <c r="H7664" t="inlineStr"/>
    </row>
    <row r="7665">
      <c r="A7665" t="inlineStr">
        <is>
          <t>f1knrs</t>
        </is>
      </c>
      <c r="B7665" t="inlineStr">
        <is>
          <t>Strange CT results</t>
        </is>
      </c>
      <c r="C7665" t="inlineStr">
        <is>
          <t>I'm a 34 year old male. I was diagnosed with colon cancer after a colonoscopy on Jan. 22nd this year. A tumor was found in my splenic flexture and it was large enough they could not get the camera past.  I was sent for a contrast CT.  The CT showed inflammation of surrounding lymph nodes.  No mets on my liver or lungs.  However, tissue density and an several enlarged subcarinal lymph nodes were spotted but were nonspecific in the medastium.  No other signs of metastasis was spotted. I was sent to a pulmonologist who said there were several enlarged subcarinal lymphnodes that were similar in size to those seen in people with lymphoma.  I was sent for a PET scan on friday and have not heard back.  I was a smoker for about 5 years but quit several years ago. I have been obsessing since seeing the pulmonologist and reading all I can.  Has anyone heard of a similar experience? Everything I read says that it is really uncommon for colon cancer to skip the liver and lungs.  Any insight would be helpful since I am having problems sleeping these days.</t>
        </is>
      </c>
      <c r="D7665" t="n">
        <v>1</v>
      </c>
      <c r="E7665" t="n">
        <v>6</v>
      </c>
      <c r="F7665">
        <f>HYPERLINK("https://www.reddit.com/r/cancer/comments/f1knrs/strange_ct_results/")</f>
        <v/>
      </c>
      <c r="G7665" t="inlineStr">
        <is>
          <t>2020-02-09 19:55:03</t>
        </is>
      </c>
      <c r="H7665" t="inlineStr"/>
    </row>
    <row r="7666">
      <c r="A7666" t="inlineStr">
        <is>
          <t>f1lpxu</t>
        </is>
      </c>
      <c r="B7666" t="inlineStr">
        <is>
          <t>UPDATE: The only good parental figure I've ever had is coming home for hospice and I'm not coping well. (Tw: death)</t>
        </is>
      </c>
      <c r="C7666" t="inlineStr">
        <is>
          <t>https://www.reddit.com/r/cancer/comments/emr1o0/the_only_good_parental_figure_ive_ever_had_is/
So she came home and I sat like a sentinel at her bedside. I was never away if I could help it. Every doubt and fear I had about doing hospice disappeared when they brought her home. And I knew it wouldn't be long. My MIL stayed with us all weekend and she and I did most of the work of taking care of her mom. 
Grandma knew who I was the first night, though she didn't know much else. She was worried about money, I talked her down. She demanded Pepsi and by god, I got her a pepsi and helped her drink it. The next day, she didn't know who we were but she wanted to hold my hand a lot so that's what I did. My MIL left to go to her home (15 mins away) on Sunday and then it was just me, my husband and his grandma like so many nights before. I felt like this might be it. 
I woke up at 4 am on January 18th. She was still breathing. My husband woke me up again at 6 am by kissing my forehead and said she was gone. I checked for myself, told her that I love her and cried until my MIL came back over. Her and my husband made the calls. I thought it was nice that the stretcher they took her out on had a a pillow, even though I knew it was pointless. 
It all happened quickly then. My husband and I got kicked out her house only days later, which wasn't what she wanted but there was issues with her will. We're staying with my MIL now. It's absolutely miserable. I feel the lowest I ever have in my whole life. I don't know what to do next. I know she would have wanted me and my husband to carry on and take care of each other, but beyond that, I'm not sure where our lives are going now. Thanks for listening.</t>
        </is>
      </c>
      <c r="D7666" t="n">
        <v>1</v>
      </c>
      <c r="E7666" t="n">
        <v>0</v>
      </c>
      <c r="F7666">
        <f>HYPERLINK("https://www.reddit.com/r/cancer/comments/f1lpxu/update_the_only_good_parental_figure_ive_ever_had/")</f>
        <v/>
      </c>
      <c r="G7666" t="inlineStr">
        <is>
          <t>2020-02-09 21:26:01</t>
        </is>
      </c>
      <c r="H7666" t="inlineStr"/>
    </row>
    <row r="7667">
      <c r="A7667" t="inlineStr">
        <is>
          <t>f1mezr</t>
        </is>
      </c>
      <c r="B7667" t="inlineStr">
        <is>
          <t>Atypia</t>
        </is>
      </c>
      <c r="C7667" t="inlineStr">
        <is>
          <t>How damgerious is an atypia? Is it a precursor for cancer?</t>
        </is>
      </c>
      <c r="D7667" t="n">
        <v>1</v>
      </c>
      <c r="E7667" t="n">
        <v>0</v>
      </c>
      <c r="F7667">
        <f>HYPERLINK("https://www.reddit.com/r/cancer/comments/f1mezr/atypia/")</f>
        <v/>
      </c>
      <c r="G7667" t="inlineStr">
        <is>
          <t>2020-02-09 22:32:31</t>
        </is>
      </c>
      <c r="H7667" t="inlineStr"/>
    </row>
    <row r="7668">
      <c r="A7668" t="inlineStr">
        <is>
          <t>f1mf66</t>
        </is>
      </c>
      <c r="B7668" t="inlineStr">
        <is>
          <t>Atypia</t>
        </is>
      </c>
      <c r="C7668" t="inlineStr">
        <is>
          <t>How dangerous is an Atypia? What does it do?</t>
        </is>
      </c>
      <c r="D7668" t="n">
        <v>1</v>
      </c>
      <c r="E7668" t="n">
        <v>2</v>
      </c>
      <c r="F7668">
        <f>HYPERLINK("https://www.reddit.com/r/cancer/comments/f1mf66/atypia/")</f>
        <v/>
      </c>
      <c r="G7668" t="inlineStr">
        <is>
          <t>2020-02-09 22:33:02</t>
        </is>
      </c>
      <c r="H7668" t="inlineStr"/>
    </row>
    <row r="7669">
      <c r="A7669" t="inlineStr">
        <is>
          <t>f1n9ml</t>
        </is>
      </c>
      <c r="B7669" t="inlineStr">
        <is>
          <t>The cancer is back...</t>
        </is>
      </c>
      <c r="C7669" t="inlineStr">
        <is>
          <t>7 years ago a meningioma was discovered in my head and removed by surgery and I've been doing yearly checkups since then. The last checkup was over 1 month ago and I had not gotten word back from the hospital so I called the hospital to ask them what was taking so long to get the results back. While calling I logged in online (my country has most medical records online these days) and saw that a doctor had made a note in my medical journal that the thing is back and that he recommends surgery since apparently radiation treatment is not a good fit for me. 
7 years ago when it was removed the first time I had just moved in with my girlfriend and (except for the intitial shock) I didn't feel so bad. It might sound wierd but I felt I had experienced love and accomplished things in my life (38 years old) and that if things was going to end family and friends - though devestated - could move on with their lives in time (naive I know). As I'm sitting here crying and writing this I know this time will be different since it took my parents like 5 years to calm down after the first tumor was removed (I'm an only child) and I also have two small kids (2 and 4 years old) to worry about as well. 
Does anyone out there who have gone through this either as a patient or as close bystander (family/friend/healthcare professional) have any advice? I am looking for practical advice about how to handle the situation because that is what I feel will help everyone around me.
(sorry for the spelling and grammar - English is not my first language)</t>
        </is>
      </c>
      <c r="D7669" t="n">
        <v>1</v>
      </c>
      <c r="E7669" t="n">
        <v>7</v>
      </c>
      <c r="F7669">
        <f>HYPERLINK("https://www.reddit.com/r/cancer/comments/f1n9ml/the_cancer_is_back/")</f>
        <v/>
      </c>
      <c r="G7669" t="inlineStr">
        <is>
          <t>2020-02-10 00:04:58</t>
        </is>
      </c>
      <c r="H7669" t="inlineStr"/>
    </row>
    <row r="7670">
      <c r="A7670" t="inlineStr">
        <is>
          <t>f1nf0h</t>
        </is>
      </c>
      <c r="B7670" t="inlineStr">
        <is>
          <t>Intravenous Vitamin C &amp;amp; Colloidal Silver Cancer Case Studies</t>
        </is>
      </c>
      <c r="C7670" t="inlineStr">
        <is>
          <t>Intravenous Vitamin C &amp;amp; Colloidal Silver Cancer Case Studies
there are two case studies posted in the official mainstream medicine literature on pubmed:
https://pubmed.ncbi.nlm.nih.gov/30537286-activity-and-pharmacology-of-homemade-silver-nanoparticles-in-refractory-metastatic-head-and-neck-squamous-cell-cancer/
https://www.ncbi.nlm.nih.gov/pmc/articles/PMC5882293/
thought everyone might be interested in case clinical trials are to get under way soon hopefully 
also on cancer.gov they reference more IV vitamin C studies:
https://www.cancer.gov/about-cancer/treatment/cam/patient/vitamin-c-pdq
please share any thoughts/experiences you have etc thank you</t>
        </is>
      </c>
      <c r="D7670" t="n">
        <v>1</v>
      </c>
      <c r="E7670" t="n">
        <v>4</v>
      </c>
      <c r="F7670">
        <f>HYPERLINK("https://www.reddit.com/r/cancer/comments/f1nf0h/intravenous_vitamin_c_colloidal_silver_cancer/")</f>
        <v/>
      </c>
      <c r="G7670" t="inlineStr">
        <is>
          <t>2020-02-10 00:21:46</t>
        </is>
      </c>
      <c r="H7670" t="inlineStr"/>
    </row>
    <row r="7671">
      <c r="A7671" t="inlineStr">
        <is>
          <t>f1nhvb</t>
        </is>
      </c>
      <c r="B7671" t="inlineStr">
        <is>
          <t>Friend of mine was diagnosed with Nasopharyngeal Carcinoma... Is this terminal?</t>
        </is>
      </c>
      <c r="C7671" t="inlineStr">
        <is>
          <t>Title.
He lives on an island. I live on another island. Thinking now would be a good time to reconnect with him and play some games together, make sure he can enjoy life and all of that good stuff.</t>
        </is>
      </c>
      <c r="D7671" t="n">
        <v>1</v>
      </c>
      <c r="E7671" t="n">
        <v>7</v>
      </c>
      <c r="F7671">
        <f>HYPERLINK("https://www.reddit.com/r/cancer/comments/f1nhvb/friend_of_mine_was_diagnosed_with_nasopharyngeal/")</f>
        <v/>
      </c>
      <c r="G7671" t="inlineStr">
        <is>
          <t>2020-02-10 00:31:23</t>
        </is>
      </c>
      <c r="H7671" t="inlineStr"/>
    </row>
    <row r="7672">
      <c r="A7672" t="inlineStr">
        <is>
          <t>f1noxh</t>
        </is>
      </c>
      <c r="B7672" t="inlineStr">
        <is>
          <t>Long waiting periods for approval of treatment [SOUTH AFRICA]</t>
        </is>
      </c>
      <c r="C7672" t="inlineStr">
        <is>
          <t>Hello all,   
Just thought I would post here in frustration, is it normal for a treatment plan to take 5+ months to get sign off from medical aids &amp;amp; doctors?   
My mother was diagnosed with Stage 4 Lung Cancer last year, and we have been fighting ever since to get her a treatment, she started a general chemo in January, did 2 sessions, and it nearly killed her, put her in ICU for about 3 weeks, Doctors stated they wont carry on with it as she reacted badly. I think thats an understatement...   
But, we upgraded my mother's plan to a better one, as our adviser and doctors suggested biochemical treatment, however, it keeps getting rejected... I mean, they advised the upgrade and we can't get the meds they suggested... I'm starting to lose steam in fighting this, as one minutes its good news, and then you get hit with 2 times more bad news... It's emotionally draining... Just wondering if this is a normal situation or is this unique?</t>
        </is>
      </c>
      <c r="D7672" t="n">
        <v>1</v>
      </c>
      <c r="E7672" t="n">
        <v>2</v>
      </c>
      <c r="F7672">
        <f>HYPERLINK("https://www.reddit.com/r/cancer/comments/f1noxh/long_waiting_periods_for_approval_of_treatment/")</f>
        <v/>
      </c>
      <c r="G7672" t="inlineStr">
        <is>
          <t>2020-02-10 00:55:51</t>
        </is>
      </c>
      <c r="H7672" t="inlineStr"/>
    </row>
    <row r="7673">
      <c r="A7673" t="inlineStr">
        <is>
          <t>f1nrpa</t>
        </is>
      </c>
      <c r="B7673" t="inlineStr">
        <is>
          <t>15y Male, Scared that I have lymphoma.</t>
        </is>
      </c>
      <c r="C7673" t="inlineStr">
        <is>
          <t>A couple days ago I noticed a small hard bump on the right side of my crotch that was sore when pushed down on. I went to the doctor's 2 days later and they said it was an enlarged lymph node. I dont currently display and of the symptoms associated with lymphoma (sweats, weight loss, ext...) But I'm still terrified of having a potential cancer, especially at such a young age. I have experienced so much anxiety in the last few days and just want reassurance. Thank you.</t>
        </is>
      </c>
      <c r="D7673" t="n">
        <v>1</v>
      </c>
      <c r="E7673" t="n">
        <v>5</v>
      </c>
      <c r="F7673">
        <f>HYPERLINK("https://www.reddit.com/r/cancer/comments/f1nrpa/15y_male_scared_that_i_have_lymphoma/")</f>
        <v/>
      </c>
      <c r="G7673" t="inlineStr">
        <is>
          <t>2020-02-10 01:04:34</t>
        </is>
      </c>
      <c r="H7673" t="inlineStr"/>
    </row>
    <row r="7674">
      <c r="A7674" t="inlineStr">
        <is>
          <t>f1oa2u</t>
        </is>
      </c>
      <c r="B7674" t="inlineStr">
        <is>
          <t>Can cancer run in families?</t>
        </is>
      </c>
      <c r="C7674" t="inlineStr">
        <is>
          <t>My dad and grandpa had cancer, but different types. My dad had lung cancer and my grandpa had prostate cancer I think. Am I at risk of having cancer or is it just a coincidence?</t>
        </is>
      </c>
      <c r="D7674" t="n">
        <v>1</v>
      </c>
      <c r="E7674" t="n">
        <v>3</v>
      </c>
      <c r="F7674">
        <f>HYPERLINK("https://www.reddit.com/r/cancer/comments/f1oa2u/can_cancer_run_in_families/")</f>
        <v/>
      </c>
      <c r="G7674" t="inlineStr">
        <is>
          <t>2020-02-10 02:07:00</t>
        </is>
      </c>
      <c r="H7674" t="inlineStr"/>
    </row>
    <row r="7675">
      <c r="A7675" t="inlineStr">
        <is>
          <t>f1ppqd</t>
        </is>
      </c>
      <c r="B7675" t="inlineStr">
        <is>
          <t>ALK positive lung cancer</t>
        </is>
      </c>
      <c r="C7675" t="inlineStr">
        <is>
          <t>Hey all,
My mom has battled cancer (lung and breast cancer) a few times over the last 7 years and was recently diagnosed with ALK positive lung cancer. As far as I understand this mutation is hereditary(?), but I have not been able to find out whether or not there is any value in getting tested for the mutation and what the risk is of developing cancer if you have the mutation. Maybe the data doesn't exist?</t>
        </is>
      </c>
      <c r="D7675" t="n">
        <v>1</v>
      </c>
      <c r="E7675" t="n">
        <v>3</v>
      </c>
      <c r="F7675">
        <f>HYPERLINK("https://www.reddit.com/r/cancer/comments/f1ppqd/alk_positive_lung_cancer/")</f>
        <v/>
      </c>
      <c r="G7675" t="inlineStr">
        <is>
          <t>2020-02-10 04:37:24</t>
        </is>
      </c>
      <c r="H7675" t="inlineStr"/>
    </row>
    <row r="7676">
      <c r="A7676" t="inlineStr">
        <is>
          <t>f1pxpn</t>
        </is>
      </c>
      <c r="B7676" t="inlineStr">
        <is>
          <t>If you could have any food/drink not count towards your blood sugar during that pre PET scan ban, what would it be?</t>
        </is>
      </c>
      <c r="C7676" t="inlineStr">
        <is>
          <t>My usual diet usually consists entirely of carbs and sugar so these scans are really horrid for me lol. I just want my granola bars back.</t>
        </is>
      </c>
      <c r="D7676" t="n">
        <v>1</v>
      </c>
      <c r="E7676" t="n">
        <v>3</v>
      </c>
      <c r="F7676">
        <f>HYPERLINK("https://www.reddit.com/r/cancer/comments/f1pxpn/if_you_could_have_any_fooddrink_not_count_towards/")</f>
        <v/>
      </c>
      <c r="G7676" t="inlineStr">
        <is>
          <t>2020-02-10 04:58:14</t>
        </is>
      </c>
      <c r="H7676" t="inlineStr"/>
    </row>
    <row r="7677">
      <c r="A7677" t="inlineStr">
        <is>
          <t>f1rnoo</t>
        </is>
      </c>
      <c r="B7677" t="inlineStr">
        <is>
          <t>On the chemotherapy learning curve</t>
        </is>
      </c>
      <c r="C7677" t="inlineStr">
        <is>
          <t>My wife's first chemo appointment was on Friday.  The drugs they gave her to take at home for the nausea weren't very helpful, but she heard from one of the patients that she treated that chewing a piece of raw ginger under the tongue is helpful, so she tried that.  Apparently that worked well.  I learned to make rice porridge with ginger because it was the only thing she could keep down.
Now it is a few days later now and her hair is starting to come out.  She's upset, but doesn't like the wigs she has seen so far--too hot, don't look like her hair, etc.  Her hair is very important to her, but I can honestly say I have spent very little time thinking about hair and don't know how to help her with this.  Can anyone give me some advice?</t>
        </is>
      </c>
      <c r="D7677" t="n">
        <v>1</v>
      </c>
      <c r="E7677" t="n">
        <v>20</v>
      </c>
      <c r="F7677">
        <f>HYPERLINK("https://www.reddit.com/r/cancer/comments/f1rnoo/on_the_chemotherapy_learning_curve/")</f>
        <v/>
      </c>
      <c r="G7677" t="inlineStr">
        <is>
          <t>2020-02-10 07:14:01</t>
        </is>
      </c>
      <c r="H7677" t="inlineStr"/>
    </row>
    <row r="7678">
      <c r="A7678" t="inlineStr">
        <is>
          <t>f1s2p2</t>
        </is>
      </c>
      <c r="B7678" t="inlineStr">
        <is>
          <t>How to Not React to Bad News</t>
        </is>
      </c>
      <c r="C7678" t="inlineStr">
        <is>
          <t>Preface, I'm 21 F. Healthy. Happy. Accomplised. I'm an outside hire for a top 100 university. I'm applying to top 20 graduate programs and will likely get in funded. All of this despite the fact I have pervasive mental illnesses. 
So, I got the call from a Level 1 center (the health system attached to my university, no less) on a Sunday. I went in for an IUD ultrasound and at the beginning of the appointment I was told I would hear my results in 6-10 days and it would only take 30 minutes. 
It took an hour and thirty minutes. The tech saw me looking at the screen and pushed it away. I was told in the lobby to have my phone by me because they were putting it on a 24 hour read and if I didn't hear today, I'd hear Monday. I heard on a Sunday from a notoriously slow, world-renowned health center. 
They found multiple polyps on my bladder. Hyperechoic. Significant incidental findings. Most tumors on the bladder are cancerous. My Doctor used the words "spread" and "well defined" in her call. 
Prognosis for &amp;lt;49 women is fucking abysmal. I have all the symptoms aside from peeing blood. I'm tired all the time, I pee all the time, my back has hurt for over 2 years, my family history and personal health is littered with kidney and bladder problems. I don't know \*for sure\*, but I know. 
What's the rule of thumb for waiting? I know everyone processes bad news differently... But I want to book vacations. Dye my hair. Get my nails done. Eat whatever I want instead of restricting my calories to 1100. I've told my mom, and I'm letting her go to my appointments because it's not really about \*me\* anymore, is it? We've bumped my life insurance to $500,000. I'm telling my boss tomorrow in anticipation of the huge # of appts I have coming up. I'm working on grad school applications for the spring in preparation of the worst. 
Are these overreactions? I haven't even scheduled my consult but I'm clawing at the inside of my skin with 2 mg of klonopin and a low tolerance.</t>
        </is>
      </c>
      <c r="D7678" t="n">
        <v>1</v>
      </c>
      <c r="E7678" t="n">
        <v>13</v>
      </c>
      <c r="F7678">
        <f>HYPERLINK("https://www.reddit.com/r/cancer/comments/f1s2p2/how_to_not_react_to_bad_news/")</f>
        <v/>
      </c>
      <c r="G7678" t="inlineStr">
        <is>
          <t>2020-02-10 07:43:51</t>
        </is>
      </c>
      <c r="H7678" t="inlineStr"/>
    </row>
    <row r="7679">
      <c r="A7679" t="inlineStr">
        <is>
          <t>f1s42k</t>
        </is>
      </c>
      <c r="B7679" t="inlineStr">
        <is>
          <t>DO I have cancer or DID I have cancer. Proper terminology.</t>
        </is>
      </c>
      <c r="C7679" t="inlineStr">
        <is>
          <t>My wife was diagnosed with Grade 1 Stage 1 epithelial endometriosis stemming ovarian cancer.  If that sounds confusing, we are confused too.  She had/has atypical endometriosis which, due to doctors major fucking mistakes, was not addressed during a surgery 2 years ago.  At the time the pathological analysis concluded presence of pre-cancer cells in the left ovary.  Turns out doc removed only half the ovary and lead to another mass and surgery in Dec 2019.  Pathological analysis led to the grade 1 stage 1 cancer diagnosis.  Dec surgery fully debulked the new mass and what remained of the ovary and ovarian artery.  That's all fucked up but here is my question.....
They removed the mass and ovary with cancerous tissue.  When discussing with family and friends, what is the proper terminology to use.  Due she HAVE cancer.  Or DID she have cancer, but no longer have cancer since it was removed.  Is the technically in remission now?  I don't really want to sort out terminology with her or with a doctor in her presence because it's all still distressing.  I just want to be supportive as much as I can but still want to know how I should be presenting this when talking to family and our kids.
Still sorting out second opinion and treatment plan.
Thanks for your feedback.</t>
        </is>
      </c>
      <c r="D7679" t="n">
        <v>1</v>
      </c>
      <c r="E7679" t="n">
        <v>0</v>
      </c>
      <c r="F7679">
        <f>HYPERLINK("https://www.reddit.com/r/cancer/comments/f1s42k/do_i_have_cancer_or_did_i_have_cancer_proper/")</f>
        <v/>
      </c>
      <c r="G7679" t="inlineStr">
        <is>
          <t>2020-02-10 07:46:26</t>
        </is>
      </c>
      <c r="H7679" t="inlineStr"/>
    </row>
    <row r="7680">
      <c r="A7680" t="inlineStr">
        <is>
          <t>f1s4uk</t>
        </is>
      </c>
      <c r="B7680" t="inlineStr">
        <is>
          <t>Friend Diagnosed with Bone Cancer, How Can I Help?</t>
        </is>
      </c>
      <c r="C7680" t="inlineStr">
        <is>
          <t>A very dear family friend was just diagnosed with bone cancer. She was there for our family through the loss of our child so I want to offer her the most support I can. We're trying to put together an action plan of what steps she should take and how we can support her. Aside from the obvious guidance she will receive from her Doctors, what should she be doing right now and how can I help? 
Also, can someone suggest any patient advocacy groups in Minnesota, USA? The searches I've done are confusing, looking for someone who's been down this road who can help her know what to ask, resources, etc. I know there's a lot on Facebook but I'm not sure she's ready to have her name linked with that.
&amp;amp;#x200B;
Thanks Reddit.</t>
        </is>
      </c>
      <c r="D7680" t="n">
        <v>1</v>
      </c>
      <c r="E7680" t="n">
        <v>0</v>
      </c>
      <c r="F7680">
        <f>HYPERLINK("https://www.reddit.com/r/cancer/comments/f1s4uk/friend_diagnosed_with_bone_cancer_how_can_i_help/")</f>
        <v/>
      </c>
      <c r="G7680" t="inlineStr">
        <is>
          <t>2020-02-10 07:47:58</t>
        </is>
      </c>
      <c r="H7680" t="inlineStr"/>
    </row>
    <row r="7681">
      <c r="A7681" t="inlineStr">
        <is>
          <t>f1s72a</t>
        </is>
      </c>
      <c r="B7681" t="inlineStr">
        <is>
          <t>Crappy news has me second guessing</t>
        </is>
      </c>
      <c r="C7681" t="inlineStr">
        <is>
          <t>10 days ago in a 48 hour period I received word that my best friends FIL was found to have late stage pancreatic cancer and given weeks.
That a friend of my husband has been given 3 months and another friend that has been battling lung cancer was given 3 months.
Then 7 days later my friends FIL passes and my friend with lung cancer passed Thursday night.
The worry monster is in my head.   I am having some shoulder/collar bone pain they can't figure out on the same side that I had surgery,chemo and radiation.  I am considered cured, been 6 years out and I am worrying while wait on results of imaging.
That worry monster is an ass.</t>
        </is>
      </c>
      <c r="D7681" t="n">
        <v>1</v>
      </c>
      <c r="E7681" t="n">
        <v>0</v>
      </c>
      <c r="F7681">
        <f>HYPERLINK("https://www.reddit.com/r/cancer/comments/f1s72a/crappy_news_has_me_second_guessing/")</f>
        <v/>
      </c>
      <c r="G7681" t="inlineStr">
        <is>
          <t>2020-02-10 07:52:16</t>
        </is>
      </c>
      <c r="H7681" t="inlineStr"/>
    </row>
    <row r="7682">
      <c r="A7682" t="inlineStr">
        <is>
          <t>f1sd4u</t>
        </is>
      </c>
      <c r="B7682" t="inlineStr">
        <is>
          <t>How did you come to terms that a loved one would die? And some other questions.</t>
        </is>
      </c>
      <c r="C7682" t="inlineStr">
        <is>
          <t>**Background:**
Mum has an incurable form of cancer. Currently, she is going through the last type of chemotherapy treatment with a relatively high success rate.
If this does not succeed, then the oncologist would have to resort to trying out less effective forms of treatment (ie. Low chances of success with much greater toxicity).
If this succeeds, then it will prolong her life for a while but at some point the oncologist would have to stop this as the toxicity in my mum’s body would build up.
In either case, her cancer is basically a death sentence. It is just a matter of how long she lives.
The cancer has been relentless and the strain on my mum has been immense. My mum goes for chemotherapy è 2 to 3 months later, that shit comes back è goes for further testing to see where it has spread è go for radiotherapy in the meantime to target certain fast growing spots è go for biopsy to see whether nature of tumor has changed è blah blah blah. Seeing her go through all this has been so frustrating.
**Question 1:**
How did you come to terms with the fact that a loved one would be dying and how did you deal with it? 
Honestly, the run way we have for the current treatment is very short (6 months: meaning even if it is successful, the doctors can only administer the chemo for a period of 6 months. After that, it is anybody’s guess on how to proceed).
I find myself thinking a lot (and losing sleep sometimes) wondering how it will end for my mum. I recently watched a video of terminally ill patients and it was horrifying to say the least. The pain and suffering that some cancer patients had to go through honestly left me quite unsettled as I thought of my mum having to go through this. One of the patients in the video mentioned a “brand new level of pain and a lot of suffering” L. Assisted suicide is not an option unfortunately. ([https://www.youtube.com/watch?time\_continue=3&amp;amp;v=aZdDXNmD9wk&amp;amp;feature=emb\_logo](https://www.youtube.com/watch?time_continue=3&amp;amp;v=aZdDXNmD9wk&amp;amp;feature=emb_logo))
**Question 2:**
Does anyone else feel that it is very hard to relate to people in real life because of your experiences having to care for someone with cancer?
When I discuss stuff like this with my friends (and even my girlfriend), they can never seem to appreciate how much heavily this weighs on my mind. For them they just blurt out niceties like “just live in the moment” and “spend time with her and you would be fine”. I bet even my girlfriend has never lost any sleep thinking about how little time my mum has left with me.  Not that I expect her to do so but I just wonder how I would react if one of her parents were in my mum’s shoes. For them, they look forward to their holidays cause they get to travel. For me, my leave is spent bringing my mum to see the doctor. I tried arranging an overseas trip for my mum but that had to be cancelled because the cancer returned and she had to start seeing the doctor again.
Sorry if I come across as rambling, but I am frustrated. Thanks for reading.</t>
        </is>
      </c>
      <c r="D7682" t="n">
        <v>1</v>
      </c>
      <c r="E7682" t="n">
        <v>8</v>
      </c>
      <c r="F7682">
        <f>HYPERLINK("https://www.reddit.com/r/cancer/comments/f1sd4u/how_did_you_come_to_terms_that_a_loved_one_would/")</f>
        <v/>
      </c>
      <c r="G7682" t="inlineStr">
        <is>
          <t>2020-02-10 08:04:13</t>
        </is>
      </c>
      <c r="H7682" t="inlineStr"/>
    </row>
    <row r="7683">
      <c r="A7683" t="inlineStr">
        <is>
          <t>f1sunm</t>
        </is>
      </c>
      <c r="B7683" t="inlineStr">
        <is>
          <t>Breaking down the statistics about mammography's effectiveness</t>
        </is>
      </c>
      <c r="C7683" t="inlineStr">
        <is>
          <t>We produce Empowered Health, a podcast aimed at demystifying women's health, and we've been explore the controversy around mammography's effectiveness. In the [first of this two-part series](https://empoweredhealthshow.com/ep-41-mammograms-maybe-not-for-every-woman-with-dr-daniel-kopans-and-dr-jenn-conti/) we welcomed researchers, Dr. Mette Kalager and Dr. Anthony Miller, who helped us look at these issues on a population level. We came to the conclusion that the mammogram, statistically, is a poor test; it finds cancers that may never progress, finds false positives that turn out not to be cancer, misses dangerous tumors and doesn’t seem to increase mortality rates.
Nonetheless, the test has a reputation for saving many lives, which leaves many of us feeling conflicted—on an individual level.
While research is clear that mammography is statistically not a good test for breast cancer, many of us know people who have gone in for a mammogram and learned they had cancer, which was then treated and considered a win for modern medicine. So how do we reconcile these two truths? How many women need to have a mammogram for one to find she has early cancer? And when it comes to your health, how do you decide?
Dr. Daniel Kopans, a retired radiologist who currently teaches radiology at Harvard Medical School, feels strongly that women should have mammograms. Kopans shares that he thinks arguments claiming the mammogram is ineffective mislead women and potentially could result in lives lost, unnecessarily. For years, Kopans has been an avid supporter of the test, emphasizing the lower risk of dying from breast cancer for women who get tested--so we knew we needed to talk to him.
On of the points made in this episode of centers around the understanding of statistics and how scientists are charged with finding significance. This in some ways maybe one of the ills of modern medicine. When scientists lose their ability to be skeptical of their own data because they’re pressured into proving their hypothesis, we all lose out. In fact, today’s researchers are under a ton of pressure to find something significant that they can then publish in a peer-reviewed journal—both of which help them raise money for their future research—that many are claiming statistics are the new weapon in research. As anyone who has studied statistical analysis knows, if at first you don’t prove your hypothesis, swap out a few variables and you may be in luck. The new trend in statistical manipulation is the reporting relative risk and burying absolute risk. This gives you a more powerful outcome, but one that maybe irrelevant to the general population. We try to break all this down in this episode so you call can recognize when this is happening in reports you may hear or read. This misleading reporting is not specific to mammography by any stretch, it is pervasive and does a serious disservice to the individual trying to learn and navigate the health new landscape.
We break down the statistics on screening and point out how easy it is to be confused, which is why we spent time this week on the numbers. Understanding these terms not only arms you with the knowledge to make evidence-based decisions around mammography, it is also important in understanding what is being reported on a larger scale.
We finish this episode by asking ob-gyn Dr. Jenn Conti how she talks to her patients about whether they should have a mammogram or not. Figured this group may be interested, links to listen:
[Apple](https://podcasts.apple.com/us/podcast/ep-41-mammograms-maybe-not-for-every-woman-dr-daniel/id1452440833?i=1000461680844) | [Spotify](https://open.spotify.com/episode/3Cf99mOtY2O5G5qteIydnp) | [Google Play](https://www.stitcher.com/podcast/empowered-health/e/66259499) | [Stitcher](https://www.stitcher.com/podcast/empowered-health/e/66259499) | [Website](https://empoweredhealthshow.com/ep-41-mammograms-maybe-not-for-every-woman-with-dr-daniel-kopans-and-dr-jenn-conti/)</t>
        </is>
      </c>
      <c r="D7683" t="n">
        <v>1</v>
      </c>
      <c r="E7683" t="n">
        <v>0</v>
      </c>
      <c r="F7683">
        <f>HYPERLINK("https://www.reddit.com/r/cancer/comments/f1sunm/breaking_down_the_statistics_about_mammographys/")</f>
        <v/>
      </c>
      <c r="G7683" t="inlineStr">
        <is>
          <t>2020-02-10 08:37:46</t>
        </is>
      </c>
      <c r="H7683" t="inlineStr"/>
    </row>
    <row r="7684">
      <c r="A7684" t="inlineStr">
        <is>
          <t>f1taan</t>
        </is>
      </c>
      <c r="B7684" t="inlineStr">
        <is>
          <t>My mum died</t>
        </is>
      </c>
      <c r="C7684" t="inlineStr">
        <is>
          <t>I guess this is the end to our journey, I’m absolutely destroyed thank you all for all the comforting messages you’ve sent us over the past couple of months it didn’t go unnoticed, my mum is now reunited with her mother and father and brothers and sister and nephew</t>
        </is>
      </c>
      <c r="D7684" t="n">
        <v>1</v>
      </c>
      <c r="E7684" t="n">
        <v>28</v>
      </c>
      <c r="F7684">
        <f>HYPERLINK("https://www.reddit.com/r/cancer/comments/f1taan/my_mum_died/")</f>
        <v/>
      </c>
      <c r="G7684" t="inlineStr">
        <is>
          <t>2020-02-10 09:07:15</t>
        </is>
      </c>
      <c r="H7684" t="inlineStr"/>
    </row>
    <row r="7685">
      <c r="A7685" t="inlineStr">
        <is>
          <t>f1trd2</t>
        </is>
      </c>
      <c r="B7685" t="inlineStr">
        <is>
          <t>Uncle was recently diagnosed, what can I do to help out my cousins and my aunt while he undergoes treatment?</t>
        </is>
      </c>
      <c r="C7685" t="inlineStr">
        <is>
          <t>Yesterday I found out that my uncle was diagnosed with cancer. From what I understand it can be treated but we aren't sure yet of how much it has spread and how serious it is, we find out this week. I am pretty close with that part of my family, I house sit for them from time to time and I watch their dogs, they have come to my bands shows and overall they're just wonderful people. My cousins are young, about 13 and 6, and they don't know yet but they're being told as soon as we have more details. They've supported me and cared for me my whole life, and it's time to return that favor for them. I live about an hour away at school, but frequently come home and at willing to come home to help. How should I approach that conversation with them and what ways can I help make things easier for them for the foreseeable future? I've already made a small list including watching my cousins or taking them out for fun activities while their dad is in the hospital, watching the dogs and taking care of them, just general stuff they might need. Is there anything else that I could do that I might not know about and that I could do to make this slightly easier for them? And how do I approach the conversation? I'm not good at these types of things and my uncle is not the sympathy type, he probably is going to just want to continue life like normal while undergoing treatment, but I want to help them out any way I possibly can. Any insight would be greatly appreciated.</t>
        </is>
      </c>
      <c r="D7685" t="n">
        <v>1</v>
      </c>
      <c r="E7685" t="n">
        <v>2</v>
      </c>
      <c r="F7685">
        <f>HYPERLINK("https://www.reddit.com/r/cancer/comments/f1trd2/uncle_was_recently_diagnosed_what_can_i_do_to/")</f>
        <v/>
      </c>
      <c r="G7685" t="inlineStr">
        <is>
          <t>2020-02-10 09:39:21</t>
        </is>
      </c>
      <c r="H7685" t="inlineStr"/>
    </row>
    <row r="7686">
      <c r="A7686" t="inlineStr">
        <is>
          <t>f1xk07</t>
        </is>
      </c>
      <c r="B7686" t="inlineStr">
        <is>
          <t>Missing my dad.</t>
        </is>
      </c>
      <c r="C7686" t="inlineStr">
        <is>
          <t>Not too sure if this is the right group.. I am new to reddit. I lost my dad 6 months ago (in a few days) to lung/brain cancer... I have been relatively okay since it happened.. but the last week it has been extremely hard. I just constantly think “omg I don’t have a dad” “he won’t be there to see my future children” “he won’t be at my wedding” “my graduation for university” I don’t know if I should start seeing a councillor because I feel it’s very normal to feel this way.. I just miss him so much 😫</t>
        </is>
      </c>
      <c r="D7686" t="n">
        <v>1</v>
      </c>
      <c r="E7686" t="n">
        <v>5</v>
      </c>
      <c r="F7686">
        <f>HYPERLINK("https://www.reddit.com/r/cancer/comments/f1xk07/missing_my_dad/")</f>
        <v/>
      </c>
      <c r="G7686" t="inlineStr">
        <is>
          <t>2020-02-10 13:47:18</t>
        </is>
      </c>
      <c r="H7686" t="inlineStr"/>
    </row>
    <row r="7687">
      <c r="A7687" t="inlineStr">
        <is>
          <t>f1xq3w</t>
        </is>
      </c>
      <c r="B7687" t="inlineStr">
        <is>
          <t>Brass players?</t>
        </is>
      </c>
      <c r="C7687" t="inlineStr">
        <is>
          <t>I have an obscure question. I was recently diagnosed with prostate cancer. Don't panic. Stage 2, treatable. 
My question has to do with incontinence and playing a brass instrument. Is there anyone out there that has gone through treatment and played after? I am trying to gauge what to expect when playing. Will I need to wear a pad forever? Did it improve with time? How old were you when it happened? I am on the younger age of treatment window so I am optimistic it will go well. I am going to have brachytherapy treatment. Any thoughts and experiences would be helpful</t>
        </is>
      </c>
      <c r="D7687" t="n">
        <v>1</v>
      </c>
      <c r="E7687" t="n">
        <v>1</v>
      </c>
      <c r="F7687">
        <f>HYPERLINK("https://www.reddit.com/r/cancer/comments/f1xq3w/brass_players/")</f>
        <v/>
      </c>
      <c r="G7687" t="inlineStr">
        <is>
          <t>2020-02-10 13:58:33</t>
        </is>
      </c>
      <c r="H7687" t="inlineStr"/>
    </row>
    <row r="7688">
      <c r="A7688" t="inlineStr">
        <is>
          <t>f1xqf3</t>
        </is>
      </c>
      <c r="B7688" t="inlineStr">
        <is>
          <t>Is there a reason oxandrolone and/or Megestrol aren’t prescribed much?</t>
        </is>
      </c>
      <c r="C7688" t="inlineStr">
        <is>
          <t>I believe I heard my doctor saying oxandrolone isn’t prescribed much because it’s a class 3 drug. However, it’s still FDA approved? I asked the doctor why my dad wasn’t prescribed megace when his appetite was non-existent and I got a shitty answer. 
These are appetite stimulants and I have personally used Megace in the past. It was not an easy thing to be on, let me tell you. But it made me eat entire pizzas within 5 minutes. 
Why aren’t doctors giving these to cancer patients?
Thanks guys. Any knowledge in this area would be greatly appreciated</t>
        </is>
      </c>
      <c r="D7688" t="n">
        <v>1</v>
      </c>
      <c r="E7688" t="n">
        <v>3</v>
      </c>
      <c r="F7688">
        <f>HYPERLINK("https://www.reddit.com/r/cancer/comments/f1xqf3/is_there_a_reason_oxandrolone_andor_megestrol/")</f>
        <v/>
      </c>
      <c r="G7688" t="inlineStr">
        <is>
          <t>2020-02-10 13:59:06</t>
        </is>
      </c>
      <c r="H7688" t="inlineStr"/>
    </row>
    <row r="7689">
      <c r="A7689" t="inlineStr">
        <is>
          <t>f1z3n7</t>
        </is>
      </c>
      <c r="B7689" t="inlineStr">
        <is>
          <t>After lots of bad news, things are looking up for my best friend with Glioblastoma.</t>
        </is>
      </c>
      <c r="C7689" t="inlineStr">
        <is>
          <t>Her journey has been a long one, so I'll try my best to summarize. December 2016 she was diagnosed for ththe first time. She had two surgeries, lots of chemo, lots of radiation, and was eventually cancer free. January 2019 she was diagnosed again. One surgery and some radiation later, she was cancer free again. A month later she had a seizure. July 12th 2019, she was diagnosed for a third time, and told it was terminal. We got her started on a medical trial as a last attempt to prolong our time. She was doing fine, except she had a bunch of seizures which began in August. January 1st 2020. She winds up being taken from a smaller hospital to a larger one via helicopter, and told the tumor had begun to grow again. Surgery isn't an option due to the location of it, it is too soon for radiation, and she is already on chemo. Anyway, that night she had what the doctors believe to have been a small stroke. She wasn't bouncing back. She kept getting worse, and wasn't able to return to school. Then they tried a new medication. It seems to be keeping the tumor at bay, and she has improved TONS in the past two ish weeks. She went from sleeping and resting all day, so unsteady on her feet she couldn't barley walk, to coming to school today for FOUR HOURS!!! We don't know for sure if she will continue to get better, but I just wanted to say I'm so proud of her. She is just so resilient, and beautiful, and brave. I know she doesn't have a choice whether or not to have cancer, but because we are teenagers, and she was told she only had a month to live in July 2019, she has and always will be my hero. I love her so, so much. She is like a sister to me. We have grown up together and every day she wakes up and keeps going. She hasn't given up, and does her gosh darn best to smile and keep a positive attitude no matter what.</t>
        </is>
      </c>
      <c r="D7689" t="n">
        <v>1</v>
      </c>
      <c r="E7689" t="n">
        <v>5</v>
      </c>
      <c r="F7689">
        <f>HYPERLINK("https://www.reddit.com/r/cancer/comments/f1z3n7/after_lots_of_bad_news_things_are_looking_up_for/")</f>
        <v/>
      </c>
      <c r="G7689" t="inlineStr">
        <is>
          <t>2020-02-10 15:29:05</t>
        </is>
      </c>
      <c r="H7689" t="inlineStr"/>
    </row>
    <row r="7690">
      <c r="A7690" t="inlineStr">
        <is>
          <t>f202bh</t>
        </is>
      </c>
      <c r="B7690" t="inlineStr">
        <is>
          <t>Father-In-Law Diagnosed w/ StageIV Prostate Cancer</t>
        </is>
      </c>
      <c r="C7690" t="inlineStr">
        <is>
          <t>As the title states, my father-in-law was diagnosed with metastatic prostate cancer on Monday last week. He is only 61. He was completely functional with no complaints until a month ago when he developed a headache that progressively got worse. He went to the ED and the workup showed a dural mass which led to more imaging which led to the discovery that he had "innumerable lesions" in his pelvis and spinal bones as well as an asymmetrically enlarged prostate. The diagnosis was confirmed with biopsy and he was started on Degarelix prior to discharge. Today was his first of 6 treatments with docetaxel.
I won't even get into the irony of myself and my partner both being physicians in training...
I'm trying to do everything I can to help him and her and the family with what I know and the resources we have but one thing they actually never teach you in medical school is how to deal with the side effects of the chemotherapy. I've read a fair amount of the posts on here and it seems to be a supportive community which is heartwarming and reassuring. 
Do you have any home remedies you recommend for the various side effects we are going to be encountering? I'd really appreciate it.</t>
        </is>
      </c>
      <c r="D7690" t="n">
        <v>1</v>
      </c>
      <c r="E7690" t="n">
        <v>1</v>
      </c>
      <c r="F7690">
        <f>HYPERLINK("https://www.reddit.com/r/cancer/comments/f202bh/fatherinlaw_diagnosed_w_stageiv_prostate_cancer/")</f>
        <v/>
      </c>
      <c r="G7690" t="inlineStr">
        <is>
          <t>2020-02-10 16:38:18</t>
        </is>
      </c>
      <c r="H7690" t="inlineStr"/>
    </row>
    <row r="7691">
      <c r="A7691" t="inlineStr">
        <is>
          <t>f202ct</t>
        </is>
      </c>
      <c r="B7691" t="inlineStr">
        <is>
          <t>Cost of cancer drugs</t>
        </is>
      </c>
      <c r="C7691" t="inlineStr">
        <is>
          <t>Cross posted from another sub....
Long story short: back in 2019 my mom was diagnosed with stage 4 ovarian cancer. She went through 8 rounds of chemo with a major surgery to remove women parts and cancerous mass and tissue in her abdomen. Everything went really well and while she is still not in the clear she still has a bit of an uphill battle in regards to ongoing maintenance therapy. 
So basically her oncologist told us the therapy involves an experimental drug that needs to be taken twice a day for the remainder of her life. The cost of the drug is approx. $15,000.00 USD per month. Needless to say the cost of this is well outside of her ability to pay and what little I could pitch in doesn’t come close to covering it either. 
She was awarded a one time grant that covers the first two months of the cost of the drug, but then will need to solicit further financial aid by way of grant or subsidy from a non profit or charity organization, from which we understand is not guaranteed. Medicaid will cover approx. $1,100 per month for the cost of the drug, but she is on the hook for the remaining balance. 
I guess I’m looking for advice on how to help her cope, If possible,  with this new monthly expense. She is now retired on a fixed income (social security and a small pension). Even if she could put every penny toward the cost of the drug it would still only cover a fraction of it. 
Does anyone have any advice? How to plan or manage this expense? Maybe drugs sourced from another country? Any specific groups or organizations I should be looking at for help? Any input is appreciated. 
Thanks,
d_rek</t>
        </is>
      </c>
      <c r="D7691" t="n">
        <v>1</v>
      </c>
      <c r="E7691" t="n">
        <v>7</v>
      </c>
      <c r="F7691">
        <f>HYPERLINK("https://www.reddit.com/r/cancer/comments/f202ct/cost_of_cancer_drugs/")</f>
        <v/>
      </c>
      <c r="G7691" t="inlineStr">
        <is>
          <t>2020-02-10 16:38:22</t>
        </is>
      </c>
      <c r="H7691" t="inlineStr"/>
    </row>
    <row r="7692">
      <c r="A7692" t="inlineStr">
        <is>
          <t>f206db</t>
        </is>
      </c>
      <c r="B7692" t="inlineStr">
        <is>
          <t>legs muscles really tight on Mom, 81yrs, painful for her. ideas what worked for you?</t>
        </is>
      </c>
      <c r="C7692" t="inlineStr">
        <is>
          <t>Hospice stage, reproductive cancer,  cannot stand too weak, tough tough lioness of a New England Yankee, won't take drugs not even RSO cannabis paste. gently moving her legs but even this is at times painful for her massaging her lower legs gets some fluid moving. any specific pressure points or ideas? thank you.</t>
        </is>
      </c>
      <c r="D7692" t="n">
        <v>1</v>
      </c>
      <c r="E7692" t="n">
        <v>6</v>
      </c>
      <c r="F7692">
        <f>HYPERLINK("https://www.reddit.com/r/cancer/comments/f206db/legs_muscles_really_tight_on_mom_81yrs_painful/")</f>
        <v/>
      </c>
      <c r="G7692" t="inlineStr">
        <is>
          <t>2020-02-10 16:46:23</t>
        </is>
      </c>
      <c r="H7692" t="inlineStr"/>
    </row>
    <row r="7693">
      <c r="A7693" t="inlineStr">
        <is>
          <t>f21qdh</t>
        </is>
      </c>
      <c r="B7693" t="inlineStr">
        <is>
          <t>Please help I’m losing my mind</t>
        </is>
      </c>
      <c r="C7693" t="inlineStr">
        <is>
          <t>Hi I’m  M20 . 210 lbs and a bit overweight , Since about mid December I noticed a very small movable lump just under my armpit skin , it doesn’t hurt , and hasn’t grown ( that I can see) I visited a doctor and she said it’s most likely a Lipoma or a cyst and I should visit again if i notice it grows .
I visited another doctor and he basically said the same thing but I asked him to order an ultrasound , the results came back and they Found absolutely nothing , this is what the doctor who reviewed the ultrasounds said :
FINDINGS:
No worrisome findings. No fluid collections. No abnormal soft tissue masses.  
Occasionally, lipomas may be sonographically occult, but as already discussed, there are no worrisome soft tissue masses seen at this site.
IMPRESSION:
At the site of the patient's palpable concern in the right axilla, there is no sonographic abnormality
, could it be anything serious ? I have no other symptoms, if it was cancer would it have gotten bigger since december ? Thanks for your feedback.
Also this is what the first doctor described it on the report:
There is a 0.5 cm diameter subcutaneous nodule of the right outer axilla, over the latissimus muscle, that is mobile, well circumscribed, nontender without overlying skin changes.
All in all I’m losing my mind , how could they find nothing when I and even the doctor can touch it clearly feel it ? Does NOT make sense. Please share your thoughts</t>
        </is>
      </c>
      <c r="D7693" t="n">
        <v>1</v>
      </c>
      <c r="E7693" t="n">
        <v>2</v>
      </c>
      <c r="F7693">
        <f>HYPERLINK("https://www.reddit.com/r/cancer/comments/f21qdh/please_help_im_losing_my_mind/")</f>
        <v/>
      </c>
      <c r="G7693" t="inlineStr">
        <is>
          <t>2020-02-10 18:41:38</t>
        </is>
      </c>
      <c r="H7693" t="inlineStr"/>
    </row>
    <row r="7694">
      <c r="A7694" t="inlineStr">
        <is>
          <t>f24fcv</t>
        </is>
      </c>
      <c r="B7694" t="inlineStr">
        <is>
          <t>My aunt has stage four pancreatic cancer, what can I do to ease her suffering?</t>
        </is>
      </c>
      <c r="C7694" t="inlineStr">
        <is>
          <t>My (40F) aunt (68) was diagnosed with stage four pancreatic cancer at the end of December, the mass is on a vein on her pancreas and has spread to her liver. From what I understand she has a weeks to live, so my younger sister and I are going to visit her (about 7.5 hours) in a week for a few days.
I have been having a really hard time dealing with the situation. I have been having some obsessive thoughts about my husband dying or my parents, or my dogs. (I do have generalized anxiety diagnosis &amp;amp; depression. I'm medicated.) I have been crying a lot lately &amp;amp; I feel a lot of guilt for the times she's reached out to me and I didn't respond. I feel so scared for her. 
I want to help her in any way I can; I plan on bringing her a large batch of bone broth I just made for her, (from what I understand her body has begun to stop absorbing nutrients, so I was hoping the bone broth might help nourish her a little. My husband has Celiac disease and it has helped tremendously with malabsorption) I am going to bring her some Rooibios tea to help with her cough, and I am making her canna-coconut oil. I've also made some Netflix recommendations like Schitt's Creek &amp;amp; The Good Place.
I know she will be gone soon and I can't stop that, but I want to make the time she has left comfortable. What else can I do?</t>
        </is>
      </c>
      <c r="D7694" t="n">
        <v>1</v>
      </c>
      <c r="E7694" t="n">
        <v>2</v>
      </c>
      <c r="F7694">
        <f>HYPERLINK("https://www.reddit.com/r/cancer/comments/f24fcv/my_aunt_has_stage_four_pancreatic_cancer_what_can/")</f>
        <v/>
      </c>
      <c r="G7694" t="inlineStr">
        <is>
          <t>2020-02-10 22:27:33</t>
        </is>
      </c>
      <c r="H7694" t="inlineStr"/>
    </row>
    <row r="7695">
      <c r="A7695" t="inlineStr">
        <is>
          <t>f25iq1</t>
        </is>
      </c>
      <c r="B7695" t="inlineStr">
        <is>
          <t>What’s your least favorite side effect of the chemotherapy you’re taking?</t>
        </is>
      </c>
      <c r="C7695" t="inlineStr">
        <is>
          <t>Warning: this is gross...I’m sorry everyone but I thought this would be the best subreddit for people to understand what I’m going through and actually understand. One of the main side effects of the chemotherapy I take is chronic diarrhea, which is my least favorite. It’s so annoying and painful.. I rarely have hard stools anymore.  I’ve been on this chemo for almost four years now. Meaning chronic diarrhea for almost four years. I’m so fed up. I’m still in high school so just imagine how embarrassing and difficult it is at times. I don’t  express my pain with my classmates because I’m afraid they’ll think it’s too gross or TMI. It’s not like I want to announce to my highschool that I have chronic diarrhea. I actually hide a lot of my side effects...</t>
        </is>
      </c>
      <c r="D7695" t="n">
        <v>1</v>
      </c>
      <c r="E7695" t="n">
        <v>9</v>
      </c>
      <c r="F7695">
        <f>HYPERLINK("https://www.reddit.com/r/cancer/comments/f25iq1/whats_your_least_favorite_side_effect_of_the/")</f>
        <v/>
      </c>
      <c r="G7695" t="inlineStr">
        <is>
          <t>2020-02-11 00:26:23</t>
        </is>
      </c>
      <c r="H7695" t="inlineStr"/>
    </row>
    <row r="7696">
      <c r="A7696" t="inlineStr">
        <is>
          <t>f26ttc</t>
        </is>
      </c>
      <c r="B7696" t="inlineStr">
        <is>
          <t>My dad has cancer and I'm tired.</t>
        </is>
      </c>
      <c r="C7696" t="inlineStr">
        <is>
          <t>My dad was diagnosed with colon cancer that spread to his liver sometime in July of last year. Since then, he has had a bunch of problems due to his other health problems and disabilities. 
I am his main caregiver despite the fact that I'm a minor. I do a lot of his paperwork, flush his PICC lines, give him his medicine, make him dinner, etc. I'm just tired because of this. I've had breakdowns because of this. My mental health is already pretty bad and I just can't do this. I'm trying but I'm so tired.
Since he's been diagnosed, he caught a blood infection in the hospital that made him get a PICC line in order to administer his antibiotics, have an allergic reaction to one of the antibiotic causing sores to open on his feet making me clean and bandage them multiple times a day, puke so much during chemo that he became dehydrated and consequently lost most of his kidney function, the sores in his feet got infected and ended up getting a toe amputated, and he has suffered other health problems due to diabetes and poor heart function.
I feel so guilty most of the time because all I can seem to do is focus on how this is affecting me when he is the one dying. He is the one who is getting infections, getting toes amputated, and is the one spending weeks in the hospital. I have depression and I just have so much trouble keeping myself healthy and now I have to take care of a very sick adult. It's expected of me to take care of him as long as he lives and I don't want to do that.
I've recently noticed that I'm starting to get the same mindset that I had when I was suicidal. I'm so fucking scared. I feel like I can't talk about any of my problems because my dad has it worse than me and so much money is going into treating him.
I really don't know what to do.</t>
        </is>
      </c>
      <c r="D7696" t="n">
        <v>1</v>
      </c>
      <c r="E7696" t="n">
        <v>15</v>
      </c>
      <c r="F7696">
        <f>HYPERLINK("https://www.reddit.com/r/cancer/comments/f26ttc/my_dad_has_cancer_and_im_tired/")</f>
        <v/>
      </c>
      <c r="G7696" t="inlineStr">
        <is>
          <t>2020-02-11 03:00:00</t>
        </is>
      </c>
      <c r="H7696" t="inlineStr"/>
    </row>
    <row r="7697">
      <c r="A7697" t="inlineStr">
        <is>
          <t>f27mcj</t>
        </is>
      </c>
      <c r="B7697" t="inlineStr">
        <is>
          <t>Newly diagnosed - oral cancer</t>
        </is>
      </c>
      <c r="C7697" t="inlineStr">
        <is>
          <t>Friday afternoon I got the news that I have oral cancer (on my tongue). Final typing/staging isn't done but CT scan showed no lymph node involvement at this time. My ENT is setting up an appointment with the cancer specialist team. I looked up the doctor he referred me to and he looks really good.  
What, if anything, should I do right now? I've been making myself crazy reading articles online. I'm so scared of treatment and wondering how I'm going to survive this and keep working, taking care of my family, etc.  
I go through periods of feeling okay and then other times I just cry and want to break things. I don't, but I want to. I've just been trying to keep myself busy and be as healthy as possible.</t>
        </is>
      </c>
      <c r="D7697" t="n">
        <v>1</v>
      </c>
      <c r="E7697" t="n">
        <v>20</v>
      </c>
      <c r="F7697">
        <f>HYPERLINK("https://www.reddit.com/r/cancer/comments/f27mcj/newly_diagnosed_oral_cancer/")</f>
        <v/>
      </c>
      <c r="G7697" t="inlineStr">
        <is>
          <t>2020-02-11 04:25:46</t>
        </is>
      </c>
      <c r="H7697" t="inlineStr"/>
    </row>
    <row r="7698">
      <c r="A7698" t="inlineStr">
        <is>
          <t>f28g49</t>
        </is>
      </c>
      <c r="B7698" t="inlineStr">
        <is>
          <t>Prayers would be greatly appreciated</t>
        </is>
      </c>
      <c r="C7698" t="inlineStr">
        <is>
          <t>My relative recently got diagnosed with prostate cancer. It is apparently one of the most common forms of cancer with a high survival chance of diagnosed early on. We were lucky enough to have it diagnosed early on before it spread, and he will be undergoing a prostate removal surgery soon. Please, please pray that the surgery goes smooth, relatively painless, and is very effective. I’m really worried and would really appreciate any prayers at all, tysm to everyone who does; it means so much to me &amp;lt;3</t>
        </is>
      </c>
      <c r="D7698" t="n">
        <v>1</v>
      </c>
      <c r="E7698" t="n">
        <v>3</v>
      </c>
      <c r="F7698">
        <f>HYPERLINK("https://www.reddit.com/r/cancer/comments/f28g49/prayers_would_be_greatly_appreciated/")</f>
        <v/>
      </c>
      <c r="G7698" t="inlineStr">
        <is>
          <t>2020-02-11 05:39:36</t>
        </is>
      </c>
      <c r="H7698" t="inlineStr"/>
    </row>
    <row r="7699">
      <c r="A7699" t="inlineStr">
        <is>
          <t>f28i69</t>
        </is>
      </c>
      <c r="B7699" t="inlineStr">
        <is>
          <t>How do I help my mom cope with my dad's death in a healthy way?</t>
        </is>
      </c>
      <c r="C7699" t="inlineStr">
        <is>
          <t>Hi. Sorry if this is the wrong subreddit, but I didn't know where else to post this. 
I lost my dad a few days ago to colon cancer. He struggled for a little over a year and my mom was his main caretaker. She put her personal and professional life on hold and took care of him every single day.
She's still quite young and I want her to start taking care of herself now. I have two younger sisters, and I feel it's my duty to take care of them even more now because I want my mom to advance in her job, travel and generally focus more on herself. I know nothing will replace my dad and it will take time for us to get used to his absence, but I just need some tips help my mom get through this as easily as possible.</t>
        </is>
      </c>
      <c r="D7699" t="n">
        <v>1</v>
      </c>
      <c r="E7699" t="n">
        <v>2</v>
      </c>
      <c r="F7699">
        <f>HYPERLINK("https://www.reddit.com/r/cancer/comments/f28i69/how_do_i_help_my_mom_cope_with_my_dads_death_in_a/")</f>
        <v/>
      </c>
      <c r="G7699" t="inlineStr">
        <is>
          <t>2020-02-11 05:44:15</t>
        </is>
      </c>
      <c r="H7699" t="inlineStr"/>
    </row>
    <row r="7700">
      <c r="A7700" t="inlineStr">
        <is>
          <t>f29sqw</t>
        </is>
      </c>
      <c r="B7700" t="inlineStr">
        <is>
          <t>My cancer story</t>
        </is>
      </c>
      <c r="C7700" t="inlineStr">
        <is>
          <t>So in September of last year I was diagnosed with Ewing sarcoma, a type of cancer that forms on the bones, I’ve already had Ewing’s when I was 3 so this was really rare for it to pop back up 13 years later. Getting the news that I had cancer again was traumatizing, and my family were shocked and sad just as I was, so the first thing we do is get a chemo regimen, which is two weeks of chemo, one week break. So we start that and everything seems to be normal nothing out of the usual. Then we start a home chemo with a nurse that comes to my house. So we do that for about two weeks and then the nurse messes up the injection and some of the chemo ended up in my skin, so me and my dad had to rush to the hospital at 12:00 at night just to see if everything was okay and to finish the chemo. So after that fiasco, we decide to get a scan to see if the chemo is working, but the tumor was the same size, so we were getting worried, but there was another stronger chemo we could use, so we chose that, the regime for this one was one week chemo, two weeks off, so we do one cycle and everything seems to be normal so we do another scan to see if this chemo is working, and surprise surprise, it’s not. But in the same time we figured this out, we also figured out that the tumor moved to my head, so we were getting panicked, but we talked to the doctors and they said the best course of action was radiation to the skull, so that’s what I did for a week. But we still had that lingering problem of the chest tumor not shrinking, so the doctors said let’s radiate that too, so that’s where we are now, I’m in the middle of getting radiation to the chest.
Thank you for listening to my story and I’ll update you if anything changes</t>
        </is>
      </c>
      <c r="D7700" t="n">
        <v>1</v>
      </c>
      <c r="E7700" t="n">
        <v>4</v>
      </c>
      <c r="F7700">
        <f>HYPERLINK("https://www.reddit.com/r/cancer/comments/f29sqw/my_cancer_story/")</f>
        <v/>
      </c>
      <c r="G7700" t="inlineStr">
        <is>
          <t>2020-02-11 07:23:25</t>
        </is>
      </c>
      <c r="H7700" t="inlineStr"/>
    </row>
    <row r="7701">
      <c r="A7701" t="inlineStr">
        <is>
          <t>f2agen</t>
        </is>
      </c>
      <c r="B7701" t="inlineStr">
        <is>
          <t>Going in for my first PET Scan Tomorrow...</t>
        </is>
      </c>
      <c r="C7701" t="inlineStr">
        <is>
          <t>Sorry, I've been holding this in and there's not many places to vent.   
I went in for a Colonoscopy/Endoscopy after a month of bowel movement changes which came back half-good half-bad. While my colon seemed to only be inflamed with ileitis (did not confirm Crohn's), one of the polyps from my stomach came back as a G1 carcinoid tumor which is extremely slow growing. Still, the biopsy came back as inclusive, which means I will be getting a follow-up endoscopy in 3 months -- not the worst, I could use a nap.  
While all of my CBC seems to be normal, except for my Sed Rate, I can't help but think that this is all tied back to my swollen lymph nodes that started to appear in October 2019. I have one on my neck which swells up at night, but is no where close to as big as when I first found it. I also have a sore lump on my inner thigh and hip, but that could just be acne (bad skin).   
I'm hoping for the best, and I've started reading Dr. Lorenzo Cohen's Anti-Cancer Living just to make sure I'm on the right track and creating healthy habits for the long-term.</t>
        </is>
      </c>
      <c r="D7701" t="n">
        <v>1</v>
      </c>
      <c r="E7701" t="n">
        <v>5</v>
      </c>
      <c r="F7701">
        <f>HYPERLINK("https://www.reddit.com/r/cancer/comments/f2agen/going_in_for_my_first_pet_scan_tomorrow/")</f>
        <v/>
      </c>
      <c r="G7701" t="inlineStr">
        <is>
          <t>2020-02-11 08:09:35</t>
        </is>
      </c>
      <c r="H7701" t="inlineStr"/>
    </row>
    <row r="7702">
      <c r="A7702" t="inlineStr">
        <is>
          <t>f2bg5x</t>
        </is>
      </c>
      <c r="B7702" t="inlineStr">
        <is>
          <t>Some good news for those who need to hear some</t>
        </is>
      </c>
      <c r="C7702" t="inlineStr">
        <is>
          <t>I (19M) was diagnosed with Ewing's Sarcoma (a type of bone cancer) back in October 2019. It had started in my pelvis but a few spots were present in my spine and ribs. At the beginning I don't think it looked that good. They immediately put me on high dosage chemotherapy which has NOT been fun. I've spent a lot of time in hospital as an inpatient because I get my chemo for five days in a row every three weeks. Neutropenia has been a BITCH and I keep ending back in hospital with infections too. However the side effects of the chemo aren't too bad in comparison to what others have, and the excrutiating pains I was getting before I was diagnosed in my ribs, back and pelvis  are non existent now since chemo has started. As well as that, one of my eyes started going partially blind due to a nerve being pressed on by a tumor.somewhere. Within four days of starting chemotherapy it was completely back to normal.
I had my first lot of scans done since diagnosis and yesterday I found out the results. The doctors are so so happy with how it's going. After just 3 months of chemo my primary tumor has shrunk from 5.5cm to 2cm!! And it's shrinking everywhere all over my body, with bits of it gone completely. They tell me they're going to do another 3 months of chemo, followed by 5 weeks of radiation in the pelvis... All going well it will all be gone. If it isn't, they said they will do some additional chemotherapy. Maybe by June I will have put this behind me and get back to my life.</t>
        </is>
      </c>
      <c r="D7702" t="n">
        <v>1</v>
      </c>
      <c r="E7702" t="n">
        <v>22</v>
      </c>
      <c r="F7702">
        <f>HYPERLINK("https://www.reddit.com/r/cancer/comments/f2bg5x/some_good_news_for_those_who_need_to_hear_some/")</f>
        <v/>
      </c>
      <c r="G7702" t="inlineStr">
        <is>
          <t>2020-02-11 09:15:57</t>
        </is>
      </c>
      <c r="H7702" t="inlineStr"/>
    </row>
    <row r="7703">
      <c r="A7703" t="inlineStr">
        <is>
          <t>f2c50h</t>
        </is>
      </c>
      <c r="B7703" t="inlineStr">
        <is>
          <t>Worried about my cousin who neglected lump in neck and now cancer has been confirmed</t>
        </is>
      </c>
      <c r="C7703" t="inlineStr">
        <is>
          <t>Hello everyone. 
My cousin noticed a lump in her neck for over a year and a half but she was terrified to get it checked and he didn't do anything about it.
Some weeks ago, when she couldn't ignore the now huge lump plus other symptoms she got a biopsy and thyroid papillary carcinoma was diagnosed.
I have read a lot and in general this type of cancer seems treatable. She will have to have her thyroid removed and have the radioactive iodine treatment.
However I am extremely concerned because she let so much time pass :( . 
Has anyone here have gone through this type of cancer? Do you have any advice?
I hope it hasn't spread to other places.
Thanks for reading.</t>
        </is>
      </c>
      <c r="D7703" t="n">
        <v>1</v>
      </c>
      <c r="E7703" t="n">
        <v>6</v>
      </c>
      <c r="F7703">
        <f>HYPERLINK("https://www.reddit.com/r/cancer/comments/f2c50h/worried_about_my_cousin_who_neglected_lump_in/")</f>
        <v/>
      </c>
      <c r="G7703" t="inlineStr">
        <is>
          <t>2020-02-11 10:01:52</t>
        </is>
      </c>
      <c r="H7703" t="inlineStr"/>
    </row>
    <row r="7704">
      <c r="A7704" t="inlineStr">
        <is>
          <t>f2f2e4</t>
        </is>
      </c>
      <c r="B7704" t="inlineStr">
        <is>
          <t>Lost My mother 3 weeks ago to Glioblastoma Multiforme</t>
        </is>
      </c>
      <c r="C7704" t="inlineStr">
        <is>
          <t>She was 47 only and watching her health declining week by week is something that cant be summed up in words. She was in pain, she used to cry, she was confused, and from the last 2 months she couldnt even move her eyes.i was Watching my sister flushing her picc lines, feeding her with the tube and fighting new challenges every week. I used to assist my sister in taking care of my mother and help in whatever way i can.
This disease is so cruel that i dont understand how i should feel after she is gone. Its the end of her suffering but I am not able to move on.I used to wake up in the middle of the night to check if she is sleeping well and not crying, i still wake up in the middle of the night but there are no cries, she is just not there in her bed.
You can never be prepared to lose a parent. Never.</t>
        </is>
      </c>
      <c r="D7704" t="n">
        <v>1</v>
      </c>
      <c r="E7704" t="n">
        <v>2</v>
      </c>
      <c r="F7704">
        <f>HYPERLINK("https://www.reddit.com/r/cancer/comments/f2f2e4/lost_my_mother_3_weeks_ago_to_glioblastoma/")</f>
        <v/>
      </c>
      <c r="G7704" t="inlineStr">
        <is>
          <t>2020-02-11 13:08:20</t>
        </is>
      </c>
      <c r="H7704" t="inlineStr"/>
    </row>
    <row r="7705">
      <c r="A7705" t="inlineStr">
        <is>
          <t>f2h7so</t>
        </is>
      </c>
      <c r="B7705" t="inlineStr">
        <is>
          <t>How do I help someone, who lost her mother to cancer?</t>
        </is>
      </c>
      <c r="C7705" t="inlineStr">
        <is>
          <t>Hello everyone,
I will be so grateful for every tip I receive.
My gf's mother, just like her aunt 20 years ago, has just left us because of cancer. Minutes before passing her grandmother, who has now lost both of her daughters to cancer, told the mother to greet the sister.
I am not with my gf right now but I will be as soon as I can tomorrow but honestly, idk what to do then. I am also fighting with crying atm and I know the things I can say to her wouldn't work on me since I am also emotionally bound to her mother but ofc not as close as my gf. So how am I supposed to do shit? Especially considering I will not only see her tomorrow but her father and younger brother as well.
Even though my text is this short I needed a lot of time writing this. I just feel so powerless and numb. And my feelings here are just the tip of the iceberg.
What can I do/tell her to be as supportive as I can without pushing the boundaries of what is appropriate and what is not? Like what do they need? Should I even be there? Should I ask her to talk? Should I not? I have so many questions and not the slightest idea of an answer. I hope you guys can help me and if not that is okay..
Thank you for reading.</t>
        </is>
      </c>
      <c r="D7705" t="n">
        <v>1</v>
      </c>
      <c r="E7705" t="n">
        <v>4</v>
      </c>
      <c r="F7705">
        <f>HYPERLINK("https://www.reddit.com/r/cancer/comments/f2h7so/how_do_i_help_someone_who_lost_her_mother_to/")</f>
        <v/>
      </c>
      <c r="G7705" t="inlineStr">
        <is>
          <t>2020-02-11 15:25:27</t>
        </is>
      </c>
      <c r="H7705" t="inlineStr"/>
    </row>
    <row r="7706">
      <c r="A7706" t="inlineStr">
        <is>
          <t>f2hlw6</t>
        </is>
      </c>
      <c r="B7706" t="inlineStr">
        <is>
          <t>What's the pain/recovery like for a TURBT?</t>
        </is>
      </c>
      <c r="C7706" t="inlineStr">
        <is>
          <t>I went for a cystoscopy today and the found areas that we'll call polyps for now.
They're getting removed next Monday on an out patients thingy under a general anaesthetic.
But the hospital booklet stated it's a 2to3 day stay and 2to3 weeks no work or driving stating that my insurence won't cover me over this time.
Just wondering what world of pain I'm in for?</t>
        </is>
      </c>
      <c r="D7706" t="n">
        <v>1</v>
      </c>
      <c r="E7706" t="n">
        <v>0</v>
      </c>
      <c r="F7706">
        <f>HYPERLINK("https://www.reddit.com/r/cancer/comments/f2hlw6/whats_the_painrecovery_like_for_a_turbt/")</f>
        <v/>
      </c>
      <c r="G7706" t="inlineStr">
        <is>
          <t>2020-02-11 15:52:03</t>
        </is>
      </c>
      <c r="H7706" t="inlineStr"/>
    </row>
    <row r="7707">
      <c r="A7707" t="inlineStr">
        <is>
          <t>f2jcea</t>
        </is>
      </c>
      <c r="B7707" t="inlineStr">
        <is>
          <t>My sweet mother.</t>
        </is>
      </c>
      <c r="C7707" t="inlineStr">
        <is>
          <t>My mom always held me tight. She always told me she loved me and that I would regret when she wasn’t here anymore. She would kiss me on the cheek and “embarrass” me in front my friends. 
My mom was the nicest person I’ve ever known. She always held the door for other people. She always told the bus driver to hold on and wait for the ones running for the bus. She always made sure I went to every doctor appointment and had every check up. My mother was the nicest person I had ever met.
During the month of September 2012 my mother developed chronic headaches. She went to the ER and they told her she had a urinary tract infection. So they sent her on her way with some pills and promised everything would be fine. 
A couple weeks later my mother still felt that penetrating headache. I remember she threw up all her food one day. That’s what got us so scared. We took her to the ER again and we emphasized the headache part.
It turned out my mother had lymphoma. She had a tumor pressing against her skull and there was nothing we could do about it. All we could do was watch our mother die.
I was only 12. And I watched my mother slowly deteriorate. I was there when she took her last breath. I held her hand. I remember her slowly whispering words. I had no idea what they were.</t>
        </is>
      </c>
      <c r="D7707" t="n">
        <v>1</v>
      </c>
      <c r="E7707" t="n">
        <v>1</v>
      </c>
      <c r="F7707">
        <f>HYPERLINK("https://www.reddit.com/r/cancer/comments/f2jcea/my_sweet_mother/")</f>
        <v/>
      </c>
      <c r="G7707" t="inlineStr">
        <is>
          <t>2020-02-11 17:52:04</t>
        </is>
      </c>
      <c r="H7707" t="inlineStr"/>
    </row>
    <row r="7708">
      <c r="A7708" t="inlineStr">
        <is>
          <t>f2jp3r</t>
        </is>
      </c>
      <c r="B7708" t="inlineStr">
        <is>
          <t>About Me</t>
        </is>
      </c>
      <c r="C7708" t="inlineStr">
        <is>
          <t>(26F) This August I will be 5 years cancer free and the term 'cured' can finally be used. I had stage 3 burkitt lymphoma. I was in the hospital every 3 weeks receiving chemo and had out-patient chemo between visits. I also recieved 3 lumbar punctures through which they tested spinal fluid and administered chemo and I had my bone marrow tested as a precaution. I was 21 and had just moved out to start a life on my own with my husband(then bf). We got married in the hospital during my first treatment. My treatments lasted 6 months and I had a surgery in the end to remove the tumor that was on my ovary. The ovary was also removed as it was not viable.
Needless to say, I'm terrified it may come back one day. (I'm sure we all are) One of my Oncologists said that it is unlikely to return. I had a dream last night that it did return but it's not the first. I'm 8 weeks pregnant so in my dream I realized that I would have to terminate the pregnancy. I'm thinking it was just the anxiety of my 6 month follow up appointment in two weeks or maybe even just one of those weird pregnancy dreams.
I'm lucky and blessed to say that although I only have one ovary I have no infertility issues or trouble becoming pregnant. My first pregnancy with my son in 2017 was successful although he had birth defects of the heart and genetailia (both have been corrected through surgery). My second pregnancy sadly ended at 19 weeks about 6 months ago. Now with my third pregnancy underway, I'm hoping nothing goes wrong. I'm trying not to get too excited with our last pregnancy having ended so suddenly almost halfway through. 
I've also come to realize that I may be suffering from a mild form of PTSD due to my experience with my miscarriage. Long story short, the first ER sent us home to miscarry when, having been 19 weeks along, we should have been admitted to a room and they neglected to tell us exactly what to expect after having asked several times. I knew what they said didn't sound right being so far along but was in too much pain to argue with them. I've never been in labor before because I had a c-section due to preeclampsia with my first pregnancy so we didn't know I was experiencing actual labor until we went to the second ER closer to home. Before we walked through the door I was feeling relieved and ended up passing the baby in my pants standing in the parking lot. I asked the nurse, "What did they expect me to do with this if it happened at home?!" 
I'm hoping the best for all those newly diagnosed and those who are still battling. To all the survivors out there I wish you a long, beautiful remission. Thank you for taking the time to read my story.</t>
        </is>
      </c>
      <c r="D7708" t="n">
        <v>1</v>
      </c>
      <c r="E7708" t="n">
        <v>0</v>
      </c>
      <c r="F7708">
        <f>HYPERLINK("https://www.reddit.com/r/cancer/comments/f2jp3r/about_me/")</f>
        <v/>
      </c>
      <c r="G7708" t="inlineStr">
        <is>
          <t>2020-02-11 18:16:48</t>
        </is>
      </c>
      <c r="H7708" t="inlineStr"/>
    </row>
    <row r="7709">
      <c r="A7709" t="inlineStr">
        <is>
          <t>f2klst</t>
        </is>
      </c>
      <c r="B7709" t="inlineStr">
        <is>
          <t>Opdivo and Yervoy Side Effects</t>
        </is>
      </c>
      <c r="C7709" t="inlineStr">
        <is>
          <t>30 F stage 4 melanoma 
I was diagnosed back in December, had surgery to remove two tumors on my back last month and just finished my first session of immunotherapy a little over a week ago. The side effects have been awful, constant fever, body aches, swollen thyroid, and now my skin has broken out and just itches or swells up. I've tried calling my oncologist to see what options I have but they haven't been helpful at all.  I was wondering if anyone else here had similar side effects or can offer any advice on getting a little relief.  Currently I can manage the fever by taking 800mg of ibuprofen every couple of hours but I don't want to do that the entire time if I don't have to.  I've got three more sessions of both medicines and then it switches to just opdivo which I've heard the side effects are much milder.  Thanks!</t>
        </is>
      </c>
      <c r="D7709" t="n">
        <v>1</v>
      </c>
      <c r="E7709" t="n">
        <v>5</v>
      </c>
      <c r="F7709">
        <f>HYPERLINK("https://www.reddit.com/r/cancer/comments/f2klst/opdivo_and_yervoy_side_effects/")</f>
        <v/>
      </c>
      <c r="G7709" t="inlineStr">
        <is>
          <t>2020-02-11 19:21:36</t>
        </is>
      </c>
      <c r="H7709" t="inlineStr"/>
    </row>
    <row r="7710">
      <c r="A7710" t="inlineStr">
        <is>
          <t>f2lwsl</t>
        </is>
      </c>
      <c r="B7710" t="inlineStr">
        <is>
          <t>Is there any hope</t>
        </is>
      </c>
      <c r="C7710" t="inlineStr">
        <is>
          <t xml:space="preserve">
My dad (60) was diagnosed with prostate cancer in 2012 with a Gleason of 10. He had his prostate removed and had radiation at the time of diagnosis. He’s been on hormone therapy ever since. They found some cancer in nearby lymph nodes but he had them removed/radiation was given. At around summer of 2019 he began to follow lower back pain and it was so bad to the point where he couldn’t sleep. We found out at around November/December of 2019 that his cancer is back and they found a tumour on his sacrum bone (part of the spine) and a very very small amount in his lungs. 
He is done radiation to the bone and is on zytiga now and doing okay, he cannot walk as good as he did before but he’s still healthy and has changed a lot of his diet. Because of his medication, he has gotten diabetes and it’s just always something around the corner waiting for him. I don’t know his prognosis or how long he has. 
I’m only 19 years old. I’ve always wanted him to see me graduate university, see me get married, have him meet his grandchildren. Now I cry every day knowing that might not happen. I guess I’m just posting to vent. I don’t know what the future holds, I hate this ambiguity. I just want to see my family happy again.</t>
        </is>
      </c>
      <c r="D7710" t="n">
        <v>1</v>
      </c>
      <c r="E7710" t="n">
        <v>1</v>
      </c>
      <c r="F7710">
        <f>HYPERLINK("https://www.reddit.com/r/cancer/comments/f2lwsl/is_there_any_hope/")</f>
        <v/>
      </c>
      <c r="G7710" t="inlineStr">
        <is>
          <t>2020-02-11 21:00:57</t>
        </is>
      </c>
      <c r="H7710" t="inlineStr"/>
    </row>
    <row r="7711">
      <c r="A7711" t="inlineStr">
        <is>
          <t>f2lyiq</t>
        </is>
      </c>
      <c r="B7711" t="inlineStr">
        <is>
          <t>My mom at age 65 has s stage IVB colon cancer</t>
        </is>
      </c>
      <c r="C7711" t="inlineStr">
        <is>
          <t>She was in the hospital for over a month because doctor's could not figure out where the cancer was exactly (they knew it was cancer though).  She had her first chemo meeting yesterday to start a plan and after the check up they told her she has stage IVB colon cancer, which is the most severe stage. I am incredibly scared right now and don't know what to do! Has anyone else gone through this before or know anyone that has fought through it? I really don't want to lose my mom!! :(</t>
        </is>
      </c>
      <c r="D7711" t="n">
        <v>1</v>
      </c>
      <c r="E7711" t="n">
        <v>8</v>
      </c>
      <c r="F7711">
        <f>HYPERLINK("https://www.reddit.com/r/cancer/comments/f2lyiq/my_mom_at_age_65_has_s_stage_ivb_colon_cancer/")</f>
        <v/>
      </c>
      <c r="G7711" t="inlineStr">
        <is>
          <t>2020-02-11 21:04:39</t>
        </is>
      </c>
      <c r="H7711" t="inlineStr"/>
    </row>
    <row r="7712">
      <c r="A7712" t="inlineStr">
        <is>
          <t>f2pg5g</t>
        </is>
      </c>
      <c r="B7712" t="inlineStr">
        <is>
          <t>Metastatic Colon Cancer.. I don’t want to lose my Dad.</t>
        </is>
      </c>
      <c r="C7712" t="inlineStr">
        <is>
          <t>My dad was 61 when he was first diagnosed with colon cancer in 2014. He had a colon resection in 2014 along with chemotherapy. Two years later in 2016 it metastasized to his liver, he had a resection and once again chemotherapy. In September 2018 it metastasized to two spots in his lungs and he had those removed. 2019 brought more lung mets and two more separate resections. July 2019 his scan was clear. January 2020 CT showed metastasizes to his left adrenal gland and right lung. CT PET scan in January 2020 showed more mets along his spine, rib, and sternum. Over the last 3 weeks he was having trouble with his balance. Things got considerably worse this past weekend so he went into emergency for a brain CT and they found a 3cm tumour located in his cerebellum. There was a massive amount of swelling which was causing all the balance issues. He has taken steroids to bring down the swelling and he is slowly recovering his ability to walk. He gets a brain MRI tomorrow to see if there are more brain tumours and that will determine the plan of action. 
I am 26 and my dad is now 66. He is my best friend and my whole world. I can’t imagine my life without him, it seems impossible. The end has never really seemed near up until this point. He has what I like to call “invisible cancer”. Looking at him from the outside and talking to him you would think he is a perfectly healthy in shape man in his 60s. You would never know he had cancer. Even going through chemo treatments you would never know, other than being extremely fatigued. He always puts on such a strong front too. I know he does that for me and my mom and brother. I don’t want this to be the end. There is still so much life left for him to experience. 
Parents always seem like they are going to be around forever. How can they not be? They seem so invincible to you as a child, and even as an adult now. I can’t imagine a life where I can’t just pick up the phone to call my dad on my way home from work. He is the smartest most amazing man I have ever known and has touched the lives of so many people over the years. I feel like a part of me has died already. I am not ready to live without him. This ache in my chest will not go away.</t>
        </is>
      </c>
      <c r="D7712" t="n">
        <v>1</v>
      </c>
      <c r="E7712" t="n">
        <v>9</v>
      </c>
      <c r="F7712">
        <f>HYPERLINK("https://www.reddit.com/r/cancer/comments/f2pg5g/metastatic_colon_cancer_i_dont_want_to_lose_my_dad/")</f>
        <v/>
      </c>
      <c r="G7712" t="inlineStr">
        <is>
          <t>2020-02-12 02:49:41</t>
        </is>
      </c>
      <c r="H7712" t="inlineStr"/>
    </row>
    <row r="7713">
      <c r="A7713" t="inlineStr">
        <is>
          <t>f2qi11</t>
        </is>
      </c>
      <c r="B7713" t="inlineStr">
        <is>
          <t>Any experience with rapidly growing squamous cell carcinoma?</t>
        </is>
      </c>
      <c r="C7713" t="inlineStr">
        <is>
          <t>Im a 34M and back during the week of Christmas I noticed a small bump on my lower cheek/jaw. Within a week it had grown and didn't seem right (not just acne) so on the 31st I made an appointment with my doctor (PCP). They got me in early January. By then it had grown to about 3mm diameter x3mm tall and was crusting over. He referred me to derm and it took another 3 weeks to get in. By that appointment it was roughly 8-10mm diameter and 8-10 mm tall (imagine something a little larger than 2 Altoids stacked together), had a black crust on it, itched, and was bleeding randomly with visible blood vessels on the sides of it. The dermatologist cut it off and sent it to the lab. Two days later they called and said it was a squamous cell carcinoma. I go in on the 27th for Mohs (luckily they had a cancelation and were able to fit me in quickly). From what I've read squamous is normally very slow growing and I can find almost nothing on rapidly growing squamous. The only thing I've seen so far is a few case studies in people 70+ with a history of skin cancer and suppressed immune function. Anyone else have any experience with very rapidly growing squamous cell carcinoma?</t>
        </is>
      </c>
      <c r="D7713" t="n">
        <v>1</v>
      </c>
      <c r="E7713" t="n">
        <v>2</v>
      </c>
      <c r="F7713">
        <f>HYPERLINK("https://www.reddit.com/r/cancer/comments/f2qi11/any_experience_with_rapidly_growing_squamous_cell/")</f>
        <v/>
      </c>
      <c r="G7713" t="inlineStr">
        <is>
          <t>2020-02-12 04:30:12</t>
        </is>
      </c>
      <c r="H7713" t="inlineStr"/>
    </row>
    <row r="7714">
      <c r="A7714" t="inlineStr">
        <is>
          <t>f2s292</t>
        </is>
      </c>
      <c r="B7714" t="inlineStr">
        <is>
          <t>I have “ultimate” sign of cancer, asking for experiences.</t>
        </is>
      </c>
      <c r="C7714" t="inlineStr">
        <is>
          <t>Hello, I have enlarged left supraclavicular lymph node which is red-flag in gastric cancer but may also occur in other cancers and is a sign of advanced disease... I copied the description of my situation from another post. Do you have any experiences with it? 
Age: 20
Male
Height: 6’1”
Weight: 190lbs
Race: Caucasian 
In mid December last year I noticed that I have enlarged Virchow’s node and I am fully aware what that means. Node is 2cm, rubber hard, painless and slightly moveable. It stays unchanged for last 2 months and doesn’t grow. I am scared of course but I have had a lot of test done since 2019 due to various mild symptoms - is it enough to calm down and rule out cancer? 
The test I had done chronologically:
January 2019: full abdominal ultrasonography, sinus X-ray, bloodwork - ALL CLEAR 
February 2019: chest x-ray, full urinary system ultrasonography and cancer blood markers including AFP and CEA - ALL CLEAR (small cyst on testicle)
March 2019: extended bloodwork - ALL CLEAR
August 2019: brain MRI - PERFECT
November 2019: chest x-ray - ALL CLEAR 
January 2020: upper GI endoscopy with biopsies - CLEAR just slight gastritis due to reflux
February 2020: colonoscopy - ULCERATIVE COLITIS 
I had whooping cough during October-November 2019, treated by antibiotics. Could it make my node enlarged? Although it didn’t show up on x-ray. 
I was also afraid because I lost some weight during 2019 but I gained back almost 10lbs since December and have good apetite, I think it is unusual with cancer?</t>
        </is>
      </c>
      <c r="D7714" t="n">
        <v>1</v>
      </c>
      <c r="E7714" t="n">
        <v>12</v>
      </c>
      <c r="F7714">
        <f>HYPERLINK("https://www.reddit.com/r/cancer/comments/f2s292/i_have_ultimate_sign_of_cancer_asking_for/")</f>
        <v/>
      </c>
      <c r="G7714" t="inlineStr">
        <is>
          <t>2020-02-12 06:33:16</t>
        </is>
      </c>
      <c r="H7714" t="inlineStr"/>
    </row>
    <row r="7715">
      <c r="A7715" t="inlineStr">
        <is>
          <t>f2thjo</t>
        </is>
      </c>
      <c r="B7715" t="inlineStr">
        <is>
          <t>Something worth looking into</t>
        </is>
      </c>
      <c r="C7715" t="inlineStr">
        <is>
          <t>A few years ago (around 2004? i can't remember) my dad was diagnosed with esophagus cancer. Doctors said he had about 6 months to live..
So my grandma recommended him to try cordyceps.. not the pill but the actual "mushroom."  (you might be able to find it in your local asian grocery stores. )
He ended up getting better..
I've also tried a bit of it, as i have asthma and chronic fatigue.. and felt it's effects instantly.. (my head felt instantly clearer (fatigue--makes me feel like i have brain fog) and even my lungs felt stronger 
anyway, I'm not a doctor or anything, but for those of you that do suffer from cancer or have family/friends that do.. it may be worth looking into. it's wayyy expensive but if it could save a life.. it's definitely worth looking into
&amp;amp;#x200B;
 [https://www.webmd.com/vitamins/ai/ingredientmono-602/cordyceps](https://www.webmd.com/vitamins/ai/ingredientmono-602/cordyceps)</t>
        </is>
      </c>
      <c r="D7715" t="n">
        <v>1</v>
      </c>
      <c r="E7715" t="n">
        <v>0</v>
      </c>
      <c r="F7715">
        <f>HYPERLINK("https://www.reddit.com/r/cancer/comments/f2thjo/something_worth_looking_into/")</f>
        <v/>
      </c>
      <c r="G7715" t="inlineStr">
        <is>
          <t>2020-02-12 08:11:06</t>
        </is>
      </c>
      <c r="H7715" t="inlineStr"/>
    </row>
    <row r="7716">
      <c r="A7716" t="inlineStr">
        <is>
          <t>f2tsub</t>
        </is>
      </c>
      <c r="B7716" t="inlineStr">
        <is>
          <t>Uplifting news.</t>
        </is>
      </c>
      <c r="C7716" t="inlineStr">
        <is>
          <t>My dad has stage 4 stomach cancer and he started chemo yesterday. The type of chemo is the hardcore stuff where your hair falls out and all that. The drugs to counteract the symptoms are working great and not even 12 hours after he started chemo he was able to eat solid food again. He hasn’t been able to do that for months. He’s taking it little by little and I’m just glad he’s able to eat again and I’m sure he’s glad that he can slow down on the Boost and Activia because he hates those now. They were the only things he could stomach and it got old really fast. Looks like he’s starting to feel better now and hoping for the best.</t>
        </is>
      </c>
      <c r="D7716" t="n">
        <v>1</v>
      </c>
      <c r="E7716" t="n">
        <v>7</v>
      </c>
      <c r="F7716">
        <f>HYPERLINK("https://www.reddit.com/r/cancer/comments/f2tsub/uplifting_news/")</f>
        <v/>
      </c>
      <c r="G7716" t="inlineStr">
        <is>
          <t>2020-02-12 08:31:17</t>
        </is>
      </c>
      <c r="H7716" t="inlineStr"/>
    </row>
    <row r="7717">
      <c r="A7717" t="inlineStr">
        <is>
          <t>f2vgtw</t>
        </is>
      </c>
      <c r="B7717" t="inlineStr">
        <is>
          <t>Herceptin Infusions VS Injections</t>
        </is>
      </c>
      <c r="C7717" t="inlineStr">
        <is>
          <t>Hi all,
My mom has been going through triple positive breast cancer for some time now. She has finished her chemo (12 sessions of taxol and abraxane) , and now needs to continue getting herceptin every three weeks for a year.
We heard that there are basically two ways to receive herceptin - infusion or injection.
Has anyone here gone through either of these treatments? Where should I look for a comparison in terms of efficacy?
Thank you so much!</t>
        </is>
      </c>
      <c r="D7717" t="n">
        <v>1</v>
      </c>
      <c r="E7717" t="n">
        <v>2</v>
      </c>
      <c r="F7717">
        <f>HYPERLINK("https://www.reddit.com/r/cancer/comments/f2vgtw/herceptin_infusions_vs_injections/")</f>
        <v/>
      </c>
      <c r="G7717" t="inlineStr">
        <is>
          <t>2020-02-12 10:17:18</t>
        </is>
      </c>
      <c r="H7717" t="inlineStr"/>
    </row>
    <row r="7718">
      <c r="A7718" t="inlineStr">
        <is>
          <t>f2vv5u</t>
        </is>
      </c>
      <c r="B7718" t="inlineStr">
        <is>
          <t>Permanent Hair Loss After Chemo?</t>
        </is>
      </c>
      <c r="C7718" t="inlineStr">
        <is>
          <t>Hello, 
My boyfriend is 23, and has beat leukemia (AML) twice. He received a bone marrow transplant a year and a half ago from his sister, who was a nearly perfect match. He first was diagnosed at 19, and relapsed at 21. He was out of the hospital for about a year and a half between treatments. My question has to do with the hair loss he's experienced. After his first treatment, his hair grew back very thick and beautiful. After the even more intensive chemo he received throughout his second treatment, his hair has not grown back fully. He has been taking tacrolimus since his transplant however, which can inhibit hair growth. His dosage is very small though at this point. He is not bald, but his hair is thin all over his head. His body hair has grown back to as it was before. There is of course the possibility that the hair on his head may never grow back to what it looked like before, and obviously it's such a small price to pay for having him here. It's still a difficult adjustment though, and I've been researching what we could do to help. He uses castor oil and takes Biotin. Hair transplants wouldn't work, and neither would Rogaine. Are there any other potential options that I am overlooking? Thank you so much, and sending prayers to anyone affected by cancer and all of the side effects.</t>
        </is>
      </c>
      <c r="D7718" t="n">
        <v>1</v>
      </c>
      <c r="E7718" t="n">
        <v>3</v>
      </c>
      <c r="F7718">
        <f>HYPERLINK("https://www.reddit.com/r/cancer/comments/f2vv5u/permanent_hair_loss_after_chemo/")</f>
        <v/>
      </c>
      <c r="G7718" t="inlineStr">
        <is>
          <t>2020-02-12 10:43:20</t>
        </is>
      </c>
      <c r="H7718" t="inlineStr"/>
    </row>
    <row r="7719">
      <c r="A7719" t="inlineStr">
        <is>
          <t>f2wki4</t>
        </is>
      </c>
      <c r="B7719" t="inlineStr">
        <is>
          <t>How long do I have?</t>
        </is>
      </c>
      <c r="C7719" t="inlineStr">
        <is>
          <t>In August of last year I was diagnosed with a stage 4 glioblastoma. How long do I have?</t>
        </is>
      </c>
      <c r="D7719" t="n">
        <v>1</v>
      </c>
      <c r="E7719" t="n">
        <v>11</v>
      </c>
      <c r="F7719">
        <f>HYPERLINK("https://www.reddit.com/r/cancer/comments/f2wki4/how_long_do_i_have/")</f>
        <v/>
      </c>
      <c r="G7719" t="inlineStr">
        <is>
          <t>2020-02-12 11:29:02</t>
        </is>
      </c>
      <c r="H7719" t="inlineStr"/>
    </row>
    <row r="7720">
      <c r="A7720" t="inlineStr">
        <is>
          <t>f2y2w0</t>
        </is>
      </c>
      <c r="B7720" t="inlineStr">
        <is>
          <t>So apparently cancer isn't a "get out of jail free card..." but then there are those who share unexpected compassion and kindness. What's your story of compassion? Please to restore my faith in humanity!</t>
        </is>
      </c>
      <c r="C7720" t="inlineStr">
        <is>
          <t>Its been shocking how many people have not been compassionate regarding the diagnosis. I got some life altering shit going on right now and you can't even give me a break? 
When have you had unexpected compassion or kindness? Please share!</t>
        </is>
      </c>
      <c r="D7720" t="n">
        <v>1</v>
      </c>
      <c r="E7720" t="n">
        <v>9</v>
      </c>
      <c r="F7720">
        <f>HYPERLINK("https://www.reddit.com/r/cancer/comments/f2y2w0/so_apparently_cancer_isnt_a_get_out_of_jail_free/")</f>
        <v/>
      </c>
      <c r="G7720" t="inlineStr">
        <is>
          <t>2020-02-12 13:04:42</t>
        </is>
      </c>
      <c r="H7720" t="inlineStr"/>
    </row>
    <row r="7721">
      <c r="A7721" t="inlineStr">
        <is>
          <t>f2z46t</t>
        </is>
      </c>
      <c r="B7721" t="inlineStr">
        <is>
          <t>Fiance's late sister's first birthday gone is this Friday. Any advice?</t>
        </is>
      </c>
      <c r="C7721" t="inlineStr">
        <is>
          <t>I'm not sure if this is the place to ask it, but this subreddit was so helpful in the final days leading up to my to be sister-in-laws passing so I thought it might be a good place to follow up.
My fiance's sister passed away last September from bone cancer. Her sister's first birthday since departing from us is this Friday. I don't want to roll up ready to celebrate or make a show out of it but I'd like to know if there's anything that anyone who has gone through something similar could share that might make the day more bearable for her and her family.
There's already plans to decorate her grave and have a family meal together, I'm just looking to do anything I can.</t>
        </is>
      </c>
      <c r="D7721" t="n">
        <v>1</v>
      </c>
      <c r="E7721" t="n">
        <v>2</v>
      </c>
      <c r="F7721">
        <f>HYPERLINK("https://www.reddit.com/r/cancer/comments/f2z46t/fiances_late_sisters_first_birthday_gone_is_this/")</f>
        <v/>
      </c>
      <c r="G7721" t="inlineStr">
        <is>
          <t>2020-02-12 14:10:10</t>
        </is>
      </c>
      <c r="H7721" t="inlineStr"/>
    </row>
    <row r="7722">
      <c r="A7722" t="inlineStr">
        <is>
          <t>f30bbk</t>
        </is>
      </c>
      <c r="B7722" t="inlineStr">
        <is>
          <t>Carcinoid.</t>
        </is>
      </c>
      <c r="C7722" t="inlineStr">
        <is>
          <t>My doctor says I have a good chance of having a carcinoid tumor based on an elevated 5-hiaa result. I see an oncologist who specializes in carcinoid in a few weeks. Can anybody share their experiences with this? Any advice?</t>
        </is>
      </c>
      <c r="D7722" t="n">
        <v>1</v>
      </c>
      <c r="E7722" t="n">
        <v>0</v>
      </c>
      <c r="F7722">
        <f>HYPERLINK("https://www.reddit.com/r/cancer/comments/f30bbk/carcinoid/")</f>
        <v/>
      </c>
      <c r="G7722" t="inlineStr">
        <is>
          <t>2020-02-12 15:29:11</t>
        </is>
      </c>
      <c r="H7722" t="inlineStr"/>
    </row>
    <row r="7723">
      <c r="A7723" t="inlineStr">
        <is>
          <t>f318q5</t>
        </is>
      </c>
      <c r="B7723" t="inlineStr">
        <is>
          <t>Misdiagnosis of oral csncer?</t>
        </is>
      </c>
      <c r="C7723" t="inlineStr">
        <is>
          <t>Hello, I had an ulcer on my palate for 1 week, the surgeon from a cancer center  told me it doesn't look like suspicious, the ENT said the same
The problem now is the biopsy came back inconclusive, they don't know if it's a dysplasia, or a   regenerative lesion
Now I have to follow up with them for 5  years ans it's horrible 
At first appointement I saw a lot elderly in the waiting room and felt  humiliated, Its humiliating to be here at a young age 
Why I get this lesion? I never smoke or drink and I don't have fanconi anemia!!!! 
Maybe it's just an ulcer and the pathologist  was drunk or anything?</t>
        </is>
      </c>
      <c r="D7723" t="n">
        <v>1</v>
      </c>
      <c r="E7723" t="n">
        <v>1</v>
      </c>
      <c r="F7723">
        <f>HYPERLINK("https://www.reddit.com/r/cancer/comments/f318q5/misdiagnosis_of_oral_csncer/")</f>
        <v/>
      </c>
      <c r="G7723" t="inlineStr">
        <is>
          <t>2020-02-12 16:34:01</t>
        </is>
      </c>
      <c r="H7723" t="inlineStr"/>
    </row>
    <row r="7724">
      <c r="A7724" t="inlineStr">
        <is>
          <t>f31v2x</t>
        </is>
      </c>
      <c r="B7724" t="inlineStr">
        <is>
          <t>What do I do?Please help me!!</t>
        </is>
      </c>
      <c r="C7724" t="inlineStr">
        <is>
          <t>My stepdad is not doing well. He has stage 4 lung cancer and things have been fine up until his doctor decided to stop treatment because he didn’t like how his recent scans looked which I find odd because his new scans don’t look much different from the scans from a few months ago whenever the doctor said the treatment was working. Anyways, his oncologist doesn’t care and it’s very obvious. We are losing our house now because of the expensive aggressive treatment the doctor recommended and The doctor knows we are now struggling financially. The doctor/staff used to call constantly before but the last month only once. I don’t want the greatest person I know to die because of negligent doctors. I need to know what I can do to get him the best care possible and as soon as possible. Who do I reach out too? Every doctor involved in this whole situation including his primary care doctor of 15 years has been negligent. Idk who to trust. I’m desperate and scared. I put my trust in these people. I need to save him so please anyone give me any ideas at all. Thank you!</t>
        </is>
      </c>
      <c r="D7724" t="n">
        <v>1</v>
      </c>
      <c r="E7724" t="n">
        <v>9</v>
      </c>
      <c r="F7724">
        <f>HYPERLINK("https://www.reddit.com/r/cancer/comments/f31v2x/what_do_i_doplease_help_me/")</f>
        <v/>
      </c>
      <c r="G7724" t="inlineStr">
        <is>
          <t>2020-02-12 17:19:27</t>
        </is>
      </c>
      <c r="H7724" t="inlineStr"/>
    </row>
    <row r="7725">
      <c r="A7725" t="inlineStr">
        <is>
          <t>f325lx</t>
        </is>
      </c>
      <c r="B7725" t="inlineStr">
        <is>
          <t>In less than 12 hours I will have a chemo port put in</t>
        </is>
      </c>
      <c r="C7725" t="inlineStr">
        <is>
          <t>The only good part is I get a day off of work and I get  a drug that makes me not care about anything for a half hour or more.... Other than that fuck cancer and fuck upcoming chemo.</t>
        </is>
      </c>
      <c r="D7725" t="n">
        <v>1</v>
      </c>
      <c r="E7725" t="n">
        <v>53</v>
      </c>
      <c r="F7725">
        <f>HYPERLINK("https://www.reddit.com/r/cancer/comments/f325lx/in_less_than_12_hours_i_will_have_a_chemo_port/")</f>
        <v/>
      </c>
      <c r="G7725" t="inlineStr">
        <is>
          <t>2020-02-12 17:41:25</t>
        </is>
      </c>
      <c r="H7725" t="inlineStr"/>
    </row>
    <row r="7726">
      <c r="A7726" t="inlineStr">
        <is>
          <t>f350us</t>
        </is>
      </c>
      <c r="B7726" t="inlineStr">
        <is>
          <t>Comparing other disease’s pain to stage 4 cancer?</t>
        </is>
      </c>
      <c r="C7726" t="inlineStr">
        <is>
          <t>I have a disease that, in awareness posters and campaigns, is very often said to cause “pain comparable to that of stage 4 cancer”. 
I know it’s very vague but that’s what is said and repeated, I think because some institution, perhaps recklessly, said that quote in their description of the disease. 
This line puts a really bad taste in my mouth. My disease is not fatal, yes it can be painful.
Please let me know how you feel about other conditions/diseases using this comparison. Thank you.</t>
        </is>
      </c>
      <c r="D7726" t="n">
        <v>1</v>
      </c>
      <c r="E7726" t="n">
        <v>11</v>
      </c>
      <c r="F7726">
        <f>HYPERLINK("https://www.reddit.com/r/cancer/comments/f350us/comparing_other_diseases_pain_to_stage_4_cancer/")</f>
        <v/>
      </c>
      <c r="G7726" t="inlineStr">
        <is>
          <t>2020-02-12 21:23:43</t>
        </is>
      </c>
      <c r="H7726" t="inlineStr"/>
    </row>
    <row r="7727">
      <c r="A7727" t="inlineStr">
        <is>
          <t>f364l1</t>
        </is>
      </c>
      <c r="B7727" t="inlineStr">
        <is>
          <t>3 Simple Steps Towards Cervical Cancer Prevention</t>
        </is>
      </c>
      <c r="C7727" t="inlineStr">
        <is>
          <t xml:space="preserve"> In India, Cervical cancer is the second leading cause of cancer. In spite of its notorious reputation, this cancer can be prevented or managed easily with the following prevention strategies. Every woman must learn these simple steps she can take towards **Cervical cancer prevention**.  Learn more -[Cervical cancer prevention](https://cytecare.com/blog/three-simple-steps-towards-cervical-cancer-prevention/)</t>
        </is>
      </c>
      <c r="D7727" t="n">
        <v>1</v>
      </c>
      <c r="E7727" t="n">
        <v>2</v>
      </c>
      <c r="F7727">
        <f>HYPERLINK("https://www.reddit.com/r/cancer/comments/f364l1/3_simple_steps_towards_cervical_cancer_prevention/")</f>
        <v/>
      </c>
      <c r="G7727" t="inlineStr">
        <is>
          <t>2020-02-12 23:03:16</t>
        </is>
      </c>
      <c r="H7727" t="inlineStr"/>
    </row>
    <row r="7728">
      <c r="A7728" t="inlineStr">
        <is>
          <t>f36jdh</t>
        </is>
      </c>
      <c r="B7728" t="inlineStr">
        <is>
          <t>Leotomenongeal disease/ carcinoma - looking for any and all resources</t>
        </is>
      </c>
      <c r="C7728" t="inlineStr">
        <is>
          <t>Hey,
I am trying to help a really burnt out friend who's mom got diagnosed with leotomenogeal carcinoma. I am trying to get a research spread together as well as information from other people who had the disease or their loved ones. 
She needs to decide on a course of action (chemo, immunotherapy or nothing) and the doctors are telling her it is up to her with no real push towards any option. So understandably she wants to make an informed decision.
patient:
- non small lung cancer that has metastasized to the meningeal lining 
- tested positive for EFGR 19 mutation
Immunotherapy would be Tagrisso. 
The most important thing would of course be to make her mom as comfortable as possible. Right now she is delirious so anything that would maybe lessen that state. 
I know this is a long shot but I really want to help and maybe someone here can point me to the right direction. Thank you!</t>
        </is>
      </c>
      <c r="D7728" t="n">
        <v>1</v>
      </c>
      <c r="E7728" t="n">
        <v>14</v>
      </c>
      <c r="F7728">
        <f>HYPERLINK("https://www.reddit.com/r/cancer/comments/f36jdh/leotomenongeal_disease_carcinoma_looking_for_any/")</f>
        <v/>
      </c>
      <c r="G7728" t="inlineStr">
        <is>
          <t>2020-02-12 23:43:57</t>
        </is>
      </c>
      <c r="H7728" t="inlineStr"/>
    </row>
    <row r="7729">
      <c r="A7729" t="inlineStr">
        <is>
          <t>f36jeb</t>
        </is>
      </c>
      <c r="B7729" t="inlineStr">
        <is>
          <t>Avoid recurrence or second primary cancer</t>
        </is>
      </c>
      <c r="C7729" t="inlineStr">
        <is>
          <t>Hello, Is there any way (drug, supplement, food...)  that can help you to avoid a recurrence or even another cancer?</t>
        </is>
      </c>
      <c r="D7729" t="n">
        <v>1</v>
      </c>
      <c r="E7729" t="n">
        <v>3</v>
      </c>
      <c r="F7729">
        <f>HYPERLINK("https://www.reddit.com/r/cancer/comments/f36jeb/avoid_recurrence_or_second_primary_cancer/")</f>
        <v/>
      </c>
      <c r="G7729" t="inlineStr">
        <is>
          <t>2020-02-12 23:44:01</t>
        </is>
      </c>
      <c r="H7729" t="inlineStr"/>
    </row>
    <row r="7730">
      <c r="A7730" t="inlineStr">
        <is>
          <t>f39cwh</t>
        </is>
      </c>
      <c r="B7730" t="inlineStr">
        <is>
          <t>Student's who got cancer</t>
        </is>
      </c>
      <c r="C7730" t="inlineStr">
        <is>
          <t>How did you manage to catch up on studies after treatment?</t>
        </is>
      </c>
      <c r="D7730" t="n">
        <v>1</v>
      </c>
      <c r="E7730" t="n">
        <v>7</v>
      </c>
      <c r="F7730">
        <f>HYPERLINK("https://www.reddit.com/r/cancer/comments/f39cwh/students_who_got_cancer/")</f>
        <v/>
      </c>
      <c r="G7730" t="inlineStr">
        <is>
          <t>2020-02-13 04:37:50</t>
        </is>
      </c>
      <c r="H7730" t="inlineStr"/>
    </row>
    <row r="7731">
      <c r="A7731" t="inlineStr">
        <is>
          <t>f3c3ds</t>
        </is>
      </c>
      <c r="B7731" t="inlineStr">
        <is>
          <t>When are pets allowed back in bed after stem cell transplant if ever?</t>
        </is>
      </c>
      <c r="C7731" t="inlineStr">
        <is>
          <t>So I'm nearing day 100 post stem cell transplant for relapsed Hogdkin Lymphoma. My fiancee and I have a two bedroom apartment and for the early phase of my recovery I've been sleeping in the second bedroom mainly for the purposes of getting the rest I need to recover/not being woken up when she wakes up early for work.
We have a pet cat (well it's her cat I inherited it with the relationship). It's a 9 year old indoor only cat that is up to date with vaccinations and came out clean when we took it to the vet for infectious testing prior to transplant. The cat doesn't bite or scratch.
The cat has always slept in the same bed as my fiancee and because of me opting to sleep in the other room after recovery has continued to do so the past couple months. Now that I'm nearing day 100 and also soon to be cleared to go back to work, I'm planning on going back to sleeping in the same bed as my fiancee (we've dealt with some of the same stresses any couple does during this whole cancer treatment ordeal but things are overall good between us). 
I plan to ask my stem cell doctor at the next appointment, but wanted to see if anyone has been told when it's safe to have a low risk pet back in your bed after stem cell transplant. The cat usually sleeps on her side of the bed anyways and doesn't get close to me. That said the last seven months have been a bear and I have no interest in putting myself at risk.</t>
        </is>
      </c>
      <c r="D7731" t="n">
        <v>1</v>
      </c>
      <c r="E7731" t="n">
        <v>12</v>
      </c>
      <c r="F7731">
        <f>HYPERLINK("https://www.reddit.com/r/cancer/comments/f3c3ds/when_are_pets_allowed_back_in_bed_after_stem_cell/")</f>
        <v/>
      </c>
      <c r="G7731" t="inlineStr">
        <is>
          <t>2020-02-13 08:03:19</t>
        </is>
      </c>
      <c r="H7731" t="inlineStr"/>
    </row>
    <row r="7732">
      <c r="A7732" t="inlineStr">
        <is>
          <t>f3c6iz</t>
        </is>
      </c>
      <c r="B7732" t="inlineStr">
        <is>
          <t>Hyperthermia treatment for breast cancer stage 2 (USA)</t>
        </is>
      </c>
      <c r="C7732" t="inlineStr">
        <is>
          <t>Does anyone know someone have used this type of treatment, where specialists target cancer cells using specified temperature (heat) and if so, which specific cancer centers in the US do this kind of procedure, I am very curious.</t>
        </is>
      </c>
      <c r="D7732" t="n">
        <v>1</v>
      </c>
      <c r="E7732" t="n">
        <v>0</v>
      </c>
      <c r="F7732">
        <f>HYPERLINK("https://www.reddit.com/r/cancer/comments/f3c6iz/hyperthermia_treatment_for_breast_cancer_stage_2/")</f>
        <v/>
      </c>
      <c r="G7732" t="inlineStr">
        <is>
          <t>2020-02-13 08:09:10</t>
        </is>
      </c>
      <c r="H7732" t="inlineStr"/>
    </row>
    <row r="7733">
      <c r="A7733" t="inlineStr">
        <is>
          <t>f3cpve</t>
        </is>
      </c>
      <c r="B7733" t="inlineStr">
        <is>
          <t>Toronto/Hamilton free wigs</t>
        </is>
      </c>
      <c r="C7733" t="inlineStr">
        <is>
          <t>My wife is five years cancer free now after a stage 2 ductal carcinoma. So it’s time to give her wigs a new home. I have two nicely cared for wigs, one craaaazy silver-blue and the other brunette with blonde highlights, both just about to shoulders. Comes in a nice round box with the care chemicals. 
Will deliver within Toronto-Hamilton corridor. 
Please PM if interested and I will delete the post once both find a home.</t>
        </is>
      </c>
      <c r="D7733" t="n">
        <v>1</v>
      </c>
      <c r="E7733" t="n">
        <v>5</v>
      </c>
      <c r="F7733">
        <f>HYPERLINK("https://www.reddit.com/r/cancer/comments/f3cpve/torontohamilton_free_wigs/")</f>
        <v/>
      </c>
      <c r="G7733" t="inlineStr">
        <is>
          <t>2020-02-13 08:44:14</t>
        </is>
      </c>
      <c r="H7733" t="inlineStr"/>
    </row>
    <row r="7734">
      <c r="A7734" t="inlineStr">
        <is>
          <t>f3dudi</t>
        </is>
      </c>
      <c r="B7734" t="inlineStr">
        <is>
          <t>Podcast Title- Chats with oncologists, nurses, cancer survivors and their families</t>
        </is>
      </c>
      <c r="C7734" t="inlineStr">
        <is>
          <t>Hi, I need help thinking of a name for a podcast. My mother, who was diagnosed with triple negative breast cancer last month, and me, her main caretaker, thought it would be a great way to learn more about her cancer and also help others going through something similar. Any name ideas? We want to interview oncologists, nurses, researchers, current patients, survivors, and their families about all kinds of cancer.</t>
        </is>
      </c>
      <c r="D7734" t="n">
        <v>1</v>
      </c>
      <c r="E7734" t="n">
        <v>0</v>
      </c>
      <c r="F7734">
        <f>HYPERLINK("https://www.reddit.com/r/cancer/comments/f3dudi/podcast_title_chats_with_oncologists_nurses/")</f>
        <v/>
      </c>
      <c r="G7734" t="inlineStr">
        <is>
          <t>2020-02-13 09:57:36</t>
        </is>
      </c>
      <c r="H7734" t="inlineStr"/>
    </row>
    <row r="7735">
      <c r="A7735" t="inlineStr">
        <is>
          <t>f3dx0r</t>
        </is>
      </c>
      <c r="B7735" t="inlineStr">
        <is>
          <t>FREE Prostate Cancer Patient Conference</t>
        </is>
      </c>
      <c r="C7735" t="inlineStr">
        <is>
          <t>Cancer ABCs ([www.CancerABCs.org](https://www.CancerABCs.org)) is having a free one day patient prostate cancer conference on March 21st in the Villages, outside of Orland Florida.  There will be 12 speakers/presenters who will cover topics ranging from newly diagnosed, active surveillance, PSA recurrence, to advanced metastatic prostate cancer.  
We will be presenting information on radiation (including Proton, SBRT, Cyber Knife), Surgery, Hormone Therapy and their side effects, Radium, Sexuality and Intimacy, Caregiving, Scan Technology, PSMA Targeted Treatment, genetics, PARP Inhibitors, etc.  
Three large information presentations and 16 small group breakout sessions so you can go to the sessions that matter to you. .  
For people wanting to stay overnight we have arranged a 50% discount for The brand new Brownwood Hotel.  This discount will be available for three days before and three days after the conference, so you could have an extended Florida Vacation.  
More conference details and registration at [https://March21conf.eventbrite.com](https://March21conf.eventbrite.com)  
Free Registration - Free Lunch (cancer is expensive....help shouldn't be</t>
        </is>
      </c>
      <c r="D7735" t="n">
        <v>1</v>
      </c>
      <c r="E7735" t="n">
        <v>0</v>
      </c>
      <c r="F7735">
        <f>HYPERLINK("https://www.reddit.com/r/cancer/comments/f3dx0r/free_prostate_cancer_patient_conference/")</f>
        <v/>
      </c>
      <c r="G7735" t="inlineStr">
        <is>
          <t>2020-02-13 10:02:23</t>
        </is>
      </c>
      <c r="H7735" t="inlineStr"/>
    </row>
    <row r="7736">
      <c r="A7736" t="inlineStr">
        <is>
          <t>f3fktw</t>
        </is>
      </c>
      <c r="B7736" t="inlineStr">
        <is>
          <t>Fuck cancer</t>
        </is>
      </c>
      <c r="C7736" t="inlineStr">
        <is>
          <t>Hello everyone my name is Phil and Iv just been diagnosed with testicular cancer and my wife has left me and took the kids for it I was wondering if anyone can give me some support</t>
        </is>
      </c>
      <c r="D7736" t="n">
        <v>1</v>
      </c>
      <c r="E7736" t="n">
        <v>0</v>
      </c>
      <c r="F7736">
        <f>HYPERLINK("https://www.reddit.com/r/cancer/comments/f3fktw/fuck_cancer/")</f>
        <v/>
      </c>
      <c r="G7736" t="inlineStr">
        <is>
          <t>2020-02-13 11:42:44</t>
        </is>
      </c>
      <c r="H7736" t="inlineStr"/>
    </row>
    <row r="7737">
      <c r="A7737" t="inlineStr">
        <is>
          <t>f3htfn</t>
        </is>
      </c>
      <c r="B7737" t="inlineStr">
        <is>
          <t>My mom might have lung cancer. She doesn’t want treatment if she’s diagnosed.</t>
        </is>
      </c>
      <c r="C7737" t="inlineStr">
        <is>
          <t>Hey guys. I’m sorry if this is the wrong place to post this, since there hasn’t been a confirmed diagnosis or all-clear yet- if so, please tell me and I’ll take this down. I don’t want to take any space away from people here who are suffering.
My mom just told me yesterday that there are 3 spots on her lungs- one that has doubled in size since about a year ago. Her doctor wants her to see a pulmonary specialist as soon as possible. There’s cancer everywhere in my family; Lung cancer already took my grandfather (her dad), which seems especially cruel now if this is lung cancer. She was a professional singer, so she’s never smoked anything, ever. Not even weed when she was a teen in the late 60s. However, she already had breast cancer when I was about 3 which would increase her risk. What almost killed her last time was blood clots after her biopsy, and to be honest, I’m more scared of blood clots than cancer if she has to go through this again.
I think what actually scares me the most though- more than cancer, more than blood clots- is that she won’t fight this if it happens. When we were talking, she heavily implied that were she diagnosed, she would refuse treatment. I’m torn, because while I honestly believe that people should have that choice, I can’t help but wonder if she would want to fight if she had a therapist. We lost my dad a few years ago pretty tragically and I don’t think she’s dealt with it yet. Not that you can “deal with”, something like that- more that she hasn’t allowed herself to properly grieve and process what happened. But I can’t force her to go to therapy (and believe me I’ve tried), and I can’t force her to live if she doesn’t want to. 
I’m not sure if I’m even the right person for her to talk to about this. What happened to my dad changed my perspective on death so much that I really believe that people in immense pain and suffering should have the choice to die on their own terms. They shouldn’t have to prolong their suffering to appease other people if they don’t want to do it for themselves. I’ve told her all of this, adding that my siblings and I would obviously want her to fight. I’m just not sure if I’m helping or hurting by telling her my opinion. 
I know I could be worried over nothing. I guess I’m posting just to prepare myself for the possibility of losing her. My gut says cancer just because she’s had it before and how fast the spots growing, but I would love to be wrong. 
People who have been diagnosed, or loved ones of people who have been, what’s your opinion on death? Has anyone here made the choice to refuse treatment (or know someone that has), and why? If she is diagnosed, is it really okay to basically let her die?
Anything’s appreciated. Thank you for reading this far.</t>
        </is>
      </c>
      <c r="D7737" t="n">
        <v>1</v>
      </c>
      <c r="E7737" t="n">
        <v>8</v>
      </c>
      <c r="F7737">
        <f>HYPERLINK("https://www.reddit.com/r/cancer/comments/f3htfn/my_mom_might_have_lung_cancer_she_doesnt_want/")</f>
        <v/>
      </c>
      <c r="G7737" t="inlineStr">
        <is>
          <t>2020-02-13 14:06:58</t>
        </is>
      </c>
      <c r="H7737" t="inlineStr"/>
    </row>
    <row r="7738">
      <c r="A7738" t="inlineStr">
        <is>
          <t>f3ic10</t>
        </is>
      </c>
      <c r="B7738" t="inlineStr">
        <is>
          <t>Breast cancer medication</t>
        </is>
      </c>
      <c r="C7738" t="inlineStr">
        <is>
          <t>Hey I am asking this on account of my mom, she has breast cancer .She had the lump removed and starts radiation in a week . She does not need chemo but she said she has to take these estrogen blocking pills for 10 years and she is worried about the side effects. It sounds  like theres a lot . Those that are on these is it as bad as it sounds ?</t>
        </is>
      </c>
      <c r="D7738" t="n">
        <v>1</v>
      </c>
      <c r="E7738" t="n">
        <v>9</v>
      </c>
      <c r="F7738">
        <f>HYPERLINK("https://www.reddit.com/r/cancer/comments/f3ic10/breast_cancer_medication/")</f>
        <v/>
      </c>
      <c r="G7738" t="inlineStr">
        <is>
          <t>2020-02-13 14:41:59</t>
        </is>
      </c>
      <c r="H7738" t="inlineStr"/>
    </row>
    <row r="7739">
      <c r="A7739" t="inlineStr">
        <is>
          <t>f3iqvx</t>
        </is>
      </c>
      <c r="B7739" t="inlineStr">
        <is>
          <t>Future of cancer surgery 2020-2030?</t>
        </is>
      </c>
      <c r="C7739" t="inlineStr">
        <is>
          <t>What will be the advances in the next decade? Will robotics take over completely? Is chemotherapy progressing at a good rate? Will there be more preventative measures taken? What do people think will hold for us over the next decade?</t>
        </is>
      </c>
      <c r="D7739" t="n">
        <v>1</v>
      </c>
      <c r="E7739" t="n">
        <v>4</v>
      </c>
      <c r="F7739">
        <f>HYPERLINK("https://www.reddit.com/r/cancer/comments/f3iqvx/future_of_cancer_surgery_20202030/")</f>
        <v/>
      </c>
      <c r="G7739" t="inlineStr">
        <is>
          <t>2020-02-13 15:10:13</t>
        </is>
      </c>
      <c r="H7739" t="inlineStr"/>
    </row>
    <row r="7740">
      <c r="A7740" t="inlineStr">
        <is>
          <t>f3ji1d</t>
        </is>
      </c>
      <c r="B7740" t="inlineStr">
        <is>
          <t>My doctor (GP) looked genuinely surprised how well I looked.</t>
        </is>
      </c>
      <c r="C7740" t="inlineStr">
        <is>
          <t>When I first started my cancer journey (melanoma) after it spread everywhere. It looked bleak to say the least. I mean the new treatments such as immunotherapy and gamma knife surgery are very effective but relatively new. So not all medical practitioners are aware of how effective these treatments are.
I went to see the same local doctor I’ve seen today, that I saw with my lump in the groin area 2 yrs ago. 
I had gamma knife surgery few months ago due to 13 mets found in my brain. My next scan is at the week (MRI) and I’m keeping my fingers crossed that it will come back clear. 
Far as I know all the melanoma has gone from the rest of my body ie lungs, liver and groin.
I do get down at times as I’m only 34 and I would love to plan on settling down. I get angry too cos before all of this I finally got my life in order such as clearing my debts, secure occupation and a new apartment. 
Just wanted to write my thoughts down.
God speed everyone</t>
        </is>
      </c>
      <c r="D7740" t="n">
        <v>1</v>
      </c>
      <c r="E7740" t="n">
        <v>23</v>
      </c>
      <c r="F7740">
        <f>HYPERLINK("https://www.reddit.com/r/cancer/comments/f3ji1d/my_doctor_gp_looked_genuinely_surprised_how_well/")</f>
        <v/>
      </c>
      <c r="G7740" t="inlineStr">
        <is>
          <t>2020-02-13 16:05:27</t>
        </is>
      </c>
      <c r="H7740" t="inlineStr"/>
    </row>
    <row r="7741">
      <c r="A7741" t="inlineStr">
        <is>
          <t>f3kvhk</t>
        </is>
      </c>
      <c r="B7741" t="inlineStr">
        <is>
          <t>I want someone who will love even through my side effects</t>
        </is>
      </c>
      <c r="C7741" t="inlineStr">
        <is>
          <t>Given that it’s Valentine’s Day eve, I’ve been thinking a lot about love and relationships. Idk if anyone else has this fear but sometimes I worry my future husband will have a hard time living with me through my treatments. In a way I’d like to have an Ansel Elgort-Hazel Grace romance where they can really understand what the other is going through and joke about it.</t>
        </is>
      </c>
      <c r="D7741" t="n">
        <v>1</v>
      </c>
      <c r="E7741" t="n">
        <v>7</v>
      </c>
      <c r="F7741">
        <f>HYPERLINK("https://www.reddit.com/r/cancer/comments/f3kvhk/i_want_someone_who_will_love_even_through_my_side/")</f>
        <v/>
      </c>
      <c r="G7741" t="inlineStr">
        <is>
          <t>2020-02-13 17:49:29</t>
        </is>
      </c>
      <c r="H7741" t="inlineStr"/>
    </row>
    <row r="7742">
      <c r="A7742" t="inlineStr">
        <is>
          <t>f3lvjv</t>
        </is>
      </c>
      <c r="B7742" t="inlineStr">
        <is>
          <t>BMT complications.... will it ever end? I wish I never went through with it.</t>
        </is>
      </c>
      <c r="C7742" t="inlineStr">
        <is>
          <t>I had my Bone Marrow Transplant December 12(admitted Dec 5 to start high intensity chemo).....I’ve pretty much been admitted since then. Seriously, I’ve only been home two weeks (one wk each time) since then. 
I’m two weeks into my third hospital stay and they now say the chemo has damaged my liver to the point that I have VOD.I can’t take the medicine needed because I’m internally bleeding somewhere in my abdomen. Drs can’t tell where. My abdomen is filled with ascites, causing me to have stomach taps (where they drain the fluid) and put on daily diuretics. I had a TIPSS procedure (a shunt in you liver that basically bypasses the liver) two days ago. My platelets keep dropping, meaning I’m needing transfusions multiple times a day. Also means can’t take the liver medication I need to help the VOD.  Im kinda S.O.L. Until I can take the liver medication, if ever.  
I just feel so stuck. Drs don’t have definitive answers.  I don’t know when I’ll be able to go home.  Shit, They don’t know if any of this is even fixable. 
I regret getting my BMT. I really wish I would stayed on Sprycel (which was working great for me before the BMT), but the drs made it seem like a BMT was my only option.  
I’m a single mom to a 13 yr old who needs me.  I know I have to stay strong, but Jesus Christ. I’m only 32 yrs old. 
And to top it off, I had to dump my boyfriend today because it’s all too much for him.  
Fuuuuuuuuuuuuck cancer.</t>
        </is>
      </c>
      <c r="D7742" t="n">
        <v>1</v>
      </c>
      <c r="E7742" t="n">
        <v>9</v>
      </c>
      <c r="F7742">
        <f>HYPERLINK("https://www.reddit.com/r/cancer/comments/f3lvjv/bmt_complications_will_it_ever_end_i_wish_i_never/")</f>
        <v/>
      </c>
      <c r="G7742" t="inlineStr">
        <is>
          <t>2020-02-13 19:08:09</t>
        </is>
      </c>
      <c r="H7742" t="inlineStr"/>
    </row>
    <row r="7743">
      <c r="A7743" t="inlineStr">
        <is>
          <t>f3mes0</t>
        </is>
      </c>
      <c r="B7743" t="inlineStr">
        <is>
          <t>Is chemo worth it?</t>
        </is>
      </c>
      <c r="C7743" t="inlineStr">
        <is>
          <t>3 and a half years ago, my mom (now 44yo)was diagnosed with Colon cancer. She had been having trouble with her bowels for about a year before finally going in after it got so blocked up that she was throwing up stool. She had surgery to remove the tumor. 
Almost one year later exactly, she had another surgery. This time, a tumor the size of grapefruit and another the size of a baseball had somehow appeared in her pelvic cavity and intertwined with her ovaries sometime between her 6 and 9 month checkups. Her doctor removed her ovaries (hello menopause!) and felt confident he had gotten everything. She’s been on a three month checkup for the past two years and has been in the clear. 
Until her last checkup. They thought it may have gone to her uterus, so she had a PET scan yesterday. She didn’t want to tell me, but the doctor said it’s not on her uterus. Instead, she had spots lighting up in her pelvic region, in 3-4 lymph nodes, and on her liver. He told her surgery and radiation don’t seem to be on the table, but chemo will likely be his suggestion. 
She has said from day one that she will NEVER do chemo and that she’d rather die. Someone told her the first time around that it would cause her vagina to scar shut and now she’s terrified. She’s single and my two younger sisters (18&amp;amp;21) have a lot of shit going on and I know my mom is just so overwhelmed. My fiancé and I are taking her to her actual in person appointment to discus the scan next Wednesday. 
Is there anything I should be prepared to ask the doctor? This seems a lot worse than the last two times, so I’m not sure what to expect and I’m frankly scared of how her and my sisters will handle any of this. Is it even worth trying to convince her to go through chemo? She’s just so young and I want her to fight because to me, it’s not over til it’s over. But I’m not the one who’s sick, so that’s easier said than done😔</t>
        </is>
      </c>
      <c r="D7743" t="n">
        <v>1</v>
      </c>
      <c r="E7743" t="n">
        <v>23</v>
      </c>
      <c r="F7743">
        <f>HYPERLINK("https://www.reddit.com/r/cancer/comments/f3mes0/is_chemo_worth_it/")</f>
        <v/>
      </c>
      <c r="G7743" t="inlineStr">
        <is>
          <t>2020-02-13 19:50:19</t>
        </is>
      </c>
      <c r="H7743" t="inlineStr"/>
    </row>
    <row r="7744">
      <c r="A7744" t="inlineStr">
        <is>
          <t>f3nd07</t>
        </is>
      </c>
      <c r="B7744" t="inlineStr">
        <is>
          <t>We had our surgery yesterday. I say we because the norm now is to say “we” are having a baby</t>
        </is>
      </c>
      <c r="C7744" t="inlineStr">
        <is>
          <t>I think I made a mistake on post op care. I should’ve stuck to my guns and brought in my mom, the ex nurse, who’s had cancer and surgeries. But I allowed the post care to go to my MIL and it’s going horribly. Haven’t slept in over a week and thought I’d get one night of not being on point. Thank you for listening. I’m exhausted. Scared. And thought I had more support.</t>
        </is>
      </c>
      <c r="D7744" t="n">
        <v>1</v>
      </c>
      <c r="E7744" t="n">
        <v>0</v>
      </c>
      <c r="F7744">
        <f>HYPERLINK("https://www.reddit.com/r/cancer/comments/f3nd07/we_had_our_surgery_yesterday_i_say_we_because_the/")</f>
        <v/>
      </c>
      <c r="G7744" t="inlineStr">
        <is>
          <t>2020-02-13 21:11:37</t>
        </is>
      </c>
      <c r="H7744" t="inlineStr"/>
    </row>
    <row r="7745">
      <c r="A7745" t="inlineStr">
        <is>
          <t>f3ohix</t>
        </is>
      </c>
      <c r="B7745" t="inlineStr">
        <is>
          <t>What are your experiences with Liver Cancer?</t>
        </is>
      </c>
      <c r="C7745" t="inlineStr">
        <is>
          <t>My mom was diagnosed, they think it’s metastatic by the cell type but so far MRIs have no revealed it elsewhere. PET scan is next week. Prognosis doesn’t look good the tumor is large. And liver cancer seems to be often uncurable. It’s no. Operable due to location near a bile duct. Just looking for anyone else’s experience on this and what treatments worked. There seem to be a lot of them.</t>
        </is>
      </c>
      <c r="D7745" t="n">
        <v>1</v>
      </c>
      <c r="E7745" t="n">
        <v>22</v>
      </c>
      <c r="F7745">
        <f>HYPERLINK("https://www.reddit.com/r/cancer/comments/f3ohix/what_are_your_experiences_with_liver_cancer/")</f>
        <v/>
      </c>
      <c r="G7745" t="inlineStr">
        <is>
          <t>2020-02-13 22:57:45</t>
        </is>
      </c>
      <c r="H7745" t="inlineStr"/>
    </row>
    <row r="7746">
      <c r="A7746" t="inlineStr">
        <is>
          <t>f3pm6v</t>
        </is>
      </c>
      <c r="B7746" t="inlineStr">
        <is>
          <t>Cancer life</t>
        </is>
      </c>
      <c r="C7746" t="inlineStr">
        <is>
          <t>It's really fucked up that I can die soon no body understands, my doctor told me today maybe 6 to 12 months wtf... I'm here fucking crying I can't tell my Mother, my sister, fuccccccccccccccck my nephew is so young he isn't going to understand. I'm really mad and tbh nobody is with me but you know what when I die I'm going straight home...</t>
        </is>
      </c>
      <c r="D7746" t="n">
        <v>1</v>
      </c>
      <c r="E7746" t="n">
        <v>0</v>
      </c>
      <c r="F7746">
        <f>HYPERLINK("https://www.reddit.com/r/cancer/comments/f3pm6v/cancer_life/")</f>
        <v/>
      </c>
      <c r="G7746" t="inlineStr">
        <is>
          <t>2020-02-14 01:03:28</t>
        </is>
      </c>
      <c r="H7746" t="inlineStr"/>
    </row>
    <row r="7747">
      <c r="A7747" t="inlineStr">
        <is>
          <t>f3svvl</t>
        </is>
      </c>
      <c r="B7747" t="inlineStr">
        <is>
          <t>Health Insurance Companies drive me crazy</t>
        </is>
      </c>
      <c r="C7747" t="inlineStr">
        <is>
          <t>In the grand scheme of things this little rant is nothing compared to people that have been completely denied coverage for cancer treatment. I get that.  
I have 55 staples on my scalp, a huge incision. I had a scalp rotation and scalp reconstruction 2 weeks ago. I was give a prescription for Mupirocin 2% antibiotic gel. The bottle lasts barely a week, and my health insurance won't let me fill it. Last week I had to pay out of pocket for it ($52), and I'm almost out again. I called my health insurance and explained the situation and their fucking response was "ask your doctor for samples". Are you fucking serious? Even though you KNOW I have a huge scar that the tiny bottle will only cover for a week, you still won't let me refill it?
Health Insurance Companies are fucking ASSHOLES. I'm paying $15k a year for this 'privilege'. Fucking wonderful.
Sorry for the language, I'm extremely annoyed.</t>
        </is>
      </c>
      <c r="D7747" t="n">
        <v>1</v>
      </c>
      <c r="E7747" t="n">
        <v>17</v>
      </c>
      <c r="F7747">
        <f>HYPERLINK("https://www.reddit.com/r/cancer/comments/f3svvl/health_insurance_companies_drive_me_crazy/")</f>
        <v/>
      </c>
      <c r="G7747" t="inlineStr">
        <is>
          <t>2020-02-14 06:25:27</t>
        </is>
      </c>
      <c r="H7747" t="inlineStr"/>
    </row>
    <row r="7748">
      <c r="A7748" t="inlineStr">
        <is>
          <t>f3u0gr</t>
        </is>
      </c>
      <c r="B7748" t="inlineStr">
        <is>
          <t>Nurse Practitioner found lump in my wife’s breast</t>
        </is>
      </c>
      <c r="C7748" t="inlineStr">
        <is>
          <t>Hi, the Nurse Practitioner found a lump in my wife’s breast yesterday and said a mammogram isn’t necessary because she claims she can tell by the fee of the lump that it is benign.  My wife is very upset and scared because her mother passed away at age 40 from breast cancer.  Also my wife had 3 aunts who also died of cancer.  Can the NP actually be that confident in her clinical judgement?  If I were her, especially knowing my wife’s family medical history, I would have ordered imaging test(s) just for the patient’s peace of mind.  My wife called the office this morning and the NP is refusing to order a mammogram.  Should we go to a different office and request to see a physician?  That’s what I am respectfully demanding for my wife to do next.  Please help.</t>
        </is>
      </c>
      <c r="D7748" t="n">
        <v>1</v>
      </c>
      <c r="E7748" t="n">
        <v>63</v>
      </c>
      <c r="F7748">
        <f>HYPERLINK("https://www.reddit.com/r/cancer/comments/f3u0gr/nurse_practitioner_found_lump_in_my_wifes_breast/")</f>
        <v/>
      </c>
      <c r="G7748" t="inlineStr">
        <is>
          <t>2020-02-14 07:49:03</t>
        </is>
      </c>
      <c r="H7748" t="inlineStr"/>
    </row>
    <row r="7749">
      <c r="A7749" t="inlineStr">
        <is>
          <t>f3uwrd</t>
        </is>
      </c>
      <c r="B7749" t="inlineStr">
        <is>
          <t>LLS SOY Fundraiser</t>
        </is>
      </c>
      <c r="C7749" t="inlineStr">
        <is>
          <t>Hi everybody! This is a link to my LLS SOY page and I would really appreciate it if you donated, no matter how small. Any amount is fine.
https://events.lls.org/wa/SOYSeattle20/VRivera</t>
        </is>
      </c>
      <c r="D7749" t="n">
        <v>1</v>
      </c>
      <c r="E7749" t="n">
        <v>0</v>
      </c>
      <c r="F7749">
        <f>HYPERLINK("https://www.reddit.com/r/cancer/comments/f3uwrd/lls_soy_fundraiser/")</f>
        <v/>
      </c>
      <c r="G7749" t="inlineStr">
        <is>
          <t>2020-02-14 08:49:44</t>
        </is>
      </c>
      <c r="H7749" t="inlineStr"/>
    </row>
    <row r="7750">
      <c r="A7750" t="inlineStr">
        <is>
          <t>f3v9t0</t>
        </is>
      </c>
      <c r="B7750" t="inlineStr">
        <is>
          <t>Small Update &amp;amp; Vent: Going in for my first PET Scan Tomorrow...</t>
        </is>
      </c>
      <c r="C7750" t="inlineStr">
        <is>
          <t>Background: I had a Endoscopy/Colonoscopy in Jan 2020 because I've had some changes in my bowel movements. The biopsy in my stomach came back positive for a G1 neuroendocrine tumor.
My PET Scan was moved from Wednesday to today since they needed to order the Gallium-68 injection. The PET scan itself was fine, except that my arms fell asleep and I got kinda bored.
However, I made a huge mistake while walking out of the office. While passing by the technician room, I caught a glimpse of a image which had dark spots near the chest and in the stomach area. While I'm no doctor or technician, I'm almost sure that I will walk into my follow-up appointment on Wednesday with bad news. 
I won't be saying a thing to anyone until my appointment, considering I could be wrong and today is Valentine's day with my wife. I'll be closer to knowing what's going on next Wednesday, unless my doctor decides to talk to me sooner. Nothing I can do except keep going forward on this roller coaster.</t>
        </is>
      </c>
      <c r="D7750" t="n">
        <v>1</v>
      </c>
      <c r="E7750" t="n">
        <v>8</v>
      </c>
      <c r="F7750">
        <f>HYPERLINK("https://www.reddit.com/r/cancer/comments/f3v9t0/small_update_vent_going_in_for_my_first_pet_scan/")</f>
        <v/>
      </c>
      <c r="G7750" t="inlineStr">
        <is>
          <t>2020-02-14 09:13:54</t>
        </is>
      </c>
      <c r="H7750" t="inlineStr"/>
    </row>
    <row r="7751">
      <c r="A7751" t="inlineStr">
        <is>
          <t>f3vbf5</t>
        </is>
      </c>
      <c r="B7751" t="inlineStr">
        <is>
          <t>I am mentally disabled with memory and such (following giant L temporal lobe brain cancer). I just accomplished my first phone “marathon” handling medical junk, on my own!!</t>
        </is>
      </c>
      <c r="C7751" t="inlineStr">
        <is>
          <t>Ok, so the surgery, and following treatments, screwed up memory. After recovering from the initial post-op mental effects, I was still unable to properly speak (failure to come up with the words needed) and my short term memory was TERRIBLE. After three years of recovery and therapy, things were much better and I learned what my specific issues were and how to work with them.
&amp;amp;nbsp;
After everything got all cleared up, I was finally able to get married!! (Needed supervision and such before so lived with my parents). With that, I was going to be transferred to my husband’s insurance and we were going to have to handle all that stuff. Clearly, I needed to learn and get familiar with all that crazy stuff. Nope. 
&amp;amp;nbsp;
Over the years, literally around half+ her wakeful hours were spent on the phone, dealing with way more than just insurance, but all sorts of crazy stuff screwed up by my cancer (thank you, mom) After 3 years of that junk, she wasn’t gonna schedule things to work me in.
&amp;amp;nbsp;
Therefore, I had to start fresh after marriage. Today was first day that involved the need to work things out between 3 different parties to solve a medication. I’m about to run out of one of my meds addressing seizures. I had addressed refilling it this past Monday, but discovered last night stuff had gone awry. I had to work out how long various options took, the costs of each, and then work it all out with the doc’s nurse (I shared with her all I had learned so she can potentially help others who encounter some sort of similar situation). 
&amp;amp;nbsp;
I’m glad my post-marriage medical/financial issues didn’t start with something like this!!!</t>
        </is>
      </c>
      <c r="D7751" t="n">
        <v>1</v>
      </c>
      <c r="E7751" t="n">
        <v>6</v>
      </c>
      <c r="F7751">
        <f>HYPERLINK("https://www.reddit.com/r/cancer/comments/f3vbf5/i_am_mentally_disabled_with_memory_and_such/")</f>
        <v/>
      </c>
      <c r="G7751" t="inlineStr">
        <is>
          <t>2020-02-14 09:16:46</t>
        </is>
      </c>
      <c r="H7751" t="inlineStr"/>
    </row>
    <row r="7752">
      <c r="A7752" t="inlineStr">
        <is>
          <t>f3vmqi</t>
        </is>
      </c>
      <c r="B7752" t="inlineStr">
        <is>
          <t>Diagnosed on Valentines day</t>
        </is>
      </c>
      <c r="C7752" t="inlineStr">
        <is>
          <t>Hello there you lovely people, I am here for support I guess. 
I had a surgery last week to remove a huge ovarian cysts and today I got results saying I have ovarian cancer. There is of course a referral to get it re-tested by professional oncologists and all, and I’ll get to it next week. I just feel crushed. I’m 28 years old, no cancer history in women in my family, I had no signs (literally found out during a random checkup). I know that I’ve got to wait for the second lab results but I can’t help thinking that overage live expectancy is 5 years.</t>
        </is>
      </c>
      <c r="D7752" t="n">
        <v>1</v>
      </c>
      <c r="E7752" t="n">
        <v>28</v>
      </c>
      <c r="F7752">
        <f>HYPERLINK("https://www.reddit.com/r/cancer/comments/f3vmqi/diagnosed_on_valentines_day/")</f>
        <v/>
      </c>
      <c r="G7752" t="inlineStr">
        <is>
          <t>2020-02-14 09:37:47</t>
        </is>
      </c>
      <c r="H7752" t="inlineStr"/>
    </row>
    <row r="7753">
      <c r="A7753" t="inlineStr">
        <is>
          <t>f3wnes</t>
        </is>
      </c>
      <c r="B7753" t="inlineStr">
        <is>
          <t>Survey on Pancreatic Cancer</t>
        </is>
      </c>
      <c r="C7753" t="inlineStr">
        <is>
          <t>Im do a study on the treatment methods of pancreatic cancer for school. i was wondering if you all would be able to fill out a survey on it. [https://forms.gle/aamLos9NkKDemHuW7](https://forms.gle/aamLos9NkKDemHuW7) 
there is only 5 questions so it should be fast</t>
        </is>
      </c>
      <c r="D7753" t="n">
        <v>1</v>
      </c>
      <c r="E7753" t="n">
        <v>2</v>
      </c>
      <c r="F7753">
        <f>HYPERLINK("https://www.reddit.com/r/cancer/comments/f3wnes/survey_on_pancreatic_cancer/")</f>
        <v/>
      </c>
      <c r="G7753" t="inlineStr">
        <is>
          <t>2020-02-14 10:45:15</t>
        </is>
      </c>
      <c r="H7753" t="inlineStr"/>
    </row>
    <row r="7754">
      <c r="A7754" t="inlineStr">
        <is>
          <t>f3wo5v</t>
        </is>
      </c>
      <c r="B7754" t="inlineStr">
        <is>
          <t>What's the best way to "help" a best friend with cancer if you live far way from him?</t>
        </is>
      </c>
      <c r="C7754" t="inlineStr">
        <is>
          <t>I was just on the phone last night with my best friend.  He has stage 4.  He had to end the call quickly because he said he's about to throw up.  He called me back saying and then said a quick good night.
I live 6 hours away by plane.  How do I help?  How do I show him I care?  We used to talk on the phone once a week, but he seldom picks up the phone now.</t>
        </is>
      </c>
      <c r="D7754" t="n">
        <v>1</v>
      </c>
      <c r="E7754" t="n">
        <v>3</v>
      </c>
      <c r="F7754">
        <f>HYPERLINK("https://www.reddit.com/r/cancer/comments/f3wo5v/whats_the_best_way_to_help_a_best_friend_with/")</f>
        <v/>
      </c>
      <c r="G7754" t="inlineStr">
        <is>
          <t>2020-02-14 10:46:35</t>
        </is>
      </c>
      <c r="H7754" t="inlineStr"/>
    </row>
    <row r="7755">
      <c r="A7755" t="inlineStr">
        <is>
          <t>f3zchw</t>
        </is>
      </c>
      <c r="B7755" t="inlineStr">
        <is>
          <t>Spine tumor</t>
        </is>
      </c>
      <c r="C7755" t="inlineStr">
        <is>
          <t>I had an MRI yesterday and today my doctor told me I have a spine tumor. I’m scared but feel a sense of peace because I’m in pain. The things that seemed to matter to me don’t matter anymore. I have to get surgery within the next week.  I don’t know what to expect or how I’m supposed to feel.</t>
        </is>
      </c>
      <c r="D7755" t="n">
        <v>1</v>
      </c>
      <c r="E7755" t="n">
        <v>0</v>
      </c>
      <c r="F7755">
        <f>HYPERLINK("https://www.reddit.com/r/cancer/comments/f3zchw/spine_tumor/")</f>
        <v/>
      </c>
      <c r="G7755" t="inlineStr">
        <is>
          <t>2020-02-14 13:44:32</t>
        </is>
      </c>
      <c r="H7755" t="inlineStr"/>
    </row>
    <row r="7756">
      <c r="A7756" t="inlineStr">
        <is>
          <t>f40bng</t>
        </is>
      </c>
      <c r="B7756" t="inlineStr">
        <is>
          <t>My father is suddenly dying?</t>
        </is>
      </c>
      <c r="C7756" t="inlineStr">
        <is>
          <t>So my father (I use that word because he's been physically and psychologically abusive to me for fifteen years and psych abusive to my mom for god knows how  long and my sister isn't immune to it) went to the oncologist today, he had a benign tumor but he was responding horrifically to chemo and I was sure he'd be admitted to hospital and he was but it turns out
&amp;amp;#x200B;
he's dying? It's not even the cancer, I don't think. My mom called and asked my sister to skip class and me to go to the hospital immediately --  my father and I have a horrible relationship because he's an asshole and I don't let it slide -- even if I had to wear the last pants I had, which I did. I was in full laundry day clothes, and that's a whole other story about being able to put anything on tomorrow. 
&amp;amp;#x200B;
He's been having severe diarrhea and he can't pee, his stomach blows up, the cancer is supposedly, was supposedly a benign tumor on his vesicle, and suddenly today he's fucking dying. That's all we know. It'll be a miracle if he survives, I hear. I just ... all I want is for it not to go on forever. My mom is doing terribly, and he's abusing her on top. I may have seen him today for the last time; it was so bad I don't want to go again.
&amp;amp;#x200B;
I don't know how to deal. I'm still looking for an online chat hotline for relatives of abusive cancer patients. the abuse is not the cancer; what he said to me when he got a cane is exactly like him. My mom says he's losing it sometimes but that wasn't him losing it.
&amp;amp;#x200B;
I just want him to recover or die asap, and I can't make it happen, and I've had the worst day since I got lost in a mall in Bratislava in December, maybe worse.</t>
        </is>
      </c>
      <c r="D7756" t="n">
        <v>1</v>
      </c>
      <c r="E7756" t="n">
        <v>7</v>
      </c>
      <c r="F7756">
        <f>HYPERLINK("https://www.reddit.com/r/cancer/comments/f40bng/my_father_is_suddenly_dying/")</f>
        <v/>
      </c>
      <c r="G7756" t="inlineStr">
        <is>
          <t>2020-02-14 14:52:06</t>
        </is>
      </c>
      <c r="H7756" t="inlineStr"/>
    </row>
    <row r="7757">
      <c r="A7757" t="inlineStr">
        <is>
          <t>f40i8s</t>
        </is>
      </c>
      <c r="B7757" t="inlineStr">
        <is>
          <t>My Nan was intubated today</t>
        </is>
      </c>
      <c r="C7757" t="inlineStr">
        <is>
          <t>I’m not sure if this belongs here. I just haven’t really opened up much to anyone in my real life about this. My husband and best friend knows etc but I can’t vocalize how I’m feeling or I fall apart. 
Growing up I lived 7 minutes from my Nanny and Poppy. I bought my house 3 years ago, 13 minutes away from them. I always wanted to be close because I love spending time with them and they are a huge part of my life. I made all my life plans and never didn’t include them in those visions for the future. Maybe naive, but I just never thought about not having them. 
I was fortunate enough to have Nan at my wedding, and up until last week, was able to come over multiple times a week so she could play with her great grandson, my 2 year old son. I am so grateful for that. 
She went into the hospital last week for dehydration and the like bc we couldn’t get her to consistently eat or drink. She was originally diagnosed with stage 4 lung cancer but her treatments were going well. We recently discovered tumors on her brain and things escalated quickly from there. The radiation and last bout of chemo just knocked her on her ass. 
This morning she couldn’t breathe. Thank god my uncle was there or she would have suffocated. They have her sedated and intubated. We have four days to see if she can breathe on her own. If not, we have to let her go. 
I’m so heartbroken. But I also feel like maybe she could make it. I’m not foolish. I’m not in denial. I just can’t process the idea of life without her so it all feels so unreal and even know I cry talking about it, deep down I’m still waiting for a miracle.
Thanks for letting me get this out.</t>
        </is>
      </c>
      <c r="D7757" t="n">
        <v>1</v>
      </c>
      <c r="E7757" t="n">
        <v>3</v>
      </c>
      <c r="F7757">
        <f>HYPERLINK("https://www.reddit.com/r/cancer/comments/f40i8s/my_nan_was_intubated_today/")</f>
        <v/>
      </c>
      <c r="G7757" t="inlineStr">
        <is>
          <t>2020-02-14 15:05:43</t>
        </is>
      </c>
      <c r="H7757" t="inlineStr"/>
    </row>
    <row r="7758">
      <c r="A7758" t="inlineStr">
        <is>
          <t>f41gkq</t>
        </is>
      </c>
      <c r="B7758" t="inlineStr">
        <is>
          <t>My dad’s time is coming to an end</t>
        </is>
      </c>
      <c r="C7758" t="inlineStr">
        <is>
          <t>My heart is heavy this Valentine’s Day. It is becoming very apparent that my Dad is nearing the end of his short battle with cancer. I don’t know how much time he has left, weeks maybe at the most. It hurts my heart to know that he won’t be around much longer.  
His health has been in decline for awhile. Decreased mobility, incontinence issues, muscle weakness, loss of appetite, weight loss. He started needing to use a catheter to go to the bathroom in October 2019. Two days after this past Christmas he was admitted to the hospital with the flu. He spent a week in the hospital then came home for a couple days, but it was very clear he wasn’t getting better. He was admitted back to the hospital for infection and they did a CT scan and found the tumor. It was a 7cm tumor in his bladder. This was early January, just over a month ago. 
He was released to a rehab facility to get himself stronger to be eligible for surgery and chemo. We had such hope that he could build up some strength. His doctors and oncologist kept giving us hope that he would get better if he could just eat more, or just do a little more PT. But week after week, he keeps declining. 
He’s lost over 30 lbs since Christmas. He barely eats anymore, maybe a couple bites of each meal. He says that he’s simply not hungry. For awhile we tried to force him, but we have come to realize it’s no use. His body is shutting down.  
He is pretty much bedridden. He can still get himself out of bed, into a wheelchair and into a recliner, so he has some bit of strength left. But I have to remind myself that less than two months ago he was able to walk himself into the hospital. He’s also started sleeping more this past week. 
My mom is his main caregiver and she is absolutely devastated and overwhelmed and full of grief. It is so hard watching them both go through this. I’m also struggling myself because I am 7 months pregnant and really sad that my Dad will probably not be around to meet his granddaughter. The thought of death and birth occurring around the same time is so incredibly bittersweet. My emotions are all over the place. 
I don’t really have a point to this point, but just wanted to share what is on my heart this Valentines Day. Hug your loved ones extra tight tonight and remind them how much you love them. ❤️</t>
        </is>
      </c>
      <c r="D7758" t="n">
        <v>1</v>
      </c>
      <c r="E7758" t="n">
        <v>8</v>
      </c>
      <c r="F7758">
        <f>HYPERLINK("https://www.reddit.com/r/cancer/comments/f41gkq/my_dads_time_is_coming_to_an_end/")</f>
        <v/>
      </c>
      <c r="G7758" t="inlineStr">
        <is>
          <t>2020-02-14 16:18:44</t>
        </is>
      </c>
      <c r="H7758" t="inlineStr"/>
    </row>
    <row r="7759">
      <c r="A7759" t="inlineStr">
        <is>
          <t>f426c5</t>
        </is>
      </c>
      <c r="B7759" t="inlineStr">
        <is>
          <t>Are there any adult survivors of neuroblastoma out there?</t>
        </is>
      </c>
      <c r="C7759" t="inlineStr">
        <is>
          <t>So this is a long shot, but I'm female and had stage 4 neuroblastoma when I was a baby. I got an adrenal gland removed. I can't remember getting treatment. It's an uncommon childhood cancer and the online discussion surrounding it is mostly from parents of those who have it. It's not a space that I want to intrude on. 
It's not an urgent matter. I'm just curious. I read that the adrenal gland is responsible for producing estrogen when you are a fetus. I want to know if anyone else (particularly women) ever experienced side-effects that made them more boyish. 
I'm gay. My figure has a more masculine build (squarish, broad shoulders). I grow chest and facial hair that needs to be shaved regularly. I was tested for endocrine disorders as a teenager but came up clear. 
I read a study a few years ago that an adrenal disorder called CAH is more common in homosexual women. I have always wondered (because my cancer was in my adrenal gland) if neuroblastoma had a similar influence on my development. 
(And in case anyone is going to ask... my reproductive system is 100%, naturally female.)</t>
        </is>
      </c>
      <c r="D7759" t="n">
        <v>1</v>
      </c>
      <c r="E7759" t="n">
        <v>3</v>
      </c>
      <c r="F7759">
        <f>HYPERLINK("https://www.reddit.com/r/cancer/comments/f426c5/are_there_any_adult_survivors_of_neuroblastoma/")</f>
        <v/>
      </c>
      <c r="G7759" t="inlineStr">
        <is>
          <t>2020-02-14 17:15:08</t>
        </is>
      </c>
      <c r="H7759" t="inlineStr"/>
    </row>
    <row r="7760">
      <c r="A7760" t="inlineStr">
        <is>
          <t>f428xq</t>
        </is>
      </c>
      <c r="B7760" t="inlineStr">
        <is>
          <t>Dating through cancer?</t>
        </is>
      </c>
      <c r="C7760" t="inlineStr">
        <is>
          <t>Hi guys, I’m a 25F who recently was diagnosed with non-Hodgkin lymphoma. I had my first chemo sesh about 10 days ago.
The biggest downer for me in all this cancer business is putting my life on pause. So far it’s more manageable than I expected, I think I’m lucky and (I know it’s super early days!!!!) the chemo hasn’t affected me too badly. The first 5 days after were pretty hellish but I feel fine now.
I was in a great place in my life despite a lot of shitty stressful things happening before I was diagnosed and I was happy with how life was progressing. A big part of that was that I finally had got myself back out into the dating scene and was regularly going on dates through online dating apps.
Because I’m currently feeling basically normal, I was wondering if it’d be crazy to jump back on the apps? The biggest thing is that I’m on crutches and also the baldness when that happens haha. But has anyone here met someone while they were going through cancer? Or at least had successful dates or sex? I wouldn’t tell my potential dates about the cancer, probably just that I’m unwell and the treatment can flare up at times.
I don’t know if this is unrealistic but I also think it would be kinda fun and give me a bit of normalcy to get back on the apps and have dates.
Thoughts?? Feel free to tell me this is crazy and ridiculous haha.</t>
        </is>
      </c>
      <c r="D7760" t="n">
        <v>1</v>
      </c>
      <c r="E7760" t="n">
        <v>7</v>
      </c>
      <c r="F7760">
        <f>HYPERLINK("https://www.reddit.com/r/cancer/comments/f428xq/dating_through_cancer/")</f>
        <v/>
      </c>
      <c r="G7760" t="inlineStr">
        <is>
          <t>2020-02-14 17:21:14</t>
        </is>
      </c>
      <c r="H7760" t="inlineStr"/>
    </row>
    <row r="7761">
      <c r="A7761" t="inlineStr">
        <is>
          <t>f42qz9</t>
        </is>
      </c>
      <c r="B7761" t="inlineStr">
        <is>
          <t>My mom was diagnosed last week. I'm scared.</t>
        </is>
      </c>
      <c r="C7761" t="inlineStr">
        <is>
          <t>A little context before I start: My mom's a hardass 60 year old public school teacher (Brazil). Woman's been through a heart attack and recovered wonderfully. She's got diabetes and hypertension. And she was diagnosed last week.
I forget the medical terms but basically her cancer started as one node on her liver that got to a small tumor on her stomach and a little spot on her lung. Not good. 
We got the diagnosis on the 6th and we were all pretty shocked. Currently in my home it's just me and her. We always split the house chores, but her salary mostly covers the house expenses, as I don't make much money. 
My family's been really supportive if not a bit overbearing, and my girlfriend is probably the greatest best human being I've ever known. She moved to our home temporarily to help with the caretaking. 
My mom lost a lot of weight due to not being able to eat properly, so she went through a jejunostomy procedure so she can be fed directly into her intestine. 
After she recovers her energy and weight, she will begin the chemotherapy. We got a biopsy results coming this week, so we can know the type of cancer and proper treatment. 
She never lets herself go down the pessimist path, but when she feels pain or vomits, she feels terrible. She's been feeling guilty for giving too much trouble, and I've been feeling guilty for not helping more than I am at the moment.
I'm an English teacher and my classes are flexible, so I work every night and most mornings, with the eventual crazy schedule like tomorrow, where I'll work for 9 hours straight. 
I'm pretty scared, overburdened and don't really know what to do or how to react.</t>
        </is>
      </c>
      <c r="D7761" t="n">
        <v>1</v>
      </c>
      <c r="E7761" t="n">
        <v>2</v>
      </c>
      <c r="F7761">
        <f>HYPERLINK("https://www.reddit.com/r/cancer/comments/f42qz9/my_mom_was_diagnosed_last_week_im_scared/")</f>
        <v/>
      </c>
      <c r="G7761" t="inlineStr">
        <is>
          <t>2020-02-14 18:03:00</t>
        </is>
      </c>
      <c r="H7761" t="inlineStr"/>
    </row>
    <row r="7762">
      <c r="A7762" t="inlineStr">
        <is>
          <t>f43906</t>
        </is>
      </c>
      <c r="B7762" t="inlineStr">
        <is>
          <t>About getting time off college for treatment.</t>
        </is>
      </c>
      <c r="C7762" t="inlineStr">
        <is>
          <t>So, more than anything, I am under a lot of stress from school and I am in talks with my physician to spend some time in the hospital for mental health. The problem is that I have already missed a week for surgery, am scheduled to miss another week for radiation treatment and now I am looking for up to a week for this that I am missing school. My school is a professional program that moves very fast and I am worried that they won't be willing to accommodate that amount of time off for health issues. Has anyone else dealt with that amount of time off in college and been able to recover? I live in the USA so I know that I have some rights, but I am afraid they will deny me until next year due to the sheer amount of time missed. This is making the stress worse. How can I handle this with the University?</t>
        </is>
      </c>
      <c r="D7762" t="n">
        <v>1</v>
      </c>
      <c r="E7762" t="n">
        <v>4</v>
      </c>
      <c r="F7762">
        <f>HYPERLINK("https://www.reddit.com/r/cancer/comments/f43906/about_getting_time_off_college_for_treatment/")</f>
        <v/>
      </c>
      <c r="G7762" t="inlineStr">
        <is>
          <t>2020-02-14 18:44:18</t>
        </is>
      </c>
      <c r="H7762" t="inlineStr"/>
    </row>
    <row r="7763">
      <c r="A7763" t="inlineStr">
        <is>
          <t>f43i44</t>
        </is>
      </c>
      <c r="B7763" t="inlineStr">
        <is>
          <t>I shouldn't have to put up a false front for my oncologist.</t>
        </is>
      </c>
      <c r="C7763" t="inlineStr">
        <is>
          <t>If I feel depressed and feel dead inside... I should be able to say that.
What sane person feels happy they have cancer? Really what sane person says it's the best diagnosis I've had, I'm happy to be pumped full of chemo, I have the best feeling in the world right now!!!
Sorry that's bullshit... I feel dead inside doc, I want this over with. You asked how I felt, I answered. I am not suicidal, I'm not looking to harm myself, I feel like shit. I still go to work, I still do my job, I still take care of myself.... You don't need to send staff members to slyly interrogate me and talk to me to get me thrown into the damn psych ward.
I'm not inane for hating this predicament that I had zero choice in the matter for getting. I had no reason to get cancer EXCUSE ME FOR BEING A TAD DEPRESSED.</t>
        </is>
      </c>
      <c r="D7763" t="n">
        <v>1</v>
      </c>
      <c r="E7763" t="n">
        <v>20</v>
      </c>
      <c r="F7763">
        <f>HYPERLINK("https://www.reddit.com/r/cancer/comments/f43i44/i_shouldnt_have_to_put_up_a_false_front_for_my/")</f>
        <v/>
      </c>
      <c r="G7763" t="inlineStr">
        <is>
          <t>2020-02-14 19:06:17</t>
        </is>
      </c>
      <c r="H7763" t="inlineStr"/>
    </row>
    <row r="7764">
      <c r="A7764" t="inlineStr">
        <is>
          <t>f43lge</t>
        </is>
      </c>
      <c r="B7764" t="inlineStr">
        <is>
          <t>Good news</t>
        </is>
      </c>
      <c r="C7764" t="inlineStr">
        <is>
          <t>I needed good news after finding out the day after my hysterectomy (literally was laying in the hospital bed when a social worker came by and said “oh by the way...) that my Medicaid gets cut off at the end of the month. 
I do not meet the criteria for any chemotherapy or radiation therapy following my surgery! I do need frequent follow ups (every 3 months for 2 years) 
The oncologist warned me that the type of cancer I was diagnosed with is really aggressive, there’s a chance it could come back, etc. I forgot to ask if this means I’m cancer free though? Is this remission? Do I get that status following the 2 years?</t>
        </is>
      </c>
      <c r="D7764" t="n">
        <v>1</v>
      </c>
      <c r="E7764" t="n">
        <v>4</v>
      </c>
      <c r="F7764">
        <f>HYPERLINK("https://www.reddit.com/r/cancer/comments/f43lge/good_news/")</f>
        <v/>
      </c>
      <c r="G7764" t="inlineStr">
        <is>
          <t>2020-02-14 19:13:55</t>
        </is>
      </c>
      <c r="H7764" t="inlineStr"/>
    </row>
    <row r="7765">
      <c r="A7765" t="inlineStr">
        <is>
          <t>f441at</t>
        </is>
      </c>
      <c r="B7765" t="inlineStr">
        <is>
          <t>I feel bad about taking painkillers</t>
        </is>
      </c>
      <c r="C7765" t="inlineStr">
        <is>
          <t>Hey everyone I hope you’re doing okay
I’ve got a big exam Monday that I’m going to pass at the hospital since it’s also the start of my third round of chimio. I’ve been in aplasia since the beginning of the week and it was kind of convenient not to go to school because I could focus on preparing for the exam. Now I’ve got mucositis and mouth wounds and I’m in constant -but still bearable- pain. I’ve had an 8/10 pain level mucositis during my first round -the biggest pain I’ve ever felt, 8/10 constantly for a week- and that’s when I started taking painkillers. They’re efficient but they make me high; i can’t work or do anything besides feeling extremely good -sounds dumb but the first time I took them I was just so relieved to not feel the pain that I just sat on a chair for an hour smiling at my dogs- 
The thing is, I could stop working and take the painkillers, since I’m already well-prepared and it’s in two days anyway, but I keep thinking I would be a coward, since the pain I’m feeling now is not even close to the hell I’ve been through the first time -now it’s a 5/10, vastly in the mouth area, compared to a 8/10 in my whole belly, mouth and throat during first round. It’s so stupid because I keep telling myself I should stop complaining and work, even though I can’t eat anything solid and it still hurts, even if it’s not as much as the first time. Every time I think about taking the pills there’s a voice in my head either saying « you’re going to fail the exam because you didn’t work enough » or « are you really that week that you can’t handle a 5/10 ? » and the other shit about other patients I know at this hospital who have it harder than me.
Anybody had something similar ? I’m sorry I know it’s dumb</t>
        </is>
      </c>
      <c r="D7765" t="n">
        <v>1</v>
      </c>
      <c r="E7765" t="n">
        <v>2</v>
      </c>
      <c r="F7765">
        <f>HYPERLINK("https://www.reddit.com/r/cancer/comments/f441at/i_feel_bad_about_taking_painkillers/")</f>
        <v/>
      </c>
      <c r="G7765" t="inlineStr">
        <is>
          <t>2020-02-14 19:51:03</t>
        </is>
      </c>
      <c r="H7765" t="inlineStr"/>
    </row>
    <row r="7766">
      <c r="A7766" t="inlineStr">
        <is>
          <t>f44y0n</t>
        </is>
      </c>
      <c r="B7766" t="inlineStr">
        <is>
          <t>How can I help my professor whose wife has cancer?</t>
        </is>
      </c>
      <c r="C7766" t="inlineStr">
        <is>
          <t>I have this wonderful professor who teaches our class once a week, and his wife has had cancer for a few years. He keeps us updated most times we see him about what’s going on with his wife and the last time we saw him he told us that his world just got flipped upside down because of some bad medical news. He has been so great to our class. He hasn’t missed a day of class and he tells us that sometimes his wife makes him go to class instead of staying with her, so I just want to thank them both for that. I want to get our class together and put together some sort of care package for him and his wife, but I have absolutely no idea how to go about this because I have never had anyone close to me suffer from cancer. 
First of all, is this something that would be appreciated by them, or would this just be a nuisance? He is very open about this struggle with us so I don’t think it would be an invasion of privacy, but again I don’t know what someone struggling with cancer and their family wants/needs. 
I was thinking of getting donations for things like doordash gift cards and maybe a really nice blanket? Are these good, and does anyone have any other suggestions?
I also want to put together a class card for both my professor and his wife and I would like some tips of things to say and things not to say. 
I hope I’ve come to the right place with this and I’m sorry if I haven’t.  If there would be a better place to post this please let me know.</t>
        </is>
      </c>
      <c r="D7766" t="n">
        <v>1</v>
      </c>
      <c r="E7766" t="n">
        <v>0</v>
      </c>
      <c r="F7766">
        <f>HYPERLINK("https://www.reddit.com/r/cancer/comments/f44y0n/how_can_i_help_my_professor_whose_wife_has_cancer/")</f>
        <v/>
      </c>
      <c r="G7766" t="inlineStr">
        <is>
          <t>2020-02-14 21:14:11</t>
        </is>
      </c>
      <c r="H7766" t="inlineStr"/>
    </row>
    <row r="7767">
      <c r="A7767" t="inlineStr">
        <is>
          <t>f46wbz</t>
        </is>
      </c>
      <c r="B7767" t="inlineStr">
        <is>
          <t>Anyone have experience with small cell undifferentiated carcinoma of the lung?</t>
        </is>
      </c>
      <c r="C7767" t="inlineStr">
        <is>
          <t>I got my mom’s medical records from the hospital.
The time span of this was 2002-2005.
It all begun with treatment for endometriosis.
Pre-operation chest x-ray showed something abnormal prior to an elective hysterectomy surgery to treat endometriosis. Thus, surgery was cancelled and stayed in the hospital for a couple days for diagnosing the abnormally.
It was found to be small cell undifferentiated carcinoma in the left lower lobe. Diagnosis was in June 2002.
In 2003, mets to the breast. 9 tumors in total in the breast. Mastectomy.
Towards the end of 2004 to early 2005, it was found to be mets in her bone. Pelvic and spine.
She passed away in Feb of 2005.
It was noted in the doctor notes that it was a very unusual cancer case.
These are just the hospital records. I did find the oncologists (yes, multiple) names. I plan on getting the records from their clinic. Especially since she did have an appointment on the day she passed.
I was 9 years old when she did.
I’m doing this for closure and to keep my doctors updated for anything genetic.
I didn’t realize how fast these events took place...</t>
        </is>
      </c>
      <c r="D7767" t="n">
        <v>1</v>
      </c>
      <c r="E7767" t="n">
        <v>5</v>
      </c>
      <c r="F7767">
        <f>HYPERLINK("https://www.reddit.com/r/cancer/comments/f46wbz/anyone_have_experience_with_small_cell/")</f>
        <v/>
      </c>
      <c r="G7767" t="inlineStr">
        <is>
          <t>2020-02-15 00:48:19</t>
        </is>
      </c>
      <c r="H7767" t="inlineStr"/>
    </row>
    <row r="7768">
      <c r="A7768" t="inlineStr">
        <is>
          <t>f479fy</t>
        </is>
      </c>
      <c r="B7768" t="inlineStr">
        <is>
          <t>Do I need to worry?</t>
        </is>
      </c>
      <c r="C7768" t="inlineStr">
        <is>
          <t>I’m 16. My father has very mild prostate cancer. My grandfather had a very aggressive case of it. None of my father’s 2 brothers have it. Should I be worried or should I keep on living life?</t>
        </is>
      </c>
      <c r="D7768" t="n">
        <v>1</v>
      </c>
      <c r="E7768" t="n">
        <v>4</v>
      </c>
      <c r="F7768">
        <f>HYPERLINK("https://www.reddit.com/r/cancer/comments/f479fy/do_i_need_to_worry/")</f>
        <v/>
      </c>
      <c r="G7768" t="inlineStr">
        <is>
          <t>2020-02-15 01:32:20</t>
        </is>
      </c>
      <c r="H7768" t="inlineStr"/>
    </row>
    <row r="7769">
      <c r="A7769" t="inlineStr">
        <is>
          <t>f49so9</t>
        </is>
      </c>
      <c r="B7769" t="inlineStr">
        <is>
          <t>Worst Valentines Day</t>
        </is>
      </c>
      <c r="C7769" t="inlineStr">
        <is>
          <t>I’m a 26 year old female living in Los Angeles. Yesterday my doctor called me to come in and get my MRI results. I thought it was a pinched nerve. I have a tumor in my spine. It explains the numbness and pain I’ve had for months. I started crying in the doctors office and had a panic attack. I’m naturally a very anxious person and I have little knowledge on tumors. I’ve been researching information which I’m not sure is the most productive thing to. I need to get surgery within the next week. The things that mattered to me before this don’t seem to matter anymore. This still feels very surreal and I don’t know what to expect.</t>
        </is>
      </c>
      <c r="D7769" t="n">
        <v>1</v>
      </c>
      <c r="E7769" t="n">
        <v>0</v>
      </c>
      <c r="F7769">
        <f>HYPERLINK("https://www.reddit.com/r/cancer/comments/f49so9/worst_valentines_day/")</f>
        <v/>
      </c>
      <c r="G7769" t="inlineStr">
        <is>
          <t>2020-02-15 06:04:17</t>
        </is>
      </c>
      <c r="H7769" t="inlineStr"/>
    </row>
    <row r="7770">
      <c r="A7770" t="inlineStr">
        <is>
          <t>f49u1m</t>
        </is>
      </c>
      <c r="B7770" t="inlineStr">
        <is>
          <t>Worst Valentines Day</t>
        </is>
      </c>
      <c r="C7770" t="inlineStr">
        <is>
          <t>I’m a 26 year old female living in Los Angeles. Yesterday my doctor called me to come in and get my MRI results. I thought it was a pinched nerve. I have a tumor in my spine. It explains the numbness and pain I’ve had for months. I started crying in the doctors office and had a panic attack. I’m naturally a very anxious person and I have little knowledge on tumors. I’ve been researching information which I’m not sure is the most productive thing to do. I need to get surgery within the next week. The things that mattered to me before this don’t seem to matter anymore. This still feels very surreal and I don’t know what to expect.</t>
        </is>
      </c>
      <c r="D7770" t="n">
        <v>1</v>
      </c>
      <c r="E7770" t="n">
        <v>39</v>
      </c>
      <c r="F7770">
        <f>HYPERLINK("https://www.reddit.com/r/cancer/comments/f49u1m/worst_valentines_day/")</f>
        <v/>
      </c>
      <c r="G7770" t="inlineStr">
        <is>
          <t>2020-02-15 06:07:37</t>
        </is>
      </c>
      <c r="H7770" t="inlineStr"/>
    </row>
    <row r="7771">
      <c r="A7771" t="inlineStr">
        <is>
          <t>f4bbtd</t>
        </is>
      </c>
      <c r="B7771" t="inlineStr">
        <is>
          <t>What to eat with Esophageal Cancer?</t>
        </is>
      </c>
      <c r="C7771" t="inlineStr">
        <is>
          <t>My grandfather was recently diagnosed with esophageal cancer. It has been hard on my family but I came here to ask: are there any folks on here who can recommend what is going to be best for him to eat? I want to make him food so my grandmother doesn’t have to cook for him but I want to make sure that it’s friendly on his digestive system. Any tips, thoughts, ideas, recipe suggestions would be helpful from those who have dealt with/have known someone who’s dealt with digestive system cancer. I appreciate any advice in advance.</t>
        </is>
      </c>
      <c r="D7771" t="n">
        <v>1</v>
      </c>
      <c r="E7771" t="n">
        <v>8</v>
      </c>
      <c r="F7771">
        <f>HYPERLINK("https://www.reddit.com/r/cancer/comments/f4bbtd/what_to_eat_with_esophageal_cancer/")</f>
        <v/>
      </c>
      <c r="G7771" t="inlineStr">
        <is>
          <t>2020-02-15 08:03:35</t>
        </is>
      </c>
      <c r="H7771" t="inlineStr"/>
    </row>
    <row r="7772">
      <c r="A7772" t="inlineStr">
        <is>
          <t>f4cobm</t>
        </is>
      </c>
      <c r="B7772" t="inlineStr">
        <is>
          <t>Stage 1b2 Cervical cancer looking for insight</t>
        </is>
      </c>
      <c r="C7772" t="inlineStr">
        <is>
          <t>I just got diagnosed with Stage 1b2 cervical cancer. We had my PET scan yesterday to see if it has spread anywhere else. I see the specialist on Monday so we can finalize a treatment plan. Does anyone have any advice/ want to share their experience? Can i still work with external/internal radiation and chemo? I know it's really going to be about how my body responds but I'd still like to hear about other peoples experience.</t>
        </is>
      </c>
      <c r="D7772" t="n">
        <v>1</v>
      </c>
      <c r="E7772" t="n">
        <v>4</v>
      </c>
      <c r="F7772">
        <f>HYPERLINK("https://www.reddit.com/r/cancer/comments/f4cobm/stage_1b2_cervical_cancer_looking_for_insight/")</f>
        <v/>
      </c>
      <c r="G7772" t="inlineStr">
        <is>
          <t>2020-02-15 09:37:47</t>
        </is>
      </c>
      <c r="H7772" t="inlineStr"/>
    </row>
    <row r="7773">
      <c r="A7773" t="inlineStr">
        <is>
          <t>f4dwy1</t>
        </is>
      </c>
      <c r="B7773" t="inlineStr">
        <is>
          <t>Genetic cancer test : Variant of unknown significance in BRCA1 and BRCA2</t>
        </is>
      </c>
      <c r="C7773" t="inlineStr">
        <is>
          <t>Hello,  I 'm 23 years old african guy 
My mom  died of BC at  65 years old ( she got it at  51 or 52 or later i dont know)
I did a genetic test and they discovered 2 VUS  in  BRCA1  and BRCA2 gene  : 
 BRCA1  
 c.-106C&amp;gt;G  
 Variant of Uncertain Significance  
 Zygosity: Heterozygous  
  "  BRCA2  
 c.9794G&amp;gt;A (p.Cys3265Tyr)  
 Variant of Uncertain Significance  
 Zygosity: Heterozygous  
  For the BRCA1 i found additional info and it seem to be benign  (  mutationtaster 2 classify it as benign with 0.99 probability and   in clinvar  it has been reported as benign)
&amp;amp;#x200B;
 for the brca2 its another story , its complicated
&amp;amp;#x200B;
Can anyone help me , i want to know if this brca2 variant is concerning</t>
        </is>
      </c>
      <c r="D7773" t="n">
        <v>1</v>
      </c>
      <c r="E7773" t="n">
        <v>9</v>
      </c>
      <c r="F7773">
        <f>HYPERLINK("https://www.reddit.com/r/cancer/comments/f4dwy1/genetic_cancer_test_variant_of_unknown/")</f>
        <v/>
      </c>
      <c r="G7773" t="inlineStr">
        <is>
          <t>2020-02-15 11:02:13</t>
        </is>
      </c>
      <c r="H7773" t="inlineStr"/>
    </row>
    <row r="7774">
      <c r="A7774" t="inlineStr">
        <is>
          <t>f4ikaq</t>
        </is>
      </c>
      <c r="B7774" t="inlineStr">
        <is>
          <t>Guys any thoughts on Cannabis oil for help with metastatic liver cancer? Anyone with experience please? Asking for my brother &amp;lt;3</t>
        </is>
      </c>
      <c r="C7774" t="inlineStr">
        <is>
          <t>Patient is currently having nab-paclitaxel and Gemcitabine. I realise he'd need to run it past his oncologist first. Just interested in general views, links or experiences. Many thanx guys.</t>
        </is>
      </c>
      <c r="D7774" t="n">
        <v>1</v>
      </c>
      <c r="E7774" t="n">
        <v>4</v>
      </c>
      <c r="F7774">
        <f>HYPERLINK("https://www.reddit.com/r/cancer/comments/f4ikaq/guys_any_thoughts_on_cannabis_oil_for_help_with/")</f>
        <v/>
      </c>
      <c r="G7774" t="inlineStr">
        <is>
          <t>2020-02-15 16:31:11</t>
        </is>
      </c>
      <c r="H7774" t="inlineStr"/>
    </row>
    <row r="7775">
      <c r="A7775" t="inlineStr">
        <is>
          <t>f4jnhl</t>
        </is>
      </c>
      <c r="B7775" t="inlineStr">
        <is>
          <t>My friend is on their deathbed</t>
        </is>
      </c>
      <c r="C7775" t="inlineStr">
        <is>
          <t>Hello. Today I received news that my friend who is suffering from pancreatic cancer is at the end. They’ve been in treatment for over a year.
Please tell me about someone who got really sick like where my friend is and then a miracle happened and it was ok</t>
        </is>
      </c>
      <c r="D7775" t="n">
        <v>1</v>
      </c>
      <c r="E7775" t="n">
        <v>12</v>
      </c>
      <c r="F7775">
        <f>HYPERLINK("https://www.reddit.com/r/cancer/comments/f4jnhl/my_friend_is_on_their_deathbed/")</f>
        <v/>
      </c>
      <c r="G7775" t="inlineStr">
        <is>
          <t>2020-02-15 17:55:17</t>
        </is>
      </c>
      <c r="H7775" t="inlineStr"/>
    </row>
    <row r="7776">
      <c r="A7776" t="inlineStr">
        <is>
          <t>f4kv5s</t>
        </is>
      </c>
      <c r="B7776" t="inlineStr">
        <is>
          <t>Lump on neck</t>
        </is>
      </c>
      <c r="C7776" t="inlineStr">
        <is>
          <t>A few weeks ago I noticed a lump on my neck. I went to the doctor the next day, and they said that if it’s still there in a month than to go back and they’ll do an ultrasound. I’m going back next week, and if it ends up to be a malignant tumor, I honestly would have no complaints. I’m not saying I want cancer, I’m just saying it would be relieving if something tragic were to happen and I was forced to put my life on pause. I wouldn’t necessarily say I want to die, but if I got cancer and knew I was going to die, I would be okay with that. That way I wouldn’t have to put my family through the pain of a suicide, and they would continue to only see the happy, positive me and not the true depressed me.</t>
        </is>
      </c>
      <c r="D7776" t="n">
        <v>1</v>
      </c>
      <c r="E7776" t="n">
        <v>7</v>
      </c>
      <c r="F7776">
        <f>HYPERLINK("https://www.reddit.com/r/cancer/comments/f4kv5s/lump_on_neck/")</f>
        <v/>
      </c>
      <c r="G7776" t="inlineStr">
        <is>
          <t>2020-02-15 19:33:44</t>
        </is>
      </c>
      <c r="H7776" t="inlineStr"/>
    </row>
    <row r="7777">
      <c r="A7777" t="inlineStr">
        <is>
          <t>f4lgh5</t>
        </is>
      </c>
      <c r="B7777" t="inlineStr">
        <is>
          <t>Please help me</t>
        </is>
      </c>
      <c r="C7777" t="inlineStr">
        <is>
          <t>I am a 22-year-old female who is been having ongoing symptoms and problems for the past four months. I woke up one day and randomly noticed very painful and sore lymph nodes without having any other signs of illness. I waited a few weeks, and when they didn’t go down I went to the doctors. They did an ultrasound on them and explained that they were most likely reactive. It is now been four months since that appointment. They originally suspected that I had a bacterial infection and put me on medications, but the muscles of my throat behind my neck still hurt and I am having a hard time swallowing. I went to the ER a few months back because the pain in my neck got so severe that I needed to have a checked out again. They did an IV contrast CT scan and said that there was an area in my neck that looked reactive, but that they didn’t note any other abscesses or tumors. Pain when swallowing is usually rare for me, but I have had the feeling that there’s a lump in the back of my throat for the past few weeks now as well, and it doesn’t feel like it’s just a glob is sensation. I am not a smoker or a daily drinker, so I don’t know what would’ve sparked all of this, but I can tell that my body is fighting something. I just don’t know what. Is this esophageal cancer?</t>
        </is>
      </c>
      <c r="D7777" t="n">
        <v>1</v>
      </c>
      <c r="E7777" t="n">
        <v>0</v>
      </c>
      <c r="F7777">
        <f>HYPERLINK("https://www.reddit.com/r/cancer/comments/f4lgh5/please_help_me/")</f>
        <v/>
      </c>
      <c r="G7777" t="inlineStr">
        <is>
          <t>2020-02-15 20:21:50</t>
        </is>
      </c>
      <c r="H7777" t="inlineStr"/>
    </row>
    <row r="7778">
      <c r="A7778" t="inlineStr">
        <is>
          <t>f4lh4t</t>
        </is>
      </c>
      <c r="B7778" t="inlineStr">
        <is>
          <t>2 weeks have already gone by...I miss my dad</t>
        </is>
      </c>
      <c r="C7778" t="inlineStr">
        <is>
          <t>It's crazy how life just goes on without this person. It's weird, almost normal. I wake up, have breakfast, go to work, but I don't have dad to call and ask a question, or laugh about something funny...</t>
        </is>
      </c>
      <c r="D7778" t="n">
        <v>1</v>
      </c>
      <c r="E7778" t="n">
        <v>4</v>
      </c>
      <c r="F7778">
        <f>HYPERLINK("https://www.reddit.com/r/cancer/comments/f4lh4t/2_weeks_have_already_gone_byi_miss_my_dad/")</f>
        <v/>
      </c>
      <c r="G7778" t="inlineStr">
        <is>
          <t>2020-02-15 20:23:22</t>
        </is>
      </c>
      <c r="H7778" t="inlineStr"/>
    </row>
    <row r="7779">
      <c r="A7779" t="inlineStr">
        <is>
          <t>f4m1wm</t>
        </is>
      </c>
      <c r="B7779" t="inlineStr">
        <is>
          <t>Received my PET Scan results... not sure what to think. It looks like more follow-up exams.</t>
        </is>
      </c>
      <c r="C7779" t="inlineStr">
        <is>
          <t>So I went in because I had a small carcinoid tumor taken out during my first Endoscopy, but it looks like my PET scan doesn't mention my stomach at all. Instead they possibly found stuff everywhere else.. Won't get to see my Oncologist until Wednesday, so I'm hoping that he will have a good outlook with this information. It looks like I won't have any more answers until 3 months from now after more testing.
**GALLIUM 68 DOTATATE PET/CT DATE: 2/14/2020 7:50 CST**    
 **CLINICAL INDICATION:** \- Malignant carcinoid tumor of the stomach initial staging    
 Total body radiation dose: CTDI: 10.1 DLP: 1009    
 **TECHNIQUE:** Following the intravenous administration of 4.68 mCi of Gallium 68 Dotatate , tomographic images were obtained from the top of the skull to the mid thighs, after an interval of 60 minutes. Non diagnostic CT was performed for purposes of attenuation correction, PET CT fusion, and anatomical mapping.    
 **COMPARISON:** CT soft tissue neck 11/13/2019, liver ultrasound 12/4/2019    
 **HEAD AND NECK:** The brain and head and neck demonstrates physiologic uptake.  Physiologic uptake in the pituitary gland.    
**CHEST:**  0.8 x 0.6 cm nodule and superior segment of the right lower lobe has low-grade uptake (max SUV 1.7), image 201. There is also a left lower lobe 6 mm nodule on image 202.  
 **ABDOMEN AND PELVIS:** Diffuse increased physiologic uptake in the liver, spleen, adrenal glands, kidneys may obscure any underlying lesions.    
Focal uptake in the uncinate processes of pancreas, likely physiologic.    
The organs and the bowel demonstrate physiologic uptake.   
 **MUSCULOSKELETAL:** The visualized portion of the skeleton and musculature demonstrate physiologic uptake 
 **IMPRESSION:** 2 pulmonary nodules are nonspecific and could be inflammatory. Neuroendocrine disease is possibly, though less favored. Recommend correlation with tumor markers and follow-up CT chest in 3 months.    
Probable physiologic uptake in uncinate process of the pancreas. Consider evaluation with pancreatic mass protocol MRI.</t>
        </is>
      </c>
      <c r="D7779" t="n">
        <v>1</v>
      </c>
      <c r="E7779" t="n">
        <v>9</v>
      </c>
      <c r="F7779">
        <f>HYPERLINK("https://www.reddit.com/r/cancer/comments/f4m1wm/received_my_pet_scan_results_not_sure_what_to/")</f>
        <v/>
      </c>
      <c r="G7779" t="inlineStr">
        <is>
          <t>2020-02-15 21:14:27</t>
        </is>
      </c>
      <c r="H7779" t="inlineStr"/>
    </row>
    <row r="7780">
      <c r="A7780" t="inlineStr">
        <is>
          <t>f4o5ua</t>
        </is>
      </c>
      <c r="B7780" t="inlineStr">
        <is>
          <t>Lymphoma questions.</t>
        </is>
      </c>
      <c r="C7780" t="inlineStr">
        <is>
          <t>I have a phobia of going to the doctor (Iatrophobia) and won’t go to the doctor. I’m only 17, and I’ve tried therapy and everything to help with my fear, not sure why I have the fear, but it’s there.
About a month and a half ago I’ve noticed some swollen lymph nodes (one under each side of my jaw bone about half way to the chin, and one in the neck area.) they’re about 1 inch at biggest, some are about 0.75 inches. Should I be concerned, I haven’t had any illness so don’t know why they’d be swollen. I can move them, but they’re rubbery feeling I guess you could say. No other symptoms, I feel generally well.</t>
        </is>
      </c>
      <c r="D7780" t="n">
        <v>1</v>
      </c>
      <c r="E7780" t="n">
        <v>5</v>
      </c>
      <c r="F7780">
        <f>HYPERLINK("https://www.reddit.com/r/cancer/comments/f4o5ua/lymphoma_questions/")</f>
        <v/>
      </c>
      <c r="G7780" t="inlineStr">
        <is>
          <t>2020-02-16 00:56:57</t>
        </is>
      </c>
      <c r="H7780" t="inlineStr"/>
    </row>
    <row r="7781">
      <c r="A7781" t="inlineStr">
        <is>
          <t>f4q4fa</t>
        </is>
      </c>
      <c r="B7781" t="inlineStr">
        <is>
          <t>Wife has kicked Cancer's Butt!! Difficult emotional and physical journey but we have made it with the support of family and friends</t>
        </is>
      </c>
      <c r="C7781" t="inlineStr">
        <is>
          <t xml:space="preserve"> Hi all!
Me and my wife Sophie have been keen Parkrunners and Hikers for the past couple of years and love to get out and explore the countryside around us.
A few months ago Sophie's health took a turn for the worse and I would just like to say a massive thank-you to everyone in our local, Parkrun and online communities for all of the love and support we have received, it's been amazing! It has been a long and difficult road where we have suffered both mentally and physically, but finally we have reached the light at the end of the tunnel.
I'm delighted to say that the scans came back a few weeks ago to show that Sophie is now Cancer Free!!
She has amazingly managed to keep her sense of humour throughout, so in honour of this she has proudly decided to show that she has kicked Cancer's Butt!
&amp;amp;#x200B;
https://preview.redd.it/ey8dgbm66ah41.jpg?width=4320&amp;amp;format=pjpg&amp;amp;auto=webp&amp;amp;s=bdcd137a706908c9163b93394cf1d9c6a6deae9b
This group is truly amazing - please show her some love! (apologies for the bare bum - it's just our cheeky sense of humour!)
Mike and Sophie xx</t>
        </is>
      </c>
      <c r="D7781" t="n">
        <v>1</v>
      </c>
      <c r="E7781" t="n">
        <v>0</v>
      </c>
      <c r="F7781">
        <f>HYPERLINK("https://www.reddit.com/r/cancer/comments/f4q4fa/wife_has_kicked_cancers_butt_difficult_emotional/")</f>
        <v/>
      </c>
      <c r="G7781" t="inlineStr">
        <is>
          <t>2020-02-16 04:36:52</t>
        </is>
      </c>
      <c r="H7781" t="inlineStr"/>
    </row>
    <row r="7782">
      <c r="A7782" t="inlineStr">
        <is>
          <t>f4q9vl</t>
        </is>
      </c>
      <c r="B7782" t="inlineStr">
        <is>
          <t>My friend has cancer. We are both in our early 50s. She was just diagnosed and starts chemo next week.</t>
        </is>
      </c>
      <c r="C7782" t="inlineStr">
        <is>
          <t>It is breast cancer, they haven't given a stage but, so far, it hasn't spread.   I have done everything she asked me to do, listened to her just get really angry a few times and she has a ton of other friends.  But, what else?  She is a horrible cook and she is a nurse (so will get remaining sterile and understands chemo).   I am not rich but I don't think she would appreciate flowers and such as much as nice gestures or help.   What else could I do that wouldn't interfere with what other people are doing?   I think 90% of this isn't fear or pain but the unfairness and I agree with her but there is nothing to give her to help that.</t>
        </is>
      </c>
      <c r="D7782" t="n">
        <v>1</v>
      </c>
      <c r="E7782" t="n">
        <v>9</v>
      </c>
      <c r="F7782">
        <f>HYPERLINK("https://www.reddit.com/r/cancer/comments/f4q9vl/my_friend_has_cancer_we_are_both_in_our_early_50s/")</f>
        <v/>
      </c>
      <c r="G7782" t="inlineStr">
        <is>
          <t>2020-02-16 04:52:50</t>
        </is>
      </c>
      <c r="H7782" t="inlineStr"/>
    </row>
    <row r="7783">
      <c r="A7783" t="inlineStr">
        <is>
          <t>f4qwsb</t>
        </is>
      </c>
      <c r="B7783" t="inlineStr">
        <is>
          <t>My mother has cancer and I fell awful not telling that to anyone</t>
        </is>
      </c>
      <c r="C7783" t="inlineStr">
        <is>
          <t>My mother had breast cancer since August 2019 and not a one friend of mine knows about that. Im just trying not to worry anyone but Im so worried sometimes and sometimes I even get panic attacks thinking what could happen to my mother anytime and I from time to time just really need some support. Why am I like this? Why i wont just tell anyone that im close with irl about this? I am always scared of being emotional around people but inside this fact just drains me. If something happens to her i dont think I will cope. She is a single mother by the way.
sorry for any grammar mistakes etc im not best at english</t>
        </is>
      </c>
      <c r="D7783" t="n">
        <v>1</v>
      </c>
      <c r="E7783" t="n">
        <v>0</v>
      </c>
      <c r="F7783">
        <f>HYPERLINK("https://www.reddit.com/r/cancer/comments/f4qwsb/my_mother_has_cancer_and_i_fell_awful_not_telling/")</f>
        <v/>
      </c>
      <c r="G7783" t="inlineStr">
        <is>
          <t>2020-02-16 05:52:56</t>
        </is>
      </c>
      <c r="H7783" t="inlineStr"/>
    </row>
    <row r="7784">
      <c r="A7784" t="inlineStr">
        <is>
          <t>f4s6sw</t>
        </is>
      </c>
      <c r="B7784" t="inlineStr">
        <is>
          <t>Pissing blood Ang going for a resection of a bladder "polyp" tomorrow</t>
        </is>
      </c>
      <c r="C7784" t="inlineStr">
        <is>
          <t>Currently having a bad day. Going in for a resection tomorrow but right now I'm running to the toilet every 20mins to piss blood and when my bladder empties it hurts like hell. 
Just on for a rant cos the only person I've told is my mum and she's on very limited info.
A friend from up north texted me earlier and I was less than friendly, due to pain and worry, but he did say something to trigger me.
No advice needed cos I know what's coming and patronising pity winds me up.
Just here to vent.
Peace out</t>
        </is>
      </c>
      <c r="D7784" t="n">
        <v>1</v>
      </c>
      <c r="E7784" t="n">
        <v>0</v>
      </c>
      <c r="F7784">
        <f>HYPERLINK("https://www.reddit.com/r/cancer/comments/f4s6sw/pissing_blood_ang_going_for_a_resection_of_a/")</f>
        <v/>
      </c>
      <c r="G7784" t="inlineStr">
        <is>
          <t>2020-02-16 07:35:11</t>
        </is>
      </c>
      <c r="H7784" t="inlineStr"/>
    </row>
    <row r="7785">
      <c r="A7785" t="inlineStr">
        <is>
          <t>f4soyk</t>
        </is>
      </c>
      <c r="B7785" t="inlineStr">
        <is>
          <t>How high can CEA level get?</t>
        </is>
      </c>
      <c r="C7785" t="inlineStr">
        <is>
          <t>The title says it. I am currently super worried for my mom as she says she's feeling 'well', but her CEA level was over 10,000 u/l (normal is under 5).
She has stage IV colon cancer (metastasis on liver) and had a separate uterine cancer. I know it's incurable but she was supposed to live for at least a year.</t>
        </is>
      </c>
      <c r="D7785" t="n">
        <v>1</v>
      </c>
      <c r="E7785" t="n">
        <v>20</v>
      </c>
      <c r="F7785">
        <f>HYPERLINK("https://www.reddit.com/r/cancer/comments/f4soyk/how_high_can_cea_level_get/")</f>
        <v/>
      </c>
      <c r="G7785" t="inlineStr">
        <is>
          <t>2020-02-16 08:10:57</t>
        </is>
      </c>
      <c r="H7785" t="inlineStr"/>
    </row>
    <row r="7786">
      <c r="A7786" t="inlineStr">
        <is>
          <t>f4std0</t>
        </is>
      </c>
      <c r="B7786" t="inlineStr">
        <is>
          <t>really not sure what to do</t>
        </is>
      </c>
      <c r="C7786" t="inlineStr">
        <is>
          <t xml:space="preserve"> 
So... yeah... really struggling here guys. I'd been in remission and so this is a sudden diagnosis out of nowhere. I can't tell if I'm just numb or what. Really want to be that person that's like "I'm gonna beat this no matter what!!" and I will try, I really will. Still I can't help but look at the statistics, run the numbers, and think, well, maybe I'll be one of the lucky ones on this...
I'll do all I can to tilt the odds in my favor... but this is a real tough one to beat, guys. Stomach cancer sounds like... well they're saying stuff like "at this point we tend to think and talk in terms of control, not cure." I'll try. I want to be that "I KNOW I can beat this" person but.. truth be told, I don't know. I hope, but I don't know.</t>
        </is>
      </c>
      <c r="D7786" t="n">
        <v>1</v>
      </c>
      <c r="E7786" t="n">
        <v>3</v>
      </c>
      <c r="F7786">
        <f>HYPERLINK("https://www.reddit.com/r/cancer/comments/f4std0/really_not_sure_what_to_do/")</f>
        <v/>
      </c>
      <c r="G7786" t="inlineStr">
        <is>
          <t>2020-02-16 08:19:24</t>
        </is>
      </c>
      <c r="H7786" t="inlineStr"/>
    </row>
    <row r="7787">
      <c r="A7787" t="inlineStr">
        <is>
          <t>f4tbr8</t>
        </is>
      </c>
      <c r="B7787" t="inlineStr">
        <is>
          <t>Im scared of getting Cancer</t>
        </is>
      </c>
      <c r="C7787" t="inlineStr">
        <is>
          <t>i dont know what to do, everyday im scared of getting cancer even tho my parents say it is rare and there is no way i could get cancer since no one in our family ever had cancer. 
how can people avoid cancer and is it even possible to avoid cancer?
i sometimes have dreams of having cancer and being really sick because of it and these dreams are so scary</t>
        </is>
      </c>
      <c r="D7787" t="n">
        <v>1</v>
      </c>
      <c r="E7787" t="n">
        <v>7</v>
      </c>
      <c r="F7787">
        <f>HYPERLINK("https://www.reddit.com/r/cancer/comments/f4tbr8/im_scared_of_getting_cancer/")</f>
        <v/>
      </c>
      <c r="G7787" t="inlineStr">
        <is>
          <t>2020-02-16 08:54:59</t>
        </is>
      </c>
      <c r="H7787" t="inlineStr"/>
    </row>
    <row r="7788">
      <c r="A7788" t="inlineStr">
        <is>
          <t>f4ul6w</t>
        </is>
      </c>
      <c r="B7788" t="inlineStr">
        <is>
          <t>My best friend whose about to turn 18 was diagnosed with leukemia</t>
        </is>
      </c>
      <c r="C7788" t="inlineStr">
        <is>
          <t>We found out about a month ago and it's been a rough time for him with chemotherapy and now he's in need of a bone marrow transplant. I'm sure some of you have already signed up for this, please consider registering it could save his life and others.
[Be The Match](https://join.bethematch.org/s/landing?language=en_US&amp;amp;ref=diversematch&amp;amp;refUrl=ENDREFURL)</t>
        </is>
      </c>
      <c r="D7788" t="n">
        <v>1</v>
      </c>
      <c r="E7788" t="n">
        <v>2</v>
      </c>
      <c r="F7788">
        <f>HYPERLINK("https://www.reddit.com/r/cancer/comments/f4ul6w/my_best_friend_whose_about_to_turn_18_was/")</f>
        <v/>
      </c>
      <c r="G7788" t="inlineStr">
        <is>
          <t>2020-02-16 10:17:46</t>
        </is>
      </c>
      <c r="H7788" t="inlineStr"/>
    </row>
    <row r="7789">
      <c r="A7789" t="inlineStr">
        <is>
          <t>f4ulr8</t>
        </is>
      </c>
      <c r="B7789" t="inlineStr">
        <is>
          <t>My husband has passed away</t>
        </is>
      </c>
      <c r="C7789" t="inlineStr">
        <is>
          <t>My husband passed away from stage 4 lung cancer yesterday at 6pm. He only got back from the hospital on Tuesday evening. He was on oxygen and a hospital bed in our living room.
He asked for the nebulizer because he couldn't breathe, the nebulizer didn't work.  He just could not get any air into his lungs. 
He asked if was dying,  he said he loved me.  After a couple of minutes of struggling for air he lost consciousness and passed away. He was 47 years old.
Fuck cancer.</t>
        </is>
      </c>
      <c r="D7789" t="n">
        <v>1</v>
      </c>
      <c r="E7789" t="n">
        <v>66</v>
      </c>
      <c r="F7789">
        <f>HYPERLINK("https://www.reddit.com/r/cancer/comments/f4ulr8/my_husband_has_passed_away/")</f>
        <v/>
      </c>
      <c r="G7789" t="inlineStr">
        <is>
          <t>2020-02-16 10:18:40</t>
        </is>
      </c>
      <c r="H7789" t="inlineStr"/>
    </row>
    <row r="7790">
      <c r="A7790" t="inlineStr">
        <is>
          <t>f4wsae</t>
        </is>
      </c>
      <c r="B7790" t="inlineStr">
        <is>
          <t>Severe hypersensitivity infusion reaction to Keytruda (Pembrolizumab)</t>
        </is>
      </c>
      <c r="C7790" t="inlineStr">
        <is>
          <t>Hello,
My mother (69 years old) was diagnosed with stage 4 lung cancer (NSCLC) . She had severe pain on her torax. She tested negative for ALK, EFGR and ROS1 biomarkers but tested positive for PD-L1 so her doctor started her with Keytruda (Pembrolizumab)  2mg/kg every 3 weeks.
The first cycle went great, her torax pain disappeared completely after 2 weeks and her appetite increased so it was clearly working. However, during the second cycle, just after starting the infusion she experienced shortness of breath, red face and severe chills so she had to go the emergency room.  The doctor said she had a severe hypersensitivity infusion reaction. He said we would like to try again by giving her  antihistamines before the next infusion.
So one week later we tried again with the antihistamines. This time the full dosage went through almost completely. We thought everything was going to be ok, however just before finishing she developed the same reaction again.
Her doctor decided to stop  keytruda and start treatment with chemotherapy instead using Carboplatin, Pemetrexed and Avastin (Bevacizumab).
According to everything that I have read she had pretty survival good chances with immunotherapy but not so much with chemotherapy.
Does anyone have any advice or experience with this type of reactions to immunotherapy? What makes me sadder is that the treatment was clearly working.</t>
        </is>
      </c>
      <c r="D7790" t="n">
        <v>1</v>
      </c>
      <c r="E7790" t="n">
        <v>7</v>
      </c>
      <c r="F7790">
        <f>HYPERLINK("https://www.reddit.com/r/cancer/comments/f4wsae/severe_hypersensitivity_infusion_reaction_to/")</f>
        <v/>
      </c>
      <c r="G7790" t="inlineStr">
        <is>
          <t>2020-02-16 12:36:47</t>
        </is>
      </c>
      <c r="H7790" t="inlineStr"/>
    </row>
    <row r="7791">
      <c r="A7791" t="inlineStr">
        <is>
          <t>f4wynd</t>
        </is>
      </c>
      <c r="B7791" t="inlineStr">
        <is>
          <t>Getting scanned on Wednesday for a possible relapse</t>
        </is>
      </c>
      <c r="C7791" t="inlineStr">
        <is>
          <t>I was diagnosed with HL in 2015. 3 months I was declared cancer free. One month after ending my first line treatment I relapsed. Had to undergo more treatment and by the time of 2016 I was declared completely cancer free. 
At the end of last month I discovered 2 swollen lymph nodes on my neck, and an unusual weight loss. Called my doctor and she scheduled a PET scan for next week. I did a blood test last week which showed to be fine..
I'm gaining weight, and I hoped that the lymp node would disappear by the time I would get scanned. They did shrink, but are still there. 
This time feels so different even though I have been scanned many time before. I haven't told my family yet. I don't want to cause any worry until I'm 100% it's back. I have only been talking to my best friend. So yeah....it kind off sucks to know that I will be engaging in this battle all over again.</t>
        </is>
      </c>
      <c r="D7791" t="n">
        <v>1</v>
      </c>
      <c r="E7791" t="n">
        <v>1</v>
      </c>
      <c r="F7791">
        <f>HYPERLINK("https://www.reddit.com/r/cancer/comments/f4wynd/getting_scanned_on_wednesday_for_a_possible/")</f>
        <v/>
      </c>
      <c r="G7791" t="inlineStr">
        <is>
          <t>2020-02-16 12:47:52</t>
        </is>
      </c>
      <c r="H7791" t="inlineStr"/>
    </row>
    <row r="7792">
      <c r="A7792" t="inlineStr">
        <is>
          <t>f4yhxb</t>
        </is>
      </c>
      <c r="B7792" t="inlineStr">
        <is>
          <t>Partial Set of Lungs Squad???</t>
        </is>
      </c>
      <c r="C7792" t="inlineStr">
        <is>
          <t>Has anyone here had a lobectomy as a result of their cancer? If so I’d loooove to chat about your recovery experience.
I’m a month and some change out from a upper left lung lobectomy with a thoracotomy. Recovery has been a mixed bag... I think... I guess I just don’t have any idea what is normal...?</t>
        </is>
      </c>
      <c r="D7792" t="n">
        <v>1</v>
      </c>
      <c r="E7792" t="n">
        <v>3</v>
      </c>
      <c r="F7792">
        <f>HYPERLINK("https://www.reddit.com/r/cancer/comments/f4yhxb/partial_set_of_lungs_squad/")</f>
        <v/>
      </c>
      <c r="G7792" t="inlineStr">
        <is>
          <t>2020-02-16 14:32:14</t>
        </is>
      </c>
      <c r="H7792" t="inlineStr"/>
    </row>
    <row r="7793">
      <c r="A7793" t="inlineStr">
        <is>
          <t>f4z9of</t>
        </is>
      </c>
      <c r="B7793" t="inlineStr">
        <is>
          <t>Cure for cancer</t>
        </is>
      </c>
      <c r="C7793" t="inlineStr">
        <is>
          <t>Even though there might not be a cure for cancer. You  are wrong becuase there is actully a cure there is tips but what is the cure british scientists found The cure is inside our bodys you have to go to the immune system and there is something we haven’t seen before it’s called the T-Cell's it can cure all types of cancer (early stages like 0 I II) and if you get lucky enough You might have 100 t-cells here is how What do T cells do in the immune system?
Your body can then produce the most effective weapons against the invaders, which may be bacteria, viruses or parasites. Other types of **T**\-**cells** recognise and kill virus-infected **cells** directly. Some help B-**cells** to make antibodies, which circulate and bind to antigens. A **T**\-cell (orange) killing a cancer cell (mauve). and this is my post -OP</t>
        </is>
      </c>
      <c r="D7793" t="n">
        <v>1</v>
      </c>
      <c r="E7793" t="n">
        <v>2</v>
      </c>
      <c r="F7793">
        <f>HYPERLINK("https://www.reddit.com/r/cancer/comments/f4z9of/cure_for_cancer/")</f>
        <v/>
      </c>
      <c r="G7793" t="inlineStr">
        <is>
          <t>2020-02-16 15:27:55</t>
        </is>
      </c>
      <c r="H7793" t="inlineStr"/>
    </row>
    <row r="7794">
      <c r="A7794" t="inlineStr">
        <is>
          <t>f4zt60</t>
        </is>
      </c>
      <c r="B7794" t="inlineStr">
        <is>
          <t>Possible to have cancer in Bone Marrow but NOT in blood?</t>
        </is>
      </c>
      <c r="C7794" t="inlineStr">
        <is>
          <t>Is it possible to have cancer in bone marrow but not in blood? or is this impossible because the bone marrow creates the blood cells?</t>
        </is>
      </c>
      <c r="D7794" t="n">
        <v>1</v>
      </c>
      <c r="E7794" t="n">
        <v>0</v>
      </c>
      <c r="F7794">
        <f>HYPERLINK("https://www.reddit.com/r/cancer/comments/f4zt60/possible_to_have_cancer_in_bone_marrow_but_not_in/")</f>
        <v/>
      </c>
      <c r="G7794" t="inlineStr">
        <is>
          <t>2020-02-16 16:08:52</t>
        </is>
      </c>
      <c r="H7794" t="inlineStr"/>
    </row>
    <row r="7795">
      <c r="A7795" t="inlineStr">
        <is>
          <t>f4zy9v</t>
        </is>
      </c>
      <c r="B7795" t="inlineStr">
        <is>
          <t>Everyday after laryngectomy is intense punishment.</t>
        </is>
      </c>
      <c r="C7795" t="inlineStr">
        <is>
          <t>A couple of months ago I underwent a laryngectomy.  I initially refused the surgery because I didn't think I was a good candidate - I know myself well enough to know I would have trouble accepting the aftermath if it was as bad as I read it was.  I was talked into it by my surgeon and others who said recovery would not be that big of a problem.
For those unfamiliar with what a laryngectomy is, it is a nightmarish reconfiguration of the body worthy of a Nazi concentration camp experiment.  My vocal cords were removed, my trachea was rerouted to a big hole at the base of my neck and my entire esophagus reconfigured.  Laryngectomy patients have to face serious and broad adverse effects on their quality of life and those adverse effects are *permanent*.  
Each and every day since then has felt like intense punishment.  I have yet to have a day that I didn't wish I was dead, much less one where I'm happy to be alive.  I cannot speak, my sense of smell is gone, my sense of taste is diminished by more than 50%.  I cough up large amounts of mucus uncontrollably through the hole in my neck and that's only a fraction of what I have to deal with.
I feel like I haven't been given a chance for a life, but instead a chance for a life sentence of misery.
At this point I intend to put my life in order and call it quits.  There is no way I will chose to live a life of intense punishment and there are other options.  
Not looking for feeback here.  Just need to vent.  Thanks.</t>
        </is>
      </c>
      <c r="D7795" t="n">
        <v>1</v>
      </c>
      <c r="E7795" t="n">
        <v>22</v>
      </c>
      <c r="F7795">
        <f>HYPERLINK("https://www.reddit.com/r/cancer/comments/f4zy9v/everyday_after_laryngectomy_is_intense_punishment/")</f>
        <v/>
      </c>
      <c r="G7795" t="inlineStr">
        <is>
          <t>2020-02-16 16:19:40</t>
        </is>
      </c>
      <c r="H7795" t="inlineStr"/>
    </row>
    <row r="7796">
      <c r="A7796" t="inlineStr">
        <is>
          <t>f501m2</t>
        </is>
      </c>
      <c r="B7796" t="inlineStr">
        <is>
          <t>I'm having a hard time staying strong</t>
        </is>
      </c>
      <c r="C7796" t="inlineStr">
        <is>
          <t>It's the only place that I can write this that i think people would understand. In October of 2018 my wife said she wanted to separate. We'd had some issues, I'd made some pretty bad mistakess. so it made sense.  But we also both said we wanted to work things out and we agreed to try.  In Jan/Feb the CML that had been undercontrol mutated and came back with a vengeance. We continued to talk on and off through the next few months.  But in October of 19 she filed for divorce, it was finalized in Dec. The part that really sucks is, I feel like she's divorcing the "old me" I have changed in a lot of ways since things went sideways in Feb of last year. The doctors have since then told me that I've got little less than 30% chance of making it past the next 24 months. That even a bone marrow transplant has a 50% chance of success.  Until recently I've been able to...get by. But over the last few months, I'm not doing so hot.  I am having trouble coming up with reasons to keep fighting.  I know I know, "There are people that love me, friends, family, etc" But somehow that all doesn't seem like...enough.  We never had kids so I don't have to worry about that.  Lately, I honestly have given up on getting through this alive.  The only thing I want, is to spend the however long I've got left with her.  I wake up every morning with this awful weight on my chest. First though when I wake up alone, and randomly through out the day is "I just wish I was dead"  I am trying so hard to be strong but, I just can't find a reason too anymore. And I'm not asking strangers on the internet to give me that reason.  I just...needed to get that off my chest.</t>
        </is>
      </c>
      <c r="D7796" t="n">
        <v>1</v>
      </c>
      <c r="E7796" t="n">
        <v>10</v>
      </c>
      <c r="F7796">
        <f>HYPERLINK("https://www.reddit.com/r/cancer/comments/f501m2/im_having_a_hard_time_staying_strong/")</f>
        <v/>
      </c>
      <c r="G7796" t="inlineStr">
        <is>
          <t>2020-02-16 16:27:03</t>
        </is>
      </c>
      <c r="H7796" t="inlineStr"/>
    </row>
    <row r="7797">
      <c r="A7797" t="inlineStr">
        <is>
          <t>f50wj2</t>
        </is>
      </c>
      <c r="B7797" t="inlineStr">
        <is>
          <t>Wanted to share</t>
        </is>
      </c>
      <c r="C7797" t="inlineStr">
        <is>
          <t>I visited this community often during my moms battle with cancer. She passed in November so this is my first time back in awhile.
I was in a mood yesterday. One where I didn’t know what to do with my time. As I was sitting on my bed, I began to write about my feelings, but in a different way. This is what came forth... 
I yearn to hear your laugh 
I yearn to feel your touch 
There is something to be said
About missing you so much 
In my dreams I see you
Being alive and so well
Then the realization comes 
And it’s followed by pure hell 
My world is a little more quiet 
With you no longer here 
I always wondered how this would feel
To confront my greatest fear 
There’s not a day that goes by
That I don’t think of you
Hearing birds sing bright and early 
In a sky that feels so new 
In my heart I know 
You’re in a much better place
But in my world I feel
A longing for your embrace 
My grief looks like guidance 
As I practice all I was told 
And try to feel your warmth 
On days that feel so cold</t>
        </is>
      </c>
      <c r="D7797" t="n">
        <v>1</v>
      </c>
      <c r="E7797" t="n">
        <v>3</v>
      </c>
      <c r="F7797">
        <f>HYPERLINK("https://www.reddit.com/r/cancer/comments/f50wj2/wanted_to_share/")</f>
        <v/>
      </c>
      <c r="G7797" t="inlineStr">
        <is>
          <t>2020-02-16 17:34:02</t>
        </is>
      </c>
      <c r="H7797" t="inlineStr"/>
    </row>
    <row r="7798">
      <c r="A7798" t="inlineStr">
        <is>
          <t>f52zex</t>
        </is>
      </c>
      <c r="B7798" t="inlineStr">
        <is>
          <t>Immune cell that kills most cancers discovered by accident by British scientists</t>
        </is>
      </c>
      <c r="C7798" t="inlineStr">
        <is>
          <t>Researchers at Cardiff University were analysing blood from a bank in Wales, looking for immune cells that could fight bacteria, when they found an entirely new type of T-cell.
https://www.telegraph.co.uk/science/2020/01/20/immune-cell-kills-cancers-discovered-accident-british-scientists/?fbclid=IwAR1pqyRmYc6_vAZQ6zXbovkJ3ALlD8AdHC48AkiBzBtpAa3UY9opzTYbQTo</t>
        </is>
      </c>
      <c r="D7798" t="n">
        <v>1</v>
      </c>
      <c r="E7798" t="n">
        <v>11</v>
      </c>
      <c r="F7798">
        <f>HYPERLINK("https://www.reddit.com/r/cancer/comments/f52zex/immune_cell_that_kills_most_cancers_discovered_by/")</f>
        <v/>
      </c>
      <c r="G7798" t="inlineStr">
        <is>
          <t>2020-02-16 20:15:13</t>
        </is>
      </c>
      <c r="H7798" t="inlineStr"/>
    </row>
    <row r="7799">
      <c r="A7799" t="inlineStr">
        <is>
          <t>f54fd0</t>
        </is>
      </c>
      <c r="B7799" t="inlineStr">
        <is>
          <t>He died</t>
        </is>
      </c>
      <c r="C7799" t="inlineStr">
        <is>
          <t>I made a post here yesterday to please pray for my friend who was on his deathbed. I didn’t know he would pass away the next day. I’ve since deleted the post.
I was going to text him at 12:00 in the morning. I just really wanted to but we don’t text casually so I figured it would be inappropriate. And then he passed today.
I miss him so much, but I also don’t believe he’s gone. I don’t believe that he won’t open his eyes and if I were to ask him a question he would answer. 
It was a very painful fight. Through the years though I genuinely felt it in the deepest pots of my heart that heaven is real and he’s there. Don’t be afraid guys. He’s happy now and he isn’t in pain.
One of you said you lost your father to the same type of cancer last week and that you would ask him to make the transition easy. Thank you so much. Truly thank you for praying for him and I think you made a difference.
I can’t keep going on about how big this hole in my being is and how much he means to me and how there’s so much I didn’t get to say. I love you so much and you helped me in ways you didn’t see that made the biggest difference!!!!! I love you so much!!!!!!! Please smile down on me from heaven and hold my hand.
If you are religious please pray for his family. This was a very difficult fight against a very aggressive type of cancer, but please if you are reading this he is out of his pain and he is running in heaven all happy doing everything he wants and I know in my heart that up there this all looks so silly to him. Life on earth is such an insignificant portion of your real life. Thank you everyone once again</t>
        </is>
      </c>
      <c r="D7799" t="n">
        <v>1</v>
      </c>
      <c r="E7799" t="n">
        <v>1</v>
      </c>
      <c r="F7799">
        <f>HYPERLINK("https://www.reddit.com/r/cancer/comments/f54fd0/he_died/")</f>
        <v/>
      </c>
      <c r="G7799" t="inlineStr">
        <is>
          <t>2020-02-16 22:17:51</t>
        </is>
      </c>
      <c r="H7799" t="inlineStr"/>
    </row>
    <row r="7800">
      <c r="A7800" t="inlineStr">
        <is>
          <t>f54rzz</t>
        </is>
      </c>
      <c r="B7800" t="inlineStr">
        <is>
          <t>One year scan, something showed up....</t>
        </is>
      </c>
      <c r="C7800" t="inlineStr">
        <is>
          <t>One year after my treatment for tonsil cancer finished (surgery, RT &amp;amp; chemo), I had my follow up MRI &amp;amp; PET scans done last week, and found out today there's a small spot in a node on the opposite side from where the cancer was. SUV is 3.9. Oncologist says it's too small to do a biopsy, and I'll need to do another PET in 3 months time to see if it's gone and was just an inflammation caused by an infection or something serious. 
Seems to me to be too much of a coincidence that I would have an inflammation at the exact same time I have my scan, but for now I just have to wait with this hanging over me again. I know nothing is confirmed, but I was so looking forward to hearing everything was clear and see you again in a years time, now I'm feeling numb again, just when life was going ok.</t>
        </is>
      </c>
      <c r="D7800" t="n">
        <v>1</v>
      </c>
      <c r="E7800" t="n">
        <v>3</v>
      </c>
      <c r="F7800">
        <f>HYPERLINK("https://www.reddit.com/r/cancer/comments/f54rzz/one_year_scan_something_showed_up/")</f>
        <v/>
      </c>
      <c r="G7800" t="inlineStr">
        <is>
          <t>2020-02-16 22:50:41</t>
        </is>
      </c>
      <c r="H7800" t="inlineStr"/>
    </row>
    <row r="7801">
      <c r="A7801" t="inlineStr">
        <is>
          <t>f55hcv</t>
        </is>
      </c>
      <c r="B7801" t="inlineStr">
        <is>
          <t>Survival rate of stomach cancer that spread to the liver</t>
        </is>
      </c>
      <c r="C7801" t="inlineStr">
        <is>
          <t>Hello all, I just found out that my elderly grandma has stomach cancer. I was told that it might have spread to the liver. She is going to do chemo now. How long will I have left with her?</t>
        </is>
      </c>
      <c r="D7801" t="n">
        <v>1</v>
      </c>
      <c r="E7801" t="n">
        <v>1</v>
      </c>
      <c r="F7801">
        <f>HYPERLINK("https://www.reddit.com/r/cancer/comments/f55hcv/survival_rate_of_stomach_cancer_that_spread_to/")</f>
        <v/>
      </c>
      <c r="G7801" t="inlineStr">
        <is>
          <t>2020-02-17 00:00:27</t>
        </is>
      </c>
      <c r="H7801" t="inlineStr"/>
    </row>
    <row r="7802">
      <c r="A7802" t="inlineStr">
        <is>
          <t>f56w8z</t>
        </is>
      </c>
      <c r="B7802" t="inlineStr">
        <is>
          <t>Throat cancer</t>
        </is>
      </c>
      <c r="C7802" t="inlineStr">
        <is>
          <t>Hello all first time posting but I just spoke to my nan and she had just told me she has type a throat cancer she is going back in tomorrow for another appointment but im wondering what type a means?</t>
        </is>
      </c>
      <c r="D7802" t="n">
        <v>1</v>
      </c>
      <c r="E7802" t="n">
        <v>2</v>
      </c>
      <c r="F7802">
        <f>HYPERLINK("https://www.reddit.com/r/cancer/comments/f56w8z/throat_cancer/")</f>
        <v/>
      </c>
      <c r="G7802" t="inlineStr">
        <is>
          <t>2020-02-17 02:31:02</t>
        </is>
      </c>
      <c r="H7802" t="inlineStr"/>
    </row>
    <row r="7803">
      <c r="A7803" t="inlineStr">
        <is>
          <t>f576lz</t>
        </is>
      </c>
      <c r="B7803" t="inlineStr">
        <is>
          <t>Father finds out ct scan results tomorrow</t>
        </is>
      </c>
      <c r="C7803" t="inlineStr">
        <is>
          <t>My father was diagnosed with kidney cancer 3 years ago. He had one kidney removed only to find out 2 years later a tumour had grown in it’s place. He had to go through months of chemo and radiotherapy. After the chemo, the scan showed that the tumour had shrunk. He will find out the results of the radiotherapy tomorrow and I’m very, very scared for him. I’m living abroad too which makes it even more difficult. 
I don’t know anyone else who has gone through this and none of my friends or my boyfriend seem very supportive. :( 
Please pray for my father 🙏🏻</t>
        </is>
      </c>
      <c r="D7803" t="n">
        <v>1</v>
      </c>
      <c r="E7803" t="n">
        <v>4</v>
      </c>
      <c r="F7803">
        <f>HYPERLINK("https://www.reddit.com/r/cancer/comments/f576lz/father_finds_out_ct_scan_results_tomorrow/")</f>
        <v/>
      </c>
      <c r="G7803" t="inlineStr">
        <is>
          <t>2020-02-17 03:01:56</t>
        </is>
      </c>
      <c r="H7803" t="inlineStr"/>
    </row>
    <row r="7804">
      <c r="A7804" t="inlineStr">
        <is>
          <t>f579wo</t>
        </is>
      </c>
      <c r="B7804" t="inlineStr">
        <is>
          <t>How did you catch up on studies after treatment?</t>
        </is>
      </c>
      <c r="C7804" t="inlineStr">
        <is>
          <t>I'm currently doing chemo and missing a lot of school. I'm trying to study while getting treatment but I get so overwhelmed and get really anxious that I can't study</t>
        </is>
      </c>
      <c r="D7804" t="n">
        <v>1</v>
      </c>
      <c r="E7804" t="n">
        <v>7</v>
      </c>
      <c r="F7804">
        <f>HYPERLINK("https://www.reddit.com/r/cancer/comments/f579wo/how_did_you_catch_up_on_studies_after_treatment/")</f>
        <v/>
      </c>
      <c r="G7804" t="inlineStr">
        <is>
          <t>2020-02-17 03:11:12</t>
        </is>
      </c>
      <c r="H7804" t="inlineStr"/>
    </row>
    <row r="7805">
      <c r="A7805" t="inlineStr">
        <is>
          <t>f59vsr</t>
        </is>
      </c>
      <c r="B7805" t="inlineStr">
        <is>
          <t>People who got chronic side effects from their cancer. How hard is your life now? How did you find the motivation to continue living</t>
        </is>
      </c>
      <c r="C7805" t="inlineStr">
        <is>
          <t>I ha e a germinoma, it messed up all my hormones so I'll probably need hormone therapy for life. Also it left some non-tumor mater on my optic nerve so I have double and blurry vision. I don't have the motivation to live if it's going to be like this</t>
        </is>
      </c>
      <c r="D7805" t="n">
        <v>1</v>
      </c>
      <c r="E7805" t="n">
        <v>12</v>
      </c>
      <c r="F7805">
        <f>HYPERLINK("https://www.reddit.com/r/cancer/comments/f59vsr/people_who_got_chronic_side_effects_from_their/")</f>
        <v/>
      </c>
      <c r="G7805" t="inlineStr">
        <is>
          <t>2020-02-17 06:59:02</t>
        </is>
      </c>
      <c r="H7805" t="inlineStr"/>
    </row>
    <row r="7806">
      <c r="A7806" t="inlineStr">
        <is>
          <t>f5cxsa</t>
        </is>
      </c>
      <c r="B7806" t="inlineStr">
        <is>
          <t>I was only a 12 treatment plan on Avastin. Since my first does I've had the chills, my whole body crawls with goosebumps, and I'm very run down. My last treatment was back in November. I told the nurses at each visit and they just sent the shrug it off as if it was not a big side effect.</t>
        </is>
      </c>
      <c r="C7806" t="inlineStr">
        <is>
          <t>I was only a 12 treatment plan on Avastin.  Since my first does I've had the chills, my whole body crawls with goosebumps, and I'm very run down. My last treatment was back in November. I told the nurses at each visit and they  they just shrug it off as if it was not a big side effect.  This is destroying my life.  Out of nowhere I'll start sweating and freezing</t>
        </is>
      </c>
      <c r="D7806" t="n">
        <v>1</v>
      </c>
      <c r="E7806" t="n">
        <v>5</v>
      </c>
      <c r="F7806">
        <f>HYPERLINK("https://www.reddit.com/r/cancer/comments/f5cxsa/i_was_only_a_12_treatment_plan_on_avastin_since/")</f>
        <v/>
      </c>
      <c r="G7806" t="inlineStr">
        <is>
          <t>2020-02-17 10:16:14</t>
        </is>
      </c>
      <c r="H7806" t="inlineStr"/>
    </row>
    <row r="7807">
      <c r="A7807" t="inlineStr">
        <is>
          <t>f5dz7s</t>
        </is>
      </c>
      <c r="B7807" t="inlineStr">
        <is>
          <t>My girlfriend was recently diagnosed with a rare type of breast cancer.</t>
        </is>
      </c>
      <c r="C7807" t="inlineStr">
        <is>
          <t>My 37 year old girlfriend of 5 years has been diagnosed with stage 2b breast cancer, to be exact it’s metaplastic breast cancer in her right breast.  This type only occurs in 1% of breast cancer patients.  The doctors have decided to start with a taxol as her initial chemo treatment weekly for 12 weeks and then comes the really nasty stuff after that.  Then an 8 week course of Adriamycin is set.  Which I’m trying not worry about just yet. After these treatments surgery will be the next step it seems. 
I haven’t had any friends or family with cancer ever and even though I’ve worked in healthcare for over a decade now, mostly emergency medicine or cardiovascular fields, my exposure to life with cancer is minimal or only extreme cases.  
I’m sure I’ll be on here to post more over the coming months, but for now your kind words, support, or helpful tips to help her/us live with this more smoothly would be greatly appreciated. 
The word cancer has forever been changed for me.  I hate the darkness and lack of control that it brings with it.</t>
        </is>
      </c>
      <c r="D7807" t="n">
        <v>1</v>
      </c>
      <c r="E7807" t="n">
        <v>19</v>
      </c>
      <c r="F7807">
        <f>HYPERLINK("https://www.reddit.com/r/cancer/comments/f5dz7s/my_girlfriend_was_recently_diagnosed_with_a_rare/")</f>
        <v/>
      </c>
      <c r="G7807" t="inlineStr">
        <is>
          <t>2020-02-17 11:21:25</t>
        </is>
      </c>
      <c r="H7807" t="inlineStr"/>
    </row>
    <row r="7808">
      <c r="A7808" t="inlineStr">
        <is>
          <t>f5g4lu</t>
        </is>
      </c>
      <c r="B7808" t="inlineStr">
        <is>
          <t>Slob in Public</t>
        </is>
      </c>
      <c r="C7808" t="inlineStr">
        <is>
          <t>I’m currently at the cancer center awaiting a follow-up appointment. I’m on FMLA/disability after a major cancer-related surgery. I say that to say this - I’m not paying too much attention to my appearance right now because everything is hard and everything is the worst. 
I just threw on a sweatshirt from the laundry hamper and went to the hospital. Didn’t pay attention. Mirrors are for the healthy. And here now in the waiting room I see that there are MULTIPLE stains on this thing. So I’m attempting to clean the sweatshirt with hospital grade tissues (read: single ply toilet paper) and water from my water bottle. 
Classy, thy name is Stephanie.</t>
        </is>
      </c>
      <c r="D7808" t="n">
        <v>1</v>
      </c>
      <c r="E7808" t="n">
        <v>53</v>
      </c>
      <c r="F7808">
        <f>HYPERLINK("https://www.reddit.com/r/cancer/comments/f5g4lu/slob_in_public/")</f>
        <v/>
      </c>
      <c r="G7808" t="inlineStr">
        <is>
          <t>2020-02-17 13:34:23</t>
        </is>
      </c>
      <c r="H7808" t="inlineStr"/>
    </row>
    <row r="7809">
      <c r="A7809" t="inlineStr">
        <is>
          <t>f5giul</t>
        </is>
      </c>
      <c r="B7809" t="inlineStr">
        <is>
          <t>Immunotherapy?</t>
        </is>
      </c>
      <c r="C7809" t="inlineStr">
        <is>
          <t>In October my mom mentioned she had a bubble on her scalp. We went to the dermatologist and were told it was a 8 millimeter tumor melanoma on her scalp. I quickly learned to not look up anything relating to cancer when you’re trying to find answers on how to quiet your mind, because it makes it worse. 
The doctors made it urgent to remove her cancer. They did a skin graph to remove the mass and they checked her lymph nodes which were devastatingly positive. 
I’m 20 and a full time college student, about to graduate with my associates and transfer across the state to a university on my own. The last few months have been some of the hardest on my family, as I’m sure that’s a familiar feeling for anyone reading this. 
I’m so lucky and grateful to say that her MRI and PET scans came back negative for anything spreading, only activity on the site near her surgery. They did extra tests including an ultra sound to make sure they were positive nothing was still there. They are sure they got everything, it’s just inflammation. 
She started immunotherapy today, keytruda. 
They said that immunotherapy is different in that it isn’t exactly a chemical that affects the body as radiation or chemo would. They went over the side effects making it seem like it wouldn’t be a huge thing to worry about. She started her first round today and she has been dizzy and nauseous. I am so grateful that she is only dealing with those side affects, but I hate seeing her in pain. I guess I assumed that everything would be uphill from here and I’m worried.
I don’t know anyone who’s dealt with immunotherapy, keytruda in particular. Is this just her getting use to the drug, or is this a side effect that we will have to be working through for the next year? I want to explore and be able to spend time doing as much as I can with her until I leave for school(which believe me, I will!) but I want her to enjoy it too.</t>
        </is>
      </c>
      <c r="D7809" t="n">
        <v>1</v>
      </c>
      <c r="E7809" t="n">
        <v>9</v>
      </c>
      <c r="F7809">
        <f>HYPERLINK("https://www.reddit.com/r/cancer/comments/f5giul/immunotherapy/")</f>
        <v/>
      </c>
      <c r="G7809" t="inlineStr">
        <is>
          <t>2020-02-17 13:58:51</t>
        </is>
      </c>
      <c r="H7809" t="inlineStr"/>
    </row>
    <row r="7810">
      <c r="A7810" t="inlineStr">
        <is>
          <t>f5ic5y</t>
        </is>
      </c>
      <c r="B7810" t="inlineStr">
        <is>
          <t>Cancer and dents in head?</t>
        </is>
      </c>
      <c r="C7810" t="inlineStr">
        <is>
          <t>My mom is going through chemo at the moment, she has bile duct cancer that has spread to her liver. She's late stage and going through some intense chemo. Recently we've found some dents? in her head? They're not that deep but definitely visible. Is this normal? Is this bad? Can anyone relate?</t>
        </is>
      </c>
      <c r="D7810" t="n">
        <v>1</v>
      </c>
      <c r="E7810" t="n">
        <v>1</v>
      </c>
      <c r="F7810">
        <f>HYPERLINK("https://www.reddit.com/r/cancer/comments/f5ic5y/cancer_and_dents_in_head/")</f>
        <v/>
      </c>
      <c r="G7810" t="inlineStr">
        <is>
          <t>2020-02-17 15:58:54</t>
        </is>
      </c>
      <c r="H7810" t="inlineStr"/>
    </row>
    <row r="7811">
      <c r="A7811" t="inlineStr">
        <is>
          <t>f5if3n</t>
        </is>
      </c>
      <c r="B7811" t="inlineStr">
        <is>
          <t>Can anyone give advice/experience witg clinical trials?</t>
        </is>
      </c>
      <c r="C7811" t="inlineStr">
        <is>
          <t>So today my dad has a scan and it showed progression of his lung Mets (stage 4 colorectal). Not a huge amount, but enough that his oncologist thinks it’s time for him to move off chemo (he’s been on it for 2 years) and try a clinical trial. This is just what I heard from my mom, who was at the appointment with my father. His oncologist is very knowledgeable in the area of clinical trials and it seems like my father trusts him. It looks like they are 2 options, though I don’t know details. I have no experience with clinical trials and don’t really know what to expect. I’d like to hear anyone’s experiences, both good and bad, going through them and any advice so I can be prepared for this next phase of my dad’s cancer journey.
Thanks!</t>
        </is>
      </c>
      <c r="D7811" t="n">
        <v>1</v>
      </c>
      <c r="E7811" t="n">
        <v>0</v>
      </c>
      <c r="F7811">
        <f>HYPERLINK("https://www.reddit.com/r/cancer/comments/f5if3n/can_anyone_give_adviceexperience_witg_clinical/")</f>
        <v/>
      </c>
      <c r="G7811" t="inlineStr">
        <is>
          <t>2020-02-17 16:04:41</t>
        </is>
      </c>
      <c r="H7811" t="inlineStr"/>
    </row>
    <row r="7812">
      <c r="A7812" t="inlineStr">
        <is>
          <t>f5iflo</t>
        </is>
      </c>
      <c r="B7812" t="inlineStr">
        <is>
          <t>Any advice/experience with Clinical Trials?</t>
        </is>
      </c>
      <c r="C7812" t="inlineStr">
        <is>
          <t>So today my dad has a scan and it showed progression of his lung Mets (stage 4 colorectal). Not a huge amount, but enough that his oncologist thinks it’s time for him to move off chemo (he’s been on it for 2 years) and try a clinical trial. This is just what I heard from my mom, who was at the appointment with my father. His oncologist is very knowledgeable in the area of clinical trials and it seems like my father trusts him. It looks like they are 2 options, though I don’t know details. I have no experience with clinical trials and don’t really know what to expect. I’d like to hear anyone’s experiences, both good and bad, going through them and any advice so I can be prepared for this next phase of my dad’s cancer journey.
Thanks!</t>
        </is>
      </c>
      <c r="D7812" t="n">
        <v>1</v>
      </c>
      <c r="E7812" t="n">
        <v>6</v>
      </c>
      <c r="F7812">
        <f>HYPERLINK("https://www.reddit.com/r/cancer/comments/f5iflo/any_adviceexperience_with_clinical_trials/")</f>
        <v/>
      </c>
      <c r="G7812" t="inlineStr">
        <is>
          <t>2020-02-17 16:05:45</t>
        </is>
      </c>
      <c r="H7812" t="inlineStr"/>
    </row>
    <row r="7813">
      <c r="A7813" t="inlineStr">
        <is>
          <t>f5j0mq</t>
        </is>
      </c>
      <c r="B7813" t="inlineStr">
        <is>
          <t>Metastasis to lymph nodes in the back?</t>
        </is>
      </c>
      <c r="C7813" t="inlineStr">
        <is>
          <t>First of all, *who knew we have lymph nodes in our back?*
I have stage IV cervical cancer that has spread to a cluster of nodes in my middle back. I thought it was a muscle injury until the CT, now I’m waiting to hear from my oncologists about what course of treatment is proposed. 
Just wondering if anyone has had tumors in their back, and if they have any tips for alleviating the pain. Baths help, as does exercise. I sleep mostly sitting up, which keeps me from waking up too much in the night. Anyone figured anything else out?
Thank you!</t>
        </is>
      </c>
      <c r="D7813" t="n">
        <v>1</v>
      </c>
      <c r="E7813" t="n">
        <v>1</v>
      </c>
      <c r="F7813">
        <f>HYPERLINK("https://www.reddit.com/r/cancer/comments/f5j0mq/metastasis_to_lymph_nodes_in_the_back/")</f>
        <v/>
      </c>
      <c r="G7813" t="inlineStr">
        <is>
          <t>2020-02-17 16:46:37</t>
        </is>
      </c>
      <c r="H7813" t="inlineStr"/>
    </row>
    <row r="7814">
      <c r="A7814" t="inlineStr">
        <is>
          <t>f5jial</t>
        </is>
      </c>
      <c r="B7814" t="inlineStr">
        <is>
          <t>Hi! I like reddit and I have cancer!</t>
        </is>
      </c>
      <c r="C7814" t="inlineStr">
        <is>
          <t>Trying to keep things on the light side, gotta laugh or you're gonna cry right? Not super stoked to be here, but happy to find somewhere to commiserate!
I am a stay at home mom to 2 boys, 7 and 1.5. My husband and I recently found a lump in my right breast. I was diagnosed on the  Feb. 3rd with IDC, grade 3. I have six tumors that have been mapped, at 1, 2, 3, 3, 6, and 11 o'clock. My largest spot is 1.9mm x 1.9mm, which turned out to be the one my husband and I found. I am er/pr neg and HER2+.
My breast surgeon and oncologist recommend chemotherapy first, followed by a mastectomy, radiation and finally reconstruction. She said because of how many locations were present she would be unable to do a lumpcectomy. I went to genetics to be tested to see if I have increased risk in my other breast. At this point though, I'm on the fence about a double mastectomy. I don't want to do any of this again if it can be helped.
I've had my MRI , bone scan, CT scans. MRI turned up a suspicious lypmh node in my sideboob area, so I had to have that biopsied last Friday (wtf dude that hurt so much!). The other breast is supposedly "clear". I'm praying to the universe that my other scans come up clean. 
All right, now that the serious stuff is out of the way, I enjoy Harry Potter anything, I'm a Hufflepuff! I enjoy baking, cooking, and playing classic WoW when I am not wrangling little ones. I look forward to hearing about your journeys and sharing mine.</t>
        </is>
      </c>
      <c r="D7814" t="n">
        <v>1</v>
      </c>
      <c r="E7814" t="n">
        <v>20</v>
      </c>
      <c r="F7814">
        <f>HYPERLINK("https://www.reddit.com/r/cancer/comments/f5jial/hi_i_like_reddit_and_i_have_cancer/")</f>
        <v/>
      </c>
      <c r="G7814" t="inlineStr">
        <is>
          <t>2020-02-17 17:22:15</t>
        </is>
      </c>
      <c r="H7814" t="inlineStr"/>
    </row>
    <row r="7815">
      <c r="A7815" t="inlineStr">
        <is>
          <t>f5kqel</t>
        </is>
      </c>
      <c r="B7815" t="inlineStr">
        <is>
          <t>Getting a CT scan soon for swollen lymph nodes, 18 year old male</t>
        </is>
      </c>
      <c r="C7815" t="inlineStr">
        <is>
          <t>Hello, I have had swollen lymph nodes throughout my neck for a while, or at least what I perceive to be swollen because I can feel them easily, and they feel large. At first, I just noticed some on either side of my neck right under my jawline. I went to an ENT, got bloodwork for all types of diseases, all negative. CBC was normal. I got an ultrasound on just the two that I was aware of at first, and it was normal.
Over time I began noticing more. Ones on either side of my neck (visible), on the back of my head, under my chin, in my neck near my throat, even sometimes some in my collarbone. I got another appointment and the ENT acknowledged many of them, telling the nurse which ones she could feel. I happened to be sick at the time (but they were swollen before) so she gave me antibiotics to see if they would help bring them down, and scheduled another appointment in a month. 
At the next appointment, she still felt them. She told me she wasn’t very concerned because most of them she could feel on both sides, but she decided to order a CT scan. The scan is in a few days. I was wondering if anybody here has experienced anything similar. Aside from the lymph nodes, I have night sweats sometimes that dampen my bed sheets, even leaving a stain/imprint at one point. I sometimes feel uncomfortable or slightly painful sensations around my stomach area. And I sometimes get pain in the nodes after consuming alcohol from the occasional drink I have. Thanks in advance for the help.</t>
        </is>
      </c>
      <c r="D7815" t="n">
        <v>1</v>
      </c>
      <c r="E7815" t="n">
        <v>1</v>
      </c>
      <c r="F7815">
        <f>HYPERLINK("https://www.reddit.com/r/cancer/comments/f5kqel/getting_a_ct_scan_soon_for_swollen_lymph_nodes_18/")</f>
        <v/>
      </c>
      <c r="G7815" t="inlineStr">
        <is>
          <t>2020-02-17 18:49:51</t>
        </is>
      </c>
      <c r="H7815" t="inlineStr"/>
    </row>
    <row r="7816">
      <c r="A7816" t="inlineStr">
        <is>
          <t>f5mcqr</t>
        </is>
      </c>
      <c r="B7816" t="inlineStr">
        <is>
          <t>Stage IV breast cancer metastasized to 80-90 % of liver. What should I expect and how can I help my loved one?</t>
        </is>
      </c>
      <c r="C7816" t="inlineStr">
        <is>
          <t>My 83 year old grandmother is starting chemo (taxol) despite the doctors telling her she’ll need a miracle and that the symptoms could likely make her feel worse . The doctors first noticed 2 small lesions on her liver in September 2019. Those lesions did not grow or change between then and January 9th 2020. She was admitted into the hospital for gastroenteritis and low sodium levels. Her doctors assured us that it had nothing to do with her cancer as her liver was fine and barely affected. After confusing her team of Doctors decided to take another look at her liver. Today they informed us that 80-90% of her liver is covered in cancerous tumors. I know the prognosis is not good. What can I possibly do to make her comfortable or relieve any of her pain during this terrible time?</t>
        </is>
      </c>
      <c r="D7816" t="n">
        <v>1</v>
      </c>
      <c r="E7816" t="n">
        <v>1</v>
      </c>
      <c r="F7816">
        <f>HYPERLINK("https://www.reddit.com/r/cancer/comments/f5mcqr/stage_iv_breast_cancer_metastasized_to_8090_of/")</f>
        <v/>
      </c>
      <c r="G7816" t="inlineStr">
        <is>
          <t>2020-02-17 20:53:51</t>
        </is>
      </c>
      <c r="H7816" t="inlineStr"/>
    </row>
    <row r="7817">
      <c r="A7817" t="inlineStr">
        <is>
          <t>f5mdq5</t>
        </is>
      </c>
      <c r="B7817" t="inlineStr">
        <is>
          <t>Can PET scan rule out cancer?</t>
        </is>
      </c>
      <c r="C7817" t="inlineStr">
        <is>
          <t>My PET scan only showed abnormal metabolic activity in my spleen. Can I therefore conclude that I don't have cancer in other places, like my stomach for example? Assume CT scan hasn't shown any lesions either.</t>
        </is>
      </c>
      <c r="D7817" t="n">
        <v>1</v>
      </c>
      <c r="E7817" t="n">
        <v>10</v>
      </c>
      <c r="F7817">
        <f>HYPERLINK("https://www.reddit.com/r/cancer/comments/f5mdq5/can_pet_scan_rule_out_cancer/")</f>
        <v/>
      </c>
      <c r="G7817" t="inlineStr">
        <is>
          <t>2020-02-17 20:56:02</t>
        </is>
      </c>
      <c r="H7817" t="inlineStr"/>
    </row>
    <row r="7818">
      <c r="A7818" t="inlineStr">
        <is>
          <t>f5mgly</t>
        </is>
      </c>
      <c r="B7818" t="inlineStr">
        <is>
          <t>The waiting is the hardest part for me. What can I do to keep busy?</t>
        </is>
      </c>
      <c r="C7818" t="inlineStr">
        <is>
          <t>I just had a triple breast core needle biopsy (in a lump, in an area of calcification, and a lymph node in the the armpit), what can I do to make the wait for results less daunting? What did you find helpful during the wait? Did you join any support groups?</t>
        </is>
      </c>
      <c r="D7818" t="n">
        <v>1</v>
      </c>
      <c r="E7818" t="n">
        <v>9</v>
      </c>
      <c r="F7818">
        <f>HYPERLINK("https://www.reddit.com/r/cancer/comments/f5mgly/the_waiting_is_the_hardest_part_for_me_what_can_i/")</f>
        <v/>
      </c>
      <c r="G7818" t="inlineStr">
        <is>
          <t>2020-02-17 21:02:24</t>
        </is>
      </c>
      <c r="H7818" t="inlineStr"/>
    </row>
    <row r="7819">
      <c r="A7819" t="inlineStr">
        <is>
          <t>f5oxqm</t>
        </is>
      </c>
      <c r="B7819" t="inlineStr">
        <is>
          <t>How do you cope with waiting in between results, and in general?</t>
        </is>
      </c>
      <c r="C7819" t="inlineStr">
        <is>
          <t>Hi 27/f just diagnosed with a large liver tumor that is suspected to be cancerous. I currently live overseas but have to be medevaced back to the US due to this diagnosis. I literally don’t know what to do with myself right now. Today has been exhausting between dealing with the news, finding that I won’t be able to even pack my stuff before getting sent home, and absolutely everything being up in the air. The doctor was unable to give me a timeline of when I’ll be medevaced out so I don’t even know exactly when I’m leaving, just that it’s going to be soon. Once I fly back I’m going straight to a hospital who has an oncologist on staff. Which hospital that is, I have no idea. I have no answers for my family and no answers for myself and am completely alone in a foreign country as my husband is deployed. How do you cope with this? How do you stay positive? All I can think about right now is that I’m running out of time and I literally have no idea what to do with myself. Today has been the shittiest day I’ve ever had and I just can’t find anything to help comfort myself.</t>
        </is>
      </c>
      <c r="D7819" t="n">
        <v>1</v>
      </c>
      <c r="E7819" t="n">
        <v>1</v>
      </c>
      <c r="F7819">
        <f>HYPERLINK("https://www.reddit.com/r/cancer/comments/f5oxqm/how_do_you_cope_with_waiting_in_between_results/")</f>
        <v/>
      </c>
      <c r="G7819" t="inlineStr">
        <is>
          <t>2020-02-18 00:56:59</t>
        </is>
      </c>
      <c r="H7819" t="inlineStr"/>
    </row>
    <row r="7820">
      <c r="A7820" t="inlineStr">
        <is>
          <t>f5qezh</t>
        </is>
      </c>
      <c r="B7820" t="inlineStr">
        <is>
          <t>BRCA and fanconi anemia?</t>
        </is>
      </c>
      <c r="C7820" t="inlineStr">
        <is>
          <t>Hello, 24 years old male here
After a genetic test (because my mom got Brest cancer at a young age) they found 2 VUS on BRCA 1 BRCA 2 :
BRCA1
c.-106C&amp;gt;G
Variant of Uncertain Significance
Zygosity: Heterozygous
BRCA2
c.9794G&amp;gt;A (p.Cys3265Tyr)
Variant of Uncertain Significance
Zygosity: Heterozygous
Other gene like p53, chek2, cdkn2a atm etc... Are fine 
In case these variant are found to be pathogenic, will I be considered as Fanconi anemic?</t>
        </is>
      </c>
      <c r="D7820" t="n">
        <v>1</v>
      </c>
      <c r="E7820" t="n">
        <v>0</v>
      </c>
      <c r="F7820">
        <f>HYPERLINK("https://www.reddit.com/r/cancer/comments/f5qezh/brca_and_fanconi_anemia/")</f>
        <v/>
      </c>
      <c r="G7820" t="inlineStr">
        <is>
          <t>2020-02-18 03:30:34</t>
        </is>
      </c>
      <c r="H7820" t="inlineStr"/>
    </row>
    <row r="7821">
      <c r="A7821" t="inlineStr">
        <is>
          <t>f5r7nh</t>
        </is>
      </c>
      <c r="B7821" t="inlineStr">
        <is>
          <t>BRCA and Fanconi anemia?</t>
        </is>
      </c>
      <c r="C7821" t="inlineStr">
        <is>
          <t>Hello, 24 years old male here
After a genetic test (because my mom got Brest cancer at a young age) they found 2 VUS on BRCA 1 BRCA 2 :
BRCA1
c.-106C&amp;gt;G
Variant of Uncertain Significance
Zygosity: Heterozygous
BRCA2
c.9794G&amp;gt;A (p.Cys3265Tyr)
Variant of Uncertain Significance
Zygosity: Heterozygous
Other gene like p53, chek2, cdkn2a atm etc... Are fine 
In case these variant are found to be pathogenic, will I be considered as Fanconi anemic?</t>
        </is>
      </c>
      <c r="D7821" t="n">
        <v>1</v>
      </c>
      <c r="E7821" t="n">
        <v>1</v>
      </c>
      <c r="F7821">
        <f>HYPERLINK("https://www.reddit.com/r/cancer/comments/f5r7nh/brca_and_fanconi_anemia/")</f>
        <v/>
      </c>
      <c r="G7821" t="inlineStr">
        <is>
          <t>2020-02-18 04:41:51</t>
        </is>
      </c>
      <c r="H7821" t="inlineStr"/>
    </row>
    <row r="7822">
      <c r="A7822" t="inlineStr">
        <is>
          <t>f5rabv</t>
        </is>
      </c>
      <c r="B7822" t="inlineStr">
        <is>
          <t>What helped with your nausea</t>
        </is>
      </c>
      <c r="C7822" t="inlineStr">
        <is>
          <t>I tried a lot of meds but nothing seems to be working</t>
        </is>
      </c>
      <c r="D7822" t="n">
        <v>1</v>
      </c>
      <c r="E7822" t="n">
        <v>36</v>
      </c>
      <c r="F7822">
        <f>HYPERLINK("https://www.reddit.com/r/cancer/comments/f5rabv/what_helped_with_your_nausea/")</f>
        <v/>
      </c>
      <c r="G7822" t="inlineStr">
        <is>
          <t>2020-02-18 04:48:17</t>
        </is>
      </c>
      <c r="H7822" t="inlineStr"/>
    </row>
    <row r="7823">
      <c r="A7823" t="inlineStr">
        <is>
          <t>f5rhvr</t>
        </is>
      </c>
      <c r="B7823" t="inlineStr">
        <is>
          <t>Searching for hope and inspiration online for DIPG........ but there isn't any. Found this instead and wanted to spread awareness. Please help find a cure...</t>
        </is>
      </c>
      <c r="C7823" t="inlineStr">
        <is>
          <t>&amp;amp;#x200B;
https://preview.redd.it/7c3offnljoh41.jpg?width=236&amp;amp;format=pjpg&amp;amp;auto=webp&amp;amp;s=dd8f25588c0c95db3030a8498639957ca0841af2</t>
        </is>
      </c>
      <c r="D7823" t="n">
        <v>1</v>
      </c>
      <c r="E7823" t="n">
        <v>0</v>
      </c>
      <c r="F7823">
        <f>HYPERLINK("https://www.reddit.com/r/cancer/comments/f5rhvr/searching_for_hope_and_inspiration_online_for/")</f>
        <v/>
      </c>
      <c r="G7823" t="inlineStr">
        <is>
          <t>2020-02-18 05:04:59</t>
        </is>
      </c>
      <c r="H7823" t="inlineStr"/>
    </row>
    <row r="7824">
      <c r="A7824" t="inlineStr">
        <is>
          <t>f5u2t9</t>
        </is>
      </c>
      <c r="B7824" t="inlineStr">
        <is>
          <t>My mom is a god damn warrior</t>
        </is>
      </c>
      <c r="C7824" t="inlineStr">
        <is>
          <t>My mother is the most dependable, strongest, caring person I will ever know an I just want to rant about her greatness. 
She raised myself an my four brothers on her own working a relentless job for a nonprofit organization that provided aid for the deaf. 
For 20 years she worked this job giving all she had to her clients, while trying to handle 5 wild boys( imagine Malcolm in the middle, that was us without the dad). 
My mom also has metropaulsy an would have episodes of numbness in her body. I can remember her picking me and my brothers up from school, barely being able to walk dragging one leg along. It didn’t matter what she was going through she would push through to get us an her clients taken care of. Fucking warrior!
A few years back the president of this organization was found to be embezzling money, and was fired. Instead of finding a new president they gave my mom the position while also keeping her in her current position of providing housing to underprivileged clients as well as scheduling interpreting services and  a hundred other duties. 
She worked these 2 jobs keeping the company afloat for years until one day the organization decided to go a different direction and fired her, a lot of bureaucracy went into this but basically they blamed her for inadequacy in her duties. She was running the whole damn organization an they made her a scape goat, in reality they wanted to create a new look which would bring in younger clientele. 
The organization started to evict elderly clients as well as mentally challenged people my mom would provide housing to. She didn’t care if they were deaf, if they needed somewhere to stay and aid she provided service. 
The 1st 6 months of my mother’s unemployment was spent finding housing and services for the clients that were being removed from their housing. She did this for no pay, just out of the goodness of her heart not being able so see people left out in the cold like that. 
She now has a job interpreting for deaf students and still has 30 former clients that she does monthly check ins with an helps set up services, again just because she can’t let the world abandon them. 
Then a year ago she was diagnosed with stage 3 breast cancer. She kept it secret for months not wanting to upset our family but finally it became too much for her to handle alone. 
I remember the day she told me, I was in shock, she is the strongest person I’ve ever met an I couldn’t believe if there was a god he could do this to somebody who was so giving. 
I lost it an started crying my eyes out, I couldn’t imagine life without her, an this champion wrapped me in her arms and told me everything was going to be fine. 
She has life threatening cancer an still somehow she’s the one being strong for me, a now 28 year old supposed to be man. 
An she hit the ground running, started eating healthy fixing her diet and working out just to get her body that bit stronger. 
She kept working through her chemo an radiation, she would interpret for students in the morning, go to her appointment and even often times return to work. 
She would send us pictures of her at her appointments with captions such as “I don’t know why they have to pump this koolaid into me, I d willingly drink it”.
She would talk about how the kids at the high school where she worked would mess with her about her Whig an how she would take it off to scare them some times, or wear it backwards to get a laugh. 
She would take her Whig off an take selfies with her students using snapchat filters to give her different hair dos. 
Even through all the treatments and pain an trauma I never once saw her break. She kept pushing as hard as she always had an refused to loose her sense of humor. She somehow even got funnier. 
Finally the day for surgery came, she had a double mastectomy. 
We all walked into her room, she’s lying there looking frail, fragile, loopy. Her 1st fricking words to us where “ hey i know them, those noses look familiar” we all have her nose. 
I sat silently in a corner having trouble handling the situation, an this woman looks at me an says “ how are you?”
What the hell!? How am I? You just had this insane surgery an have dealt with so much an you’re asking how I am! 
A couple days later my mom is released from the hospital, within a week she’s complaining that they won’t let her go back to work! 
This was about 5 months ago now. 
She continues with her radiation treatment with the same demeanor an strength that she’s always had. 
Works full time as well as over time, still visits her former clients, still laughs an jokes an let’s my niece paint her toes where the nails used to be. 
Still takes care of me as if I was a kid, I recently had the flu an just sent a message to her saying I’m not feeling well. Within an hour she’s at my apartment with a care package of usual sick items an a list of near bye doctors who provide affordable pricing if you don’t have insurance. 
I can never fully explain what a wonderful woman my mom is, there are thousands of moments where she when’s above an beyond what I expected a human to be capable of. 
She is beyond what I could ever aspire to be, she’s a fucking hero an I want the whole world to know that she is the type of person that legends are made of. 
Thank you to anyone who read this, it’s my 1st outlet of any of these feelings an I just wanted to share some of my stories of how great she is</t>
        </is>
      </c>
      <c r="D7824" t="n">
        <v>1</v>
      </c>
      <c r="E7824" t="n">
        <v>15</v>
      </c>
      <c r="F7824">
        <f>HYPERLINK("https://www.reddit.com/r/cancer/comments/f5u2t9/my_mom_is_a_god_damn_warrior/")</f>
        <v/>
      </c>
      <c r="G7824" t="inlineStr">
        <is>
          <t>2020-02-18 08:11:22</t>
        </is>
      </c>
      <c r="H7824" t="inlineStr"/>
    </row>
    <row r="7825">
      <c r="A7825" t="inlineStr">
        <is>
          <t>f5uipp</t>
        </is>
      </c>
      <c r="B7825" t="inlineStr">
        <is>
          <t>A wild rollercoaster ride, and now it seems to de-rail</t>
        </is>
      </c>
      <c r="C7825" t="inlineStr">
        <is>
          <t>Just wanted to get this story of my chest.
1.5 years ago my dad got diagnosed with colon cancer, it had already spread to his liver. Doctors told him that he wouldn't recover. 
Chemo started, and he reacted pretty well. So good even that the doctors did decide to operate. The removed the tumor from is colon and they cut one of the lumbs of the liver.
He was pretty sick for a while. He only had a half liver and the chemo cause an infection on the good part of the liver. Beating the cancer was an option now, but not guaranteed. That was almost a year ago now. 
Two weeks ago, during a checkup they discovered new spots on the liver, and a tiny spot on the lungs. This wasn't good news according the doctor, if things returned this fast they would probably keep returning.   
For the second time my dad got to hear that he wouldn't beat the cancer.
After this news there were two options: controlling it with chemo or removing it with an operation. Maybe even both were impossible. The chemo would be hard on a weakened liver. An operation would be as hard.
But we got some good news, a new machine was arriving from Switzerland (we're in Belgium) and a team would train the people at the hospital. This was good news because the machine is some kind of robot that could precisely burn the affected area away.
Everything was checked with a PET and MRI and the green light was given. Next week would be an operation to the lung, next month the liver. We were relieved, because at least the cancer that was there would be removed.
Now about a week later we got a phone call, other doctors looked at the MRI and said that operating it was not possible. And I just don't know how to react to it.</t>
        </is>
      </c>
      <c r="D7825" t="n">
        <v>1</v>
      </c>
      <c r="E7825" t="n">
        <v>3</v>
      </c>
      <c r="F7825">
        <f>HYPERLINK("https://www.reddit.com/r/cancer/comments/f5uipp/a_wild_rollercoaster_ride_and_now_it_seems_to/")</f>
        <v/>
      </c>
      <c r="G7825" t="inlineStr">
        <is>
          <t>2020-02-18 08:39:41</t>
        </is>
      </c>
      <c r="H7825" t="inlineStr"/>
    </row>
    <row r="7826">
      <c r="A7826" t="inlineStr">
        <is>
          <t>f5vbvw</t>
        </is>
      </c>
      <c r="B7826" t="inlineStr">
        <is>
          <t>what can I do to make her feel better</t>
        </is>
      </c>
      <c r="C7826" t="inlineStr">
        <is>
          <t>my teacher was diagnosed with breast cancer (early stage) for the second time in the last 5 years and next week will be the last that she's with my class, I really want to do something for her but I don't know what she likes. she also doesn't like being the center of attention and having people feeling sorry for her. what kind gesture can I do for her that won't make her feel bad about herself?</t>
        </is>
      </c>
      <c r="D7826" t="n">
        <v>1</v>
      </c>
      <c r="E7826" t="n">
        <v>4</v>
      </c>
      <c r="F7826">
        <f>HYPERLINK("https://www.reddit.com/r/cancer/comments/f5vbvw/what_can_i_do_to_make_her_feel_better/")</f>
        <v/>
      </c>
      <c r="G7826" t="inlineStr">
        <is>
          <t>2020-02-18 09:29:14</t>
        </is>
      </c>
      <c r="H7826" t="inlineStr"/>
    </row>
    <row r="7827">
      <c r="A7827" t="inlineStr">
        <is>
          <t>f5xora</t>
        </is>
      </c>
      <c r="B7827" t="inlineStr">
        <is>
          <t>Please help! I don’t want to get lost in the cracks...</t>
        </is>
      </c>
      <c r="C7827" t="inlineStr">
        <is>
          <t>Does anyone know how long it should take for an urgent biopsy referral to be scheduled? I’m really not doing well and I’m afraid 2 weeks away is too long...</t>
        </is>
      </c>
      <c r="D7827" t="n">
        <v>1</v>
      </c>
      <c r="E7827" t="n">
        <v>7</v>
      </c>
      <c r="F7827">
        <f>HYPERLINK("https://www.reddit.com/r/cancer/comments/f5xora/please_help_i_dont_want_to_get_lost_in_the_cracks/")</f>
        <v/>
      </c>
      <c r="G7827" t="inlineStr">
        <is>
          <t>2020-02-18 11:58:07</t>
        </is>
      </c>
      <c r="H7827" t="inlineStr"/>
    </row>
    <row r="7828">
      <c r="A7828" t="inlineStr">
        <is>
          <t>f5yrup</t>
        </is>
      </c>
      <c r="B7828" t="inlineStr">
        <is>
          <t>Should I leave Canada and return home for diagnosis?</t>
        </is>
      </c>
      <c r="C7828" t="inlineStr">
        <is>
          <t>Hi all,
So, the background story:
I moved over to Canada back in August from the UK. and I have been having an amazing time so far! Canada is a very beautiful place and I'm very happy to call Ontario my home for now.
However, I recently discovered a lump in my neck, and the other day, I found another one. The first one is quite hard, and if you were to feel behind the lump, it's definitely connected to something, perhaps a lymph node. The other is a little smaller, but still noticable.
All of this is in addition to some skin discolouration I'm experiencing down there on the tip of my penis. I've been tested for all the STDs and had negative results for all tests.
And previously, I had a small red patch on my shin, which, after a biopsy, was diagnosed as possible mild dermatitis or probably a low degree eczema.
I am thinking this is all related and I have Bowens disease, and was possibly misdiagnosed with the biopsy.
Problem is, I have no health insurance in Canada, and only emergency insurance that I needed as part of my visa application. This does not cover me for doctor visits but only serious emergency visits and repatriation.
Moreover, I have only been working full time for 3.5 months. I do not have access to OHIP because of this, and I dont really know what to do.
Is it worth staying in Canada for another 3-4 months whilst I wait for OHIP, or would it be best to just leave asap and go and get seen/treated in the UK?
I've come all the way here, and I don't want to give up on Canada just yet, but I think my health should be my priority. Does anyone have any recommendations on what to do, or is there an avenue that I haven't explored yet? Should I just pack it in and go home, or is there something else I can do?
Many thanks in advance!</t>
        </is>
      </c>
      <c r="D7828" t="n">
        <v>1</v>
      </c>
      <c r="E7828" t="n">
        <v>5</v>
      </c>
      <c r="F7828">
        <f>HYPERLINK("https://www.reddit.com/r/cancer/comments/f5yrup/should_i_leave_canada_and_return_home_for/")</f>
        <v/>
      </c>
      <c r="G7828" t="inlineStr">
        <is>
          <t>2020-02-18 13:06:13</t>
        </is>
      </c>
      <c r="H7828" t="inlineStr"/>
    </row>
    <row r="7829">
      <c r="A7829" t="inlineStr">
        <is>
          <t>f5zmla</t>
        </is>
      </c>
      <c r="B7829" t="inlineStr">
        <is>
          <t>I have Hodgkin's lymphoma, stage 3 and starting chemo March 2nd</t>
        </is>
      </c>
      <c r="C7829" t="inlineStr">
        <is>
          <t>Found out mid January that i had Hodgkin's lymphoma after about a year of spaced out tests. I get my chemo port this Monday and start March 2nd, the first week is going to be the worst with getting chemo for 5 days in a row then every Monday. I have pretty much no idea what to expect so anyone who has gone though this or similar your input and suggestions would be super appreciated on what to expect and maybe things to help prepare. 
Obligatory sorry for formating as on mobile and fuck cancer</t>
        </is>
      </c>
      <c r="D7829" t="n">
        <v>1</v>
      </c>
      <c r="E7829" t="n">
        <v>22</v>
      </c>
      <c r="F7829">
        <f>HYPERLINK("https://www.reddit.com/r/cancer/comments/f5zmla/i_have_hodgkins_lymphoma_stage_3_and_starting/")</f>
        <v/>
      </c>
      <c r="G7829" t="inlineStr">
        <is>
          <t>2020-02-18 13:59:41</t>
        </is>
      </c>
      <c r="H7829" t="inlineStr"/>
    </row>
    <row r="7830">
      <c r="A7830" t="inlineStr">
        <is>
          <t>f61e5t</t>
        </is>
      </c>
      <c r="B7830" t="inlineStr">
        <is>
          <t>Grandmother diagnosed with cancer - how is treatment different?</t>
        </is>
      </c>
      <c r="C7830" t="inlineStr">
        <is>
          <t>My grandmother was first diagnosed with breast cancer in the early 2000s, went through treatment and had been fine all these years.
Recently I found out that a spot near her ribs was biopsied and is breast cancer, so as I understand it, that makes it stage 4 MBC?
She’s 81 years old and I suppose I’m wondering about treatment and prognosis. I’m trying to keep myself numb emotionally and just look at the facts - I understand she’s 81 and yes it’s a good long life and that her body may be too weak for treatment and it may not do any good. 
I’m really scared though. If the doctors decide treatment isn’t recommended due to her age, I’d expect things to decline really quickly. Don’t know how to handle that.
Anyone else been in this situation?</t>
        </is>
      </c>
      <c r="D7830" t="n">
        <v>1</v>
      </c>
      <c r="E7830" t="n">
        <v>4</v>
      </c>
      <c r="F7830">
        <f>HYPERLINK("https://www.reddit.com/r/cancer/comments/f61e5t/grandmother_diagnosed_with_cancer_how_is/")</f>
        <v/>
      </c>
      <c r="G7830" t="inlineStr">
        <is>
          <t>2020-02-18 15:51:35</t>
        </is>
      </c>
      <c r="H7830" t="inlineStr"/>
    </row>
    <row r="7831">
      <c r="A7831" t="inlineStr">
        <is>
          <t>f62p5y</t>
        </is>
      </c>
      <c r="B7831" t="inlineStr">
        <is>
          <t>Immunotherapy not covered by insurance</t>
        </is>
      </c>
      <c r="C7831" t="inlineStr">
        <is>
          <t>This is short, I apologise. 
Immunotherapy has been denied by insurance. James hospital is looking into possibly helping provide finances. 
Any suggestions? I'm willing to hear anything. 
For relevancy, I'm located in Columbus, Ohio.</t>
        </is>
      </c>
      <c r="D7831" t="n">
        <v>1</v>
      </c>
      <c r="E7831" t="n">
        <v>9</v>
      </c>
      <c r="F7831">
        <f>HYPERLINK("https://www.reddit.com/r/cancer/comments/f62p5y/immunotherapy_not_covered_by_insurance/")</f>
        <v/>
      </c>
      <c r="G7831" t="inlineStr">
        <is>
          <t>2020-02-18 17:20:42</t>
        </is>
      </c>
      <c r="H7831" t="inlineStr"/>
    </row>
    <row r="7832">
      <c r="A7832" t="inlineStr">
        <is>
          <t>f62v4k</t>
        </is>
      </c>
      <c r="B7832" t="inlineStr">
        <is>
          <t>Has anyone with large b cell non hodgkin's lymphoma gotten pregnant after treatment?</t>
        </is>
      </c>
      <c r="C7832" t="inlineStr">
        <is>
          <t>cyclophosphamide, doxorubicin, vincristine, and prednisone were my drugs. My parents weren't honest about the side effects at all so I'm looking for some help here.</t>
        </is>
      </c>
      <c r="D7832" t="n">
        <v>1</v>
      </c>
      <c r="E7832" t="n">
        <v>0</v>
      </c>
      <c r="F7832">
        <f>HYPERLINK("https://www.reddit.com/r/cancer/comments/f62v4k/has_anyone_with_large_b_cell_non_hodgkins/")</f>
        <v/>
      </c>
      <c r="G7832" t="inlineStr">
        <is>
          <t>2020-02-18 17:32:22</t>
        </is>
      </c>
      <c r="H7832" t="inlineStr"/>
    </row>
    <row r="7833">
      <c r="A7833" t="inlineStr">
        <is>
          <t>f638k4</t>
        </is>
      </c>
      <c r="B7833" t="inlineStr">
        <is>
          <t>Hello im a bit scared for my brother and I need to know about the black line in a nail</t>
        </is>
      </c>
      <c r="C7833" t="inlineStr">
        <is>
          <t>He has had a little black line, more like brown in his hail and he is 14 years old. He has months with it already and hasn't changed or anything. This is his nail:  [https://scontent.fhex4-1.fna.fbcdn.net/v/t1.15752-9/86295627\_803292710191012\_929548450339487744\_n.jpg?\_nc\_cat=102&amp;amp;\_nc\_ohc=naR31TuZMtgAX9eggcB&amp;amp;\_nc\_ht=scontent.fhex4-1.fna&amp;amp;oh=85f492fba620455a6778330b21f8e339&amp;amp;oe=5EF8BFFD](https://scontent.fhex4-1.fna.fbcdn.net/v/t1.15752-9/86295627_803292710191012_929548450339487744_n.jpg?_nc_cat=102&amp;amp;_nc_ohc=naR31TuZMtgAX9eggcB&amp;amp;_nc_ht=scontent.fhex4-1.fna&amp;amp;oh=85f492fba620455a6778330b21f8e339&amp;amp;oe=5EF8BFFD)</t>
        </is>
      </c>
      <c r="D7833" t="n">
        <v>1</v>
      </c>
      <c r="E7833" t="n">
        <v>0</v>
      </c>
      <c r="F7833">
        <f>HYPERLINK("https://www.reddit.com/r/cancer/comments/f638k4/hello_im_a_bit_scared_for_my_brother_and_i_need/")</f>
        <v/>
      </c>
      <c r="G7833" t="inlineStr">
        <is>
          <t>2020-02-18 17:58:41</t>
        </is>
      </c>
      <c r="H7833" t="inlineStr"/>
    </row>
    <row r="7834">
      <c r="A7834" t="inlineStr">
        <is>
          <t>f63k8u</t>
        </is>
      </c>
      <c r="B7834" t="inlineStr">
        <is>
          <t>2 years ago today</t>
        </is>
      </c>
      <c r="C7834" t="inlineStr">
        <is>
          <t>2 years ago today my father was diagnosed with the rare cancer hodgkin's lymphoma. He was in the hospital for 3 weeks before a formal diagnosis came out but when we found out what cancer it was our family went through a rollercoaster of emotions. We knew it was cancer a day before we knew it was specifically hodgkin's lymphoma. It was a shock. Things lightened up a lot when we found out it was hodgkin's lymphoma because of the survivability rate of the disease and how he was almost guaranteed to live. About 16 months ago he finished chemo. He has changed as anyone who went through a traumatic event such as this would but hes still my dad, and I still love him. I have a picture of his formal diagnosis but I dont know how to attach that if possible. 
Thanks for kicking on dad u/HalfADozenOfAnother.</t>
        </is>
      </c>
      <c r="D7834" t="n">
        <v>1</v>
      </c>
      <c r="E7834" t="n">
        <v>0</v>
      </c>
      <c r="F7834">
        <f>HYPERLINK("https://www.reddit.com/r/cancer/comments/f63k8u/2_years_ago_today/")</f>
        <v/>
      </c>
      <c r="G7834" t="inlineStr">
        <is>
          <t>2020-02-18 18:21:35</t>
        </is>
      </c>
      <c r="H7834" t="inlineStr"/>
    </row>
    <row r="7835">
      <c r="A7835" t="inlineStr">
        <is>
          <t>f65i79</t>
        </is>
      </c>
      <c r="B7835" t="inlineStr">
        <is>
          <t>Cancer and relationships</t>
        </is>
      </c>
      <c r="C7835" t="inlineStr">
        <is>
          <t>My boyfriends mother got diagnosed with stage 4 lung cancer in October. My boyfriend has been pretty quiet about it but I’ve done everything I could to be there for him, emotionally and physically (spending time etc). I can’t count the amount of hours I’d spend in the hospital parking lot or waiting room. I’d take him to the hospital after work to go see his mother because he was too drunk to drive (not hammered just enough above the legal limit). He wouldn’t want me there all the time, as some days were worse than others for her, but it didn’t matter. He’d always feel bad for making me spend 4-5 hours after an 8-10 hour work day just entertaining myself but I did my best to keep myself entertained and not come across as bored. I didn’t want to be there. I didn’t want to see him cry. I didn’t want to see the woman I just met for the first time over the summer dying. Yet, I still went. Was I happy with him? No. Was drinking the only way he knew how to cope? At the time, yes. 
Now, he tells me his mother is nearing the end of her life, and he’s making final arrangements along with his family. I’m just worried as to how this will affect our relationship. I’m worried that he will see me in a negative light, that he’ll look at me and think of his mother. I know it’ll take a while to move on and that’s ok. I want to be there. I’m just worried he’ll push me away after she passes and with no one else in his life at the moment (as he pushed everyone away but me and his sister) he’ll just spiral. I don’t want to come off selfish, I just... I don’t know. I feel like I’m overreacting and being selfish right now, but I really love him. I personally never went through a loss let alone cancer in my life so this is all new to me. Will my boyfriend push me away? What do I do once she passes? Do I smother him despite him pushing if he does? Do I give him space? How much space? Will he look at me and regret the seconds he spent with me instead of his dying mother?</t>
        </is>
      </c>
      <c r="D7835" t="n">
        <v>1</v>
      </c>
      <c r="E7835" t="n">
        <v>1</v>
      </c>
      <c r="F7835">
        <f>HYPERLINK("https://www.reddit.com/r/cancer/comments/f65i79/cancer_and_relationships/")</f>
        <v/>
      </c>
      <c r="G7835" t="inlineStr">
        <is>
          <t>2020-02-18 20:46:16</t>
        </is>
      </c>
      <c r="H7835" t="inlineStr"/>
    </row>
    <row r="7836">
      <c r="A7836" t="inlineStr">
        <is>
          <t>f66mmv</t>
        </is>
      </c>
      <c r="B7836" t="inlineStr">
        <is>
          <t>chemo patients</t>
        </is>
      </c>
      <c r="C7836" t="inlineStr">
        <is>
          <t>Do your pubes also fall out or just your head hair?</t>
        </is>
      </c>
      <c r="D7836" t="n">
        <v>1</v>
      </c>
      <c r="E7836" t="n">
        <v>16</v>
      </c>
      <c r="F7836">
        <f>HYPERLINK("https://www.reddit.com/r/cancer/comments/f66mmv/chemo_patients/")</f>
        <v/>
      </c>
      <c r="G7836" t="inlineStr">
        <is>
          <t>2020-02-18 22:23:21</t>
        </is>
      </c>
      <c r="H7836" t="inlineStr"/>
    </row>
    <row r="7837">
      <c r="A7837" t="inlineStr">
        <is>
          <t>f69w2s</t>
        </is>
      </c>
      <c r="B7837" t="inlineStr">
        <is>
          <t>My mum has stage 4 Lung Cancer and I don’t know if I should give up work</t>
        </is>
      </c>
      <c r="C7837" t="inlineStr">
        <is>
          <t>Hi, just looking for some advise around this.
My mum (57) was diagnosed with stage 4 lung cancer (she’s terminally ill) last September. It was a massive shock to me (f23) and the rest of the family (I’m married, I have an older brother and a couple of aunties, my mums sisters. My dad is around but is divorced from mum).
I went with my mum to the hospital the day we found out, she cried and I cried and it was honestly the worst day of my whole life. I felt like the world was ending. I only started to feel slightly more positive when she started treatment in late October, a mix of Immunotherapy and chemo. At first it made her really ill, which was horrible to see, but I kept hope that it meant the treatment could be working. She isn’t feeling ill all the time but it depends where she is in the cycle. My brother is great and does a lot for both me and mum, he lives at home with her whereas I live with my husband a short distance away. 
I work for the council and commute 1 hour to and from work three days a week. I have only been there since July 2019 and started straight after graduating uni. At first my team were really supportive and fine about me going to the chemo appointments every three weeks with mum which is so good of them. But this month, I’ve been encouraged to take on more work, and i’m becoming really overwhelmed with balancing work and mum and all over things in life. She’s doing really well at the moment and half of me just wants to quit my job and spend all my time with her, especially while she’s still able to enjoy life and we can do things together. 
Realistically, I know quitting my job would be really detrimental to my career which is still in its super early days, and financially it would be a massive struggle even with husbands income. I’m unsure if anyone has been in a similar situation? What did you do? 
I have thought about therapy but I’m unsure I can even spare the time to attend appointments.</t>
        </is>
      </c>
      <c r="D7837" t="n">
        <v>1</v>
      </c>
      <c r="E7837" t="n">
        <v>8</v>
      </c>
      <c r="F7837">
        <f>HYPERLINK("https://www.reddit.com/r/cancer/comments/f69w2s/my_mum_has_stage_4_lung_cancer_and_i_dont_know_if/")</f>
        <v/>
      </c>
      <c r="G7837" t="inlineStr">
        <is>
          <t>2020-02-19 03:57:11</t>
        </is>
      </c>
      <c r="H7837" t="inlineStr"/>
    </row>
    <row r="7838">
      <c r="A7838" t="inlineStr">
        <is>
          <t>f6ae24</t>
        </is>
      </c>
      <c r="B7838" t="inlineStr">
        <is>
          <t>Did any of you develop depression or anxiety because of your cancer?</t>
        </is>
      </c>
      <c r="C7838" t="inlineStr">
        <is>
          <t>I've developed extreme anxiety and depression with anhedonia because of all this stupid stress. I mean I'm only 16 why did God punish me like this. Everyday I have suicidal thoughts and i dont know how to cope</t>
        </is>
      </c>
      <c r="D7838" t="n">
        <v>1</v>
      </c>
      <c r="E7838" t="n">
        <v>27</v>
      </c>
      <c r="F7838">
        <f>HYPERLINK("https://www.reddit.com/r/cancer/comments/f6ae24/did_any_of_you_develop_depression_or_anxiety/")</f>
        <v/>
      </c>
      <c r="G7838" t="inlineStr">
        <is>
          <t>2020-02-19 05:10:33</t>
        </is>
      </c>
      <c r="H7838" t="inlineStr"/>
    </row>
    <row r="7839">
      <c r="A7839" t="inlineStr">
        <is>
          <t>f6afa5</t>
        </is>
      </c>
      <c r="B7839" t="inlineStr">
        <is>
          <t>SEEKING Advice - sleeping with eyes open</t>
        </is>
      </c>
      <c r="C7839" t="inlineStr">
        <is>
          <t>My partner has Stage 4 NSCLC and has been fighting the good fight for about 18 months. In the last couple weeks ive noticed her eyes opening and closing during sleep and her hands and feet twitching alot. She always was a "active" sleeper but never this bad. 
Anyone experience this or know if the above is related to her illness or am I being paranoid?</t>
        </is>
      </c>
      <c r="D7839" t="n">
        <v>1</v>
      </c>
      <c r="E7839" t="n">
        <v>2</v>
      </c>
      <c r="F7839">
        <f>HYPERLINK("https://www.reddit.com/r/cancer/comments/f6afa5/seeking_advice_sleeping_with_eyes_open/")</f>
        <v/>
      </c>
      <c r="G7839" t="inlineStr">
        <is>
          <t>2020-02-19 05:15:59</t>
        </is>
      </c>
      <c r="H7839" t="inlineStr"/>
    </row>
    <row r="7840">
      <c r="A7840" t="inlineStr">
        <is>
          <t>f6ax5j</t>
        </is>
      </c>
      <c r="B7840" t="inlineStr">
        <is>
          <t>Do radiologists ever indicate directly to you if they think you have cancer?</t>
        </is>
      </c>
      <c r="C7840" t="inlineStr">
        <is>
          <t>I am under the impression that they aren’t allowed to say much about what the immediate imaging results conclude. However after a breast ultrasound yesterday the radiologist who met with me afterwards gave me the impression that there was little concern. She was a bit vague and pointed out a finding that “stands out” and ordered a biopsy since I have symptoms consistent with breast cancer. The official order characterized it as a “breast lesion”
I wasn’t too worried but then I talked to my mom who freaked out (“so she doesn’t think it’s cancer but treating it like it’s cancer?!”) and now I’m freaked out. I’m only 23 which was my biggest safeguard at first but I know my age doesn’t immunize me. 
My biopsy is tomorrow morning but then I have to wait a dreaded week for the results. Did you ever have an interaction with a radiologist in re: your cancer dx?</t>
        </is>
      </c>
      <c r="D7840" t="n">
        <v>1</v>
      </c>
      <c r="E7840" t="n">
        <v>7</v>
      </c>
      <c r="F7840">
        <f>HYPERLINK("https://www.reddit.com/r/cancer/comments/f6ax5j/do_radiologists_ever_indicate_directly_to_you_if/")</f>
        <v/>
      </c>
      <c r="G7840" t="inlineStr">
        <is>
          <t>2020-02-19 05:55:38</t>
        </is>
      </c>
      <c r="H7840" t="inlineStr"/>
    </row>
    <row r="7841">
      <c r="A7841" t="inlineStr">
        <is>
          <t>f6cdtq</t>
        </is>
      </c>
      <c r="B7841" t="inlineStr">
        <is>
          <t>Is there a doctors code or something?</t>
        </is>
      </c>
      <c r="C7841" t="inlineStr">
        <is>
          <t>In your experience, are doctors straight up with you regarding chances of survival or do they try to inspire hope until you really press them?
My 33 year old wife and mother of our amazing children has been battling an osteosarcoma for over a year now. 
The doctors initially believed they could cure her, however were on our 3rd different chemo and it continues to grow now that it spread to the lungs. They said this is certainly a setback and not want they want but didn’t go much beyond that. 
The doctor basically said he has more chemo regiments he can try should this 3rd drug not work, but he will also look out for trials (which I think once hearing “trials”, we started losing more and more hope) 
I have a friend who told me doctors don’t give tend to give odds anymore, that they’re not as transparent as you would think. But he’s never been through this so I wanted to ask here instead 
Is there a doctor code or whatever that makes them be straight with you or in your experience do they keep offering hope until you really press them? 
Please note that I could understand not wanting to know, so that we continue to have hope but I keep having nightmares about losing her and having to somehow tell my children but the other part of me wants to be prepared and be realistic</t>
        </is>
      </c>
      <c r="D7841" t="n">
        <v>1</v>
      </c>
      <c r="E7841" t="n">
        <v>48</v>
      </c>
      <c r="F7841">
        <f>HYPERLINK("https://www.reddit.com/r/cancer/comments/f6cdtq/is_there_a_doctors_code_or_something/")</f>
        <v/>
      </c>
      <c r="G7841" t="inlineStr">
        <is>
          <t>2020-02-19 07:38:31</t>
        </is>
      </c>
      <c r="H7841" t="inlineStr"/>
    </row>
    <row r="7842">
      <c r="A7842" t="inlineStr">
        <is>
          <t>f6cszn</t>
        </is>
      </c>
      <c r="B7842" t="inlineStr">
        <is>
          <t>Cancer is so easy to beat</t>
        </is>
      </c>
      <c r="C7842" t="inlineStr">
        <is>
          <t>I'm already on stage 4</t>
        </is>
      </c>
      <c r="D7842" t="n">
        <v>1</v>
      </c>
      <c r="E7842" t="n">
        <v>1</v>
      </c>
      <c r="F7842">
        <f>HYPERLINK("https://www.reddit.com/r/cancer/comments/f6cszn/cancer_is_so_easy_to_beat/")</f>
        <v/>
      </c>
      <c r="G7842" t="inlineStr">
        <is>
          <t>2020-02-19 08:07:01</t>
        </is>
      </c>
      <c r="H7842" t="inlineStr"/>
    </row>
    <row r="7843">
      <c r="A7843" t="inlineStr">
        <is>
          <t>f6ctts</t>
        </is>
      </c>
      <c r="B7843" t="inlineStr">
        <is>
          <t>People here who have been diagnosed with cancer should try Apricot Seeds</t>
        </is>
      </c>
      <c r="C7843" t="inlineStr">
        <is>
          <t>Just 6-10 a day can help cure cancer as a fighting herb.</t>
        </is>
      </c>
      <c r="D7843" t="n">
        <v>1</v>
      </c>
      <c r="E7843" t="n">
        <v>0</v>
      </c>
      <c r="F7843">
        <f>HYPERLINK("https://www.reddit.com/r/cancer/comments/f6ctts/people_here_who_have_been_diagnosed_with_cancer/")</f>
        <v/>
      </c>
      <c r="G7843" t="inlineStr">
        <is>
          <t>2020-02-19 08:08:32</t>
        </is>
      </c>
      <c r="H7843" t="inlineStr"/>
    </row>
    <row r="7844">
      <c r="A7844" t="inlineStr">
        <is>
          <t>f6dhs7</t>
        </is>
      </c>
      <c r="B7844" t="inlineStr">
        <is>
          <t>The worst 10 Months</t>
        </is>
      </c>
      <c r="C7844" t="inlineStr">
        <is>
          <t>April 5 my grandmother passed away of breast cancer. Someone at the wake got half the family sick with a cold, my dads cough wouldnt go away. After 3 weeks of returning to the dr. because he wasn't getting better we found out he had small cell lung cancer, the fastest growing his oncologists ever saw. The middle of July my uncle who is the closest male figure in my life,other then my dad was diagnosed with pancreatic cancer. On Oct 31 my family and I were with my uncle as he passed. And now yesterday I lost my dad. I dont know why I'm posting,I'm not really one who posts things but I just needed somewhere to say how much I hate cancer. Hate doesn't begin to cover the feelings I have and i know you all know how i feel. Thanks if you read this weird rambling post.</t>
        </is>
      </c>
      <c r="D7844" t="n">
        <v>1</v>
      </c>
      <c r="E7844" t="n">
        <v>6</v>
      </c>
      <c r="F7844">
        <f>HYPERLINK("https://www.reddit.com/r/cancer/comments/f6dhs7/the_worst_10_months/")</f>
        <v/>
      </c>
      <c r="G7844" t="inlineStr">
        <is>
          <t>2020-02-19 08:53:00</t>
        </is>
      </c>
      <c r="H7844" t="inlineStr"/>
    </row>
    <row r="7845">
      <c r="A7845" t="inlineStr">
        <is>
          <t>f6dqwb</t>
        </is>
      </c>
      <c r="B7845" t="inlineStr">
        <is>
          <t>A tip for concerned friends &amp;amp; family about checking in with me</t>
        </is>
      </c>
      <c r="C7845" t="inlineStr">
        <is>
          <t>I’ve just been diagnosed with cancer, but still in the waiting period before knowing what stage, what treatment, etc. I know this seems like a short period in the whole scheme of things, but time is a whole different thing now. I’ve totally lost all concept of time. Everything is moving slower than I’d ever thought possible, or in the opposite way, huge gaps of time just disappear and I don’t remember what I was exactly doing. My brain is so overwhelmed with anxiety, with forced distractions, with questions, with ignoring and bottling up the emotions while I try to do normal things like drive or work... that I really don’t know how much time has passed since I last texted you, or if it’s been three days or three months since the diagnosis, or when we last talked.
So what I’m trying to say is, don’t worry about bothering me or texting me too much. Don’t hesitate to reach out to me to ask how I’m doing or if I feel like talking. If I’m busy or sleeping, I simply won’t see the text and that’s ok. But please, please, try again later. It doesn’t matter if you texted once and I didn’t text back- don’t follow some stupid social etiquette rule and try to be polite by waiting for me to write back. Be the person who tries again later that same day, because maybe I was lost in my thoughts or crying the first time you texted and I couldn’t answer then, but I’ll forget later to go back to those morning texts because they changed to “read.” I need your support and I do want to talk, but I need you to reach out to me because I don’t have the energy to reach out to everyone or I lose track of time and forget to reach out to you.
Send me funny gifs and random things like usual, or even slightly more than usual! Go ahead and do it at any time of day. I can’t sleep well anyway— I’m either passed out by 8:30 and up again at 11pm, or awake ‘til 2:30 am and worried about getting up for work the next day. I have never been in this much inner turmoil in my life, and it’s the best, luckiest thing that I have you to check up on me during it all. Please keep doing it. You’ll never be annoying. You’ll never be doing it at a “bad time”— right now, it’s all kind of a bad time I’m going through and you already know you’re one of my tribe that’s going to help me through it. 
With all my thanks and love.</t>
        </is>
      </c>
      <c r="D7845" t="n">
        <v>1</v>
      </c>
      <c r="E7845" t="n">
        <v>10</v>
      </c>
      <c r="F7845">
        <f>HYPERLINK("https://www.reddit.com/r/cancer/comments/f6dqwb/a_tip_for_concerned_friends_family_about_checking/")</f>
        <v/>
      </c>
      <c r="G7845" t="inlineStr">
        <is>
          <t>2020-02-19 09:09:06</t>
        </is>
      </c>
      <c r="H7845" t="inlineStr"/>
    </row>
    <row r="7846">
      <c r="A7846" t="inlineStr">
        <is>
          <t>f6ecc0</t>
        </is>
      </c>
      <c r="B7846" t="inlineStr">
        <is>
          <t>Does it make sense to get a second opinion from an Oncologist from the same hospital?</t>
        </is>
      </c>
      <c r="C7846" t="inlineStr">
        <is>
          <t>My wife (32F) was diagnosed with stage 1 breast cancer back in November. We eventually got the surgery done at Roswell Park Cancer Institute which is top ranked in the nation, and she is starting chemo soon. We have had a great experience with Roswell so far so the thought didn't even cross our minds to get a second opinion on the pathology/oncology plan until we saw someone else talking about doing the same - now we feel like NOT getting a second opinion is being careless (would love some opinions on this as well).
The thing is - because of Roswell's reputation I would always trust their opinion over one of another hospital in the area. So it doesn't necessarily make sense for us to get a second opinion locally - outside of Roswell. Does it make sense to then stay within Roswell and get a second opinion from another Oncologist who works there? Or is it moot because they will be relying on the same behind-the-scenes teams evaluating pathology etc.?
The other potential option is to get a remote second opinion from another top-ranked cancer center like Mayo Clinic or Sloan-Kettering, but the odds of us actually going to one of these hospitals would be small unless they had a drastically different outlook and treatment plan.</t>
        </is>
      </c>
      <c r="D7846" t="n">
        <v>1</v>
      </c>
      <c r="E7846" t="n">
        <v>13</v>
      </c>
      <c r="F7846">
        <f>HYPERLINK("https://www.reddit.com/r/cancer/comments/f6ecc0/does_it_make_sense_to_get_a_second_opinion_from/")</f>
        <v/>
      </c>
      <c r="G7846" t="inlineStr">
        <is>
          <t>2020-02-19 09:47:59</t>
        </is>
      </c>
      <c r="H7846" t="inlineStr"/>
    </row>
    <row r="7847">
      <c r="A7847" t="inlineStr">
        <is>
          <t>f6ew0c</t>
        </is>
      </c>
      <c r="B7847" t="inlineStr">
        <is>
          <t>I need help. Delete if not allowed</t>
        </is>
      </c>
      <c r="C7847" t="inlineStr">
        <is>
          <t>So my S.O.’s father has been diagnosed with cancer, and it’s just gotten worse and worse and worse. It kills me to have her call me crying constantly. Her mother is trying to hide things from my SO, and it just makes it worse. I love my SO dearly, I work to provide for us and do my best to take care of her. I feel like I’m at my wits end and don’t know what else to say. I guess I just needed to let some stuff out and see if I could get some advice. I just want to help her, but I know
deep down, there is nothing I can do. Advice?</t>
        </is>
      </c>
      <c r="D7847" t="n">
        <v>1</v>
      </c>
      <c r="E7847" t="n">
        <v>2</v>
      </c>
      <c r="F7847">
        <f>HYPERLINK("https://www.reddit.com/r/cancer/comments/f6ew0c/i_need_help_delete_if_not_allowed/")</f>
        <v/>
      </c>
      <c r="G7847" t="inlineStr">
        <is>
          <t>2020-02-19 10:23:12</t>
        </is>
      </c>
      <c r="H7847" t="inlineStr"/>
    </row>
    <row r="7848">
      <c r="A7848" t="inlineStr">
        <is>
          <t>f6fi5m</t>
        </is>
      </c>
      <c r="B7848" t="inlineStr">
        <is>
          <t>My friend died a few weeks ago from cancer</t>
        </is>
      </c>
      <c r="C7848" t="inlineStr">
        <is>
          <t>My friend, 19, passed away from cancer a few weeks ago and I'm still not okay.
I've known her since I was 3 and we basically grew up together. Her family was my family and vice versa. She was diagnosed with two rare forms of cancer when we were 17 and died a few weeks ago after it metastasized to her brain. It's all been such a blur.
I keep remembering sitting at her bedside as she was unconscious and throwing up, her family crying and rushing to clean the vomit up. I remember her funeral and touching her cold body. I've never experienced grief before, and I don't know what to do anymore because it just hurts. 
I just needed somewhere to get this out, and I've just been holding all of this in to stay strong for my family and hers.</t>
        </is>
      </c>
      <c r="D7848" t="n">
        <v>1</v>
      </c>
      <c r="E7848" t="n">
        <v>8</v>
      </c>
      <c r="F7848">
        <f>HYPERLINK("https://www.reddit.com/r/cancer/comments/f6fi5m/my_friend_died_a_few_weeks_ago_from_cancer/")</f>
        <v/>
      </c>
      <c r="G7848" t="inlineStr">
        <is>
          <t>2020-02-19 11:02:48</t>
        </is>
      </c>
      <c r="H7848" t="inlineStr"/>
    </row>
    <row r="7849">
      <c r="A7849" t="inlineStr">
        <is>
          <t>f6h14p</t>
        </is>
      </c>
      <c r="B7849" t="inlineStr">
        <is>
          <t>My dad has only about two weeks or less left.</t>
        </is>
      </c>
      <c r="C7849" t="inlineStr">
        <is>
          <t>I've been crying a lot lately. He originally had spread lung cancer, and  one spread infestation on his shoulder, the other one on his butt.
   It has limited him so much, he can't sit because it hurts so much. He would walk really crooked and uncomfortable. He was supposed to get some kind of care from a hospital nearby, and maybe stay overnight. I wasn't there when he went in, because i was at school that day.
   Apparently my mom had seen him in the earlier weeks, telling her that he smelled food. My mom hadn't cooked that day, or the day before. And just that morning, dad started twitching from shoulders up for a few seconds. 
   So, mom told the doctors, and they took a brain scan. 
Turns out, the cancer had spread to his brain, and it's terminal. 
It saddens me, because i didn't even get so see him walk out the door, and, possibly, the last time...Until he's gone.
Thanks for taking a few minutes of your life to read this. It really warms my heart knowing there are others like me. ❤️❤️❤️</t>
        </is>
      </c>
      <c r="D7849" t="n">
        <v>1</v>
      </c>
      <c r="E7849" t="n">
        <v>2</v>
      </c>
      <c r="F7849">
        <f>HYPERLINK("https://www.reddit.com/r/cancer/comments/f6h14p/my_dad_has_only_about_two_weeks_or_less_left/")</f>
        <v/>
      </c>
      <c r="G7849" t="inlineStr">
        <is>
          <t>2020-02-19 12:42:43</t>
        </is>
      </c>
      <c r="H7849" t="inlineStr"/>
    </row>
    <row r="7850">
      <c r="A7850" t="inlineStr">
        <is>
          <t>f6hqzm</t>
        </is>
      </c>
      <c r="B7850" t="inlineStr">
        <is>
          <t>Urgent about iressa</t>
        </is>
      </c>
      <c r="C7850" t="inlineStr">
        <is>
          <t>I need to know the best price location to get the iressa 250 mg</t>
        </is>
      </c>
      <c r="D7850" t="n">
        <v>1</v>
      </c>
      <c r="E7850" t="n">
        <v>0</v>
      </c>
      <c r="F7850">
        <f>HYPERLINK("https://www.reddit.com/r/cancer/comments/f6hqzm/urgent_about_iressa/")</f>
        <v/>
      </c>
      <c r="G7850" t="inlineStr">
        <is>
          <t>2020-02-19 13:30:55</t>
        </is>
      </c>
      <c r="H7850" t="inlineStr"/>
    </row>
    <row r="7851">
      <c r="A7851" t="inlineStr">
        <is>
          <t>f6ira6</t>
        </is>
      </c>
      <c r="B7851" t="inlineStr">
        <is>
          <t>The best news of my life: Mom’s stage IV lung cancer has gone into complete remission.</t>
        </is>
      </c>
      <c r="C7851" t="inlineStr">
        <is>
          <t>Hey guys, 
I promised to keep you updated, so I really want to share that moment with you. About 5 weeks ago my mom had her first control PET scan after four cycles of chemotherapy and Keytruda, two Keytruda-only infusions, a metastectomy of the spine and IMRT of the spine. Her PET scan showed that all her metastatic sites had disappeared, all her lymph nodes had cleared up and her tumor had shrunk from 88x64 to 19x11mm. 
Her doctors decided to ablate the original tumor with SBRT so we returned to the hospital this Monday. The radiation oncologist did a CT scan and then some respiratory simulation. 
Today...my phone starts ringing in the morning, I see an unknown number. I pick up: “Hello, this is Dr.X, your mother’s radiation oncologist.” 
At this point my heart skips probably half a minute worth of regular beats. Her doctors have never called us before, so I fear bad news (more extensive disease than anticipated so no SBRT).
Next, Dr.X continues: “I cannot do SBRT because your mom’s cancer has disappeared entirely. My colleagues and I have been looking at the PET-CT scan and yesterday’s CT images and we literally cannot see a single dot of what was there 5 weeks ago. Congratulations, your mom has responded completely to Keytruda monotherapy and her cancer has fled her lung faster than we could manage to ablate it.” I probably say: “Are you sure?”, “Thank you”, “Amazing” and “How’s that possible” more times than I can count.
I am not even sure what’s going on right now. It seems absolutely surreal that in 4-5 short months my mom has gone from 6 painkillers a day, facing one of the deadliest cancers, to...my old mom, pain-free, happy, full of life, eager to return to work, take care of our home and her favorite dog, and travel.
Her doctors seem equally...pleasantly surprised. As I have mentioned before, mom’s PDL1 negative, so the odds of her responding to Keytruda were quite slim to begin with. A complete response...I was afraid to even dream of that.
She will stay on Keytruda for another 18 months. 
Thank you guys so much for the incredible support all throughout that uphill battle. I will stick around r/cancer for as long as I can help anyone out. ❤️</t>
        </is>
      </c>
      <c r="D7851" t="n">
        <v>1</v>
      </c>
      <c r="E7851" t="n">
        <v>76</v>
      </c>
      <c r="F7851">
        <f>HYPERLINK("https://www.reddit.com/r/cancer/comments/f6ira6/the_best_news_of_my_life_moms_stage_iv_lung/")</f>
        <v/>
      </c>
      <c r="G7851" t="inlineStr">
        <is>
          <t>2020-02-19 14:36:57</t>
        </is>
      </c>
      <c r="H7851" t="inlineStr"/>
    </row>
    <row r="7852">
      <c r="A7852" t="inlineStr">
        <is>
          <t>f6iyaq</t>
        </is>
      </c>
      <c r="B7852" t="inlineStr">
        <is>
          <t>My grandmother(71) just received the news that she has ALL. Could someone inform me of what this will entail?</t>
        </is>
      </c>
      <c r="C7852" t="inlineStr">
        <is>
          <t>More specifically, she has Acute Lymphoblastic Leukemia and it was apparently caught early—which is excellent. The only downside I can see,other than it being cancer, is her age because her health is impeccable. Scouring the web for this stuff isn’t easy.... but what i’ve found so far is the chances of remission are pretty decent, unless i’m mistaken. Keeping high hopes, though.
Any sort of information and fact-checking would be greatly appreciated.</t>
        </is>
      </c>
      <c r="D7852" t="n">
        <v>1</v>
      </c>
      <c r="E7852" t="n">
        <v>5</v>
      </c>
      <c r="F7852">
        <f>HYPERLINK("https://www.reddit.com/r/cancer/comments/f6iyaq/my_grandmother71_just_received_the_news_that_she/")</f>
        <v/>
      </c>
      <c r="G7852" t="inlineStr">
        <is>
          <t>2020-02-19 14:50:03</t>
        </is>
      </c>
      <c r="H7852" t="inlineStr"/>
    </row>
    <row r="7853">
      <c r="A7853" t="inlineStr">
        <is>
          <t>f6nlqy</t>
        </is>
      </c>
      <c r="B7853" t="inlineStr">
        <is>
          <t>What did anyone have pain in uterine area after radiation?</t>
        </is>
      </c>
      <c r="C7853" t="inlineStr">
        <is>
          <t>My last radiation treatment was in September for my lymph node in my groin area. The radiation made me have heavy cramps and bleeding for 2 cycles in a row.  Now my periods are normal but uterus/ovarian don’t quite feel right like before.</t>
        </is>
      </c>
      <c r="D7853" t="n">
        <v>1</v>
      </c>
      <c r="E7853" t="n">
        <v>0</v>
      </c>
      <c r="F7853">
        <f>HYPERLINK("https://www.reddit.com/r/cancer/comments/f6nlqy/what_did_anyone_have_pain_in_uterine_area_after/")</f>
        <v/>
      </c>
      <c r="G7853" t="inlineStr">
        <is>
          <t>2020-02-19 20:30:04</t>
        </is>
      </c>
      <c r="H7853" t="inlineStr"/>
    </row>
    <row r="7854">
      <c r="A7854" t="inlineStr">
        <is>
          <t>f6ok6p</t>
        </is>
      </c>
      <c r="B7854" t="inlineStr">
        <is>
          <t>Chromophobe RCC</t>
        </is>
      </c>
      <c r="C7854" t="inlineStr">
        <is>
          <t>I was diagnosed with a mass in one of my kidneys and they had to remove it. Turns out they weren’t able to save the rest of the kidney and removed the whole thing instead. 
They did a biopsy of the mass, turns out it was chromophobe renal cell carcinoma (only 5% of the RCCs). They said they got it all when they took my kidney out, but that there could be a genetic predisposition for it. That means my daughter (2 years old now) could have it. 
We’re undergoing genetic testing soon, but I’m deathly afraid that I’ve passed on something to my child. I know it’s not a thing I can control but I don’t know how I’m supposed to feel any less responsible about it. I know what the surgery has done to my life and I can’t imagine the same for her.</t>
        </is>
      </c>
      <c r="D7854" t="n">
        <v>1</v>
      </c>
      <c r="E7854" t="n">
        <v>2</v>
      </c>
      <c r="F7854">
        <f>HYPERLINK("https://www.reddit.com/r/cancer/comments/f6ok6p/chromophobe_rcc/")</f>
        <v/>
      </c>
      <c r="G7854" t="inlineStr">
        <is>
          <t>2020-02-19 21:51:21</t>
        </is>
      </c>
      <c r="H7854" t="inlineStr"/>
    </row>
    <row r="7855">
      <c r="A7855" t="inlineStr">
        <is>
          <t>f6pbml</t>
        </is>
      </c>
      <c r="B7855" t="inlineStr">
        <is>
          <t>Cancer link Diabetes</t>
        </is>
      </c>
      <c r="C7855" t="inlineStr">
        <is>
          <t>Any cancer patient who before also have diabetes? lets discuss.</t>
        </is>
      </c>
      <c r="D7855" t="n">
        <v>1</v>
      </c>
      <c r="E7855" t="n">
        <v>4</v>
      </c>
      <c r="F7855">
        <f>HYPERLINK("https://www.reddit.com/r/cancer/comments/f6pbml/cancer_link_diabetes/")</f>
        <v/>
      </c>
      <c r="G7855" t="inlineStr">
        <is>
          <t>2020-02-19 23:03:33</t>
        </is>
      </c>
      <c r="H7855" t="inlineStr"/>
    </row>
    <row r="7856">
      <c r="A7856" t="inlineStr">
        <is>
          <t>f6u8v8</t>
        </is>
      </c>
      <c r="B7856" t="inlineStr">
        <is>
          <t>[advice] trying to help patients meet/maintain nutrition during treatment</t>
        </is>
      </c>
      <c r="C7856" t="inlineStr">
        <is>
          <t>I'm a receptionist for a cancer center, I work in the radiology oncology department. This position has given me the opportunity to get to know the patient's needs and concerns. 
one of our biggest pitfalls during care is maintaining nutrition. We live in a very food- centric part of the US, and to put it frankly, the patients aren't used to "just dealing" with food that tastes bad, and it sometimes makes them feel even less hopeful about their treatments. Some would rather give up if it means that food tastes better. 
Some, also, just don't have access to food. Cancer overtakes lives, and they can't maintain employment, so they can't buy food or don't have much choice in the foods they can get. 
I keep snacks at my desk to try to help, as well as being supplied with boost, ensure, and other meal replacements by our nutrition team. 
I guess what i want to know is- What snacks would be best to keep at the desk? as it is, we have things that are largely almond/peanut butter or cheese filled, soft baked fig bars, pretzels, soft gummy fruit snacks, peanuts, veggie straws, oatmeal pies, etc. I don't have a mini fridge at my desk, and I'm not sure if i'm allowed to have one. Are there any better options that i could provide? Are there any flavors that taste more tolerable?</t>
        </is>
      </c>
      <c r="D7856" t="n">
        <v>1</v>
      </c>
      <c r="E7856" t="n">
        <v>5</v>
      </c>
      <c r="F7856">
        <f>HYPERLINK("https://www.reddit.com/r/cancer/comments/f6u8v8/advice_trying_to_help_patients_meetmaintain/")</f>
        <v/>
      </c>
      <c r="G7856" t="inlineStr">
        <is>
          <t>2020-02-20 06:59:37</t>
        </is>
      </c>
      <c r="H7856" t="inlineStr"/>
    </row>
    <row r="7857">
      <c r="A7857" t="inlineStr">
        <is>
          <t>f6vxac</t>
        </is>
      </c>
      <c r="B7857" t="inlineStr">
        <is>
          <t>Dad entering hospice today</t>
        </is>
      </c>
      <c r="C7857" t="inlineStr">
        <is>
          <t>We are moving my Dad to hospice today. It is so hard to come to terms with the fact that we are moving him to the place where he will spend his last moments. It has been such an emotional roller coaster these last two months. I can’t believe how fast this is all happening.  
Just a few months ago we celebrated Thanksgiving and Christmas together and within weeks he went from being able to walk and talk and laugh to being bedbound, unable to swallow and unable to speak more than a whisper. He declined so unbelievably fast.  
It has been so hard to watch. I don’t want to say goodbye for good, but it hurts so much to watch him suffer. Today he woke up and for the first time since this all started, he cried. To watch your 75 year old Dad crying because he understands what is happening is absolutely heartbreaking. He’s the strongest person I know. To see him break down just ruins me.  
Given his trajectory, I can’t imagine it will be more than a few more days. He can’t even swallow water anymore. We are giving him water sponges and popsicles to suck on, but that’s more to just keep his mouth from getting dry.  
The hardest part is that he still seems to be aware of what’s going on. And even though I cherish that I’m able to say I love you and have him hear me and understand, I also wonder if it would be easier on him to be sedated. Is that horrible of me to say? I know there’s no easy anything right now. It’s all just so hard. As much as I don’t want this chapter to end, I just want him to be at peace.</t>
        </is>
      </c>
      <c r="D7857" t="n">
        <v>1</v>
      </c>
      <c r="E7857" t="n">
        <v>17</v>
      </c>
      <c r="F7857">
        <f>HYPERLINK("https://www.reddit.com/r/cancer/comments/f6vxac/dad_entering_hospice_today/")</f>
        <v/>
      </c>
      <c r="G7857" t="inlineStr">
        <is>
          <t>2020-02-20 08:55:37</t>
        </is>
      </c>
      <c r="H7857" t="inlineStr"/>
    </row>
    <row r="7858">
      <c r="A7858" t="inlineStr">
        <is>
          <t>f6wts5</t>
        </is>
      </c>
      <c r="B7858" t="inlineStr">
        <is>
          <t>My mom is being admitted</t>
        </is>
      </c>
      <c r="C7858" t="inlineStr">
        <is>
          <t>My mom is being admitted to a hospital because her condition is worsening. She was diagnosed last year, went into remission after treatment, and then it became recurrent in November 2019. I live in California and she lives on the other side of the country with my siblings who are currently taking care of her (as much as they can). I just got a text from my sister that she’s being admitted to a hospital for her pain. The outlook is not really good. My dilemma is I don’t know if I should pack up my life, stop school, and head home to do what I can (I don’t even have the slightest clue of what I can do), or I finish up this semester and go after. Every time I do go home I feel like I make things worse and honestly I have no idea what’s up and down anymore. 
TLDR
My sick mom lives on the other side of the country with my siblings and I don’t know if I should move and live with her.</t>
        </is>
      </c>
      <c r="D7858" t="n">
        <v>2</v>
      </c>
      <c r="E7858" t="n">
        <v>8</v>
      </c>
      <c r="F7858">
        <f>HYPERLINK("https://www.reddit.com/r/cancer/comments/f6wts5/my_mom_is_being_admitted/")</f>
        <v/>
      </c>
      <c r="G7858" t="inlineStr">
        <is>
          <t>2020-02-20 09:55:50</t>
        </is>
      </c>
      <c r="H7858" t="inlineStr"/>
    </row>
    <row r="7859">
      <c r="A7859" t="inlineStr">
        <is>
          <t>f6xspj</t>
        </is>
      </c>
      <c r="B7859" t="inlineStr">
        <is>
          <t>I hate that a life time of managing side-effects is the best option.</t>
        </is>
      </c>
      <c r="C7859" t="inlineStr">
        <is>
          <t>Dealing with this for years. Here I sit, shittin my brain out just to keep going. What's the alternative? Give up on treatment That's moderately successful? Give up on a chance of ever being cancer free? Or just keep putting up with this s***? Really frustrated today seems like everything's going well and literally the s*** hits the fan.  What I wouldn't give for one day where I didn't have to worry about limitations because if I do this I will have a side effect, if I eat that I'll have a side effect.  Oh no you can't even think about doing that.  I just want roll out of bed and have a normal day again.
Thanks for letting me rant.  And FffffUUUUCCCCKKKK Cancer.</t>
        </is>
      </c>
      <c r="D7859" t="n">
        <v>1</v>
      </c>
      <c r="E7859" t="n">
        <v>11</v>
      </c>
      <c r="F7859">
        <f>HYPERLINK("https://www.reddit.com/r/cancer/comments/f6xspj/i_hate_that_a_life_time_of_managing_sideeffects/")</f>
        <v/>
      </c>
      <c r="G7859" t="inlineStr">
        <is>
          <t>2020-02-20 10:59:26</t>
        </is>
      </c>
      <c r="H7859" t="inlineStr"/>
    </row>
    <row r="7860">
      <c r="A7860" t="inlineStr">
        <is>
          <t>f6yaih</t>
        </is>
      </c>
      <c r="B7860" t="inlineStr">
        <is>
          <t>How to get through my first birthday without my dad?</t>
        </is>
      </c>
      <c r="C7860" t="inlineStr">
        <is>
          <t>Lost my dad to cancer on Feb 2nd and today is my first birthday without him. I was really close with my dad so it's been especially hard. I was lucky enough to see and talk to him nearly every day, so not being able to hear him say "Happy birthday" and "I love you" is really hard. Our traditional dinners with just my mom, dad, and husband followed by ice cream cake won't be the same, but we'll continue on with the tradition.
For those of you who have lost parents or other loved ones, what gets you through your birthdays? How do you find the balance of being sad and celebrating?</t>
        </is>
      </c>
      <c r="D7860" t="n">
        <v>1</v>
      </c>
      <c r="E7860" t="n">
        <v>9</v>
      </c>
      <c r="F7860">
        <f>HYPERLINK("https://www.reddit.com/r/cancer/comments/f6yaih/how_to_get_through_my_first_birthday_without_my/")</f>
        <v/>
      </c>
      <c r="G7860" t="inlineStr">
        <is>
          <t>2020-02-20 11:31:51</t>
        </is>
      </c>
      <c r="H7860" t="inlineStr"/>
    </row>
    <row r="7861">
      <c r="A7861" t="inlineStr">
        <is>
          <t>f6yq46</t>
        </is>
      </c>
      <c r="B7861" t="inlineStr">
        <is>
          <t>My father has Lung cancer and has trouble eating solids because of radiation near throat. What are some foods besides soups that he can eat that is filling?</t>
        </is>
      </c>
      <c r="C7861" t="inlineStr">
        <is>
          <t>So radiation therapy currently drying out his throat making it hard to swallow solids. He misses the taste of meat and soup is just not filling enough for him. We have some protein drinks for him but its just not the same. Does anyone know of any recipe that has some really soft meat that is easy to go down?</t>
        </is>
      </c>
      <c r="D7861" t="n">
        <v>1</v>
      </c>
      <c r="E7861" t="n">
        <v>10</v>
      </c>
      <c r="F7861">
        <f>HYPERLINK("https://www.reddit.com/r/cancer/comments/f6yq46/my_father_has_lung_cancer_and_has_trouble_eating/")</f>
        <v/>
      </c>
      <c r="G7861" t="inlineStr">
        <is>
          <t>2020-02-20 12:00:25</t>
        </is>
      </c>
      <c r="H7861" t="inlineStr"/>
    </row>
    <row r="7862">
      <c r="A7862" t="inlineStr">
        <is>
          <t>f6z3rv</t>
        </is>
      </c>
      <c r="B7862" t="inlineStr">
        <is>
          <t>How my father beat IV-A lung cancer from fasting/nutritional therapy alone.</t>
        </is>
      </c>
      <c r="C7862" t="inlineStr">
        <is>
          <t>Hello all! This is my first post ever on reddit and it's quite long, I never use it often as is, not sure anyone will read this and if you do, thank you for taking time to sit down and giving me a listen and hoping you can comprehend the reality of our situation and my dad's from a firsthand experience on what we know wasn't a miracle. Let's begin. 
My dad has been a smoker since he was about 9 years old. He decided to quit when he got into a relationship and found new love in 2011 after my mom and him divorced when I was only a baby. It's been about 15 years since, so dad had motivation to completely drop the habit in turn because he knew the severity of it and intrinsically found ways to do it. He got married in 2016 and has been more happy then I have ever seen him. In 2018 we was given horrendous news about one of his doctor trips that he indeed has contracted lung cancer throughout his life and was diagnosed stage 3A. 
Yeah, the same disease that Walter White was given in the first season on the hit show Breaking Bad. It has a low to low-moderate survival rate. Dad was inoperable and the hospitals had suggested chemo/radiation treatments to alleviate any pain that would occur.  His tumor size in his lung was 8cm (more than 4 decks of cards thick) and it was all throughout his lymphatic system and was set for doom. He wanted to live out his life in peace and not being remembered of always going to treatments and putting us through the heartache  of seeing him there. We were frantically searching for methods of natural healing and desperately trying to educate ourselves on the fact of what we came across as water fasting. My dad completely trusted this method and went a full 21 days with nothing but water. He drank bone broth and eased his way back into eating again (keto) to slowly eradicate his cancer. Don't eat a meal as your stomach has shrunk so much you're risking your stomach to literally explode! Ease back into a normal diet over the course of a week. Do so at your own risk! 
A few months later he went for his biopsy and they were more than shocked. They just COULD NOT believe my dad's cancer was actually regressing back to normal. In two months he brought his stage 3A to a stage 2. Since the tumor was still pretty large, he decided for surgery to get it out which had to sacrifice a lobe off of his lung to finalize it. Months later they checked numerous lymph nodes and found it had zero cancer cells inside. They deemed him cancer free since and just had a biopsy a few months ago. Still nothing!  So, how did it work?? 
From the hard research we did at the time it concludes that sugar lives off of one macronutrient. Carbohydrates. More importantly, it's most simple form, sugar. Cancer reacts to growing with sugar 10x more than our healthy normal cells in our body and that's why it grows at an exponentially deadly rate. If you don't give cancer nutrients to grow, what do you think happens? It starves. In turn, there has been debate on whether or not it starts to eat other things to survive such as other macronutrients and I'd say it's possible, but definitely isn't efficient enough for cancer to survive long enough. Cancer cells metabolism have a major flaw in it's mitochondria and can't switch effectively to anything outside of carbs. Good news about our healthy cells is that they can! Healthy cells prefer glucose for energy, yes but it can change its process to another form of energy. Fats! More importantly, healthy fats. These turn into ketone bodies and then metabolize and function properly to your body when glycogen or your stored carbs are entirely too low.  Known as the ketogenic diet that has become a fad, but could be strong enough to bring down stages 1 &amp;amp; 2 of any cancer. But any greater, there is risk to cancer cells changing to that source and sneakily changing the way it metabolizes food as well. This is why he went through the water fast, but can be dangerous to some people! You have to have a decent immune system to begin with and could pose risks to some people. The small cancer cells had no nutrition to lean on in his lymph nodes so that caused starvation and slowly died. Fasting is just the quickest known method to do so. You have to keep in mind, he had cancer cells living in 28 of his lymph nodes. When you are "starving yourself" by fasting your body increases its defenses and white blood cells to survive. It can't say it enough, it can be dangerous to fast for some people long term, but dad had complete confidence in this and jumped in it with no room for failure. I couldn't even imagine how hard that must have been to go that long! Famous physicians like Peter Attia says we should fast 3 days a month for optimal longetivity. Dad is healthy today, and I am hoping for someone to look into this subject whole-heartedly so they can use this as a last resort to save a loved one possibly. Do so by educating yourself first, and seeing if it is worth the risk for you if you have thwarts from passing early.  Losing my dad would have been the hardest mortal thing for me to overcome, somehow he has beaten the odds and is the main cause to transpire this reddit post. 
Love you all. 
-N</t>
        </is>
      </c>
      <c r="D7862" t="n">
        <v>0</v>
      </c>
      <c r="E7862" t="n">
        <v>2</v>
      </c>
      <c r="F7862">
        <f>HYPERLINK("https://www.reddit.com/r/cancer/comments/f6z3rv/how_my_father_beat_iva_lung_cancer_from/")</f>
        <v/>
      </c>
      <c r="G7862" t="inlineStr">
        <is>
          <t>2020-02-20 12:24:46</t>
        </is>
      </c>
      <c r="H7862" t="inlineStr"/>
    </row>
    <row r="7863">
      <c r="A7863" t="inlineStr">
        <is>
          <t>f6zzn5</t>
        </is>
      </c>
      <c r="B7863" t="inlineStr">
        <is>
          <t>Sad Day</t>
        </is>
      </c>
      <c r="C7863" t="inlineStr">
        <is>
          <t>I have metastatic thyroid cancer. I have nodules in my lungs that were too small to biopsy, but my doctors were all almost positive they were cancerous. I had my thyroglobulin checked, which is my tumor marker. Normal range is 0.1-2 and mine is 43, basically confirming that they’re cancerous. It’s just a sad day.</t>
        </is>
      </c>
      <c r="D7863" t="n">
        <v>1</v>
      </c>
      <c r="E7863" t="n">
        <v>0</v>
      </c>
      <c r="F7863">
        <f>HYPERLINK("https://www.reddit.com/r/cancer/comments/f6zzn5/sad_day/")</f>
        <v/>
      </c>
      <c r="G7863" t="inlineStr">
        <is>
          <t>2020-02-20 13:21:59</t>
        </is>
      </c>
      <c r="H7863" t="inlineStr"/>
    </row>
    <row r="7864">
      <c r="A7864" t="inlineStr">
        <is>
          <t>f70edu</t>
        </is>
      </c>
      <c r="B7864" t="inlineStr">
        <is>
          <t>Realistic Lifespan for Inoperable Liver Cancer?</t>
        </is>
      </c>
      <c r="C7864" t="inlineStr">
        <is>
          <t>My dad (57) was diagnosed last month with hepatocellular carcinoma -- liver cancer as a result of chronic untreated hepatitis C. While we had hope that he could receive a transplant, a doctor essentially confirmed today that the (4cm large) tumor's position and surrounding blood clots made surgery impossible; a transplant wouldn't eradicate the cancerous cells and the subsequent immune suppression drugs would just give them free reign to grow elsewhere.
What I want to know is the actual lifespan of people who have this kind of cancer. The doctor we saw today said that he could get 2 years with treatment (starting with Lenvima); is this accurate? 
Some other things to ask:
* He had an MRI in 2017 after he completed the hep C treatment that showed no tumor, meaning that it developed over the past 1-2 years. Is this faster than normal growth for a tumor of this size?
* The doctor who determined that the tumor was inoperable said that my dad's cancer was an "atypical advanced stage" since, despite the tumor itself not being very developed, the clots it caused are apparently accelerating it? If anyone else has dealt with this specific issue, I would love to hear any experiences.
* Most importantly, is it worth it to seek a second opinion? We are lucky to have access to the Cleveland Clinic, one of the best hospitals in the US, but we quite literally only heard all of this information from one doctor; a doctor who specifically called out the other ones we had seen for not putting my dad on a treatment plan for something that seemed obvious to him. How many people here (with any type of cancer) have sought a second opinion and received a very different outcome?
And thank you for anyone who responds. I will say it's encouraging to see people with cancer themselves being active on this subreddit. The scariest part is witnessing how quickly he's deteriorated: going from a man who worked seven days a week and loved to make food for himself to one who can barely walk up a flight of stairs or finish a sandwich...</t>
        </is>
      </c>
      <c r="D7864" t="n">
        <v>1</v>
      </c>
      <c r="E7864" t="n">
        <v>3</v>
      </c>
      <c r="F7864">
        <f>HYPERLINK("https://www.reddit.com/r/cancer/comments/f70edu/realistic_lifespan_for_inoperable_liver_cancer/")</f>
        <v/>
      </c>
      <c r="G7864" t="inlineStr">
        <is>
          <t>2020-02-20 13:48:19</t>
        </is>
      </c>
      <c r="H7864" t="inlineStr"/>
    </row>
    <row r="7865">
      <c r="A7865" t="inlineStr">
        <is>
          <t>f71d9p</t>
        </is>
      </c>
      <c r="B7865" t="inlineStr">
        <is>
          <t>Ex gf has gone into remission and is feeling lost</t>
        </is>
      </c>
      <c r="C7865" t="inlineStr">
        <is>
          <t>Hi all. Got the great news on Tuesday that she has the all clear. However now she is telling me, she is feeling a bit lost now, feeling very weird and might have PTSD. For a bit of context, she beat Non Hodgkins Lymphoma.
Does anyone have any light to shed on the matter? Anything I can do to help or something?</t>
        </is>
      </c>
      <c r="D7865" t="n">
        <v>1</v>
      </c>
      <c r="E7865" t="n">
        <v>4</v>
      </c>
      <c r="F7865">
        <f>HYPERLINK("https://www.reddit.com/r/cancer/comments/f71d9p/ex_gf_has_gone_into_remission_and_is_feeling_lost/")</f>
        <v/>
      </c>
      <c r="G7865" t="inlineStr">
        <is>
          <t>2020-02-20 14:52:19</t>
        </is>
      </c>
      <c r="H7865" t="inlineStr"/>
    </row>
    <row r="7866">
      <c r="A7866" t="inlineStr">
        <is>
          <t>f71zed</t>
        </is>
      </c>
      <c r="B7866" t="inlineStr">
        <is>
          <t>Medical oncology appointment</t>
        </is>
      </c>
      <c r="C7866" t="inlineStr">
        <is>
          <t>There is a mass on pancreas, GI doctor done biopsy and found no cancer, and refer to see a surgeon next week. Why today they call in make another appointment with medical oncology again?</t>
        </is>
      </c>
      <c r="D7866" t="n">
        <v>1</v>
      </c>
      <c r="E7866" t="n">
        <v>2</v>
      </c>
      <c r="F7866">
        <f>HYPERLINK("https://www.reddit.com/r/cancer/comments/f71zed/medical_oncology_appointment/")</f>
        <v/>
      </c>
      <c r="G7866" t="inlineStr">
        <is>
          <t>2020-02-20 15:34:48</t>
        </is>
      </c>
      <c r="H7866" t="inlineStr"/>
    </row>
    <row r="7867">
      <c r="A7867" t="inlineStr">
        <is>
          <t>f72mut</t>
        </is>
      </c>
      <c r="B7867" t="inlineStr">
        <is>
          <t>Just the normal rant</t>
        </is>
      </c>
      <c r="C7867" t="inlineStr">
        <is>
          <t>I’m six months post treatment for cervical cancer. I now am always constipated and have a nephrostomy tube out of my back and in so much pain bc I may have a new tumor I can’t get out of bed
When does this end. I’m so tired of the pain. I’m tired of being told something will help and it doesn’t. I’m scared I have to do more treatments I just want my life back. I want to move normally again. I want to drive. I want to jog. But I’m in so much pain. 
It so hard when before I was diagnosed I didn’t even feel sick. Now I’m a useless potato.</t>
        </is>
      </c>
      <c r="D7867" t="n">
        <v>1</v>
      </c>
      <c r="E7867" t="n">
        <v>11</v>
      </c>
      <c r="F7867">
        <f>HYPERLINK("https://www.reddit.com/r/cancer/comments/f72mut/just_the_normal_rant/")</f>
        <v/>
      </c>
      <c r="G7867" t="inlineStr">
        <is>
          <t>2020-02-20 16:22:37</t>
        </is>
      </c>
      <c r="H7867" t="inlineStr"/>
    </row>
    <row r="7868">
      <c r="A7868" t="inlineStr">
        <is>
          <t>f73jju</t>
        </is>
      </c>
      <c r="B7868" t="inlineStr">
        <is>
          <t>Question about Radiology Report</t>
        </is>
      </c>
      <c r="C7868" t="inlineStr">
        <is>
          <t>I had my one year post op (partial nephrectomy for Stg 1 type 2 small cell renal cell carcinoma) scan review today. There is NED but a few things on my report concern me. Maybe someone can talk it through with me to help me understand. 
1. There were 2 items recommended for “continued attention at next 6 month follow up” that have not been mentioned on my previous reports. However, the report mentions the areas of concerns have remained stable from my previous imaging. I looked at my 3 month, 6 month and 9 month post op scans and both Lymph Node and Adrenal glad sections say “no masses found” 
A. Adrenals: left adrenal mass measuring 1.1x1.2 cm favoring adrenal adenoma but malignancy cannot be ruled out. 
B. Thoracic Lymph Nodes: Shotty mediastinal lymph nodes measuring up to 0.7 cm short axis are stable since prior exam 
Could these have been missed previously and when caught this time, the radiologist went back to see if they were there previously? 
2. The lung nodule has remained stable since previous exam. 
3. Left Ovarian Cyst measuring 2.6 cm. Should I look into this further with my OBGYN?</t>
        </is>
      </c>
      <c r="D7868" t="n">
        <v>1</v>
      </c>
      <c r="E7868" t="n">
        <v>1</v>
      </c>
      <c r="F7868">
        <f>HYPERLINK("https://www.reddit.com/r/cancer/comments/f73jju/question_about_radiology_report/")</f>
        <v/>
      </c>
      <c r="G7868" t="inlineStr">
        <is>
          <t>2020-02-20 17:30:05</t>
        </is>
      </c>
      <c r="H7868" t="inlineStr"/>
    </row>
    <row r="7869">
      <c r="A7869" t="inlineStr">
        <is>
          <t>f74rmk</t>
        </is>
      </c>
      <c r="B7869" t="inlineStr">
        <is>
          <t>My friend has a mass in her colon and liver</t>
        </is>
      </c>
      <c r="C7869" t="inlineStr">
        <is>
          <t>They just took a biopsy so we have to wait a week until she gets the diagnosis.  The problem I am having is that she was asked if she wanted "surgery" OR "chemo."   Why did they ask her that?  I mean, she's obviously not an expert on cancer!?  She is going to accept whatever treatment the docs tell her she needs.  This is so weird!!  Anyone have an idea of what kind of cancer this could be?  She had uterine cancer and beat it several years ago.  This could be a recurrence or a new cancer.  It just all sucks.</t>
        </is>
      </c>
      <c r="D7869" t="n">
        <v>1</v>
      </c>
      <c r="E7869" t="n">
        <v>1</v>
      </c>
      <c r="F7869">
        <f>HYPERLINK("https://www.reddit.com/r/cancer/comments/f74rmk/my_friend_has_a_mass_in_her_colon_and_liver/")</f>
        <v/>
      </c>
      <c r="G7869" t="inlineStr">
        <is>
          <t>2020-02-20 19:03:48</t>
        </is>
      </c>
      <c r="H7869" t="inlineStr"/>
    </row>
    <row r="7870">
      <c r="A7870" t="inlineStr">
        <is>
          <t>f77k5j</t>
        </is>
      </c>
      <c r="B7870" t="inlineStr">
        <is>
          <t>What are "non active metastasis"?</t>
        </is>
      </c>
      <c r="C7870" t="inlineStr">
        <is>
          <t>Hi everyone. As maybe some of you have read by my previous post, my father was recently diagnosed with small cell lung cancer with mestastasis to liver and mediastinic lymphnodes. A few days ago he had to do a full body tc scan. He had never done one before. They confirmed the masses in lungs lymphonodes and liver, they also found two hypodense spots of 1 and 1.7 cm, it says they could be ischemic or "non active metastasis" (translated word by word) because they didnt catch any contrast fluid. What does it mean? I have never heard of it and i can't find anything on it. Of course we will talk to the oncologist, but i wanted to ask here first.
Thank you so much!</t>
        </is>
      </c>
      <c r="D7870" t="n">
        <v>1</v>
      </c>
      <c r="E7870" t="n">
        <v>4</v>
      </c>
      <c r="F7870">
        <f>HYPERLINK("https://www.reddit.com/r/cancer/comments/f77k5j/what_are_non_active_metastasis/")</f>
        <v/>
      </c>
      <c r="G7870" t="inlineStr">
        <is>
          <t>2020-02-20 23:12:02</t>
        </is>
      </c>
      <c r="H7870" t="inlineStr"/>
    </row>
    <row r="7871">
      <c r="A7871" t="inlineStr">
        <is>
          <t>f79392</t>
        </is>
      </c>
      <c r="B7871" t="inlineStr">
        <is>
          <t>The waiting is killing me</t>
        </is>
      </c>
      <c r="C7871" t="inlineStr">
        <is>
          <t>I (36f) had a colonoscopy 3 days ago which revealed a tumour - which I was told by the specialist is most likely malignant. I have to have a CT scan and an MRI and surgery depending on the results.
I don't know how to feel, I'm so shocked. I really just thought they were going to tell me I had an inflammatory bowel disease and I'd need to change my diet, not this. I have a million questions and nobody can tell me anything. I have the CT booked for Wednesdsy, today is Friday so that's a 5 day wait. 
I'm trying so hard to stay positive but I've had a pain in my right side for a few weeks now too so I feel like it's bad as that's where the kidneys are.
I can't stop thinking terrible thoughts, and then sometimes I catch myself just staring at the wall. My family want to come and visit me tomorrow but I just want to be alone.. I think. I don't know. I honestly feel like this is all a bad dream and I'm going mad.</t>
        </is>
      </c>
      <c r="D7871" t="n">
        <v>1</v>
      </c>
      <c r="E7871" t="n">
        <v>16</v>
      </c>
      <c r="F7871">
        <f>HYPERLINK("https://www.reddit.com/r/cancer/comments/f79392/the_waiting_is_killing_me/")</f>
        <v/>
      </c>
      <c r="G7871" t="inlineStr">
        <is>
          <t>2020-02-21 02:11:10</t>
        </is>
      </c>
      <c r="H7871" t="inlineStr"/>
    </row>
    <row r="7872">
      <c r="A7872" t="inlineStr">
        <is>
          <t>f7antw</t>
        </is>
      </c>
      <c r="B7872" t="inlineStr">
        <is>
          <t>🔥🚨 I NEED YOUR HELP 🚨🔥</t>
        </is>
      </c>
      <c r="C7872" t="inlineStr">
        <is>
          <t>My cousin recently got diagnosed with cancer if the tongue so were ( my wife and I ) are trying to raise some money to help pay some of her medical Bill's and expenses obviously this situation is overwhelming and she has a 3 year old daughter so were trying to make this as easy on her as possible. If anyone is interested I left the link to my YouTube that were going to be streaming from. 
How to donate? 
Mobile: YouTube " About Me " page and link is in there as Amaris Fight!
Desktop/Laptop: Link is in the channel art as a button. 
During any live streams the donation will pop up during the stream saying how much and a brief message. So please come hangout and chat with my wife and I tomorrow at 2pm EST. I will be going live today at 4:30pm EST as well as a pre game for the main event just to hang out! 
[I WILL BE STREAMING FROM HERE ](https://www.youtube.com/user/tonyp436)</t>
        </is>
      </c>
      <c r="D7872" t="n">
        <v>1</v>
      </c>
      <c r="E7872" t="n">
        <v>0</v>
      </c>
      <c r="F7872">
        <f>HYPERLINK("https://www.reddit.com/r/cancer/comments/f7antw/i_need_your_help/")</f>
        <v/>
      </c>
      <c r="G7872" t="inlineStr">
        <is>
          <t>2020-02-21 04:51:46</t>
        </is>
      </c>
      <c r="H7872" t="inlineStr"/>
    </row>
    <row r="7873">
      <c r="A7873" t="inlineStr">
        <is>
          <t>f7b6hp</t>
        </is>
      </c>
      <c r="B7873" t="inlineStr">
        <is>
          <t>First time posting, this is one of those subs you hope never to join but here I am.</t>
        </is>
      </c>
      <c r="C7873" t="inlineStr">
        <is>
          <t>We've just got confirmation that my mom has ovarian cancer, there are more tests to be done to see how bad it is but I'm just devastated, I can't think clearly, I can't eat, can't stop crying.
She told me "I'm afraid" and she sounded like a little girl. I don't know how  to be strong for her, I'm 27, I feel like I just learned how to wipe my ass and now I need to be the strong one(only child, single mother)
I'm so lost, I also feel alone.
I don't know what else to say, thank you for reading?</t>
        </is>
      </c>
      <c r="D7873" t="n">
        <v>1</v>
      </c>
      <c r="E7873" t="n">
        <v>21</v>
      </c>
      <c r="F7873">
        <f>HYPERLINK("https://www.reddit.com/r/cancer/comments/f7b6hp/first_time_posting_this_is_one_of_those_subs_you/")</f>
        <v/>
      </c>
      <c r="G7873" t="inlineStr">
        <is>
          <t>2020-02-21 05:36:18</t>
        </is>
      </c>
      <c r="H7873" t="inlineStr"/>
    </row>
    <row r="7874">
      <c r="A7874" t="inlineStr">
        <is>
          <t>f7dhya</t>
        </is>
      </c>
      <c r="B7874" t="inlineStr">
        <is>
          <t>Any bone cancer survivors here?</t>
        </is>
      </c>
      <c r="C7874" t="inlineStr">
        <is>
          <t>I had osterosarcoma diagnosed about a year ago. I was SO fortunate to have had one of the rarest in the bone cancer family that grows slowly and was removed with surgery alone. But this surgery has drastically changed my life. I have a compression implant that takes up 9 inches of my femur, complete with a prosethic knee and glued into my tibia. This has been a painful and long process. Are there any other survivors or current patients out there in this thread? With it being so rare, I feel so alone in this process. My whole life has been turned upside by this permanent disability. I hope to be a resource to other bone cancer inflicted individuals. The lung scan follow ups are terrifying and relearning to walk and be semi normal has been arduous. Lets do this together.</t>
        </is>
      </c>
      <c r="D7874" t="n">
        <v>1</v>
      </c>
      <c r="E7874" t="n">
        <v>22</v>
      </c>
      <c r="F7874">
        <f>HYPERLINK("https://www.reddit.com/r/cancer/comments/f7dhya/any_bone_cancer_survivors_here/")</f>
        <v/>
      </c>
      <c r="G7874" t="inlineStr">
        <is>
          <t>2020-02-21 08:24:40</t>
        </is>
      </c>
      <c r="H7874" t="inlineStr"/>
    </row>
    <row r="7875">
      <c r="A7875" t="inlineStr">
        <is>
          <t>f7e64x</t>
        </is>
      </c>
      <c r="B7875" t="inlineStr">
        <is>
          <t>Metabolic activity?</t>
        </is>
      </c>
      <c r="C7875" t="inlineStr">
        <is>
          <t>Sorry, if this is a stupid question. 
Does metabolic activity always mean cancer? 
I did a PET scan on Wednesday for suspicious relapse( Hodgkin's lymphoma). I got the results today and it shows I don't have relapse. 
I always had a uterine fibroid and doctor never seemed to care. The recent scan shows that the fibroid has increased and a metabolic activity. Now I'm not sure if metabolic activity indicates cancer or not.</t>
        </is>
      </c>
      <c r="D7875" t="n">
        <v>1</v>
      </c>
      <c r="E7875" t="n">
        <v>5</v>
      </c>
      <c r="F7875">
        <f>HYPERLINK("https://www.reddit.com/r/cancer/comments/f7e64x/metabolic_activity/")</f>
        <v/>
      </c>
      <c r="G7875" t="inlineStr">
        <is>
          <t>2020-02-21 09:10:24</t>
        </is>
      </c>
      <c r="H7875" t="inlineStr"/>
    </row>
    <row r="7876">
      <c r="A7876" t="inlineStr">
        <is>
          <t>f7fatc</t>
        </is>
      </c>
      <c r="B7876" t="inlineStr">
        <is>
          <t>curative surgery opportunity</t>
        </is>
      </c>
      <c r="C7876" t="inlineStr">
        <is>
          <t>For stage 4 stomach cancer patient, found spread to peritoneal nodes and peritoneal water, is there a chance to do surgery</t>
        </is>
      </c>
      <c r="D7876" t="n">
        <v>1</v>
      </c>
      <c r="E7876" t="n">
        <v>5</v>
      </c>
      <c r="F7876">
        <f>HYPERLINK("https://www.reddit.com/r/cancer/comments/f7fatc/curative_surgery_opportunity/")</f>
        <v/>
      </c>
      <c r="G7876" t="inlineStr">
        <is>
          <t>2020-02-21 10:26:02</t>
        </is>
      </c>
      <c r="H7876" t="inlineStr"/>
    </row>
    <row r="7877">
      <c r="A7877" t="inlineStr">
        <is>
          <t>f7fqyh</t>
        </is>
      </c>
      <c r="B7877" t="inlineStr">
        <is>
          <t>Lupron to reduce breast cancer recurrence risk under 35yo</t>
        </is>
      </c>
      <c r="C7877" t="inlineStr">
        <is>
          <t>I just had my 3 month check in post final chemo with my oncologist yesterday. I thought we were going to just do blood work, a physical exam and discuss how I have been tolerating the tamoxifen.
We did all that, but then she sat me down and wanted to talk about my long term prognosis. I was 31 when I was diagnosed with Stage I, ER/PR+, Her2-, BRCA2+, grade 3 invasive ductal carcinoma. I had a bilateral mastectomy, did 4 rounds of TC chemo, no rads because they got clean margins and it wasn't in my lymph nodes, and I will be on tamoxifen for 10 years. She said that while the cancer is gone now, because I was under 35, the chances of it coming back are much higher than the average patient. She told me that I might consider adding monthly Lupron shots to suppress my ovaries for 5 years.
The risks are that going into menopause at 32 will have negative impact on my bone and heart health, especially since I will also need my ovaries out by 40 anyway because of my BRCA2 mutation. She couldn't really tell me how much the Lupron would reduce my risk, only that it's something they want women under 35 to know about since estrogen positive cancers tend to be more likely to come back much later on. Based on my particular case and treatment, I'm currently sitting at about a 10-15% chance of recurrence in 10 years (I'd be 41), and there are no big studies that show longer than that with my treatment plan since oncotyping is still somewhat new.
I'm not asking anyone to make my decision for me of course. I was just interested in hearing anyone's experience with this drug, or if you chose not to do it. There's so little information for younger patients, and I'd love to connect with some of you who have been through this.
 \[I posted this in r/breastcancer hours ago but it does not seem to be posting. Sorry for repeating it here if it shows up there later\]</t>
        </is>
      </c>
      <c r="D7877" t="n">
        <v>1</v>
      </c>
      <c r="E7877" t="n">
        <v>10</v>
      </c>
      <c r="F7877">
        <f>HYPERLINK("https://www.reddit.com/r/cancer/comments/f7fqyh/lupron_to_reduce_breast_cancer_recurrence_risk/")</f>
        <v/>
      </c>
      <c r="G7877" t="inlineStr">
        <is>
          <t>2020-02-21 10:56:55</t>
        </is>
      </c>
      <c r="H7877" t="inlineStr"/>
    </row>
    <row r="7878">
      <c r="A7878" t="inlineStr">
        <is>
          <t>f7h6oh</t>
        </is>
      </c>
      <c r="B7878" t="inlineStr">
        <is>
          <t>Possible lung mets?</t>
        </is>
      </c>
      <c r="C7878" t="inlineStr">
        <is>
          <t>My mum has S4 breast cancer with bone mets. She was diagnosed in October 2019 and the scans showed nothing at all in her organs, just in her breast/bone. Currently taking Ibrance and Letrozole and doing as well as she can, but she’s got this cough. 
Over Christmas she was in hospital with a chest infection. X rays were done and an oncologist confirmed that other than the infection there was nothing to indicate a spread, but she still has a cough. 
I’m a little concerned that maybe something is in her lung, although I’m not certain that 24th December 2019 to 21st February 2020 is enough time for something to form there – especially since nothing was detected on her X rays. 
Could this cough be an indicator of a lung metastasis? Side effects of Ibrance? Just a bit of a bug? It seems more in her throat than a chesty cough and she’s not coughing up blood, having trouble breathing, getting breathless etc.
I’m just on hyper alert mode since we know her cancer has metastasized once already</t>
        </is>
      </c>
      <c r="D7878" t="n">
        <v>1</v>
      </c>
      <c r="E7878" t="n">
        <v>4</v>
      </c>
      <c r="F7878">
        <f>HYPERLINK("https://www.reddit.com/r/cancer/comments/f7h6oh/possible_lung_mets/")</f>
        <v/>
      </c>
      <c r="G7878" t="inlineStr">
        <is>
          <t>2020-02-21 12:32:50</t>
        </is>
      </c>
      <c r="H7878" t="inlineStr"/>
    </row>
    <row r="7879">
      <c r="A7879" t="inlineStr">
        <is>
          <t>f7jha4</t>
        </is>
      </c>
      <c r="B7879" t="inlineStr">
        <is>
          <t>Am I crazy?</t>
        </is>
      </c>
      <c r="C7879" t="inlineStr">
        <is>
          <t>So, I think I'm kinda losing it a little. I've been having all sorts of weird symptoms over the last few months. Of course I do way too much reading online. Unfortunately I was right about one thing, a rapidly growing bump on my face came back positive for squamous cell carcinoma. I go in next week for Mohs but now I keep developing other weird stuff. I'm pretty convinced I have lymphoma and the squamous is just a secondary from having reduced immune function. Latest thing is swollen lymph nodes everywhere, a rash on the back of my scalp, pain in my groin, inflamed thyroid, and a red splotchy patch on my forehead. That's just this week. Over the past couple of months I had the squamous cell carcinoma develop on my face, several new warts pop up, night sweats, rapid weight gain (30lbs in about 2 months), terminal hematuria, terminal dysuria, several weeks of diarrhea, bloody/painful bowel movements, random itching, I'm sleeping entirely too much and I've been sick several times. I will literally sit on the couch in just a pair of shorts, the house at 65F (18C), sweating. Luckily I go back to my PCP next week, the day after my Mohs. I hope I'm just crazy. I'm already on blood pressure meds, cholesterol meds, and stuff for bipolar. Side effects maybe? All random, unconnected stuff? I hope I'm wrong this time. I'm 34M with a BMI of 30. I don't feel like this should be happening. Something feels wrong.</t>
        </is>
      </c>
      <c r="D7879" t="n">
        <v>1</v>
      </c>
      <c r="E7879" t="n">
        <v>5</v>
      </c>
      <c r="F7879">
        <f>HYPERLINK("https://www.reddit.com/r/cancer/comments/f7jha4/am_i_crazy/")</f>
        <v/>
      </c>
      <c r="G7879" t="inlineStr">
        <is>
          <t>2020-02-21 15:06:58</t>
        </is>
      </c>
      <c r="H7879" t="inlineStr"/>
    </row>
    <row r="7880">
      <c r="A7880" t="inlineStr">
        <is>
          <t>f7jsmb</t>
        </is>
      </c>
      <c r="B7880" t="inlineStr">
        <is>
          <t>Why can't I cry?</t>
        </is>
      </c>
      <c r="C7880" t="inlineStr">
        <is>
          <t>I lost my dad to colon cancer two weeks ago. 
I have cried exactly two times since. Once when I watched him pass away and once at his funeral. I'm usually a very emotional person who cries very easily. Is this common? I'm scared I'm only repressing it and it's bottling up and it will hit me x100 times harder when I least expect it. How do I cope with this in a healthy way, because right now everything seems normal to me except for the fact that the person I was closest to is gone forever. I feel anger and anxiety but that's about it. 
I'm sorry if this is not the right subreddit, please let me know if I can post this elsewhere.</t>
        </is>
      </c>
      <c r="D7880" t="n">
        <v>1</v>
      </c>
      <c r="E7880" t="n">
        <v>7</v>
      </c>
      <c r="F7880">
        <f>HYPERLINK("https://www.reddit.com/r/cancer/comments/f7jsmb/why_cant_i_cry/")</f>
        <v/>
      </c>
      <c r="G7880" t="inlineStr">
        <is>
          <t>2020-02-21 15:29:46</t>
        </is>
      </c>
      <c r="H7880" t="inlineStr"/>
    </row>
    <row r="7881">
      <c r="A7881" t="inlineStr">
        <is>
          <t>f7jxyo</t>
        </is>
      </c>
      <c r="B7881" t="inlineStr">
        <is>
          <t>Today is a good day, it is 20 years to the day since I found out I had cancer</t>
        </is>
      </c>
      <c r="C7881" t="inlineStr">
        <is>
          <t>Today is a good day, it is 20 years to the day since I found out I had cancer. I was one of the lucky ones who caught it early and had a treatable form of the disease.  I was 22 years old at the time and 2 months into my first proper job after University.  It’s affected my whole life and everything since, but I survived.  Now I’m laying here with my wife sleeping next to me and our 2 children sleeping in the room next to us. I am still one of the lucky ones. The NHS is just the best thing to come out of Britain, without it I probably wouldn’t be here today. Keep fighting the good fight everyone. X</t>
        </is>
      </c>
      <c r="D7881" t="n">
        <v>1</v>
      </c>
      <c r="E7881" t="n">
        <v>18</v>
      </c>
      <c r="F7881">
        <f>HYPERLINK("https://www.reddit.com/r/cancer/comments/f7jxyo/today_is_a_good_day_it_is_20_years_to_the_day/")</f>
        <v/>
      </c>
      <c r="G7881" t="inlineStr">
        <is>
          <t>2020-02-21 15:40:01</t>
        </is>
      </c>
      <c r="H7881" t="inlineStr"/>
    </row>
    <row r="7882">
      <c r="A7882" t="inlineStr">
        <is>
          <t>f7jyng</t>
        </is>
      </c>
      <c r="B7882" t="inlineStr">
        <is>
          <t>chance of recurrence</t>
        </is>
      </c>
      <c r="C7882" t="inlineStr">
        <is>
          <t>how does the rate of recurrence differ in stage 3b cervical cancer with and without a radical hysterectomy? i cannot find the answer specific to this.</t>
        </is>
      </c>
      <c r="D7882" t="n">
        <v>1</v>
      </c>
      <c r="E7882" t="n">
        <v>2</v>
      </c>
      <c r="F7882">
        <f>HYPERLINK("https://www.reddit.com/r/cancer/comments/f7jyng/chance_of_recurrence/")</f>
        <v/>
      </c>
      <c r="G7882" t="inlineStr">
        <is>
          <t>2020-02-21 15:41:22</t>
        </is>
      </c>
      <c r="H7882" t="inlineStr"/>
    </row>
    <row r="7883">
      <c r="A7883" t="inlineStr">
        <is>
          <t>f7kmj5</t>
        </is>
      </c>
      <c r="B7883" t="inlineStr">
        <is>
          <t>Mental Illness and Cancer</t>
        </is>
      </c>
      <c r="C7883" t="inlineStr">
        <is>
          <t>My mom is mentally ill. Prior to her cancer diagnosis she had been diagnosed and treated for anxiety, and depression. She was non compliant and non adherent with her mental health care in the past. Never completed therapy or medication. 
When she was initially diagnosed with non small cell lung cancer she had a week long psychotic episode. She was paranoid that the doctors and nurses were out to get her, didn’t trust the medicine they were giving her etc. Her admitting physician finally got psych involved and she was medicated. The psychotic episode has ended, but she is still distrusting and sometimes non compliant. She was placed in rehab after surgery. She’s refusing PT sometimes and refusing meds sometimes. She is extremely depressed, but is better than she was before. She is still under psychiatric care and has been going to counseling daily. She has only been getting psychiatric treatment for 3 weeks and the effects of the meds take time. Time which she doesn’t really have. 
Her cancer has high levels of the genetic mutation that make it susceptible to effective treatment by Keytruda or other immunotherapy. 
From what I know now it looks like oncology doesn’t want to treat her at all. Other than palliative care and radiation, no chemo, no immunotherapy, because of her behavior, which is caused by her mental illness, which until now has not been treated.
We have a meeting on Monday. We are moving her into assisted living after rehab to force a modicum of compliance with care. My concern is that the docs may not give her a shot at treatment because of her underlying mental health issues. Which she is seeking treatment for, finally. 
She is otherwise competent. Very intelligent and aware of everything that is going on. She is young and if not for the mental health issues should be a candidate for aggressive treatment.
It’s a perfect storm. She’s finally getting mental health care but it may be to late. I know she wants to do treatment. 
Anyone been through something like this? What should I do? I don’t want my mom to die of mental illness with cancer. Thought? Advice? Support?</t>
        </is>
      </c>
      <c r="D7883" t="n">
        <v>1</v>
      </c>
      <c r="E7883" t="n">
        <v>5</v>
      </c>
      <c r="F7883">
        <f>HYPERLINK("https://www.reddit.com/r/cancer/comments/f7kmj5/mental_illness_and_cancer/")</f>
        <v/>
      </c>
      <c r="G7883" t="inlineStr">
        <is>
          <t>2020-02-21 16:30:34</t>
        </is>
      </c>
      <c r="H7883" t="inlineStr"/>
    </row>
    <row r="7884">
      <c r="A7884" t="inlineStr">
        <is>
          <t>f7lhx5</t>
        </is>
      </c>
      <c r="B7884" t="inlineStr">
        <is>
          <t>sad about my friends recent diagnosis</t>
        </is>
      </c>
      <c r="C7884" t="inlineStr">
        <is>
          <t>One of my very good friends broke the news that she has breast cancer...she found out yesterday. As soon as she told me, I tried my very best to not bawl into tears...she is the most sweetest and amazing person I know. She has done so much not only for me, but for other people. She’s 36...so young...so much more life to live...but I have faith and hope that she’ll pull through. 
My mother in law passed away two years ago to colon cancer, and I saw the way her body deteriorated. A once vibrant and active who stopped walking on her last days because of cancer....and I am so scared to see my friend go through something so horrible the way my mother in law and so many other people have gone through. I really hope I can have the opportunity to see my friend get through this. I know her diagnosis isn’t the end of the world, but I will be here to support her, and always be here for her. Friends forever.
....Fuck cancer.</t>
        </is>
      </c>
      <c r="D7884" t="n">
        <v>1</v>
      </c>
      <c r="E7884" t="n">
        <v>5</v>
      </c>
      <c r="F7884">
        <f>HYPERLINK("https://www.reddit.com/r/cancer/comments/f7lhx5/sad_about_my_friends_recent_diagnosis/")</f>
        <v/>
      </c>
      <c r="G7884" t="inlineStr">
        <is>
          <t>2020-02-21 17:38:22</t>
        </is>
      </c>
      <c r="H7884" t="inlineStr"/>
    </row>
    <row r="7885">
      <c r="A7885" t="inlineStr">
        <is>
          <t>f7lsvm</t>
        </is>
      </c>
      <c r="B7885" t="inlineStr">
        <is>
          <t>Idea</t>
        </is>
      </c>
      <c r="C7885" t="inlineStr">
        <is>
          <t>Would you be able to create a sickness of sorts that's localized in a tumor so that the immune system would target it?</t>
        </is>
      </c>
      <c r="D7885" t="n">
        <v>1</v>
      </c>
      <c r="E7885" t="n">
        <v>5</v>
      </c>
      <c r="F7885">
        <f>HYPERLINK("https://www.reddit.com/r/cancer/comments/f7lsvm/idea/")</f>
        <v/>
      </c>
      <c r="G7885" t="inlineStr">
        <is>
          <t>2020-02-21 18:02:42</t>
        </is>
      </c>
      <c r="H7885" t="inlineStr"/>
    </row>
    <row r="7886">
      <c r="A7886" t="inlineStr">
        <is>
          <t>f7mj52</t>
        </is>
      </c>
      <c r="B7886" t="inlineStr">
        <is>
          <t>Hospital will indefinitely reschedule life-saving bone marrow transplant for my dad if he can’t guarantee insurance...</t>
        </is>
      </c>
      <c r="C7886" t="inlineStr">
        <is>
          <t>My dad just finished chemo and his recent analysis showed he is, so far, in a great spot for the transplant (he has two more analysis left). He is scheduled to go into the hospital to get ready for the transplant on March 22. They even have a donor.
Today my parents received a call from the nurse asking if he will have insurance by the 22nd. He said he “doesn’t know yet, why? Is the doctor asking how she will get paid?” The nurse said “no, but if he doesn’t have insurance we’ll have to reschedule the transplant.” So my parents asked “until when?!” And she said “until he has insurance.”
My dad is on short term disability that will run out March 11th, they were advised by the social worker at the hospital that they didn’t have to apply for COBRA until the insurance ran out but it turns out the deadline was Feb 15th, and they were denied for Medicare (or Medicaid, I can’t remember which) because he is right now on short term disability. He was told to call the social security office when he is checked into the hospital so they can maybe grant him some emergency Medicaid...but the hospital will reschedule until he has insurance so he’d never get checked in, therefore no emergency anything.
What are our options?
Can a hospital essentially let my dad die of cancer because he doesn’t have insurance?
Any tips/info will help. I’m looking at possible public hospitals where maybe they have a legal obligation of performing this procedure (or at least not letting my dad die).</t>
        </is>
      </c>
      <c r="D7886" t="n">
        <v>1</v>
      </c>
      <c r="E7886" t="n">
        <v>7</v>
      </c>
      <c r="F7886">
        <f>HYPERLINK("https://www.reddit.com/r/cancer/comments/f7mj52/hospital_will_indefinitely_reschedule_lifesaving/")</f>
        <v/>
      </c>
      <c r="G7886" t="inlineStr">
        <is>
          <t>2020-02-21 19:02:08</t>
        </is>
      </c>
      <c r="H7886" t="inlineStr"/>
    </row>
    <row r="7887">
      <c r="A7887" t="inlineStr">
        <is>
          <t>f7n267</t>
        </is>
      </c>
      <c r="B7887" t="inlineStr">
        <is>
          <t>Tabloid expectations</t>
        </is>
      </c>
      <c r="C7887" t="inlineStr">
        <is>
          <t>Today I started taking Tabloid, 40 mg 3 pills a day.
What side effects should I expect? Is it like mercaptopurine? Anything I should look out for?
I have ALL and also posted this on r/leukemia</t>
        </is>
      </c>
      <c r="D7887" t="n">
        <v>1</v>
      </c>
      <c r="E7887" t="n">
        <v>0</v>
      </c>
      <c r="F7887">
        <f>HYPERLINK("https://www.reddit.com/r/cancer/comments/f7n267/tabloid_expectations/")</f>
        <v/>
      </c>
      <c r="G7887" t="inlineStr">
        <is>
          <t>2020-02-21 19:46:44</t>
        </is>
      </c>
      <c r="H7887" t="inlineStr"/>
    </row>
    <row r="7888">
      <c r="A7888" t="inlineStr">
        <is>
          <t>f7n4k2</t>
        </is>
      </c>
      <c r="B7888" t="inlineStr">
        <is>
          <t>Cutaneous T-Cell Lymphoma Severely attacking Hands Please help (suggestions for relief)</t>
        </is>
      </c>
      <c r="C7888" t="inlineStr">
        <is>
          <t>Hello everyone my mother has CTCL and is stable as possible after undergoing treatment for years. As the cancer has “backed down” the doctors state that it is “coming out” in her hands. This causes poison ivy looking red marks all over her hands. Dry, red, puffy, painful.
Does anyone with anything similar. Any kind of experience. Have any suggestions? She’s tried various skin moisturizers with not much success. Clearly the doctors have no suggestions. 
A post like this can be difficult to respond to but any help is greatly appreciated by me and my family thank you! (If I posted in improper sub please correct me)</t>
        </is>
      </c>
      <c r="D7888" t="n">
        <v>1</v>
      </c>
      <c r="E7888" t="n">
        <v>5</v>
      </c>
      <c r="F7888">
        <f>HYPERLINK("https://www.reddit.com/r/cancer/comments/f7n4k2/cutaneous_tcell_lymphoma_severely_attacking_hands/")</f>
        <v/>
      </c>
      <c r="G7888" t="inlineStr">
        <is>
          <t>2020-02-21 19:52:27</t>
        </is>
      </c>
      <c r="H7888" t="inlineStr"/>
    </row>
    <row r="7889">
      <c r="A7889" t="inlineStr">
        <is>
          <t>f7nsav</t>
        </is>
      </c>
      <c r="B7889" t="inlineStr">
        <is>
          <t>Sometimes I feel guilty about my cancer</t>
        </is>
      </c>
      <c r="C7889" t="inlineStr">
        <is>
          <t>I feel guilty even posting this, but sometimes I feel deep guilt for my cancer. I got diagnosed with stage 2 dysgerminoma (ovarian cancer) and I only had to go through surgery and 3 months of chemo. I lost my hair and I felt awful, but ultimately I survived and I am recovering very well. It makes me feel guilty, like I should have had it worse to experience "real cancer." It makes me feel awful, everyone telling me I'm so strong for making it through, when I know people have it way worse.
Sorry, it's just something I've been grappling with and I need it off my chest. Ya'll are so supportive, I love all of you.</t>
        </is>
      </c>
      <c r="D7889" t="n">
        <v>1</v>
      </c>
      <c r="E7889" t="n">
        <v>12</v>
      </c>
      <c r="F7889">
        <f>HYPERLINK("https://www.reddit.com/r/cancer/comments/f7nsav/sometimes_i_feel_guilty_about_my_cancer/")</f>
        <v/>
      </c>
      <c r="G7889" t="inlineStr">
        <is>
          <t>2020-02-21 20:49:38</t>
        </is>
      </c>
      <c r="H7889" t="inlineStr"/>
    </row>
    <row r="7890">
      <c r="A7890" t="inlineStr">
        <is>
          <t>f7qhht</t>
        </is>
      </c>
      <c r="B7890" t="inlineStr">
        <is>
          <t>Heterogeneous uptake?</t>
        </is>
      </c>
      <c r="C7890" t="inlineStr">
        <is>
          <t>Does anyone know what it means?
My wife has Leukemia 3 years ago. She had this growing fibroid outside from her uterus.  Last time she scanned was in August 2018. The area didn't light up, so doctors didn't care. 
She got scanned last week and we recieved the PET scan results. Show that there's an heterogeneous uptake at the fibroid. I have never came across the word. I tend to hear metabolic activity. Does anyone know what it means?</t>
        </is>
      </c>
      <c r="D7890" t="n">
        <v>1</v>
      </c>
      <c r="E7890" t="n">
        <v>4</v>
      </c>
      <c r="F7890">
        <f>HYPERLINK("https://www.reddit.com/r/cancer/comments/f7qhht/heterogeneous_uptake/")</f>
        <v/>
      </c>
      <c r="G7890" t="inlineStr">
        <is>
          <t>2020-02-22 01:38:41</t>
        </is>
      </c>
      <c r="H7890" t="inlineStr"/>
    </row>
    <row r="7891">
      <c r="A7891" t="inlineStr">
        <is>
          <t>f7r1b4</t>
        </is>
      </c>
      <c r="B7891" t="inlineStr">
        <is>
          <t>Inconclusive biopsy : really scared</t>
        </is>
      </c>
      <c r="C7891" t="inlineStr">
        <is>
          <t>Hello, 27 years old male here , I just received my biopsy result for a red lump in my mouth  : 
&amp;amp;#x200B;
Conclusion  :  mild to moderate atypia, It is difficult to assert the dysplasic or regenreative character of this lesion  
I saw my ENT today and he told me its a dysplasia and maybe im predisposed to oral cancer , he told me i have to be monitored for 5 years 
but the conclusion said otherwise  , there is absolutely no family history of oral cancer in my family
What do you think ?  how he can say its a dysplasia he's not the pathologist</t>
        </is>
      </c>
      <c r="D7891" t="n">
        <v>1</v>
      </c>
      <c r="E7891" t="n">
        <v>2</v>
      </c>
      <c r="F7891">
        <f>HYPERLINK("https://www.reddit.com/r/cancer/comments/f7r1b4/inconclusive_biopsy_really_scared/")</f>
        <v/>
      </c>
      <c r="G7891" t="inlineStr">
        <is>
          <t>2020-02-22 02:44:59</t>
        </is>
      </c>
      <c r="H7891" t="inlineStr"/>
    </row>
    <row r="7892">
      <c r="A7892" t="inlineStr">
        <is>
          <t>f7r9ue</t>
        </is>
      </c>
      <c r="B7892" t="inlineStr">
        <is>
          <t>I'm nervous? Scared?</t>
        </is>
      </c>
      <c r="C7892" t="inlineStr">
        <is>
          <t>Second post here not too long after my first. Was diagnosed with stage 3 lung cancer in late december since then, cancer markers have gone down to almost a normal level. However, I was just told that the tumor has been growing since the start, its a teratoma, I have growing teratoma syndrome and will be going through surgery to remove it next week. I'm scared, its going to be a trapdoor incision so its going to be huge, im going to feel so much pain after. My voice might be altered forever as the nerve controlling my voice is in contact with the tumor and a wrong move will be bad. Everything happens so fast, why.</t>
        </is>
      </c>
      <c r="D7892" t="n">
        <v>1</v>
      </c>
      <c r="E7892" t="n">
        <v>11</v>
      </c>
      <c r="F7892">
        <f>HYPERLINK("https://www.reddit.com/r/cancer/comments/f7r9ue/im_nervous_scared/")</f>
        <v/>
      </c>
      <c r="G7892" t="inlineStr">
        <is>
          <t>2020-02-22 03:13:23</t>
        </is>
      </c>
      <c r="H7892" t="inlineStr"/>
    </row>
    <row r="7893">
      <c r="A7893" t="inlineStr">
        <is>
          <t>f7ti82</t>
        </is>
      </c>
      <c r="B7893" t="inlineStr">
        <is>
          <t>What did you guys do for mouth sores?</t>
        </is>
      </c>
      <c r="C7893" t="inlineStr">
        <is>
          <t>I've developed really bad mouth sores over the last couple of days. My tounge is pretty blistered and painful right now. Is there anything I can do to combat this or a mouthwash or solution that worked for you guys? This is terrible and I can't each much of anything without pain right now. Any advice is appreciated.</t>
        </is>
      </c>
      <c r="D7893" t="n">
        <v>1</v>
      </c>
      <c r="E7893" t="n">
        <v>25</v>
      </c>
      <c r="F7893">
        <f>HYPERLINK("https://www.reddit.com/r/cancer/comments/f7ti82/what_did_you_guys_do_for_mouth_sores/")</f>
        <v/>
      </c>
      <c r="G7893" t="inlineStr">
        <is>
          <t>2020-02-22 06:53:20</t>
        </is>
      </c>
      <c r="H7893" t="inlineStr"/>
    </row>
    <row r="7894">
      <c r="A7894" t="inlineStr">
        <is>
          <t>f7xqs2</t>
        </is>
      </c>
      <c r="B7894" t="inlineStr">
        <is>
          <t>Never had SUV reported in my PET scans?</t>
        </is>
      </c>
      <c r="C7894" t="inlineStr">
        <is>
          <t>Is that weird or does anyone else experienced the same ?
I've done about 6 PET scans during and after my treatments, and even though scans detects nodes and metabolic activity, SUV's was never presented. I've taking PET scans in two completely different countries, and both do not use SUV in reports. 
I know that the SUV determine activity which can  or cannot indicate cancer. I have been member of various cancer forums and mostly SUV is always brought up. 
Is SUV not that significant enough that it is not used in some places in the world? Or is my case just weird?</t>
        </is>
      </c>
      <c r="D7894" t="n">
        <v>1</v>
      </c>
      <c r="E7894" t="n">
        <v>0</v>
      </c>
      <c r="F7894">
        <f>HYPERLINK("https://www.reddit.com/r/cancer/comments/f7xqs2/never_had_suv_reported_in_my_pet_scans/")</f>
        <v/>
      </c>
      <c r="G7894" t="inlineStr">
        <is>
          <t>2020-02-22 11:51:56</t>
        </is>
      </c>
      <c r="H7894" t="inlineStr"/>
    </row>
    <row r="7895">
      <c r="A7895" t="inlineStr">
        <is>
          <t>f7xy5k</t>
        </is>
      </c>
      <c r="B7895" t="inlineStr">
        <is>
          <t>Colon cancer has been running in my family</t>
        </is>
      </c>
      <c r="C7895" t="inlineStr">
        <is>
          <t>Hello everyone, I don't even know if this is the thread I should post this. Also, English isn't my first language, so I am sorry for my mistakes. 
I (21F) am not a cancer patient, but I've had a lot of bad dreams and severe fear about being diagnosed since my childhood. It is also running in my family and it's only making my anxiety worse.
Here goes my family history:
My grandma (my mom's mother) died at the age of 58 due to colon cancer. She was on stage IV with a liver mets when she got diagnosed. Her case was inoperable, she's had treatments, but she died 15-16 months after her diagnosis. I was 4 and living in a different city with my own parents. I saw her once during chemo when we visited my mom's hometown. That tall and gorgeous woman from old photos was unfortunately in very bad health. I still remember how her face and body looked. It was traumatising and definitely not a great experience for a little kid.
Then, in the summer of 2018, on the 15th anniversary of my grandma's death, my own mother got diagnosed with colon cancer as well, at the age of 51. She had always been following a very healthy lifestyle with her eating and exercising habits. I believe that she got a tumoe due to severe stress on her work and family life. Thankfully, her tumor (which was on stage IIIA) was still operable. She got surgery, followed by chemotherapy (I think it was Folfox). It's been 9 months since her sessions were over. The cancer hasn't come back since then.
Now let's get to the real issue that I would like to talk about: me. The chances are high that I will also be diagnosed in 20 to 25 years, and it's been haunting me every night. I feel so hopeless. I have no motivation to do good things, follow a healthy lifestyle, or try to fix my life in general, knowing that I will probably not see my grandchildren. I am on a wonderful period of age, and I don't want to miss on good stuff. Am I being concerned for nothing? How can I leave this unhealthy state of mind?
Have a nice day, week, month, year and life.</t>
        </is>
      </c>
      <c r="D7895" t="n">
        <v>1</v>
      </c>
      <c r="E7895" t="n">
        <v>0</v>
      </c>
      <c r="F7895">
        <f>HYPERLINK("https://www.reddit.com/r/cancer/comments/f7xy5k/colon_cancer_has_been_running_in_my_family/")</f>
        <v/>
      </c>
      <c r="G7895" t="inlineStr">
        <is>
          <t>2020-02-22 12:05:29</t>
        </is>
      </c>
      <c r="H7895" t="inlineStr"/>
    </row>
    <row r="7896">
      <c r="A7896" t="inlineStr">
        <is>
          <t>f7yryi</t>
        </is>
      </c>
      <c r="B7896" t="inlineStr">
        <is>
          <t>my mom passed away - what do I do?</t>
        </is>
      </c>
      <c r="C7896" t="inlineStr">
        <is>
          <t>Life is cruel. 
December:
My mom felt weak, tired and she was saying that something's not right. She fell a few times... thought that she is clumsy.
17. December:
My dad brought her to the hospital, since she fell and didn't feel her left-side body. They immediate did an MRI and we got the message, that it's a brain tumor.
02. January:
She had surgery and they pretty much resected the whole thing. There were no (visible) metastases. All went well. Now she couldn't move her left hand and leg. But immediately started physiotherapy. 
17. January:
We got the histology of the tumor. It was a glioblastoma. The physiotherapy though, was good. It helped build her mental strength a lot!!
February:
All was good, she had therapy and could move her hand and leg again. She was not able to stand on it, but we knew it wouldn't take long for her to walk again. 
19. February:
She developed a pneumonia. It was bad but, she got better until the 21.
22. February:
She was sleeping. My dad was holding her hand as she passed.
I feel weird. It's unfair. But I feel bad for thinking it's unfair. How did everything go so fast?</t>
        </is>
      </c>
      <c r="D7896" t="n">
        <v>1</v>
      </c>
      <c r="E7896" t="n">
        <v>25</v>
      </c>
      <c r="F7896">
        <f>HYPERLINK("https://www.reddit.com/r/cancer/comments/f7yryi/my_mom_passed_away_what_do_i_do/")</f>
        <v/>
      </c>
      <c r="G7896" t="inlineStr">
        <is>
          <t>2020-02-22 13:01:55</t>
        </is>
      </c>
      <c r="H7896" t="inlineStr"/>
    </row>
    <row r="7897">
      <c r="A7897" t="inlineStr">
        <is>
          <t>f7yz0b</t>
        </is>
      </c>
      <c r="B7897" t="inlineStr">
        <is>
          <t>You are the shine from the light, I am here for you.</t>
        </is>
      </c>
      <c r="C7897" t="inlineStr">
        <is>
          <t>I see so many people lost, confused and scared with or with life after cancer, I know what you've been through, I know what you are going through, and you will get through it regardless of anything. I just want to say I am here for you, wether you are dealing with cancer, dealing with life after cancer, childhood cancer, adult cancer, disabilities from cancer or surgical scars. 
You're more beautiful then you think, you're an incredible human being, give yourself some credit for what you're going through or have been through, I'm giving you an hug filled of positivity, goodness and love, even if you're feeling like you're in the darkest day of your life or your time, you're still the shine from the light, a star in the sky, even when it's dark outside there are stars that shine bright, like the shine from the moon to know that everything will be okay. I'm not spiritual, but it's nice to think that there is always hope and know that goodness will always come.</t>
        </is>
      </c>
      <c r="D7897" t="n">
        <v>1</v>
      </c>
      <c r="E7897" t="n">
        <v>0</v>
      </c>
      <c r="F7897">
        <f>HYPERLINK("https://www.reddit.com/r/cancer/comments/f7yz0b/you_are_the_shine_from_the_light_i_am_here_for_you/")</f>
        <v/>
      </c>
      <c r="G7897" t="inlineStr">
        <is>
          <t>2020-02-22 13:15:14</t>
        </is>
      </c>
      <c r="H7897" t="inlineStr"/>
    </row>
    <row r="7898">
      <c r="A7898" t="inlineStr">
        <is>
          <t>f7z07j</t>
        </is>
      </c>
      <c r="B7898" t="inlineStr">
        <is>
          <t>Thank you...</t>
        </is>
      </c>
      <c r="C7898" t="inlineStr">
        <is>
          <t>So, I finally went back to my oncologist. I has to put it off for a bit because I had an appointment with a neuropsychologist for a test because I'm suffering a bit of memory loss and both of their offices are over 100 miles away. She said I'm clearly going through menopause and they seem to be pretty certain that my ovary won't go back to releasing hormones. Other than that they say things look good. I just have to get the post radiation PET scan to make sure theres no more cancer hanging out in there.
Anyways, I just want to say thank you. The advice I've gotten from this sub has helped me immensely. You guys are responsible for quelling my fears.
Thank you all for your help. You have no idea what an impact it made on me!</t>
        </is>
      </c>
      <c r="D7898" t="n">
        <v>1</v>
      </c>
      <c r="E7898" t="n">
        <v>5</v>
      </c>
      <c r="F7898">
        <f>HYPERLINK("https://www.reddit.com/r/cancer/comments/f7z07j/thank_you/")</f>
        <v/>
      </c>
      <c r="G7898" t="inlineStr">
        <is>
          <t>2020-02-22 13:17:43</t>
        </is>
      </c>
      <c r="H7898" t="inlineStr"/>
    </row>
    <row r="7899">
      <c r="A7899" t="inlineStr">
        <is>
          <t>f7zst5</t>
        </is>
      </c>
      <c r="B7899" t="inlineStr">
        <is>
          <t>Worried about my dad developing lung cancer</t>
        </is>
      </c>
      <c r="C7899" t="inlineStr">
        <is>
          <t>I had cancer 3.5 years ago, and it shook up my whole family. Cancer doesn't really run deep into our family, so we were really shocked after learning the news I had lymphoma. 
My dad is a heavy smoker. He is never the type of guy who take his health serious. Usually he never complains until he reach heigh level of pain. Last year in June he suddenly experienced sharp pain from his stomach and was rushed to the hospital. Turned out he had volvulus and needed surgery. He needed a CT scan before surgery, which also showed a small nodule on his lung. The doctors believed that it was unlikely to be malignant due to the size and shape. He got scanned on October, which showed the nodule hasn't developed in size. So his next scan would be in April. 
A week after his last scan(October) he developed a chronic cough and wheezing. My family and I was trying to convince him to stop smoking, but he refused. In fact, he smokes a whole pack of cigarette a day. I love my dad, but I'm so angry at him for letting himself go like that. Especially when saw how difficult my journey when cancer was. I don't understand how he is not trying his best to reduce the risk of cancer, when a nodule is present on his lung. 
My mom's uncle was diagnosed with cancer last week which showed it has spread through his whole body. He and his family has been overlooking obvious symptoms which lead him to this condition. 
I immediately freaked out thinking about my dad. I wasn't going to let him go and wait until a possible cancer has developed. I decided to call the hospital on Monday to see if they can schedule an early scan.</t>
        </is>
      </c>
      <c r="D7899" t="n">
        <v>1</v>
      </c>
      <c r="E7899" t="n">
        <v>2</v>
      </c>
      <c r="F7899">
        <f>HYPERLINK("https://www.reddit.com/r/cancer/comments/f7zst5/worried_about_my_dad_developing_lung_cancer/")</f>
        <v/>
      </c>
      <c r="G7899" t="inlineStr">
        <is>
          <t>2020-02-22 14:13:44</t>
        </is>
      </c>
      <c r="H7899" t="inlineStr"/>
    </row>
    <row r="7900">
      <c r="A7900" t="inlineStr">
        <is>
          <t>f7zu3n</t>
        </is>
      </c>
      <c r="B7900" t="inlineStr">
        <is>
          <t>Uncle is in his final days</t>
        </is>
      </c>
      <c r="C7900" t="inlineStr">
        <is>
          <t>My uncle is dying of liver cancer. He's in his final days..
My mom's family side is the world to me because our family bond is strong.
This is going to be my first loss that will break my heart. The first funeral I dealt with was my dad's mom but we weren't close. 
I don't know how I'll take it, or how itll impact me. I'm pretty damn scared..
What do we do in this situation? I can't even see him because he's far away for last time because I'm an ocean away..</t>
        </is>
      </c>
      <c r="D7900" t="n">
        <v>1</v>
      </c>
      <c r="E7900" t="n">
        <v>0</v>
      </c>
      <c r="F7900">
        <f>HYPERLINK("https://www.reddit.com/r/cancer/comments/f7zu3n/uncle_is_in_his_final_days/")</f>
        <v/>
      </c>
      <c r="G7900" t="inlineStr">
        <is>
          <t>2020-02-22 14:16:19</t>
        </is>
      </c>
      <c r="H7900" t="inlineStr"/>
    </row>
    <row r="7901">
      <c r="A7901" t="inlineStr">
        <is>
          <t>f807ll</t>
        </is>
      </c>
      <c r="B7901" t="inlineStr">
        <is>
          <t>My father passed away peacefully yesterday</t>
        </is>
      </c>
      <c r="C7901" t="inlineStr">
        <is>
          <t>My lovely father lost his battle yesterday. It was only a short 7 weeks from diagnosis to his last breath. I cannot believe how fast it all happened. In some ways I am grateful that he did not suffer long, but I wish so much for more time together. 
In the end he went very peacefully. The day before he died, we had a wonderfully lucid day together. He was more alert than I’d seen him all week. He told me he was ready to go and that he loved me. I will forever cherish that moment. He also spent a lot of time staring at something spectacular, very faintly saying “wow” over and over again. I’ve read that Steve Jobs did this exact thing before he passed. I like to think he was seeing the transition from this dimension into the next. He seemed so happy. He fell asleep that night and never woke up again. Yesterday, on the day of his passing, he slept all day, softly breathing. He never had the “death rattle” and up until the end he still had perfect vitals and porcelain skin. He waited until we had all fallen asleep and then slipped away quietly, on his own terms. Just about as peaceful as you can hope for. 
He is no longer suffering. No longer in pain. His fears and worries are gone. My heart is shattered, but forever full of his love. I will miss you so much Dad. ❤️</t>
        </is>
      </c>
      <c r="D7901" t="n">
        <v>1</v>
      </c>
      <c r="E7901" t="n">
        <v>7</v>
      </c>
      <c r="F7901">
        <f>HYPERLINK("https://www.reddit.com/r/cancer/comments/f807ll/my_father_passed_away_peacefully_yesterday/")</f>
        <v/>
      </c>
      <c r="G7901" t="inlineStr">
        <is>
          <t>2020-02-22 14:42:46</t>
        </is>
      </c>
      <c r="H7901" t="inlineStr"/>
    </row>
    <row r="7902">
      <c r="A7902" t="inlineStr">
        <is>
          <t>f81pkn</t>
        </is>
      </c>
      <c r="B7902" t="inlineStr">
        <is>
          <t>What doesn't kill you doesn't necessarily make you stronger.</t>
        </is>
      </c>
      <c r="C7902" t="inlineStr">
        <is>
          <t xml:space="preserve">
I know I should be grateful. I've been NED for about a year now. To avoid surgery, I got my oncologists to take a more aggressive radiation and chemo (one course of Xeloda, one of FOLFOX) approach.  
That oxaliplatin is some nasty stuff. The soles of my feet and my fingers are still numb. I'm clumsy. I dropped the laptop I was writing this on just now. Yesterday I replaced a kitchen sink trap in my house and cut up my hands on the threads and didn't notice until I was done. I haven't been on my motorcycle for a year.   
My oncologist has told me that either the feeling comes back or it doesn't. It's probably not. I've trying to get used to the reduced functionality version of me.   
I'm trying to figure out new things to make me feel more vital, more alive, but they're harder to come by.  
I know I'm whining, but you're the one group of people who might get it. Thanks for listening.</t>
        </is>
      </c>
      <c r="D7902" t="n">
        <v>1</v>
      </c>
      <c r="E7902" t="n">
        <v>12</v>
      </c>
      <c r="F7902">
        <f>HYPERLINK("https://www.reddit.com/r/cancer/comments/f81pkn/what_doesnt_kill_you_doesnt_necessarily_make_you/")</f>
        <v/>
      </c>
      <c r="G7902" t="inlineStr">
        <is>
          <t>2020-02-22 16:34:01</t>
        </is>
      </c>
      <c r="H7902" t="inlineStr"/>
    </row>
    <row r="7903">
      <c r="A7903" t="inlineStr">
        <is>
          <t>f835w5</t>
        </is>
      </c>
      <c r="B7903" t="inlineStr">
        <is>
          <t>I don't know how else to say it nicely I've told you 1000 times "I'm fine...I MEAN IT!!!!" ... NOW LEAVE ME ALONE!!!</t>
        </is>
      </c>
      <c r="C7903" t="inlineStr">
        <is>
          <t>As a man who found out in December 2019 I had Invasive Ductal Carcinoma Stage 2B EP+ Her2-  Breast Cancer....I honestly wish people would leave me alone, specifically my parents. Ever since diagnosis people have changed the way they see me ..... apparently I'm a helpless puppy now, that is incapable of supporting himself and now I apparently need to have someone wipe my ass every time I fart.   
&amp;amp;#x200B;
If people want to be supportive....then do not strip me of dignity, do not strip me of independence, do not strip me of fucking humanity - and think "Hey I never saw this before...let me invade your privacy while you have a procedure done...let me pull up a chair while you have the doctor do this..." (GLUES EYES ON THE SIGHT!!!!) while I look at the doctor "Do I really need to have someone drive me to these things....can't I just drive alone?" \[Dad never saw a surgical scar he had to get a front row seat to see the bandage changed....He never saw a nulesta applicator taken off......he just had to see it.....I got a port put in.....he had to see what the what the port looked like afterwards.......and had to be explained to atleast ATLEAST!!!! 10 times\]  
I am going through treatment, I had my mastectomy last month.....I have 1/4 of chemo treatments done, I only have 3 more to go with radiation being followed. Stop asking me every damn day how I am doing, or if I need anything. Seriously I want to just get up, go to work, come home, watch TV, and go to bed. I don't want to be sitting on my couch watching TV, enjoying myself....ONLY TO BE INTERRUPTED ON THE PHONE like the emergency alert system "How are you doing?"....for the 1 billionth time in a week....I'm FINE FUCK THE FUCK OFF YOU FUCKING FUCKER!!!!! nothing changed for an hour. I don't want to be bothered at work by text message and be asked "DiD yOu WoRk AlL dAy ToDaY?" - I'm 32 years old not some 14 year old kid playing hooky....MOM!!!!!!!!!!!! .....Second if I did choose to go home because of my Nulesta giving me bone pain....what did you plan on doing? Making an unwanted visit to my apartment?...if I did go home due to that reason then you can rest assure yourself I'd want to be left alone.
&amp;amp;#x200B;
I told you already in the nicest way possible ATLEAST!!!!!! 3 times already "IF I am too sick to do something, I will let you know....until then assume I am fine and stop asking me about how I am doing"...they "seem" like they got the memo....but.....literally 1 hour later they ask "How are you feeling?....really?".....Nope you don't get the right to be offended when I blow the fuck up on you now....its gloves are off.....you think that would get their attention? Nope they just cry "We're your parents" ... I can play this game to "I'm your adult son who can take care of himself!!!"
&amp;amp;#x200B;
 \[ The Stockholm logic of love will not work here folks don't even try, at this point parents and son are just words here, shaming me with "You will always be their baby" won't work...don't even try. If I am to accept they are the loving parents everyone says they are they should themselves be able to see they are pissing off their adult son and to back off.....which they aren't if anything they are trying harder to infantize me, they are making MY CANCER about THEMSELVES!!\] Also .....the guilt trip of "I just wish I had parents like yours" .... nope not gonna work...do you really want someone to ask you 4-8 times a week the same aggravating question and not back down until you bend to their will? Do you want someone who will force themselves into your schedule whether you want them there or not? No....you don't.
&amp;amp;#x200B;
I'm done, I'm done...I shouldn't have to do this...but I am blocking you from the phone contacts.... you ruined my one and only fucking "FREE WEEKEND" a weekend that should of been dead silence where all I wanted to do after a week of stomach problems, and bone pain which finally subsided a week after chemo, and the next 3 weekends being filled with doctors appointments (this was supposed to be a weekend dedicated to me and ME ALONE!!!!!!!!!!) - ....was robbed from me. All I wanted to do was sit on my damn couch in silence....that was it even if its watching youtube, or watching reruns of a tv show, or even playing video games....I literally even visited you on the day before the weekend started so I wouldn't have to hear the questions....you saw me yesterday....you should know everything is fine....nope both days you had to ask "How am I doing?" 4 times each!!!!!! .... fucking 4 times!!!!!!!!!!!!!!!!!!!!!!!!! You sent me on a rage path for an hour both days....thats it I'm done being nice, its not sinking in, me yelling at you doesn't do it....and I refuse to  god damn cave and let you in and twist myself to you.....so now you get a god damn fucking block....I will cut you out of my life like my cancer was cut out of me.
&amp;amp;#x200B;
I reign supreme when it comes to my health not you!!! , you aren't paying the bills, I don't live under your roof, you have zero control over my life!!!!! ALL HAIL VONCLOFT!!!!!!!!</t>
        </is>
      </c>
      <c r="D7903" t="n">
        <v>1</v>
      </c>
      <c r="E7903" t="n">
        <v>38</v>
      </c>
      <c r="F7903">
        <f>HYPERLINK("https://www.reddit.com/r/cancer/comments/f835w5/i_dont_know_how_else_to_say_it_nicely_ive_told/")</f>
        <v/>
      </c>
      <c r="G7903" t="inlineStr">
        <is>
          <t>2020-02-22 18:28:31</t>
        </is>
      </c>
      <c r="H7903" t="inlineStr"/>
    </row>
    <row r="7904">
      <c r="A7904" t="inlineStr">
        <is>
          <t>f85bnt</t>
        </is>
      </c>
      <c r="B7904" t="inlineStr">
        <is>
          <t>I can’t look at myself anymore</t>
        </is>
      </c>
      <c r="C7904" t="inlineStr">
        <is>
          <t>Just some background I (F16) was recently diagnosed with cancer. I’m done chemo but still have radiation.
I’m just so frustrated with being sick. I have basically no confidence anymore, I hate the way I look, I have always been a girl with really long hair and hated short hair and now I’m bald. I keep staring at my friends hair and being so jealous. I’m refusing to wear and of my nice pretty cloths because I feel like if I try really hard to look pretty and I still don’t it will just prove to me how ugly I actually am now. I keep looking at myself in the mirror and saying to myself “that outfit would have looked better if your had hair or maybe a guy would actually like you if you weren’t a walking billboard for cancer.” It’s just hard because even when I start to have hair again it will still be months before it’s actually at a length I like. I just feel so distant from everything.</t>
        </is>
      </c>
      <c r="D7904" t="n">
        <v>1</v>
      </c>
      <c r="E7904" t="n">
        <v>23</v>
      </c>
      <c r="F7904">
        <f>HYPERLINK("https://www.reddit.com/r/cancer/comments/f85bnt/i_cant_look_at_myself_anymore/")</f>
        <v/>
      </c>
      <c r="G7904" t="inlineStr">
        <is>
          <t>2020-02-22 21:39:55</t>
        </is>
      </c>
      <c r="H7904" t="inlineStr"/>
    </row>
    <row r="7905">
      <c r="A7905" t="inlineStr">
        <is>
          <t>f85zut</t>
        </is>
      </c>
      <c r="B7905" t="inlineStr">
        <is>
          <t>Guilt over my thyroid cancer</t>
        </is>
      </c>
      <c r="C7905" t="inlineStr">
        <is>
          <t>I had thyroid cancer in 2017 when I was 21. I had to have the entire thyroid removed and I feel guilty when I tell people that I had cancer. I feel as though there was nothing to have survived like I didn't accomplish anything or overcome anything. 
However, i feel like having it and having the surgery caused me a lot of issues. After the surgery I woke up unable to breathe on my own or swallow liquids and I was (and still am) severely calcium deficient. I could barely talk above a whisper as well. For 6 months following the surgery I still had issues swallowing and my voice was still now getting better. We found out my left vocal cord was permanently paralyzed. They told me that it could get better but it may take years. They also said I could have surgery to fix it but there's more complications to that. Having a paralyzed vocal cord means it's also hard to breathe and swallow. On top of my asthma and other health issues. 
So when someone tells me that they are happy I survived and tell me how brave I was all I can think is, why? I didn't do anything and I feel like I'm still struggling. I cry when I remember that this cancer took away my ability to sing and speak and be heard in loud areas. I cry when I can swallow. I cry because I struggle more than I did to breathe. I cry because there's nothing doctors seem to be able to do to fix this. So when people say I had the easy cancer it hurts. Cause not only do I feel guilty over saying I had cancer, but because of what I'm still struggling with. I've been in a hard place lately because I'm trying to find a job again. Over the summer last year I was for because of my voice and then also rejected from a position because of my voice. 😔😔</t>
        </is>
      </c>
      <c r="D7905" t="n">
        <v>1</v>
      </c>
      <c r="E7905" t="n">
        <v>5</v>
      </c>
      <c r="F7905">
        <f>HYPERLINK("https://www.reddit.com/r/cancer/comments/f85zut/guilt_over_my_thyroid_cancer/")</f>
        <v/>
      </c>
      <c r="G7905" t="inlineStr">
        <is>
          <t>2020-02-22 22:49:07</t>
        </is>
      </c>
      <c r="H7905" t="inlineStr"/>
    </row>
    <row r="7906">
      <c r="A7906" t="inlineStr">
        <is>
          <t>f862ix</t>
        </is>
      </c>
      <c r="B7906" t="inlineStr">
        <is>
          <t>Help with taking an oral chemo</t>
        </is>
      </c>
      <c r="C7906" t="inlineStr">
        <is>
          <t>Today I started taking Tabloid, 40 mg 3 pills a day.
What side effects should I expect? Is it like mercaptopurine? Anything I should look out for?
I have ALL and also posted this on r/leukemia</t>
        </is>
      </c>
      <c r="D7906" t="n">
        <v>1</v>
      </c>
      <c r="E7906" t="n">
        <v>0</v>
      </c>
      <c r="F7906">
        <f>HYPERLINK("https://www.reddit.com/r/cancer/comments/f862ix/help_with_taking_an_oral_chemo/")</f>
        <v/>
      </c>
      <c r="G7906" t="inlineStr">
        <is>
          <t>2020-02-22 22:57:30</t>
        </is>
      </c>
      <c r="H7906" t="inlineStr"/>
    </row>
    <row r="7907">
      <c r="A7907" t="inlineStr">
        <is>
          <t>f86vgz</t>
        </is>
      </c>
      <c r="B7907" t="inlineStr">
        <is>
          <t>Week 4 of Chemo-Radiotherapy - Pain kicked in.</t>
        </is>
      </c>
      <c r="C7907" t="inlineStr">
        <is>
          <t>Hi Y'all,  
I'm now going into my 4th week of my Chemo-Radiotherapy for my Colo-Rectal cancer. I've had a total of 18 sessions with 10 left to go.  
Now, every time I have to go to the bathroom I am in searing agony. Even letting out a fart is agony too. I'm not even remotely exaggerating either. My fiancee knows there's nothing she can do for me and sometimes comes running as I am screaming out with pain.  
I am taking 100 mg of Tramadol 3 times a day. I even have Oral Morphine Sulfate to take for breakthrough pain. However, it does nothing for the pain. I am at the point where I don't want to eat anymore, I know in a few hours afterwards, I am going to have to pass it and I'd rather go hungry.  
I don't have Radiotherapy or Chemotherapy at the weekends. I really am utterly shattered right now. I'm barely sleeping because of the pain too.  
Anyone have any ideas/experience/or anything they can recommend? I am going to be speaking with my oncologist on Monday but it feels so far away I thought I'd come and ask.</t>
        </is>
      </c>
      <c r="D7907" t="n">
        <v>1</v>
      </c>
      <c r="E7907" t="n">
        <v>15</v>
      </c>
      <c r="F7907">
        <f>HYPERLINK("https://www.reddit.com/r/cancer/comments/f86vgz/week_4_of_chemoradiotherapy_pain_kicked_in/")</f>
        <v/>
      </c>
      <c r="G7907" t="inlineStr">
        <is>
          <t>2020-02-23 00:31:36</t>
        </is>
      </c>
      <c r="H7907" t="inlineStr"/>
    </row>
    <row r="7908">
      <c r="A7908" t="inlineStr">
        <is>
          <t>f875ci</t>
        </is>
      </c>
      <c r="B7908" t="inlineStr">
        <is>
          <t>Metastatic Osteosarcoma</t>
        </is>
      </c>
      <c r="C7908" t="inlineStr">
        <is>
          <t>I've had osteosarcoma for over a year now, had a femur and knee replacement last year and aside from some nerve damage physio was going well. About a month ago I learned that I had a local reoccurrence in the femur along with another tumor in the pelvis and multiple small nodules in the lungs. I know this means I'll probably die, but does anyone know of any stories of people being cured from this sort of thing? The first chemo didnt work (30% necrosis) and its looking like the new chemo I'm on isnt working either. I'm just looking for some hope or someone to talk to as I've never met another person with my disease.</t>
        </is>
      </c>
      <c r="D7908" t="n">
        <v>1</v>
      </c>
      <c r="E7908" t="n">
        <v>4</v>
      </c>
      <c r="F7908">
        <f>HYPERLINK("https://www.reddit.com/r/cancer/comments/f875ci/metastatic_osteosarcoma/")</f>
        <v/>
      </c>
      <c r="G7908" t="inlineStr">
        <is>
          <t>2020-02-23 01:05:23</t>
        </is>
      </c>
      <c r="H7908" t="inlineStr"/>
    </row>
    <row r="7909">
      <c r="A7909" t="inlineStr">
        <is>
          <t>f87co7</t>
        </is>
      </c>
      <c r="B7909" t="inlineStr">
        <is>
          <t>Laryngectomy</t>
        </is>
      </c>
      <c r="C7909" t="inlineStr">
        <is>
          <t>Hey everyone, 
Just wondering if anyone else has had a laryngectomy and radiation I’m 43 on my second bout with throat cancer. 
I literally just find myself staying awake a lot of times, I know part of it is literally having a stoma hole in my neck but it’s weird another side effect I noticed is I lost my close friends since my second battle. 
Anyhow just figured I’d see if anyone else went through something similar. I’m going to try and sleep but I will check back in the morning.</t>
        </is>
      </c>
      <c r="D7909" t="n">
        <v>1</v>
      </c>
      <c r="E7909" t="n">
        <v>7</v>
      </c>
      <c r="F7909">
        <f>HYPERLINK("https://www.reddit.com/r/cancer/comments/f87co7/laryngectomy/")</f>
        <v/>
      </c>
      <c r="G7909" t="inlineStr">
        <is>
          <t>2020-02-23 01:30:50</t>
        </is>
      </c>
      <c r="H7909" t="inlineStr"/>
    </row>
    <row r="7910">
      <c r="A7910" t="inlineStr">
        <is>
          <t>f87s27</t>
        </is>
      </c>
      <c r="B7910" t="inlineStr">
        <is>
          <t>Any remedies for hand foot syndrome?</t>
        </is>
      </c>
      <c r="C7910" t="inlineStr">
        <is>
          <t>I have sores all over my left hand and a few on my right hand, is there any way to ease this other than Ice and gel?</t>
        </is>
      </c>
      <c r="D7910" t="n">
        <v>1</v>
      </c>
      <c r="E7910" t="n">
        <v>3</v>
      </c>
      <c r="F7910">
        <f>HYPERLINK("https://www.reddit.com/r/cancer/comments/f87s27/any_remedies_for_hand_foot_syndrome/")</f>
        <v/>
      </c>
      <c r="G7910" t="inlineStr">
        <is>
          <t>2020-02-23 02:23:35</t>
        </is>
      </c>
      <c r="H7910" t="inlineStr"/>
    </row>
    <row r="7911">
      <c r="A7911" t="inlineStr">
        <is>
          <t>f881u1</t>
        </is>
      </c>
      <c r="B7911" t="inlineStr">
        <is>
          <t>my mother's finally at peace</t>
        </is>
      </c>
      <c r="C7911" t="inlineStr">
        <is>
          <t>at 12:27 am, heaven gained another angel.  just a few weeks shy of her two year mark of being diagnosed with cancer, my mother has left the earth. her suffering has ended and she is now at peace. 
thank you to everyone on this sub, you truly helped me out.
#FUCKCANCER</t>
        </is>
      </c>
      <c r="D7911" t="n">
        <v>1</v>
      </c>
      <c r="E7911" t="n">
        <v>13</v>
      </c>
      <c r="F7911">
        <f>HYPERLINK("https://www.reddit.com/r/cancer/comments/f881u1/my_mothers_finally_at_peace/")</f>
        <v/>
      </c>
      <c r="G7911" t="inlineStr">
        <is>
          <t>2020-02-23 02:56:56</t>
        </is>
      </c>
      <c r="H7911" t="inlineStr"/>
    </row>
    <row r="7912">
      <c r="A7912" t="inlineStr">
        <is>
          <t>f893sq</t>
        </is>
      </c>
      <c r="B7912" t="inlineStr">
        <is>
          <t>oral cancer at 30 years old ?</t>
        </is>
      </c>
      <c r="C7912" t="inlineStr">
        <is>
          <t xml:space="preserve"> 
Hello, 1 month ago I found a hard lump in my palate,it was red
I get quickly refered to a cancer center and get it all removed, the oncologist said it doesnt look like cancer
Today I saw the oncologist for the result and he told me the biopsy was inconclusive, it was impossible for them to know if its a regenerative or a dysplasia
He wanted me to be monitored for 5 years
i"m only 30 years old and i'm extremly anxious now, I just hope I dont have any genetic defect
Never smoke or drink, no history of oral cancer in all my relatives, my father was a heavy smoker and got nothing
i'm extremly angy against doctor now since they are runing my life</t>
        </is>
      </c>
      <c r="D7912" t="n">
        <v>1</v>
      </c>
      <c r="E7912" t="n">
        <v>10</v>
      </c>
      <c r="F7912">
        <f>HYPERLINK("https://www.reddit.com/r/cancer/comments/f893sq/oral_cancer_at_30_years_old/")</f>
        <v/>
      </c>
      <c r="G7912" t="inlineStr">
        <is>
          <t>2020-02-23 04:56:03</t>
        </is>
      </c>
      <c r="H7912" t="inlineStr"/>
    </row>
    <row r="7913">
      <c r="A7913" t="inlineStr">
        <is>
          <t>f8a4dg</t>
        </is>
      </c>
      <c r="B7913" t="inlineStr">
        <is>
          <t>Suggestions for dealing with edema after completion of chemo?</t>
        </is>
      </c>
      <c r="C7913" t="inlineStr">
        <is>
          <t>My dad is recovering from chemo but is experiencing edema in his right leg (he had to have a total hip replacement because his stage 4 prostate cancer had spread to his hip bone among other areas, the doctors believe this is why the edema is there (not heart or kidney issues, thankfully)). The doctor has him on a diuretic. He's been keeping hydrated but said he's up 5 times a night to use the bathroom and he can lose 3-4lbs of water weight just overnight. The edema can obviously become uncomfortable so he has to elevate his leg frequently throughout the day.
To try to further reduce the edema, he's been trying to basically sweat as much water out as possible while staying hydrated. It's winter so he mostly just puts on sweats and does light exercise or walks up the steep hill near our house.
I suggested wearing trash bags underneath his sweats for a more intense sweat, which he says has worked well. I've also seen sitting in a sauna or soaking in a hot epsom salt bath can have a similar effect. Does anyone else have a similar experience, or cautionary tale, regarding edema after chemotherapy is completed?</t>
        </is>
      </c>
      <c r="D7913" t="n">
        <v>1</v>
      </c>
      <c r="E7913" t="n">
        <v>8</v>
      </c>
      <c r="F7913">
        <f>HYPERLINK("https://www.reddit.com/r/cancer/comments/f8a4dg/suggestions_for_dealing_with_edema_after/")</f>
        <v/>
      </c>
      <c r="G7913" t="inlineStr">
        <is>
          <t>2020-02-23 06:29:57</t>
        </is>
      </c>
      <c r="H7913" t="inlineStr"/>
    </row>
    <row r="7914">
      <c r="A7914" t="inlineStr">
        <is>
          <t>f8dpvh</t>
        </is>
      </c>
      <c r="B7914" t="inlineStr">
        <is>
          <t>My brush with melanoma at 18 years old</t>
        </is>
      </c>
      <c r="C7914" t="inlineStr">
        <is>
          <t>It started off as a pretty dark mole on my chest. I didn’t think much of it, because I have sun damage all over me from years of being in the sun and rubbing baby oil on myself to get the best tan possible. 
My mom tried to tell me to wear sunscreen, but I didn’t think it was possible for me to get cancer so I didn’t listen. Just one of those “what are the odds things”.
But then one day it bled while I was showering, and that’s when I told my mom. She has a history of smaller cancerous growths, like basal cells, but never melanoma. So, we set up an appointment at the dermatologist. 
It was my first time going and they took a biopsy of that mole on my chest and a few other weirder looking moles.
About a week later they call us and tell us that the one on my chest did turn out to be a melanoma.
I don’t remember feeling scared or anything, I just remember thinking that I called it. And when you’re my age you think you’re invincible anyways.
We are fortunate enough to have great insurance, and also to have a leading melanoma specialist in my area. 
I think that’s when I found out it was stage 1a and my mom was probably more relieved than I was. I was in a weird depressive state in my life and refused to think anything serious of it, I was still in that what are the chances phase. 
I remember them telling me I was going to have to have a large piece around my mole cut out and my lymphnodes biopsied and that’s the first time I really cried during this. I didn’t want to start scaring up my body, especially something so visible, and they said it was going to be a skin flap being used to try to minimize the scar left behind. 
After the surgery, my chest looked terrible. Disgusting edges and staples and weird looking soggy tissue, it was really hard to see my body like that. 
The chest binder they had me wear to keep pressure on it was the worst part, I would stay up all night crying, especially since it rubbed against the place where they took lymphnodes from under my arm. 
In the end, it never spread to my lymphnodes and I was clear from it. 
The scar is milder now, but still not a pretty sight. It has some places where it doesn’t lie flat and it hurts like needles if I rub it the wrong way. It’s about 4 inches and it’s this jagged shape that looks like a question mark almost. 
And now I have at least 5 other ugly scars to go with it, all along my back and under my breast. Some of them almost look like dark little slugs, and it really bothers me. 
I live in Florida so we wear things like bikinis and crop tops year round and it kinda damaged my self esteem. I don’t really care too much, I still wear those things, but it can be embarassing to be the only young girl in the crowd with a bunch of visible and ugly shaped scars. 
I don’t know what to feel from this experience. It doesn’t upset me often, but sometimes I feel guilty for having mine just be a simple surgery to make it go away. My friend who was my age and had testicular cancer had to go through chemo, and he was a real cancer survivor to me and I felt really guilty. 
I will never call myself a cancer survivor since I didn’t really have to put up any sort of fight. The worst part was healing from the surgery. I think it’s way too strong of a term for what happened in my case. One of my family members who live up North passed away from cancer recently, and I just can’t bear to think of my story sometimes. 
I’m sorry for this ramble, I just feel like I need to tell someone about. 
Only a few of my friends even know this happened to me it seems, and the most I’ve ever said about it publicly was posting about wearing sunscreen and briefly mentioning it. 
Sending love and strength to all of you, thanks for listening to me, I hope it wasn’t too bad.</t>
        </is>
      </c>
      <c r="D7914" t="n">
        <v>1</v>
      </c>
      <c r="E7914" t="n">
        <v>0</v>
      </c>
      <c r="F7914">
        <f>HYPERLINK("https://www.reddit.com/r/cancer/comments/f8dpvh/my_brush_with_melanoma_at_18_years_old/")</f>
        <v/>
      </c>
      <c r="G7914" t="inlineStr">
        <is>
          <t>2020-02-23 10:45:13</t>
        </is>
      </c>
      <c r="H7914" t="inlineStr"/>
    </row>
    <row r="7915">
      <c r="A7915" t="inlineStr">
        <is>
          <t>f8emg1</t>
        </is>
      </c>
      <c r="B7915" t="inlineStr">
        <is>
          <t>Thought’s advice</t>
        </is>
      </c>
      <c r="C7915" t="inlineStr">
        <is>
          <t>My mom was recently diagnosed (1.5 months ago) with pancreatic cancer and it has spread to her liver.  3 days ago, she started getting jaundiced.  She is showing multiple other signs of liver failure now.  She is tired and sleeping a lot, (very abnormal for her) elevated blood pressure, nausea, vomiting, extremely easily bruised (hands were cold so she put them between her thighs while she slept, she now has bruises where her hands were) eating just small amounts of food makes her feel really full, and a lesion with a mass on her right arm above where she received an IV (right AC).  Does this sound to anyone like she might survive months, weeks, ...days?  I want to go see her and spend the last moments with her, but I can’t afford to be away from work very long.  I am a super broke college student and it’s tearing me up.  I miss her and want to see her really bad, I’m just afraid of what I’m going to do if I run out out of money by going to early.  And advice or thoughts on her likely length of survival or what I should do would be appreciated</t>
        </is>
      </c>
      <c r="D7915" t="n">
        <v>2</v>
      </c>
      <c r="E7915" t="n">
        <v>21</v>
      </c>
      <c r="F7915">
        <f>HYPERLINK("https://www.reddit.com/r/cancer/comments/f8emg1/thoughts_advice/")</f>
        <v/>
      </c>
      <c r="G7915" t="inlineStr">
        <is>
          <t>2020-02-23 11:44:35</t>
        </is>
      </c>
      <c r="H7915" t="inlineStr"/>
    </row>
    <row r="7916">
      <c r="A7916" t="inlineStr">
        <is>
          <t>f8exr4</t>
        </is>
      </c>
      <c r="B7916" t="inlineStr">
        <is>
          <t>Prognosis of ALL Ph+ in a a 20 year old girl?</t>
        </is>
      </c>
      <c r="C7916" t="inlineStr">
        <is>
          <t>My sister has it and my parents won't tell me any more information. Please any one with info please tell me if this is really bad news?</t>
        </is>
      </c>
      <c r="D7916" t="n">
        <v>1</v>
      </c>
      <c r="E7916" t="n">
        <v>8</v>
      </c>
      <c r="F7916">
        <f>HYPERLINK("https://www.reddit.com/r/cancer/comments/f8exr4/prognosis_of_all_ph_in_a_a_20_year_old_girl/")</f>
        <v/>
      </c>
      <c r="G7916" t="inlineStr">
        <is>
          <t>2020-02-23 12:04:50</t>
        </is>
      </c>
      <c r="H7916" t="inlineStr"/>
    </row>
    <row r="7917">
      <c r="A7917" t="inlineStr">
        <is>
          <t>f8ixem</t>
        </is>
      </c>
      <c r="B7917" t="inlineStr">
        <is>
          <t>Skin care post radiation</t>
        </is>
      </c>
      <c r="C7917" t="inlineStr">
        <is>
          <t>It’s been a year since my throat cancer treatments started , I still have a bad patch of skin, almost rashlike , across the bridge of my nose and on my cheeks. What has worked for a lotion on it for you ? I use a body scrub when I shower and it takes the hard ridges off the rash/dry area , but I feel it needs more help . I’m a male btw.</t>
        </is>
      </c>
      <c r="D7917" t="n">
        <v>1</v>
      </c>
      <c r="E7917" t="n">
        <v>11</v>
      </c>
      <c r="F7917">
        <f>HYPERLINK("https://www.reddit.com/r/cancer/comments/f8ixem/skin_care_post_radiation/")</f>
        <v/>
      </c>
      <c r="G7917" t="inlineStr">
        <is>
          <t>2020-02-23 16:43:10</t>
        </is>
      </c>
      <c r="H7917" t="inlineStr"/>
    </row>
    <row r="7918">
      <c r="A7918" t="inlineStr">
        <is>
          <t>f8j32d</t>
        </is>
      </c>
      <c r="B7918" t="inlineStr">
        <is>
          <t>Baby Aspirin to prevent recurrence</t>
        </is>
      </c>
      <c r="C7918" t="inlineStr">
        <is>
          <t>Has anyone else been told by their oncologist to take a daily regime of Baby Aspirin (81mg)?  I had stage 1 colon cancer last month, I'm 44 and my doc wants me to take this every day with a meal to reduce risks of recurrence. Others have told me not to do it, go on a more holistic route. I wish people would let me listen and take instructions from my own doctors. On the other hand, at times I'm torn over who to listen to. 
The same doc recommended not to take any supplements, just get my nutrition from healthy food. And to make matters more confusing, friends and loved ones keep sending emails requesting "holistic" supplements. I looked up one of the links to said supplements, and in the first paragraph it read "this supplement will blow you away". In my mind, that seemed like a red flag. 
Just tonight I went shopping at Sprouts, asked an associate where I could find baby aspirin, and he looked at me like I asked for a toxic drug. He gave me a concerned look and said we don't sell aspirin here, we only have holistic items. He said I could go across the street to Walgreens and get it there. And so I did. Took my first one tonight. Is this a good idea? Should I always listen to my oncologist? And can anyone here share any insight about taking baby aspirin on a daily basis?</t>
        </is>
      </c>
      <c r="D7918" t="n">
        <v>1</v>
      </c>
      <c r="E7918" t="n">
        <v>35</v>
      </c>
      <c r="F7918">
        <f>HYPERLINK("https://www.reddit.com/r/cancer/comments/f8j32d/baby_aspirin_to_prevent_recurrence/")</f>
        <v/>
      </c>
      <c r="G7918" t="inlineStr">
        <is>
          <t>2020-02-23 16:55:34</t>
        </is>
      </c>
      <c r="H7918" t="inlineStr"/>
    </row>
    <row r="7919">
      <c r="A7919" t="inlineStr">
        <is>
          <t>f8m8qw</t>
        </is>
      </c>
      <c r="B7919" t="inlineStr">
        <is>
          <t>Follow ups!</t>
        </is>
      </c>
      <c r="C7919" t="inlineStr">
        <is>
          <t>How do you get through your follow ups?
My follow ups are absolutely FILLING me with dread. I had an 8.5 cm tumor on my liver - fibrolamellar hepatocellular carcinoma. 
I had my 2nd quarterly follow up just this last Thursday since my surgery in September and I’m still trying to balance back out emotionally. 
I’m obviously relieved hearing my oncologist tell me my scans are clear but I don’t *feel* relieved or have that feeling of a weight being lifted off my shoulders. 
I’ll be taking advantage of some counseling services through the cancer center in the next couple of weeks. Hope they can help me unpack some of this. 
I wanted to see how some other people cope!</t>
        </is>
      </c>
      <c r="D7919" t="n">
        <v>1</v>
      </c>
      <c r="E7919" t="n">
        <v>16</v>
      </c>
      <c r="F7919">
        <f>HYPERLINK("https://www.reddit.com/r/cancer/comments/f8m8qw/follow_ups/")</f>
        <v/>
      </c>
      <c r="G7919" t="inlineStr">
        <is>
          <t>2020-02-23 21:04:33</t>
        </is>
      </c>
      <c r="H7919" t="inlineStr"/>
    </row>
    <row r="7920">
      <c r="A7920" t="inlineStr">
        <is>
          <t>f8mvdg</t>
        </is>
      </c>
      <c r="B7920" t="inlineStr">
        <is>
          <t>BPDCN</t>
        </is>
      </c>
      <c r="C7920" t="inlineStr">
        <is>
          <t>Hi, does anyone have experience with BPDCN? Rare type of blood cancer. Thanks in advance.</t>
        </is>
      </c>
      <c r="D7920" t="n">
        <v>1</v>
      </c>
      <c r="E7920" t="n">
        <v>6</v>
      </c>
      <c r="F7920">
        <f>HYPERLINK("https://www.reddit.com/r/cancer/comments/f8mvdg/bpdcn/")</f>
        <v/>
      </c>
      <c r="G7920" t="inlineStr">
        <is>
          <t>2020-02-23 22:00:50</t>
        </is>
      </c>
      <c r="H7920" t="inlineStr"/>
    </row>
    <row r="7921">
      <c r="A7921" t="inlineStr">
        <is>
          <t>f8pim5</t>
        </is>
      </c>
      <c r="B7921" t="inlineStr">
        <is>
          <t>Shaving for a cure</t>
        </is>
      </c>
      <c r="C7921" t="inlineStr">
        <is>
          <t>I'm taking part in World's Greatest Shave! Please give what you can to support me and help beat blood cancer. My uncle died of blood cancer so I want to make a difference like he did, please donate if your a true bro or if you can't, share on your social media pages http://my.leukaemiafoundation.org.au/hamishdighton</t>
        </is>
      </c>
      <c r="D7921" t="n">
        <v>1</v>
      </c>
      <c r="E7921" t="n">
        <v>1</v>
      </c>
      <c r="F7921">
        <f>HYPERLINK("https://www.reddit.com/r/cancer/comments/f8pim5/shaving_for_a_cure/")</f>
        <v/>
      </c>
      <c r="G7921" t="inlineStr">
        <is>
          <t>2020-02-24 02:47:03</t>
        </is>
      </c>
      <c r="H7921" t="inlineStr"/>
    </row>
    <row r="7922">
      <c r="A7922" t="inlineStr">
        <is>
          <t>f8pin7</t>
        </is>
      </c>
      <c r="B7922" t="inlineStr">
        <is>
          <t>Shaving for a cure</t>
        </is>
      </c>
      <c r="C7922" t="inlineStr">
        <is>
          <t>I'm taking part in World's Greatest Shave! Please give what you can to support me and help beat blood cancer. My uncle died of blood cancer so I want to make a difference like he did, please donate if your a true bro or if you can't, share on your social media pages http://my.leukaemiafoundation.org.au/hamishdighton</t>
        </is>
      </c>
      <c r="D7922" t="n">
        <v>1</v>
      </c>
      <c r="E7922" t="n">
        <v>0</v>
      </c>
      <c r="F7922">
        <f>HYPERLINK("https://www.reddit.com/r/cancer/comments/f8pin7/shaving_for_a_cure/")</f>
        <v/>
      </c>
      <c r="G7922" t="inlineStr">
        <is>
          <t>2020-02-24 02:47:07</t>
        </is>
      </c>
      <c r="H7922" t="inlineStr"/>
    </row>
    <row r="7923">
      <c r="A7923" t="inlineStr">
        <is>
          <t>f8pinh</t>
        </is>
      </c>
      <c r="B7923" t="inlineStr">
        <is>
          <t>Shaving for a cure</t>
        </is>
      </c>
      <c r="C7923" t="inlineStr">
        <is>
          <t>I'm taking part in World's Greatest Shave! Please give what you can to support me and help beat blood cancer. My uncle died of blood cancer so I want to make a difference like he did, please donate if your a true bro or if you can't, share on your social media pages http://my.leukaemiafoundation.org.au/hamishdighton</t>
        </is>
      </c>
      <c r="D7923" t="n">
        <v>1</v>
      </c>
      <c r="E7923" t="n">
        <v>0</v>
      </c>
      <c r="F7923">
        <f>HYPERLINK("https://www.reddit.com/r/cancer/comments/f8pinh/shaving_for_a_cure/")</f>
        <v/>
      </c>
      <c r="G7923" t="inlineStr">
        <is>
          <t>2020-02-24 02:47:08</t>
        </is>
      </c>
      <c r="H7923" t="inlineStr"/>
    </row>
    <row r="7924">
      <c r="A7924" t="inlineStr">
        <is>
          <t>f8pinq</t>
        </is>
      </c>
      <c r="B7924" t="inlineStr">
        <is>
          <t>Shaving for a cure</t>
        </is>
      </c>
      <c r="C7924" t="inlineStr">
        <is>
          <t>I'm taking part in World's Greatest Shave! Please give what you can to support me and help beat blood cancer. My uncle died of blood cancer so I want to make a difference like he did, please donate if your a true bro or if you can't, share on your social media pages http://my.leukaemiafoundation.org.au/hamishdighton</t>
        </is>
      </c>
      <c r="D7924" t="n">
        <v>1</v>
      </c>
      <c r="E7924" t="n">
        <v>1</v>
      </c>
      <c r="F7924">
        <f>HYPERLINK("https://www.reddit.com/r/cancer/comments/f8pinq/shaving_for_a_cure/")</f>
        <v/>
      </c>
      <c r="G7924" t="inlineStr">
        <is>
          <t>2020-02-24 02:47:10</t>
        </is>
      </c>
      <c r="H7924" t="inlineStr"/>
    </row>
    <row r="7925">
      <c r="A7925" t="inlineStr">
        <is>
          <t>f8r4fd</t>
        </is>
      </c>
      <c r="B7925" t="inlineStr">
        <is>
          <t>Lumpectomy versus mastectomy</t>
        </is>
      </c>
      <c r="C7925" t="inlineStr">
        <is>
          <t>I(27F) have stage 1b, DCIS, triple positive breast cancer in only my right breast. I am halfway through chemo (TC), with seven more treatments of herceptin and perjeta. I am supposed to have surgery in May but I can’t decide which surgery to choose. 
I am hoping those who have had a lumpectomy can give me more information about what their recovery was like, did their cancer come back, and did they feel it was worth it or do they wish they had a mastectomy. I am leaning towards lumpectomy because I am young and I don’t want to put myself through such major surgery. I feel like I am handling the treatments very well so far, so if I had to, doing this all again wouldn’t cause me severe suffering. 
Those who have had a mastectomy what made you decide to go all the way. What was your recovery like. They’re telling me I would have to have expanders put in during the mastectomy, followed by an implant placed five months later. I just don’t know that I want such serious surgeries right now, but I am open to hear your stories. 
Also, I am still awaiting my genetics results so I know that could sway my decision.</t>
        </is>
      </c>
      <c r="D7925" t="n">
        <v>1</v>
      </c>
      <c r="E7925" t="n">
        <v>19</v>
      </c>
      <c r="F7925">
        <f>HYPERLINK("https://www.reddit.com/r/cancer/comments/f8r4fd/lumpectomy_versus_mastectomy/")</f>
        <v/>
      </c>
      <c r="G7925" t="inlineStr">
        <is>
          <t>2020-02-24 05:21:22</t>
        </is>
      </c>
      <c r="H7925" t="inlineStr"/>
    </row>
    <row r="7926">
      <c r="A7926" t="inlineStr">
        <is>
          <t>f8t7m1</t>
        </is>
      </c>
      <c r="B7926" t="inlineStr">
        <is>
          <t>Pain from radiation?</t>
        </is>
      </c>
      <c r="C7926" t="inlineStr">
        <is>
          <t>I am beginning week 4 of radiation for oral and neck cancer. No significant pain yet other than slight pain swallowing. When should I expect it to get bad?</t>
        </is>
      </c>
      <c r="D7926" t="n">
        <v>1</v>
      </c>
      <c r="E7926" t="n">
        <v>11</v>
      </c>
      <c r="F7926">
        <f>HYPERLINK("https://www.reddit.com/r/cancer/comments/f8t7m1/pain_from_radiation/")</f>
        <v/>
      </c>
      <c r="G7926" t="inlineStr">
        <is>
          <t>2020-02-24 07:54:24</t>
        </is>
      </c>
      <c r="H7926" t="inlineStr"/>
    </row>
    <row r="7927">
      <c r="A7927" t="inlineStr">
        <is>
          <t>f8th79</t>
        </is>
      </c>
      <c r="B7927" t="inlineStr">
        <is>
          <t>Diagnosed with cervical cancer. What can I do at home to help my body fight this?</t>
        </is>
      </c>
      <c r="C7927" t="inlineStr">
        <is>
          <t>Some background info:
I'm in my mid-twenties, found out about the abnormal pap in Jan 2019 after 2 years without a pap. We watched it to see if my body would clear it, but in September 2019, we found out that it was CIN III. Had a LEEP done in late January, but they found cancer that had been hiding inside. So far I am Stage 1A (as far as we know), so I will be having another LEEP/cold knife in mid March. They're not sure if that will do it, but they want to at least try to preserve my ability to have kids if I choose to in the future.
I have a lot of questions, but my main ones have to do with how I can help my body fight this whilst undergoing my treatment. I gave up my 'social' cigarette smoking in Dec, only take edible marijuana on special occasions instead of smoking, and have been taking a standard multivit and AHCC daily. What else can I do? Is exercise beneficial, and if so, what sorts of things should I do/avoid? Any dietary changes I should make, should I avoid alcohol completely (I only drink an occasional beer or glass of wine)? And lastly, can I still take my Adderall that I was prescribed, or do you think that would hinder the recovery? I'm basically useless at work without it, but my life takes priority over my work at this point.
Any advice/anecdotes are welcome. I am blessed to have moved to a country with good healthcare a few years ago so thankfully paying for my treatments isn't a worry, but I'm halfway around the world from my family and I feel really alone in all of this. Thanks in advance.</t>
        </is>
      </c>
      <c r="D7927" t="n">
        <v>1</v>
      </c>
      <c r="E7927" t="n">
        <v>9</v>
      </c>
      <c r="F7927">
        <f>HYPERLINK("https://www.reddit.com/r/cancer/comments/f8th79/diagnosed_with_cervical_cancer_what_can_i_do_at/")</f>
        <v/>
      </c>
      <c r="G7927" t="inlineStr">
        <is>
          <t>2020-02-24 08:12:39</t>
        </is>
      </c>
      <c r="H7927" t="inlineStr"/>
    </row>
    <row r="7928">
      <c r="A7928" t="inlineStr">
        <is>
          <t>f8thul</t>
        </is>
      </c>
      <c r="B7928" t="inlineStr">
        <is>
          <t>Our friend was just put on hospice for stomach cancer and will be staying with my best friend. How do we explain all of this to her 5yo daughter that adores him?</t>
        </is>
      </c>
      <c r="C7928" t="inlineStr">
        <is>
          <t>Our friend was diagnosed back in August, and treatment has officially been exhausted. He’s been given 6mo, and my best friend is opening up her home for his hospice care. I have information on how to support both of them, him as he exits life and her as she cares for him through it, but she has a 5yo. Our friend is one of her favorite people, and I want to make sure she gets proper support and explanations as well. 
Are there any recommendations on books or videos I can show her to help her understand and cope with losing our dear friend?</t>
        </is>
      </c>
      <c r="D7928" t="n">
        <v>1</v>
      </c>
      <c r="E7928" t="n">
        <v>4</v>
      </c>
      <c r="F7928">
        <f>HYPERLINK("https://www.reddit.com/r/cancer/comments/f8thul/our_friend_was_just_put_on_hospice_for_stomach/")</f>
        <v/>
      </c>
      <c r="G7928" t="inlineStr">
        <is>
          <t>2020-02-24 08:13:49</t>
        </is>
      </c>
      <c r="H7928" t="inlineStr"/>
    </row>
    <row r="7929">
      <c r="A7929" t="inlineStr">
        <is>
          <t>f8ukw5</t>
        </is>
      </c>
      <c r="B7929" t="inlineStr">
        <is>
          <t>I feel like a total b*tch, mad at cancer</t>
        </is>
      </c>
      <c r="C7929" t="inlineStr">
        <is>
          <t>My 14 year old daughter was recently diagnosed with Hodgkin’s Lymphoma and going through chemotherapy treatment. We have received zero support from her school, not even an email/card wishing her the best.  They even dragged there feet getting her work so she could begin home hospital school, I had to send repeated emails for them to give us the work.  So the school has not been helpful or supportive at all.  But I feel like a bitch because my daughter had an overdue library book due to her illness.  I got a late notice today, so I went to return it.  The librarian said we owe $15.  I said “I don’t understand why if she’s been on home hospital and is unable to come to school why we would receive a late fee”. The librarian then said “Well it’s your child’s responsibility to turn things in on time”. I then said “We’ll she can’t because she is being treated for cancer!”  I could tell the librarian was taken aback and then I felt horrible for blurting that’s out.  I’m just so frustrated and sad at the lack of support from the school.  But I feel like I’m really just pissed that my daughter has cancer.  Thanks for listening</t>
        </is>
      </c>
      <c r="D7929" t="n">
        <v>1</v>
      </c>
      <c r="E7929" t="n">
        <v>28</v>
      </c>
      <c r="F7929">
        <f>HYPERLINK("https://www.reddit.com/r/cancer/comments/f8ukw5/i_feel_like_a_total_btch_mad_at_cancer/")</f>
        <v/>
      </c>
      <c r="G7929" t="inlineStr">
        <is>
          <t>2020-02-24 09:23:16</t>
        </is>
      </c>
      <c r="H7929" t="inlineStr"/>
    </row>
    <row r="7930">
      <c r="A7930" t="inlineStr">
        <is>
          <t>f8uvnb</t>
        </is>
      </c>
      <c r="B7930" t="inlineStr">
        <is>
          <t>How does an oncolytic virus work?</t>
        </is>
      </c>
      <c r="C7930" t="inlineStr">
        <is>
          <t>Hi guys, I am in grade 10 and doing a In depth research project on immunotherapy. I have the basic idea of how an oncolytic virus works but cannot find an 'understandable' explanation to high it is engineered and how it is works with going a bit into depth. If you know anything or any articles that would be helpful please comment. Any help will be appreciated.
thank u</t>
        </is>
      </c>
      <c r="D7930" t="n">
        <v>1</v>
      </c>
      <c r="E7930" t="n">
        <v>1</v>
      </c>
      <c r="F7930">
        <f>HYPERLINK("https://www.reddit.com/r/cancer/comments/f8uvnb/how_does_an_oncolytic_virus_work/")</f>
        <v/>
      </c>
      <c r="G7930" t="inlineStr">
        <is>
          <t>2020-02-24 09:42:01</t>
        </is>
      </c>
      <c r="H7930" t="inlineStr"/>
    </row>
    <row r="7931">
      <c r="A7931" t="inlineStr">
        <is>
          <t>f8vw2t</t>
        </is>
      </c>
      <c r="B7931" t="inlineStr">
        <is>
          <t>Hair loss is beginning.</t>
        </is>
      </c>
      <c r="C7931" t="inlineStr">
        <is>
          <t>My beard is very easy to pull out in clumps.... I just looked in the mirror, I'm shaving it off. I've got too big patches that fell out because I scratched my beard.... It was itching. 
My scalp I'm sure is next.... Fuck you cancer, fuck you lymphnode that had to go metastatic. You forced me onto chemo.
1/4 sessions are complete.</t>
        </is>
      </c>
      <c r="D7931" t="n">
        <v>1</v>
      </c>
      <c r="E7931" t="n">
        <v>10</v>
      </c>
      <c r="F7931">
        <f>HYPERLINK("https://www.reddit.com/r/cancer/comments/f8vw2t/hair_loss_is_beginning/")</f>
        <v/>
      </c>
      <c r="G7931" t="inlineStr">
        <is>
          <t>2020-02-24 10:44:53</t>
        </is>
      </c>
      <c r="H7931" t="inlineStr"/>
    </row>
    <row r="7932">
      <c r="A7932" t="inlineStr">
        <is>
          <t>f8vxar</t>
        </is>
      </c>
      <c r="B7932" t="inlineStr">
        <is>
          <t>Kidney damage from Cisplatin?</t>
        </is>
      </c>
      <c r="C7932" t="inlineStr">
        <is>
          <t>Has anyone had this as a permanent result? I’m in the hospital for the second time this year with critically low potassium and the nephrologist thinks it’s the chemo.</t>
        </is>
      </c>
      <c r="D7932" t="n">
        <v>1</v>
      </c>
      <c r="E7932" t="n">
        <v>10</v>
      </c>
      <c r="F7932">
        <f>HYPERLINK("https://www.reddit.com/r/cancer/comments/f8vxar/kidney_damage_from_cisplatin/")</f>
        <v/>
      </c>
      <c r="G7932" t="inlineStr">
        <is>
          <t>2020-02-24 10:47:10</t>
        </is>
      </c>
      <c r="H7932" t="inlineStr"/>
    </row>
    <row r="7933">
      <c r="A7933" t="inlineStr">
        <is>
          <t>f8w6j6</t>
        </is>
      </c>
      <c r="B7933" t="inlineStr">
        <is>
          <t>Any adults with osteosarcoma?</t>
        </is>
      </c>
      <c r="C7933" t="inlineStr">
        <is>
          <t>I myself have Hodgkins lymphoma and was telling my neighbor who just started treatment for osteosarcoma how helpful my online contacts were who I met through here, who have my same diagnosis (some are even on the same treatment.) Just wondering if I should tell her to make a reddit account for that purpose since it’s usually a pediatric cancer. Thank you!</t>
        </is>
      </c>
      <c r="D7933" t="n">
        <v>1</v>
      </c>
      <c r="E7933" t="n">
        <v>2</v>
      </c>
      <c r="F7933">
        <f>HYPERLINK("https://www.reddit.com/r/cancer/comments/f8w6j6/any_adults_with_osteosarcoma/")</f>
        <v/>
      </c>
      <c r="G7933" t="inlineStr">
        <is>
          <t>2020-02-24 11:03:05</t>
        </is>
      </c>
      <c r="H7933" t="inlineStr"/>
    </row>
    <row r="7934">
      <c r="A7934" t="inlineStr">
        <is>
          <t>f8wvlc</t>
        </is>
      </c>
      <c r="B7934" t="inlineStr">
        <is>
          <t>Sitting by my mom's beside</t>
        </is>
      </c>
      <c r="C7934" t="inlineStr">
        <is>
          <t>Just a few weeks ago, my mom was relatively okay. She has a host of issues, extreme scoliosis, degenerative bone something or other, fibromyalgia, etc.  She handled it all like a champ day in and day out. She had a palliative care pain management regime that worked for her. On a normal day you wouldn't even know she had problems.
Last week she had to call 911 because she had trouble breathing. She had a mass on her lung along with pneumonia, they did a biopsy and all that. She was in hospital for about 6 days and they discharged her with oxygen to use at home.  Even then she seemed pretty fine, she had a ton of trouble breathing  when bending over or sitting down  but managed for 4 days. But I had to call 911 again because I knew she wasn't able to catch her breath and was suffering. 
Now she's in hospital, has aggressive small cell lung cancer, can't breath on her own, is on 100% oxygen. Her pain management medication is evidently higher than the hospital has ever seen (300mg morphine 3x per day is what she took at home) and it was an incredible hassle to finally get them to put her on enough to make her comfortable. 
It was brutal sitting there while she was in incredible pain and she kept telling them (via writing ) how cruel this is. But she has finally gotten the medication she needs and is sleeping. 
I signed a hospice form. But have no idea wtf that means. Keep getting different answers to what hospice entails. All I care about is she doesn't suffocate and her medication stays similar to what she has always taken at home and is comfortable. But can't get a straight answer. 
This blows.</t>
        </is>
      </c>
      <c r="D7934" t="n">
        <v>1</v>
      </c>
      <c r="E7934" t="n">
        <v>4</v>
      </c>
      <c r="F7934">
        <f>HYPERLINK("https://www.reddit.com/r/cancer/comments/f8wvlc/sitting_by_my_moms_beside/")</f>
        <v/>
      </c>
      <c r="G7934" t="inlineStr">
        <is>
          <t>2020-02-24 11:46:31</t>
        </is>
      </c>
      <c r="H7934" t="inlineStr"/>
    </row>
    <row r="7935">
      <c r="A7935" t="inlineStr">
        <is>
          <t>f8x5t8</t>
        </is>
      </c>
      <c r="B7935" t="inlineStr">
        <is>
          <t>Venclexta</t>
        </is>
      </c>
      <c r="C7935" t="inlineStr">
        <is>
          <t>Relative passed.  Have 3/4 bottle of Venclexta to give away.  100MG TAB</t>
        </is>
      </c>
      <c r="D7935" t="n">
        <v>1</v>
      </c>
      <c r="E7935" t="n">
        <v>0</v>
      </c>
      <c r="F7935">
        <f>HYPERLINK("https://www.reddit.com/r/cancer/comments/f8x5t8/venclexta/")</f>
        <v/>
      </c>
      <c r="G7935" t="inlineStr">
        <is>
          <t>2020-02-24 12:04:33</t>
        </is>
      </c>
      <c r="H7935" t="inlineStr"/>
    </row>
    <row r="7936">
      <c r="A7936" t="inlineStr">
        <is>
          <t>f8xbw2</t>
        </is>
      </c>
      <c r="B7936" t="inlineStr">
        <is>
          <t>Colon cancer patients, did you lose your appetite as a symptom? And was your cancer picked up on a FIT test?</t>
        </is>
      </c>
      <c r="C7936" t="inlineStr">
        <is>
          <t>I really appreciate your answers. Was it picked up on a FIT test and did you lose your appetite? If so how? By bloating or just not wanting to eat?
Thank you.</t>
        </is>
      </c>
      <c r="D7936" t="n">
        <v>1</v>
      </c>
      <c r="E7936" t="n">
        <v>0</v>
      </c>
      <c r="F7936">
        <f>HYPERLINK("https://www.reddit.com/r/cancer/comments/f8xbw2/colon_cancer_patients_did_you_lose_your_appetite/")</f>
        <v/>
      </c>
      <c r="G7936" t="inlineStr">
        <is>
          <t>2020-02-24 12:15:06</t>
        </is>
      </c>
      <c r="H7936" t="inlineStr"/>
    </row>
    <row r="7937">
      <c r="A7937" t="inlineStr">
        <is>
          <t>f8yrg4</t>
        </is>
      </c>
      <c r="B7937" t="inlineStr">
        <is>
          <t>My Dad’s Leukemia diagnosis</t>
        </is>
      </c>
      <c r="C7937" t="inlineStr">
        <is>
          <t>Apologies if this sounds a little muddled, I’ve had to process a lot of info today and my brain is kinda muddled. 
My (26 M) Dad (almost 63) was admitted to hospital yesterday with a an infection, suspected pneumonia. He’d been having cold and flu like symptoms for the past few weeks and had been to see a doctor who told him to rest up.
Having run some tests the doctors were worried about the results of his blood test and suspect he has a form of acute Leukemia. The initial test showed a while blood cell count of 90. A bone marrow sample has been taken today and sent to a specialist with results expected back tomorrow. In the meantime he’s been given some preliminary doses of steroids, antibiotics and chemo to try to get the white blood cell count down and give him some resistance to any infection.
The difficulty right now is an accumulation of white blood cells within the lungs which is causing breathing issues and meaning he’s requiring quite a lot of oxygen. The doctors here have warned that the situation regarding his breathing is very serious and could be life-threatening. He’s currently in the ICU to monitor this but when we last saw him it seemed he was responding well and the situation was slowly improving.
He’s also diabetic but aside from that is in relatively good health and at a decent weight for his height.
Aside from the immediate danger regarding the respiratory situation what can I expect if he makes it through this? I know very little about the disease and the doctors have been focused on the short term issues for now so aside from the possibly of a bone marrow transplant they haven’t given too much info on what to expect afterwards.
I know it’s difficult to give answers without knowing more details about his diagnosis but can anyone let me know what the reality of living with Leukemia is? I’m based in the UK if that makes a difference to any of this.
How can I be there for him and what do I say? How can I support my family through this as well? 
My dad is self employed so the whole time he’s in the hospital I need to do what I can to help out financially. I run a graphic/web design business on my own that I need to keep ticking over whilst also being there for my mum and sister. 
TLDR: My dad likely has a form of acute Leukemia and I don’t know what to expect.</t>
        </is>
      </c>
      <c r="D7937" t="n">
        <v>1</v>
      </c>
      <c r="E7937" t="n">
        <v>2</v>
      </c>
      <c r="F7937">
        <f>HYPERLINK("https://www.reddit.com/r/cancer/comments/f8yrg4/my_dads_leukemia_diagnosis/")</f>
        <v/>
      </c>
      <c r="G7937" t="inlineStr">
        <is>
          <t>2020-02-24 13:42:44</t>
        </is>
      </c>
      <c r="H7937" t="inlineStr"/>
    </row>
    <row r="7938">
      <c r="A7938" t="inlineStr">
        <is>
          <t>f8zu53</t>
        </is>
      </c>
      <c r="B7938" t="inlineStr">
        <is>
          <t>I just want to finish the PhD, and I think my cancer remission is over and I run out of luck. I’m ok with dying but I still have one year to graduate.</t>
        </is>
      </c>
      <c r="C7938" t="inlineStr">
        <is>
          <t>I [31M] had Burkett lymphoma when I was 27. I had 4 months chemotherapy because it was stage one and I responded quickly to treatment. 
I have been in remission for the past 5 years. All I wanted was to finish the PhD that I started when I was 27, but because of cancer I had to put it to the side. I started the PhD when I was 29, I still have one year to go. Now out of no where a lump in my armpit start to grow. It is painful when I touch it. 
I don’t want to go to a doctor because it appeared a week ago, and I’m scared. But somehow I know it’s back. 
I’m ok with dying but I just want to graduate. 
Why me!!</t>
        </is>
      </c>
      <c r="D7938" t="n">
        <v>1</v>
      </c>
      <c r="E7938" t="n">
        <v>19</v>
      </c>
      <c r="F7938">
        <f>HYPERLINK("https://www.reddit.com/r/cancer/comments/f8zu53/i_just_want_to_finish_the_phd_and_i_think_my/")</f>
        <v/>
      </c>
      <c r="G7938" t="inlineStr">
        <is>
          <t>2020-02-24 14:51:18</t>
        </is>
      </c>
      <c r="H7938" t="inlineStr"/>
    </row>
    <row r="7939">
      <c r="A7939" t="inlineStr">
        <is>
          <t>f92pfb</t>
        </is>
      </c>
      <c r="B7939" t="inlineStr">
        <is>
          <t>Wanna get perspective: colon cancer</t>
        </is>
      </c>
      <c r="C7939" t="inlineStr">
        <is>
          <t>Hey y’all,
I need to get your opinion so I can understand this better and make sure everything’s right. My dad had stomach pains, blood stool. He’s never got a colonoscopy he’s 69. He just got one now they said they found a tumor, today he went back after they tested it they said it’s colon cancer and surgery is the 17th. They said they didn’t see anything in his kidneys or liver. They think they can just cut it off and he will be good. They aren’t sure what stage it’s at and have to test the lymph nodes. Doc said it’s not an emergency and it can’t spread so he’s going on vacation will be back then do surgery 17th when doc comes back. What do y’all think? By the way today after he came back he said his poop looks dark like maybe bloody so he’s headed back to doctor to do check up on up stuff. Any help or advice would be good. I just don’t want the doctors to butcher this I’ve heard stories of mis diagnosis and stuff/being late. Thank you</t>
        </is>
      </c>
      <c r="D7939" t="n">
        <v>1</v>
      </c>
      <c r="E7939" t="n">
        <v>8</v>
      </c>
      <c r="F7939">
        <f>HYPERLINK("https://www.reddit.com/r/cancer/comments/f92pfb/wanna_get_perspective_colon_cancer/")</f>
        <v/>
      </c>
      <c r="G7939" t="inlineStr">
        <is>
          <t>2020-02-24 18:08:24</t>
        </is>
      </c>
      <c r="H7939" t="inlineStr"/>
    </row>
    <row r="7940">
      <c r="A7940" t="inlineStr">
        <is>
          <t>f93gkr</t>
        </is>
      </c>
      <c r="B7940" t="inlineStr">
        <is>
          <t>Did you find yourself treating your loved ones differently after their diagnosis?</t>
        </is>
      </c>
      <c r="C7940" t="inlineStr">
        <is>
          <t>Recently had a parent diagnosed with lung cancer. Now I find myself being more deferential to what they want. When I say no to them for even the smallest thing, I feel really bad. I'm more likely to agree to stuff they want to do or go out of my way to make sure they are accommodated. Is it patronizing to treat someone differently because of their diagnosis?</t>
        </is>
      </c>
      <c r="D7940" t="n">
        <v>1</v>
      </c>
      <c r="E7940" t="n">
        <v>3</v>
      </c>
      <c r="F7940">
        <f>HYPERLINK("https://www.reddit.com/r/cancer/comments/f93gkr/did_you_find_yourself_treating_your_loved_ones/")</f>
        <v/>
      </c>
      <c r="G7940" t="inlineStr">
        <is>
          <t>2020-02-24 19:02:54</t>
        </is>
      </c>
      <c r="H7940" t="inlineStr"/>
    </row>
    <row r="7941">
      <c r="A7941" t="inlineStr">
        <is>
          <t>f94o4d</t>
        </is>
      </c>
      <c r="B7941" t="inlineStr">
        <is>
          <t>Cancer Screening Concern</t>
        </is>
      </c>
      <c r="C7941" t="inlineStr">
        <is>
          <t>What does it look like to be screened/tested for skin cancer? I have an appointment for this next week and am extremely anxious and would appreciate all the advice I can get on what to expect and how I can plan. Thank you all</t>
        </is>
      </c>
      <c r="D7941" t="n">
        <v>1</v>
      </c>
      <c r="E7941" t="n">
        <v>0</v>
      </c>
      <c r="F7941">
        <f>HYPERLINK("https://www.reddit.com/r/cancer/comments/f94o4d/cancer_screening_concern/")</f>
        <v/>
      </c>
      <c r="G7941" t="inlineStr">
        <is>
          <t>2020-02-24 20:33:31</t>
        </is>
      </c>
      <c r="H7941" t="inlineStr"/>
    </row>
    <row r="7942">
      <c r="A7942" t="inlineStr">
        <is>
          <t>f957bn</t>
        </is>
      </c>
      <c r="B7942" t="inlineStr">
        <is>
          <t>Need your prayers</t>
        </is>
      </c>
      <c r="C7942" t="inlineStr">
        <is>
          <t>My brother is going into surgery tomorrow to remove a testicle that may be cancerous. Praying for the best and for positivity.</t>
        </is>
      </c>
      <c r="D7942" t="n">
        <v>1</v>
      </c>
      <c r="E7942" t="n">
        <v>1</v>
      </c>
      <c r="F7942">
        <f>HYPERLINK("https://www.reddit.com/r/cancer/comments/f957bn/need_your_prayers/")</f>
        <v/>
      </c>
      <c r="G7942" t="inlineStr">
        <is>
          <t>2020-02-24 21:16:20</t>
        </is>
      </c>
      <c r="H7942" t="inlineStr"/>
    </row>
    <row r="7943">
      <c r="A7943" t="inlineStr">
        <is>
          <t>f958zz</t>
        </is>
      </c>
      <c r="B7943" t="inlineStr">
        <is>
          <t>I was 16 when I was told I had cancer. I was 16 when I was given the choice to either keep or remove my leg. This is how I was diagnosed.</t>
        </is>
      </c>
      <c r="C7943" t="inlineStr">
        <is>
          <t xml:space="preserve">
##The Diagnosis
**2014 August:**
I started developing strange odd pain in my left leg. Nothing serious just a bit of an inconvenience really.. I wasn’t very sporty, I use to just sit in and play video games all day, a total introvert. Nothing was weird really until I noticed this annoying on and off pain which wasn’t going anywhere. Everyday and it was there. 
**September**
I eventually gave in from ignoring this and told my dad about it. He took me t A&amp;amp;E that night and we both sat there for 6 hours waiting.. At this point I was starting to limp around because putting pressure on my left foot would be really uncomfortable. Again it was on and off, sometimes it would be real bad and constant, other times it’ll be nonexistent. The doctor called my name and gave me an examination, muscle pain. She thought this constant pain and the fact I wasn’t active was a clear sign of muscle pain. So I was given paracetamol and off I went.
The Pain Killers Didn’t Work (Amber Flag) After taking them I wouldn’t notice anything different, the pain was increasing everyday. My sleep was starting to get disturbed by me waking up in the middle of the night in pain (Red Flag) and it was starting to get agonising. I was starting College for the first time soon at this point. It was late September. My anxiety was at an all time high here and this awful leg problem was really depressing me further. 
My mum and dad were really starting to get concerned for me here, so we all went to the doctors to tell them the pain killers did nothing. The next doctor told us “so what were you told at A&amp;amp;E?” And I replied “it was muscle related and too take paracetamols, but the pain killers isn’t doing anything” the response? “Okay so i recommend you ride your bike more, take these stringer pain killers and do more excise. I’ll book a physio session for you next week.” 
**The physio session**
It was October. I started college and I felt like my life was an all time low. I was a total mess towards the end of school, I had no friends and I was far too shy to talk to anyone. I hoped college would be a new start, I was a new clean slate. No more was I restricted to fake rules I came up with in my head to be “normal” to those in school. But I was still the same, I was shy, awkward and anxious. I felt like I had absolutely no hope in life. I had no future, no confidence. I told my mum “Mum can I please be like my brother and take a year off college?? I want a **year in bed** because I’m too anxious.” 
After the first week of college, my physio session was ready. Remember those new pain killers I was prescribed? They haven’t done anything. The pain has escalated greatly and the constant walking I’ve been doing at college has made the pain worse. It was time for physio... I was told to “straighten my legs on a table” which was an extremely difficult task. I told her how much it hurt me to straighten that leg but she was fully convinced it was normal because of the doctors statement. 
She placed a cold bag of ice on my bad leg and left it there for 10 minutes, keeping it straight. She left the room and I was in **AGNOY**I was shaking in pain, I was crying and my legs twitching. She came back and told me next week we’ll have a proper session and sent me off. This was it. I started to have very big problems. I was crying in the middle of the night because of the pain I was experiencing. It was 100% constant now. I was limping all the time and the pain was pulsing. My leg had swollen up a lot... 
**The X-ray...**
The next day on the way to college i broke down in the car.. my mum was silent the entire car ride until we closed in towards the college until she took a very sudden sharp turn and sped up. I saw her break. It was terrifying, I saw tears running down her face and she said “I’ve had enough of this I’m taking you for an X-ray because this has been going on for so long and you’ve been in fucking agony for so long. We are having an X-ray today and we will get to the end of this right now.” She drove right to the doctors again, stormed in and told the doctor to give me an X-ray today. She explained what’s happening and how nothing has worked. I was just shocked, unsure about the weight of this situation, at this point I was still convinced this pain was because I was unfit...
The doctor, reluctantly gave me the X-ray after much back and fourth with my mum, later that day I was given the X-ray and towards the evening we had a phone call... my mum answered and I was in my room on my Xbox, sat in a strange position to find a comfy position for my leg. The person on the phone was my GP. I still don’t know what he told my mum but it was enough for her to yell at me to get dressed immediately and to get ready to leave. We were going to hospital...
I was utterly confused what was going on and the only thing on my mind was getting a new bike because the current one I had was ancient. I was still convinced this whole thing was muscle related. My dad who just came back from work and was immediately dragged out by my worried mother to come to hospital with us, reassured me we’ll go bike shopping next week. 
We got to hospital. We were all sat in the children’s ward. Waiting... A single nurse comes in, sits in a chair and tells us what they saw on the X-ray “we believe your son...has a tumour on his left leg” ....
...
Silence.
It was what my mum probably suspected but never wished to be true.
This silence lasted only 10 seconds but it felt forever. It was so quiet you could honestly hear the ringing in your ears it was so quiet. The nurse left us to collect our thoughts for a moment and the second that door shut and she was gone; me, my mum and my dad all broke down immediately. We all engaged in a large hug and cried together... I’ve never seen my dad cry before, it broke me instantly, I’ve always seen him as a bit of a clown, the happiest guy I’ve ever known. To see him utterly destroyed is something I’ll never forget. It was horrendous. My mum was crying the most, holding me extremely tight, I could hardly breathe. 
...
But where am I now? What was I told after this diagnosis? Bone cancer symptoms include;
1) Waking up in the night because of pain. Muscle pain doesn’t wake you up apparently.
2) Pain Killers don’t work.
3) pain lasting longer than 3 days.
4) swelling.
On paper it should’ve been obvious from the start. 
..
I’m 5 years on, I’ve lost that leg in the most difficult decision of my life. My mum and my dad have supported me all the way through. I’ve had 18 sessions of chemo from cisplatin, methotrexate and doxorubicin. I was rough, fucking horrible. My teeth got damaged, my skin has been left dry and my hearing slightly damaged. But I’m alive. I’m alive and nothing has shown up since. I’ve met people during my “year in bed” who weren’t as fortunate as me, it was just horrendous seeing teenagers start the treatment when I was coming to an end. Knowing they are only at the start. 
I and my parents set up a charity to help families go away on holiday to have those special memories with their affected kids, something so personal to us and it’s been a pretty good success so far :) 
Thank you for reading this long post.</t>
        </is>
      </c>
      <c r="D7943" t="n">
        <v>1</v>
      </c>
      <c r="E7943" t="n">
        <v>35</v>
      </c>
      <c r="F7943">
        <f>HYPERLINK("https://www.reddit.com/r/cancer/comments/f958zz/i_was_16_when_i_was_told_i_had_cancer_i_was_16/")</f>
        <v/>
      </c>
      <c r="G7943" t="inlineStr">
        <is>
          <t>2020-02-24 21:20:11</t>
        </is>
      </c>
      <c r="H7943" t="inlineStr"/>
    </row>
    <row r="7944">
      <c r="A7944" t="inlineStr">
        <is>
          <t>f95haq</t>
        </is>
      </c>
      <c r="B7944" t="inlineStr">
        <is>
          <t>Dramatically Quick Cancer Remission</t>
        </is>
      </c>
      <c r="C7944" t="inlineStr">
        <is>
          <t xml:space="preserve"> 
# “Spontaneous” Remission from Cancer.Suzanne Interviews Her Client Ewa
In the below video, Suzanne interviews Ewa Zmyslona who had a dramatically quick cancer remission.  The interview takes place over a year since Ewa’s cancer remission, so they have had time to reflect on exactly what happened and how it happened.  Ewa’s results are not typical, but hopefully, they can inspire and inform those attempting to supplement their oncologist’s care with energy work.
Ewa came to Suzanne Clegg in November 2018 with a very scary cancer diagnosis:  cervical cancer that had spread to her lungs.  They started working together and after just a few treatments Ewa had a completely clean PET scan indicating a spontaneous remission!  Her doctors were so happy for her but couldn’t explain it.   Suzanne felt the “energetic signature” of healing when she worked with Ewa but doesn’t claim that she cured her.  Ewa was the “healer.” Suzanne was the “witnesser.”
Enjoy watching Ewa’s cancer survivor story and some of the important things she did to get better.
[https://youtu.be/ngPbB0joDCs](https://youtu.be/ngPbB0joDCs)
Below is a loose summary and timestamps to help you navigate to the parts of the video that most interest you.
**Acting out of inspiration, not fear**
Ewa talks about how she chose to work with Suzanne. \[01:23\]
**Mindset**
Ewa had a deep awareness that everything would be okay and she was open to different possibilities.  It surprised her when her condition just got worse and worse.  She was also **open to life bringing her someone who could help**.  At \[01:52\], \[03:17\] and \[06:23\] Ewa discusses how her mindset helped her.  At \[07:18\] Ewa also discusses how her mindset helped her overcome some of her fear.
**Bengston Energy Healing Method®**
Ewa had a background in Neuro-linguistic Programming and understood the mind-body connection.  She had tried many psychospiritual processes.  When Suzanne introduced Ewa to the Bengston Method, and not just how to do it, but how Suzanne is able to help her clients work with it deeply and authentically, **Ewa was all in**! \[05:01\]
**Dreaming beyond survival**
Ewa describes how becoming vividly aware of just seven personal dreams (things she wanted but did not have), was a huge shift and palpable relief from years of being tangled up in her cancer care.  \[07:59\]
**Rapid Image Cycling**
At \[09:10\] Ewa describes how she was able to **quickly learn how to cycle** her dreams.
**Surrender versus Desire**
In Suzanne’s Octave Resonance Healing™ training, she teaches people how to walk the paradoxical line between surrender and desire.  Simultaneously engaging the power of surrender and the power of full-blown desire are key to healing.  One without the other doesn’t seem to work well.  Ewa found the desire part to be easy.  She describes how she learned to also let go of control.  \[11:30\]
**Ewa’s Prayer of Surrender**
Ewa was not afraid of dying, but if she could, she wanted to stay.  She said a prayer to God and surrendered the outcome, and then was able to let go. \[12:07\]
**Discussion of the Bengston Method**
At \[13:20\], \[14:25\], and \[15:27\] Suzanne and Ewa discuss working with the **Bengston Method** and the importance of **Rapid Image Cycling**.  The Bengston Method is a technique that Suzanne learned from William Bengston, Ph.D and uses it within her Octave Resonance Healing Approach,™ which is a broader approach to the whole person.
**What it felt like to have a sudden cancer remission**
At \[16:01\] Suzanne and Ewa discuss what happened when Ewa learned that she was cancer-free – one week after she learned her cancer had spread!
At \[18:43\] Suzanne asks Ewa if she felt something shifting or if she knew her cancer was going away.  Ewa says everything happened too quickly for her to really be able to notice much.
**Blind belief versus awareness and inner guidance**
At \[19:34\] Suzanne and Ewa discuss again how integral mindset was to this process and the difference between believing with one’s ego versus embodying her deep awareness that healing was happening.
**How to not give up and still let go**
At \[20:50\] Ewa discusses the importance of not giving up, continuing to try new things, how to trust, and how to let go.
**Ewa is** **living proof that not-so-spontaneous remissions actually happen!**  There is more to life than meets the eye and we can tap into that with our inner guidance.  Don’t blame the patient or the healer if there is not a spontaneous remission.  Suzanne emphasizes that she cannot help everyone, but she appears to be able to help some people.  She is a clinician, not a researcher and her work is evidence-based. There are observable signs to indicate if is “working.”  If people are not attracted to her work, it probably would not have worked for them.  She respects that awareness.  \[21:09\]
**Learn More about Ewa’s Cancer Healing Journey**
At \[23:54\] Ewa discusses how she was called to share her story with others and offers the first two chapters of her new book **“I am Invincible, How Cancer Activated my Eight Superpowers”** for free on her website [**GlobalCancerSolutions.com**](http://globalcancersolutions.com/).</t>
        </is>
      </c>
      <c r="D7944" t="n">
        <v>1</v>
      </c>
      <c r="E7944" t="n">
        <v>1</v>
      </c>
      <c r="F7944">
        <f>HYPERLINK("https://www.reddit.com/r/cancer/comments/f95haq/dramatically_quick_cancer_remission/")</f>
        <v/>
      </c>
      <c r="G7944" t="inlineStr">
        <is>
          <t>2020-02-24 21:40:08</t>
        </is>
      </c>
      <c r="H7944" t="inlineStr"/>
    </row>
    <row r="7945">
      <c r="A7945" t="inlineStr">
        <is>
          <t>f98bwo</t>
        </is>
      </c>
      <c r="B7945" t="inlineStr">
        <is>
          <t>Stage 4 Liver Cancer: Questions</t>
        </is>
      </c>
      <c r="C7945" t="inlineStr">
        <is>
          <t>Hi all, 
My uncle who is 42 years old got diagnosed with Stage 3 colon cancer 2 months back and have just completed his last session of radiotherapy a few weeks back. Now, he is diagnosed with Stage 4 liver cancer. I have some questions I hope some of you can answer. 
1. Is stage 4 liver cancer beatable? What are the chances of beating it fully and what are the possible treatments? 
2. What is the expected life expectancy when diagnosed with Stage 4 liver cancer?</t>
        </is>
      </c>
      <c r="D7945" t="n">
        <v>1</v>
      </c>
      <c r="E7945" t="n">
        <v>2</v>
      </c>
      <c r="F7945">
        <f>HYPERLINK("https://www.reddit.com/r/cancer/comments/f98bwo/stage_4_liver_cancer_questions/")</f>
        <v/>
      </c>
      <c r="G7945" t="inlineStr">
        <is>
          <t>2020-02-25 02:29:52</t>
        </is>
      </c>
      <c r="H7945" t="inlineStr"/>
    </row>
    <row r="7946">
      <c r="A7946" t="inlineStr">
        <is>
          <t>f9d0ab</t>
        </is>
      </c>
      <c r="B7946" t="inlineStr">
        <is>
          <t>Home Solutions for Mouth and Throat Sores from Chemo</t>
        </is>
      </c>
      <c r="C7946" t="inlineStr">
        <is>
          <t>Hey guys!  Currently about to start my second of six cycles and I have started to develop mouth sore and I think some in my throat as it hurts to swallow. My doctor gave me some medical mouthwash combination that I can take 4 times a day but it still hurts to eat and swallow most times. I’ve already lost some weight since I started (was already tiny to begin with) and I’m not feeling my best since I can’t eat as much as I should. 
Any home remedy recommendations to ease the pain a little bit or help get rid of them?  
Would be greatly appreciated!</t>
        </is>
      </c>
      <c r="D7946" t="n">
        <v>1</v>
      </c>
      <c r="E7946" t="n">
        <v>8</v>
      </c>
      <c r="F7946">
        <f>HYPERLINK("https://www.reddit.com/r/cancer/comments/f9d0ab/home_solutions_for_mouth_and_throat_sores_from/")</f>
        <v/>
      </c>
      <c r="G7946" t="inlineStr">
        <is>
          <t>2020-02-25 08:41:41</t>
        </is>
      </c>
      <c r="H7946" t="inlineStr"/>
    </row>
    <row r="7947">
      <c r="A7947" t="inlineStr">
        <is>
          <t>f9dfjd</t>
        </is>
      </c>
      <c r="B7947" t="inlineStr">
        <is>
          <t>My mom has stage 4 esophageal cancer that has spread to her liver</t>
        </is>
      </c>
      <c r="C7947" t="inlineStr">
        <is>
          <t>She's getting her chemo port today in just a couple hours, I'm trying so hard to be strong but I'm so scared, I don't want to lose my mom</t>
        </is>
      </c>
      <c r="D7947" t="n">
        <v>1</v>
      </c>
      <c r="E7947" t="n">
        <v>7</v>
      </c>
      <c r="F7947">
        <f>HYPERLINK("https://www.reddit.com/r/cancer/comments/f9dfjd/my_mom_has_stage_4_esophageal_cancer_that_has/")</f>
        <v/>
      </c>
      <c r="G7947" t="inlineStr">
        <is>
          <t>2020-02-25 09:08:47</t>
        </is>
      </c>
      <c r="H7947" t="inlineStr"/>
    </row>
    <row r="7948">
      <c r="A7948" t="inlineStr">
        <is>
          <t>f9f4kb</t>
        </is>
      </c>
      <c r="B7948" t="inlineStr">
        <is>
          <t>It's been one month since breast cancer stole my best friend</t>
        </is>
      </c>
      <c r="C7948" t="inlineStr">
        <is>
          <t>Yet the images are so ingrained into my mind it feels like it was just yesterday. 29 years old, our 6 year old girls are close friends, and I still remember vividly her last night. She started making this choking/yell sound, I stepped back as her family surrounded her, and her daughter was coloring and asked me "Is my mommy going to be okay?" It happened so fast, once it spread to her liver, I had to hide my shock the first time I'd seen her after her hospital stay and how frail she looked. I'm glad I was able to be there with her in her last few weeks, I made sure to go a few times a week to spend time with her. But the images haunt me, I remember clearly the day she was put on hospice, before her meds were adjusted, and I just pushed her around her house in my sister's wheelchair to help soothe her. And her other best friend who is also near and dear to me, has been having a really hard time since. And yesterday her mom was diagnosed with lung cancer. It just feels like it's everywhere, destroying the lives of anyone it crosses paths with. The only thing I can do is continue to be in her daughter's life, I try to make sure I see her and her grandma (my friends mom) weekly and talk to her mom every few days to check in on her. I'm just waiting for it to hurt a little less.</t>
        </is>
      </c>
      <c r="D7948" t="n">
        <v>1</v>
      </c>
      <c r="E7948" t="n">
        <v>0</v>
      </c>
      <c r="F7948">
        <f>HYPERLINK("https://www.reddit.com/r/cancer/comments/f9f4kb/its_been_one_month_since_breast_cancer_stole_my/")</f>
        <v/>
      </c>
      <c r="G7948" t="inlineStr">
        <is>
          <t>2020-02-25 10:57:01</t>
        </is>
      </c>
      <c r="H7948" t="inlineStr"/>
    </row>
    <row r="7949">
      <c r="A7949" t="inlineStr">
        <is>
          <t>f9f63t</t>
        </is>
      </c>
      <c r="B7949" t="inlineStr">
        <is>
          <t>Talking to spouse</t>
        </is>
      </c>
      <c r="C7949" t="inlineStr">
        <is>
          <t>So I just got some troubling news that's still a maybe but a troubling maybe. Still in a bit of shock myself but not sure if I should call my wife right now to talk to her or wait until she's home from work. Figured this would be the place to get input on the best course of action.</t>
        </is>
      </c>
      <c r="D7949" t="n">
        <v>1</v>
      </c>
      <c r="E7949" t="n">
        <v>2</v>
      </c>
      <c r="F7949">
        <f>HYPERLINK("https://www.reddit.com/r/cancer/comments/f9f63t/talking_to_spouse/")</f>
        <v/>
      </c>
      <c r="G7949" t="inlineStr">
        <is>
          <t>2020-02-25 10:59:48</t>
        </is>
      </c>
      <c r="H7949" t="inlineStr"/>
    </row>
    <row r="7950">
      <c r="A7950" t="inlineStr">
        <is>
          <t>f9gt3v</t>
        </is>
      </c>
      <c r="B7950" t="inlineStr">
        <is>
          <t>Is it normal not to cry or get emotional when diagnosed with stage 4 cancer? Or not feel scared?</t>
        </is>
      </c>
      <c r="C7950" t="inlineStr">
        <is>
          <t>I’m 34 and I was diagnosed with stage 3 melanoma in February 2018 and then stage 4 when it spread to lungs and brain later in that year.
I’m not trying to sound like I’m a tough guy but I’ve never been a crying person. Last time I cried was 15 yrs ago when my grandad died. I was 19.
When I was told it spread to lungs and brain and of treatment didn’t work I had 6 months to live and was signed off work and the nurse write out a PIP “personal independent payment” DS500 form to claim benefits for persons with months to live. I went back into to work September of 2018 thanks to immunotherapy and the cancer was mostly gone and controlled.
I had feelings of frustration mainly due to the fact I turned my life around by getting a new job and apartment after yrs prior having problems with alcohol and holding a job down.
But I never cried even tho I felt it would be healthy too. The tears never came.
I got told I’m such a strong person etc but sometimes I think maybe I’m just emotionally unavailable. Maybe I’m overthinking it.
When I’m at the hospital waiting for my scan results I see people very understandably in tears.
I’ve witnessed both my mum and my brother cry. My dad didn’t care tho and never visited me.. Maybe I’m like him and I get angry due to his indifference and thought about causing him physical harm.
I felt anger more than anything. I received free hypnotherapy and meditation sessions to help my anger. And now I don’t have bad feelings.
Has anyone else reacted “differently” to cancer?
Or is anger and not being scared more common?</t>
        </is>
      </c>
      <c r="D7950" t="n">
        <v>1</v>
      </c>
      <c r="E7950" t="n">
        <v>40</v>
      </c>
      <c r="F7950">
        <f>HYPERLINK("https://www.reddit.com/r/cancer/comments/f9gt3v/is_it_normal_not_to_cry_or_get_emotional_when/")</f>
        <v/>
      </c>
      <c r="G7950" t="inlineStr">
        <is>
          <t>2020-02-25 12:41:24</t>
        </is>
      </c>
      <c r="H7950" t="inlineStr"/>
    </row>
    <row r="7951">
      <c r="A7951" t="inlineStr">
        <is>
          <t>f9gy1o</t>
        </is>
      </c>
      <c r="B7951" t="inlineStr">
        <is>
          <t>Today’s moms birthday</t>
        </is>
      </c>
      <c r="C7951" t="inlineStr">
        <is>
          <t>Today’s my moms birthday. She would have been 58. But instead cancer took her way too soon. 
Today is hard. Idk how I’m able to keep trucking along today, I miss her so much.</t>
        </is>
      </c>
      <c r="D7951" t="n">
        <v>1</v>
      </c>
      <c r="E7951" t="n">
        <v>4</v>
      </c>
      <c r="F7951">
        <f>HYPERLINK("https://www.reddit.com/r/cancer/comments/f9gy1o/todays_moms_birthday/")</f>
        <v/>
      </c>
      <c r="G7951" t="inlineStr">
        <is>
          <t>2020-02-25 12:50:17</t>
        </is>
      </c>
      <c r="H7951" t="inlineStr"/>
    </row>
    <row r="7952">
      <c r="A7952" t="inlineStr">
        <is>
          <t>f9gzcj</t>
        </is>
      </c>
      <c r="B7952" t="inlineStr">
        <is>
          <t>I just finished 16 chemo infusions...</t>
        </is>
      </c>
      <c r="C7952" t="inlineStr">
        <is>
          <t>Hello Reddit! 4 days ago I finished chemo for breast cancer. 4 rounds of AC, then 2 Carboplatin infusions, and 12 Taxol infusions. I survived two hospitalizations due to a Pulmonary embolism and a heart clot. I thought I wasn’t gonna make it but I’m still here. Scans show 90% reduction of the main mass (Triple Negative, Stage IIIB Infiltrating Ductal Carcinoma). Largest lymph node has reduced by roughly 50%. I have surgery scheduled 4 weeks from now. My question is: 
What happens if the surgical pathology report comes back positive? Has this happened to anyone here? Have you had triple negative BC and lived a long life to tell the tale? Thanks, you guys.</t>
        </is>
      </c>
      <c r="D7952" t="n">
        <v>1</v>
      </c>
      <c r="E7952" t="n">
        <v>25</v>
      </c>
      <c r="F7952">
        <f>HYPERLINK("https://www.reddit.com/r/cancer/comments/f9gzcj/i_just_finished_16_chemo_infusions/")</f>
        <v/>
      </c>
      <c r="G7952" t="inlineStr">
        <is>
          <t>2020-02-25 12:52:22</t>
        </is>
      </c>
      <c r="H7952" t="inlineStr"/>
    </row>
    <row r="7953">
      <c r="A7953" t="inlineStr">
        <is>
          <t>f9hrbn</t>
        </is>
      </c>
      <c r="B7953" t="inlineStr">
        <is>
          <t>question about throat cancer</t>
        </is>
      </c>
      <c r="C7953" t="inlineStr">
        <is>
          <t>Recently my dad cancer has came back a 3rd time on his throat. First time he had surgery to remove it, then 2nd time radiation was done. During the second time my dad stopped cause he was having lots of trouble eating and drinking and couldn't take it anymore. now it has come back a 3rd time this time around his vocal cords. They are going to do targeted radiation to that area. Honestly I'm scared for him, I'm afraid  the same thing will happen again or woarst. Can anyone share their experiences with this or any tips or insights if possible?</t>
        </is>
      </c>
      <c r="D7953" t="n">
        <v>1</v>
      </c>
      <c r="E7953" t="n">
        <v>3</v>
      </c>
      <c r="F7953">
        <f>HYPERLINK("https://www.reddit.com/r/cancer/comments/f9hrbn/question_about_throat_cancer/")</f>
        <v/>
      </c>
      <c r="G7953" t="inlineStr">
        <is>
          <t>2020-02-25 13:39:54</t>
        </is>
      </c>
      <c r="H7953" t="inlineStr"/>
    </row>
    <row r="7954">
      <c r="A7954" t="inlineStr">
        <is>
          <t>f9ki75</t>
        </is>
      </c>
      <c r="B7954" t="inlineStr">
        <is>
          <t>Nutrition supplements for stage IV cancer</t>
        </is>
      </c>
      <c r="C7954" t="inlineStr">
        <is>
          <t>I don’t expect nutrition supplement can do any heavy lifting or miraculous jobs to alleviate side effects of chemo but just in case you have good experience with some supplements, or the ones are needed the most, please share some.
Something on my list, since they are all (healthy),
Vitamins,
Fish oil,
Ensure/protein,
Probiotics</t>
        </is>
      </c>
      <c r="D7954" t="n">
        <v>1</v>
      </c>
      <c r="E7954" t="n">
        <v>11</v>
      </c>
      <c r="F7954">
        <f>HYPERLINK("https://www.reddit.com/r/cancer/comments/f9ki75/nutrition_supplements_for_stage_iv_cancer/")</f>
        <v/>
      </c>
      <c r="G7954" t="inlineStr">
        <is>
          <t>2020-02-25 16:40:04</t>
        </is>
      </c>
      <c r="H7954" t="inlineStr"/>
    </row>
    <row r="7955">
      <c r="A7955" t="inlineStr">
        <is>
          <t>f9l7x9</t>
        </is>
      </c>
      <c r="B7955" t="inlineStr">
        <is>
          <t>Any younger people here with MGUS?</t>
        </is>
      </c>
      <c r="C7955" t="inlineStr">
        <is>
          <t>Hi All, 
Around a month ago I was diagnosed with MGUS, which can be a precursor to multiple myeloma if it progresses. It normally seems to only affect older populations of people but I'm only 35 so this has come as a bit of a  surprise to say the least. The monoclonal proteins they found in my blood are IGG Lambda. 
My current Labs (as of the last few months) have been good. 
M-spike is 0.6 g/DL
IGG output is 1643 mg/dl (normal range is 700-1600 mg/dl)
Bone survey turned up no lesions in bones
Kappa to Lambda ratio is normal as well as outputs of both Kappa and Lambda FLC quantities
My hematologist sees no need for a bone marrow biopsy at this point in time though I'm getting more labs done in a couple of months from now to make sure nothing has drastically changed. My primary care physician seems to think this is all nothing to worry about at all....? 
I know MGUS is considered benign but it still worries me knowing I can't do anything to stop it, other than take a ton of Tumeric which apparently, may help according to research on C3 Curcumin. 
Anyone else here at a younger age with MGUS? I don't know how common it is for younger people to get MGUS. Statistics make it sound like it's practically non-existent below age 50. So, wtf body?</t>
        </is>
      </c>
      <c r="D7955" t="n">
        <v>1</v>
      </c>
      <c r="E7955" t="n">
        <v>20</v>
      </c>
      <c r="F7955">
        <f>HYPERLINK("https://www.reddit.com/r/cancer/comments/f9l7x9/any_younger_people_here_with_mgus/")</f>
        <v/>
      </c>
      <c r="G7955" t="inlineStr">
        <is>
          <t>2020-02-25 17:31:31</t>
        </is>
      </c>
      <c r="H7955" t="inlineStr"/>
    </row>
    <row r="7956">
      <c r="A7956" t="inlineStr">
        <is>
          <t>f9lamm</t>
        </is>
      </c>
      <c r="B7956" t="inlineStr">
        <is>
          <t>Any other survivors here never get that "Hallelujah, I survived!" feeling after cancer?</t>
        </is>
      </c>
      <c r="C7956" t="inlineStr">
        <is>
          <t>I'm six months post stem cell transplant for non-Hodgkin's lymphoma, this being the second time having it too. First time I had five years ago was just chemo, this time was the transplant. Both times now, my mind had never really seen my cancer as much more than simply being sick, talking medicine and getting better.  I never got that existential fear of dying in my thirties, never got that grateful feeling if still being alive. That's not to say it hasn't affected my general disposition and mood for the negative, I just don't feel special or different or whatever for having survived it twice now.  I know I need to talk to someone, but I've never been able to fully talk to and open up to anyone, ever, so I have a hard time actually going through the process of looking. I can't express myself in type well, can't maintain coherence of voice through the bawling long enough to get even one onion later deep. Just don't know what to do.</t>
        </is>
      </c>
      <c r="D7956" t="n">
        <v>1</v>
      </c>
      <c r="E7956" t="n">
        <v>43</v>
      </c>
      <c r="F7956">
        <f>HYPERLINK("https://www.reddit.com/r/cancer/comments/f9lamm/any_other_survivors_here_never_get_that/")</f>
        <v/>
      </c>
      <c r="G7956" t="inlineStr">
        <is>
          <t>2020-02-25 17:36:56</t>
        </is>
      </c>
      <c r="H7956" t="inlineStr"/>
    </row>
    <row r="7957">
      <c r="A7957" t="inlineStr">
        <is>
          <t>f9ln9k</t>
        </is>
      </c>
      <c r="B7957" t="inlineStr">
        <is>
          <t>Heisenburg is coming</t>
        </is>
      </c>
      <c r="C7957" t="inlineStr">
        <is>
          <t>My beard started to fall out a few days ago, just by rubbing my fingers through it - now my hair on my scalp along with my eyebrows are falling out.
&amp;amp;#x200B;
32 years old, male, stage 2b invasive ductal carcinoma. Nothing more to say, when my hair becomes patchy I will shave it off. Might be soon - but I am "breaking bad" lol.
&amp;amp;#x200B;
Needless to say I might like the look of being bald, so who knows when the time comes and treatment is over I may keep the baldness.
&amp;amp;#x200B;
My first treatment was 2/14/2020 - so it seems about right a little over a week for the hair to start clumping out.</t>
        </is>
      </c>
      <c r="D7957" t="n">
        <v>1</v>
      </c>
      <c r="E7957" t="n">
        <v>16</v>
      </c>
      <c r="F7957">
        <f>HYPERLINK("https://www.reddit.com/r/cancer/comments/f9ln9k/heisenburg_is_coming/")</f>
        <v/>
      </c>
      <c r="G7957" t="inlineStr">
        <is>
          <t>2020-02-25 18:02:11</t>
        </is>
      </c>
      <c r="H7957" t="inlineStr"/>
    </row>
    <row r="7958">
      <c r="A7958" t="inlineStr">
        <is>
          <t>f9njkd</t>
        </is>
      </c>
      <c r="B7958" t="inlineStr">
        <is>
          <t>Any CAR T cell survivors here ?</t>
        </is>
      </c>
      <c r="C7958" t="inlineStr">
        <is>
          <t>Hi! I did car t cell treatment and I wanted to know if they were some people who did it to in here. How y'all doing?</t>
        </is>
      </c>
      <c r="D7958" t="n">
        <v>1</v>
      </c>
      <c r="E7958" t="n">
        <v>15</v>
      </c>
      <c r="F7958">
        <f>HYPERLINK("https://www.reddit.com/r/cancer/comments/f9njkd/any_car_t_cell_survivors_here/")</f>
        <v/>
      </c>
      <c r="G7958" t="inlineStr">
        <is>
          <t>2020-02-25 20:19:31</t>
        </is>
      </c>
      <c r="H7958" t="inlineStr"/>
    </row>
    <row r="7959">
      <c r="A7959" t="inlineStr">
        <is>
          <t>f9oua7</t>
        </is>
      </c>
      <c r="B7959" t="inlineStr">
        <is>
          <t>My dad lost his battle tonight</t>
        </is>
      </c>
      <c r="C7959" t="inlineStr">
        <is>
          <t>I am 22 and was raised by my grandparents. I call them mom and dad. My mom is in her mid 80’s and living states away with a relative, and my dad was 77 and got diagnosed with stage 3 small cell lung cancer in September. 12 days ago, only a few weeks after finishing chemo, he was given 3-6 months. He does up getting pneumonia and we took him to the ER yesterday. He got really really bad really really fast, and today was in pretty much a comatose state all day until he took his last breath. I feel like I can’t breathe or function or think of anything besides him. This is making me wish I was dead too. I don’t know how I’ll ever handle this. I miss him. I love him. I’d give anything to have been able to help him. I don’t know how people get through this. I feel like I’m seconds away from a mental breakdown. I love you Dad. I hope you love it up there.</t>
        </is>
      </c>
      <c r="D7959" t="n">
        <v>1</v>
      </c>
      <c r="E7959" t="n">
        <v>8</v>
      </c>
      <c r="F7959">
        <f>HYPERLINK("https://www.reddit.com/r/cancer/comments/f9oua7/my_dad_lost_his_battle_tonight/")</f>
        <v/>
      </c>
      <c r="G7959" t="inlineStr">
        <is>
          <t>2020-02-25 22:09:29</t>
        </is>
      </c>
      <c r="H7959" t="inlineStr"/>
    </row>
    <row r="7960">
      <c r="A7960" t="inlineStr">
        <is>
          <t>f9qrag</t>
        </is>
      </c>
      <c r="B7960" t="inlineStr">
        <is>
          <t>Any similar situations?</t>
        </is>
      </c>
      <c r="C7960" t="inlineStr">
        <is>
          <t>Hi all, I have a colerectal tumour and found out today it's spread to my liver. I have a meeting with a surgeon next week. From what I've read the outcome isn't the best. Has anyone else had this and lived to tell the tale?</t>
        </is>
      </c>
      <c r="D7960" t="n">
        <v>1</v>
      </c>
      <c r="E7960" t="n">
        <v>3</v>
      </c>
      <c r="F7960">
        <f>HYPERLINK("https://www.reddit.com/r/cancer/comments/f9qrag/any_similar_situations/")</f>
        <v/>
      </c>
      <c r="G7960" t="inlineStr">
        <is>
          <t>2020-02-26 01:30:30</t>
        </is>
      </c>
      <c r="H7960" t="inlineStr"/>
    </row>
    <row r="7961">
      <c r="A7961" t="inlineStr">
        <is>
          <t>f9t8d5</t>
        </is>
      </c>
      <c r="B7961" t="inlineStr">
        <is>
          <t>Who has experience with this Holistic healer-“Dr Robert Morse” ?</t>
        </is>
      </c>
      <c r="C7961" t="inlineStr">
        <is>
          <t xml:space="preserve"> Need your help. I need to find people who have used -“Dr Robert Morse” herbal treatments as cancer therapy,  I’m assuming they had to back off and revert to Western medicine.   
My wife is committed to this guy, no data or facts are helping convince her otherwise as this “Robert Morse” person regularly discounts the achievements of western medicine.</t>
        </is>
      </c>
      <c r="D7961" t="n">
        <v>1</v>
      </c>
      <c r="E7961" t="n">
        <v>8</v>
      </c>
      <c r="F7961">
        <f>HYPERLINK("https://www.reddit.com/r/cancer/comments/f9t8d5/who_has_experience_with_this_holistic_healerdr/")</f>
        <v/>
      </c>
      <c r="G7961" t="inlineStr">
        <is>
          <t>2020-02-26 05:30:11</t>
        </is>
      </c>
      <c r="H7961" t="inlineStr"/>
    </row>
    <row r="7962">
      <c r="A7962" t="inlineStr">
        <is>
          <t>f9tmfd</t>
        </is>
      </c>
      <c r="B7962" t="inlineStr">
        <is>
          <t>Help please, the good and the bad.. Pancreatic Stage 4</t>
        </is>
      </c>
      <c r="C7962" t="inlineStr">
        <is>
          <t>Stage 4 Pancreatic cancer diagnosed October 2018. 
The good; (all from his oncologist) 
- Tumour marker CA19-9 blood test showing result as 37 - in a normal person range - was 200 in July when started chemo. 
- Liver function test normal. 
- CT scan done in November time, tumour on pancreas shrunk slightly. Tumour on liver shrunk and only showing as 5mm now. 
- His diabetes is so under control now that they have told him he doesn't have to inject insulin anymore because his pancreas must be reproducing it. 
The bad; 
- He is barely eating. Breakfast and maybe a bit of dinner. 
- He has lost 10kg since November. And is now only weighing 9stone 2lbs. 
- He has alot of pain in his abdomen. 
- He is very tired. 
Why is this happening is all the medical side of things are showing everything positively?! 
Anyone been through something similar?</t>
        </is>
      </c>
      <c r="D7962" t="n">
        <v>1</v>
      </c>
      <c r="E7962" t="n">
        <v>9</v>
      </c>
      <c r="F7962">
        <f>HYPERLINK("https://www.reddit.com/r/cancer/comments/f9tmfd/help_please_the_good_and_the_bad_pancreatic_stage/")</f>
        <v/>
      </c>
      <c r="G7962" t="inlineStr">
        <is>
          <t>2020-02-26 06:00:12</t>
        </is>
      </c>
      <c r="H7962" t="inlineStr"/>
    </row>
    <row r="7963">
      <c r="A7963" t="inlineStr">
        <is>
          <t>f9uiyz</t>
        </is>
      </c>
      <c r="B7963" t="inlineStr">
        <is>
          <t>Fuck every single thing about US healthcare</t>
        </is>
      </c>
      <c r="C7963" t="inlineStr">
        <is>
          <t>So my job of 12 years let me go in December due to "budget cuts" aka my cancer advancing to stage 4 and me needing treatment and them wanting to offload me. I'm not eligible for benefits at my new job til May. My husband stated his job in October, should be good right? He got made union in February. They made THAT his start date so now he's not eligible until May. The cancer center got me down to around $1000 each treatment. That's literally for the IV insertion ffs. I did 1 but can't afford anymore. Guess I'll just go ahead and die then. If I see one more fucking person go on about how terrible Medicare for all is, how it's for lazy people who don't pay, etc. I will lose my shit. I've worked full time through this whole stupid diagnosis so I could keep insurance. I was working with a pericardial drain in. With colitis and hepatitis from treatment. With blood clots and hemorrhaging from the eliquis. I was back to work 5 days after open heart surgery. I'm just so sick of everything.</t>
        </is>
      </c>
      <c r="D7963" t="n">
        <v>1</v>
      </c>
      <c r="E7963" t="n">
        <v>89</v>
      </c>
      <c r="F7963">
        <f>HYPERLINK("https://www.reddit.com/r/cancer/comments/f9uiyz/fuck_every_single_thing_about_us_healthcare/")</f>
        <v/>
      </c>
      <c r="G7963" t="inlineStr">
        <is>
          <t>2020-02-26 07:04:38</t>
        </is>
      </c>
      <c r="H7963" t="inlineStr"/>
    </row>
    <row r="7964">
      <c r="A7964" t="inlineStr">
        <is>
          <t>f9vlb1</t>
        </is>
      </c>
      <c r="B7964" t="inlineStr">
        <is>
          <t>Wondering if anyone else has experienced a similar situation (breast cancer).</t>
        </is>
      </c>
      <c r="C7964" t="inlineStr">
        <is>
          <t>Hi all,
Wondering (hoping) if anyone else is in a similar boat as me and my sister currently.
We have many instances of breast cancer in our family. Breast cancer (triple negative, stage 4) took my mother's life in 2013 (she was 58, wasn't diagnosed until the year prior due to never going to the doctor). My mother's sister had breast cancer and survived after a double mastectomy. My father's sister had breast cancer and her daughter also just recently got diagnosed.
There would seem to be some genetic connection here but there unfortunately just isn't. Myself, my mother, my aunts, my cousins, and my sister all participated in genetic testing and none of us were found to have the BRCA genes. My sister and I feel like our fate is sealed and that we will encounter breast cancer at some point in our lives, which is absolutely devastating to think about. I'm 26 and my sister is 36. We both go yearly for MRI's  and I'll be able to start mammograms when I'm 30, but I find myself with constant anxiety over this even though everything has looked good for both of us so far.
I feel so frustrated and lost.  There is such strong evidence to support that breast cancer runs on both sides of my family, but unfortunately we can't find what links us all together. I really just want to feel like we're not alone in this. Hoping someone else can share a similar story.</t>
        </is>
      </c>
      <c r="D7964" t="n">
        <v>1</v>
      </c>
      <c r="E7964" t="n">
        <v>9</v>
      </c>
      <c r="F7964">
        <f>HYPERLINK("https://www.reddit.com/r/cancer/comments/f9vlb1/wondering_if_anyone_else_has_experienced_a/")</f>
        <v/>
      </c>
      <c r="G7964" t="inlineStr">
        <is>
          <t>2020-02-26 08:15:54</t>
        </is>
      </c>
      <c r="H7964" t="inlineStr"/>
    </row>
    <row r="7965">
      <c r="A7965" t="inlineStr">
        <is>
          <t>f9wab3</t>
        </is>
      </c>
      <c r="B7965" t="inlineStr">
        <is>
          <t>26F Possible Breast Cancer. Setting expectations?</t>
        </is>
      </c>
      <c r="C7965" t="inlineStr">
        <is>
          <t>Hi everyone. I'm 26 and just recently discovered a mass in my right breast. I've also had major issues with fatigue and in the last few weeks went from 135 to 125lbs with no change in diet or exercise. If anything I'm less active then usual. 
I went to my OB and she could clearly feel the mass but said it didn't feel like a clear tumor so "at this point [she's] not worried". I have poor family history so she is sending me for a mammogram just to be safe. My mother and aunt have both had breast cancer and my maternal grandfather has had blander cancer twice. My mother does not carry the BRCA gene but has had no other genetic testing done. 
My mother was diagnosed with 2 types of stage 2 breast cancer at 40 at her first mammogram with no symptoms. I was 15 when she was diagnosed. After missing two 2cm tumors on her scans, she ended up with a double mastectomy, expanders, implants, a partial and then total hysterectomy. She has been in remission 10 years now.
Right now I'm struggling to get an appointment with radiology as they're booked for several weeks and being in limbo is beyond frustrating. I've come to terms with being high risk for breast cancer at some point in my life and am struggling with how I should be setting my expectations. Do I prepare for the worst or remain optimistic? I don't want to be blindsided with a diagnosis but I don't know that its healthy to go into this with the expectation of cancer. I would love to hear your stories and feedback. Thank you for reading my rant. It's been a rough week.</t>
        </is>
      </c>
      <c r="D7965" t="n">
        <v>1</v>
      </c>
      <c r="E7965" t="n">
        <v>13</v>
      </c>
      <c r="F7965">
        <f>HYPERLINK("https://www.reddit.com/r/cancer/comments/f9wab3/26f_possible_breast_cancer_setting_expectations/")</f>
        <v/>
      </c>
      <c r="G7965" t="inlineStr">
        <is>
          <t>2020-02-26 08:59:19</t>
        </is>
      </c>
      <c r="H7965" t="inlineStr"/>
    </row>
    <row r="7966">
      <c r="A7966" t="inlineStr">
        <is>
          <t>f9x8iq</t>
        </is>
      </c>
      <c r="B7966" t="inlineStr">
        <is>
          <t>How do/did you guys deal/dealt with knowing your loved one as a few weeks to a few months to live?</t>
        </is>
      </c>
      <c r="C7966" t="inlineStr">
        <is>
          <t>My dad just talked to my mom's doctor and got the awful news that the lung cancer that spread to brain cancer is already too advanced. This obviously means there's no possible treatment and they'll more than likely just treat the symptoms. 
Then to make it worse, the doctor said my mom has a life expectancy ranging from a few weeks to a few months. Right now, i'm completely shocked and can't think about anything besides that. I was expecting her situation to be really bad but didn't expect to be bombarded by bad news continuously - me and my dad had hoped some good news would finally come.
Right now this is being really hard for me and my dad. Mom was the foundation of this house, she kept everything under control and now suddenly we're about to lose her while losing our hope and will.
Honestly, at this moment, i'm more worried about my dad and my brother than myself, even though i don't know how i'll get through this.
My dad always loved mom and never left her side, which is going to make this REALLY hard. 
And worst, my brother, he has down syndrome and schizophrenia - i'm extremely worried about him and i don't know how to tell him the news.
I don't even know whether she is coming back home or not, but i know it's gonna be insanely painful to see her get worse everyday until she dies.
So, back to the title, how do/did you guys deal/dealt with knowing your loved one as a few weeks to a few months to live?</t>
        </is>
      </c>
      <c r="D7966" t="n">
        <v>1</v>
      </c>
      <c r="E7966" t="n">
        <v>3</v>
      </c>
      <c r="F7966">
        <f>HYPERLINK("https://www.reddit.com/r/cancer/comments/f9x8iq/how_dodid_you_guys_dealdealt_with_knowing_your/")</f>
        <v/>
      </c>
      <c r="G7966" t="inlineStr">
        <is>
          <t>2020-02-26 09:59:16</t>
        </is>
      </c>
      <c r="H7966" t="inlineStr"/>
    </row>
    <row r="7967">
      <c r="A7967" t="inlineStr">
        <is>
          <t>f9x9p2</t>
        </is>
      </c>
      <c r="B7967" t="inlineStr">
        <is>
          <t>Little brothers Ewing Sarcoma advice for further treatment</t>
        </is>
      </c>
      <c r="C7967" t="inlineStr">
        <is>
          <t>Hello, I am not sure if I am at the right place to ask this but if not please redirect me to right Subreddit. 
My little brother (10) has been battling Ewing Sarcoma since last year February. It formed onto his ribs and has spread to the lungs. The Doctors have removed part of it on the ribs but recently it came back even bigger. Hes on this 8th or 9th Chemotherapy. We are in southern Europe and the hospital we were in doesn't want to do another operation on him because there is no resources for that and it is would be very difficult. Since then they contacted 2 hospitals, one in USA and another one in Germany both declined to treat him. 
Basically what they are saying is that he is as good as dead and they do not want to use resources on something like that and we should continue with chemotherapy. He became almost immune to chemotherapy and is in very bad condition.  
Is there a way for me to contact hospitals my self? Are there a hospitals that would consider my request and look into it? Do you know such hospitals?</t>
        </is>
      </c>
      <c r="D7967" t="n">
        <v>1</v>
      </c>
      <c r="E7967" t="n">
        <v>12</v>
      </c>
      <c r="F7967">
        <f>HYPERLINK("https://www.reddit.com/r/cancer/comments/f9x9p2/little_brothers_ewing_sarcoma_advice_for_further/")</f>
        <v/>
      </c>
      <c r="G7967" t="inlineStr">
        <is>
          <t>2020-02-26 10:01:18</t>
        </is>
      </c>
      <c r="H7967" t="inlineStr"/>
    </row>
    <row r="7968">
      <c r="A7968" t="inlineStr">
        <is>
          <t>f9y2s2</t>
        </is>
      </c>
      <c r="B7968" t="inlineStr">
        <is>
          <t>Recommendations for managing Chemo? What to expect? (Stage 4 pancreatic)</t>
        </is>
      </c>
      <c r="C7968" t="inlineStr">
        <is>
          <t>My mom (87 F) has been diagnosed with stage 4 pancreatic cancer with metastasis to lungs and liver.  We just got the biopsy results today confirming, but the CT scans and CA-19-9  were pretty damning.
We got her started with medical marijuana last week anticipating chemo, but also to address her abdominal discomfort (this was what triggered her CT scan about 3 weeks ago)  
They have her scheduled for Chemo for this Friday,  a dose-reduced Gemcitabine based on her age.
I have no idea what Chemo is like.
We know of someone who was a similar age, gender and diagnosis who  ditched Chemo after 4 treatments as they found it unbearable.  My mother, siblings and I are of the same mind that quality of life trumps length, so wondering what we can do to best help her manage.</t>
        </is>
      </c>
      <c r="D7968" t="n">
        <v>1</v>
      </c>
      <c r="E7968" t="n">
        <v>5</v>
      </c>
      <c r="F7968">
        <f>HYPERLINK("https://www.reddit.com/r/cancer/comments/f9y2s2/recommendations_for_managing_chemo_what_to_expect/")</f>
        <v/>
      </c>
      <c r="G7968" t="inlineStr">
        <is>
          <t>2020-02-26 10:52:29</t>
        </is>
      </c>
      <c r="H7968" t="inlineStr"/>
    </row>
    <row r="7969">
      <c r="A7969" t="inlineStr">
        <is>
          <t>fa09xi</t>
        </is>
      </c>
      <c r="B7969" t="inlineStr">
        <is>
          <t>Trying to Support my mom (help!)</t>
        </is>
      </c>
      <c r="C7969" t="inlineStr">
        <is>
          <t>The beginning of this year has hit my family hard. My dad was diagnosed with MG (Myasthenia Gravis) a little over a year ago and this past month has began to decline. My little sister was diagnosed with Lupus last month. A couple of weeks ago my grandma had a stroke that rendered unable to move and speak. And my mom was diagnosed with breast cancer in January which has been so heavy on all of us. It’s aggressive and with chemo and radiation... her body is changing including hair loss. We are all supporting her in every way we can. I was wondering if anyone had any idea if any high quality wigs I could get her? I would really appreciate some wig advice and any other advice that would help me support her in any way possible!!!!!  Thank you in advance!!</t>
        </is>
      </c>
      <c r="D7969" t="n">
        <v>1</v>
      </c>
      <c r="E7969" t="n">
        <v>2</v>
      </c>
      <c r="F7969">
        <f>HYPERLINK("https://www.reddit.com/r/cancer/comments/fa09xi/trying_to_support_my_mom_help/")</f>
        <v/>
      </c>
      <c r="G7969" t="inlineStr">
        <is>
          <t>2020-02-26 13:07:12</t>
        </is>
      </c>
      <c r="H7969" t="inlineStr"/>
    </row>
    <row r="7970">
      <c r="A7970" t="inlineStr">
        <is>
          <t>fa0r0s</t>
        </is>
      </c>
      <c r="B7970" t="inlineStr">
        <is>
          <t>I want to help raise money for cancer (not asking for money online) and unfortunately my company has chosen Alzheimer’s again for the third consecutive time.</t>
        </is>
      </c>
      <c r="C7970" t="inlineStr">
        <is>
          <t>I’m not bitter just disappointed that powers at be have chosen Alzheimer’s again. I work for a large corporation and I’ll need other ideas how to raise money. I can’t raise it at work since the head office chooses the charity.
Any ideas</t>
        </is>
      </c>
      <c r="D7970" t="n">
        <v>1</v>
      </c>
      <c r="E7970" t="n">
        <v>0</v>
      </c>
      <c r="F7970">
        <f>HYPERLINK("https://www.reddit.com/r/cancer/comments/fa0r0s/i_want_to_help_raise_money_for_cancer_not_asking/")</f>
        <v/>
      </c>
      <c r="G7970" t="inlineStr">
        <is>
          <t>2020-02-26 13:36:25</t>
        </is>
      </c>
      <c r="H7970" t="inlineStr"/>
    </row>
    <row r="7971">
      <c r="A7971" t="inlineStr">
        <is>
          <t>fa1mje</t>
        </is>
      </c>
      <c r="B7971" t="inlineStr">
        <is>
          <t>Worst few weeks ever..</t>
        </is>
      </c>
      <c r="C7971" t="inlineStr">
        <is>
          <t>I was 42 on the 8th January and since then things have changed unbelievably. My mum had a pain in her clavicle for a little while and passed it off as being old. After a few tests she was diagnosed with metastatic cancer after a shadow on her lungs was seen after a scan. Bone scans then showed traces in many other areas of her body and there's nothing they can do other than help control it. Coming to terms with that is difficult enough...
Last week my old man had an endoscopy due to his iron levels being very low and they found a tumour in his oesophagus...
Both parents in a matter of weeks. I'm completely blown over. I just needed to sound this out on here... thanks for listening</t>
        </is>
      </c>
      <c r="D7971" t="n">
        <v>1</v>
      </c>
      <c r="E7971" t="n">
        <v>4</v>
      </c>
      <c r="F7971">
        <f>HYPERLINK("https://www.reddit.com/r/cancer/comments/fa1mje/worst_few_weeks_ever/")</f>
        <v/>
      </c>
      <c r="G7971" t="inlineStr">
        <is>
          <t>2020-02-26 14:30:25</t>
        </is>
      </c>
      <c r="H7971" t="inlineStr"/>
    </row>
    <row r="7972">
      <c r="A7972" t="inlineStr">
        <is>
          <t>fa2zlt</t>
        </is>
      </c>
      <c r="B7972" t="inlineStr">
        <is>
          <t>All happened so fast. Is my Nan near the end</t>
        </is>
      </c>
      <c r="C7972" t="inlineStr">
        <is>
          <t>(For those not from the UK or from a country that does not recognise the word... Nan is a name we use for our Grandmother/Grandma)
Hi everybody
In December my nan was diagnosed with Non small cell lung cancer (all smoking related) after visiting the doctors with a chesty cough.
Fast forward to now and we have had PET scans, CT scans etc and the doctor has told us that due to her age and frail condition he will only be giving her radiotherapy and it won't be for 'curative' reasons... Although I have not mentioned this to her, her nurse has told me in private that it's very likely my Nan will not be around much longer as the cancer is very aggressive (tumour is over 10cm long and spread to lymph nodes)
I feel like we have not had a second to breath and process it, my nan is deteriorating so fast, only a few months ago she was in good spirits and just her normal self and since her diagnosis she has just gone downhill.
She won't eat, she falls asleep at the drop of a hat wherever she sits, her cough is awful, she occasionally starts talking really strange and it never makes sense for example at 11pm yesterday she told me she had to go and get on the bus to the shops (Mall).... She has lost so much weight it's awful.
Also her personality has changed, she has become very snappy and at times quite nasty... This is NOT my nan and never has been! She also keeps saying she has had enough and is getting weaker every day.
The most bizarre part is that every now and then she suddenly seems as if she has perked up for about an hour before deteriorating again, when she falls asleep it's almost like she just passes out, it's so sudden. She is always talking about being exhausted and very rarely moves from the chair.
Nurse has reffered us to hospice care who have phoned today
Can somebody tell me if the end is near?</t>
        </is>
      </c>
      <c r="D7972" t="n">
        <v>1</v>
      </c>
      <c r="E7972" t="n">
        <v>2</v>
      </c>
      <c r="F7972">
        <f>HYPERLINK("https://www.reddit.com/r/cancer/comments/fa2zlt/all_happened_so_fast_is_my_nan_near_the_end/")</f>
        <v/>
      </c>
      <c r="G7972" t="inlineStr">
        <is>
          <t>2020-02-26 16:00:15</t>
        </is>
      </c>
      <c r="H7972" t="inlineStr"/>
    </row>
    <row r="7973">
      <c r="A7973" t="inlineStr">
        <is>
          <t>fa35tb</t>
        </is>
      </c>
      <c r="B7973" t="inlineStr">
        <is>
          <t>Exercise while receiving radiation treatment</t>
        </is>
      </c>
      <c r="C7973" t="inlineStr">
        <is>
          <t>Hello all. I have a lipo sarcoma deep in my pelvis.  The outlook is hopeful, fingers crossed. Doctors seem optimistic. My radiation treatment is scheduled to start on Monday. 
Doctors have said I will have no restrictions on my daily activities, but I’m wondering about exercise. Is it feasible to workout/lift weights during this treatment?
I want to keep myself active during this treatment, for my mental health. It’s been a rough few months. Any input would be appreciated</t>
        </is>
      </c>
      <c r="D7973" t="n">
        <v>1</v>
      </c>
      <c r="E7973" t="n">
        <v>8</v>
      </c>
      <c r="F7973">
        <f>HYPERLINK("https://www.reddit.com/r/cancer/comments/fa35tb/exercise_while_receiving_radiation_treatment/")</f>
        <v/>
      </c>
      <c r="G7973" t="inlineStr">
        <is>
          <t>2020-02-26 16:13:25</t>
        </is>
      </c>
      <c r="H7973" t="inlineStr"/>
    </row>
    <row r="7974">
      <c r="A7974" t="inlineStr">
        <is>
          <t>fa3dw7</t>
        </is>
      </c>
      <c r="B7974" t="inlineStr">
        <is>
          <t>My biological older brother is dying of cancer.</t>
        </is>
      </c>
      <c r="C7974" t="inlineStr">
        <is>
          <t>I just found out that my birth mothers son is dying of cancer. I didn't get the chance to know him very well, so I don't know how to feel. Has anyone been in a similar situation? I would love some advice. Also, how can I best support him? He has stage 4 blood cancer. He doesn't know that I know.  Im in a pretty fragile state of mind at the moment because of other things going on in my life. How would you recommend I best take care of myself in all of this? 
-Thanks</t>
        </is>
      </c>
      <c r="D7974" t="n">
        <v>1</v>
      </c>
      <c r="E7974" t="n">
        <v>6</v>
      </c>
      <c r="F7974">
        <f>HYPERLINK("https://www.reddit.com/r/cancer/comments/fa3dw7/my_biological_older_brother_is_dying_of_cancer/")</f>
        <v/>
      </c>
      <c r="G7974" t="inlineStr">
        <is>
          <t>2020-02-26 16:29:15</t>
        </is>
      </c>
      <c r="H7974" t="inlineStr"/>
    </row>
    <row r="7975">
      <c r="A7975" t="inlineStr">
        <is>
          <t>fa59ui</t>
        </is>
      </c>
      <c r="B7975" t="inlineStr">
        <is>
          <t>Just found out that my s/o has cancer, waiting to find out more details as far as stage and exact type.</t>
        </is>
      </c>
      <c r="C7975" t="inlineStr">
        <is>
          <t>My hubby was in the kitchen doing dishes while I cooked and went to sit down at the dining room table, as he sat down his right femur snapped like a twig. 
After being basically ignored at the ER all the way up to the point that they took an X-ray and discovered his  femur was broken, he was quickly (within 2 hours) transported to another hospital with an oncology and orthopedic team.
Upon arrival, without hesitation the admitting physician told him it was cancer, the first hospital failed to mention he had a tumor at the site of the break. 
Surgery was performed and we are now waiting for biopsy results but based on all of the other tests so far and the nature of what happened everyone at the hospital has been clear that it is some form of cancer.
A little bit of backstory: He has been having pain in his leg since December of last year and when requesting prior x-rays we saw that the damage from the tumor was quite evident on the femur, but never presented in a radiology report, he has tried repeatedly to request further testing from his GP and the ER. 
We lost a family member from breast cancer that metastasized in her spine last year at the end of September so there’s just that much more reason for us to be freaked out. 
I also have three teenage sons that are very close to my s/o even though he’s their step-father. Trying to keep them optimistic and help them cope as well as keeping him in good spirits while I hide the fact that I’m completely falling apart inside is getting harder by the minute.  
Any suggestions for just holding it all together through this? I was doing fine until I saw the x-rays taken in December and now I’m just full of rage that this was overlooked and he had to go through the pain of a broken femur before getting such horrible news.</t>
        </is>
      </c>
      <c r="D7975" t="n">
        <v>1</v>
      </c>
      <c r="E7975" t="n">
        <v>10</v>
      </c>
      <c r="F7975">
        <f>HYPERLINK("https://www.reddit.com/r/cancer/comments/fa59ui/just_found_out_that_my_so_has_cancer_waiting_to/")</f>
        <v/>
      </c>
      <c r="G7975" t="inlineStr">
        <is>
          <t>2020-02-26 18:48:09</t>
        </is>
      </c>
      <c r="H7975" t="inlineStr"/>
    </row>
    <row r="7976">
      <c r="A7976" t="inlineStr">
        <is>
          <t>fa70be</t>
        </is>
      </c>
      <c r="B7976" t="inlineStr">
        <is>
          <t>Posted 9 months ago about my mother getting the initial results. Now she's back at the hospital and it's uncertain how long she got left.</t>
        </is>
      </c>
      <c r="C7976" t="inlineStr">
        <is>
          <t>Throat cancer which was discovered early-mid 2019. Went through chemo and radiology, but a few weeks ago she collapsed and they discovered she had some issues with her lungs. Went to the hospital and have been there ever since. The first weeks went well and we could talk, she had visitors, etc. A few days ago things turned for the worse and I'm fearing there's not much time left. The body is slowing losing the fight. The doctor of course cannot guess or give us an estimate, but it really sucks how we can do nothing but wait by her bed. I don't understand how people cope with these situations. Furthermore I'm stationed abroad but got a weeks leave to go home. How do one cope with just waiting for the inevitable?</t>
        </is>
      </c>
      <c r="D7976" t="n">
        <v>1</v>
      </c>
      <c r="E7976" t="n">
        <v>4</v>
      </c>
      <c r="F7976">
        <f>HYPERLINK("https://www.reddit.com/r/cancer/comments/fa70be/posted_9_months_ago_about_my_mother_getting_the/")</f>
        <v/>
      </c>
      <c r="G7976" t="inlineStr">
        <is>
          <t>2020-02-26 21:04:50</t>
        </is>
      </c>
      <c r="H7976" t="inlineStr"/>
    </row>
    <row r="7977">
      <c r="A7977" t="inlineStr">
        <is>
          <t>fa7z39</t>
        </is>
      </c>
      <c r="B7977" t="inlineStr">
        <is>
          <t>3 Years Cancer Free!</t>
        </is>
      </c>
      <c r="C7977" t="inlineStr">
        <is>
          <t>Friday the 21st marked my third year cancer free. I’m really happy that everything seems to be going well for me. All my scans are clear and my brain cancer is still gone. I’m also graduating high school this year which is also really exciting, I’m about to start a new chapter in my life and I honestly feel I’m ready for anything.</t>
        </is>
      </c>
      <c r="D7977" t="n">
        <v>1</v>
      </c>
      <c r="E7977" t="n">
        <v>44</v>
      </c>
      <c r="F7977">
        <f>HYPERLINK("https://www.reddit.com/r/cancer/comments/fa7z39/3_years_cancer_free/")</f>
        <v/>
      </c>
      <c r="G7977" t="inlineStr">
        <is>
          <t>2020-02-26 22:35:20</t>
        </is>
      </c>
      <c r="H7977" t="inlineStr"/>
    </row>
    <row r="7978">
      <c r="A7978" t="inlineStr">
        <is>
          <t>fa9ee0</t>
        </is>
      </c>
      <c r="B7978" t="inlineStr">
        <is>
          <t>Stage 4 colon cancer with liver metastasis</t>
        </is>
      </c>
      <c r="C7978" t="inlineStr">
        <is>
          <t>Hi everyone, 
My uncle, 42 years old was diagnosed with Stage 3 colon cancer 6 months ago. He went through surgery to remove the tumour and also just completed his 8 sessions of chemotherapy about a month ago. 
Doctor took blood tests twice post chemotherapy and have now, diagnosed him with Stage 4 colon cancer with loved metastasis. According to the scans done, his liver is swollen. They are now placing him on a 2-week hold until further tests will be done and currently for the next few weeks, he is not prescribed any medications which is worrisome to us as he is at Stage 4 but doctors are still dragging the timeline out. 
Do you have any advices to share regarding Stage 4 colon cancer with liver metastasis? And what are the chances of recovering with proper treatments and life expectancy? 
I hope there will be some response as my family and I are very devastated that this happened and would like to hear some advices or even, truth about this cancer.</t>
        </is>
      </c>
      <c r="D7978" t="n">
        <v>1</v>
      </c>
      <c r="E7978" t="n">
        <v>20</v>
      </c>
      <c r="F7978">
        <f>HYPERLINK("https://www.reddit.com/r/cancer/comments/fa9ee0/stage_4_colon_cancer_with_liver_metastasis/")</f>
        <v/>
      </c>
      <c r="G7978" t="inlineStr">
        <is>
          <t>2020-02-27 01:05:04</t>
        </is>
      </c>
      <c r="H7978" t="inlineStr"/>
    </row>
    <row r="7979">
      <c r="A7979" t="inlineStr">
        <is>
          <t>fa9zl1</t>
        </is>
      </c>
      <c r="B7979" t="inlineStr">
        <is>
          <t>Fuck cancer</t>
        </is>
      </c>
      <c r="C7979" t="inlineStr">
        <is>
          <t>I am sorry for this post but i just want to let this out my chest , i want to scream "Fuck cancer" for taking my dad</t>
        </is>
      </c>
      <c r="D7979" t="n">
        <v>1</v>
      </c>
      <c r="E7979" t="n">
        <v>8</v>
      </c>
      <c r="F7979">
        <f>HYPERLINK("https://www.reddit.com/r/cancer/comments/fa9zl1/fuck_cancer/")</f>
        <v/>
      </c>
      <c r="G7979" t="inlineStr">
        <is>
          <t>2020-02-27 02:11:16</t>
        </is>
      </c>
      <c r="H7979" t="inlineStr"/>
    </row>
    <row r="7980">
      <c r="A7980" t="inlineStr">
        <is>
          <t>fac1r3</t>
        </is>
      </c>
      <c r="B7980" t="inlineStr">
        <is>
          <t>Possibility of a brain tumor. I'm fucking terrified.</t>
        </is>
      </c>
      <c r="C7980" t="inlineStr">
        <is>
          <t>So for the past year I've been having what we thought were panic attacks. After speaking to my doctor about it and my spouse describing thew panic attacks, my doctor said they sound more like seizures than panic attacks.
I'm going to be asking for a CT scan when I see my Doctor today but I'm terrified. Cancer has had a 100% kill rate on the paternal side of my family and it's affected more than half of them, mostly male.
My Grandfather died at 44, my cousin at 16, my great aunts and uncles at various ages between 30 and 50.
I'm so fucking scared right now. I've gone over the symptoms pertaining to brain cancers so I know what to talk to my doctor about. Out of 16 most common symptoms I have 10. 
Headaches, seizures, personality changes, memory loss, mood swings, fatigue, anxiety/depression, difficulty concentrating, difficulty communicating and confusion/disorientation.
Plus I've got a growth behind my left ear. 
Yeah I'm fucking terrified.</t>
        </is>
      </c>
      <c r="D7980" t="n">
        <v>1</v>
      </c>
      <c r="E7980" t="n">
        <v>0</v>
      </c>
      <c r="F7980">
        <f>HYPERLINK("https://www.reddit.com/r/cancer/comments/fac1r3/possibility_of_a_brain_tumor_im_fucking_terrified/")</f>
        <v/>
      </c>
      <c r="G7980" t="inlineStr">
        <is>
          <t>2020-02-27 05:26:01</t>
        </is>
      </c>
      <c r="H7980" t="inlineStr"/>
    </row>
    <row r="7981">
      <c r="A7981" t="inlineStr">
        <is>
          <t>fac2rz</t>
        </is>
      </c>
      <c r="B7981" t="inlineStr">
        <is>
          <t>I don’t know what to do</t>
        </is>
      </c>
      <c r="C7981" t="inlineStr">
        <is>
          <t>My mom had been diagnosed with Stage 4 MBC (metastasizing to the bones) in November 2019. I didn’t find out until December when I came back for winter break from college. 
It’s really shaken me up and I just don’t know what to do. When I first heard about it, my immediate reaction was to research it online. I was only met with more questions and unforgiving answers of no cure, only treatment. My mom hasn’t really been wanting to give me any information on it either and it’s made me super worried about her overall condition. And my mental has only gone downhill since coming back to school for the next semester. 
Ever since then, it’s been so difficult to sleep and to get out of bed. Every night I spend so much time thinking how this could happen to my mom and cry knowing that I will lose her soon. There’s no motivation to go to class and I feel as if my grades are plummeting. My stomach always feels sick to where I barely eat now. I don’t know what to do because I want to take a break and be with my mom every step of the way but I also feel that I should try to finish as I only have a year left on my program. The stress has been continuously building up and my heart breaks every time I think about this shitty situation that we’re in. 
I don’t want to lose my mom. I love her so much. I’m so confused as to why this happened to her. She’s always been such a strong, compassionate, and hardworking woman. She’s always put others first before herself. She doesn’t deserve this. It makes me so upset that I can’t do anything to change the outcome. I hate knowing that there’s no fix currently. And I’m just so sad that I don’t know how to function anymore.</t>
        </is>
      </c>
      <c r="D7981" t="n">
        <v>1</v>
      </c>
      <c r="E7981" t="n">
        <v>3</v>
      </c>
      <c r="F7981">
        <f>HYPERLINK("https://www.reddit.com/r/cancer/comments/fac2rz/i_dont_know_what_to_do/")</f>
        <v/>
      </c>
      <c r="G7981" t="inlineStr">
        <is>
          <t>2020-02-27 05:28:11</t>
        </is>
      </c>
      <c r="H7981" t="inlineStr"/>
    </row>
    <row r="7982">
      <c r="A7982" t="inlineStr">
        <is>
          <t>facyy2</t>
        </is>
      </c>
      <c r="B7982" t="inlineStr">
        <is>
          <t>Can I smoke weed while on chemotherapy(temozolomide 270mg)</t>
        </is>
      </c>
      <c r="C7982" t="inlineStr">
        <is>
          <t>Hello fellow Reddit users,
 I'm diagnosed with grade 3 anaplastic astrocytoma and have undergone a surgery where the tumor was removed and followed by radiation therapy and currently have chemo cycles for one year(5 days per month followed by 23 days break). 
I love smoking weed and wanted to find out if this will have any adverse effects such as increase in the chances of tumor growth or recurrence of tumor.</t>
        </is>
      </c>
      <c r="D7982" t="n">
        <v>1</v>
      </c>
      <c r="E7982" t="n">
        <v>14</v>
      </c>
      <c r="F7982">
        <f>HYPERLINK("https://www.reddit.com/r/cancer/comments/facyy2/can_i_smoke_weed_while_on/")</f>
        <v/>
      </c>
      <c r="G7982" t="inlineStr">
        <is>
          <t>2020-02-27 06:36:40</t>
        </is>
      </c>
      <c r="H7982" t="inlineStr"/>
    </row>
    <row r="7983">
      <c r="A7983" t="inlineStr">
        <is>
          <t>fad0jt</t>
        </is>
      </c>
      <c r="B7983" t="inlineStr">
        <is>
          <t>How on earth is this possible?</t>
        </is>
      </c>
      <c r="C7983" t="inlineStr">
        <is>
          <t>I know what I am going to say will sound controversial on this sub, so let me assure you that I am NOT in any way trying someone to give up on chemo or stop listening to their doctors, I just have a hard time understanding what is currently happening to my mom. If you are here for a few months now, you may have already seen me posting about her Stage IV diagnosis and commenting on other people's posts, it's all in my post history too, so check it if you want to confirm I'm legit. Also, to further prove I am not trying to advertise anything, I will not be using any products/company's name here.
So, my mom has been administered to hospital after having major headaches and double vision on the 4th of january, There, the Doctors gave us a horrible diagnosis: Stage IV breast cancer with metastasis to Brain. Then we found out my mom actually knew about the disease for years but was hiding it from us.
Unfortunately, in my country the waiting lines for Oncology are absurd, and my mother's first session with her Doctor was scheduled on Feb. 28 (tommorow). Both me and my mother knew that's and awful lot of time and that we should start seeking other options for the time being. It was never supposed to be curative, we just wanted to know we were doing SOMETHING. In the end, we settled for some supplements (Soursop leafs, Fish Oil, Apricot Seeds + Fresh, enviroment friendly Green tea and Fruit juices).
Now here comes the part that I don't get: my mom has been using these supplements for a few weeks now, and today morning after she went to take a bath she came out of the bathroom with tears in her eyes and when questioned what is happening she whispered that "It shrunk again". Turns out for the past few weeks she's been observing her tumor and it was getting smaller. Had it been only her, I'd say it's just wishful thinking, but I asked my dad, who's been helping her dress and take shower when she was in the hospital to confirm it and even he says that the mass on her left breast is visibly smaller.
Is there a doctor or someone that could explain what is happening and how often this happens? I know that Soursop has been proven to kill cancer cells, but that was only in lab experiment and AFAIK it has never been tested on a person before. Could my mom's case be the proof that under certain circumstances it (or any other supplemet I mentioned before) is working?
P.S Guys, once again: I am not advising anyone to stop treatment.  Despite of what's happening, my mom is STILL going to see the doctor and wants to start chemo and regular treatment ASAP. We'll talk to the doctors there and try to find out anything, And, even if this combination of supplements somehow works for her, there's no guarantee that it will work for anyone else. Maybe it is effective only for people with a certain subtype of breast cancer. So, if you feel like PM'ing me for the details, please don't since I still won't respond. I just want to know what is going on and if it is possible that this effect will continue</t>
        </is>
      </c>
      <c r="D7983" t="n">
        <v>1</v>
      </c>
      <c r="E7983" t="n">
        <v>0</v>
      </c>
      <c r="F7983">
        <f>HYPERLINK("https://www.reddit.com/r/cancer/comments/fad0jt/how_on_earth_is_this_possible/")</f>
        <v/>
      </c>
      <c r="G7983" t="inlineStr">
        <is>
          <t>2020-02-27 06:40:03</t>
        </is>
      </c>
      <c r="H7983" t="inlineStr"/>
    </row>
    <row r="7984">
      <c r="A7984" t="inlineStr">
        <is>
          <t>fad0sl</t>
        </is>
      </c>
      <c r="B7984" t="inlineStr">
        <is>
          <t>Advice and/or coversation about being terminal</t>
        </is>
      </c>
      <c r="C7984" t="inlineStr">
        <is>
          <t>I don’t post in here much, I’m mostly a lurker, but these days I’m feeling more and more isolated and alone. 
I have been holding out hope for the last 2.5 (almost 3) years of treatment that I’d beat this thing, but I just had a major setback. One so major, that now I’m considered terminal. 
I’ll post the backstory of my diagnosis below. 
I’m really struggling with the concept of time and feeling alone . I don’t know how much time I have. It could be weeks out it could be months. I am 31, and I don’t know anyone my age going through anything close to what I’m going through. I attend a young adult cancer support group and even within my group, they are all survivors or are dealing with very treatable cancers. I know that’s no guarantee, but none of them are the same status as me.  
I know that this cancer is going to win and I’m trying my hardest to not let it make the end sad, but I’m having a hard time finding activities or things I can do to make happy memories. Well, moreso the happy part. I feel like I can’t really enjoy the things I’m doing because there is a little voice saying “What if this is the last time you’ll do this? Better make it count somehow.”
Are there any of you out there struggling with the same thing?  Does anyone have any advice?
Please don’t just tell me to talk to a therapist, I have one.
Diagnosis: Wilms Tumer Stage IV, recently found out my liver is slowly failing, went from 2 small mets to my liver almost being taken over (and almost 3x the size) by 12-15 mets. Also have multiple soft tissue implants, one near my pelvic area that is slowly hemorrhaging.  There are no surgical options and radiation would have to cover to large of an area and my body is too weak for that. 
Currently in hospice care and planning on following a palliative chemo treatment plan for as long as my body can withstand it.</t>
        </is>
      </c>
      <c r="D7984" t="n">
        <v>1</v>
      </c>
      <c r="E7984" t="n">
        <v>5</v>
      </c>
      <c r="F7984">
        <f>HYPERLINK("https://www.reddit.com/r/cancer/comments/fad0sl/advice_andor_coversation_about_being_terminal/")</f>
        <v/>
      </c>
      <c r="G7984" t="inlineStr">
        <is>
          <t>2020-02-27 06:40:29</t>
        </is>
      </c>
      <c r="H7984" t="inlineStr"/>
    </row>
    <row r="7985">
      <c r="A7985" t="inlineStr">
        <is>
          <t>fad4lz</t>
        </is>
      </c>
      <c r="B7985" t="inlineStr">
        <is>
          <t>my grandpa just got diagnosed with lung cancer, i don’t know how to process this.</t>
        </is>
      </c>
      <c r="C7985" t="inlineStr">
        <is>
          <t>my grandpa has been smoking cigarettes since he was 14. he lost his leg a couple of years ago when he had an infection but the cigarettes made his blood vessels not work properly and unable to fight it. he’s in his early 70s and he recently had to go to the hospital because he was coughing up blood. his biopsy results came in today and he has lung cancer. 
i’m so distressed about it because my grandfather practically raised me and was like a second father to me. i’m really scared i’m going to lose him and i don’t know how to handle this. i feel so alone right now since i’m up in college and i don’t have any friends.</t>
        </is>
      </c>
      <c r="D7985" t="n">
        <v>1</v>
      </c>
      <c r="E7985" t="n">
        <v>1</v>
      </c>
      <c r="F7985">
        <f>HYPERLINK("https://www.reddit.com/r/cancer/comments/fad4lz/my_grandpa_just_got_diagnosed_with_lung_cancer_i/")</f>
        <v/>
      </c>
      <c r="G7985" t="inlineStr">
        <is>
          <t>2020-02-27 06:47:45</t>
        </is>
      </c>
      <c r="H7985" t="inlineStr"/>
    </row>
    <row r="7986">
      <c r="A7986" t="inlineStr">
        <is>
          <t>fadoia</t>
        </is>
      </c>
      <c r="B7986" t="inlineStr">
        <is>
          <t>I’m being checked for lumps in my private area</t>
        </is>
      </c>
      <c r="C7986" t="inlineStr">
        <is>
          <t>Please wish me luck and it’s nothing bad I’m in the waiting room</t>
        </is>
      </c>
      <c r="D7986" t="n">
        <v>1</v>
      </c>
      <c r="E7986" t="n">
        <v>1</v>
      </c>
      <c r="F7986">
        <f>HYPERLINK("https://www.reddit.com/r/cancer/comments/fadoia/im_being_checked_for_lumps_in_my_private_area/")</f>
        <v/>
      </c>
      <c r="G7986" t="inlineStr">
        <is>
          <t>2020-02-27 07:26:07</t>
        </is>
      </c>
      <c r="H7986" t="inlineStr"/>
    </row>
    <row r="7987">
      <c r="A7987" t="inlineStr">
        <is>
          <t>faewc6</t>
        </is>
      </c>
      <c r="B7987" t="inlineStr">
        <is>
          <t>Cancer free at last!!</t>
        </is>
      </c>
      <c r="C7987" t="inlineStr">
        <is>
          <t>I was stage 3 triple negative breast cancer and it had spread to my liver. I prayed and prayed and heard a voice that I believe was God tell me “I’m going to cure you.” As of Monday my oncologist told me there is no detectable cancer left in my body!! Praise God!! It was an 8 month long journey of surgeries and harsh chemo treatments but it’s finally coming to an end today, the day of my last chemo! 😁 After this I’m going to be doing clinical trials as they’ve recently started a promising vaccine trial for triple negative cancer patients!</t>
        </is>
      </c>
      <c r="D7987" t="n">
        <v>1</v>
      </c>
      <c r="E7987" t="n">
        <v>21</v>
      </c>
      <c r="F7987">
        <f>HYPERLINK("https://www.reddit.com/r/cancer/comments/faewc6/cancer_free_at_last/")</f>
        <v/>
      </c>
      <c r="G7987" t="inlineStr">
        <is>
          <t>2020-02-27 08:46:52</t>
        </is>
      </c>
      <c r="H7987" t="inlineStr"/>
    </row>
    <row r="7988">
      <c r="A7988" t="inlineStr">
        <is>
          <t>faf3hi</t>
        </is>
      </c>
      <c r="B7988" t="inlineStr">
        <is>
          <t>Mom wants to give up.</t>
        </is>
      </c>
      <c r="C7988" t="inlineStr">
        <is>
          <t>Mom is currently battling stage 4 lung cancer that has spread to her spin (neck) and shoulder. 
She has completed her 4 rounds of chemo and just had her first round of ketruda only.   She is soo tired of the side affects.  It cycles between neck pain, nausea, "tinglies", hot flashes, and back to neck pain.   
It is very difficult to get her to eat anything because if she is even slightly nauseous she doesn't want to eat.   I celebrate when I can get just 1000 calories into her.   
Now today she's nauseous and mad at the doctor because she is blaming the Keytruda for the nausea today.  She blames whatever was last on the nausea.  
I don't know what to do to convincer her to fight more.  Given her circumstances, the treatment is doing well: most/all of her soft tissue cancers have shrunk or resolved, and her bone cancer has not grown.   It's not like she is bedridden, she can still get up, move, talk do some house chores etc.  She is just so tired of all these side affects. 
Worst of all I head home tomorrow. I live 1000 miles away and have alternated with family helping my dad take care of her.  I don't want to go but I have too.</t>
        </is>
      </c>
      <c r="D7988" t="n">
        <v>1</v>
      </c>
      <c r="E7988" t="n">
        <v>5</v>
      </c>
      <c r="F7988">
        <f>HYPERLINK("https://www.reddit.com/r/cancer/comments/faf3hi/mom_wants_to_give_up/")</f>
        <v/>
      </c>
      <c r="G7988" t="inlineStr">
        <is>
          <t>2020-02-27 08:59:56</t>
        </is>
      </c>
      <c r="H7988" t="inlineStr"/>
    </row>
    <row r="7989">
      <c r="A7989" t="inlineStr">
        <is>
          <t>fafiia</t>
        </is>
      </c>
      <c r="B7989" t="inlineStr">
        <is>
          <t>Mouth pain / bitterness when eating?</t>
        </is>
      </c>
      <c r="C7989" t="inlineStr">
        <is>
          <t>Hi y'all.
My mom has recently starting getting pain in her mouth whenever she eats. She describes it as a bitterness all around the inside of her mouth, no matter what food she eats. She's told it's a random side effect of chemo, and her Dr prescribed a $80 mouthwash that's not covered by insurance. 
Wondering if anyone has experienced a similar side effect, and any possible tips on helping relieve that pain? 
Thanks in advance.</t>
        </is>
      </c>
      <c r="D7989" t="n">
        <v>1</v>
      </c>
      <c r="E7989" t="n">
        <v>5</v>
      </c>
      <c r="F7989">
        <f>HYPERLINK("https://www.reddit.com/r/cancer/comments/fafiia/mouth_pain_bitterness_when_eating/")</f>
        <v/>
      </c>
      <c r="G7989" t="inlineStr">
        <is>
          <t>2020-02-27 09:26:41</t>
        </is>
      </c>
      <c r="H7989" t="inlineStr"/>
    </row>
    <row r="7990">
      <c r="A7990" t="inlineStr">
        <is>
          <t>fai2fs</t>
        </is>
      </c>
      <c r="B7990" t="inlineStr">
        <is>
          <t>Difficult times after therapy</t>
        </is>
      </c>
      <c r="C7990" t="inlineStr">
        <is>
          <t>So, I've been cancer free for roughly 2½ Years (I had an osteosarcoma). And on the 6.3.17 I went to the hospital to get my tumor removed. Every year that time is difficult for me. 
But this year it's especially hard. I have many memories coming up again, can't stop thinking about it, am constantly stressed and struggle with staying concentrated in school.
The worst thing is that on the 6th march this year, I have to go to the hospital for my follow up examination. I'm kinda scared that this will mess with my head a lot.
Do any of you guys have experience with the things I'm currently struggling with? If so, could you give me tips about how to cope with this?</t>
        </is>
      </c>
      <c r="D7990" t="n">
        <v>1</v>
      </c>
      <c r="E7990" t="n">
        <v>2</v>
      </c>
      <c r="F7990">
        <f>HYPERLINK("https://www.reddit.com/r/cancer/comments/fai2fs/difficult_times_after_therapy/")</f>
        <v/>
      </c>
      <c r="G7990" t="inlineStr">
        <is>
          <t>2020-02-27 12:11:14</t>
        </is>
      </c>
      <c r="H7990" t="inlineStr"/>
    </row>
    <row r="7991">
      <c r="A7991" t="inlineStr">
        <is>
          <t>faiakv</t>
        </is>
      </c>
      <c r="B7991" t="inlineStr">
        <is>
          <t>Having cancer as a teen has fucked me over.</t>
        </is>
      </c>
      <c r="C7991" t="inlineStr">
        <is>
          <t>I missed the school trip to Berlin for 3 days. People didn’t enjoy the actual trip but almost everyone in my history class went and always talk about how they went into town and did stupid shit together. 
It’s also fucked Over my social life and I have lost friends. Every time I think about the things I lost and missed out on makes me so broken inside and I begin to cry. I have been cured for 9 months and I know I should be happy- but I can’t be. And it always gets worse when I begin crying for myself and then I remember my 13 year old friend who had the same cancer as me who died and all the things he never got to do. And then it breaks me further. It’s worse when my entire family and friends and enemies expects me to just be happy now that it’s gone. It’s doesn’t. It gets worse with time. 
You find out more you lost. Everyone treats you different. I know so many people have it worse, with terminal cancer- and this sounds really horrible. But I would have rather died then my friend. Not just to being him back to his only child family- but because I missed out on so much education, trips, time,etc. I had a nurse tell me stuff about the year before. I said I wasn’t in, and she just apologised. She was describing it as the best thing ever. 
I hate it. I know it’s just the depression, anxiety and (probably) PTSD talking- but I really hate this. I feel evil for thinking this way. And for the rest of my life I will be reminded of it. And I don’t know how to move forwards- especially when I cry so much my parents yell at me and shout ‘what’s wrong with you!’ At me. Dude I just beat cancer 9 months ago, had a friend die and am struggling at school and suffering for mental health issues as well as being bullied for being different and missing so much school. What the fuck do you think.
Sorry for bad gramma or spelling. This turned into a rant.</t>
        </is>
      </c>
      <c r="D7991" t="n">
        <v>1</v>
      </c>
      <c r="E7991" t="n">
        <v>8</v>
      </c>
      <c r="F7991">
        <f>HYPERLINK("https://www.reddit.com/r/cancer/comments/faiakv/having_cancer_as_a_teen_has_fucked_me_over/")</f>
        <v/>
      </c>
      <c r="G7991" t="inlineStr">
        <is>
          <t>2020-02-27 12:25:20</t>
        </is>
      </c>
      <c r="H7991" t="inlineStr"/>
    </row>
    <row r="7992">
      <c r="A7992" t="inlineStr">
        <is>
          <t>fam4lx</t>
        </is>
      </c>
      <c r="B7992" t="inlineStr">
        <is>
          <t>Re-Homing Pets before we go</t>
        </is>
      </c>
      <c r="C7992" t="inlineStr">
        <is>
          <t>Hey y’all - don’t really know the easiest way to put this. I recently got my diagnoses for my advancing lung cancer. It’s been a 3 year battle that will be over in less than 6 months 
I’m trying to finish getting things in order. Among them is my 2 year old pit/mix that I haven’t found a home for yet. I really thought I was going to kick it when I got her. Unfortunately here we are but I have to do the right thing. 
I haven had much luck with friends or family so far (which would have been idea). Worst case; I was wondering if anyone knew of some good places to put her up for adoption or best practices to start finder her a new forever home. 
I got her as a service dog. She had kept me company the last two years as thing progressed.  She helped me stay active and motivated for so long. 
I can barely take care of her now with everything, especially after my last surgery. I’m spending a fortune on dog walkers right now. 
Anyway - if anyone has experience with rehoming or adopting pets in these cases I’d be interested to know more
The last thing I want is for her to end up in some kennel for months waiting to be adopted and being in poor conditions only to end up with some horrible family.</t>
        </is>
      </c>
      <c r="D7992" t="n">
        <v>1</v>
      </c>
      <c r="E7992" t="n">
        <v>12</v>
      </c>
      <c r="F7992">
        <f>HYPERLINK("https://www.reddit.com/r/cancer/comments/fam4lx/rehoming_pets_before_we_go/")</f>
        <v/>
      </c>
      <c r="G7992" t="inlineStr">
        <is>
          <t>2020-02-27 16:42:04</t>
        </is>
      </c>
      <c r="H7992" t="inlineStr"/>
    </row>
    <row r="7993">
      <c r="A7993" t="inlineStr">
        <is>
          <t>famlp7</t>
        </is>
      </c>
      <c r="B7993" t="inlineStr">
        <is>
          <t>Chemo brain</t>
        </is>
      </c>
      <c r="C7993" t="inlineStr">
        <is>
          <t>I keep forgetting to make this post-  Ironic, isn't it?  
I used to be able to hang a reminder in my mind to do something, now that is just gone.  I'm having to write down a lot more stuff just to function.  It's been almost a year, and if anything it's gotten worse, it didn't even come on until three or four months after I was done.  I have problems finding words, carrying on a thought process, etc.  I'll be in the middle of something and it's just gone like I have absolutely no idea what I was talking about.
Damn this sucks.</t>
        </is>
      </c>
      <c r="D7993" t="n">
        <v>1</v>
      </c>
      <c r="E7993" t="n">
        <v>26</v>
      </c>
      <c r="F7993">
        <f>HYPERLINK("https://www.reddit.com/r/cancer/comments/famlp7/chemo_brain/")</f>
        <v/>
      </c>
      <c r="G7993" t="inlineStr">
        <is>
          <t>2020-02-27 17:17:14</t>
        </is>
      </c>
      <c r="H7993" t="inlineStr"/>
    </row>
    <row r="7994">
      <c r="A7994" t="inlineStr">
        <is>
          <t>faohir</t>
        </is>
      </c>
      <c r="B7994" t="inlineStr">
        <is>
          <t>Fuck you cancer</t>
        </is>
      </c>
      <c r="C7994" t="inlineStr">
        <is>
          <t>The 29th will be a month since my Dad’s passing. His situation was a bit weird, as initially he was diagnosed with prostate cancer 3 years ago ( he went through a hormonal treatment and radiation). He was fine, we were enjoying life, and he was getting better. A year back he back he started having some pain on the side of his stomach; doctors said was due to metastasis.
He began chemo ( he only received one), and after that his health began to get worse.  Complications occurred..his lungs began filling with liquid, and doctor said it was ok, he needed just to get that liquid removed and he would improve. He got his lungs punctured to release the water, we were hopefully he would start his recovery after that..he passed a week later. After everything; final studios returned, saying he suffered from both prostate cancer, and lymphoma non hodgkins something that was never diagnosed.
Everything went so fast..its been a month of depression, sadness, a part of me was taken away and I don’t know how to overcome it. People say the pain never goes away, and that I just need to leave with it, but I honestly dont think I can live like this. Seeing pictures of him bring so much pain, anger, sadness and idk what to do. I cant remember those beautiful memories with my father. 
I cry everyday, feels like my body is out of strength..a month has gone by and it feels like an eternity to me.
I wish I could be half of the father he was, I want to honor him by being the best father to my sons.m, but right now I dont feel like this sadness and pain will ever go away..I just miss him so much.
Fuck you cancer, for taking his life, and for taking the life of many other amazing human beings who had the will to fight. Fuck you for existing, I hope one day I can see the cure that get rid of your existence.</t>
        </is>
      </c>
      <c r="D7994" t="n">
        <v>1</v>
      </c>
      <c r="E7994" t="n">
        <v>2</v>
      </c>
      <c r="F7994">
        <f>HYPERLINK("https://www.reddit.com/r/cancer/comments/faohir/fuck_you_cancer/")</f>
        <v/>
      </c>
      <c r="G7994" t="inlineStr">
        <is>
          <t>2020-02-27 19:38:40</t>
        </is>
      </c>
      <c r="H7994" t="inlineStr"/>
    </row>
    <row r="7995">
      <c r="A7995" t="inlineStr">
        <is>
          <t>faoj0m</t>
        </is>
      </c>
      <c r="B7995" t="inlineStr">
        <is>
          <t>Discord for us teenagers going threw it!</t>
        </is>
      </c>
      <c r="C7995" t="inlineStr">
        <is>
          <t xml:space="preserve"> Howdy, everyone! It's been a while since I shared my discord server for teenagers affected by cancer. When I was going through my treatment, I was fortunate enough to have my family and friends by my side. Well, due to the heaviness of my treatment and the fact that my hospital was pretty far away from my hometown, I never got to see my friends all that often. Sure, I had family and doctors and nurses to talk with, but I never really had someone to relate to; someone who actually fully understood my experiences. That is, until I joined a Discord server full of adults who shared a lot of similar experiences!  However, it came as a surprise to me when I found out that I was their youngest member out of 500 others. I was only 16. This was when I knew that I wanted to do something to reach out to my fellow teenagers. I wanted to find a place where we could chat casually, talk about our experiences, and play games.  Down below you can find a link to that very server! If any parents have questions, feel free to ask me! I'm the owner of this server and have two fellow moderators who are also teenagers. We have \~40 members and we're still growing!  Server age rule is 13 - 19. Once you reach your 19th birthday, let us know and we'll give you a proper sendoff!  [https://discord.gg/hRZwT3D…](https://discord.gg/hRZwT3D%E2%80%A6)</t>
        </is>
      </c>
      <c r="D7995" t="n">
        <v>1</v>
      </c>
      <c r="E7995" t="n">
        <v>4</v>
      </c>
      <c r="F7995">
        <f>HYPERLINK("https://www.reddit.com/r/cancer/comments/faoj0m/discord_for_us_teenagers_going_threw_it/")</f>
        <v/>
      </c>
      <c r="G7995" t="inlineStr">
        <is>
          <t>2020-02-27 19:41:54</t>
        </is>
      </c>
      <c r="H7995" t="inlineStr"/>
    </row>
    <row r="7996">
      <c r="A7996" t="inlineStr">
        <is>
          <t>faopsl</t>
        </is>
      </c>
      <c r="B7996" t="inlineStr">
        <is>
          <t>I think I may have cancer and ive let it persist too long</t>
        </is>
      </c>
      <c r="C7996" t="inlineStr">
        <is>
          <t>I'm going to the hospital Sunday or maybe tomorrow idk i know it has to be this week. I told my mom that and she wasnt too happy, but she was the second person I told so she needed to know. I'm scared and i feel like ive been cheated out of alot. I feel alot of hate and just as much hopelessness</t>
        </is>
      </c>
      <c r="D7996" t="n">
        <v>1</v>
      </c>
      <c r="E7996" t="n">
        <v>2</v>
      </c>
      <c r="F7996">
        <f>HYPERLINK("https://www.reddit.com/r/cancer/comments/faopsl/i_think_i_may_have_cancer_and_ive_let_it_persist/")</f>
        <v/>
      </c>
      <c r="G7996" t="inlineStr">
        <is>
          <t>2020-02-27 19:56:40</t>
        </is>
      </c>
      <c r="H7996" t="inlineStr"/>
    </row>
    <row r="7997">
      <c r="A7997" t="inlineStr">
        <is>
          <t>faq2i2</t>
        </is>
      </c>
      <c r="B7997" t="inlineStr">
        <is>
          <t>Being told you have cancer</t>
        </is>
      </c>
      <c r="C7997" t="inlineStr">
        <is>
          <t>Saying this at the risk of sounding dramatic, but this is what it was like for me. 
At my post op for a partial thyroidectomy I had no idea why my endocrinologist wanted to see me before the surgeon and I didn’t think anything of it. But then he explained it and said that my tumor was cancerous and told me about the treatment etc. I was 18 and it wasn’t by any means a death sentence, no chemo involved but still another surgery and treatment. And I can remember my mom crying and I looked at her and said “why are you crying?”. But when he kept talking I just started hearing a ringing in my ears and his voice was muffled and eventually all I could hear and feel in my head was the ringing, and I don’t remember anything else that he said and I left. I didn’t feel sad, or scared. I felt nothing, and I think it’s because I didn’t understand what was happening. It sounds ridiculous because I am a smart girl, but just now at 19 I am starting to realize what I went through. I always put myself down because I told myself people have it so much worse and that I am taking up precious resources. But any disease is stupidly hard and takes a toll. Again this may sound dramatic but remembering the feeling I had being told that I had cancer keeps bringing up bad feelings, and tonight I was thinking about it.</t>
        </is>
      </c>
      <c r="D7997" t="n">
        <v>1</v>
      </c>
      <c r="E7997" t="n">
        <v>3</v>
      </c>
      <c r="F7997">
        <f>HYPERLINK("https://www.reddit.com/r/cancer/comments/faq2i2/being_told_you_have_cancer/")</f>
        <v/>
      </c>
      <c r="G7997" t="inlineStr">
        <is>
          <t>2020-02-27 21:51:23</t>
        </is>
      </c>
      <c r="H7997" t="inlineStr"/>
    </row>
    <row r="7998">
      <c r="A7998" t="inlineStr">
        <is>
          <t>faqxd6</t>
        </is>
      </c>
      <c r="B7998" t="inlineStr">
        <is>
          <t>Concerned I’m getting incorrect results, again.</t>
        </is>
      </c>
      <c r="C7998" t="inlineStr">
        <is>
          <t>Hi, I don’t know if I’m in the right place but here goes.. Long story short.
- had a normal scheduled Pap, results advised at the time, low grade abnormalities- HPV but not a high risk strain. Repeat pap in one year.
- chased a repeat pap after 8 months, dr discovered lab made a mistake with my results. Lab sent updated results to Dr. fast tracked to specialist for colposcopy.
- had colposcopy and 3 biopsies. CIN3, and high risk HPV results returned. LLETZ/LEEP scheduled.
- post op and results scheduled for 6 weeks later. My doctor ended up chasing the results in the meantime rather than let me sit worrying for 6 weeks.
- haven’t been back to the hospital for my post op follow up yet but reading the results, they’re reporting CIN1 and clear margins.
- my question will be at the hospital, and to you lovely people - how can I go from 3 biopsies of CIN3 to CIN1 LLETZ results in a matter of weeks?! 
I fear (and probably forever will) that I’m getting incorrect results again.
I have read that often results like mine can be tabled at a monthly MDT meeting to be reviewed by senior specialists to determine what’s next?
I don’t want to mess around with CIN3 and high risk HPV!
I would love to hear your thoughts/opinions/experiences, if any.
Thank you</t>
        </is>
      </c>
      <c r="D7998" t="n">
        <v>1</v>
      </c>
      <c r="E7998" t="n">
        <v>1</v>
      </c>
      <c r="F7998">
        <f>HYPERLINK("https://www.reddit.com/r/cancer/comments/faqxd6/concerned_im_getting_incorrect_results_again/")</f>
        <v/>
      </c>
      <c r="G7998" t="inlineStr">
        <is>
          <t>2020-02-27 23:12:49</t>
        </is>
      </c>
      <c r="H7998" t="inlineStr"/>
    </row>
    <row r="7999">
      <c r="A7999" t="inlineStr">
        <is>
          <t>fawn30</t>
        </is>
      </c>
      <c r="B7999" t="inlineStr">
        <is>
          <t>My mom had shadows on her CT scan...</t>
        </is>
      </c>
      <c r="C7999" t="inlineStr">
        <is>
          <t>My mom went in to have a CT scan Wednesday and by the afternoon they had called her about seeing shadows on it.  She had what looked like scarring on her spleen and a growth of some kind around her groin, it could be a lipoma or enlarged lymph nodes. It could be harmless or it could be some type of lymphoma or leukemia.  She has an appointment with a surgeon to schedule a biopsy on Monday and an appointment with a cancer specialist on Wednesday. Her doctor was pretty concerned.  He did tell her that there’s a chance it’s a harmless growth, she has had them before. I should also mention that she’s known for years she has scar tissue on her spleen. 
I have anxiety at the best of times. I’m trying hard to hold to together but I feel myself moving towards panic mode. I’m a teacher and I’m afraid I’m going to break down in class. I’m not sure even how to feel right now. It’s a shock because she’s always had relatively good health and the past few weeks she’s been feeling off and boom. She’s 65. 
I don’t know what to do. I don’t want to talk to family members much because they know how worked up I get and I don’t want them to worry about my mental health when my mom is going through whatever this turns out to be. 
Guess I’m just looking for a little guidance.</t>
        </is>
      </c>
      <c r="D7999" t="n">
        <v>1</v>
      </c>
      <c r="E7999" t="n">
        <v>3</v>
      </c>
      <c r="F7999">
        <f>HYPERLINK("https://www.reddit.com/r/cancer/comments/fawn30/my_mom_had_shadows_on_her_ct_scan/")</f>
        <v/>
      </c>
      <c r="G7999" t="inlineStr">
        <is>
          <t>2020-02-28 07:48:06</t>
        </is>
      </c>
      <c r="H7999" t="inlineStr"/>
    </row>
    <row r="8000">
      <c r="A8000" t="inlineStr">
        <is>
          <t>fawt6p</t>
        </is>
      </c>
      <c r="B8000" t="inlineStr">
        <is>
          <t>Tattoos After Cancer?</t>
        </is>
      </c>
      <c r="C8000" t="inlineStr">
        <is>
          <t>Does anyone know how long after chemo until you can get a tattoo or a piercing?</t>
        </is>
      </c>
      <c r="D8000" t="n">
        <v>1</v>
      </c>
      <c r="E8000" t="n">
        <v>16</v>
      </c>
      <c r="F8000">
        <f>HYPERLINK("https://www.reddit.com/r/cancer/comments/fawt6p/tattoos_after_cancer/")</f>
        <v/>
      </c>
      <c r="G8000" t="inlineStr">
        <is>
          <t>2020-02-28 07:59:02</t>
        </is>
      </c>
      <c r="H8000" t="inlineStr"/>
    </row>
    <row r="8001">
      <c r="A8001" t="inlineStr">
        <is>
          <t>faxa3r</t>
        </is>
      </c>
      <c r="B8001" t="inlineStr">
        <is>
          <t>Boob Talk Radio Show</t>
        </is>
      </c>
      <c r="C8001" t="inlineStr">
        <is>
          <t xml:space="preserve">
I am a 4 year breast cancer survivor and started a podcast Boob Talk to discuss the issues cancer patients and survivors face.  Here is my show from 2/13/2020 - In honor of Valentine’s Month, loving yourself during your cancer journey https://podcasts.apple.com/us/podcast/survival-radio-network/id715072076?i=1000465554319</t>
        </is>
      </c>
      <c r="D8001" t="n">
        <v>1</v>
      </c>
      <c r="E8001" t="n">
        <v>0</v>
      </c>
      <c r="F8001">
        <f>HYPERLINK("https://www.reddit.com/r/cancer/comments/faxa3r/boob_talk_radio_show/")</f>
        <v/>
      </c>
      <c r="G8001" t="inlineStr">
        <is>
          <t>2020-02-28 08:29:19</t>
        </is>
      </c>
      <c r="H8001" t="inlineStr"/>
    </row>
    <row r="8002">
      <c r="A8002" t="inlineStr">
        <is>
          <t>faxxkt</t>
        </is>
      </c>
      <c r="B8002" t="inlineStr">
        <is>
          <t>Spreading the word about Camp Kesem, a free volunteer-based summer camp!</t>
        </is>
      </c>
      <c r="C8002" t="inlineStr">
        <is>
          <t>Camp Kesem is a national organization that gives a week of summer camp to kids coping with a parents cancer, **entirely for free**.
College students fundraise and plan the whole week of camp for the kids. 
There are 125 chapters across the United States, so it’s likely a chapter close to you is looking for new campers.
Just spreading awareness about this awesome charity. If any parents or caregivers have questions I can answer them</t>
        </is>
      </c>
      <c r="D8002" t="n">
        <v>1</v>
      </c>
      <c r="E8002" t="n">
        <v>2</v>
      </c>
      <c r="F8002">
        <f>HYPERLINK("https://www.reddit.com/r/cancer/comments/faxxkt/spreading_the_word_about_camp_kesem_a_free/")</f>
        <v/>
      </c>
      <c r="G8002" t="inlineStr">
        <is>
          <t>2020-02-28 09:10:09</t>
        </is>
      </c>
      <c r="H8002" t="inlineStr"/>
    </row>
    <row r="8003">
      <c r="A8003" t="inlineStr">
        <is>
          <t>fazbdx</t>
        </is>
      </c>
      <c r="B8003" t="inlineStr">
        <is>
          <t>What funny movies are your favorites?</t>
        </is>
      </c>
      <c r="C8003" t="inlineStr">
        <is>
          <t>I was diagnosed with breast cancer this week and need ideas for funny movies to watch.  Laughter is the best medicine, right!?  Aside from surgery and chemotherapy, of course.  
What movies make you laugh so hard you feel like your sides will split?</t>
        </is>
      </c>
      <c r="D8003" t="n">
        <v>1</v>
      </c>
      <c r="E8003" t="n">
        <v>13</v>
      </c>
      <c r="F8003">
        <f>HYPERLINK("https://www.reddit.com/r/cancer/comments/fazbdx/what_funny_movies_are_your_favorites/")</f>
        <v/>
      </c>
      <c r="G8003" t="inlineStr">
        <is>
          <t>2020-02-28 10:36:09</t>
        </is>
      </c>
      <c r="H8003" t="inlineStr"/>
    </row>
    <row r="8004">
      <c r="A8004" t="inlineStr">
        <is>
          <t>fb08r1</t>
        </is>
      </c>
      <c r="B8004" t="inlineStr">
        <is>
          <t>How do I go about helping a family member who has months left to live? (Stage 4)</t>
        </is>
      </c>
      <c r="C8004" t="inlineStr">
        <is>
          <t>My cousin was diagnosed with stage 4 cancer and it has spread to his liver and brain, from what my family members have told me it’s not looking good and they are sending him down to where I live (big city) to go to the cancer clinic. He has family going with him and his daughter is going down too. I feel awful as I haven’t been super close to my cousin but enough to feel there will be a big loss when he is gone. His daughter is very close to him and I know her life will be difficult when he is gone (I’m happy he got to see her graduate high school as she is his only child).
My cousin hates cities and towns, he is a person who lives in a cabin in the great outdoors and his job is guiding and trekking with people. I feel bad as where I live is huge and extremely congested and is the last place he would want to be. As for my cousins daughter I’m unsure of what to say to her so I sent her a message saying to call or text me if she needs anything while she is down here.
As for my family they are telling me to go visit him and give him some gifts, however I’m unsure of whether I should or not as I know my family is very worried and will swarm someone when they are sick with calls, messages and everything. I don’t want to bombard them as I know this is a difficult time however I’m unsure of what I should do, say or what I shouldn’t do.</t>
        </is>
      </c>
      <c r="D8004" t="n">
        <v>1</v>
      </c>
      <c r="E8004" t="n">
        <v>3</v>
      </c>
      <c r="F8004">
        <f>HYPERLINK("https://www.reddit.com/r/cancer/comments/fb08r1/how_do_i_go_about_helping_a_family_member_who_has/")</f>
        <v/>
      </c>
      <c r="G8004" t="inlineStr">
        <is>
          <t>2020-02-28 11:36:04</t>
        </is>
      </c>
      <c r="H8004" t="inlineStr"/>
    </row>
    <row r="8005">
      <c r="A8005" t="inlineStr">
        <is>
          <t>fb0j97</t>
        </is>
      </c>
      <c r="B8005" t="inlineStr">
        <is>
          <t>Stage 4 Colon Cancer w/ Liver Mets</t>
        </is>
      </c>
      <c r="C8005" t="inlineStr">
        <is>
          <t>Hi everyone, this is my 2nd post on this subreddit and would like to hear from more of you on here. 
In my earlier post, I mentioned that about 6 months ago my uncle was diagnosed with Stage 3 colon cancer. He proceeded on to a surgery removing the tumour in his colon together with 8 sessions of chemotherapy. He completed his 8th session of chemotherapy and was overjoyed that this tough ride is going to be over but... He was diagnosed with Stage 4 colon cancer right after his last session of chemotherapy. So far, he have done 2 blood tests and 1 scan which showed something in his blood to be elevated as well as his liver swelling. 
His further scans including scope are scheduled 2 weeks from now, which is a long drag considering that the doctor said they needed to have a board meeting on his condition. A really long and unnecessary long drag for something that shouldn’t be dragged. 
My question is, does this mean it’s a confirmed case of Stage 4 colon cancer? And with the right treatment and etc, can I expect my uncle to still live without suffering?</t>
        </is>
      </c>
      <c r="D8005" t="n">
        <v>1</v>
      </c>
      <c r="E8005" t="n">
        <v>10</v>
      </c>
      <c r="F8005">
        <f>HYPERLINK("https://www.reddit.com/r/cancer/comments/fb0j97/stage_4_colon_cancer_w_liver_mets/")</f>
        <v/>
      </c>
      <c r="G8005" t="inlineStr">
        <is>
          <t>2020-02-28 11:55:22</t>
        </is>
      </c>
      <c r="H8005" t="inlineStr"/>
    </row>
    <row r="8006">
      <c r="A8006" t="inlineStr">
        <is>
          <t>fb0pxz</t>
        </is>
      </c>
      <c r="B8006" t="inlineStr">
        <is>
          <t>Insecticide accident at factory possible cause of cancer?</t>
        </is>
      </c>
      <c r="C8006" t="inlineStr">
        <is>
          <t>My aunt worked at an assembly line in 2005. The factory produced chemicals, bug sprays, insecticides.
Her job was packaging, fitting the nozzle onto the can.
Something went wrong one time, she put it the wrong way. The can burst and she got the chemical on her belly.
She didn't have much English, being new in Canada, and didn't know how dangerous it was. She didn't know any better. People saw, the manager saw. Nobody called 911. They kept her in the back room resting until when her shift was supposed to be over and the agency man came to pick her up and drive her home.
Next day my mom took her to the hospital. About seven blisters, they treated it with some cream.
My mom told me about this last night. I didn't know until then.
Aunt cried in bed today when I asked her about this because she had forgotten about it. I said it might be related. Maybe I shouldn't have asked.
She was diagnosed with gallbladder cancer last March. She's very weak now and in bed most of the day. In palliative care. Nurse visits 3 times and doc once a week. Second line chemo (leucovorin and 5fu). The first, cisplatin and gemcitabine didn't work. Her oncologist said the cancer is very aggressive. CT scan coming up in the the 10th. Last March doc had said prognosis was around 2 years.
In 2013 she had thyroid removed because of thyroid cancer.
On the 6th of February this year she had to do her first paracentesis, 4L.  Second one10 days after that. A catheter was put in and ascites drained 4 times since. Around 2.5 L.
I looked up what ascites are after the visiting doctor asked if her oncologist talked to us about what this means. I found this study. http://www.ncbi.nlm.nih.gov/pmc/articles/PMC1513572/
It says it can mean imminent death with average of 7 weeks remaining, but it is for pancreatic cancer so I'm not sure.
I cannot express what I feel. I thought of filing a police report because they should have called 911 immediately after that accident. I felt cold sweats when I thought of what she might have inhaled. I know it won't change anything and I don't think I'll follow through with it anyhow. I felt anger, confusion, and helplessness.
I will mention this to her doctor on the next visit.
My mom and I love her very much. Mom provides care most of the care, cooking, bathing. We are always here for her and will be with her when she goes. I guess that's all that matters.
Thank you for reading.</t>
        </is>
      </c>
      <c r="D8006" t="n">
        <v>1</v>
      </c>
      <c r="E8006" t="n">
        <v>0</v>
      </c>
      <c r="F8006">
        <f>HYPERLINK("https://www.reddit.com/r/cancer/comments/fb0pxz/insecticide_accident_at_factory_possible_cause_of/")</f>
        <v/>
      </c>
      <c r="G8006" t="inlineStr">
        <is>
          <t>2020-02-28 12:07:25</t>
        </is>
      </c>
      <c r="H8006" t="inlineStr"/>
    </row>
    <row r="8007">
      <c r="A8007" t="inlineStr">
        <is>
          <t>fb1iwj</t>
        </is>
      </c>
      <c r="B8007" t="inlineStr">
        <is>
          <t>Can I post a fundraiser link here?</t>
        </is>
      </c>
      <c r="C8007" t="inlineStr">
        <is>
          <t>(UK) My friends and I are taking part in the Walk All Over Cancer fundraiser taking part throughout March in memory of my best friends mum who sadly passed away due to breast cancer. 
Can I post the fundraiser link?</t>
        </is>
      </c>
      <c r="D8007" t="n">
        <v>1</v>
      </c>
      <c r="E8007" t="n">
        <v>3</v>
      </c>
      <c r="F8007">
        <f>HYPERLINK("https://www.reddit.com/r/cancer/comments/fb1iwj/can_i_post_a_fundraiser_link_here/")</f>
        <v/>
      </c>
      <c r="G8007" t="inlineStr">
        <is>
          <t>2020-02-28 13:00:05</t>
        </is>
      </c>
      <c r="H8007" t="inlineStr"/>
    </row>
    <row r="8008">
      <c r="A8008" t="inlineStr">
        <is>
          <t>fb1rhr</t>
        </is>
      </c>
      <c r="B8008" t="inlineStr">
        <is>
          <t>I don’t know how or if I should tell my terminal mother I’m trans (MtF)</t>
        </is>
      </c>
      <c r="C8008" t="inlineStr">
        <is>
          <t>Both my parents were raised in the church under strict ideologies, and are totally against the LGBT movement. I was raised the same way but came out in my mid teen years to close friends. Today at one of her treatments we had a talk about the future, like most families do, and she talked about what a great husband and father she thought I’d be. It hurts to know I’m keeping this from her, because on one hand she has a right to know who I am, but she also holds her beliefs about what happens after life. So if I tell her, I’m worried she’ll no longer be ready to go, because now she no longer believes I’ll be with her in ‘the next life’.
I don’t want her to leave without knowing who her daughter is, but I also don’t want her to die with added stress about the next life. If anyone can offer their perspective I’d be infinitely grateful</t>
        </is>
      </c>
      <c r="D8008" t="n">
        <v>1</v>
      </c>
      <c r="E8008" t="n">
        <v>14</v>
      </c>
      <c r="F8008">
        <f>HYPERLINK("https://www.reddit.com/r/cancer/comments/fb1rhr/i_dont_know_how_or_if_i_should_tell_my_terminal/")</f>
        <v/>
      </c>
      <c r="G8008" t="inlineStr">
        <is>
          <t>2020-02-28 13:15:22</t>
        </is>
      </c>
      <c r="H8008" t="inlineStr"/>
    </row>
    <row r="8009">
      <c r="A8009" t="inlineStr">
        <is>
          <t>fb38f7</t>
        </is>
      </c>
      <c r="B8009" t="inlineStr">
        <is>
          <t>So we finally got a diagnosis</t>
        </is>
      </c>
      <c r="C8009" t="inlineStr">
        <is>
          <t>Mom has squamous cell carcinoma. Lung cancer survivors, how did you find your oncologist? What treatment plan did you end up following? 
I've had to have a bunch of frank conversations with my mom recently, and any advice will really help.</t>
        </is>
      </c>
      <c r="D8009" t="n">
        <v>1</v>
      </c>
      <c r="E8009" t="n">
        <v>3</v>
      </c>
      <c r="F8009">
        <f>HYPERLINK("https://www.reddit.com/r/cancer/comments/fb38f7/so_we_finally_got_a_diagnosis/")</f>
        <v/>
      </c>
      <c r="G8009" t="inlineStr">
        <is>
          <t>2020-02-28 15:01:41</t>
        </is>
      </c>
      <c r="H8009" t="inlineStr"/>
    </row>
    <row r="8010">
      <c r="A8010" t="inlineStr">
        <is>
          <t>fb4x7b</t>
        </is>
      </c>
      <c r="B8010" t="inlineStr">
        <is>
          <t>Refractory Multiple Myeloma</t>
        </is>
      </c>
      <c r="C8010" t="inlineStr">
        <is>
          <t>Not sure what I hope to get out of this but just trying to process this as it comes. 
My mom was diagnosed with multiple myeloma a couple years ago. The doctors caught it early enough that there wasn't much of a panic but she was quick to leave work and start treatments. From what I know multiple myeloma can either be manageable for many many years or it can come in really aggressively and kill someone in months. Our family so far has been lucky in that my mom was able to go into partial remission after some intense stem cell therapy treatment.
She called me today to tell me that her cancer is back and its more aggressive. This time around she referred to it as Refractory Multiple Myeloma which means it won't be responsive to the same treatments after relapse. According to her doctors, she has between 3 - 10 years of life left. 10 years if we're super lucky. More likely 3-5 years. Luckily her insurance provider has approved CAR T-Cell therapy. 
Until today we hadn't had a timeline really. It was sort of assumed that we caught it early enough and if we kept mom healthy, she'd live a full life. But now it feels as though her time has very abruptly become much shorter. 
Does anyone else have experience with this form of cancer in their family? I'm not in a total panic yet but honestly wondering if I should be? There isn't a lot I can do for my mom except be there for her so it feels like freaking out won't help anyone. Guess I'm just trying to process this somehow.</t>
        </is>
      </c>
      <c r="D8010" t="n">
        <v>1</v>
      </c>
      <c r="E8010" t="n">
        <v>0</v>
      </c>
      <c r="F8010">
        <f>HYPERLINK("https://www.reddit.com/r/cancer/comments/fb4x7b/refractory_multiple_myeloma/")</f>
        <v/>
      </c>
      <c r="G8010" t="inlineStr">
        <is>
          <t>2020-02-28 17:13:02</t>
        </is>
      </c>
      <c r="H8010" t="inlineStr"/>
    </row>
    <row r="8011">
      <c r="A8011" t="inlineStr">
        <is>
          <t>fb4ycm</t>
        </is>
      </c>
      <c r="B8011" t="inlineStr">
        <is>
          <t>What information does a cancer patient really need?</t>
        </is>
      </c>
      <c r="C8011" t="inlineStr">
        <is>
          <t>Hey guys, I'm Chris, a graduate student from Yeshiva University in NYC. This semester we have a project that is using EHR (Electronic Health Record) to promote the health outcome of cancer patients. But we really don't know what information a cancer patient does need! Therefore, we are assign a task to have a deep interview of an hour with a cancer patient through online chat (text or voice message) on social media. I really wanna know more about cancer patients. And I will pay $50 for each interview with the interviewee. If there anyone wanna do this interview? If u want to, just reply to me. Thank you so much!</t>
        </is>
      </c>
      <c r="D8011" t="n">
        <v>1</v>
      </c>
      <c r="E8011" t="n">
        <v>0</v>
      </c>
      <c r="F8011">
        <f>HYPERLINK("https://www.reddit.com/r/cancer/comments/fb4ycm/what_information_does_a_cancer_patient_really_need/")</f>
        <v/>
      </c>
      <c r="G8011" t="inlineStr">
        <is>
          <t>2020-02-28 17:15:43</t>
        </is>
      </c>
      <c r="H8011" t="inlineStr"/>
    </row>
    <row r="8012">
      <c r="A8012" t="inlineStr">
        <is>
          <t>fb68bk</t>
        </is>
      </c>
      <c r="B8012" t="inlineStr">
        <is>
          <t>Done with chemo!</t>
        </is>
      </c>
      <c r="C8012" t="inlineStr">
        <is>
          <t>Two days ago I got to ring the bell! I completed 12 treatments for stage 2 classic Hodgkin’s Lymphoma. I’m still battling side effects but I’m so relieved to be done!!</t>
        </is>
      </c>
      <c r="D8012" t="n">
        <v>1</v>
      </c>
      <c r="E8012" t="n">
        <v>28</v>
      </c>
      <c r="F8012">
        <f>HYPERLINK("https://www.reddit.com/r/cancer/comments/fb68bk/done_with_chemo/")</f>
        <v/>
      </c>
      <c r="G8012" t="inlineStr">
        <is>
          <t>2020-02-28 19:00:32</t>
        </is>
      </c>
      <c r="H8012" t="inlineStr"/>
    </row>
    <row r="8013">
      <c r="A8013" t="inlineStr">
        <is>
          <t>fb76j8</t>
        </is>
      </c>
      <c r="B8013" t="inlineStr">
        <is>
          <t>It might be back</t>
        </is>
      </c>
      <c r="C8013" t="inlineStr">
        <is>
          <t>I had testicular cancer removed about 2 years ago. During a regular exam my oncologist found something and ordered a CT. It's scheduled for next week. I have pain on the left side of my abdomen and groin. Not constant but regular. Has anyone else dealt with this?</t>
        </is>
      </c>
      <c r="D8013" t="n">
        <v>1</v>
      </c>
      <c r="E8013" t="n">
        <v>3</v>
      </c>
      <c r="F8013">
        <f>HYPERLINK("https://www.reddit.com/r/cancer/comments/fb76j8/it_might_be_back/")</f>
        <v/>
      </c>
      <c r="G8013" t="inlineStr">
        <is>
          <t>2020-02-28 20:19:45</t>
        </is>
      </c>
      <c r="H8013" t="inlineStr"/>
    </row>
    <row r="8014">
      <c r="A8014" t="inlineStr">
        <is>
          <t>fb78nk</t>
        </is>
      </c>
      <c r="B8014" t="inlineStr">
        <is>
          <t>Advice on how to handle Chemo</t>
        </is>
      </c>
      <c r="C8014" t="inlineStr">
        <is>
          <t>I was recently diagnosed with myxiod liposarcoma with metastasis to the lungs and am starting Chemotherapy in two weeks. Proposed treatment is 5 day inpatient treatment of doxorubicin and ifosfamide, followed by 16 days off, 6 rounds of that cycle. 
I may be delusional but I thought that during the time off treatment, I would be able to take care of myself (cook, clean my house, etc.) but everyone I tell about this asks who is going to take care of me or if I'm moving in with someone. 
Has anyone else gone through this type of procedure and can give me some advice based on your experience? Thanks in advance!</t>
        </is>
      </c>
      <c r="D8014" t="n">
        <v>1</v>
      </c>
      <c r="E8014" t="n">
        <v>8</v>
      </c>
      <c r="F8014">
        <f>HYPERLINK("https://www.reddit.com/r/cancer/comments/fb78nk/advice_on_how_to_handle_chemo/")</f>
        <v/>
      </c>
      <c r="G8014" t="inlineStr">
        <is>
          <t>2020-02-28 20:24:37</t>
        </is>
      </c>
      <c r="H8014" t="inlineStr"/>
    </row>
    <row r="8015">
      <c r="A8015" t="inlineStr">
        <is>
          <t>fb7lbe</t>
        </is>
      </c>
      <c r="B8015" t="inlineStr">
        <is>
          <t>Lost my Mum yesterday</t>
        </is>
      </c>
      <c r="C8015" t="inlineStr">
        <is>
          <t>For context she had pancreatic cancer.
She did really well for a year and a half, and in the last few months declined rapidly. Ever since platinum chemotherapy there was a shift in her personality and mental health although she was mostly still my mum.
During the decline she really did turn into another person, her original personality only breaking through occasionally.
She really became very angry, bitter and sad towards the end of her life (last three months). Our last phone call wasn't very nice and it makes me so sad. She lost a lot of her logical reasoning skills and her ability to have a conversation without becoming extremely angry over some trivial detail ceased.
I don't have that same overwhelming sadness that I had when I found out she was diagnosed. I felt sick every day I woke up, and broken. She was honestly the most important person in my life and my best friend. I woke up today and in an okay mood to be honest, went for a long drive and cried a little bit. But I honestly feel okay - I feel better than when she was alive and suffering over the last week.
She's gone now, and I am so sad this happened to her and my wonderful family. And I miss her, but not the her from yesterday, I miss the her from a year and a half ago, prior to her diagnosis. I hate that at 18 years old I had to watch one of the most sophisticated women I know turn into someone I could barely recognise. And I find my self upset knowing how broken it would make her five years ago, if she could see what was going to happen to her, her body and the things I have witnessed.
I am so scared my brother isn't going to remember who she was before the diagnosis, and even find my self struggling to recall some memories. I don't feel like I should be grieving and I just want to get back to university, my friends and my life.
I look back through my life and realise that my favourite moments with her, and when she was happiest was when I was 14 years old and younger. Then as I reach 15, I remember her becoming increasingly unreasonable, and sad. She starts looking a little bit too skinny. Her and Dad start fighting more. She starts working less due to fatigue. She starts socialising less due to fatigue. She started becoming obsessive over things that were merely trivial. She's still my wonderful mum but she seems different. Then she got diagnosed and everything made sense. The impact that this cancer had on my mums mental health and demeanour was truly profound. Makes me wonder if she had any brain metastases to be honest.
The first few months after the secondary chemotherapy (nab-pac + gem), she had an extremely strong response to her chemotherapy and she put on all the weight she had lost in the last 5 years. She was so happy and that was the most valuable thing that can come from a shitty situation like pancreatic cancer.
The last year and a half just feels like a dream that never happened and now I've woken up.</t>
        </is>
      </c>
      <c r="D8015" t="n">
        <v>1</v>
      </c>
      <c r="E8015" t="n">
        <v>6</v>
      </c>
      <c r="F8015">
        <f>HYPERLINK("https://www.reddit.com/r/cancer/comments/fb7lbe/lost_my_mum_yesterday/")</f>
        <v/>
      </c>
      <c r="G8015" t="inlineStr">
        <is>
          <t>2020-02-28 20:55:22</t>
        </is>
      </c>
      <c r="H8015" t="inlineStr"/>
    </row>
    <row r="8016">
      <c r="A8016" t="inlineStr">
        <is>
          <t>fb87rp</t>
        </is>
      </c>
      <c r="B8016" t="inlineStr">
        <is>
          <t>Dad (60) is slowly fading. I’m not sure how to process my grief.</t>
        </is>
      </c>
      <c r="C8016" t="inlineStr">
        <is>
          <t>It’s been a long year and a half since my dad was diagnosed with rectal cancer. At first we were all upbeat and confident that he was going to beat it. But about 2 months ago that all changed.
Forgive me for not knowing the technical term, but he developed a blood clot of some sort due to his chemo port. That’s when the Dr’s all conferred and told us there was really nothing they could do at this point, besides pain management. 
We prayed and prayed, and hoped for a miracle. But that miracle didn’t come. It’s been almost 2 years of slowly losing hope, and realizing that we were all powerless in a hopeless situation. 
So this week I flew home and am spending my days by his bed side, having normal conversations with him about sports, trucks, even plumbing... and he’s all there. He’s a bit loopy from the meds, but he’s there. 
It sucks. Because I know he won’t be there soon. Like at all. And I don’t know how to process the pain. It’s painful to wait. It’s painful to know what’s coming. And it’s painful to think of what it’s going to be like when he’s gone. What am I going to tell my kids when their grandpa isn’t here anymore? I’m lost in my emotions.</t>
        </is>
      </c>
      <c r="D8016" t="n">
        <v>1</v>
      </c>
      <c r="E8016" t="n">
        <v>18</v>
      </c>
      <c r="F8016">
        <f>HYPERLINK("https://www.reddit.com/r/cancer/comments/fb87rp/dad_60_is_slowly_fading_im_not_sure_how_to/")</f>
        <v/>
      </c>
      <c r="G8016" t="inlineStr">
        <is>
          <t>2020-02-28 21:51:44</t>
        </is>
      </c>
      <c r="H8016" t="inlineStr"/>
    </row>
    <row r="8017">
      <c r="A8017" t="inlineStr">
        <is>
          <t>fb88la</t>
        </is>
      </c>
      <c r="B8017" t="inlineStr">
        <is>
          <t>Advice on caregiving post surgery (double mastectomy)</t>
        </is>
      </c>
      <c r="C8017" t="inlineStr">
        <is>
          <t>My mom just had a double mastectomy today and she’s getting home from the hospital tomorrow. I know she’s going to have a lot of pain and be a bit out of it from the pain meds, so I was wondering what I can do to make her recovery as comfortable and easy as possible. Are there any products I should buy for her in terms of hygiene products, clothing, entertainment, etc... to help make her recovery easier?
Also, my mom hates taking narcotic pain meds and she’ll want to be off of them as soon as possible. Does anybody have advice for getting non-narcotic pain relief? We live in a recreational marijuana state, but she’ll probably dislike that just as much as opiates. 
Any other advice is welcome. She took care of me through my chemo, so I want to take care of her as well as possible.</t>
        </is>
      </c>
      <c r="D8017" t="n">
        <v>1</v>
      </c>
      <c r="E8017" t="n">
        <v>11</v>
      </c>
      <c r="F8017">
        <f>HYPERLINK("https://www.reddit.com/r/cancer/comments/fb88la/advice_on_caregiving_post_surgery_double/")</f>
        <v/>
      </c>
      <c r="G8017" t="inlineStr">
        <is>
          <t>2020-02-28 21:53:57</t>
        </is>
      </c>
      <c r="H8017" t="inlineStr"/>
    </row>
    <row r="8018">
      <c r="A8018" t="inlineStr">
        <is>
          <t>fb8pa1</t>
        </is>
      </c>
      <c r="B8018" t="inlineStr">
        <is>
          <t>Wife's stage 3C low-grade ovarian cancer</t>
        </is>
      </c>
      <c r="C8018" t="inlineStr">
        <is>
          <t>Figure it is about time I stop lurking around and occasionally commenting, and share my story... our story.
Wife had had an ovarian cyst pop up \~6yrs ago, and they determined it was nothing they needed to remove surgically. She ignored the pains from it, as they told her the 2x she went in for it they don't remove what she had. Fast forward to last summer, after multiple years of trying to have a kid, and failed IUDs, they noticed one of her fallopian tubes looked blocked. They recommended a surgery to either remove scar tissue, or the tube completely. Scheduled it for December 23rd so she didn't have to use much leave, as working at the school she'd be on winter break.
At the hospital I was called in to talk to the surgeon in the little room, and when she walked in she looked extremely concerned and closed both doors. This is when she explained, she saw things she didn't expect. At that point she believed it to be cancer, and had already talked to the oncologist in her department about how to take samples, what to sample, etc. Of course there were those points where everything went silent, her realizing I wasn't quite there, and helping me understand what was going on. She then helped me get an appointment the next day to meet with the oncologist and get the process started.
Few days later, we get the results of the pathology and even though it looked pretty bad, it was diagnosed as stage 3C borderline ovarian cancer. We felt relieved, and finally told our daughter (7 then, 8 now) what was going on. Next appointment with the oncologist, he explains she still needs surgery and he plans to still treat it like a cancer surgery as there is a 15% chance low grade cancer could still be hiding in there. This means total hysterectomy, removal of her appendix, and anything else he deems needs to be removed. Also means an incision from her pubic bone to her sternum, and a hefty recovery time.
Day of surgery, she does great, he removes everything bigger than a grain of salt, pathology at beginning of surgery still says borderline, but he reminds me there is still the 15% chance. She spends 3 days in the hospital, and luckily her aunt who worked in an gynecologic oncology department as a nurse flies in to help me with her after care for the 1st week.  Well 2 weeks after surgery the pathology results come in, and it turns out 2 of the pathologists disagree with what she has. 1 says still is borderline cancer, the other says there seems to be low grade cancer. Well, according to her oncologist the world experts have to arbitrate, so off to Johns Hopkins go her samples. Next appointment, Johns Hopkins says it is low grade non-invasive cancer. He explains her exact type is so rare, he does 400 surgeries a year and might see 2 people with her exact type his whole career.
He plans to contact the world expert at MD Anderson on her exact type of cancer to ensure he is giving her the correct treatment. The oncologist at MD Anderson points out a discrepancy in her pathology results (something I honestly noticed, but figured I am not a doctor so what do I know) where it mentions there is a possibility of some invasive tumors on her cervix/uterus. They said they didn't have enough sample to make a determination, and left it up to the oncologists to decide how best to treat her. This is the difference between her taking Femara or doing chemo. The MD Anderson oncologist doesn't like this and wants his pathologist to look at her tissue samples.
A little over 2 more weeks of waiting, and the final results came back. She will need chemo (Taxol &amp;amp; Carboplatin) and Avastin. 18 weeks of the lovely fight to outlive the cancer.
Our daughter is taking it really well. She has told us it is ok she will never have a little brother or sister, and treats her american girl doll like her little sister. My wife has barely cried, only a couple times out of frustration in all the delays in treatment and questions about her pathology. Whatever leave she was short during her 6 week recovery was covered by donations from other school district staff and teachers. My shop has been super supportive and luckily I carried over a lot of leave from last year, still haven't even burned through all my use or lose yet.
I know there is options like adoption for another kid. I know her oncologist is giving her the best care he can. I know we have a huge group of family and friends that have been and are ready to support us. I just still spend every hour I am awake, worrying about how she is going to do through all of this. Hoping venting it all helps a bit, along with reading and commenting on other people's stories.
Thank you for reading mine.</t>
        </is>
      </c>
      <c r="D8018" t="n">
        <v>1</v>
      </c>
      <c r="E8018" t="n">
        <v>0</v>
      </c>
      <c r="F8018">
        <f>HYPERLINK("https://www.reddit.com/r/cancer/comments/fb8pa1/wifes_stage_3c_lowgrade_ovarian_cancer/")</f>
        <v/>
      </c>
      <c r="G8018" t="inlineStr">
        <is>
          <t>2020-02-28 22:40:45</t>
        </is>
      </c>
      <c r="H8018" t="inlineStr"/>
    </row>
    <row r="8019">
      <c r="A8019" t="inlineStr">
        <is>
          <t>fb8v3k</t>
        </is>
      </c>
      <c r="B8019" t="inlineStr">
        <is>
          <t>Is this normal?</t>
        </is>
      </c>
      <c r="C8019" t="inlineStr">
        <is>
          <t>I have stomach pain that comes with nausea. I am 100% sure that the nausea isn't from the chemo because it only appears when my stomach is aching. Also anti nausea meds don't work with this kind of nausea. I vomit a little and i see little white flakes inside sort of like thrush. Did anybody else experience this?</t>
        </is>
      </c>
      <c r="D8019" t="n">
        <v>1</v>
      </c>
      <c r="E8019" t="n">
        <v>1</v>
      </c>
      <c r="F8019">
        <f>HYPERLINK("https://www.reddit.com/r/cancer/comments/fb8v3k/is_this_normal/")</f>
        <v/>
      </c>
      <c r="G8019" t="inlineStr">
        <is>
          <t>2020-02-28 22:57:48</t>
        </is>
      </c>
      <c r="H8019" t="inlineStr"/>
    </row>
    <row r="8020">
      <c r="A8020" t="inlineStr">
        <is>
          <t>fb9xgz</t>
        </is>
      </c>
      <c r="B8020" t="inlineStr">
        <is>
          <t>Anybody else experience stomach pain while on chemo?</t>
        </is>
      </c>
      <c r="C8020" t="inlineStr">
        <is>
          <t>I've been experiencing some really bad stomach pain and I'm wondering if it's because of the chemo. If it is what helped you?</t>
        </is>
      </c>
      <c r="D8020" t="n">
        <v>1</v>
      </c>
      <c r="E8020" t="n">
        <v>6</v>
      </c>
      <c r="F8020">
        <f>HYPERLINK("https://www.reddit.com/r/cancer/comments/fb9xgz/anybody_else_experience_stomach_pain_while_on/")</f>
        <v/>
      </c>
      <c r="G8020" t="inlineStr">
        <is>
          <t>2020-02-29 00:58:04</t>
        </is>
      </c>
      <c r="H8020" t="inlineStr"/>
    </row>
    <row r="8021">
      <c r="A8021" t="inlineStr">
        <is>
          <t>fbbaog</t>
        </is>
      </c>
      <c r="B8021" t="inlineStr">
        <is>
          <t>Port pain in neck/throat</t>
        </is>
      </c>
      <c r="C8021" t="inlineStr">
        <is>
          <t>Hey guys! I had my power port placed on Thursday and it was a bitch. I couldn't move my head for the first day, and was still very sore yesterday. Today I feel much better, except for the stabbing pain in my throat when I take a deep breath or swallow. I had the same problem in recovery and mentioned it to the nurse/doc, but got told it was normal and got take some Tylenol.
Did anyone else experience this kind of pain? Does it go away? I start chemo Tuesday, and the port alone is making me pretty miserable 😔</t>
        </is>
      </c>
      <c r="D8021" t="n">
        <v>1</v>
      </c>
      <c r="E8021" t="n">
        <v>6</v>
      </c>
      <c r="F8021">
        <f>HYPERLINK("https://www.reddit.com/r/cancer/comments/fbbaog/port_pain_in_neckthroat/")</f>
        <v/>
      </c>
      <c r="G8021" t="inlineStr">
        <is>
          <t>2020-02-29 03:30:53</t>
        </is>
      </c>
      <c r="H8021" t="inlineStr"/>
    </row>
    <row r="8022">
      <c r="A8022" t="inlineStr">
        <is>
          <t>fbc7tg</t>
        </is>
      </c>
      <c r="B8022" t="inlineStr">
        <is>
          <t>My Dad (54) has been on morphine due to a shortness of breath after being diagnosed with Lung Cancer and I'm just a bit worried by its effects</t>
        </is>
      </c>
      <c r="C8022" t="inlineStr">
        <is>
          <t>Hi my dad was diagnosed with lung cancer around a month ago and started chemotherapy 3 weeks ago. Hes been placed in his own ward and has been in morphine for a few weeks now, I believe to help with his shortness of breath and pain. Now to clarify my dad almost never shown his emotions and in my 17 years I have never seen him cry. However, after staying the night a few times with him recently I've seen him cry while praying a few times and it wasnt just a few tears, it seemed like a sort of heart wrenching cry. As well as this I feel as if he has been hallucinating (not too sure entirely) as while he was sleeping he called for me asking for water as he woke up. After this though he was asking me if I knew what he was doing and telling me that hes off to catch bad guys and villains. I was wondering if it was the morphine causing this. For more info he has been taking morphine when he can and in controlled time periods.</t>
        </is>
      </c>
      <c r="D8022" t="n">
        <v>1</v>
      </c>
      <c r="E8022" t="n">
        <v>3</v>
      </c>
      <c r="F8022">
        <f>HYPERLINK("https://www.reddit.com/r/cancer/comments/fbc7tg/my_dad_54_has_been_on_morphine_due_to_a_shortness/")</f>
        <v/>
      </c>
      <c r="G8022" t="inlineStr">
        <is>
          <t>2020-02-29 05:03:11</t>
        </is>
      </c>
      <c r="H8022" t="inlineStr"/>
    </row>
    <row r="8023">
      <c r="A8023" t="inlineStr">
        <is>
          <t>fbeeha</t>
        </is>
      </c>
      <c r="B8023" t="inlineStr">
        <is>
          <t>Just been diagnosed with Stage III Lymphoma Thymus</t>
        </is>
      </c>
      <c r="C8023" t="inlineStr">
        <is>
          <t>Got my port a week ago and start treatment Tuesday. Still not sure exactly what any of these means entirely, but I thought I’d post it here</t>
        </is>
      </c>
      <c r="D8023" t="n">
        <v>1</v>
      </c>
      <c r="E8023" t="n">
        <v>0</v>
      </c>
      <c r="F8023">
        <f>HYPERLINK("https://www.reddit.com/r/cancer/comments/fbeeha/just_been_diagnosed_with_stage_iii_lymphoma_thymus/")</f>
        <v/>
      </c>
      <c r="G8023" t="inlineStr">
        <is>
          <t>2020-02-29 07:53:19</t>
        </is>
      </c>
      <c r="H8023" t="inlineStr"/>
    </row>
    <row r="8024">
      <c r="A8024" t="inlineStr">
        <is>
          <t>fbexx5</t>
        </is>
      </c>
      <c r="B8024" t="inlineStr">
        <is>
          <t>Accident at an insecticide factory</t>
        </is>
      </c>
      <c r="C8024" t="inlineStr">
        <is>
          <t>In 2005 my aunt worked at a factory that made insecticides. She had a freak accident where a canister burst and the chemicals spilled onto her belly.
The workers and manager did not call 911. She didn't know how dangerous it was either. They had her rest in the back room until the shift was over. The next day my mom took her to the emergency and they treated the blisters there.
My mom told me about this two nights ago when I asked about what jobs they had done after they immigrated here. I asked my aunt the next morning and told her it might be related to her cancer. She cried in bed. She had forgotten about it, and didn't make the connection.
She had thyroid cancer in 2012 and it was removed. In March 2019 she was diagnosed with Stage 4 gallbladder cancer, doctor said her cancer is very aggressive. She's on second line chemo, in palliative home care.
I can't stop thinking about how that accident might have directly affected her getting cancer as she must have inhaled so much. 
I thought about filing a report to the police or elsewhere, but it will probably be useless.
I just wanted to let this out because I don't have anywhere else to take it to. I'll mention it to her oncologist this week at her chemo appointment.
Thank you for reading.</t>
        </is>
      </c>
      <c r="D8024" t="n">
        <v>1</v>
      </c>
      <c r="E8024" t="n">
        <v>0</v>
      </c>
      <c r="F8024">
        <f>HYPERLINK("https://www.reddit.com/r/cancer/comments/fbexx5/accident_at_an_insecticide_factory/")</f>
        <v/>
      </c>
      <c r="G8024" t="inlineStr">
        <is>
          <t>2020-02-29 08:29:31</t>
        </is>
      </c>
      <c r="H8024" t="inlineStr"/>
    </row>
    <row r="8025">
      <c r="A8025" t="inlineStr">
        <is>
          <t>fbezvv</t>
        </is>
      </c>
      <c r="B8025" t="inlineStr">
        <is>
          <t>Someone I know passed from Stage 4 Met Cancer. How did it go from treatment to passing so quick ? Shocked</t>
        </is>
      </c>
      <c r="C8025" t="inlineStr">
        <is>
          <t>A gal I’ve known since high school (I’m 33) sadly passed away this week. She had stage 4 cervical, metastized cancer. 
I’m beyond shocked and saddened and I’m here for support and to see if anyone else has seen a loved one go from treatment to the end so quickly, is it the doctors that will tell someone to just stop treating even if they are 3-4-5 rounds into a plan? 
Early this month she posted she was switching from chemo to another drug, might have been clinical. 
The sad part is she was diagnosed 3 years ago with stage 2 cancer. She fought it and was in remission. It came back June of last year and here we are now in February. 
I always knew her through friends and we would chat. I am 33 so I’ve known her or of her since I was 16 so it’s just really really sad 😞 
From her posts 2 weeks ago I felt there was hope but I’m guessing doctors know best (well shit not always) 
But how does it happen so quick? Cancer fucken sucks and I hate it</t>
        </is>
      </c>
      <c r="D8025" t="n">
        <v>1</v>
      </c>
      <c r="E8025" t="n">
        <v>18</v>
      </c>
      <c r="F8025">
        <f>HYPERLINK("https://www.reddit.com/r/cancer/comments/fbezvv/someone_i_know_passed_from_stage_4_met_cancer_how/")</f>
        <v/>
      </c>
      <c r="G8025" t="inlineStr">
        <is>
          <t>2020-02-29 08:32:50</t>
        </is>
      </c>
      <c r="H8025" t="inlineStr"/>
    </row>
    <row r="8026">
      <c r="A8026" t="inlineStr">
        <is>
          <t>fbf0df</t>
        </is>
      </c>
      <c r="B8026" t="inlineStr">
        <is>
          <t>Accident at an insecticide factory</t>
        </is>
      </c>
      <c r="C8026" t="inlineStr">
        <is>
          <t>In 2005 my aunt worked at a factory that made insecticides. She had a freak accident where a canister burst and the chemicals spilled onto her belly.
The workers and manager did not call 911. She didn't know how dangerous it was either. They had her rest in the back room until the shift was over. The next day my mom took her to the emergency and they treated the blisters there.
My mom told me about this two nights ago when I asked about what jobs they had done after they immigrated here. I asked my aunt the next morning and told her it might be related to her cancer. She cried in bed. She had forgotten about it, and didn't make the connection.
She had thyroid cancer in 2012 and it was removed. In March 2019 she was diagnosed with Stage 4 gallbladder cancer, doctor said her cancer is very aggressive. She's on second line chemo, in palliative home care.
I can't stop thinking about how that accident might have directly affected her getting cancer as she must have inhaled so much. 
I thought about filing a report to the police or elsewhere, but it will probably be useless.
I just wanted to let this out because I don't have anywhere else to take it to. I'll mention it to her oncologist this week at her chemo appointment.
Thank you for reading.</t>
        </is>
      </c>
      <c r="D8026" t="n">
        <v>1</v>
      </c>
      <c r="E8026" t="n">
        <v>6</v>
      </c>
      <c r="F8026">
        <f>HYPERLINK("https://www.reddit.com/r/cancer/comments/fbf0df/accident_at_an_insecticide_factory/")</f>
        <v/>
      </c>
      <c r="G8026" t="inlineStr">
        <is>
          <t>2020-02-29 08:33:45</t>
        </is>
      </c>
      <c r="H8026" t="inlineStr"/>
    </row>
    <row r="8027">
      <c r="A8027" t="inlineStr">
        <is>
          <t>fbfpmd</t>
        </is>
      </c>
      <c r="B8027" t="inlineStr">
        <is>
          <t>Something Cancer Patients Enjoy More than Muggles</t>
        </is>
      </c>
      <c r="C8027" t="inlineStr">
        <is>
          <t>A good poop. Yeah, I know everyone is fond of a healthy BM. But not like us. We who have experienced a violent burning flow of poo slush such as occurs during a rupture of the Hoover Dam. That ceaseless powerful flow of Coca-Cola.  
And harken back to your opiate induced no poop weeks.  After every medication has failed, bubbly drinks have failed, even perhaps mechanical interventions - finally a breach.  Long painful bathroom visits finally produce ... a blessed cement acorn. And you rejoice. You call your mom. Hallelujah.</t>
        </is>
      </c>
      <c r="D8027" t="n">
        <v>1</v>
      </c>
      <c r="E8027" t="n">
        <v>57</v>
      </c>
      <c r="F8027">
        <f>HYPERLINK("https://www.reddit.com/r/cancer/comments/fbfpmd/something_cancer_patients_enjoy_more_than_muggles/")</f>
        <v/>
      </c>
      <c r="G8027" t="inlineStr">
        <is>
          <t>2020-02-29 09:20:28</t>
        </is>
      </c>
      <c r="H8027" t="inlineStr"/>
    </row>
    <row r="8028">
      <c r="A8028" t="inlineStr">
        <is>
          <t>fbhq42</t>
        </is>
      </c>
      <c r="B8028" t="inlineStr">
        <is>
          <t>2cm fixed lump in left supraclavicular fossa—should I request CT or biopsy instead of ultrasound?</t>
        </is>
      </c>
      <c r="C8028" t="inlineStr">
        <is>
          <t>I hope this is the right place to ask this question. I don’t know where else to post it? My husband went to doc for a hard lump he has in his left supraclavicular fossa. 
I thought doc would refer him to ENT for CT and/or biopsy, but he has just ordered blood work and an ultra sound. But my understanding is that an ultrasound cannot rule out cancer, so it just seems like a waste of time.
For any of you with experience with this, should we request either: (1) ENT referral, (2) CT or MRI, and/or (3) biopsy? If the lump is cancer, we don’t want to waste time finding out.</t>
        </is>
      </c>
      <c r="D8028" t="n">
        <v>1</v>
      </c>
      <c r="E8028" t="n">
        <v>12</v>
      </c>
      <c r="F8028">
        <f>HYPERLINK("https://www.reddit.com/r/cancer/comments/fbhq42/2cm_fixed_lump_in_left_supraclavicular/")</f>
        <v/>
      </c>
      <c r="G8028" t="inlineStr">
        <is>
          <t>2020-02-29 11:33:07</t>
        </is>
      </c>
      <c r="H8028" t="inlineStr"/>
    </row>
    <row r="8029">
      <c r="A8029" t="inlineStr">
        <is>
          <t>fbjr44</t>
        </is>
      </c>
      <c r="B8029" t="inlineStr">
        <is>
          <t>June 2020 is my final "treatment" - Come on already get here already!!!!!!</t>
        </is>
      </c>
      <c r="C8029" t="inlineStr">
        <is>
          <t>My last chemo is 4/17 followed by radiation. My radiologist said he would want to wait 3 weeks roughly after my last chemo treatment to start radiation, 5 days a week - for 5 weeks. (25 sessions). Which means May 11th would be the beginning roughly - and last all the way to June 12th.
&amp;amp;#x200B;
AFTER THAT I AM DONE!!! With this horse shit of a fucking ride. Seriously fuck this ride - it is slow!!!!!!!!!! I want it to be June now!!!
&amp;amp;#x200B;
Once every 3 weeks I need chemo - seriously thats a month and a half away from now to finish - that is astoundingly stupidly slow to me..... that means I have atleast 3 weeks of "sick" downtime. My first treatment didn't knock me on my ass until 4-5 days after they pumped me full of chemo - and it lasted for about 4 days. Feb 14th was my first treatment - which consisted of me sitting in a vibrating heated massage chair while they pumped me full of chemo, and watched TV whith a tube going into my chest (Yes I had a port for TC chemo)
&amp;amp;#x200B;
I feel fine now, but holy shit I know this Friday March 6th my 2nd chemo treatment will knock me on the ass yet again. I don't know if it will be worse than the first treatment - all it really did was give me an upset stomach - drugs helped (Prescription) and bone pain from nulesta, my hair is falling out right now. Seriously I woke up to a bald patch this morning on my head that can be combed over.
&amp;amp;#x200B;
After work tomorrow I am going to go the the haircut place and get a buzz cut....apparently its just better to go buzzcut then shave it off according to the oncologist which I saw yesterday. Oh and here is a fun fact I have the same odds of getting a secondary cancer for being so young (32 years old) from the cancer treatment itself - with chemo its a rare chance of blood cancer, and with radiation its a 1/1000 chance of some other cancer (I forgot, I had so much information thrown at me I "think" it was skin cancer) 
&amp;amp;#x200B;
But without Radiation and chemo My chances of Breast cancer reoccurring is like 30-50%....with treatment its 6% reoccurring. Why couldn't I have just been a normal guy - why did I have to have breast fucking cancer!!!?</t>
        </is>
      </c>
      <c r="D8029" t="n">
        <v>1</v>
      </c>
      <c r="E8029" t="n">
        <v>10</v>
      </c>
      <c r="F8029">
        <f>HYPERLINK("https://www.reddit.com/r/cancer/comments/fbjr44/june_2020_is_my_final_treatment_come_on_already/")</f>
        <v/>
      </c>
      <c r="G8029" t="inlineStr">
        <is>
          <t>2020-02-29 13:52:52</t>
        </is>
      </c>
      <c r="H8029" t="inlineStr"/>
    </row>
    <row r="8030">
      <c r="A8030" t="inlineStr">
        <is>
          <t>fbjrtq</t>
        </is>
      </c>
      <c r="B8030" t="inlineStr">
        <is>
          <t>Can you have SMILE Chemo if you have a mild heart condition?</t>
        </is>
      </c>
      <c r="C8030" t="inlineStr">
        <is>
          <t>I know some forms of Chemo cause cardiovascular issues. I'm curious if SMILE regiment drugs are known to be especially hard on the heart?</t>
        </is>
      </c>
      <c r="D8030" t="n">
        <v>1</v>
      </c>
      <c r="E8030" t="n">
        <v>1</v>
      </c>
      <c r="F8030">
        <f>HYPERLINK("https://www.reddit.com/r/cancer/comments/fbjrtq/can_you_have_smile_chemo_if_you_have_a_mild_heart/")</f>
        <v/>
      </c>
      <c r="G8030" t="inlineStr">
        <is>
          <t>2020-02-29 13:54:22</t>
        </is>
      </c>
      <c r="H8030" t="inlineStr"/>
    </row>
    <row r="8031">
      <c r="A8031" t="inlineStr">
        <is>
          <t>fbkbmg</t>
        </is>
      </c>
      <c r="B8031" t="inlineStr">
        <is>
          <t>My mom passed away...</t>
        </is>
      </c>
      <c r="C8031" t="inlineStr">
        <is>
          <t>After a hard battle with stage 4 gallbladder cancer, my mom is finally free.  She had been diagnosed with stage 1 breast cancer about a year before being diagnosed with the unrelated gallbladder cancer. The awful excuse for a doctor called her oncologist missed the gallbladder cancer diagnosis and thought it was a gallstone. She was diagnosed in 5 minutes by a surgeon who were were seeing for the gallstone removal.  From there she was in and out of hospitals and received cancer treatments at City of Hope but unfortunately nothing was effective. 
She was free and happy and positive.  She was SO selfless.  She was so good down to her core. That's one of the things people from all walks of life have been saying about her. She was my mom and my absolute best friend.  She was my everything. I still can't believe she's gone.  Sometimes it hits me like a ton of bricks and knocks the breath out of me. She passed away at 12:37 am on Feb 27 just as we got to the hospital after the nurse called to tell me to come back because her heart rate was rapidly falling. Immediate and extended family had been with her for hours (my dad and I had been with her the entire day but left for an hour to come back and stay the rest of the night) but it was like her to pass just after everyone else had left so we wouldn't be upset or sad to see her pass in front of us. She wanted to protect us even through the end. Through all of her suffering she never once complained or lamented why me. She is the strongest person I will ever know. I am so incredibly lucky to have had her as my mom and my best friend.
I know I haven't been a very active poster but you all have given me strength and support through this time and I thank you for that. 
Keep fighting the good fight.</t>
        </is>
      </c>
      <c r="D8031" t="n">
        <v>1</v>
      </c>
      <c r="E8031" t="n">
        <v>13</v>
      </c>
      <c r="F8031">
        <f>HYPERLINK("https://www.reddit.com/r/cancer/comments/fbkbmg/my_mom_passed_away/")</f>
        <v/>
      </c>
      <c r="G8031" t="inlineStr">
        <is>
          <t>2020-02-29 14:32:35</t>
        </is>
      </c>
      <c r="H8031" t="inlineStr"/>
    </row>
    <row r="8032">
      <c r="A8032" t="inlineStr">
        <is>
          <t>fblrkf</t>
        </is>
      </c>
      <c r="B8032" t="inlineStr">
        <is>
          <t>No treatment and good appetite</t>
        </is>
      </c>
      <c r="C8032" t="inlineStr">
        <is>
          <t>My elderly relative has prostate cancer and has elected to not have chemotherapy or radiation. Their appetite has not decreased, but they have gotten relatively weaker in a short amount of time. From experiences with other cancer patients, I've seen them get weaker, and lose weight after undergoing cancer treatment. Therefore, I'm not sure if this relative is an exception to the rule or if the lack of cancer treatment has spared their appetite. Please share any thoughts you may have. TIA</t>
        </is>
      </c>
      <c r="D8032" t="n">
        <v>1</v>
      </c>
      <c r="E8032" t="n">
        <v>8</v>
      </c>
      <c r="F8032">
        <f>HYPERLINK("https://www.reddit.com/r/cancer/comments/fblrkf/no_treatment_and_good_appetite/")</f>
        <v/>
      </c>
      <c r="G8032" t="inlineStr">
        <is>
          <t>2020-02-29 16:19:22</t>
        </is>
      </c>
      <c r="H8032" t="inlineStr"/>
    </row>
    <row r="8033">
      <c r="A8033" t="inlineStr">
        <is>
          <t>fbonuj</t>
        </is>
      </c>
      <c r="B8033" t="inlineStr">
        <is>
          <t>Wearing a wig/feelings</t>
        </is>
      </c>
      <c r="C8033" t="inlineStr">
        <is>
          <t>How do you feel about about being asked about your wig? How do you respond “is that your real hair?”</t>
        </is>
      </c>
      <c r="D8033" t="n">
        <v>1</v>
      </c>
      <c r="E8033" t="n">
        <v>9</v>
      </c>
      <c r="F8033">
        <f>HYPERLINK("https://www.reddit.com/r/cancer/comments/fbonuj/wearing_a_wigfeelings/")</f>
        <v/>
      </c>
      <c r="G8033" t="inlineStr">
        <is>
          <t>2020-02-29 20:08:42</t>
        </is>
      </c>
      <c r="H8033" t="inlineStr"/>
    </row>
    <row r="8034">
      <c r="A8034" t="inlineStr">
        <is>
          <t>fboom6</t>
        </is>
      </c>
      <c r="B8034" t="inlineStr">
        <is>
          <t>ALL Leukemia</t>
        </is>
      </c>
      <c r="C8034" t="inlineStr">
        <is>
          <t>Hey reddit, so a bit of a back story. I was diagnosed with ALL b cell 6 months ago, and the treatment has been going relatively well, a few hiccups along the way but nothing out of the odd. I've done the usual chemo, cranial radiation, oral chemo bla bla bla. Thing is at the start of treatment there where days where i felt completely normal energy level wise (I pre diagnosis well), however, now that my blood counts are more normal and do not varry as much I feel pretty tired energy level wise and just live tired almost feels like my hemoglobin levels where consistently low. Apart from this I also have a low to mild consistent head ache that just doesn't go away. I am also pretty bad at sleeping more than 6 hours straight, and will probably nap 2 to 4 hours throughout the day but still feel tired. Has anyone experienced anything like this?</t>
        </is>
      </c>
      <c r="D8034" t="n">
        <v>1</v>
      </c>
      <c r="E8034" t="n">
        <v>0</v>
      </c>
      <c r="F8034">
        <f>HYPERLINK("https://www.reddit.com/r/cancer/comments/fboom6/all_leukemia/")</f>
        <v/>
      </c>
      <c r="G8034" t="inlineStr">
        <is>
          <t>2020-02-29 20:10:27</t>
        </is>
      </c>
      <c r="H8034" t="inlineStr"/>
    </row>
    <row r="8035">
      <c r="A8035" t="inlineStr">
        <is>
          <t>fboqbj</t>
        </is>
      </c>
      <c r="B8035" t="inlineStr">
        <is>
          <t>Lonely 21 F</t>
        </is>
      </c>
      <c r="C8035" t="inlineStr">
        <is>
          <t>I feel alone i’m trying harder to reach out but i’m basically telling strangers to talk to me. I had a medulla blastoma and the surgery to rid it resulted in ataxia so i’ll always be able to cheer you up with a reminder that you can walk</t>
        </is>
      </c>
      <c r="D8035" t="n">
        <v>1</v>
      </c>
      <c r="E8035" t="n">
        <v>71</v>
      </c>
      <c r="F8035">
        <f>HYPERLINK("https://www.reddit.com/r/cancer/comments/fboqbj/lonely_21_f/")</f>
        <v/>
      </c>
      <c r="G8035" t="inlineStr">
        <is>
          <t>2020-02-29 20:14:29</t>
        </is>
      </c>
      <c r="H8035" t="inlineStr"/>
    </row>
    <row r="8036">
      <c r="A8036" t="inlineStr">
        <is>
          <t>fbpo0l</t>
        </is>
      </c>
      <c r="B8036" t="inlineStr">
        <is>
          <t>surgery for thyroid cancer in a few days</t>
        </is>
      </c>
      <c r="C8036" t="inlineStr">
        <is>
          <t>hi! 
as said in the title, i’m having surgery on march 4th, where they will be removing a ping pong ball sized tumor, my entire thyroid and all of the lymph nodes in the middle and right side of my neck. i’m 19 and i’ve never had surgery at all before. (not even tonsils or wisdom teeth) i’m a little anxious. any advice? especially from someone who has been through it before.
how’s the recovery? and the scarring? 
i’ll have two drains in my neck and there’s a chance of permanent nerve damage so that scares me. also, can anyone explain the intubation process? 
thanks.</t>
        </is>
      </c>
      <c r="D8036" t="n">
        <v>1</v>
      </c>
      <c r="E8036" t="n">
        <v>5</v>
      </c>
      <c r="F8036">
        <f>HYPERLINK("https://www.reddit.com/r/cancer/comments/fbpo0l/surgery_for_thyroid_cancer_in_a_few_days/")</f>
        <v/>
      </c>
      <c r="G8036" t="inlineStr">
        <is>
          <t>2020-02-29 21:39:26</t>
        </is>
      </c>
      <c r="H8036" t="inlineStr"/>
    </row>
    <row r="8037">
      <c r="A8037" t="inlineStr">
        <is>
          <t>fbsqbm</t>
        </is>
      </c>
      <c r="B8037" t="inlineStr">
        <is>
          <t>Sarcoma cancer</t>
        </is>
      </c>
      <c r="C8037" t="inlineStr">
        <is>
          <t>My amazing father (67) was diagnosed with Sarcoma cancer last year. He's been given an option to undergo surgery where the result will be a urostomy pouch. He absolutely doesn't want to do this surgery, he doesn't want a bag for a bladder. I've asked him isn't a bag better than dying, however nothing I say helps despite him agreeing with me.
Could someone please tell me your stories of family members or friends who have had to get this surgery? How did they feel? Can you recommend anything else to make my dad feel like his life can still be normal with the pouch?
He feels like his surgeon is rushing into it as well.
I don't want to lose him.
I'm 24F.</t>
        </is>
      </c>
      <c r="D8037" t="n">
        <v>1</v>
      </c>
      <c r="E8037" t="n">
        <v>5</v>
      </c>
      <c r="F8037">
        <f>HYPERLINK("https://www.reddit.com/r/cancer/comments/fbsqbm/sarcoma_cancer/")</f>
        <v/>
      </c>
      <c r="G8037" t="inlineStr">
        <is>
          <t>2020-03-01 03:18:28</t>
        </is>
      </c>
      <c r="H8037" t="inlineStr"/>
    </row>
    <row r="8038">
      <c r="A8038" t="inlineStr">
        <is>
          <t>fbszbc</t>
        </is>
      </c>
      <c r="B8038" t="inlineStr">
        <is>
          <t>Genetic testing because of tongue cancer at a young age</t>
        </is>
      </c>
      <c r="C8038" t="inlineStr">
        <is>
          <t xml:space="preserve"> 
Hello, I got diagnosed with stage 1 tongue cancer 5 month ag at just 31 years old , tumor was removed with margin and I was able to keep most part of my tongue
hpv negative
no chemo or radio because of early stage
at my last follow up my oncologist said i may have fanconi anemia because i got this cancer at a very young age , he refered me to a genetic counselor,
I have absolutely 0 symptom of fanconi anemia , i dont have bone marrow failure or any malformation ! i'm even 6"2 (187 cm ) fanconi anemic are usually shorter
i"m really angry, I thought I could return to a normal life but now I face a much more dangerous threat than cancer : fanconi anemia : you are almost guaranted to suffer and die with this disease
Is it possible to have this disease and have 0 symptom ?</t>
        </is>
      </c>
      <c r="D8038" t="n">
        <v>1</v>
      </c>
      <c r="E8038" t="n">
        <v>4</v>
      </c>
      <c r="F8038">
        <f>HYPERLINK("https://www.reddit.com/r/cancer/comments/fbszbc/genetic_testing_because_of_tongue_cancer_at_a/")</f>
        <v/>
      </c>
      <c r="G8038" t="inlineStr">
        <is>
          <t>2020-03-01 03:45:56</t>
        </is>
      </c>
      <c r="H8038" t="inlineStr"/>
    </row>
    <row r="8039">
      <c r="A8039" t="inlineStr">
        <is>
          <t>fbvqna</t>
        </is>
      </c>
      <c r="B8039" t="inlineStr">
        <is>
          <t>I feel drained and I’m just spending my days laying on my sofa glued to my phone</t>
        </is>
      </c>
      <c r="C8039" t="inlineStr">
        <is>
          <t>Not felt same since gamma knife surgery. Most of the cancer has gone “I think”. I have a dreaded brain scan result tomorrow and feeling anxious.
Before the gamma knife surgery I was quite active and attended the gym 3-4 times a week, now i struggle to keep my flat tidy.
I’m considering getting a cleaner. I don’t want to become a burden.</t>
        </is>
      </c>
      <c r="D8039" t="n">
        <v>1</v>
      </c>
      <c r="E8039" t="n">
        <v>9</v>
      </c>
      <c r="F8039">
        <f>HYPERLINK("https://www.reddit.com/r/cancer/comments/fbvqna/i_feel_drained_and_im_just_spending_my_days/")</f>
        <v/>
      </c>
      <c r="G8039" t="inlineStr">
        <is>
          <t>2020-03-01 07:43:55</t>
        </is>
      </c>
      <c r="H8039" t="inlineStr"/>
    </row>
    <row r="8040">
      <c r="A8040" t="inlineStr">
        <is>
          <t>fbw8pa</t>
        </is>
      </c>
      <c r="B8040" t="inlineStr">
        <is>
          <t>Question about lung cancer.</t>
        </is>
      </c>
      <c r="C8040" t="inlineStr">
        <is>
          <t>Hello first thank you for the time you took to read this.   
Now how do i begin, i am a smoker for arround 12 years during the week i do not smoke that much 1.5 max 2 packs from monday to friday on weekends tho i tend to go 4-5 packs. Anyway since 2 weeks i have a chest pain with a perpetual coughing. The pain itself is not a pain but rather a burn. Whenever i cought or sneeze my left arm gets really tense bordering a clamp feeling. When i breethe in is all fine  unless i try to breathe in really really deep than it burns quite a bit . Whenever i breathe out halfway through i get a feeling as if my lungs have dificulties pushing the air out and i get a mild chest pain.   
I never had to deal with cancer so i do not know any details on this so i was wondering if this is very worrying and if i should consult a doctor asap. For reference i always used to get bronchitis in the past on a regular basis but that was 5+ years ago before it suddenly stopped appearing.   
Again thank you for your time and i would greatly appreciate any kind of advice.</t>
        </is>
      </c>
      <c r="D8040" t="n">
        <v>1</v>
      </c>
      <c r="E8040" t="n">
        <v>5</v>
      </c>
      <c r="F8040">
        <f>HYPERLINK("https://www.reddit.com/r/cancer/comments/fbw8pa/question_about_lung_cancer/")</f>
        <v/>
      </c>
      <c r="G8040" t="inlineStr">
        <is>
          <t>2020-03-01 08:17:41</t>
        </is>
      </c>
      <c r="H8040" t="inlineStr"/>
    </row>
    <row r="8041">
      <c r="A8041" t="inlineStr">
        <is>
          <t>fbytyy</t>
        </is>
      </c>
      <c r="B8041" t="inlineStr">
        <is>
          <t>I told my 12yo daughter last night</t>
        </is>
      </c>
      <c r="C8041" t="inlineStr">
        <is>
          <t>Every single thing in my life I thought was hard - doesnt compare. Not in the slightest. I have zero words about telling my baby girl I'm going to die. 
I'm so sad/devastated/anfgry for her, its so unfair, right now I believe in nothing religious because who would do this, who would do it. She deserves none of this and it's going to effect the rest of her life. 
Does anyone else have experience having cancer as a parent withe same age child, how did you cope from here.
Just fyi - I have stage 4 rectal.cancer with liver mets. Found out last week.</t>
        </is>
      </c>
      <c r="D8041" t="n">
        <v>1</v>
      </c>
      <c r="E8041" t="n">
        <v>31</v>
      </c>
      <c r="F8041">
        <f>HYPERLINK("https://www.reddit.com/r/cancer/comments/fbytyy/i_told_my_12yo_daughter_last_night/")</f>
        <v/>
      </c>
      <c r="G8041" t="inlineStr">
        <is>
          <t>2020-03-01 11:08:03</t>
        </is>
      </c>
      <c r="H8041" t="inlineStr"/>
    </row>
    <row r="8042">
      <c r="A8042" t="inlineStr">
        <is>
          <t>fc0hs3</t>
        </is>
      </c>
      <c r="B8042" t="inlineStr">
        <is>
          <t>My sister passed away this morning.</t>
        </is>
      </c>
      <c r="C8042" t="inlineStr">
        <is>
          <t>I am heartbroken. I am devastated, but I cannot say I didn’t see it coming. She withered away as the cancer destroyed her brain. She went blind. She hallucinated horribly dark scenarios and wasn’t in this world with us for a while. She stopped making sense, until she stopped talking. This morning she stopped breathing. I am relieved her suffering has ended, but she shouldn’t have had to suffer in the first place. She’d just gotten her life together, on the healthy right track after struggling through so many dark years of depression and pain. She had finally become happy and the best version of herself. She’d gotten married and had a two year old, and had become such an amazing mom. And then this happens. It just breaks my heart. Sorry, I just needed to vent.
Fuck cancer.</t>
        </is>
      </c>
      <c r="D8042" t="n">
        <v>1</v>
      </c>
      <c r="E8042" t="n">
        <v>9</v>
      </c>
      <c r="F8042">
        <f>HYPERLINK("https://www.reddit.com/r/cancer/comments/fc0hs3/my_sister_passed_away_this_morning/")</f>
        <v/>
      </c>
      <c r="G8042" t="inlineStr">
        <is>
          <t>2020-03-01 12:55:55</t>
        </is>
      </c>
      <c r="H8042" t="inlineStr"/>
    </row>
    <row r="8043">
      <c r="A8043" t="inlineStr">
        <is>
          <t>fc0nnh</t>
        </is>
      </c>
      <c r="B8043" t="inlineStr">
        <is>
          <t>Headaches</t>
        </is>
      </c>
      <c r="C8043" t="inlineStr">
        <is>
          <t>Does anyone with Leukemia have any experience with constant painful headaches, i started with them towards the back end of last year and there are getting more frequent and more painful but docs so far haven't found anything</t>
        </is>
      </c>
      <c r="D8043" t="n">
        <v>1</v>
      </c>
      <c r="E8043" t="n">
        <v>1</v>
      </c>
      <c r="F8043">
        <f>HYPERLINK("https://www.reddit.com/r/cancer/comments/fc0nnh/headaches/")</f>
        <v/>
      </c>
      <c r="G8043" t="inlineStr">
        <is>
          <t>2020-03-01 13:06:29</t>
        </is>
      </c>
      <c r="H8043" t="inlineStr"/>
    </row>
    <row r="8044">
      <c r="A8044" t="inlineStr">
        <is>
          <t>fc2om2</t>
        </is>
      </c>
      <c r="B8044" t="inlineStr">
        <is>
          <t>Mom is Gone</t>
        </is>
      </c>
      <c r="C8044" t="inlineStr">
        <is>
          <t>It's been an hour since she's left. I never believed it would actually happen. I don't know what to do now. She was diagnosed with leiomyosarcoma in 2013 after they removed an ulcer that turned out to be cancerous and infected her uterus. After a hysterectomy, she was free for a year until it metastasized to her lungs in 2017. After many different chemos, we were told there was nothing else but we found a trial. The tumors in her lungs continued growing and in between last Monday and this Friday, the tumors rapidly grew and collapsed her left lung and took over half of her other lung. Thursday she started being very confused and Friday morning, my brother called me at work to say she woke up not remembering much and was taken to the ER in an ambulance. Everybody thought it was actually sepsis and that she could get the antibiotics and hopefully beat it. Until yesterday the doctors found out what it actually was. We moved out of the ICU last night to a peaceful room in oncology and after family and friends from our of state got here, we removed the oxygen mask forcing her to breath and at 4:17 she was gone. All I want is for her to be at home, watching CW or TVLand like she always loves to. I love you mom, goodbye.</t>
        </is>
      </c>
      <c r="D8044" t="n">
        <v>1</v>
      </c>
      <c r="E8044" t="n">
        <v>13</v>
      </c>
      <c r="F8044">
        <f>HYPERLINK("https://www.reddit.com/r/cancer/comments/fc2om2/mom_is_gone/")</f>
        <v/>
      </c>
      <c r="G8044" t="inlineStr">
        <is>
          <t>2020-03-01 15:25:19</t>
        </is>
      </c>
      <c r="H8044" t="inlineStr"/>
    </row>
    <row r="8045">
      <c r="A8045" t="inlineStr">
        <is>
          <t>fc2yj4</t>
        </is>
      </c>
      <c r="B8045" t="inlineStr">
        <is>
          <t>Does Chemotherapy affect Braincells?</t>
        </is>
      </c>
      <c r="C8045" t="inlineStr">
        <is>
          <t>To my knowledge all cells in the human body are in some way affected negatively to some extend by chemotherapy. Another thing people told me was that Braincells do not regenerate like most other cells if exposed to drugs etc. (If not please corret :)) 
Does that mean that chemotherapy kills brain cells effectively making you less smart (permanently)?
Just curious ✌️</t>
        </is>
      </c>
      <c r="D8045" t="n">
        <v>1</v>
      </c>
      <c r="E8045" t="n">
        <v>5</v>
      </c>
      <c r="F8045">
        <f>HYPERLINK("https://www.reddit.com/r/cancer/comments/fc2yj4/does_chemotherapy_affect_braincells/")</f>
        <v/>
      </c>
      <c r="G8045" t="inlineStr">
        <is>
          <t>2020-03-01 15:44:47</t>
        </is>
      </c>
      <c r="H8045" t="inlineStr"/>
    </row>
    <row r="8046">
      <c r="A8046" t="inlineStr">
        <is>
          <t>fc337z</t>
        </is>
      </c>
      <c r="B8046" t="inlineStr">
        <is>
          <t>Anyone here who got cured from adenoid cystic carcinoma?</t>
        </is>
      </c>
      <c r="C8046" t="inlineStr">
        <is>
          <t>My dad has just been diagnosed with ACC a few days ago. He's 58. We were told that the cancer is relentless, but is there a chance that it could go away completely? Thank you so much. Also, if you can share ACC-related stories, that would be great. This is all new to our family, and although we want to be strong for him, we can't escape the anxiety. :(</t>
        </is>
      </c>
      <c r="D8046" t="n">
        <v>1</v>
      </c>
      <c r="E8046" t="n">
        <v>5</v>
      </c>
      <c r="F8046">
        <f>HYPERLINK("https://www.reddit.com/r/cancer/comments/fc337z/anyone_here_who_got_cured_from_adenoid_cystic/")</f>
        <v/>
      </c>
      <c r="G8046" t="inlineStr">
        <is>
          <t>2020-03-01 15:54:20</t>
        </is>
      </c>
      <c r="H8046" t="inlineStr"/>
    </row>
    <row r="8047">
      <c r="A8047" t="inlineStr">
        <is>
          <t>fc4c2z</t>
        </is>
      </c>
      <c r="B8047" t="inlineStr">
        <is>
          <t>Think my dad may have cancer but he’s hiding it, I’m scared. I’ve had too much experience with cancer in my family already. I’m not sure what to do</t>
        </is>
      </c>
      <c r="C8047" t="inlineStr">
        <is>
          <t>My dad has recently been dropping hints and they sound like things a person with cancer would experience. My grandma recently died of cancer back last summer. I remember the beginning stages she wouldn’t feel 100% ever. When she woke up she wasn’t springing out of bed, she was quite sluggish. I’m scared for my dad and I don’t know how to approach it. It may sound dumb but from what information I’ve gathered it may be true. It sucks being so young and actually having to worry about these things. He doesn’t have the best habits and that’s why I suspect it’s cancer. I guess this is more of a rant than a question but I don’t know what to do...</t>
        </is>
      </c>
      <c r="D8047" t="n">
        <v>1</v>
      </c>
      <c r="E8047" t="n">
        <v>1</v>
      </c>
      <c r="F8047">
        <f>HYPERLINK("https://www.reddit.com/r/cancer/comments/fc4c2z/think_my_dad_may_have_cancer_but_hes_hiding_it_im/")</f>
        <v/>
      </c>
      <c r="G8047" t="inlineStr">
        <is>
          <t>2020-03-01 17:28:01</t>
        </is>
      </c>
      <c r="H8047" t="inlineStr"/>
    </row>
    <row r="8048">
      <c r="A8048" t="inlineStr">
        <is>
          <t>fc5dzq</t>
        </is>
      </c>
      <c r="B8048" t="inlineStr">
        <is>
          <t>How to deal with my mom's diagnoses and treatment</t>
        </is>
      </c>
      <c r="C8048" t="inlineStr">
        <is>
          <t>I'm posting here cause I'm really confused. My mom got diagnosed with stage 3 colon cancer and I don't really know how to deal with it. She starts chemo on Wednesday and is going to a large hospital so I can't really just call the doctor and ask what to do, so I figured that i'd ask other people that went through the same thing. Currently I'm a senior in high school and since I found out my grades jumped off a cliff and my gpa dropped over 2 points. I can't focus, and I can't really seem to find any motivation within school with my mom. I don't really know what to do or who to talk to. 
I asked my mom if I should stay home from school the day after she gets chemo and she told me she'd be fine. Should I stay home? She also said she was going to uber home after her 7 hour treatment at the hospital, should my dad force her to take a ride from him? I'm really lost, I've read about some of the side effects of folfox fury (her specific chemo treatment) and I still don't know what to expect. basically my main question is how can i help her after she starts chemo this week, and should I stay home with her? Thanks</t>
        </is>
      </c>
      <c r="D8048" t="n">
        <v>1</v>
      </c>
      <c r="E8048" t="n">
        <v>2</v>
      </c>
      <c r="F8048">
        <f>HYPERLINK("https://www.reddit.com/r/cancer/comments/fc5dzq/how_to_deal_with_my_moms_diagnoses_and_treatment/")</f>
        <v/>
      </c>
      <c r="G8048" t="inlineStr">
        <is>
          <t>2020-03-01 18:49:07</t>
        </is>
      </c>
      <c r="H8048" t="inlineStr"/>
    </row>
    <row r="8049">
      <c r="A8049" t="inlineStr">
        <is>
          <t>fc6mi4</t>
        </is>
      </c>
      <c r="B8049" t="inlineStr">
        <is>
          <t>Possible Colon Cancer?</t>
        </is>
      </c>
      <c r="C8049" t="inlineStr">
        <is>
          <t>I have been noticing something very strange. In my stool there have been almost canyon like shapes. Think of it as taking some play dough and running your finger through it leaving a line indent. It happens very rarely. Ive seen it about 4 times in my stool since early 2019. I need to know if this is something else or colon cancer.</t>
        </is>
      </c>
      <c r="D8049" t="n">
        <v>1</v>
      </c>
      <c r="E8049" t="n">
        <v>2</v>
      </c>
      <c r="F8049">
        <f>HYPERLINK("https://www.reddit.com/r/cancer/comments/fc6mi4/possible_colon_cancer/")</f>
        <v/>
      </c>
      <c r="G8049" t="inlineStr">
        <is>
          <t>2020-03-01 20:28:19</t>
        </is>
      </c>
      <c r="H8049" t="inlineStr"/>
    </row>
    <row r="8050">
      <c r="A8050" t="inlineStr">
        <is>
          <t>fc6zk8</t>
        </is>
      </c>
      <c r="B8050" t="inlineStr">
        <is>
          <t>Cancer at the age of 18</t>
        </is>
      </c>
      <c r="C8050" t="inlineStr">
        <is>
          <t>Hello, I'm wozi and I turned 18 a couple of days after I got diagnosed. I was diagnosed with embryo rhabdomyosarcoma 3 months ago, and after I started chemo I feel lonely every day of the week. It crushes me to see my pals go out each week drinking and partying when I'm home due to the state I'm in. Any tips on how to feel less lonely? It's so hard since they are also young, and very unfamiliar with cancer, so like planning to meet and such is hard for them, they don't really hit me up a lot anyways but that's a different story. Any tips on stuff I can do to pass time and not feel so lonely?</t>
        </is>
      </c>
      <c r="D8050" t="n">
        <v>1</v>
      </c>
      <c r="E8050" t="n">
        <v>0</v>
      </c>
      <c r="F8050">
        <f>HYPERLINK("https://www.reddit.com/r/cancer/comments/fc6zk8/cancer_at_the_age_of_18/")</f>
        <v/>
      </c>
      <c r="G8050" t="inlineStr">
        <is>
          <t>2020-03-01 20:59:46</t>
        </is>
      </c>
      <c r="H8050" t="inlineStr"/>
    </row>
    <row r="8051">
      <c r="A8051" t="inlineStr">
        <is>
          <t>fc800p</t>
        </is>
      </c>
      <c r="B8051" t="inlineStr">
        <is>
          <t>Coronavirus and Cancer — Scared</t>
        </is>
      </c>
      <c r="C8051" t="inlineStr">
        <is>
          <t>Hi guys, I got diagnosed with Hodgkins Lymphoma about 2 weeks ago, I’ve already been through one round of chemo since. I live in a very small state (you can probably guess which) where 2 people have recently been tested for the coronavirus. I’m really scared that due to the fact my immune system will almost be completely compromised that I’ll be very effected by the virus if I catch it.
What should I do until then? I have about 6 months (late August) until I’m done with chemo... I don’t know if this will all be done by then. My family lives in another state nearby (I’m here for school), but the hospital I get treatment at is here. I’m really scared because I know this virus has a high fatality rate with people with underlying health issues.</t>
        </is>
      </c>
      <c r="D8051" t="n">
        <v>1</v>
      </c>
      <c r="E8051" t="n">
        <v>8</v>
      </c>
      <c r="F8051">
        <f>HYPERLINK("https://www.reddit.com/r/cancer/comments/fc800p/coronavirus_and_cancer_scared/")</f>
        <v/>
      </c>
      <c r="G8051" t="inlineStr">
        <is>
          <t>2020-03-01 22:33:24</t>
        </is>
      </c>
      <c r="H8051" t="inlineStr"/>
    </row>
    <row r="8052">
      <c r="A8052" t="inlineStr">
        <is>
          <t>fcb6gh</t>
        </is>
      </c>
      <c r="B8052" t="inlineStr">
        <is>
          <t>Hypochondria because of cancer</t>
        </is>
      </c>
      <c r="C8052" t="inlineStr">
        <is>
          <t>Does cancer make you more hypochondriac ?
For me definitly, i'm checking my mouth everyday now and if i find an inflammation, i have to spend  70$ to see an ent and be reassured
if i see a canker sore i panick a lot and  ask for a biopsy ( refused most of the time)</t>
        </is>
      </c>
      <c r="D8052" t="n">
        <v>1</v>
      </c>
      <c r="E8052" t="n">
        <v>2</v>
      </c>
      <c r="F8052">
        <f>HYPERLINK("https://www.reddit.com/r/cancer/comments/fcb6gh/hypochondria_because_of_cancer/")</f>
        <v/>
      </c>
      <c r="G8052" t="inlineStr">
        <is>
          <t>2020-03-02 04:14:23</t>
        </is>
      </c>
      <c r="H8052" t="inlineStr"/>
    </row>
    <row r="8053">
      <c r="A8053" t="inlineStr">
        <is>
          <t>fcbg1s</t>
        </is>
      </c>
      <c r="B8053" t="inlineStr">
        <is>
          <t>Pain is killing me</t>
        </is>
      </c>
      <c r="C8053" t="inlineStr">
        <is>
          <t>Debating about going to ER, but all they will do is give me pain meds and I will have to lay in a uncomfortable bed for like 3-5 hours. The other option is to just sit on my sofa and not move. Trying to get out of bed is like a 8-9 on the pain scale.</t>
        </is>
      </c>
      <c r="D8053" t="n">
        <v>1</v>
      </c>
      <c r="E8053" t="n">
        <v>35</v>
      </c>
      <c r="F8053">
        <f>HYPERLINK("https://www.reddit.com/r/cancer/comments/fcbg1s/pain_is_killing_me/")</f>
        <v/>
      </c>
      <c r="G8053" t="inlineStr">
        <is>
          <t>2020-03-02 04:38:26</t>
        </is>
      </c>
      <c r="H8053" t="inlineStr"/>
    </row>
    <row r="8054">
      <c r="A8054" t="inlineStr">
        <is>
          <t>fcdh3x</t>
        </is>
      </c>
      <c r="B8054" t="inlineStr">
        <is>
          <t>Assistance options</t>
        </is>
      </c>
      <c r="C8054" t="inlineStr">
        <is>
          <t>Hi guys, posting on behalf of my mother. Diagnosed 10/4 with squamous cell. In her right tonsil. She was put on a feeding tube. And before December was fully reliant on it. She’s been off work since then, and completed her course of treatment five weeks ago. The last week of treatment she was in the hospital for severe pain and wasn’t even coherent most days. She’s since finished and was moved into a nursing facility. 
As her daughter I am across the state, and not able to be home to take care of her. We have family that has helped a lot, but can’t too much financially.
Does anyone have any resources, assistance options that you found were available? She wasn’t full time at work, and we’re in Ohio. She has a car payment, rent, utilities and we are not sure how much her insurance has covered so far. Please let me know. 
*this is not a post asking for donations at all, just some federal/local possible leads for assistance*</t>
        </is>
      </c>
      <c r="D8054" t="n">
        <v>1</v>
      </c>
      <c r="E8054" t="n">
        <v>5</v>
      </c>
      <c r="F8054">
        <f>HYPERLINK("https://www.reddit.com/r/cancer/comments/fcdh3x/assistance_options/")</f>
        <v/>
      </c>
      <c r="G8054" t="inlineStr">
        <is>
          <t>2020-03-02 07:15:11</t>
        </is>
      </c>
      <c r="H8054" t="inlineStr"/>
    </row>
    <row r="8055">
      <c r="A8055" t="inlineStr">
        <is>
          <t>fcf50j</t>
        </is>
      </c>
      <c r="B8055" t="inlineStr">
        <is>
          <t>Ph+ ALL Study (please remove if not appropriate)</t>
        </is>
      </c>
      <c r="C8055" t="inlineStr">
        <is>
          <t>Hi everyone,
If you have Acute Lymphoblastic Leukemia (ALL) and are a US resident you may be eligible to take part in our paid online survey. If you have a friend/relative who has ALL please share this information with them, as they could be eligible to take part in our paid online survey.
We are trying to find out which aspects of treatment patients with Ph+ALL care about. Can you help? You can make your voice heard about your treatment priorities by taking part. Eligible participants will be paid $60 and the survey will last 30 minutes.
If you are interested please contact through Reddit or at Global Patients at [juan@global-patients.com](mailto:juan@global-patients.com) for more information.</t>
        </is>
      </c>
      <c r="D8055" t="n">
        <v>1</v>
      </c>
      <c r="E8055" t="n">
        <v>0</v>
      </c>
      <c r="F8055">
        <f>HYPERLINK("https://www.reddit.com/r/cancer/comments/fcf50j/ph_all_study_please_remove_if_not_appropriate/")</f>
        <v/>
      </c>
      <c r="G8055" t="inlineStr">
        <is>
          <t>2020-03-02 09:03:29</t>
        </is>
      </c>
      <c r="H8055" t="inlineStr"/>
    </row>
    <row r="8056">
      <c r="A8056" t="inlineStr">
        <is>
          <t>fcgn0p</t>
        </is>
      </c>
      <c r="B8056" t="inlineStr">
        <is>
          <t>pancreas surgery hospital</t>
        </is>
      </c>
      <c r="C8056" t="inlineStr">
        <is>
          <t>looking for a best pancreas surgery hospital, how is sloan and NYU</t>
        </is>
      </c>
      <c r="D8056" t="n">
        <v>1</v>
      </c>
      <c r="E8056" t="n">
        <v>4</v>
      </c>
      <c r="F8056">
        <f>HYPERLINK("https://www.reddit.com/r/cancer/comments/fcgn0p/pancreas_surgery_hospital/")</f>
        <v/>
      </c>
      <c r="G8056" t="inlineStr">
        <is>
          <t>2020-03-02 10:38:41</t>
        </is>
      </c>
      <c r="H8056" t="inlineStr"/>
    </row>
    <row r="8057">
      <c r="A8057" t="inlineStr">
        <is>
          <t>fch8x7</t>
        </is>
      </c>
      <c r="B8057" t="inlineStr">
        <is>
          <t>My dad has colorectal cancer that has spread to his liver and lymph nodes.</t>
        </is>
      </c>
      <c r="C8057" t="inlineStr">
        <is>
          <t>It always feels more and more surreal to type that out or say it out loud. But my dad was recently diagnosed with colorectal cancer. When I tell people, the reactions are divided between “Aww..” and “Well, it could be a worse cancer” (Yes, really.) and it makes me unsure how to feel about it, myself. I am optimistic, as are the doctor but it doesn’t make it any less scary or unpredictable.
I’m merely here to ask...
What can I do to help my parents financially...? I’m struggling because I’m not financially stable enough myself to give them money, as I’m going to be going overseas for two months. Right now, my dad is working (or trying) full time. But the side effects of the chemotherapy are starting to become more apparent. 
Every three weeks, he goes for 2-4 hours to sit for chemo and then he takes pills for two weeks after that before a week without any pills... then the IV again. 
He’ll be going for his third round on the 10th and I’m concerned the side effects may make it so he won’t be able to work. Right now, the most major side effect is the pain he feels in his hands and feet. He says they feel tight, burning and like they’re going to burst. He told me that laying down is the only thing that makes it hurt less. He’s a press operator so his hands are something he uses every day and he stands on his feet, all day. 
My mom is currently trying to find a job, but in this economy in Alberta, she’s having a hard time.
I am a full time tattoo artist, but I only make 40% of every sale I make, since I’m still paying off what’s left of my apprenticeship. I’m also in the middle of a divorce and dealing with all of that... 
I bought a week and a bit worth of groceries for the house today and my mom started crying, saying she’s scared and stressed. It breaks my heart that I can’t do more for her, that everyone in this situation (except my dad) seems to be at wits end, worrying about money. I saw what my dads pills are worth in the cupboard and it’s insane. 
How do I help out more financially without feeling like I’m begging for money from strangers or working myself to the point of sickness and exhaustion? I don’t know what to do and I’m so lost. I don’t want my parents to lose their house they’ve been in for the last ten years. My parents gas bill is over 600$ because if it’s too cold in the house, my dads hands and feet hurt more. He can’t hold onto cold things... and I just don’t know what to do... 
Can anyone help? What do I do? I’m at my wits end...</t>
        </is>
      </c>
      <c r="D8057" t="n">
        <v>1</v>
      </c>
      <c r="E8057" t="n">
        <v>13</v>
      </c>
      <c r="F8057">
        <f>HYPERLINK("https://www.reddit.com/r/cancer/comments/fch8x7/my_dad_has_colorectal_cancer_that_has_spread_to/")</f>
        <v/>
      </c>
      <c r="G8057" t="inlineStr">
        <is>
          <t>2020-03-02 11:16:27</t>
        </is>
      </c>
      <c r="H8057" t="inlineStr"/>
    </row>
    <row r="8058">
      <c r="A8058" t="inlineStr">
        <is>
          <t>fchem5</t>
        </is>
      </c>
      <c r="B8058" t="inlineStr">
        <is>
          <t>Pancreatic cancer complications</t>
        </is>
      </c>
      <c r="C8058" t="inlineStr">
        <is>
          <t>So my dad got diagnosed with PC and two months later he was dead. He went through the first IV drip chemotherapy. At least I think it was chemo. After being IVd for 24h he returned home and was told to return to the ER if there were symptoms (sudden high fever etc). 
So he got a bladder infection and went to the hospital where he died.
Idk if this is normal but he went from a bladder infection to losing his sight and coordination real fast. In a few days he was almost paralyzed and died. The doctor guessed the chemo shook loose some cancer stuff and it got lodged in a brain blood vessel or something. It was a shockingly rapid decline. Im just paraphrasing what happened but Im wondering if this sometimes happens?
Basically you go for a round of chemo and in a few days you have a rapid decline leading to death. Can someone explain this to me?</t>
        </is>
      </c>
      <c r="D8058" t="n">
        <v>1</v>
      </c>
      <c r="E8058" t="n">
        <v>7</v>
      </c>
      <c r="F8058">
        <f>HYPERLINK("https://www.reddit.com/r/cancer/comments/fchem5/pancreatic_cancer_complications/")</f>
        <v/>
      </c>
      <c r="G8058" t="inlineStr">
        <is>
          <t>2020-03-02 11:26:40</t>
        </is>
      </c>
      <c r="H8058" t="inlineStr"/>
    </row>
    <row r="8059">
      <c r="A8059" t="inlineStr">
        <is>
          <t>fci4nh</t>
        </is>
      </c>
      <c r="B8059" t="inlineStr">
        <is>
          <t>My friend in Germany has cancer and cannot afford treatment (Advice)</t>
        </is>
      </c>
      <c r="C8059" t="inlineStr">
        <is>
          <t>She's 26 and doesn't have any sort of insurance. I live in the UK. I wish there was something I could do to help her. Is there any charity that could help fund her treatment? Should we start a fundraiser? What could be done in terms of finding some way to get her medical care?</t>
        </is>
      </c>
      <c r="D8059" t="n">
        <v>1</v>
      </c>
      <c r="E8059" t="n">
        <v>18</v>
      </c>
      <c r="F8059">
        <f>HYPERLINK("https://www.reddit.com/r/cancer/comments/fci4nh/my_friend_in_germany_has_cancer_and_cannot_afford/")</f>
        <v/>
      </c>
      <c r="G8059" t="inlineStr">
        <is>
          <t>2020-03-02 12:12:11</t>
        </is>
      </c>
      <c r="H8059" t="inlineStr"/>
    </row>
    <row r="8060">
      <c r="A8060" t="inlineStr">
        <is>
          <t>fcjtyk</t>
        </is>
      </c>
      <c r="B8060" t="inlineStr">
        <is>
          <t>Still wrecked even though he's "cancer free"</t>
        </is>
      </c>
      <c r="C8060" t="inlineStr">
        <is>
          <t>4 months ago my 32yo husband was diagnosed with stage 2 renal cell carcinoma and was pronounced cancer free after a surgery to remove his kidney and the mass. The days leading up to the diagnosis and surgery were the worst of our lives. We've only been married for one year, I'm not yet 30, we have growing careers but after paying for a house and a wedding in the same year we were just not financially (or emotionally) ready for this. Who is? 
The renal mass was found accidentally during an ultrasound for an unrelated issue. We were totally blindsided. And also very lucky. Once they found the mass it was a whirlwind of scans, specialists, surgeons. After the surgery he was in so much pain that all we could focus on was healing. 
The surgeon is confident he was able to get all of the cancer and because it had not grown into any of the structures of the kidney, he believes it was not able to metastasize. This is the best possible outcome we could have hoped for. For a few days after hearing this news I was so thankful. My husband is cancer-free. I thought we would just be able to put it all behind us. Sure, he needs MRIs and CT scans every few months, but that's a small price to pay for being cancer free. 
4 months later, why am I still so exhausted and scared? Every time he goes in for bloodwork, my heart stops. One day he said his toe was numb and I made him go to Urgent Care. Last week one of his testicles (TMI sorry) swelled up and we immediately went to his urologist who says there's extra fluid and it's not dangerous and unrelated to the cancer. But somehow I don't believe him? How could it be unrelated. Just going and getting the ultrasound brought up so many memories, my husband cried on the way out. He's so scared. Our oncologist (who apparently is "the best" but who has no bedside manner and is kind of an ass) has said multiple times, "No one can tell you the cancer isn't coming back". 
The bills. The bills just pile up. Every time I think we have a handle on it, we get slammed again. The rest of my friends are planning parties, having babies, leading normal 30yo lives and I feel like we're just trying to keep our heads above water. Our oncologist wants Tim to have 2 MRIs (w/ &amp;amp; w/out contrast) every 3 months for the first 3 years, every 6 months for years 4 and 5, and every year after that for the rest of his life. How are we going to afford that? 
Being so drained is making us both irritable. When he had the cancer we banded together and got through it as a team. Now that the direct threat is over we're bickering. Sometimes I'm emotional and I want comfort from him. Oftentimes he's emotional and I feel so exhausted having to comfort him all the time - which makes me feel guilty and like a terrible wife. He's dealt with depression and anxiety all his life, so this on top of it makes it even worse. I try to be there for him but sometimes I just feel numb to it all. 
He's cancer free. Why do I still feel like crying.</t>
        </is>
      </c>
      <c r="D8060" t="n">
        <v>1</v>
      </c>
      <c r="E8060" t="n">
        <v>15</v>
      </c>
      <c r="F8060">
        <f>HYPERLINK("https://www.reddit.com/r/cancer/comments/fcjtyk/still_wrecked_even_though_hes_cancer_free/")</f>
        <v/>
      </c>
      <c r="G8060" t="inlineStr">
        <is>
          <t>2020-03-02 13:59:30</t>
        </is>
      </c>
      <c r="H8060" t="inlineStr"/>
    </row>
    <row r="8061">
      <c r="A8061" t="inlineStr">
        <is>
          <t>fckxti</t>
        </is>
      </c>
      <c r="B8061" t="inlineStr">
        <is>
          <t>Dad has cancer. Would you move back home (US to Canada) to support mom?</t>
        </is>
      </c>
      <c r="C8061" t="inlineStr">
        <is>
          <t>Dad's just been diagnosed with cancer; we're waiting on biopsy results to determine which type but the CT scan was pretty indicative. I'm currently back in Toronto supporting my dad through hospital visits. Things don't look good in terms of the suspected types of cancer, survival rates, and treatment (tumor is inoperable).
I moved to New York last summer for work, and truthfully, I don't want to move back to Canada. I'll obviously be flying back and forth often during his treatment - I'm thinking once a month is what I can handle - but I'm an only child, Asian, and feeling a ton of guilt with a sense of duty to my mom. Trying to mentally reconcile sense of duty &amp;amp; appreciation for what they've done vs how I really cannot stand my parents' personalities. 
May be or may not be the best place re: an internet sounding board, but wanted to get your thoughts on whether you'd drop things, try and find a new job, and move home if you were me? Or if you'd be more ok with being selfish (i.e., continue to live abroad).
For context, my mom's strong but prone to random bouts of crying. Both parents tend to be pessimistic and are already talking about cemetery plots, wills, etc.
TL;DR: Dad has cancer, I live in the US. Am an only child. Would you drop things to move back home?</t>
        </is>
      </c>
      <c r="D8061" t="n">
        <v>1</v>
      </c>
      <c r="E8061" t="n">
        <v>19</v>
      </c>
      <c r="F8061">
        <f>HYPERLINK("https://www.reddit.com/r/cancer/comments/fckxti/dad_has_cancer_would_you_move_back_home_us_to/")</f>
        <v/>
      </c>
      <c r="G8061" t="inlineStr">
        <is>
          <t>2020-03-02 15:11:39</t>
        </is>
      </c>
      <c r="H8061" t="inlineStr"/>
    </row>
    <row r="8062">
      <c r="A8062" t="inlineStr">
        <is>
          <t>fcln30</t>
        </is>
      </c>
      <c r="B8062" t="inlineStr">
        <is>
          <t>Heaven gained another angel today</t>
        </is>
      </c>
      <c r="C8062" t="inlineStr">
        <is>
          <t>I lost my mom this morning after a year of battling cancer. She passed away early this morning and I didnt wake up to the call. I got there and she was still in her bed in the hospice. She was so cold to the touch. My heart is so broken.
I've been spending every moment I could with her. She couldnt talk and wasnt really coherent for the last month or so. I spent all day with her yesterday with my chair pushed up to her bed. I had a nap with her, held her hand, kissed her, played some of her favorite songs and read her a book from my childhood. I told her she needed to go be with her father and that she didnt need to suffer any more. When I left I knew she was going to let go. I told her I love you over and over. Even though she couldn't talk she would make a noise every time I said it.
The world lost the most amazing, inspirational person I have ever known. She held my hand through so many things and I am so grateful I could hold her hand one last time. I'll miss you mom. Until we meet again</t>
        </is>
      </c>
      <c r="D8062" t="n">
        <v>1</v>
      </c>
      <c r="E8062" t="n">
        <v>14</v>
      </c>
      <c r="F8062">
        <f>HYPERLINK("https://www.reddit.com/r/cancer/comments/fcln30/heaven_gained_another_angel_today/")</f>
        <v/>
      </c>
      <c r="G8062" t="inlineStr">
        <is>
          <t>2020-03-02 15:58:49</t>
        </is>
      </c>
      <c r="H8062" t="inlineStr"/>
    </row>
    <row r="8063">
      <c r="A8063" t="inlineStr">
        <is>
          <t>fcneys</t>
        </is>
      </c>
      <c r="B8063" t="inlineStr">
        <is>
          <t>Question about hair regrowth</t>
        </is>
      </c>
      <c r="C8063" t="inlineStr">
        <is>
          <t>I’ve finished chemo 5 months ago and my hair is coming back. I’m wondering if it will ever come back how it used to be. Right now the texture is very strange and it’s not just different from what I’ve had, It’s just not normal for anyone and honestly I hate how it looks. It’s very soft and it’s grown a lot length wise. It’s hard to explain, but I just want to know if this is my new hair forever now. I’ve seen pictures of others around this time after chemo and their hair looks normal. How I looked was the least of my worries, but now almost half a year after treatment I’m starting to care and want some confidence back.</t>
        </is>
      </c>
      <c r="D8063" t="n">
        <v>1</v>
      </c>
      <c r="E8063" t="n">
        <v>14</v>
      </c>
      <c r="F8063">
        <f>HYPERLINK("https://www.reddit.com/r/cancer/comments/fcneys/question_about_hair_regrowth/")</f>
        <v/>
      </c>
      <c r="G8063" t="inlineStr">
        <is>
          <t>2020-03-02 18:10:01</t>
        </is>
      </c>
      <c r="H8063" t="inlineStr"/>
    </row>
    <row r="8064">
      <c r="A8064" t="inlineStr">
        <is>
          <t>fcnk5g</t>
        </is>
      </c>
      <c r="B8064" t="inlineStr">
        <is>
          <t>Sick/tired of being sick/tired</t>
        </is>
      </c>
      <c r="C8064" t="inlineStr">
        <is>
          <t>Latest treatment was last week. I am now in bed near tears because literally everything hurts. I am 29 years old with 2 children. I can't just stop &amp;amp; rest when needed. So this is the result. I don't have help &amp;amp; I am so damn tired.</t>
        </is>
      </c>
      <c r="D8064" t="n">
        <v>1</v>
      </c>
      <c r="E8064" t="n">
        <v>15</v>
      </c>
      <c r="F8064">
        <f>HYPERLINK("https://www.reddit.com/r/cancer/comments/fcnk5g/sicktired_of_being_sicktired/")</f>
        <v/>
      </c>
      <c r="G8064" t="inlineStr">
        <is>
          <t>2020-03-02 18:21:18</t>
        </is>
      </c>
      <c r="H8064" t="inlineStr"/>
    </row>
    <row r="8065">
      <c r="A8065" t="inlineStr">
        <is>
          <t>fco4rg</t>
        </is>
      </c>
      <c r="B8065" t="inlineStr">
        <is>
          <t>Help!! Insurance denied a pet scan, SCLC cancer has spread, could it have been prevented?!</t>
        </is>
      </c>
      <c r="C8065" t="inlineStr">
        <is>
          <t>Long story short, My mom was diagnosed with SCLC in **Dec 2018**. Went through chemo and radiation. No signs of cancer left, at least on her lung. Great right?!   
**DECEMBER 2018**  
She did chemo and radiation etc. Then went back to work FT.  No signs of cancer until Oct 2019.   
**OCTOBER 2019**   
Aetna denied a PET scan that was ordered for her routine checks, there was a peer to peer discussion but it was denied. The insurance didn't feel it was necessary.    
**DECEMBER 2019**    
She was admitted to the ER due to a collapse. This hospital tells her it was her vagus nerve and sends her home. She is allergic to contrast for CT scans. So the CT scan didn't show anything. They didn't even do order a PET scan or anything, even knowing her immune system is compromised and prone to spreading.   
**FEBRUARY 2020**  
She now finds out she has a mass on her intestine the size of an orange. They do surgery on 2/24/20, only to find out that it has spread, they removed part of her colon/bowel but apparently there's traces of it on her intestines, colon and bowel.  Her insurance has changed from Aetna to UHC, but there HAS to be something we can do right? An appeal, something. Am i just giving myself false hope? This all may have been been somewhat prevented if the insurance had approved the pet scan back in October 19, it may not have spread, no mass, no surgery, no round 2 of chemo/radiation. I am not well read on insurance so I'm hoping some others are able to point me in the right direction.</t>
        </is>
      </c>
      <c r="D8065" t="n">
        <v>1</v>
      </c>
      <c r="E8065" t="n">
        <v>5</v>
      </c>
      <c r="F8065">
        <f>HYPERLINK("https://www.reddit.com/r/cancer/comments/fco4rg/help_insurance_denied_a_pet_scan_sclc_cancer_has/")</f>
        <v/>
      </c>
      <c r="G8065" t="inlineStr">
        <is>
          <t>2020-03-02 19:03:47</t>
        </is>
      </c>
      <c r="H8065" t="inlineStr"/>
    </row>
    <row r="8066">
      <c r="A8066" t="inlineStr">
        <is>
          <t>fcpgf3</t>
        </is>
      </c>
      <c r="B8066" t="inlineStr">
        <is>
          <t>My dad is really stubborn and not open about things. He just sent me this text and I'm not sure how serious it is.</t>
        </is>
      </c>
      <c r="C8066" t="inlineStr">
        <is>
          <t>The text reads: "Went to doctor today for a growth removed from my leg shin a few weeks ago. It turned out to be malignant cancer. I have to go back in for surgery to remove the deeper embedded cancer parts. Hopefully it won't be much."
Now I know the doctor probably explained a lot more to him but my dad is so closed about all of his problems I'm not sure if I should be worrying. Apparently it was just a scab like appearance on his shin (so my guess is melanoma). My dad said "i dunno i didnt ask what it was" (very typical of him to do).
The doc scheduled his surgery for March 28th. Am I right in assuming that if the doc thought it was really serious they would move to do surgery right away on it?
Just seeing if I should be worried or not. Thanks</t>
        </is>
      </c>
      <c r="D8066" t="n">
        <v>1</v>
      </c>
      <c r="E8066" t="n">
        <v>5</v>
      </c>
      <c r="F8066">
        <f>HYPERLINK("https://www.reddit.com/r/cancer/comments/fcpgf3/my_dad_is_really_stubborn_and_not_open_about/")</f>
        <v/>
      </c>
      <c r="G8066" t="inlineStr">
        <is>
          <t>2020-03-02 20:50:43</t>
        </is>
      </c>
      <c r="H8066" t="inlineStr"/>
    </row>
    <row r="8067">
      <c r="A8067" t="inlineStr">
        <is>
          <t>fcpvvw</t>
        </is>
      </c>
      <c r="B8067" t="inlineStr">
        <is>
          <t>Questions and concerns about thyroid cancer.</t>
        </is>
      </c>
      <c r="C8067" t="inlineStr">
        <is>
          <t>So my mom has been struggling with a very consistent and sharp throat pain. She went to the doctor, did an MRI scan, and they found a tumor in her thyroid. We're gonna go to the doctor's this week for them to take a sample of it and check if it's a harmful tumor or not. The doctor says that the edges of the tumor are rough like a "zigzagy" or "spiky" shape, and it's really big. I'm hoping for the best but based on what I'm hearing, it seems like we have to prepare for the worst.
Anyone here went or know someone who went through this experience of being diagnosed with thyroid cancer? If so, what was the process, and how did you get through it?</t>
        </is>
      </c>
      <c r="D8067" t="n">
        <v>1</v>
      </c>
      <c r="E8067" t="n">
        <v>2</v>
      </c>
      <c r="F8067">
        <f>HYPERLINK("https://www.reddit.com/r/cancer/comments/fcpvvw/questions_and_concerns_about_thyroid_cancer/")</f>
        <v/>
      </c>
      <c r="G8067" t="inlineStr">
        <is>
          <t>2020-03-02 21:28:16</t>
        </is>
      </c>
      <c r="H8067" t="inlineStr"/>
    </row>
    <row r="8068">
      <c r="A8068" t="inlineStr">
        <is>
          <t>fcqtuv</t>
        </is>
      </c>
      <c r="B8068" t="inlineStr">
        <is>
          <t>Subfungal Melanoma lines</t>
        </is>
      </c>
      <c r="C8068" t="inlineStr">
        <is>
          <t>Has anyone used antifungal on their nail only to find out it was melanoma when the lines did not go away?
Or did the lines go away making the diagnosis harder?
Or jus the lines but any other discoloration on the nail or toenail.
Do Lines on the nail caused by Toe Fungus spread or get longer days later or do they instantly pop up.
What about anything else that causes this?
Anyone w/ toe fungus(or fungal infection) ever had long black line(s) on nails or toenails? Were they consistent or random? Were the lines themselves consistent all the way through or weird? 
Anyone w/ Subfungal Melanoma or Toe Fungus(Or infection) had a line on toe shaped like hourglass?
Anyone w/ above conditions had lines that were far apart and are long while others are not as long or short and only one line is close or is touching cuticle?</t>
        </is>
      </c>
      <c r="D8068" t="n">
        <v>1</v>
      </c>
      <c r="E8068" t="n">
        <v>5</v>
      </c>
      <c r="F8068">
        <f>HYPERLINK("https://www.reddit.com/r/cancer/comments/fcqtuv/subfungal_melanoma_lines/")</f>
        <v/>
      </c>
      <c r="G8068" t="inlineStr">
        <is>
          <t>2020-03-02 22:56:45</t>
        </is>
      </c>
      <c r="H8068" t="inlineStr"/>
    </row>
    <row r="8069">
      <c r="A8069" t="inlineStr">
        <is>
          <t>fcrbhy</t>
        </is>
      </c>
      <c r="B8069" t="inlineStr">
        <is>
          <t>Stage 4 Hodgkin's Lymhpoma Feels</t>
        </is>
      </c>
      <c r="C8069" t="inlineStr">
        <is>
          <t>Hello Reddit! This is my first ever post, I was recently diagnosed with Stage 4 Hodgkin's Lymphoma earlier this month, and I just had my first Chemo last week, it was hell, I got no taste, and an upset stomach, luckily I feel a bit better now, I've been reading a lot of inspiring remission stories here, and hope I'll be in remission soon, This disease gave me a magnifying glass in life, (metaphor), Life seems more precious at this point, it's like having a second chance in life. Can you guys give me tips on how to deal with chemo? and can you please share some stories of yours in order for me to have more light in this problem. Thank you! Godbless us all!</t>
        </is>
      </c>
      <c r="D8069" t="n">
        <v>1</v>
      </c>
      <c r="E8069" t="n">
        <v>27</v>
      </c>
      <c r="F8069">
        <f>HYPERLINK("https://www.reddit.com/r/cancer/comments/fcrbhy/stage_4_hodgkins_lymhpoma_feels/")</f>
        <v/>
      </c>
      <c r="G8069" t="inlineStr">
        <is>
          <t>2020-03-02 23:49:43</t>
        </is>
      </c>
      <c r="H8069" t="inlineStr"/>
    </row>
    <row r="8070">
      <c r="A8070" t="inlineStr">
        <is>
          <t>fcticj</t>
        </is>
      </c>
      <c r="B8070" t="inlineStr">
        <is>
          <t>Tongue cancer in young : Genetic predisposition ?</t>
        </is>
      </c>
      <c r="C8070" t="inlineStr">
        <is>
          <t>Hello, I  already talked about this some days ago but i'm really really concerned now 
I got diagnosed with tongue cancer at  just 31 years old,  i'm disease free for 4 month now 
at my last follow up I got refered to a  genetic  counselor because my oncologist want to rule out some genetic disease ,  all of these disease  ( fanconi anemia,dyskeratosis ...)are lethal and make you suffer before ultimately killing you 
I thought i was finally  done with this nightmare but it seem it only begin ...
My genetic counselor refered me to a laboratory specialised in these disease, they will take my lymphocyte from my blood and test them with cancer causing agent, to see if my dna can repair itself 
if these test show anything, then me and potentially my sibling ( and their children ?)  will suffer from it, yes if i have it, my sibling can have it too 
sorry for this thread, i just wanted to express my anger and my sadness</t>
        </is>
      </c>
      <c r="D8070" t="n">
        <v>1</v>
      </c>
      <c r="E8070" t="n">
        <v>4</v>
      </c>
      <c r="F8070">
        <f>HYPERLINK("https://www.reddit.com/r/cancer/comments/fcticj/tongue_cancer_in_young_genetic_predisposition/")</f>
        <v/>
      </c>
      <c r="G8070" t="inlineStr">
        <is>
          <t>2020-03-03 03:56:15</t>
        </is>
      </c>
      <c r="H8070" t="inlineStr"/>
    </row>
    <row r="8071">
      <c r="A8071" t="inlineStr">
        <is>
          <t>fcutbg</t>
        </is>
      </c>
      <c r="B8071" t="inlineStr">
        <is>
          <t>Avastin Side Effects</t>
        </is>
      </c>
      <c r="C8071" t="inlineStr">
        <is>
          <t>Hey guys. So my boyfriend has a brain tumor and underwent chemo for six rounds. Unfortunately, it didn’t work so the doctors are putting him on Avastin. Right now, the doctors are pretty tight lipped about the side effects. I searched about it, but would love to have opinions that come from actual people who’ve used it instead of a medical website. Thank you all so much!</t>
        </is>
      </c>
      <c r="D8071" t="n">
        <v>1</v>
      </c>
      <c r="E8071" t="n">
        <v>5</v>
      </c>
      <c r="F8071">
        <f>HYPERLINK("https://www.reddit.com/r/cancer/comments/fcutbg/avastin_side_effects/")</f>
        <v/>
      </c>
      <c r="G8071" t="inlineStr">
        <is>
          <t>2020-03-03 05:49:06</t>
        </is>
      </c>
      <c r="H8071" t="inlineStr"/>
    </row>
    <row r="8072">
      <c r="A8072" t="inlineStr">
        <is>
          <t>fcvex4</t>
        </is>
      </c>
      <c r="B8072" t="inlineStr">
        <is>
          <t>Question on Chemotherapy</t>
        </is>
      </c>
      <c r="C8072" t="inlineStr">
        <is>
          <t>My niece is recently diagnosed with leukemia and has to undergo chemo soon, i heard that she’s not to have visitors after the chemo has started but is it allowed to visit her before she undergoes the chemotherapy?</t>
        </is>
      </c>
      <c r="D8072" t="n">
        <v>1</v>
      </c>
      <c r="E8072" t="n">
        <v>12</v>
      </c>
      <c r="F8072">
        <f>HYPERLINK("https://www.reddit.com/r/cancer/comments/fcvex4/question_on_chemotherapy/")</f>
        <v/>
      </c>
      <c r="G8072" t="inlineStr">
        <is>
          <t>2020-03-03 06:34:45</t>
        </is>
      </c>
      <c r="H8072" t="inlineStr"/>
    </row>
    <row r="8073">
      <c r="A8073" t="inlineStr">
        <is>
          <t>fcvheu</t>
        </is>
      </c>
      <c r="B8073" t="inlineStr">
        <is>
          <t>What is something nice I can do for my mother who is starting chemotherapy?</t>
        </is>
      </c>
      <c r="C8073" t="inlineStr">
        <is>
          <t>I already sent flowers but I want to be able to help/support/love her in any way I can throughout the process. I work full time and live in another state so I wont be there to physically help her as much as I'd like. Are there any must haves for during the chemo process to help make it more tolerable? Thanks for your help!</t>
        </is>
      </c>
      <c r="D8073" t="n">
        <v>1</v>
      </c>
      <c r="E8073" t="n">
        <v>30</v>
      </c>
      <c r="F8073">
        <f>HYPERLINK("https://www.reddit.com/r/cancer/comments/fcvheu/what_is_something_nice_i_can_do_for_my_mother_who/")</f>
        <v/>
      </c>
      <c r="G8073" t="inlineStr">
        <is>
          <t>2020-03-03 06:39:47</t>
        </is>
      </c>
      <c r="H8073" t="inlineStr"/>
    </row>
    <row r="8074">
      <c r="A8074" t="inlineStr">
        <is>
          <t>fcwuc5</t>
        </is>
      </c>
      <c r="B8074" t="inlineStr">
        <is>
          <t>Need advice please</t>
        </is>
      </c>
      <c r="C8074" t="inlineStr">
        <is>
          <t>My mom is 56 I just found out she has lung cancer.she hates the smallest amount of pain her health isn't affected yet but she is schizophrenic and takes alot of meds for that is chemotherapy worth it for her she gets terrified very easily</t>
        </is>
      </c>
      <c r="D8074" t="n">
        <v>1</v>
      </c>
      <c r="E8074" t="n">
        <v>2</v>
      </c>
      <c r="F8074">
        <f>HYPERLINK("https://www.reddit.com/r/cancer/comments/fcwuc5/need_advice_please/")</f>
        <v/>
      </c>
      <c r="G8074" t="inlineStr">
        <is>
          <t>2020-03-03 08:12:38</t>
        </is>
      </c>
      <c r="H8074" t="inlineStr"/>
    </row>
    <row r="8075">
      <c r="A8075" t="inlineStr">
        <is>
          <t>fcx4e8</t>
        </is>
      </c>
      <c r="B8075" t="inlineStr">
        <is>
          <t>Support groups - topics, agenda..</t>
        </is>
      </c>
      <c r="C8075" t="inlineStr">
        <is>
          <t>I ended up in the leadership position of a cancer support group in my city. It’s been difficult for me to figure how to propose and run the sessions as we are often very small (2-3 people) and when we are a little larger, it’s usually new people so we spend some time on intros , etc.. I’d like to find way to manage the meetings that is interesting to both new attendees as well as the regulars.  If you go to a support group , please share what you like and don’t like, what topics do you have and how do you run the meetings.. I would appreciate any advice..</t>
        </is>
      </c>
      <c r="D8075" t="n">
        <v>1</v>
      </c>
      <c r="E8075" t="n">
        <v>1</v>
      </c>
      <c r="F8075">
        <f>HYPERLINK("https://www.reddit.com/r/cancer/comments/fcx4e8/support_groups_topics_agenda/")</f>
        <v/>
      </c>
      <c r="G8075" t="inlineStr">
        <is>
          <t>2020-03-03 08:30:42</t>
        </is>
      </c>
      <c r="H8075" t="inlineStr"/>
    </row>
    <row r="8076">
      <c r="A8076" t="inlineStr">
        <is>
          <t>fcxjcq</t>
        </is>
      </c>
      <c r="B8076" t="inlineStr">
        <is>
          <t>Query liver cancer</t>
        </is>
      </c>
      <c r="C8076" t="inlineStr">
        <is>
          <t>Hi guys,
My uncle has been told he has cirrhosis - due to non alcoholic fatty liver disease. A CT showed up “a lesion of unknown significance” or as the liver specialist put it a focal abnormality. He had lung cancer in 2015 for which he underwent a successful left lobectomy.
Does scar tissue from cirrhosis show as an abnormality or is there a particular difference when they would show on CT? Like, is there a difference on looking at the scan of what is scar tissue and an abnormality?</t>
        </is>
      </c>
      <c r="D8076" t="n">
        <v>1</v>
      </c>
      <c r="E8076" t="n">
        <v>3</v>
      </c>
      <c r="F8076">
        <f>HYPERLINK("https://www.reddit.com/r/cancer/comments/fcxjcq/query_liver_cancer/")</f>
        <v/>
      </c>
      <c r="G8076" t="inlineStr">
        <is>
          <t>2020-03-03 08:56:52</t>
        </is>
      </c>
      <c r="H8076" t="inlineStr"/>
    </row>
    <row r="8077">
      <c r="A8077" t="inlineStr">
        <is>
          <t>fcxprj</t>
        </is>
      </c>
      <c r="B8077" t="inlineStr">
        <is>
          <t>Should I be concerned? (Gallbladder)</t>
        </is>
      </c>
      <c r="C8077" t="inlineStr">
        <is>
          <t>I went to the doctor back in October because I injured my back and wanted to make sure it was nothing serious. During the testing I got all kind of scans and an ultrasound. When the results came back they said I had no serious injuries but that they found a growth in my Gallbladder. The doctor didn't want to alarm me and mentioned that it could be benign but that I should go to my primary care physician and have it monitored. They said I should get it checked every 6 months. I am a 30 year old male who is overweight and have drank and smoked for about 14 years of my life. From what I have read gallbladder cancer is mostly symptomless until it is late stage. Is getting it checked every 6 months really the way to go about it? Should I be actively doing anything on my own? What are the chances I do have cancer? I am starting to worry because if I do have cancer I don't want to be wasting the rest of my life slaving away at my current job.</t>
        </is>
      </c>
      <c r="D8077" t="n">
        <v>1</v>
      </c>
      <c r="E8077" t="n">
        <v>8</v>
      </c>
      <c r="F8077">
        <f>HYPERLINK("https://www.reddit.com/r/cancer/comments/fcxprj/should_i_be_concerned_gallbladder/")</f>
        <v/>
      </c>
      <c r="G8077" t="inlineStr">
        <is>
          <t>2020-03-03 09:08:25</t>
        </is>
      </c>
      <c r="H8077" t="inlineStr"/>
    </row>
    <row r="8078">
      <c r="A8078" t="inlineStr">
        <is>
          <t>fd0a70</t>
        </is>
      </c>
      <c r="B8078" t="inlineStr">
        <is>
          <t>does anyone know how much chemo a body can take?</t>
        </is>
      </c>
      <c r="C8078" t="inlineStr">
        <is>
          <t>5 hrs a day 5 days a week then two weeks off then repeat. cisplatin and etopicide.
ive done 6 cycles then had major surgery to remove tumor, kidney, 28cm of lower intestine and 14 lymph nodes. and now i have a iliostomy. 
cancer still present.
how much more chemo can i survive???
please only answer if u have some knowledge about this. i am not seeking sympathy.</t>
        </is>
      </c>
      <c r="D8078" t="n">
        <v>1</v>
      </c>
      <c r="E8078" t="n">
        <v>31</v>
      </c>
      <c r="F8078">
        <f>HYPERLINK("https://www.reddit.com/r/cancer/comments/fd0a70/does_anyone_know_how_much_chemo_a_body_can_take/")</f>
        <v/>
      </c>
      <c r="G8078" t="inlineStr">
        <is>
          <t>2020-03-03 11:49:34</t>
        </is>
      </c>
      <c r="H8078" t="inlineStr"/>
    </row>
    <row r="8079">
      <c r="A8079" t="inlineStr">
        <is>
          <t>fd28v5</t>
        </is>
      </c>
      <c r="B8079" t="inlineStr">
        <is>
          <t>DCIS diagnosis</t>
        </is>
      </c>
      <c r="C8079" t="inlineStr">
        <is>
          <t>I was diagnosed with high-grade estrogen receptor positive DCIS this morning.  My gynecologist referred me to a breast surgeon.  Is this the appropriate next step?  Or is there something that should happen before that?  It feels kind of extreme to go from a DCIS diagnosis to a breast surgeon.  My gynecologist said that she would likely have me do a breast MRI so that does make sense.  All this is overwhelming to me.</t>
        </is>
      </c>
      <c r="D8079" t="n">
        <v>1</v>
      </c>
      <c r="E8079" t="n">
        <v>17</v>
      </c>
      <c r="F8079">
        <f>HYPERLINK("https://www.reddit.com/r/cancer/comments/fd28v5/dcis_diagnosis/")</f>
        <v/>
      </c>
      <c r="G8079" t="inlineStr">
        <is>
          <t>2020-03-03 13:54:13</t>
        </is>
      </c>
      <c r="H8079" t="inlineStr"/>
    </row>
    <row r="8080">
      <c r="A8080" t="inlineStr">
        <is>
          <t>fd2dy9</t>
        </is>
      </c>
      <c r="B8080" t="inlineStr">
        <is>
          <t>Anyone with a parent who decided not to undergo treatment?</t>
        </is>
      </c>
      <c r="C8080" t="inlineStr">
        <is>
          <t>My mom (62 yrs old) was diagnosed with Stage IV colorectal cancer 12 days ago. Her liver metastasis is currently inoperable, but if she responds well to chemo, there’s a possibility, though very slim, of resection. She already spent a week in hospital to get tests, biopsy, and a colostomy, but is now back home. However, she’s considering whether to forego treatment altogether and maximize her quality of life for however long she can instead of beginning chemo in the next week or two.
Does anyone have experience with a parent or family member who struggled w this decision, and eventually chose one or the other, and how retrospectively they and their loved one felt about it?
Thank you all.</t>
        </is>
      </c>
      <c r="D8080" t="n">
        <v>1</v>
      </c>
      <c r="E8080" t="n">
        <v>6</v>
      </c>
      <c r="F8080">
        <f>HYPERLINK("https://www.reddit.com/r/cancer/comments/fd2dy9/anyone_with_a_parent_who_decided_not_to_undergo/")</f>
        <v/>
      </c>
      <c r="G8080" t="inlineStr">
        <is>
          <t>2020-03-03 14:03:11</t>
        </is>
      </c>
      <c r="H8080" t="inlineStr"/>
    </row>
    <row r="8081">
      <c r="A8081" t="inlineStr">
        <is>
          <t>fd2vv9</t>
        </is>
      </c>
      <c r="B8081" t="inlineStr">
        <is>
          <t>How long did it take for your taste to come back after chemo?</t>
        </is>
      </c>
      <c r="C8081" t="inlineStr">
        <is>
          <t>So unfortunately I’ve relapsed for the millionth time and I got pretty strong chemo recently in late January. My taste buds have just been off this entire time and nothing tastes right - sugar doesn’t taste right, I can’t really taste salty or sweet... lemonade tastes the same ish but it’s been over a month! I’m getting even more depressed on top of my leukemia crap that even food doesn’t taste the same to me :( 
How long did it take for y’all to have regular taste again after chemo??</t>
        </is>
      </c>
      <c r="D8081" t="n">
        <v>1</v>
      </c>
      <c r="E8081" t="n">
        <v>21</v>
      </c>
      <c r="F8081">
        <f>HYPERLINK("https://www.reddit.com/r/cancer/comments/fd2vv9/how_long_did_it_take_for_your_taste_to_come_back/")</f>
        <v/>
      </c>
      <c r="G8081" t="inlineStr">
        <is>
          <t>2020-03-03 14:35:36</t>
        </is>
      </c>
      <c r="H8081" t="inlineStr"/>
    </row>
    <row r="8082">
      <c r="A8082" t="inlineStr">
        <is>
          <t>fd52kf</t>
        </is>
      </c>
      <c r="B8082" t="inlineStr">
        <is>
          <t>A lot of bad experiences with doctors, how to trust and feel comfortable with my providers?</t>
        </is>
      </c>
      <c r="C8082" t="inlineStr">
        <is>
          <t>I have been sexually assaulted twice and gaslighted by many providers. It is difficult to trust medical professionals and i have a lot of anxiety about going to appointments, etc.
Has anyone experienced this before? How did you handle it?</t>
        </is>
      </c>
      <c r="D8082" t="n">
        <v>1</v>
      </c>
      <c r="E8082" t="n">
        <v>7</v>
      </c>
      <c r="F8082">
        <f>HYPERLINK("https://www.reddit.com/r/cancer/comments/fd52kf/a_lot_of_bad_experiences_with_doctors_how_to/")</f>
        <v/>
      </c>
      <c r="G8082" t="inlineStr">
        <is>
          <t>2020-03-03 17:12:08</t>
        </is>
      </c>
      <c r="H8082" t="inlineStr"/>
    </row>
    <row r="8083">
      <c r="A8083" t="inlineStr">
        <is>
          <t>fd5ami</t>
        </is>
      </c>
      <c r="B8083" t="inlineStr">
        <is>
          <t>Lung surgery</t>
        </is>
      </c>
      <c r="C8083" t="inlineStr">
        <is>
          <t>I am currently diagnosed with Ewing sarcoma and the little bastard is aggressive and resilient. 
I’ve already had one surgery to have three ribs removed and that really sucked. 
Next month I’ll be having surgery (pluerectomy) to remove my left pleura and part of my left lung removed. 
To get to this section they are basically cutting down from my trap muscle to about midway of my back and to the left of my side. 
I was told this one will hurt like hell. 
Has anyone gotten this procedure?
Has anyone gotten a part or full lung removed?
How was the recovery?
And how did you manage the pain?
Any info will be greatly appreciated.</t>
        </is>
      </c>
      <c r="D8083" t="n">
        <v>1</v>
      </c>
      <c r="E8083" t="n">
        <v>0</v>
      </c>
      <c r="F8083">
        <f>HYPERLINK("https://www.reddit.com/r/cancer/comments/fd5ami/lung_surgery/")</f>
        <v/>
      </c>
      <c r="G8083" t="inlineStr">
        <is>
          <t>2020-03-03 17:29:00</t>
        </is>
      </c>
      <c r="H8083" t="inlineStr"/>
    </row>
    <row r="8084">
      <c r="A8084" t="inlineStr">
        <is>
          <t>fd5ukz</t>
        </is>
      </c>
      <c r="B8084" t="inlineStr">
        <is>
          <t>Stage 4 Cancer</t>
        </is>
      </c>
      <c r="C8084" t="inlineStr">
        <is>
          <t>I dont see why people say cancer is so hard to beat I'm already on stage 4</t>
        </is>
      </c>
      <c r="D8084" t="n">
        <v>1</v>
      </c>
      <c r="E8084" t="n">
        <v>25</v>
      </c>
      <c r="F8084">
        <f>HYPERLINK("https://www.reddit.com/r/cancer/comments/fd5ukz/stage_4_cancer/")</f>
        <v/>
      </c>
      <c r="G8084" t="inlineStr">
        <is>
          <t>2020-03-03 18:10:15</t>
        </is>
      </c>
      <c r="H8084" t="inlineStr"/>
    </row>
    <row r="8085">
      <c r="A8085" t="inlineStr">
        <is>
          <t>fd61r4</t>
        </is>
      </c>
      <c r="B8085" t="inlineStr">
        <is>
          <t>I still can't face the fact my dad is dead</t>
        </is>
      </c>
      <c r="C8085" t="inlineStr">
        <is>
          <t>It was 9/4/19 around 10 when he passed i still can't get those two days out of my head after he came home from hospice. He had been admitted that weekend, and to be honest i had no idea what hospice was, I just thought it was another type of hospital to help people with cancer. so on that Monday at 7:00 AM when my mom called my friends mom because I was staying there due to them being at hospice, i was told i wasn't going to school and would be helping him go home. i was thrilled i thought he was better i thought he was going to be okay, but when my friends mom started crying along with my friend i knew something bad had happened. I drove up to hospice and I just saw him sitting in the hospice bed, i still didn't understand what was happening, I just remember him being really out of it, he had oxygen tanks and he kept taking out the nose thing, i had to go to the bathroom multiple so they wouldn't see me crying then my mom said we were going home and i was like "oh he is okay! it must be from the chemo why he's out of it." but then my mom told her friend "he's passing" and thats when i knew. The drive back was with my sister while My mom and dad used a separate car, it wasn't fair. The first day of him being back was bad. it was so hard to watch the father i knew for 15 years the strong funny happy guy turn into this man who couldn't even put sentences together and was confused. One of the things that tore into me was when we were trying to move him upstairs he was on the floor he couldn't get up, he was yelling at my mom because it hurt to move, it was so hard watching him like that. I mostly hid in my room for this time period and i regret it so much, i hate that i was scared i hate that i hid in my room. I layed down in the bed with him for a bit but i got scared and left and he asked why I was leaving and he wanted me to stay but i left, i fucking left, i cannot forgive myself ever for doing that. i wanted to stay but i was scared . i was scared i would fall asleep and wake up next to his body. day two was when he passed but it was at night. I remember waking up and he was still alive i was happy. but sad because he was suffering. alot of people came by and i stayed in my room like a fucking idiot. i remember the letters he gave us. i remember how at 9:40 my mom ran upstairs and said i needed to come down. and all I see and a yellow skinned skinny sick man gasping for air. hes not even looking at us. he was leaving us . leaving me. i didn't want to tel him it was okay to leave. but he finally passed after i said it was okay. and i hate myself. i hated that day. i hate this life . i just want to feel my dad hug me again.</t>
        </is>
      </c>
      <c r="D8085" t="n">
        <v>1</v>
      </c>
      <c r="E8085" t="n">
        <v>6</v>
      </c>
      <c r="F8085">
        <f>HYPERLINK("https://www.reddit.com/r/cancer/comments/fd61r4/i_still_cant_face_the_fact_my_dad_is_dead/")</f>
        <v/>
      </c>
      <c r="G8085" t="inlineStr">
        <is>
          <t>2020-03-03 18:25:37</t>
        </is>
      </c>
      <c r="H8085" t="inlineStr"/>
    </row>
    <row r="8086">
      <c r="A8086" t="inlineStr">
        <is>
          <t>fd6ni6</t>
        </is>
      </c>
      <c r="B8086" t="inlineStr">
        <is>
          <t>Recent mother over 2 months ago and it hurts worse than the day it happened wrote a poem to cope ik it’s long but pls read I’m so alone :(</t>
        </is>
      </c>
      <c r="C8086" t="inlineStr">
        <is>
          <t>It’s easy to get stuck in the sheer fog of emotion
My demons and closet skeletons make me lost in my own head. Mamas last advice- don’t let them make you jaded 
But it’s really hard when in my head I’m so hated. 
All I physically want, is to be gone-and this pain forgot. To relax in my sleep not worry or think. Stress of loosing you again in my dreams. 
Fears of loss and your deathly sleep.
Or perhaps to rewrite my wrongs, take back it all, sing with you and your songs. 
I wasted our days lost in a false comfort, blissful haze, running from YOUR fate. 
Now my memories fade-
like you did in and out of sleep-yet always at peace. 
Not enough photographs because you always did the take. 
Now I’m alone like when I was born-but then I had you and now I don’t.
I feel robbed, yet you are the one wronged. If only we could switch places it’s where we would belong. 
I’m an ignorant fool- this is nothing new. 
I’m sorry. I’m sorry. I’m so sorry that for some reason, it had to be you 💔</t>
        </is>
      </c>
      <c r="D8086" t="n">
        <v>1</v>
      </c>
      <c r="E8086" t="n">
        <v>5</v>
      </c>
      <c r="F8086">
        <f>HYPERLINK("https://www.reddit.com/r/cancer/comments/fd6ni6/recent_mother_over_2_months_ago_and_it_hurts/")</f>
        <v/>
      </c>
      <c r="G8086" t="inlineStr">
        <is>
          <t>2020-03-03 19:10:54</t>
        </is>
      </c>
      <c r="H8086" t="inlineStr"/>
    </row>
    <row r="8087">
      <c r="A8087" t="inlineStr">
        <is>
          <t>fd71ln</t>
        </is>
      </c>
      <c r="B8087" t="inlineStr">
        <is>
          <t>Wife gets her port tomorrow</t>
        </is>
      </c>
      <c r="C8087" t="inlineStr">
        <is>
          <t>It is finally starting to feel all so real. Couple months ago she was heading in for surgery to remove a fallopian tube in hopes it would help with fertility issues. Now she is finishing recovering from a total hysterectomy and ready to start chemo to fight stage 3C ovarian cancer.
My 8 year old daughter's teacher has been battling breast cancer and getting chemo, so that has helped my daughter understand what chemo does, and that her mom is still going to be around. Her teacher's older son also visits the class to help his mom, and she gets along with him really well (might even have a crush on him, hah). I told her she should ask him questions and she has. I also tell her to ask us any and all questions she has. Her biggest concern is her Mom's hair coming back curly instead of straight.
I do have 2 questions I hope people here can answer. Is recovery from the port surgery as easy as they say? Anything I can do to help her recover from the procedure?</t>
        </is>
      </c>
      <c r="D8087" t="n">
        <v>1</v>
      </c>
      <c r="E8087" t="n">
        <v>52</v>
      </c>
      <c r="F8087">
        <f>HYPERLINK("https://www.reddit.com/r/cancer/comments/fd71ln/wife_gets_her_port_tomorrow/")</f>
        <v/>
      </c>
      <c r="G8087" t="inlineStr">
        <is>
          <t>2020-03-03 19:41:20</t>
        </is>
      </c>
      <c r="H8087" t="inlineStr"/>
    </row>
    <row r="8088">
      <c r="A8088" t="inlineStr">
        <is>
          <t>fd8amz</t>
        </is>
      </c>
      <c r="B8088" t="inlineStr">
        <is>
          <t>From Anastrozole to Letrozole: More bone pain?</t>
        </is>
      </c>
      <c r="C8088" t="inlineStr">
        <is>
          <t>Hi Everyone,
I was diagnosed and treated for Breast Cancer stage 1a. Lumpectomy followed by Radiation Therapy, and now pills for five years. Up until now, I've been more or less okay. A few months ago, I started having bone pain in my joints and hands. At first it was tolerable, and then, boom!  Horrible. So my oncologist is moving me to Letrozole.
I feel like my joints are inflamed, I have such muscle stiffness, and for me, someone who loves to walk and hike, being on Anastrozole was much worse than the cancer treatments themselves. So I'm a little wary of Letrozole, especially when I read that I could have bone pain with it as well.
Anyone here take it?  What was your experience?</t>
        </is>
      </c>
      <c r="D8088" t="n">
        <v>1</v>
      </c>
      <c r="E8088" t="n">
        <v>7</v>
      </c>
      <c r="F8088">
        <f>HYPERLINK("https://www.reddit.com/r/cancer/comments/fd8amz/from_anastrozole_to_letrozole_more_bone_pain/")</f>
        <v/>
      </c>
      <c r="G8088" t="inlineStr">
        <is>
          <t>2020-03-03 21:26:03</t>
        </is>
      </c>
      <c r="H8088" t="inlineStr"/>
    </row>
    <row r="8089">
      <c r="A8089" t="inlineStr">
        <is>
          <t>fd8bpu</t>
        </is>
      </c>
      <c r="B8089" t="inlineStr">
        <is>
          <t>Cancer?</t>
        </is>
      </c>
      <c r="C8089" t="inlineStr">
        <is>
          <t>So im 31 and was just diagnosed with cancer.  All the usuall test came back saying that's what it was.  AS much as it concerns me, there is 1 thing i cant stop thinking about.  Do i have exclusive rights to Cancer jokes at work?  Because i will for sure  keep them up until everyone is sick of them.  But for real i go in in 10 days for Surgery to remove it.  But i wont remove my bad sense of humor.</t>
        </is>
      </c>
      <c r="D8089" t="n">
        <v>1</v>
      </c>
      <c r="E8089" t="n">
        <v>13</v>
      </c>
      <c r="F8089">
        <f>HYPERLINK("https://www.reddit.com/r/cancer/comments/fd8bpu/cancer/")</f>
        <v/>
      </c>
      <c r="G8089" t="inlineStr">
        <is>
          <t>2020-03-03 21:28:45</t>
        </is>
      </c>
      <c r="H8089" t="inlineStr"/>
    </row>
    <row r="8090">
      <c r="A8090" t="inlineStr">
        <is>
          <t>fd99fr</t>
        </is>
      </c>
      <c r="B8090" t="inlineStr">
        <is>
          <t>Metastasis</t>
        </is>
      </c>
      <c r="C8090" t="inlineStr">
        <is>
          <t>My aunt recently got the news that she has metastasis, she completed her rounds of chemo and radiation battling breast cancer and was optimistic towards recovery. However a mass in her lung have been confirmed to be metastasis and she's being worked up to face chemo again. 
She's the older sister of my dad, who passed away July 2019 at the age of 54. We've been dealing with a lot for quite some time now and I feel like my aunt is at her breaking point. I'm still healing from the loss of my dad but would want to be a source of light and hope for her still, so that she would be motivated to fight. 
What could I say/do that can help her feel more confident in facing this adversity?</t>
        </is>
      </c>
      <c r="D8090" t="n">
        <v>1</v>
      </c>
      <c r="E8090" t="n">
        <v>5</v>
      </c>
      <c r="F8090">
        <f>HYPERLINK("https://www.reddit.com/r/cancer/comments/fd99fr/metastasis/")</f>
        <v/>
      </c>
      <c r="G8090" t="inlineStr">
        <is>
          <t>2020-03-03 22:59:54</t>
        </is>
      </c>
      <c r="H8090" t="inlineStr"/>
    </row>
    <row r="8091">
      <c r="A8091" t="inlineStr">
        <is>
          <t>fdc316</t>
        </is>
      </c>
      <c r="B8091" t="inlineStr">
        <is>
          <t>Cancer from smoking at 18? (Likelihood)</t>
        </is>
      </c>
      <c r="C8091" t="inlineStr">
        <is>
          <t>Hi everyone. So today, after health and mental crisis, I have decided to stop smoking at the age of 18. 
I am a hypochondriac, so cancer and illness is on my mind almost constantly. 
I have been smoking for about 1.5 years socially, never every single day. 
I’d just like to know, what is the likelihood of me developing a smoking related illness, or cancer, at this age after quitting?
I’m not looking for precise, just rough ideas. 
Thanks for your time. 
(PS, a lot of my family smoke and have done for many years, none have developed cancer)</t>
        </is>
      </c>
      <c r="D8091" t="n">
        <v>1</v>
      </c>
      <c r="E8091" t="n">
        <v>5</v>
      </c>
      <c r="F8091">
        <f>HYPERLINK("https://www.reddit.com/r/cancer/comments/fdc316/cancer_from_smoking_at_18_likelihood/")</f>
        <v/>
      </c>
      <c r="G8091" t="inlineStr">
        <is>
          <t>2020-03-04 04:10:32</t>
        </is>
      </c>
      <c r="H8091" t="inlineStr"/>
    </row>
    <row r="8092">
      <c r="A8092" t="inlineStr">
        <is>
          <t>fddmyp</t>
        </is>
      </c>
      <c r="B8092" t="inlineStr">
        <is>
          <t>Experience with cisplatin + gemcitabine?</t>
        </is>
      </c>
      <c r="C8092" t="inlineStr">
        <is>
          <t>Sometime in the next couple weeks, I will probably be starting a course of four three week cycles of cisplatin + gemcitabine. If you've had this chemo I would deeply appreciate hearing about the effects it had on you and what helped you  cope.</t>
        </is>
      </c>
      <c r="D8092" t="n">
        <v>1</v>
      </c>
      <c r="E8092" t="n">
        <v>6</v>
      </c>
      <c r="F8092">
        <f>HYPERLINK("https://www.reddit.com/r/cancer/comments/fddmyp/experience_with_cisplatin_gemcitabine/")</f>
        <v/>
      </c>
      <c r="G8092" t="inlineStr">
        <is>
          <t>2020-03-04 06:18:52</t>
        </is>
      </c>
      <c r="H8092" t="inlineStr"/>
    </row>
    <row r="8093">
      <c r="A8093" t="inlineStr">
        <is>
          <t>fddzb3</t>
        </is>
      </c>
      <c r="B8093" t="inlineStr">
        <is>
          <t>Support</t>
        </is>
      </c>
      <c r="C8093" t="inlineStr">
        <is>
          <t>If you need or want support or someone to talk to during your battle with cancer HMU let’s talk</t>
        </is>
      </c>
      <c r="D8093" t="n">
        <v>1</v>
      </c>
      <c r="E8093" t="n">
        <v>12</v>
      </c>
      <c r="F8093">
        <f>HYPERLINK("https://www.reddit.com/r/cancer/comments/fddzb3/support/")</f>
        <v/>
      </c>
      <c r="G8093" t="inlineStr">
        <is>
          <t>2020-03-04 06:45:05</t>
        </is>
      </c>
      <c r="H8093" t="inlineStr"/>
    </row>
    <row r="8094">
      <c r="A8094" t="inlineStr">
        <is>
          <t>fde405</t>
        </is>
      </c>
      <c r="B8094" t="inlineStr">
        <is>
          <t>I was just diagnosed. What now?</t>
        </is>
      </c>
      <c r="C8094" t="inlineStr">
        <is>
          <t>I was diagnosed with lymphocyte-rich Hodgkin lymphoma. I haven’t done the staging and I have the first appointment with the oncologist on Tuesday. What are the next steps?</t>
        </is>
      </c>
      <c r="D8094" t="n">
        <v>1</v>
      </c>
      <c r="E8094" t="n">
        <v>18</v>
      </c>
      <c r="F8094">
        <f>HYPERLINK("https://www.reddit.com/r/cancer/comments/fde405/i_was_just_diagnosed_what_now/")</f>
        <v/>
      </c>
      <c r="G8094" t="inlineStr">
        <is>
          <t>2020-03-04 06:54:50</t>
        </is>
      </c>
      <c r="H8094" t="inlineStr"/>
    </row>
    <row r="8095">
      <c r="A8095" t="inlineStr">
        <is>
          <t>fde83f</t>
        </is>
      </c>
      <c r="B8095" t="inlineStr">
        <is>
          <t>How did you decide on a head covering?</t>
        </is>
      </c>
      <c r="C8095" t="inlineStr">
        <is>
          <t>I'm about to start chemotherapy for breast cancer. I've been told now is the time to get matched for wigs etc. I am unsure about all of this. I currently hate wearing hats, but I have very thick hair, so they're not at all necessary. I've been told that I'm about to lose all of my hair.
 I've always thought I'd like a completely shaved head, and I'm wondering if this is going to be my chance? Did you decide one thing and stick to it, or did you change your minds? I do know I'm going to seek advice about faking eyebrows, but I'm really unsure if I want a wig, a turban, scarf or to go baldly. Are there other options I'm missing? Is the no-cover option less sensible than I think for odd reasons? I'd really appreciate hearing how others decided on this stuff. Thanks in advance.</t>
        </is>
      </c>
      <c r="D8095" t="n">
        <v>1</v>
      </c>
      <c r="E8095" t="n">
        <v>27</v>
      </c>
      <c r="F8095">
        <f>HYPERLINK("https://www.reddit.com/r/cancer/comments/fde83f/how_did_you_decide_on_a_head_covering/")</f>
        <v/>
      </c>
      <c r="G8095" t="inlineStr">
        <is>
          <t>2020-03-04 07:02:55</t>
        </is>
      </c>
      <c r="H8095" t="inlineStr"/>
    </row>
    <row r="8096">
      <c r="A8096" t="inlineStr">
        <is>
          <t>fdem49</t>
        </is>
      </c>
      <c r="B8096" t="inlineStr">
        <is>
          <t>Cure to Cancer</t>
        </is>
      </c>
      <c r="C8096" t="inlineStr">
        <is>
          <t>I’m aware this is out on a limb, but I believe the cure for cancer is going to be some kind of electro-magnetic, proton/electron/neutron altering device. 
There is already extensive studies on the benefits of “earthing”, as the earth emits electrons which can be absorbed through direct contact. This neutralizes free radicals, in turn, reducing inflammation.
https://www.ncbi.nlm.nih.gov/pmc/articles/PMC4378297/
If something as small as electron absorption through the skin can have astounding effects, what else can happen when altering things at the basic level of biology (proton/electron/neutron)? An electromagnetic device, capable of altering proton/electron/neutron interaction level within the cancer, thus killing it. Just a thought!</t>
        </is>
      </c>
      <c r="D8096" t="n">
        <v>1</v>
      </c>
      <c r="E8096" t="n">
        <v>3</v>
      </c>
      <c r="F8096">
        <f>HYPERLINK("https://www.reddit.com/r/cancer/comments/fdem49/cure_to_cancer/")</f>
        <v/>
      </c>
      <c r="G8096" t="inlineStr">
        <is>
          <t>2020-03-04 07:30:17</t>
        </is>
      </c>
      <c r="H8096" t="inlineStr"/>
    </row>
    <row r="8097">
      <c r="A8097" t="inlineStr">
        <is>
          <t>fdemid</t>
        </is>
      </c>
      <c r="B8097" t="inlineStr">
        <is>
          <t>Doctors unsure about chemo</t>
        </is>
      </c>
      <c r="C8097" t="inlineStr">
        <is>
          <t>My (35f) post surgical report came back and I'm officially a stage 1A (T1N0M0) for breast cancer. My 8mm tumor ended up being two smaller tumors (3mm and 6mm) and my lymph nodes came back clean (yay!!) Unfortunately my grade was bumped up from a 2 to a 3, so it's technically faster growing and more aggressive.
Anyway, I'm waiting for my oncotype DX score to see if I'm at high risk for recurrence. My surgeon is pretty sure I'm going to be scored right around the threshold because of the high grade and my age. My surgeon is also really concerned about the effects of radiation on my heart. He said that it may impact my heart more because I'm skinny.
Does anyone have any similar experiences? How did you choose to receive chemo or not? Also are there any skinny people here who received radiation to their left side and how did it affect your heart?</t>
        </is>
      </c>
      <c r="D8097" t="n">
        <v>1</v>
      </c>
      <c r="E8097" t="n">
        <v>17</v>
      </c>
      <c r="F8097">
        <f>HYPERLINK("https://www.reddit.com/r/cancer/comments/fdemid/doctors_unsure_about_chemo/")</f>
        <v/>
      </c>
      <c r="G8097" t="inlineStr">
        <is>
          <t>2020-03-04 07:31:04</t>
        </is>
      </c>
      <c r="H8097" t="inlineStr"/>
    </row>
    <row r="8098">
      <c r="A8098" t="inlineStr">
        <is>
          <t>fdevxg</t>
        </is>
      </c>
      <c r="B8098" t="inlineStr">
        <is>
          <t>Had treatment yesterday; my oncologist essentially thinks I've only got a year left</t>
        </is>
      </c>
      <c r="C8098" t="inlineStr">
        <is>
          <t>Which is pretty ridiculous to me, since I don't feel at all like I'm dying. He was pretty rude, too. I know he wanted to blame me and my family for missing previous treatments (almost entirely because of health issues, and being at the local ER (I go out of town for chemo treatment)), but didn't because he knew he'd be overstepping the line.
It began with him asking me what I wanted, to which I replied "to live. To do chemo, so I can live." The next five minutes devolves into him and I repeating the same thing at each other  
Him: "It's not your fault, and I'll treat you, but if miss again I won't treat you anymore (said under the vernacular of like "if you come here in a wheelchair, if you end up at the local hospital for some other health issue, etc.)  
Me: "So you don't want to treat me anymore...?"  
Him: "I'm not saying that. I'll treat you, but..."  
ad nauseum for roughly ten minutes where I'm getting more and more pissed off at this dude for not saying what he really wanted to say to me.
I finally pulled some of his true intention out of him when he asked me "why didn't you call as soon as you got out of the hospital?" to which I informed him "my schedule was already planned out to see you again" and I know how busy oncologists are, so getting anything sooner than what was scheduled would be futile.
I just...I don't know. I know it pissed me the fuck off, and I took my chemo yesterday like a champ, mostly to spite my oncologist. Fuck him.</t>
        </is>
      </c>
      <c r="D8098" t="n">
        <v>1</v>
      </c>
      <c r="E8098" t="n">
        <v>26</v>
      </c>
      <c r="F8098">
        <f>HYPERLINK("https://www.reddit.com/r/cancer/comments/fdevxg/had_treatment_yesterday_my_oncologist_essentially/")</f>
        <v/>
      </c>
      <c r="G8098" t="inlineStr">
        <is>
          <t>2020-03-04 07:49:08</t>
        </is>
      </c>
      <c r="H8098" t="inlineStr"/>
    </row>
    <row r="8099">
      <c r="A8099" t="inlineStr">
        <is>
          <t>fdg790</t>
        </is>
      </c>
      <c r="B8099" t="inlineStr">
        <is>
          <t>Can clinical trials make you more sick?</t>
        </is>
      </c>
      <c r="C8099" t="inlineStr">
        <is>
          <t>I had a friend who passed from a rare aggressive form of stomach cancer called small cell signet at 43.  It was a year after she was diagnosed.  The symptoms she started having was that she had pain in her upper stomach when she ate but it took a while to diagnose it.  She did about 6 months of chemo but it still spread to her bones.  She started clinical trials and during that starting getting fluid in her stomach which they drained but also around her heart and lungs.  Once that happened she passed away pretty quickly.  It just seems so strange that someone relatively young and in good shape could go that fast.  Was it the cancer just taking over?  Or could it be the clinical trials that caused the fluid?</t>
        </is>
      </c>
      <c r="D8099" t="n">
        <v>1</v>
      </c>
      <c r="E8099" t="n">
        <v>9</v>
      </c>
      <c r="F8099">
        <f>HYPERLINK("https://www.reddit.com/r/cancer/comments/fdg790/can_clinical_trials_make_you_more_sick/")</f>
        <v/>
      </c>
      <c r="G8099" t="inlineStr">
        <is>
          <t>2020-03-04 09:15:06</t>
        </is>
      </c>
      <c r="H8099" t="inlineStr"/>
    </row>
    <row r="8100">
      <c r="A8100" t="inlineStr">
        <is>
          <t>fdhxw9</t>
        </is>
      </c>
      <c r="B8100" t="inlineStr">
        <is>
          <t>How are people feeling about the Coronavirus?</t>
        </is>
      </c>
      <c r="C8100" t="inlineStr">
        <is>
          <t>I’m a terminal patient, stage four and my lungs are fucked. So I am the exact person who is at risk of dying from the virus plus I’m also apprehensive about not being able to get access to medical services if shit goes south. Coronavirus is in my country, someone from my town has it. Myself and family feeling like I might as well just stay inside for the foreseeable future. 🥂 how is everyone doing</t>
        </is>
      </c>
      <c r="D8100" t="n">
        <v>1</v>
      </c>
      <c r="E8100" t="n">
        <v>10</v>
      </c>
      <c r="F8100">
        <f>HYPERLINK("https://www.reddit.com/r/cancer/comments/fdhxw9/how_are_people_feeling_about_the_coronavirus/")</f>
        <v/>
      </c>
      <c r="G8100" t="inlineStr">
        <is>
          <t>2020-03-04 11:07:48</t>
        </is>
      </c>
      <c r="H8100" t="inlineStr"/>
    </row>
    <row r="8101">
      <c r="A8101" t="inlineStr">
        <is>
          <t>fdijun</t>
        </is>
      </c>
      <c r="B8101" t="inlineStr">
        <is>
          <t>Need/help advice for my mom diagnosed with aggressive oral cancer</t>
        </is>
      </c>
      <c r="C8101" t="inlineStr">
        <is>
          <t>My mom is based in India and she has been diagnosed with oral cancer affecting tongue and lymph nodes. The biopsy report categorizes as stage 2 but doctor's have said that its a fairly aggressive cancer. We went to 3 oncologists(head and neck). Two of them recommended doing a few chemo cycles so that the size of the tumor reduces and then perform surgery which will be removing whatever part is still affected and doing plastic surgery if required.  
The other one (most experienced), said that performing surgery first is better followed by chemo. 
My mom also has a horseshoe kidney, so doctors said that the chemo also needs to be catered according to her body and they will need to try out medicines that don't affect her kidney a lot.  
This has confused us and can't decide how to go about this. I know cancer cases differ and can't be compared, but it would be great to get a second opinion.</t>
        </is>
      </c>
      <c r="D8101" t="n">
        <v>1</v>
      </c>
      <c r="E8101" t="n">
        <v>1</v>
      </c>
      <c r="F8101">
        <f>HYPERLINK("https://www.reddit.com/r/cancer/comments/fdijun/needhelp_advice_for_my_mom_diagnosed_with/")</f>
        <v/>
      </c>
      <c r="G8101" t="inlineStr">
        <is>
          <t>2020-03-04 11:48:02</t>
        </is>
      </c>
      <c r="H8101" t="inlineStr"/>
    </row>
    <row r="8102">
      <c r="A8102" t="inlineStr">
        <is>
          <t>fdiuvz</t>
        </is>
      </c>
      <c r="B8102" t="inlineStr">
        <is>
          <t>Glioblastoma progression</t>
        </is>
      </c>
      <c r="C8102" t="inlineStr">
        <is>
          <t>I was diagnosed with GBM in November 2017.  I have had stable scans since.  My oncologist even stopped my chemo after a year.
I had a scan yesterday that showed my tumor is growing.  I immediately broke down when he showed me the images.  My wife and I hug, and between blubbering I barely get out, "I don't want to die yet".  
With the help of my wife, I compose myself so I can actually understand what the doctor is saying.  
I will be going back to chemo.  
I can only hope it works.  I'm not ready for goodbye time.</t>
        </is>
      </c>
      <c r="D8102" t="n">
        <v>1</v>
      </c>
      <c r="E8102" t="n">
        <v>9</v>
      </c>
      <c r="F8102">
        <f>HYPERLINK("https://www.reddit.com/r/cancer/comments/fdiuvz/glioblastoma_progression/")</f>
        <v/>
      </c>
      <c r="G8102" t="inlineStr">
        <is>
          <t>2020-03-04 12:08:08</t>
        </is>
      </c>
      <c r="H8102" t="inlineStr"/>
    </row>
    <row r="8103">
      <c r="A8103" t="inlineStr">
        <is>
          <t>fdiz0j</t>
        </is>
      </c>
      <c r="B8103" t="inlineStr">
        <is>
          <t>Looking for advice to help a friend</t>
        </is>
      </c>
      <c r="C8103" t="inlineStr">
        <is>
          <t>Hi everyone! My best friend (22f) has recently been diagnosed with cancer. She went through some oral chemo but just lost her job and health insurance but still needs more treatment. What are her options? She is applying for jobs right now to hopefully get some work and insurance. What is the cost of chemo without insurance? Does medicaid cover cancer treatment, and can she apply for medicaid because of losing her job? She is not doing very well physically right now and doesn't have the energy to look into these things on her own and I have no experience with this but really want to help. Her mom and grandpa, who raised her, passed away last year so she really doesn't have any family who can help either. Any advice is appreciated!!</t>
        </is>
      </c>
      <c r="D8103" t="n">
        <v>1</v>
      </c>
      <c r="E8103" t="n">
        <v>2</v>
      </c>
      <c r="F8103">
        <f>HYPERLINK("https://www.reddit.com/r/cancer/comments/fdiz0j/looking_for_advice_to_help_a_friend/")</f>
        <v/>
      </c>
      <c r="G8103" t="inlineStr">
        <is>
          <t>2020-03-04 12:15:35</t>
        </is>
      </c>
      <c r="H8103" t="inlineStr"/>
    </row>
    <row r="8104">
      <c r="A8104" t="inlineStr">
        <is>
          <t>fdj48f</t>
        </is>
      </c>
      <c r="B8104" t="inlineStr">
        <is>
          <t>Ideas on ways to make my Dad feel better during his chemo please</t>
        </is>
      </c>
      <c r="C8104" t="inlineStr">
        <is>
          <t>So my dad has stage 4 bowel cancer, spread to his lungs, and is on his second round of chemo. He has a full face and body rash that’s being treated, mouth ulcers, sore joints, sore fingers and loose stools (which is a nightmare with his stoma bag) but is keeping amazingly positive.
I’m off work for the next two weeks and I want to make the most of this time to be there for him. Obviously he won’t want to be leaving the house at the moment, but I want to make a special day for him for us in his comfort zone. 
What are some things I can do he’ll enjoy that would overwhelm him during this time? My go to would usually be food and drink but obviously that’s out. Any ideas welcome! 
He’s a huge music and movie fan and also creates his own rock art when well enough.</t>
        </is>
      </c>
      <c r="D8104" t="n">
        <v>1</v>
      </c>
      <c r="E8104" t="n">
        <v>9</v>
      </c>
      <c r="F8104">
        <f>HYPERLINK("https://www.reddit.com/r/cancer/comments/fdj48f/ideas_on_ways_to_make_my_dad_feel_better_during/")</f>
        <v/>
      </c>
      <c r="G8104" t="inlineStr">
        <is>
          <t>2020-03-04 12:25:11</t>
        </is>
      </c>
      <c r="H8104" t="inlineStr"/>
    </row>
    <row r="8105">
      <c r="A8105" t="inlineStr">
        <is>
          <t>fdjw6l</t>
        </is>
      </c>
      <c r="B8105" t="inlineStr">
        <is>
          <t>Working out while on chemo?</t>
        </is>
      </c>
      <c r="C8105" t="inlineStr">
        <is>
          <t>I started chemo (oxaliplatin and capecitabine) about 5 weeks ago. First round totally wrecked me and I ended up in the hospital for a week. I'm about to start my second round and I'm much weaker due to the severity of side effects from the first round and the hospitalization but I'd like to do something to at least maintain what strength I have. I know I can always go for a walk but anyone find a specific plan that worked for them? Also is this a good idea or am I just likely to be a disappointed couch potato again?</t>
        </is>
      </c>
      <c r="D8105" t="n">
        <v>1</v>
      </c>
      <c r="E8105" t="n">
        <v>8</v>
      </c>
      <c r="F8105">
        <f>HYPERLINK("https://www.reddit.com/r/cancer/comments/fdjw6l/working_out_while_on_chemo/")</f>
        <v/>
      </c>
      <c r="G8105" t="inlineStr">
        <is>
          <t>2020-03-04 13:15:01</t>
        </is>
      </c>
      <c r="H8105" t="inlineStr"/>
    </row>
    <row r="8106">
      <c r="A8106" t="inlineStr">
        <is>
          <t>fdk67k</t>
        </is>
      </c>
      <c r="B8106" t="inlineStr">
        <is>
          <t>DONE!!!!</t>
        </is>
      </c>
      <c r="C8106" t="inlineStr">
        <is>
          <t>Quick recap, found out in October that I had Thyroid Cancer that had also spread to some Lymph Nodes.  I had surgery in November and did Radioactive Iodine early December.  I did my scan before Christmas and they found more Cancer in  some Lymph Nodes they left behind.  I had to have another surgery and that went wonky coming out of anesthesia.
&amp;amp;#x200B;
Officially got the word that I'm all clear!!!!  No more surgeries and no more Iodine.  Because my Thyroid is completely gone now though I have to keep up with blood tests and that will help keep track of everything.  Man is that a huge weight off of my shoulders.  I never had to deal with anyone minimizing my cancer but the doctors kept reminding me how "easy" it is compared to others, but fuck is it still a scary monster.  
&amp;amp;#x200B;
I wanted to share this because this community has to be one of the best out there on Reddit.  I've never felt such love or support from anyone.  The weird thing is that coming from strangers who have gone through it tend to have more weight then family or friends.  I mean this from the bottom of my heart, I love every single one of you!</t>
        </is>
      </c>
      <c r="D8106" t="n">
        <v>1</v>
      </c>
      <c r="E8106" t="n">
        <v>18</v>
      </c>
      <c r="F8106">
        <f>HYPERLINK("https://www.reddit.com/r/cancer/comments/fdk67k/done/")</f>
        <v/>
      </c>
      <c r="G8106" t="inlineStr">
        <is>
          <t>2020-03-04 13:33:05</t>
        </is>
      </c>
      <c r="H8106" t="inlineStr"/>
    </row>
    <row r="8107">
      <c r="A8107" t="inlineStr">
        <is>
          <t>fdl0ny</t>
        </is>
      </c>
      <c r="B8107" t="inlineStr">
        <is>
          <t>I need support</t>
        </is>
      </c>
      <c r="C8107" t="inlineStr">
        <is>
          <t>hey there 
im 18M from malaysia
my spm(national exam) result will come out few more hours but now im crying and worried about something else.
since I was around 12, i get small lump on my testis and it has grown ever since until it kinda stop growing. before it grown, i showed it to my dad to ask him whats wrong but i forgot what he says. 
few days ago, my left testis and neck hurts. i tried to apply vicks but ofc it didnt work. i somehow got this idea that maybe I have cancer because i have been thinking that since 12. the pain is subtle but annoying. until today, i just woke up just now and try to vicks again on my right side of the neck until i notice i have a small lump on that spot. now i get the idea.
now spm result doesnt even matters. the idea of going to college seems impossible. my family hope that i can get great result and get scholarship , but no one will give scholarship to me once they know im not healty ;(
i have no hope rn. this is the moment when people my age plan their future. yet i could only think about leaving the world behind. im too afraid to tell my family. but the lump is there. down there and up here. i think it is too late. please say something. please please please</t>
        </is>
      </c>
      <c r="D8107" t="n">
        <v>1</v>
      </c>
      <c r="E8107" t="n">
        <v>6</v>
      </c>
      <c r="F8107">
        <f>HYPERLINK("https://www.reddit.com/r/cancer/comments/fdl0ny/i_need_support/")</f>
        <v/>
      </c>
      <c r="G8107" t="inlineStr">
        <is>
          <t>2020-03-04 14:28:07</t>
        </is>
      </c>
      <c r="H8107" t="inlineStr"/>
    </row>
    <row r="8108">
      <c r="A8108" t="inlineStr">
        <is>
          <t>fdl3qj</t>
        </is>
      </c>
      <c r="B8108" t="inlineStr">
        <is>
          <t>It's intervention time, what are your experiences with interventions for cancer patients who refuse western medicine</t>
        </is>
      </c>
      <c r="C8108" t="inlineStr">
        <is>
          <t>What are your experiences, have you:
had an intervention and been convinced to undergo cancer treatment?
had to organize an intervention for someone who  resisted western medicine?</t>
        </is>
      </c>
      <c r="D8108" t="n">
        <v>1</v>
      </c>
      <c r="E8108" t="n">
        <v>18</v>
      </c>
      <c r="F8108">
        <f>HYPERLINK("https://www.reddit.com/r/cancer/comments/fdl3qj/its_intervention_time_what_are_your_experiences/")</f>
        <v/>
      </c>
      <c r="G8108" t="inlineStr">
        <is>
          <t>2020-03-04 14:33:41</t>
        </is>
      </c>
      <c r="H8108" t="inlineStr"/>
    </row>
    <row r="8109">
      <c r="A8109" t="inlineStr">
        <is>
          <t>fdl5pu</t>
        </is>
      </c>
      <c r="B8109" t="inlineStr">
        <is>
          <t>Keep working or take disability?</t>
        </is>
      </c>
      <c r="C8109" t="inlineStr">
        <is>
          <t>Americans here. I have a parent that has been diagnosed with stage 4a non-small cell lung cancer. Prognosis is 3 1/2 years. Wondering if the best path financially is to continue to work or apply for disability. One factor, health insurance is through current job.</t>
        </is>
      </c>
      <c r="D8109" t="n">
        <v>1</v>
      </c>
      <c r="E8109" t="n">
        <v>24</v>
      </c>
      <c r="F8109">
        <f>HYPERLINK("https://www.reddit.com/r/cancer/comments/fdl5pu/keep_working_or_take_disability/")</f>
        <v/>
      </c>
      <c r="G8109" t="inlineStr">
        <is>
          <t>2020-03-04 14:37:09</t>
        </is>
      </c>
      <c r="H8109" t="inlineStr"/>
    </row>
    <row r="8110">
      <c r="A8110" t="inlineStr">
        <is>
          <t>fdllmn</t>
        </is>
      </c>
      <c r="B8110" t="inlineStr">
        <is>
          <t>Celebrating treatment 1 ideas; bell on last treatment may be insensitive</t>
        </is>
      </c>
      <c r="C8110" t="inlineStr">
        <is>
          <t>I am an oncology infusion nurse.  We are looking for something for our patients to symbolize the beginning of the treatments.  We realize the ringing of the bell on the last treatment can be insensitive and we want to create something to celebrate the first treatment.  I thought maybe you guys have some ideas of what we can do.  For example, I thought of having a punching bag and boxing glove before the first treatment to symbolize ''knocking cancer out''.  Would love to hear what ideas you may have!</t>
        </is>
      </c>
      <c r="D8110" t="n">
        <v>1</v>
      </c>
      <c r="E8110" t="n">
        <v>11</v>
      </c>
      <c r="F8110">
        <f>HYPERLINK("https://www.reddit.com/r/cancer/comments/fdllmn/celebrating_treatment_1_ideas_bell_on_last/")</f>
        <v/>
      </c>
      <c r="G8110" t="inlineStr">
        <is>
          <t>2020-03-04 15:06:49</t>
        </is>
      </c>
      <c r="H8110" t="inlineStr"/>
    </row>
    <row r="8111">
      <c r="A8111" t="inlineStr">
        <is>
          <t>fdnql0</t>
        </is>
      </c>
      <c r="B8111" t="inlineStr">
        <is>
          <t>Architectural Distortion</t>
        </is>
      </c>
      <c r="C8111" t="inlineStr">
        <is>
          <t>I have a biopsy scheduled after mammogram results showed “architectural distortion.” I’m 27, and was feeling some pain in my breast/arm pit area and that is why I went to the doctor. There’s no lump that I can feel. 
I’ve been doing some research and it seems like everywhere I look it points to this pretty much always means cancer. I have never had any surgery, never had kids so no breast feeding, no trauma in that area... 
Everything I’ve read says that identifying this in a mammogram almost always means breast cancer. I found one study that was 74% of identified cases of architectural distortion resulted in a cancer diagnosis. 
Is that true? If anyone can put my mind at ease ahead of the biopsy I would appreciate it.</t>
        </is>
      </c>
      <c r="D8111" t="n">
        <v>1</v>
      </c>
      <c r="E8111" t="n">
        <v>0</v>
      </c>
      <c r="F8111">
        <f>HYPERLINK("https://www.reddit.com/r/cancer/comments/fdnql0/architectural_distortion/")</f>
        <v/>
      </c>
      <c r="G8111" t="inlineStr">
        <is>
          <t>2020-03-04 17:44:05</t>
        </is>
      </c>
      <c r="H8111" t="inlineStr"/>
    </row>
    <row r="8112">
      <c r="A8112" t="inlineStr">
        <is>
          <t>fdo07r</t>
        </is>
      </c>
      <c r="B8112" t="inlineStr">
        <is>
          <t>Trying to understand what getting close to end of life is gonna be like for my mom and what we should look for .</t>
        </is>
      </c>
      <c r="C8112" t="inlineStr">
        <is>
          <t>My moms stage 4, has 5 tumors in her brain and has had all the treatments they could muster, full brain radiation and cyber knife on the 2 large ones. Shes weak to her left side, memory issues and very tired . In a nursing home as well. 
Her journey started 10 years ago full hysterectomy after cervical cancer was found ... she was cleared 6 years later and then about 2 years ago they find pre cancerous cells in her breast, okay they get it out. A mass on her lung after falling ill then by June of 19 they find the brain turnors. 3 of the 5 responded and shrank
2 larger ones have fought but havent grown since treatment.
Basically bed bound, living in a nursing home. Shes getting a lil worse week to week and today she was almost to week to speak on the phone. Kept saying shes just not feeling good. This is following a pretty violent seizure. Shes kn meds for it as well as steroids they cant seem to ween her off of. 
Its driving me insane and im in no rush to lose my mom but im scared its gonna be a phone call in the middle of the night and didnt see it coming type of deal... i dont know what end stage looks like and im just tryin to settle my brain and figure out a way to except the inevitability of her passing while at least trying to understand the time ive got to work with. She is 55 years old and im just disgusted this is the hand she was dealt after all this shit we been though.</t>
        </is>
      </c>
      <c r="D8112" t="n">
        <v>1</v>
      </c>
      <c r="E8112" t="n">
        <v>5</v>
      </c>
      <c r="F8112">
        <f>HYPERLINK("https://www.reddit.com/r/cancer/comments/fdo07r/trying_to_understand_what_getting_close_to_end_of/")</f>
        <v/>
      </c>
      <c r="G8112" t="inlineStr">
        <is>
          <t>2020-03-04 18:04:10</t>
        </is>
      </c>
      <c r="H8112" t="inlineStr"/>
    </row>
    <row r="8113">
      <c r="A8113" t="inlineStr">
        <is>
          <t>fdo2k1</t>
        </is>
      </c>
      <c r="B8113" t="inlineStr">
        <is>
          <t>So i know that this is random but</t>
        </is>
      </c>
      <c r="C8113" t="inlineStr">
        <is>
          <t>I just wanna ask how tf can my dad walk after the discs in his spine collapsed due to radiation.</t>
        </is>
      </c>
      <c r="D8113" t="n">
        <v>1</v>
      </c>
      <c r="E8113" t="n">
        <v>1</v>
      </c>
      <c r="F8113">
        <f>HYPERLINK("https://www.reddit.com/r/cancer/comments/fdo2k1/so_i_know_that_this_is_random_but/")</f>
        <v/>
      </c>
      <c r="G8113" t="inlineStr">
        <is>
          <t>2020-03-04 18:09:08</t>
        </is>
      </c>
      <c r="H8113" t="inlineStr"/>
    </row>
    <row r="8114">
      <c r="A8114" t="inlineStr">
        <is>
          <t>fdov73</t>
        </is>
      </c>
      <c r="B8114" t="inlineStr">
        <is>
          <t>Lymphoma and Leukemia Society (LLS)</t>
        </is>
      </c>
      <c r="C8114" t="inlineStr">
        <is>
          <t>Last year one of my friends from school had been affected by a form of lymphoma and thankfully it was only for the summer and his recovery was very fast and we were all lucky that it did not get worse for him. This year I decided to join a fundraising team to raise money and awareness against lymphoma and leukemia. It would be greatly appreciated you you could make any kind of donation as all proceeds go to LLS. I receive nothing and this is just a thing I want to do as a volunteer. It would be great if you could support this great organization to help fight cancer!!
[Donate to LLS!](https://events.lls.org/wcny/buffaloSOY20/mlinpa)</t>
        </is>
      </c>
      <c r="D8114" t="n">
        <v>1</v>
      </c>
      <c r="E8114" t="n">
        <v>1</v>
      </c>
      <c r="F8114">
        <f>HYPERLINK("https://www.reddit.com/r/cancer/comments/fdov73/lymphoma_and_leukemia_society_lls/")</f>
        <v/>
      </c>
      <c r="G8114" t="inlineStr">
        <is>
          <t>2020-03-04 19:09:54</t>
        </is>
      </c>
      <c r="H8114" t="inlineStr"/>
    </row>
    <row r="8115">
      <c r="A8115" t="inlineStr">
        <is>
          <t>fdq6q6</t>
        </is>
      </c>
      <c r="B8115" t="inlineStr">
        <is>
          <t>I just finished round 4 of Folfox, 8 more rounds to go, side effects are just awful, anyone can give me tips for feeling better?</t>
        </is>
      </c>
      <c r="C8115" t="inlineStr">
        <is>
          <t>I have a hard time swallowing, eating, appetite is gone, my feet are swelling, I have nauseas, I can’t concentrate, it’s awful. Can somebody give me tips to feel better?</t>
        </is>
      </c>
      <c r="D8115" t="n">
        <v>1</v>
      </c>
      <c r="E8115" t="n">
        <v>10</v>
      </c>
      <c r="F8115">
        <f>HYPERLINK("https://www.reddit.com/r/cancer/comments/fdq6q6/i_just_finished_round_4_of_folfox_8_more_rounds/")</f>
        <v/>
      </c>
      <c r="G8115" t="inlineStr">
        <is>
          <t>2020-03-04 20:57:39</t>
        </is>
      </c>
      <c r="H8115" t="inlineStr"/>
    </row>
    <row r="8116">
      <c r="A8116" t="inlineStr">
        <is>
          <t>fdqyav</t>
        </is>
      </c>
      <c r="B8116" t="inlineStr">
        <is>
          <t>Vomiting after taking pills?</t>
        </is>
      </c>
      <c r="C8116" t="inlineStr">
        <is>
          <t>My buddy just went through their first chemo, vomited like 6 time over the last 4 hours.  From what I understand that's not too unusual, but after they figured it had settled down a bit they took their evening pills (anti nausea and so on) only for another bit of vomiting about 45 minutes later.
Can't find a clear answer on this situation, I am hoping they kept it down long enough to do some good, but how do you handle the whole possibility of vomiting up the pills to stop the vomiting?</t>
        </is>
      </c>
      <c r="D8116" t="n">
        <v>1</v>
      </c>
      <c r="E8116" t="n">
        <v>9</v>
      </c>
      <c r="F8116">
        <f>HYPERLINK("https://www.reddit.com/r/cancer/comments/fdqyav/vomiting_after_taking_pills/")</f>
        <v/>
      </c>
      <c r="G8116" t="inlineStr">
        <is>
          <t>2020-03-04 22:06:37</t>
        </is>
      </c>
      <c r="H8116" t="inlineStr"/>
    </row>
    <row r="8117">
      <c r="A8117" t="inlineStr">
        <is>
          <t>fdsiyj</t>
        </is>
      </c>
      <c r="B8117" t="inlineStr">
        <is>
          <t>Oral cancer at a young age ( &amp;lt;40 years old) and genetic</t>
        </is>
      </c>
      <c r="C8117" t="inlineStr">
        <is>
          <t>Hello,does anyone with oral cancer got diagnosed with fanconi anemia after that ?
I got tongue cancer at just 31 and doctors are considering fanconi anemia despite the fact i have 0 symptom , no  pancytopenia, no short stature , no abnormal ear, no malformation 
it start to significantly impacting my life, I didnt go to work today  because of anxiety 
i spent most of my time searching about it 
Is oral cancer at a young age due to fanconi anemia ?</t>
        </is>
      </c>
      <c r="D8117" t="n">
        <v>1</v>
      </c>
      <c r="E8117" t="n">
        <v>0</v>
      </c>
      <c r="F8117">
        <f>HYPERLINK("https://www.reddit.com/r/cancer/comments/fdsiyj/oral_cancer_at_a_young_age_40_years_old_and/")</f>
        <v/>
      </c>
      <c r="G8117" t="inlineStr">
        <is>
          <t>2020-03-05 00:54:30</t>
        </is>
      </c>
      <c r="H8117" t="inlineStr"/>
    </row>
    <row r="8118">
      <c r="A8118" t="inlineStr">
        <is>
          <t>fdwn6z</t>
        </is>
      </c>
      <c r="B8118" t="inlineStr">
        <is>
          <t>Great News!</t>
        </is>
      </c>
      <c r="C8118" t="inlineStr">
        <is>
          <t>I visited the leading expert on my rare disease earlier this week and got some great news: I'm very stable!
I've been stable for a year now and he doesn't want me to do anymore treatments for the time being, unless something changes. I still have dozens of tumors, but there's no new growths and the existing ones haven't gotten any bigger. Some of the smaller ones even shrunk a little! 
Very happy to hear this news and thought I would share!</t>
        </is>
      </c>
      <c r="D8118" t="n">
        <v>1</v>
      </c>
      <c r="E8118" t="n">
        <v>15</v>
      </c>
      <c r="F8118">
        <f>HYPERLINK("https://www.reddit.com/r/cancer/comments/fdwn6z/great_news/")</f>
        <v/>
      </c>
      <c r="G8118" t="inlineStr">
        <is>
          <t>2020-03-05 07:14:52</t>
        </is>
      </c>
      <c r="H8118" t="inlineStr"/>
    </row>
    <row r="8119">
      <c r="A8119" t="inlineStr">
        <is>
          <t>fdxftk</t>
        </is>
      </c>
      <c r="B8119" t="inlineStr">
        <is>
          <t>To those that have relapsed...</t>
        </is>
      </c>
      <c r="C8119" t="inlineStr">
        <is>
          <t>YOU are the true warriors. 
Beating cancer the first time was “easy.” I didn’t know what to expect. I was blind to the side effects and emotional toll it would take. “Ignorance is bliss” they say.  
Just the thought of having to do it again makes me want to cry, now that I know what to expect. So for you to keep pushing forward and face that head on? I see you. I respect you. I admire your strength. Keep fighting, you beautiful soul. 
(First time fighters- know that I do not mean to lessen your fight! I respect you too!)</t>
        </is>
      </c>
      <c r="D8119" t="n">
        <v>1</v>
      </c>
      <c r="E8119" t="n">
        <v>14</v>
      </c>
      <c r="F8119">
        <f>HYPERLINK("https://www.reddit.com/r/cancer/comments/fdxftk/to_those_that_have_relapsed/")</f>
        <v/>
      </c>
      <c r="G8119" t="inlineStr">
        <is>
          <t>2020-03-05 08:08:25</t>
        </is>
      </c>
      <c r="H8119" t="inlineStr"/>
    </row>
    <row r="8120">
      <c r="A8120" t="inlineStr">
        <is>
          <t>fdzld0</t>
        </is>
      </c>
      <c r="B8120" t="inlineStr">
        <is>
          <t>I’m desperate for my friend.</t>
        </is>
      </c>
      <c r="C8120" t="inlineStr">
        <is>
          <t>Let me elaborate on my situation. I’m only 23. I have a good friend of mine who’s 67. He’s not really mentally disabled by legal means but he’s not exactly an adult even at his age. This man has helped me so much. I would sneak over to his house when I was younger when my parents were fighting and we would watch the original Star Treks and smoke weed and maybe have a few beers. This man is genuinely such a great individual that I’m going to think about him for as long as I live even after he’s gone. And right now he’s spitting up blood and puss from cancer of the throat. I fucking can’t understand it. I want my friend to live. He’s done nothing but help people who others deemed bad for society and this is what he gets? I don’t know if I should start a go fund me or what. I’m willing to pay money for marijuana taken anally or by food. Me and my dad try to smoke and make Edibles that don’t make him cough and hurt himself but it’s just fucking making me a wreck. I want my friend.</t>
        </is>
      </c>
      <c r="D8120" t="n">
        <v>1</v>
      </c>
      <c r="E8120" t="n">
        <v>2</v>
      </c>
      <c r="F8120">
        <f>HYPERLINK("https://www.reddit.com/r/cancer/comments/fdzld0/im_desperate_for_my_friend/")</f>
        <v/>
      </c>
      <c r="G8120" t="inlineStr">
        <is>
          <t>2020-03-05 10:27:14</t>
        </is>
      </c>
      <c r="H8120" t="inlineStr"/>
    </row>
    <row r="8121">
      <c r="A8121" t="inlineStr">
        <is>
          <t>fdzzan</t>
        </is>
      </c>
      <c r="B8121" t="inlineStr">
        <is>
          <t>How to make a hospice feel like home?</t>
        </is>
      </c>
      <c r="C8121" t="inlineStr">
        <is>
          <t>I’ve been so frustrated this past week because it felt like the doctors weren’t doing enough to get my mother mobile enough so that she could come home in the next week or so...then yesterday we got the news that the next step is a hospice. She won’t be coming home. It all makes sense now. The cancer has spread too far and she only has a few months to live. 
Obviously I’m still reeling from this news and sobbing as I type so sorry if this doesn’t make a lot of sense. I just want her time at the hospice to feel as amazing as possible. I’m going to get a bunch of pictures printed for a bulletin board, but any other suggestions? I don’t know what I’m doing here...I just wanted her home...</t>
        </is>
      </c>
      <c r="D8121" t="n">
        <v>1</v>
      </c>
      <c r="E8121" t="n">
        <v>14</v>
      </c>
      <c r="F8121">
        <f>HYPERLINK("https://www.reddit.com/r/cancer/comments/fdzzan/how_to_make_a_hospice_feel_like_home/")</f>
        <v/>
      </c>
      <c r="G8121" t="inlineStr">
        <is>
          <t>2020-03-05 10:52:24</t>
        </is>
      </c>
      <c r="H8121" t="inlineStr"/>
    </row>
    <row r="8122">
      <c r="A8122" t="inlineStr">
        <is>
          <t>fe00qo</t>
        </is>
      </c>
      <c r="B8122" t="inlineStr">
        <is>
          <t>Myxofibrosarcoma</t>
        </is>
      </c>
      <c r="C8122" t="inlineStr">
        <is>
          <t>So apparently I have cancer.  I found a tumor on my birthday (Nov 22nd) on my upper thigh/hip area.  They at first thought it was a benign tumor which was great but then when I went to have it removed (luckily as it turns out) the Doctor refused to do the surgery since she did not believe it was benign and thought it was attached to my femoral artery (which it turns out it is). So after the MRI and the biopsy I got a diagnosis of Myxofibrosarcoma.  My treatment plan seems to be super well thought out (radiation for 5 weeks then surgery) and I should be starting it in about 2 weeks but I'm just wondering if anyone has any experience with this type of cancer? I've been reading that this is not a very well understood type and has a high chance of recurrence which is pretty frightening. Oh also, its getting larger and larger.  Its apparently 9 cm  by 5.5 cm and starting to become super painful.  I just would like some advice or reassurance I think .. sorry and thanks for your help!</t>
        </is>
      </c>
      <c r="D8122" t="n">
        <v>1</v>
      </c>
      <c r="E8122" t="n">
        <v>9</v>
      </c>
      <c r="F8122">
        <f>HYPERLINK("https://www.reddit.com/r/cancer/comments/fe00qo/myxofibrosarcoma/")</f>
        <v/>
      </c>
      <c r="G8122" t="inlineStr">
        <is>
          <t>2020-03-05 10:55:03</t>
        </is>
      </c>
      <c r="H8122" t="inlineStr"/>
    </row>
    <row r="8123">
      <c r="A8123" t="inlineStr">
        <is>
          <t>fe25k0</t>
        </is>
      </c>
      <c r="B8123" t="inlineStr">
        <is>
          <t>Liver mass didn’t follow up on</t>
        </is>
      </c>
      <c r="C8123" t="inlineStr">
        <is>
          <t>In May of 2016 a large liver mass with legions was found when doing an ultra sound for something else.  My blood tests were normal.  My dr seemed to think it was cancer and said I needed a CT scan.  I didn’t get one.  Almost 4 years later I have no symptoms.  Just slight bloating which I always had.  I went to a new Dr recently and she said she could feel my liver in enlarged when touching my stomach.  Again liver function on my blood tests where normal.  If it was cancer I think I would have more symptoms by now?</t>
        </is>
      </c>
      <c r="D8123" t="n">
        <v>1</v>
      </c>
      <c r="E8123" t="n">
        <v>12</v>
      </c>
      <c r="F8123">
        <f>HYPERLINK("https://www.reddit.com/r/cancer/comments/fe25k0/liver_mass_didnt_follow_up_on/")</f>
        <v/>
      </c>
      <c r="G8123" t="inlineStr">
        <is>
          <t>2020-03-05 13:09:52</t>
        </is>
      </c>
      <c r="H8123" t="inlineStr"/>
    </row>
    <row r="8124">
      <c r="A8124" t="inlineStr">
        <is>
          <t>fe651y</t>
        </is>
      </c>
      <c r="B8124" t="inlineStr">
        <is>
          <t>Cancer has taken my mother and grandfather from me in the span of one week</t>
        </is>
      </c>
      <c r="C8124" t="inlineStr">
        <is>
          <t>Today was my mother’s mass. There was a huge turnout of everyone she loved and touched throughout her life. It was a celebration of life, which is what she would have wanted. After spending the whole day with family, I was heading home when I instead decided to visit my grandfather. I said my goodbyes and thank yous, and he died an hour later. I’m so glad I changed my mind so I could say goodbye. 
It’s a strange feeling. I’m not devastated like most people would be. I spent my time, I left no words unsaid, and while it really sucks that I won’t see my mother or grandfather, I was there for both of them until the very end.</t>
        </is>
      </c>
      <c r="D8124" t="n">
        <v>1</v>
      </c>
      <c r="E8124" t="n">
        <v>5</v>
      </c>
      <c r="F8124">
        <f>HYPERLINK("https://www.reddit.com/r/cancer/comments/fe651y/cancer_has_taken_my_mother_and_grandfather_from/")</f>
        <v/>
      </c>
      <c r="G8124" t="inlineStr">
        <is>
          <t>2020-03-05 17:49:24</t>
        </is>
      </c>
      <c r="H8124" t="inlineStr"/>
    </row>
    <row r="8125">
      <c r="A8125" t="inlineStr">
        <is>
          <t>fe69of</t>
        </is>
      </c>
      <c r="B8125" t="inlineStr">
        <is>
          <t>Comforting my kitty until the end. #fuckcancer</t>
        </is>
      </c>
      <c r="C8125" t="inlineStr">
        <is>
          <t>Two weeks ago I took my sweet kitty Bobbles to the vet for his annual teeth cleaning. Except this time, they found cancer under his tounge. Earth shattering news that eventually led up to the kitty oncologist appointment I had this morning. 
A little back story: Bobbles was born June 1st, 2006 (making him almost 14yo). He was born dead to our childhood house cat (her name was Bobbie Socks) and he was born with no tail. After performing "Kitty CPR" (pushing on his tummy/chest and throwing him up and down a bit) he came back to life. The asphyxiation caused him to be born with head tremors (hence the name Bobbles - like a bobble-head) and an extra-special mind (just a tad slower than other kitties).  He and I are extremely close, truly my child and the love of my life.
Now, back on topic - there were some key takeaways and next steps from this oncoloist appointment today:
- this cancer is complicated and common in cats
- this particular cancer is aggressive
- there is a 0% chance of curing him
- once diagnosed, life expectancy is 1 month
- and there are two options in which I will need to pick from as next steps
✔ OPTION #2: 🏥💊💉
Details: 
Begin radiation and chemotherapy. I would need to drive him to WSU (pullman) and drop him off for radiation treatment. After 10 days, I would go pick him up and take him home to begin a chemotherapy pill regime. Depending on how he reacts to radiation, a feeding tube may be necessary until swelling in his mouth reduces. Cats are more tolerant than humans to this kind of therapy.
Cost: 💰
- Radiation/boarding @ WSU: $3,400
- Chemotherapy pills: $100/month
- Pain medication: $100/month
- Checkups/monitoring/bloodwork: $200-300+/month
Expected Result: 📝
- Potentially adds 3-6 months to his life expectancy
- Putting him down 
✔ OPTION #2: 
Details:
Monitor Bobbles over the next month for his ability to consume food and water. As his ability to eat food deteriorates because of the pain under his tounge, begin introducing pain management care/medicine.
Cost: 💰
- Pain medication: $100/month
Expected Result: 📝
- 1 month life expectancy +/-
- Putting him down
Conclusion: 😢
Cancer is fucked and this was not even close to what I was hoping would happen during this appt. First of all, I was told the same exact information regarding options from the previous vet and the only difference was an extra $160 for this visit and the oncologist saying that there is actually zero chance of a cure. I suppose now that my optimism was unfounded.
If Bobbles had a chance, or if previous cats/patients had survived even 1% of the time, I would be moving forward with option one with zero hesitation. Unfortunately no cat has survived and putting him through immense pain and sickness just for just 3-6 more months of potential pain does not seem fair to him.
For this reason, I will be chosing option 2. We will spend a lot of time together over the next 3-6 weeks and I will be monitoring him closely. I will also introduce pain medication the moment it's needed.
When we reach a point where enough is enough, and medication isn't helping. I will happily send him off to kitty heaven.
Until then, nothing but snuggles &amp;amp; kisses from me.</t>
        </is>
      </c>
      <c r="D8125" t="n">
        <v>1</v>
      </c>
      <c r="E8125" t="n">
        <v>25</v>
      </c>
      <c r="F8125">
        <f>HYPERLINK("https://www.reddit.com/r/cancer/comments/fe69of/comforting_my_kitty_until_the_end_fuckcancer/")</f>
        <v/>
      </c>
      <c r="G8125" t="inlineStr">
        <is>
          <t>2020-03-05 17:59:00</t>
        </is>
      </c>
      <c r="H8125" t="inlineStr"/>
    </row>
    <row r="8126">
      <c r="A8126" t="inlineStr">
        <is>
          <t>fe6rij</t>
        </is>
      </c>
      <c r="B8126" t="inlineStr">
        <is>
          <t>Going for surgery tomorrow</t>
        </is>
      </c>
      <c r="C8126" t="inlineStr">
        <is>
          <t>So I'm at the end of the tunnel, and after about 8 months of chemo for my osteosarcoma I'm going for reconstruction surgery on my leg tomorrow. My surgeon went over it with me and it is a very serious over 10 hour surgery. Did you guys know you can walk without your fibula? I didn't. Anyway, to be honest this is the second most nervous I've been in the last 8 months and I was wondering if anyone else here has had experience with surgeries of this kind and could share your stories. Or maybe if there's anyone else in my shoes diagnosed with sarcoma like mine and is nervous about it too I could share my experience to calm the nerves. Idk I've just never had surgery of any kind before and am worried about the anesthesia and the recovery/pain etc.</t>
        </is>
      </c>
      <c r="D8126" t="n">
        <v>1</v>
      </c>
      <c r="E8126" t="n">
        <v>18</v>
      </c>
      <c r="F8126">
        <f>HYPERLINK("https://www.reddit.com/r/cancer/comments/fe6rij/going_for_surgery_tomorrow/")</f>
        <v/>
      </c>
      <c r="G8126" t="inlineStr">
        <is>
          <t>2020-03-05 18:36:09</t>
        </is>
      </c>
      <c r="H8126" t="inlineStr"/>
    </row>
    <row r="8127">
      <c r="A8127" t="inlineStr">
        <is>
          <t>fe6zr2</t>
        </is>
      </c>
      <c r="B8127" t="inlineStr">
        <is>
          <t>Immunotherapy or not?</t>
        </is>
      </c>
      <c r="C8127" t="inlineStr">
        <is>
          <t>First time poster here and sorry for formatting since I’m on mobile. For context, my mom is 45, healthy weight/lifestyle, never smoked or drank, and doesn’t have any other health conditions as of yet. 
After a biopsy of a weird looking mole and lymph node, my mom was diagnosed with stage 3A melanoma; she had a mole that was thin and not ulcerated but it still spread to her sentinel lymph node and actually penetrated it as well. PET and MRI scans showed no indications that the cancer has spread to the rest of her body or her brain. 
Now for my question: she’s debating whether to start immunotherapy (keytruda) at the recommendation of her doc, or to wait and see if the melanoma will come back. The melanoma has a 40% chance of recurrence without immunotherapy and a 20% with. I’m not gonna go into detail on Keytruda here because the side effects are super lengthy and horrible- plus I’m sure many are familiar or have heard of it. A lot of it could potentially cause irreversible damage to many different parts of her body; my concern is that it might make things even worse for her. 
So just wondering what your experiences have been if you’ve taken Keytruda, or what you think of these recurrence rates. Also, is it worth it to jeopardize the remainder of her good health to reduce rate of recurrence?  She’s open to hearing from anyone and I thought this would be a good place to ask. Doctor says she could go either way but is still in favor of the reduction in recurrence.</t>
        </is>
      </c>
      <c r="D8127" t="n">
        <v>1</v>
      </c>
      <c r="E8127" t="n">
        <v>10</v>
      </c>
      <c r="F8127">
        <f>HYPERLINK("https://www.reddit.com/r/cancer/comments/fe6zr2/immunotherapy_or_not/")</f>
        <v/>
      </c>
      <c r="G8127" t="inlineStr">
        <is>
          <t>2020-03-05 18:53:28</t>
        </is>
      </c>
      <c r="H8127" t="inlineStr"/>
    </row>
    <row r="8128">
      <c r="A8128" t="inlineStr">
        <is>
          <t>fe901i</t>
        </is>
      </c>
      <c r="B8128" t="inlineStr">
        <is>
          <t>What game changing products did you discover during treatment and favorite lotions/lip balms</t>
        </is>
      </c>
      <c r="C8128" t="inlineStr">
        <is>
          <t>I have a friend who recently started treatment for A.L.L. I am going to send him a care package and he told me to send whatever as long as they can either wash it in a hot washer, or spray it with disinfectant.
My plan is to get him a satin pillowcase, a blanket of some sort, hand sanitizer (it’s super hard to find right now and his wife doesn’t have time to go to 50 different stores looking), and then a lotion and lip balm
I heard lotions and lip balms are a great gift, but what kind you guys like during treatment, and do you have any other products you wish you had at the start of treatment?</t>
        </is>
      </c>
      <c r="D8128" t="n">
        <v>1</v>
      </c>
      <c r="E8128" t="n">
        <v>16</v>
      </c>
      <c r="F8128">
        <f>HYPERLINK("https://www.reddit.com/r/cancer/comments/fe901i/what_game_changing_products_did_you_discover/")</f>
        <v/>
      </c>
      <c r="G8128" t="inlineStr">
        <is>
          <t>2020-03-05 21:44:34</t>
        </is>
      </c>
      <c r="H8128" t="inlineStr"/>
    </row>
    <row r="8129">
      <c r="A8129" t="inlineStr">
        <is>
          <t>fec3s5</t>
        </is>
      </c>
      <c r="B8129" t="inlineStr">
        <is>
          <t>Care package suggestions?</t>
        </is>
      </c>
      <c r="C8129" t="inlineStr">
        <is>
          <t>One of my closest friends has recently found out that her Mum has terminal cancer with a prognosis of only a few months. I'm not sure on the best way to support her at this time, but a few of us would like to club together to make her a care package. I was hoping I could find some suggestions of what to put in it from people who have been through that themselves?
My friend is a very creative person so craft-based items would be good, but I also want to make sure I'm including things that will take some of the stress off her or provide useful reading material...
Thanks in advance everybody.</t>
        </is>
      </c>
      <c r="D8129" t="n">
        <v>1</v>
      </c>
      <c r="E8129" t="n">
        <v>7</v>
      </c>
      <c r="F8129">
        <f>HYPERLINK("https://www.reddit.com/r/cancer/comments/fec3s5/care_package_suggestions/")</f>
        <v/>
      </c>
      <c r="G8129" t="inlineStr">
        <is>
          <t>2020-03-06 03:21:43</t>
        </is>
      </c>
      <c r="H8129" t="inlineStr"/>
    </row>
    <row r="8130">
      <c r="A8130" t="inlineStr">
        <is>
          <t>fec8e1</t>
        </is>
      </c>
      <c r="B8130" t="inlineStr">
        <is>
          <t>Socialising as a young adult with cancer.</t>
        </is>
      </c>
      <c r="C8130" t="inlineStr">
        <is>
          <t xml:space="preserve"> 
Hi my name is Matthew, I was diagnosed with 2 germinoma brain tumors in 2017 after months of treatment I got the all clear.
The main struggle I had after treatment was the social isolation I faced.
After a couple of tough years I decided to make a website where young adults affected by cancer aged 18-32 can join in our scheduled activities such as: game nights, movie nights, social meets, and much more with each other.
This is a follow up of my previous post with the same title.
The website is now live and I would like to invite anyone who meets the age requirement to come and visit us at: energyout.co.uk
Hope to see you all soon and don't hesitate to message me if you have any questions!
Thank you! tngp / Matthew White
P.s I wasn't sure if I could post this here so sorry if it's in the wrong place!</t>
        </is>
      </c>
      <c r="D8130" t="n">
        <v>1</v>
      </c>
      <c r="E8130" t="n">
        <v>7</v>
      </c>
      <c r="F8130">
        <f>HYPERLINK("https://www.reddit.com/r/cancer/comments/fec8e1/socialising_as_a_young_adult_with_cancer/")</f>
        <v/>
      </c>
      <c r="G8130" t="inlineStr">
        <is>
          <t>2020-03-06 03:35:19</t>
        </is>
      </c>
      <c r="H8130" t="inlineStr"/>
    </row>
    <row r="8131">
      <c r="A8131" t="inlineStr">
        <is>
          <t>fedcm9</t>
        </is>
      </c>
      <c r="B8131" t="inlineStr">
        <is>
          <t>Hi..</t>
        </is>
      </c>
      <c r="C8131" t="inlineStr">
        <is>
          <t>I just lost my mom this Monday I think, but the days are kind of blending together. She died at home and I was here helping until very end but I don’t know what to do. I don’t know what to do. Someone please tell me what to do. Please</t>
        </is>
      </c>
      <c r="D8131" t="n">
        <v>1</v>
      </c>
      <c r="E8131" t="n">
        <v>21</v>
      </c>
      <c r="F8131">
        <f>HYPERLINK("https://www.reddit.com/r/cancer/comments/fedcm9/hi/")</f>
        <v/>
      </c>
      <c r="G8131" t="inlineStr">
        <is>
          <t>2020-03-06 05:18:57</t>
        </is>
      </c>
      <c r="H8131" t="inlineStr"/>
    </row>
    <row r="8132">
      <c r="A8132" t="inlineStr">
        <is>
          <t>fee6xl</t>
        </is>
      </c>
      <c r="B8132" t="inlineStr">
        <is>
          <t>Neice has cancer - how can I help</t>
        </is>
      </c>
      <c r="C8132" t="inlineStr">
        <is>
          <t>Today I found out my 6yo neice has leukaemia. Her mother &amp;amp; I have a complicated relationship but she happily acknowledges that her 4 kids see me as their aunt &amp;amp; I'm good with them.
Because our relationship can be strained I'm not sure what, if any help I should off as she is a single mum to 4 kids &amp;amp; I can only assume feeling gods knows what. 
Does anyone have any ideas, suggestions or advice on what I can do in this situation?</t>
        </is>
      </c>
      <c r="D8132" t="n">
        <v>1</v>
      </c>
      <c r="E8132" t="n">
        <v>7</v>
      </c>
      <c r="F8132">
        <f>HYPERLINK("https://www.reddit.com/r/cancer/comments/fee6xl/neice_has_cancer_how_can_i_help/")</f>
        <v/>
      </c>
      <c r="G8132" t="inlineStr">
        <is>
          <t>2020-03-06 06:27:00</t>
        </is>
      </c>
      <c r="H8132" t="inlineStr"/>
    </row>
    <row r="8133">
      <c r="A8133" t="inlineStr">
        <is>
          <t>fej2kv</t>
        </is>
      </c>
      <c r="B8133" t="inlineStr">
        <is>
          <t>Quick question - Visited the Urologist with my husband yesterday and am confused...</t>
        </is>
      </c>
      <c r="C8133" t="inlineStr">
        <is>
          <t>So long story short - A week or so ago my boyfriend brought to my attention that his left testicle is feeling firmer than normal, and definitely firmer than the right. I went ahead and checked myself, and it turns out it was true. There was no pain (besides the normal handling of that area), no discoloration, and no swelling that I could personally report (I'm not a doctor, obviously, but I did try to gather answers by checking with with my boyfriend while I palpated).
A few days later, we met with the general practitioner, and he referred us to the Radiology dept. for an ultrasound. Next day, he had his appt. for the ultrasound to be sent directly to a Urologist.
Yesterday, we met with the urologist to talk to him about our next plan of action. (He didn't outright show us the ultrasound and had to kind of get it out of him - which was a little upsetting). Basically, he claimed that there is officially a mass in his left testicle, and that yes, removal is going to have to happen. He did breeze over a lot of important factors (this was a first time with this type of interaction so I honestly did have tunnel vision and questionable focus), including the fact that a biopsy is not an option (I have yet to ask him why exactly). I also asked what the chances are that his mass is non-cancerous, and he said "There's a very small chance \[of it not being cancerous\] at this point."
I have a phone meeting with him hopefully soon - so these questions will be answered in entirety, but just wanted to check with others with this kind of experience - Why is he saying that it has a small chance of being non-cancerous without any official test results (just a scan to go on)? And why is biopsy not an option - if we still don't know if the mass is benign or malignant?
TL;DR - My boyfriend reports his left testicle is firmer than normal. His ultrasounds have found a mass in pretty much the entirety of the left testicle. Urologist is saying that biopsy not an option - will have to be fully removed, and a very small chance that mass is non-cancerous - even before CT scan and any blood results. Why is he making those distinctions if it might be so soon?</t>
        </is>
      </c>
      <c r="D8133" t="n">
        <v>1</v>
      </c>
      <c r="E8133" t="n">
        <v>4</v>
      </c>
      <c r="F8133">
        <f>HYPERLINK("https://www.reddit.com/r/cancer/comments/fej2kv/quick_question_visited_the_urologist_with_my/")</f>
        <v/>
      </c>
      <c r="G8133" t="inlineStr">
        <is>
          <t>2020-03-06 11:51:39</t>
        </is>
      </c>
      <c r="H8133" t="inlineStr"/>
    </row>
    <row r="8134">
      <c r="A8134" t="inlineStr">
        <is>
          <t>fej69x</t>
        </is>
      </c>
      <c r="B8134" t="inlineStr">
        <is>
          <t>Mom is skin and bones, is not eating/drinking enough.</t>
        </is>
      </c>
      <c r="C8134" t="inlineStr">
        <is>
          <t>Stage 3 pancreatic cancer diagnosis in mid-January.  She’s losing weight, dealing with constant pain/pressure/sour stomach.  Aside from holding her down and pouring liquids and oatmeal down a funnel, what can I do?  I feel like she is waiting to be “in the mood” to eat, but that mood ain’t coming, and she gets irritated by my regular “little suggestions.”  Her nurse told her to drink 6 bottles of water a day, and she barely gets 2.  I can only be with her every other week, and I’m already missing a lot of work.  It’s really stressing me out and I don’t know how to get through to her, or if I’m even right.  Help, please!</t>
        </is>
      </c>
      <c r="D8134" t="n">
        <v>1</v>
      </c>
      <c r="E8134" t="n">
        <v>14</v>
      </c>
      <c r="F8134">
        <f>HYPERLINK("https://www.reddit.com/r/cancer/comments/fej69x/mom_is_skin_and_bones_is_not_eatingdrinking_enough/")</f>
        <v/>
      </c>
      <c r="G8134" t="inlineStr">
        <is>
          <t>2020-03-06 11:58:26</t>
        </is>
      </c>
      <c r="H8134" t="inlineStr"/>
    </row>
    <row r="8135">
      <c r="A8135" t="inlineStr">
        <is>
          <t>fejs9e</t>
        </is>
      </c>
      <c r="B8135" t="inlineStr">
        <is>
          <t>If you cannot find masks and need one, I can mail you one.</t>
        </is>
      </c>
      <c r="C8135" t="inlineStr">
        <is>
          <t>As the title says. I didn’t know where else to post this but I know those battling cancer are immunocompromised. I have 8 masks here that we actually got for a painting project a few months ago and didn’t use. If anyone needs one for medical reasons and cannot get one at a local store (everywhere by me is sold out of everything) please DM me your address and I will mail you one (within USA)</t>
        </is>
      </c>
      <c r="D8135" t="n">
        <v>1</v>
      </c>
      <c r="E8135" t="n">
        <v>1</v>
      </c>
      <c r="F8135">
        <f>HYPERLINK("https://www.reddit.com/r/cancer/comments/fejs9e/if_you_cannot_find_masks_and_need_one_i_can_mail/")</f>
        <v/>
      </c>
      <c r="G8135" t="inlineStr">
        <is>
          <t>2020-03-06 12:38:07</t>
        </is>
      </c>
      <c r="H8135" t="inlineStr"/>
    </row>
    <row r="8136">
      <c r="A8136" t="inlineStr">
        <is>
          <t>fek89w</t>
        </is>
      </c>
      <c r="B8136" t="inlineStr">
        <is>
          <t>Can a metastasized tumor metastasize again? (Original Nasalpharyngeal Cancer eliminated..)</t>
        </is>
      </c>
      <c r="C8136" t="inlineStr">
        <is>
          <t>TDLR: MY dad beat nasal pharyngeal cancer last summer. There is a single metastasized tumor on his third rib. Can this tumor also send its own little soldiers out to metastasize again - or is all the "spreading" done by the original nasopharyngeal tumor?  
Hello,  
I spent a little time googling this, and I also asked my Father's doctor, but I never got a clear answer. It may be because there isn't one, but I thought I would ask here. I really appreciate any help, or even any opinions on the matter.   
My father was diagnosed with stage 4 nasopharyngeal (In the mucus membrane section of the face) two years ago. Originally PET scans, and biopsies revealed that the tumor had spread to one or two lymph nodes in the upper neck area.   
With tomotherapy (targeted radiation) plus chemotherapy, he "beat" the tumor, yay!  
Now it looks like there is another tumor in his third rib. PET scans and MRIs can only find this one cancerous spot. We detected it when my Father's EBV-DNA indicators began to rise again (they were really high when he had the original tumors. The MRI indicates that the little growth on the third rib takes has its own blood supply.   
My dad is signed up for a "needle biopsy" next Thursday, the doctors will also "send samples of the tumor to a lab in Germany" for genetic sequencing. Sounds like Science Fiction but it's real!
Can this tumor also send its own little soldiers out to metastasize again - or is all the "spreading" done by the original nasopharyngeal tumor?
&amp;amp;#x200B;
Thank you for your input.</t>
        </is>
      </c>
      <c r="D8136" t="n">
        <v>1</v>
      </c>
      <c r="E8136" t="n">
        <v>7</v>
      </c>
      <c r="F8136">
        <f>HYPERLINK("https://www.reddit.com/r/cancer/comments/fek89w/can_a_metastasized_tumor_metastasize_again/")</f>
        <v/>
      </c>
      <c r="G8136" t="inlineStr">
        <is>
          <t>2020-03-06 13:06:57</t>
        </is>
      </c>
      <c r="H8136" t="inlineStr"/>
    </row>
    <row r="8137">
      <c r="A8137" t="inlineStr">
        <is>
          <t>felnxl</t>
        </is>
      </c>
      <c r="B8137" t="inlineStr">
        <is>
          <t>What are good dishes/foods during chemo?</t>
        </is>
      </c>
      <c r="C8137" t="inlineStr">
        <is>
          <t>A friend of mine, 25F, was diagnosed with stage II breast cancer. I don’t know if it’s IIA or IIB (I hope I’m getting this right). She is going to go through chemo and I’m planning on making a bunch of food when things start getting crazy so her and her boyfriend can get a break from cooking and meal prep. I’ve been doing some research about what foods are recommended and what is not. I’m also going to base the dishes off of her doctors recommendations and how she’s feeling, of course. If anyone has any ideas of what would be good to make, what food they found to be good/helpful in their experience, or just any food advice in general I would really love to get some feedback. I just want to help any way I can and I know one thing people always need is food. I’ll take any advice on how I can help, honestly. Thanks!!</t>
        </is>
      </c>
      <c r="D8137" t="n">
        <v>1</v>
      </c>
      <c r="E8137" t="n">
        <v>30</v>
      </c>
      <c r="F8137">
        <f>HYPERLINK("https://www.reddit.com/r/cancer/comments/felnxl/what_are_good_dishesfoods_during_chemo/")</f>
        <v/>
      </c>
      <c r="G8137" t="inlineStr">
        <is>
          <t>2020-03-06 14:42:20</t>
        </is>
      </c>
      <c r="H8137" t="inlineStr"/>
    </row>
    <row r="8138">
      <c r="A8138" t="inlineStr">
        <is>
          <t>feqf8b</t>
        </is>
      </c>
      <c r="B8138" t="inlineStr">
        <is>
          <t>22F Breast Issue</t>
        </is>
      </c>
      <c r="C8138" t="inlineStr">
        <is>
          <t xml:space="preserve">
I developed a flaky, itchy, red rash like thing on my left nipple. It started when I was breastfeeding but have stopped breastfeeding for a few months now and it continues. I’ve had a few different creams prescribed but it just goes and comes back. My family doctor suspects Paget’a disease. Ultrasound came back clean. I have now developed this long thin wire like thing in my breast running from the armpit to the nipple. In a bra, when my breast is well supported, you can see a clear clear dent from that. Waiting to get a biopsy but very curious to hear opinions.</t>
        </is>
      </c>
      <c r="D8138" t="n">
        <v>1</v>
      </c>
      <c r="E8138" t="n">
        <v>1</v>
      </c>
      <c r="F8138">
        <f>HYPERLINK("https://www.reddit.com/r/cancer/comments/feqf8b/22f_breast_issue/")</f>
        <v/>
      </c>
      <c r="G8138" t="inlineStr">
        <is>
          <t>2020-03-06 20:58:43</t>
        </is>
      </c>
      <c r="H8138" t="inlineStr"/>
    </row>
    <row r="8139">
      <c r="A8139" t="inlineStr">
        <is>
          <t>feql8z</t>
        </is>
      </c>
      <c r="B8139" t="inlineStr">
        <is>
          <t>My cancer experience</t>
        </is>
      </c>
      <c r="C8139" t="inlineStr">
        <is>
          <t>I have cancer almost 5 years ago. At certain a point my treatment I thought I was going to die. I’m still a survivor to this day and continue to support cancer to this day. Gold being my favorite color.</t>
        </is>
      </c>
      <c r="D8139" t="n">
        <v>1</v>
      </c>
      <c r="E8139" t="n">
        <v>11</v>
      </c>
      <c r="F8139">
        <f>HYPERLINK("https://www.reddit.com/r/cancer/comments/feql8z/my_cancer_experience/")</f>
        <v/>
      </c>
      <c r="G8139" t="inlineStr">
        <is>
          <t>2020-03-06 21:13:54</t>
        </is>
      </c>
      <c r="H8139" t="inlineStr"/>
    </row>
    <row r="8140">
      <c r="A8140" t="inlineStr">
        <is>
          <t>feqlcn</t>
        </is>
      </c>
      <c r="B8140" t="inlineStr">
        <is>
          <t>Question about hospice</t>
        </is>
      </c>
      <c r="C8140" t="inlineStr">
        <is>
          <t>So my dad (M60, rectal cancer) started hospice last week. He had an episode on Sunday where his skin was mottling and the nurses said he only had a couple hours to live. Then it went away.
Since then, they have put him in hospice care and upped his pain meds. He’s become completely incoherent, doesn’t eat or drink. He opens his eyes and stares every once in awhile, but no interaction whatsoever.
Last week, we were all enjoying chats in and out of him resting. His pain was being managed, but he was awake enough that he could talk and eat.
But ever since he’s gone into hospice which is pretty much right after his skin mottled for a couple hours and went away, he’s been completely out of it and is basically starving to death since he can’t even wake up to eat. 
Is this normal? Is this really the way this works? I want to asks the nurses to lay off his meds so he can wake up a little and eat! Or something! I want to know that we’re not just putting him to rest via sedatives and starvation! 
Ugh, wtf! This sucks. Someone shed some light if possible and tell me if this is normal.</t>
        </is>
      </c>
      <c r="D8140" t="n">
        <v>1</v>
      </c>
      <c r="E8140" t="n">
        <v>10</v>
      </c>
      <c r="F8140">
        <f>HYPERLINK("https://www.reddit.com/r/cancer/comments/feqlcn/question_about_hospice/")</f>
        <v/>
      </c>
      <c r="G8140" t="inlineStr">
        <is>
          <t>2020-03-06 21:14:12</t>
        </is>
      </c>
      <c r="H8140" t="inlineStr"/>
    </row>
    <row r="8141">
      <c r="A8141" t="inlineStr">
        <is>
          <t>fevitg</t>
        </is>
      </c>
      <c r="B8141" t="inlineStr">
        <is>
          <t>Finally, a food that doesn't destroy my intestines?</t>
        </is>
      </c>
      <c r="C8141" t="inlineStr">
        <is>
          <t>If it's not heartburn or nausea, it's diarrhea and cramps. I've been systematically going through foods (low carb, low fat, bland, etc) and I'm in constant GI distress on my chemo. Today I made egg drop soup (chicken broth granules and water, boiled, drop in whisked egg, cook it). I can usually tell within a few bites if it's going to be an issue. So far, so good. 
What food do you eat to minimize gastric issues?</t>
        </is>
      </c>
      <c r="D8141" t="n">
        <v>1</v>
      </c>
      <c r="E8141" t="n">
        <v>34</v>
      </c>
      <c r="F8141">
        <f>HYPERLINK("https://www.reddit.com/r/cancer/comments/fevitg/finally_a_food_that_doesnt_destroy_my_intestines/")</f>
        <v/>
      </c>
      <c r="G8141" t="inlineStr">
        <is>
          <t>2020-03-07 06:04:25</t>
        </is>
      </c>
      <c r="H8141" t="inlineStr"/>
    </row>
    <row r="8142">
      <c r="A8142" t="inlineStr">
        <is>
          <t>ff0ech</t>
        </is>
      </c>
      <c r="B8142" t="inlineStr">
        <is>
          <t>Im pretty f*ckin scared right now. (23/M, Hodkin's)</t>
        </is>
      </c>
      <c r="C8142" t="inlineStr">
        <is>
          <t>Yesterday I had my 9th chemo (out of 12), and the interim pet CT still found some residual activity around the region of the original abnormalities. This means if my next pet CT is not absolutely perfect, bone marrow transplant is next. This means weeks(if not months) of hospitalization, with stronger drugs (=stronger side effects). This week coronavirus arrived in my country, to be more specific the first case came from my university, and the patients are held in a quarantaine in the same building I get my chemo. The doc "jokingly" said that I should be very careful because it might not kill a healthy 23 yo, but it will surely kill me (lmao).
Im a pretty optimistic guy in general, but the recent disappointments make me worried about what's gonna happen with me. It would be really comforting to hear someones similar story that has a happy ending.</t>
        </is>
      </c>
      <c r="D8142" t="n">
        <v>1</v>
      </c>
      <c r="E8142" t="n">
        <v>22</v>
      </c>
      <c r="F8142">
        <f>HYPERLINK("https://www.reddit.com/r/cancer/comments/ff0ech/im_pretty_fckin_scared_right_now_23m_hodkins/")</f>
        <v/>
      </c>
      <c r="G8142" t="inlineStr">
        <is>
          <t>2020-03-07 11:49:07</t>
        </is>
      </c>
      <c r="H8142" t="inlineStr"/>
    </row>
    <row r="8143">
      <c r="A8143" t="inlineStr">
        <is>
          <t>ff0xkn</t>
        </is>
      </c>
      <c r="B8143" t="inlineStr">
        <is>
          <t>My dad is about to die</t>
        </is>
      </c>
      <c r="C8143" t="inlineStr">
        <is>
          <t>It’s been so hard. For 3 years my dad has battled Acute lymphoblastic leukemia, I don’t even know what to think so I’m just rambling. He had a stroke today and they say it’s over. We are waiting for my brother to get home before they pull the tube. He fought so hard, we spent so much time together. I irreparably destroyed my life during the process by selling my business and now he’s gone anyways. I don’t know what to do, we were such a close family. Cancer can kiss my ass 😭😭😭😭😭</t>
        </is>
      </c>
      <c r="D8143" t="n">
        <v>1</v>
      </c>
      <c r="E8143" t="n">
        <v>10</v>
      </c>
      <c r="F8143">
        <f>HYPERLINK("https://www.reddit.com/r/cancer/comments/ff0xkn/my_dad_is_about_to_die/")</f>
        <v/>
      </c>
      <c r="G8143" t="inlineStr">
        <is>
          <t>2020-03-07 12:24:54</t>
        </is>
      </c>
      <c r="H8143" t="inlineStr"/>
    </row>
    <row r="8144">
      <c r="A8144" t="inlineStr">
        <is>
          <t>ff1ijt</t>
        </is>
      </c>
      <c r="B8144" t="inlineStr">
        <is>
          <t>Breast Cancer</t>
        </is>
      </c>
      <c r="C8144" t="inlineStr">
        <is>
          <t>My mom got diagnosed with breast cancer the other day. They don't know what stage it is but it is Grade 3. What are the chances that she's going to survive or not?</t>
        </is>
      </c>
      <c r="D8144" t="n">
        <v>1</v>
      </c>
      <c r="E8144" t="n">
        <v>5</v>
      </c>
      <c r="F8144">
        <f>HYPERLINK("https://www.reddit.com/r/cancer/comments/ff1ijt/breast_cancer/")</f>
        <v/>
      </c>
      <c r="G8144" t="inlineStr">
        <is>
          <t>2020-03-07 13:04:28</t>
        </is>
      </c>
      <c r="H8144" t="inlineStr"/>
    </row>
    <row r="8145">
      <c r="A8145" t="inlineStr">
        <is>
          <t>ff2de5</t>
        </is>
      </c>
      <c r="B8145" t="inlineStr">
        <is>
          <t>Help - Age 30 Neuroendocrine Carcinoma Stage 4, unknown primary</t>
        </is>
      </c>
      <c r="C8145" t="inlineStr">
        <is>
          <t>How can we help my dearest friend?  Age 30, neuroendocrine carcinoma of unknown primary. 
We are in the UK and relying on the nhs at the moment. 
She has just been on a gruelling cycle of carboplatin &amp;amp; etoposide. None of them worked and her liver tumours have worsened. They have suggested trying two other chemos capecitabine and temozolomide. 
Neuroendocrine carcinoma is different from neuroendocrine tumours &amp;amp; cancer, which there is tons of info about on Google. But, barely any on the carcinoma. It seems to be very rare and aggressive. 
This is like the usual worst nightmare story, she was very fit and healthy, ate well, was always exercising. She had zero symptoms other than a breast lump. Tumours are in her lungs, breast, liver and upper lymph nodes. 
She has a one year old and a three year old child. I actually cannot bare the thought of losing her, but the thought of her kids and husbands future destroys me. She has been in my life since I was a kid.
Is there anything anyone knows about this type of cancer, and unknown primary? 
Do you know of any private treatments, preferably uk based? We were thinking of setting up a crowd funding source to possibly access private treatment. 
Thanks in advance.</t>
        </is>
      </c>
      <c r="D8145" t="n">
        <v>1</v>
      </c>
      <c r="E8145" t="n">
        <v>0</v>
      </c>
      <c r="F8145">
        <f>HYPERLINK("https://www.reddit.com/r/cancer/comments/ff2de5/help_age_30_neuroendocrine_carcinoma_stage_4/")</f>
        <v/>
      </c>
      <c r="G8145" t="inlineStr">
        <is>
          <t>2020-03-07 14:03:23</t>
        </is>
      </c>
      <c r="H8145" t="inlineStr"/>
    </row>
    <row r="8146">
      <c r="A8146" t="inlineStr">
        <is>
          <t>ff3biz</t>
        </is>
      </c>
      <c r="B8146" t="inlineStr">
        <is>
          <t>Cervical cancer, ways of treatment.</t>
        </is>
      </c>
      <c r="C8146" t="inlineStr">
        <is>
          <t>Hello all.
In our family a bad situation is taking place. Recently (6 month ago) the mother of my girlfriend got diagnosed with metastatic cervical cancer (g3 whatever that means) the lungs were affected. She got treatment in our local clinic(chemo) which was pretty fortunate(metastases were not seen on the last CT) but few days ago she was sent home with pep talk like “you did all you could, come back in three months for a check up”.
My girlfriend is trying to do smth bigger than that and contacted several clinics abroad, one of them answered that she’s gonna beat it, just need pretty expensive treatment like targeting and immune therapies. The price is around 300+k euros. We don’t have that money, but won’t lose a close person without a fight.
So my question is: Can somebody confirm we are not getting scammed? What are our options? Is there a option not just to wait, but do smth?
We’re in Ukraine.
P.S. Sorry for mistakes, English not my native language.</t>
        </is>
      </c>
      <c r="D8146" t="n">
        <v>1</v>
      </c>
      <c r="E8146" t="n">
        <v>7</v>
      </c>
      <c r="F8146">
        <f>HYPERLINK("https://www.reddit.com/r/cancer/comments/ff3biz/cervical_cancer_ways_of_treatment/")</f>
        <v/>
      </c>
      <c r="G8146" t="inlineStr">
        <is>
          <t>2020-03-07 15:09:27</t>
        </is>
      </c>
      <c r="H8146" t="inlineStr"/>
    </row>
    <row r="8147">
      <c r="A8147" t="inlineStr">
        <is>
          <t>ff45oq</t>
        </is>
      </c>
      <c r="B8147" t="inlineStr">
        <is>
          <t>CEA question - mom might have cancer</t>
        </is>
      </c>
      <c r="C8147" t="inlineStr">
        <is>
          <t>Hi there.
My mom has a mass in her colon. It’s really scared us. We’re waiting on the biopsy results, but it feels like a long wait.
She has a CEA level of .7. Is this an indicator that the mass could not be cancer? Or maybe it’s an early stage?
Thanks in advance guys. This is all new and so scary.</t>
        </is>
      </c>
      <c r="D8147" t="n">
        <v>1</v>
      </c>
      <c r="E8147" t="n">
        <v>7</v>
      </c>
      <c r="F8147">
        <f>HYPERLINK("https://www.reddit.com/r/cancer/comments/ff45oq/cea_question_mom_might_have_cancer/")</f>
        <v/>
      </c>
      <c r="G8147" t="inlineStr">
        <is>
          <t>2020-03-07 16:09:54</t>
        </is>
      </c>
      <c r="H8147" t="inlineStr"/>
    </row>
    <row r="8148">
      <c r="A8148" t="inlineStr">
        <is>
          <t>ff48ei</t>
        </is>
      </c>
      <c r="B8148" t="inlineStr">
        <is>
          <t>what does a lump feel like? Can you have breasts cancer for years and not know it?</t>
        </is>
      </c>
      <c r="C8148" t="inlineStr">
        <is>
          <t>Ok so I have had pain in the chest area for a very long time but I was told it was because I had high levels of prolactin. And the brain scanned me and nothing was wrong. Now I have had pain and the pain gets less outside of cycles but is always there. I have pain in my ribs too and whole column I've raised the issue and drs always gave mris that showed nothing. Well I recently put my dna results in a codegen eu and it said I had three different risks for breasts cancer one 1.7 times risk 1.3 times risk and my overall risk was really bad -12 compared to most people close to 0. I am very large chested and I started growing my breasts at 6 which was I guess [abnormal.](https://abnormal.My) My side pockets ware always pretty round since I was 14. They got thicker when I got bigger. And they hurt but not that much in my pit just where my brastraps are I wear the wrong since I'm a DDD but I wear a C cup. Anyway I was reading that lumps don't feel painful? But my torso area generally hurts.... Has been for like 4 years at least. They always do itch sometimes but mostly when I'm not wearing a bra I assume plus where it hurts is pretty symmetrical sometimes the left hurts more but I feel soreness and tenderness on both sides. I'm wondering does anyone know if that's what this is how could I feel it for 4 years at least so far? And if I don't have it is there a way to have my breasts removed if so can I have implants? Do implants increase my risk? Good side of this is also I am also part male so losing my breasts would not hurt me mentally.. I was already considering transitioning. I am going to my dr on monday I am just curious to hear from people who have had breast cancer?</t>
        </is>
      </c>
      <c r="D8148" t="n">
        <v>1</v>
      </c>
      <c r="E8148" t="n">
        <v>1</v>
      </c>
      <c r="F8148">
        <f>HYPERLINK("https://www.reddit.com/r/cancer/comments/ff48ei/what_does_a_lump_feel_like_can_you_have_breasts/")</f>
        <v/>
      </c>
      <c r="G8148" t="inlineStr">
        <is>
          <t>2020-03-07 16:15:59</t>
        </is>
      </c>
      <c r="H8148" t="inlineStr"/>
    </row>
    <row r="8149">
      <c r="A8149" t="inlineStr">
        <is>
          <t>ff4aiy</t>
        </is>
      </c>
      <c r="B8149" t="inlineStr">
        <is>
          <t>Feeling lost.</t>
        </is>
      </c>
      <c r="C8149" t="inlineStr">
        <is>
          <t>It finally happened. My mom’s doctors confirmed what I was expecting. My mom has gliosarcoma and they cannot cure it. She is terminal. One day I will have to face a world without her in it. And now I will have to watch her go through this journey of sickness and eventually death. 
The cherry on top? My boyfriend told me he does not want to work on our relationship. He said, “The thing I love is no longer around.” 
I’m losing everything and I don’t know what to do.</t>
        </is>
      </c>
      <c r="D8149" t="n">
        <v>1</v>
      </c>
      <c r="E8149" t="n">
        <v>4</v>
      </c>
      <c r="F8149">
        <f>HYPERLINK("https://www.reddit.com/r/cancer/comments/ff4aiy/feeling_lost/")</f>
        <v/>
      </c>
      <c r="G8149" t="inlineStr">
        <is>
          <t>2020-03-07 16:20:21</t>
        </is>
      </c>
      <c r="H8149" t="inlineStr"/>
    </row>
    <row r="8150">
      <c r="A8150" t="inlineStr">
        <is>
          <t>ff4fqq</t>
        </is>
      </c>
      <c r="B8150" t="inlineStr">
        <is>
          <t>Anticipatory cancer grief vs grief after loss</t>
        </is>
      </c>
      <c r="C8150" t="inlineStr">
        <is>
          <t>My mom has been sick for 6 years. She was diagnosed with stage IV colon cancer, which for awhile we thought was gone, but it came back a couple years. The last 2 years have been the slow realization that she's going to die. And now she is experiencing worse symptoms and starting hospice. She likely has weeks, maybe months left.
For the last couple years of my life, I have been absolutely miserable. My mom's terminal illness is on my mind every day, some days more than others. It's caused panic attacks and I need to be medicated. People have told me this is anticipatory grief.
One of the things my mom tells me is that because I'm going through so much now, it probably won't get much worse from here. I need to know if this is true. Because if the after death grief is even worse than this, I can't handle it. I can't even handle this, most days I wake up thinking I wish I had died in my sleep.
Be honest with me. Those who lost someone to a long illness, was the before or after worse?</t>
        </is>
      </c>
      <c r="D8150" t="n">
        <v>1</v>
      </c>
      <c r="E8150" t="n">
        <v>5</v>
      </c>
      <c r="F8150">
        <f>HYPERLINK("https://www.reddit.com/r/cancer/comments/ff4fqq/anticipatory_cancer_grief_vs_grief_after_loss/")</f>
        <v/>
      </c>
      <c r="G8150" t="inlineStr">
        <is>
          <t>2020-03-07 16:31:12</t>
        </is>
      </c>
      <c r="H8150" t="inlineStr"/>
    </row>
    <row r="8151">
      <c r="A8151" t="inlineStr">
        <is>
          <t>ff5c3d</t>
        </is>
      </c>
      <c r="B8151" t="inlineStr">
        <is>
          <t>Hi, I got a question for making a family..</t>
        </is>
      </c>
      <c r="C8151" t="inlineStr">
        <is>
          <t>So I am 21 / male now. 
I was diagnosed with a Non Hodkin Lymphom back in 2017
Everything went pretty fine. I had 5 stron chemos and around 15 radiations with low cray value. 
The doc told me that when I am 22, I should check my sperm just to be sure if I am even able to create babys. My problem now is that I am unsure if I should even try when I am potent.. I would never be able to forgive myself if my child suffered from cancer when I could be the cause you know.. 
Its my first time posting here, I hope someone has answers or maybe a moral tip. 
Ps: Doctors dont know where my cancer comes from or if it is transferable to the next generation.</t>
        </is>
      </c>
      <c r="D8151" t="n">
        <v>1</v>
      </c>
      <c r="E8151" t="n">
        <v>2</v>
      </c>
      <c r="F8151">
        <f>HYPERLINK("https://www.reddit.com/r/cancer/comments/ff5c3d/hi_i_got_a_question_for_making_a_family/")</f>
        <v/>
      </c>
      <c r="G8151" t="inlineStr">
        <is>
          <t>2020-03-07 17:39:59</t>
        </is>
      </c>
      <c r="H8151" t="inlineStr"/>
    </row>
    <row r="8152">
      <c r="A8152" t="inlineStr">
        <is>
          <t>ff5sqq</t>
        </is>
      </c>
      <c r="B8152" t="inlineStr">
        <is>
          <t>For any young patients who will start treatment</t>
        </is>
      </c>
      <c r="C8152" t="inlineStr">
        <is>
          <t>I did just want to mention for any younger patients who have not yet started chemotherapy or radiation. Please speak with your oncologist about sperm banking or egg preservation prior to treatment. I cannot say one way or the other how your treatment will affect your future fertility, because every medication has different side effects (both immediate and late). It should be a necessary part of any pre-treatment conversation, esp if a family is an important part of your future. 
As you plan for your life after cancer, you have to give thought to every possibility. Best of luck to all of you warriors, you're kicking butt!</t>
        </is>
      </c>
      <c r="D8152" t="n">
        <v>1</v>
      </c>
      <c r="E8152" t="n">
        <v>2</v>
      </c>
      <c r="F8152">
        <f>HYPERLINK("https://www.reddit.com/r/cancer/comments/ff5sqq/for_any_young_patients_who_will_start_treatment/")</f>
        <v/>
      </c>
      <c r="G8152" t="inlineStr">
        <is>
          <t>2020-03-07 18:15:43</t>
        </is>
      </c>
      <c r="H8152" t="inlineStr"/>
    </row>
    <row r="8153">
      <c r="A8153" t="inlineStr">
        <is>
          <t>ff688r</t>
        </is>
      </c>
      <c r="B8153" t="inlineStr">
        <is>
          <t>Fuck cancer</t>
        </is>
      </c>
      <c r="C8153" t="inlineStr">
        <is>
          <t>That’s all I got to say.</t>
        </is>
      </c>
      <c r="D8153" t="n">
        <v>1</v>
      </c>
      <c r="E8153" t="n">
        <v>28</v>
      </c>
      <c r="F8153">
        <f>HYPERLINK("https://www.reddit.com/r/cancer/comments/ff688r/fuck_cancer/")</f>
        <v/>
      </c>
      <c r="G8153" t="inlineStr">
        <is>
          <t>2020-03-07 18:48:48</t>
        </is>
      </c>
      <c r="H8153" t="inlineStr"/>
    </row>
    <row r="8154">
      <c r="A8154" t="inlineStr">
        <is>
          <t>ff7dav</t>
        </is>
      </c>
      <c r="B8154" t="inlineStr">
        <is>
          <t>I Can Only Remember My Name</t>
        </is>
      </c>
      <c r="C8154" t="inlineStr">
        <is>
          <t>(I wrote this tonight in hopes of getting some of the pain out.) 
I remember the cold table and the warm blankets
I remember the bright lights overhead
I remember the sleepy feeling
I remember them running a line in a vein towards my heart
I don’t remember the way I laughed before
I remember the single tear on my face in the picture my dad took at my first chemo
So he could show how brave I was
I remember the way the saline tasted
I remember the bright red liquid being pushed into my veins
I don’t remember the small things I used to enjoy
I remember the hair coming out in clumps
I remember the stylist telling me my hairline was gone
I remember watching it fall around me as she shaved it
I remember watching everyone cry, except me
I don’t remember the way it felt to brush a strand away from my face 
I remember the song I listened to on the way to my mastectomy 
I remember the way the dye burned as it made its way to my lymph nodes
I remember everyone telling me I’d be okay 
I don’t remember what having feeling in my chest is like
I remember waking up on my birthday one day later 
I remember going through the motions
I remember wondering if I’d ever have a normal birthday again
I don’t remember what a regular birthday morning feels like 
I remember sleeping upright for a month
I remember my clothes not fitting my body anymore 
I remember emptying my drains twice a day
I remember keeping track of medicines on small papers 
I don’t remember what my old breasts felt like
I remember staying still and holding the handles
I remember taking a deep breath and holding it
I remember watching the screen to make sure the breath was deep enough
I remember the burns
I don’t remember the way a still moment in the sun felt 
I remember wishing I was someone else
I remember waiting for a better day
I remember every detail 
But I don’t remember who I was. 
I can only remember my name.</t>
        </is>
      </c>
      <c r="D8154" t="n">
        <v>1</v>
      </c>
      <c r="E8154" t="n">
        <v>0</v>
      </c>
      <c r="F8154">
        <f>HYPERLINK("https://www.reddit.com/r/cancer/comments/ff7dav/i_can_only_remember_my_name/")</f>
        <v/>
      </c>
      <c r="G8154" t="inlineStr">
        <is>
          <t>2020-03-07 20:20:47</t>
        </is>
      </c>
      <c r="H8154" t="inlineStr"/>
    </row>
    <row r="8155">
      <c r="A8155" t="inlineStr">
        <is>
          <t>ff7f9n</t>
        </is>
      </c>
      <c r="B8155" t="inlineStr">
        <is>
          <t>I wrote this today - I Can Only Remember My Name</t>
        </is>
      </c>
      <c r="C8155" t="inlineStr">
        <is>
          <t>I Can Only Remember My Name
I remember the cold table and the warm blankets
I remember the bright lights overhead
I remember the sleepy feeling
I remember them running a line in a vein towards my heart
I don’t remember the way I laughed before
I remember the single tear on my face in the picture 
my dad took at my first chemo
So he could show how brave I was
I remember the way the saline tasted
I remember the bright red liquid being pushed into my veins
I don’t remember the small things I used to enjoy
I remember the hair coming out in clumps
I remember the stylist telling me my hairline was gone
I remember watching it fall around me as she shaved it
I remember watching everyone cry, except me
I don’t remember the way it felt to brush a strand away from my face 
I remember the song I listened to on the way to my mastectomy 
I remember the way the dye burned as it made its way to my lymph nodes
I remember everyone telling me I’d be okay 
I don’t remember what having feeling in my chest is like
I remember waking up on my birthday one day later
I remember going through the motions
I remember wondering if I’d ever have a normal birthday again
I don’t remember what a regular birthday morning feels like 
I remember sleeping upright for a month
I remember my clothes not fitting my body anymore 
I remember emptying my drains twice a day
I remember keeping track of medicines on small papers 
I don’t remember what my old body looked like
I remember staying still and holding the handles
I remember taking a deep breath and holding it
I remember watching the screen to make sure the breath was deep enough
I remember the burns that left me red and brown 
I don’t remember the way a still moment in the sun felt 
I remember wishing I was someone else
I remember waiting for a better day
I remember every detail 
But I don’t remember who I was. 
I can only remember my name.</t>
        </is>
      </c>
      <c r="D8155" t="n">
        <v>1</v>
      </c>
      <c r="E8155" t="n">
        <v>6</v>
      </c>
      <c r="F8155">
        <f>HYPERLINK("https://www.reddit.com/r/cancer/comments/ff7f9n/i_wrote_this_today_i_can_only_remember_my_name/")</f>
        <v/>
      </c>
      <c r="G8155" t="inlineStr">
        <is>
          <t>2020-03-07 20:25:33</t>
        </is>
      </c>
      <c r="H8155" t="inlineStr"/>
    </row>
    <row r="8156">
      <c r="A8156" t="inlineStr">
        <is>
          <t>ff84x2</t>
        </is>
      </c>
      <c r="B8156" t="inlineStr">
        <is>
          <t>Recent diagnosis alt advice/experiences</t>
        </is>
      </c>
      <c r="C8156" t="inlineStr">
        <is>
          <t>Hi guys and gals
Recently 02/02/20 was diagnosed with bowel cancer and has traveled to liver. I'm 32 with 3 kids under 7. I am self employed so have basically shut down shop for 6months.
I had a laparotomy on the 2nd of feb. Start chemo next week capox and oxaliplatin.
Oncologist has said I cant do iv vit c during chemo.abut on day 16-19 of treatment.
I'm only doing vitc to help me have a bit more energy/immunity 
Have yet to hear from oncologist re mistletoe during chemo.
Has anyone out there taken mistletoe with chemo or on it's own and had positive results.?</t>
        </is>
      </c>
      <c r="D8156" t="n">
        <v>1</v>
      </c>
      <c r="E8156" t="n">
        <v>3</v>
      </c>
      <c r="F8156">
        <f>HYPERLINK("https://www.reddit.com/r/cancer/comments/ff84x2/recent_diagnosis_alt_adviceexperiences/")</f>
        <v/>
      </c>
      <c r="G8156" t="inlineStr">
        <is>
          <t>2020-03-07 21:29:30</t>
        </is>
      </c>
      <c r="H8156" t="inlineStr"/>
    </row>
    <row r="8157">
      <c r="A8157" t="inlineStr">
        <is>
          <t>ff85u6</t>
        </is>
      </c>
      <c r="B8157" t="inlineStr">
        <is>
          <t>Side effects suck. 20,m, ewings</t>
        </is>
      </c>
      <c r="C8157" t="inlineStr">
        <is>
          <t>I feel like my insides have liquified. This is month 4. Wow this sucks</t>
        </is>
      </c>
      <c r="D8157" t="n">
        <v>1</v>
      </c>
      <c r="E8157" t="n">
        <v>0</v>
      </c>
      <c r="F8157">
        <f>HYPERLINK("https://www.reddit.com/r/cancer/comments/ff85u6/side_effects_suck_20m_ewings/")</f>
        <v/>
      </c>
      <c r="G8157" t="inlineStr">
        <is>
          <t>2020-03-07 21:32:03</t>
        </is>
      </c>
      <c r="H8157" t="inlineStr"/>
    </row>
    <row r="8158">
      <c r="A8158" t="inlineStr">
        <is>
          <t>ff9lc5</t>
        </is>
      </c>
      <c r="B8158" t="inlineStr">
        <is>
          <t>Neck cancer question</t>
        </is>
      </c>
      <c r="C8158" t="inlineStr">
        <is>
          <t>What are the odds of a soft tissue neck lesion being a tumor? (benign or malignant). Apologize for the vague question and lack of info, any response is appreciated.</t>
        </is>
      </c>
      <c r="D8158" t="n">
        <v>1</v>
      </c>
      <c r="E8158" t="n">
        <v>0</v>
      </c>
      <c r="F8158">
        <f>HYPERLINK("https://www.reddit.com/r/cancer/comments/ff9lc5/neck_cancer_question/")</f>
        <v/>
      </c>
      <c r="G8158" t="inlineStr">
        <is>
          <t>2020-03-08 00:03:34</t>
        </is>
      </c>
      <c r="H8158" t="inlineStr"/>
    </row>
    <row r="8159">
      <c r="A8159" t="inlineStr">
        <is>
          <t>ff9v5f</t>
        </is>
      </c>
      <c r="B8159" t="inlineStr">
        <is>
          <t>1cm neck mass in sonogram</t>
        </is>
      </c>
      <c r="C8159" t="inlineStr">
        <is>
          <t>What are the odds of a soft tissue neck lesion being a tumor? (benign or malignant). Apologize for the vague question and lack of info, any response is appreciated.</t>
        </is>
      </c>
      <c r="D8159" t="n">
        <v>1</v>
      </c>
      <c r="E8159" t="n">
        <v>7</v>
      </c>
      <c r="F8159">
        <f>HYPERLINK("https://www.reddit.com/r/cancer/comments/ff9v5f/1cm_neck_mass_in_sonogram/")</f>
        <v/>
      </c>
      <c r="G8159" t="inlineStr">
        <is>
          <t>2020-03-08 00:34:47</t>
        </is>
      </c>
      <c r="H8159" t="inlineStr"/>
    </row>
    <row r="8160">
      <c r="A8160" t="inlineStr">
        <is>
          <t>ffah0g</t>
        </is>
      </c>
      <c r="B8160" t="inlineStr">
        <is>
          <t>Weight loss before and during Chemo.</t>
        </is>
      </c>
      <c r="C8160" t="inlineStr">
        <is>
          <t>Hi. Post bowel cancer surgery and just about to start Folfox. I have already lost 3 stone. Is it going to continue through the cycles? I know everyone gets affected differently.</t>
        </is>
      </c>
      <c r="D8160" t="n">
        <v>1</v>
      </c>
      <c r="E8160" t="n">
        <v>13</v>
      </c>
      <c r="F8160">
        <f>HYPERLINK("https://www.reddit.com/r/cancer/comments/ffah0g/weight_loss_before_and_during_chemo/")</f>
        <v/>
      </c>
      <c r="G8160" t="inlineStr">
        <is>
          <t>2020-03-08 01:47:13</t>
        </is>
      </c>
      <c r="H8160" t="inlineStr"/>
    </row>
    <row r="8161">
      <c r="A8161" t="inlineStr">
        <is>
          <t>ffan3a</t>
        </is>
      </c>
      <c r="B8161" t="inlineStr">
        <is>
          <t>today marks 2 years since mom was diagnosed</t>
        </is>
      </c>
      <c r="C8161" t="inlineStr">
        <is>
          <t>but sadly she died before we could celebrate this milestone. i can't sleep because all i can think about is how close she was, she passed away on Feb 23. she thought she would be here now. hell, she thought she would be here in May to meet my daughter, her newest granddaughter, due to be born May 18. 
i fucking hate this disease. i feel so robbed. i miss her so goddamn much and just wish she had been a success story. i wish so many things were different but most of all, i wish she were still here. i love you mom and will forever miss you.
FUCK CANCER</t>
        </is>
      </c>
      <c r="D8161" t="n">
        <v>1</v>
      </c>
      <c r="E8161" t="n">
        <v>2</v>
      </c>
      <c r="F8161">
        <f>HYPERLINK("https://www.reddit.com/r/cancer/comments/ffan3a/today_marks_2_years_since_mom_was_diagnosed/")</f>
        <v/>
      </c>
      <c r="G8161" t="inlineStr">
        <is>
          <t>2020-03-08 03:06:32</t>
        </is>
      </c>
      <c r="H8161" t="inlineStr"/>
    </row>
    <row r="8162">
      <c r="A8162" t="inlineStr">
        <is>
          <t>ffd7hr</t>
        </is>
      </c>
      <c r="B8162" t="inlineStr">
        <is>
          <t>How can I be there for my LDR boyfriend who has brain cancer?</t>
        </is>
      </c>
      <c r="C8162" t="inlineStr">
        <is>
          <t>Recently, his energy has been waning. He can’t even read my messages or maintain a conversation for more than thirty minutes without dozing off. Even when we talk, he can’t really even put much effort into it. I feel empty, not having that person to talk to about my day or him not being as attentive or caring as he used to be. I wanna be there for him in these trying times. I just want to know how I could make things better for him and for me.</t>
        </is>
      </c>
      <c r="D8162" t="n">
        <v>1</v>
      </c>
      <c r="E8162" t="n">
        <v>8</v>
      </c>
      <c r="F8162">
        <f>HYPERLINK("https://www.reddit.com/r/cancer/comments/ffd7hr/how_can_i_be_there_for_my_ldr_boyfriend_who_has/")</f>
        <v/>
      </c>
      <c r="G8162" t="inlineStr">
        <is>
          <t>2020-03-08 07:26:37</t>
        </is>
      </c>
      <c r="H8162" t="inlineStr"/>
    </row>
    <row r="8163">
      <c r="A8163" t="inlineStr">
        <is>
          <t>ffd7op</t>
        </is>
      </c>
      <c r="B8163" t="inlineStr">
        <is>
          <t>How to help a loved one cope with a loss..?</t>
        </is>
      </c>
      <c r="C8163" t="inlineStr">
        <is>
          <t>Hey, I won’t get into all the details here, but recently had a loved one who had a significant loss yesterday due to cancer. I’m doing everything in my ability to be as much support as I can, and I’m being very careful how to handle the situation. She means the world to me, and I’m at a loss of words for this recent tragic event. My question is, is there anything at all I can do to help her? My main thing is being here for her at this time, since she’s from a whole different country, and we both work, I try my best to follow up with her. I had only heard the news while being at a friend’s house, and had stayed on the phone with her, both alone outside, and alone in the garage. I only want the best for my girl, and right now I know she needs someone that won’t give up on her, and I’d never give up on this lovely lady. 
So reddit, I’ll take any suggestions on how I can help further, and I appreciate any feedback I get. Thanks reddit. 
Also before I slap an EDIT stamp on this, if this isn’t allowed on here, I 100% understand and apologize.</t>
        </is>
      </c>
      <c r="D8163" t="n">
        <v>1</v>
      </c>
      <c r="E8163" t="n">
        <v>2</v>
      </c>
      <c r="F8163">
        <f>HYPERLINK("https://www.reddit.com/r/cancer/comments/ffd7op/how_to_help_a_loved_one_cope_with_a_loss/")</f>
        <v/>
      </c>
      <c r="G8163" t="inlineStr">
        <is>
          <t>2020-03-08 07:27:05</t>
        </is>
      </c>
      <c r="H8163" t="inlineStr"/>
    </row>
    <row r="8164">
      <c r="A8164" t="inlineStr">
        <is>
          <t>ffdhzf</t>
        </is>
      </c>
      <c r="B8164" t="inlineStr">
        <is>
          <t>Liver cirrhosis and cancer?</t>
        </is>
      </c>
      <c r="C8164" t="inlineStr">
        <is>
          <t>What are the chances that an abnormality on the liver that has cirrhosis is a tumor? Or is it more likely to be scar tissue?</t>
        </is>
      </c>
      <c r="D8164" t="n">
        <v>1</v>
      </c>
      <c r="E8164" t="n">
        <v>14</v>
      </c>
      <c r="F8164">
        <f>HYPERLINK("https://www.reddit.com/r/cancer/comments/ffdhzf/liver_cirrhosis_and_cancer/")</f>
        <v/>
      </c>
      <c r="G8164" t="inlineStr">
        <is>
          <t>2020-03-08 07:49:34</t>
        </is>
      </c>
      <c r="H8164" t="inlineStr"/>
    </row>
    <row r="8165">
      <c r="A8165" t="inlineStr">
        <is>
          <t>ffeg4r</t>
        </is>
      </c>
      <c r="B8165" t="inlineStr">
        <is>
          <t>Question: Can a benign tumour arise due to carcinogens?</t>
        </is>
      </c>
      <c r="C8165" t="inlineStr">
        <is>
          <t>I know malignancies will develop from constant exposure to carcinogens, but what about benign tumours? My understanding is that the carcinogen will eventually alter/mutate DNA of a cell (Initiation Stage), then that cell will multiply (Promotion stage). At this stage will you have a benign tumour? And then it may become malignant if it progresses?</t>
        </is>
      </c>
      <c r="D8165" t="n">
        <v>1</v>
      </c>
      <c r="E8165" t="n">
        <v>2</v>
      </c>
      <c r="F8165">
        <f>HYPERLINK("https://www.reddit.com/r/cancer/comments/ffeg4r/question_can_a_benign_tumour_arise_due_to/")</f>
        <v/>
      </c>
      <c r="G8165" t="inlineStr">
        <is>
          <t>2020-03-08 08:58:51</t>
        </is>
      </c>
      <c r="H8165" t="inlineStr"/>
    </row>
    <row r="8166">
      <c r="A8166" t="inlineStr">
        <is>
          <t>ffeuz9</t>
        </is>
      </c>
      <c r="B8166" t="inlineStr">
        <is>
          <t>12 year old cousin has cancer of unknown primary...</t>
        </is>
      </c>
      <c r="C8166" t="inlineStr">
        <is>
          <t>She was in the hospital for a week and they did scans and a biopsy and came up with that and sent her home while they do more research. I think she has another blood test tomorrow.
Does anyone have experience with this? Were they able to find the source of cancer and treat it?</t>
        </is>
      </c>
      <c r="D8166" t="n">
        <v>1</v>
      </c>
      <c r="E8166" t="n">
        <v>5</v>
      </c>
      <c r="F8166">
        <f>HYPERLINK("https://www.reddit.com/r/cancer/comments/ffeuz9/12_year_old_cousin_has_cancer_of_unknown_primary/")</f>
        <v/>
      </c>
      <c r="G8166" t="inlineStr">
        <is>
          <t>2020-03-08 09:27:33</t>
        </is>
      </c>
      <c r="H8166" t="inlineStr"/>
    </row>
    <row r="8167">
      <c r="A8167" t="inlineStr">
        <is>
          <t>fffzvp</t>
        </is>
      </c>
      <c r="B8167" t="inlineStr">
        <is>
          <t>Which slogan is better for a shirt I’m making for my friend with cancer and a sense of humor about it</t>
        </is>
      </c>
      <c r="C8167" t="inlineStr">
        <is>
          <t>“Don’t worry, it’s not Covid-19, it’s just cancer” -he was wearing a mask and people kept giving him suspicious looks
“Secretly hoping the radiation gives me superpowers”
“My blood is trying to kill me” -he has ALL which is a blood cancer
Or just a shirt that says “the cancer guy”- this is the phrase he used in the title of a go fund me he created</t>
        </is>
      </c>
      <c r="D8167" t="n">
        <v>1</v>
      </c>
      <c r="E8167" t="n">
        <v>43</v>
      </c>
      <c r="F8167">
        <f>HYPERLINK("https://www.reddit.com/r/cancer/comments/fffzvp/which_slogan_is_better_for_a_shirt_im_making_for/")</f>
        <v/>
      </c>
      <c r="G8167" t="inlineStr">
        <is>
          <t>2020-03-08 10:44:25</t>
        </is>
      </c>
      <c r="H8167" t="inlineStr"/>
    </row>
    <row r="8168">
      <c r="A8168" t="inlineStr">
        <is>
          <t>ffg60i</t>
        </is>
      </c>
      <c r="B8168" t="inlineStr">
        <is>
          <t>Social Security disability benefits for cancer survivors</t>
        </is>
      </c>
      <c r="C8168" t="inlineStr">
        <is>
          <t>If you or someone you know may qualify for Social Security disability benefits, this podcast has some valuable information. Please share it with those it may help. Thanks. https://anchor.fm/facingcancertogether/episodes/Social-Security-Disability-and-Supplemental-Security-Income-Benefits-for-Cancer-Survivors-ebbpg3</t>
        </is>
      </c>
      <c r="D8168" t="n">
        <v>1</v>
      </c>
      <c r="E8168" t="n">
        <v>0</v>
      </c>
      <c r="F8168">
        <f>HYPERLINK("https://www.reddit.com/r/cancer/comments/ffg60i/social_security_disability_benefits_for_cancer/")</f>
        <v/>
      </c>
      <c r="G8168" t="inlineStr">
        <is>
          <t>2020-03-08 10:55:38</t>
        </is>
      </c>
      <c r="H8168" t="inlineStr"/>
    </row>
    <row r="8169">
      <c r="A8169" t="inlineStr">
        <is>
          <t>ffi54y</t>
        </is>
      </c>
      <c r="B8169" t="inlineStr">
        <is>
          <t>Prayers, positive thoughts, good vibes</t>
        </is>
      </c>
      <c r="C8169" t="inlineStr">
        <is>
          <t>My 3 week old godson (Trey) starts treatment for Acute Myeloid Leukemia tomorrow. Please send some of your good energy his way</t>
        </is>
      </c>
      <c r="D8169" t="n">
        <v>1</v>
      </c>
      <c r="E8169" t="n">
        <v>6</v>
      </c>
      <c r="F8169">
        <f>HYPERLINK("https://www.reddit.com/r/cancer/comments/ffi54y/prayers_positive_thoughts_good_vibes/")</f>
        <v/>
      </c>
      <c r="G8169" t="inlineStr">
        <is>
          <t>2020-03-08 13:01:52</t>
        </is>
      </c>
      <c r="H8169" t="inlineStr"/>
    </row>
    <row r="8170">
      <c r="A8170" t="inlineStr">
        <is>
          <t>ffihuw</t>
        </is>
      </c>
      <c r="B8170" t="inlineStr">
        <is>
          <t>Post chemo skin discoloration</t>
        </is>
      </c>
      <c r="C8170" t="inlineStr">
        <is>
          <t>I’m four years into remission after 3 cycles of BEP and I’m still getting skin discoloration streaks.  Also my lungs have never been the same since.  Any insight from anybody?</t>
        </is>
      </c>
      <c r="D8170" t="n">
        <v>1</v>
      </c>
      <c r="E8170" t="n">
        <v>0</v>
      </c>
      <c r="F8170">
        <f>HYPERLINK("https://www.reddit.com/r/cancer/comments/ffihuw/post_chemo_skin_discoloration/")</f>
        <v/>
      </c>
      <c r="G8170" t="inlineStr">
        <is>
          <t>2020-03-08 13:24:23</t>
        </is>
      </c>
      <c r="H8170" t="inlineStr"/>
    </row>
    <row r="8171">
      <c r="A8171" t="inlineStr">
        <is>
          <t>fflbsx</t>
        </is>
      </c>
      <c r="B8171" t="inlineStr">
        <is>
          <t>First Doctor Visit</t>
        </is>
      </c>
      <c r="C8171" t="inlineStr">
        <is>
          <t>I have a genetic mutation called nf1 that can cause tumors to grow on nerves. Got one in my leg that has become malignant so tomorrow Im going in for my first visit with a cancer doc. What should I expect here? Am I starting treatment tomorrow? How do chemo and other treatments interfere with work? Are these better questions for my doctor? Really just a bit worried. This thing was supposed to be benign and out with a quick surgery and now it's not.</t>
        </is>
      </c>
      <c r="D8171" t="n">
        <v>1</v>
      </c>
      <c r="E8171" t="n">
        <v>2</v>
      </c>
      <c r="F8171">
        <f>HYPERLINK("https://www.reddit.com/r/cancer/comments/fflbsx/first_doctor_visit/")</f>
        <v/>
      </c>
      <c r="G8171" t="inlineStr">
        <is>
          <t>2020-03-08 16:32:46</t>
        </is>
      </c>
      <c r="H8171" t="inlineStr"/>
    </row>
    <row r="8172">
      <c r="A8172" t="inlineStr">
        <is>
          <t>fflm0p</t>
        </is>
      </c>
      <c r="B8172" t="inlineStr">
        <is>
          <t>My mother has cancer</t>
        </is>
      </c>
      <c r="C8172" t="inlineStr">
        <is>
          <t>So my mother just told me that she is diagnosed with cancer. She's telling me that she gets more and more tired every day. She thinks she's losing the battle. I don't know what to to do, I don't know what to do to make it better. To make my mother feel better. She doesn't want to eat and she barely sleeps anymore. I don't know what to do. She's young, she's only 45. I'm only 18 and I don't want to lose her, I can't lose her. It's too early, way too early....</t>
        </is>
      </c>
      <c r="D8172" t="n">
        <v>1</v>
      </c>
      <c r="E8172" t="n">
        <v>13</v>
      </c>
      <c r="F8172">
        <f>HYPERLINK("https://www.reddit.com/r/cancer/comments/fflm0p/my_mother_has_cancer/")</f>
        <v/>
      </c>
      <c r="G8172" t="inlineStr">
        <is>
          <t>2020-03-08 16:53:07</t>
        </is>
      </c>
      <c r="H8172" t="inlineStr"/>
    </row>
    <row r="8173">
      <c r="A8173" t="inlineStr">
        <is>
          <t>ffniw0</t>
        </is>
      </c>
      <c r="B8173" t="inlineStr">
        <is>
          <t>Cancer is NOT you.</t>
        </is>
      </c>
      <c r="C8173" t="inlineStr">
        <is>
          <t>You are a Titan. You are a fucking warrior. Cancer just THINKS it can win. Cancer is wrong. You're immortal and there is no scientific proof that you're not. You'll not only beat this, but you'll also make cancer your bitch. YOU ARE STRONG. Sometimes you may think you're not, but you are. Also, when you're are feeling "not as strong as I did yesterday"... WE"VE GOT YOU. No matter what. If you haven't heard this enough lately, WE"VE GOT YOU. I cannot speak for everyone, but I can say I LOVE YOU.   
I'm proud of you, and I need you on my side. YOU HAVE NO EXPIRATION DATE.</t>
        </is>
      </c>
      <c r="D8173" t="n">
        <v>1</v>
      </c>
      <c r="E8173" t="n">
        <v>14</v>
      </c>
      <c r="F8173">
        <f>HYPERLINK("https://www.reddit.com/r/cancer/comments/ffniw0/cancer_is_not_you/")</f>
        <v/>
      </c>
      <c r="G8173" t="inlineStr">
        <is>
          <t>2020-03-08 19:14:23</t>
        </is>
      </c>
      <c r="H8173" t="inlineStr"/>
    </row>
    <row r="8174">
      <c r="A8174" t="inlineStr">
        <is>
          <t>ffocc0</t>
        </is>
      </c>
      <c r="B8174" t="inlineStr">
        <is>
          <t>Need some type of advice</t>
        </is>
      </c>
      <c r="C8174" t="inlineStr">
        <is>
          <t>Hi so it’s been two months of weight loss abdominal pain in and off and I’m so worried I’ve been to a couple of doctors and my blood work comes out great except a one time slightly elevated liver count I decided to go to the er they pressed my stomach and listened and finally took a scan that so many other people denied the doctor told me that my scan looked “good to him” and “nothing to drive home over” whatever that means also I’ve been having widespread pains that could be involved with my low vit d but I’m not sure also I keep getting lumps under my arms and then they disappear I’m very confused and worried rn any words of advice or reassurance you can give me?</t>
        </is>
      </c>
      <c r="D8174" t="n">
        <v>1</v>
      </c>
      <c r="E8174" t="n">
        <v>2</v>
      </c>
      <c r="F8174">
        <f>HYPERLINK("https://www.reddit.com/r/cancer/comments/ffocc0/need_some_type_of_advice/")</f>
        <v/>
      </c>
      <c r="G8174" t="inlineStr">
        <is>
          <t>2020-03-08 20:16:26</t>
        </is>
      </c>
      <c r="H8174" t="inlineStr"/>
    </row>
    <row r="8175">
      <c r="A8175" t="inlineStr">
        <is>
          <t>ffodwc</t>
        </is>
      </c>
      <c r="B8175" t="inlineStr">
        <is>
          <t>Just found out my dad has stage 4 lung cancer and condition is getting worse</t>
        </is>
      </c>
      <c r="C8175" t="inlineStr">
        <is>
          <t>The person I love the most in this world is my dad and I can’t imagine life without him. My happiest memory and experience is being his daughter and if I were to be reborn, I want to be his daughter again. 
I don’t know how to accept this news. My body is barely moving but my mind is racing. I went to the hospital for the first time to see him and I was so shocked to see how much he weakened. This is a man who has protected me from the beginning. It’s too hard for me to even think and type about it. I know I have to be strong for my dad but who is going to be strong for me? I know the usual answers such as just spending more time with him but right now my mind and body just can’t move</t>
        </is>
      </c>
      <c r="D8175" t="n">
        <v>1</v>
      </c>
      <c r="E8175" t="n">
        <v>4</v>
      </c>
      <c r="F8175">
        <f>HYPERLINK("https://www.reddit.com/r/cancer/comments/ffodwc/just_found_out_my_dad_has_stage_4_lung_cancer_and/")</f>
        <v/>
      </c>
      <c r="G8175" t="inlineStr">
        <is>
          <t>2020-03-08 20:19:59</t>
        </is>
      </c>
      <c r="H8175" t="inlineStr"/>
    </row>
    <row r="8176">
      <c r="A8176" t="inlineStr">
        <is>
          <t>ffos31</t>
        </is>
      </c>
      <c r="B8176" t="inlineStr">
        <is>
          <t>Want peoples thoughts on oral cancer surgery scheduled during a corona virus outbreak. Changing the risk/ benefit reward ratio? Oral cancer experienced please give your feedback.</t>
        </is>
      </c>
      <c r="C8176" t="inlineStr">
        <is>
          <t>want peoples thoughts on this
i have an elderly 90 yr old parent scheduled for serious oral cancer removal surgery next week and am seriously thinking the risk to her going to the hospital at that time may be more than her cancer spreading.
its a horrible choice.
and if I get it when i take her then she will get it or have no caretaker (me) so she will die.
It was bad enough having to think about risks of cancer surgery etc. and whether it was worth it for the life extension but now this crazy development of hospitals being some of the worst places to be.
Friday the nurses at the doctors offices were scared to death. i asked if the hospital had masks enough to continue to do surgeries and they said they did but in in 10 days they may not and may not do any surgeries anyway.
just imagine that.
i suspect we will have our first cases this week. (already some in my state but not my city)
this of course means there are hundreds or thousands of cases walking around in town right now infecting people.
so the actual silent carrier infect risk is right now. in three weeks there will be so many everyone will be staying home so it wont be as bad. so the surgery next week is scaring me as is the prelim PET scan in four days. we have to go to a big medical center.
and this last weekend all the malls were packed like Christmas! ...they are NEVER packed. We rode around the parking lot just looking . didnt get out of course. we couldn't believee it. all I could think of was everyone must be doing last minute shopping and returns because they know that soon they wont want to go outside. so of course right now it is being massively spread.
any weirdly no one was wearing masks. I was shocked.
and masks have been sold out here for about 2 weeks. I got some and we wore them to the last doctors appointment two weeks ago because I had been paying attention and I don't care what people think.
so pet scan in 4 days at giant medical place that is the regional critical care. so probably they will see their first cases right at that time.
then next week the surgery when all hell will break lose. The decision may be made for us if they don't have masks and gloves to do surgeries unless they improvise and make old school washable masks.
what do people think? we are totally prepared to stay home for months but the cancer will grow. and there may not be many surgeries in 3 months.
but her biggest risk i think is going to the hospital in a week and maybe the pet scan there in 4 days. what do people think we should do? just looking for opinions. I realize no one can make the decision but wWhat would you do?
survival for what she has is probably 1 or 2 years without surgery and possibly 5 years with surgery (50% live 5 years with oral cancer after surgery)</t>
        </is>
      </c>
      <c r="D8176" t="n">
        <v>1</v>
      </c>
      <c r="E8176" t="n">
        <v>2</v>
      </c>
      <c r="F8176">
        <f>HYPERLINK("https://www.reddit.com/r/cancer/comments/ffos31/want_peoples_thoughts_on_oral_cancer_surgery/")</f>
        <v/>
      </c>
      <c r="G8176" t="inlineStr">
        <is>
          <t>2020-03-08 20:51:28</t>
        </is>
      </c>
      <c r="H8176" t="inlineStr"/>
    </row>
    <row r="8177">
      <c r="A8177" t="inlineStr">
        <is>
          <t>ffosjf</t>
        </is>
      </c>
      <c r="B8177" t="inlineStr">
        <is>
          <t>Question About MBC On Chemo With Mystery Fever &amp;amp; Neutrophil Problem, Any Ideas?</t>
        </is>
      </c>
      <c r="C8177" t="inlineStr">
        <is>
          <t>Hello to the army of cancer warriors out there! 
I've got a humdinger of a mystery situation and it seems even the doctors are puzzled so I thought I'd ask here since there's so many veteran patients. 
My mom has metastatic breast cancer and has been on chemo once a week for 3 weeks per round for about 6 months. 
In the past 2 weeks she's come down with a odd fever that's grown to a 101.5 max high today and has her in the ER. Before this she saw her oncologist and her PCP but they said everything they looked good. No explanation for the fever. No cold, virus, or UTI, and all eyes, throat, eyes, nose, lungs are clear. BP is good.  
The ER hasn't found anything unusual with her yet, except a slightly lower neutrophil problem which they're going to treat with antibiotics. 
Any idea what's going here? Has someone seen this before and can fill me in? Does anybody have a clue as to what the neutrophil problem mean?
Thanks for any information you can give.</t>
        </is>
      </c>
      <c r="D8177" t="n">
        <v>1</v>
      </c>
      <c r="E8177" t="n">
        <v>6</v>
      </c>
      <c r="F8177">
        <f>HYPERLINK("https://www.reddit.com/r/cancer/comments/ffosjf/question_about_mbc_on_chemo_with_mystery_fever/")</f>
        <v/>
      </c>
      <c r="G8177" t="inlineStr">
        <is>
          <t>2020-03-08 20:52:24</t>
        </is>
      </c>
      <c r="H8177" t="inlineStr"/>
    </row>
    <row r="8178">
      <c r="A8178" t="inlineStr">
        <is>
          <t>ffp6zr</t>
        </is>
      </c>
      <c r="B8178" t="inlineStr">
        <is>
          <t>I heard a beautiful quote today.</t>
        </is>
      </c>
      <c r="C8178" t="inlineStr">
        <is>
          <t>No one is ever dying. People live and then they die, Death is a single moment.
I struggle to live this quote but I want to live it. No one is dying, We are not dying. We are living and then we will die someday. But for now, right now we are alive, we are living.
&amp;amp;#x200B;
Stay strong, Everyone.</t>
        </is>
      </c>
      <c r="D8178" t="n">
        <v>1</v>
      </c>
      <c r="E8178" t="n">
        <v>0</v>
      </c>
      <c r="F8178">
        <f>HYPERLINK("https://www.reddit.com/r/cancer/comments/ffp6zr/i_heard_a_beautiful_quote_today/")</f>
        <v/>
      </c>
      <c r="G8178" t="inlineStr">
        <is>
          <t>2020-03-08 21:25:32</t>
        </is>
      </c>
      <c r="H8178" t="inlineStr"/>
    </row>
    <row r="8179">
      <c r="A8179" t="inlineStr">
        <is>
          <t>ffpd0t</t>
        </is>
      </c>
      <c r="B8179" t="inlineStr">
        <is>
          <t>Going back to Mayo</t>
        </is>
      </c>
      <c r="C8179" t="inlineStr">
        <is>
          <t>We're going back to Mayo in Minnesota Tuesday. They determined surgery wasn't feasible due to the extent of her cancer and how severe it would be, so we're going to talk to a doctor concerning proton radiation. I don't have anything specific to share, but please keep us in your thoughts. We could really use some positive news. Keep fighting everyone.</t>
        </is>
      </c>
      <c r="D8179" t="n">
        <v>1</v>
      </c>
      <c r="E8179" t="n">
        <v>3</v>
      </c>
      <c r="F8179">
        <f>HYPERLINK("https://www.reddit.com/r/cancer/comments/ffpd0t/going_back_to_mayo/")</f>
        <v/>
      </c>
      <c r="G8179" t="inlineStr">
        <is>
          <t>2020-03-08 21:40:08</t>
        </is>
      </c>
      <c r="H8179" t="inlineStr"/>
    </row>
    <row r="8180">
      <c r="A8180" t="inlineStr">
        <is>
          <t>ffqvdj</t>
        </is>
      </c>
      <c r="B8180" t="inlineStr">
        <is>
          <t>Excisional Biopsy Question</t>
        </is>
      </c>
      <c r="C8180" t="inlineStr">
        <is>
          <t>I tried to find a subreddit that was specific for this but this was the only one I could really find so if this breaks any rule due to being benign I am sorry and can delete!
I am a 21 YO female. In January I had an excisional biopsy of the right breast for a 2 cm tumor in the breast wall. Surgery went great and it was a fibroadenoma as suspected but now 2 months later I’m experiencing debilitating pain in my breast. The wound has been healed and looks nice but every day the pains affecting more area and it’s very sore and stiff to the touch. Sleeping is hard and and even my arm resting at my side hurts it. My question is how long does recovering from surgery actually take aside from just the wound closing and if this is a common experience for others who have been in my shoes. If anyone has any recommendations for reducing the pain those are appreciated also! Currently i’m taking ibuprofen but it doesn’t seem to do enough. I have my surgeons number but she bounces between multiple towns so she only comes in once a week and I won’t be able to see her soon so i’m just trying to hang in there until she’s available. 
Thanks in advance!</t>
        </is>
      </c>
      <c r="D8180" t="n">
        <v>1</v>
      </c>
      <c r="E8180" t="n">
        <v>2</v>
      </c>
      <c r="F8180">
        <f>HYPERLINK("https://www.reddit.com/r/cancer/comments/ffqvdj/excisional_biopsy_question/")</f>
        <v/>
      </c>
      <c r="G8180" t="inlineStr">
        <is>
          <t>2020-03-09 00:08:53</t>
        </is>
      </c>
      <c r="H8180" t="inlineStr"/>
    </row>
    <row r="8181">
      <c r="A8181" t="inlineStr">
        <is>
          <t>ffrnvd</t>
        </is>
      </c>
      <c r="B8181" t="inlineStr">
        <is>
          <t>Getting a cold</t>
        </is>
      </c>
      <c r="C8181" t="inlineStr">
        <is>
          <t>Great, I have a sore throat. Cue the family members that I am living with acting like I have the plague, it’s my fault because I went to the gym and actually tried to live life instead of quarantining myself for all time, now I’m going to get their kids sick so I’m awful, and this sore throat *must* mean my cancer has completely taken over and the end is nigh. 
Now instead of being able to get some work done today to actually make some money to combat the gigantic financial hole caused by cancer, they’re going to force me to go all the way to the fo tan hour and a half away to make sure I didn’t somehow contract a deadly virus. 
There are still germs in the world that aren’t coronavirus. And I live with two kids, and kids are always spreading around germs. 
Anyone else get a huge overreaction from their family every single time they get a symptom of a tiny normal everyday common cold?</t>
        </is>
      </c>
      <c r="D8181" t="n">
        <v>1</v>
      </c>
      <c r="E8181" t="n">
        <v>6</v>
      </c>
      <c r="F8181">
        <f>HYPERLINK("https://www.reddit.com/r/cancer/comments/ffrnvd/getting_a_cold/")</f>
        <v/>
      </c>
      <c r="G8181" t="inlineStr">
        <is>
          <t>2020-03-09 01:37:38</t>
        </is>
      </c>
      <c r="H8181" t="inlineStr"/>
    </row>
    <row r="8182">
      <c r="A8182" t="inlineStr">
        <is>
          <t>ffsia8</t>
        </is>
      </c>
      <c r="B8182" t="inlineStr">
        <is>
          <t>Father is considering HIFU treatment for Prostate cancer.</t>
        </is>
      </c>
      <c r="C8182" t="inlineStr">
        <is>
          <t>Hi all,
He doesn't know what to do and HIFU is still considered a experimental treatment in the UK and isn't available on the NHS.  He's gone for a consultation with the doctor at a private clinic in London, but he is still unsure about it.  Has anyone got some experience with HIFU treatment that could give us some advice?</t>
        </is>
      </c>
      <c r="D8182" t="n">
        <v>1</v>
      </c>
      <c r="E8182" t="n">
        <v>0</v>
      </c>
      <c r="F8182">
        <f>HYPERLINK("https://www.reddit.com/r/cancer/comments/ffsia8/father_is_considering_hifu_treatment_for_prostate/")</f>
        <v/>
      </c>
      <c r="G8182" t="inlineStr">
        <is>
          <t>2020-03-09 03:13:45</t>
        </is>
      </c>
      <c r="H8182" t="inlineStr"/>
    </row>
    <row r="8183">
      <c r="A8183" t="inlineStr">
        <is>
          <t>fft78k</t>
        </is>
      </c>
      <c r="B8183" t="inlineStr">
        <is>
          <t>She thought she was funny</t>
        </is>
      </c>
      <c r="C8183" t="inlineStr">
        <is>
          <t>Last friday, I had an appointment at the hospital to discuss the results of the last MRI of my lung (results are great! still cancer-free with my lungs (happy me), one less building site for me to worry about).
After the appointment, I went into the pedestrian zone because I needed something from a store. I was wearing my face mask  because of my bad blood levels (my latest chemo-session was just a week beforehand), and stood in front of the store, minding my own business, when a girl (she was around 15y old) stood beside me and coughed in my direction. I was shocked and went a few steps away, as she returned to her group of friends, laughing and thinking it was a great joke. 
Normally, I wouldn't have said anything. But her laughing made me angry, so I decided to face her.  I told her, in a calm tone, that not all mask-wearing people are just scared for COVID-19. I told her that I have cancer and bad blood levels, and how rude her behaviour was, but I guess she didn't listen to me. She got insolent and defensive before she left, as if I was the bad person for pointing out her wrongdoing. 
I don't know why, but this incident still affects me. Why are some people so stupid? Her age is no excuse in this matter, she is - theoretically speaking - old enough to know that there are serious reasons why someone is wearing a face mask. Today, I still have no signs for a flu or a fever, hence I can assume that she really just faked that coughing, so there is no harm done. But oh boy I am still mad at that brat.</t>
        </is>
      </c>
      <c r="D8183" t="n">
        <v>1</v>
      </c>
      <c r="E8183" t="n">
        <v>26</v>
      </c>
      <c r="F8183">
        <f>HYPERLINK("https://www.reddit.com/r/cancer/comments/fft78k/she_thought_she_was_funny/")</f>
        <v/>
      </c>
      <c r="G8183" t="inlineStr">
        <is>
          <t>2020-03-09 04:24:17</t>
        </is>
      </c>
      <c r="H8183" t="inlineStr"/>
    </row>
    <row r="8184">
      <c r="A8184" t="inlineStr">
        <is>
          <t>fftwdn</t>
        </is>
      </c>
      <c r="B8184" t="inlineStr">
        <is>
          <t>I'm looking for data on survival rate of oral cancer if you do nothing versus surgery. help appreciated. Thanks.</t>
        </is>
      </c>
      <c r="C8184" t="inlineStr">
        <is>
          <t>I'm looking for data on survival rate of oral cancer if you do nothing versus surgery. help appreciated. Thanks.
also actual cause of death from oral cancer. Wjat actually kills you? for example if it spreads why does that kill you?</t>
        </is>
      </c>
      <c r="D8184" t="n">
        <v>1</v>
      </c>
      <c r="E8184" t="n">
        <v>13</v>
      </c>
      <c r="F8184">
        <f>HYPERLINK("https://www.reddit.com/r/cancer/comments/fftwdn/im_looking_for_data_on_survival_rate_of_oral/")</f>
        <v/>
      </c>
      <c r="G8184" t="inlineStr">
        <is>
          <t>2020-03-09 05:28:08</t>
        </is>
      </c>
      <c r="H8184" t="inlineStr"/>
    </row>
    <row r="8185">
      <c r="A8185" t="inlineStr">
        <is>
          <t>ffu9vn</t>
        </is>
      </c>
      <c r="B8185" t="inlineStr">
        <is>
          <t>cancer world</t>
        </is>
      </c>
      <c r="C8185" t="inlineStr">
        <is>
          <t>My mother in law has a very rare cancer and will die soon. This has caused a great pain in the family. As we are preparing for her death, my brother got diagnosed with stage 4 skincancer 5 months ago. He is now also terminal. This suckerpunched me so hard.
From being a happy dude all the time, my whole life has changed to getting confronted with cancer and the emotional pain it causes. I haven’t been happy for a long time. (A good year now)
I have a constant fear my wife will get it or other people i love. I am truly afraid of being happy and letting my guard down. 
Anyone else in this situation? Does happiness return? Did i develop an mental illness or is this a normal reaction?</t>
        </is>
      </c>
      <c r="D8185" t="n">
        <v>1</v>
      </c>
      <c r="E8185" t="n">
        <v>1</v>
      </c>
      <c r="F8185">
        <f>HYPERLINK("https://www.reddit.com/r/cancer/comments/ffu9vn/cancer_world/")</f>
        <v/>
      </c>
      <c r="G8185" t="inlineStr">
        <is>
          <t>2020-03-09 05:59:55</t>
        </is>
      </c>
      <c r="H8185" t="inlineStr"/>
    </row>
    <row r="8186">
      <c r="A8186" t="inlineStr">
        <is>
          <t>ffusc7</t>
        </is>
      </c>
      <c r="B8186" t="inlineStr">
        <is>
          <t>Grandmother distraught over her sisters cancer diagnosis... any advice?</t>
        </is>
      </c>
      <c r="C8186" t="inlineStr">
        <is>
          <t>I’m repeating all of this info secondhand from my own mother, so if anything isn’t 100% medically accurate I apologize. My great aunt passed out in the bathroom about two months ago and was rushed to the ER. They found cancerous spots on her lung and brain. Everything, obviously, started moving very fast after that. From what I understand they removed the spot on her lung, she’s had several weeks of radiation, and takes some combination of pills now.
I’m not personally extremely close to this great aunt, so I know I don’t really have a place here, but my grandmother is her sister and is absolutely being kept in the dark about everything. My grandmother isn’t being allowed to see great aunt (Great aunt insists she doesn’t want any visitors), the two rarely talk and great aunt has not even told my grandmother what stage the cancer is. My grandmother called my mother in tears hyperventilating this AM because she tried to offer to come over to help great aunt, and great aunt kept saying she was too tired and she didn’t want to get out of bed and she didn’t want visitors.
Before this cancer diagnosis, my grandmother and great aunt were best friends - always together, always going out, always talking on the phone, etc and now my grandmother is being kept in the dark about everything. Obviously I know everyone deals with cancer their own way and great aunt is well within her right to isolate herself as much as she wants, but I’m worried that my grandmother will never be the same if she doesn’t get some kind of closure.
Is there anything I can do here/anything I can suggest my grandma try without overstepping? Sorry for the long post - I didn’t know where else to ask about this.</t>
        </is>
      </c>
      <c r="D8186" t="n">
        <v>1</v>
      </c>
      <c r="E8186" t="n">
        <v>1</v>
      </c>
      <c r="F8186">
        <f>HYPERLINK("https://www.reddit.com/r/cancer/comments/ffusc7/grandmother_distraught_over_her_sisters_cancer/")</f>
        <v/>
      </c>
      <c r="G8186" t="inlineStr">
        <is>
          <t>2020-03-09 06:38:55</t>
        </is>
      </c>
      <c r="H8186" t="inlineStr"/>
    </row>
    <row r="8187">
      <c r="A8187" t="inlineStr">
        <is>
          <t>ffv5b5</t>
        </is>
      </c>
      <c r="B8187" t="inlineStr">
        <is>
          <t>conavirus and us</t>
        </is>
      </c>
      <c r="C8187" t="inlineStr">
        <is>
          <t>first the headline: I am an 'at risk' individual, meaning I am one of those who the news keeps referring too as most likely to die from the coronavirus.yself from time to time that I  am sick.
first the headline: I am an 'at risk' individual, meaing I am one of those who the news keeps referring too as most likely to die from the coronavirus.
nothing I did this weekend or last week suggests I will get CV and die but....
I read up on CV, the stats, the mortality rates,  and who and what I am as a cancer patient, and surveyed the US CV landscape as of 8 AM ***this morning****,* and I conclude that I have to  **'SOCIAL DISTANCE'** myself ASAP and for as long as the CV pandemic is a threat. That could be a month or a year.
Particularly troubling is visits to my infusion clinic. Last Wednesday they were decidedly NOT dealing with CV. Not even a waring sign in the waiting room. I do not think they will be able to segregate us in any meaningful way.</t>
        </is>
      </c>
      <c r="D8187" t="n">
        <v>1</v>
      </c>
      <c r="E8187" t="n">
        <v>6</v>
      </c>
      <c r="F8187">
        <f>HYPERLINK("https://www.reddit.com/r/cancer/comments/ffv5b5/conavirus_and_us/")</f>
        <v/>
      </c>
      <c r="G8187" t="inlineStr">
        <is>
          <t>2020-03-09 07:05:32</t>
        </is>
      </c>
      <c r="H8187" t="inlineStr"/>
    </row>
    <row r="8188">
      <c r="A8188" t="inlineStr">
        <is>
          <t>ffv84f</t>
        </is>
      </c>
      <c r="B8188" t="inlineStr">
        <is>
          <t>Cancer sucks</t>
        </is>
      </c>
      <c r="C8188" t="inlineStr">
        <is>
          <t>I lost my dad to stomach cancer when I was 15 and he was 40. I watched my strong daddy turn into a frail 80 pounds skeleton of a man. Now, I'm 38 and realizing that I am the same age he was when he got the diagnosis, and just this weekend learned my mom now has cancer. My aunt's (father's sisters) have all had cancer. Why won't cancer leave my family alone?</t>
        </is>
      </c>
      <c r="D8188" t="n">
        <v>1</v>
      </c>
      <c r="E8188" t="n">
        <v>21</v>
      </c>
      <c r="F8188">
        <f>HYPERLINK("https://www.reddit.com/r/cancer/comments/ffv84f/cancer_sucks/")</f>
        <v/>
      </c>
      <c r="G8188" t="inlineStr">
        <is>
          <t>2020-03-09 07:11:28</t>
        </is>
      </c>
      <c r="H8188" t="inlineStr"/>
    </row>
    <row r="8189">
      <c r="A8189" t="inlineStr">
        <is>
          <t>ffvhvg</t>
        </is>
      </c>
      <c r="B8189" t="inlineStr">
        <is>
          <t>Shortness of breath, accompanied by sputum or phlegm in my mouth</t>
        </is>
      </c>
      <c r="C8189" t="inlineStr">
        <is>
          <t>I know the rules of the subreddit, I know that such threads are forbidden but I still decided to try asking because I can't keep it anymore. It's been a month since I encountered this problem and while it seems like there is a slight improvement I still don't find it normal. I was prescribed Gelomytrol Forte but nothing impactful really happened. Sometimes, usually one or two times a day, I suddenly start to feel some kind of sputum-like thing in my mouth and I also experience shortness of breath. I'm also extremely stressed out, but I'm not really sure if stress can cause phlegm / sputum. Could that be... ?</t>
        </is>
      </c>
      <c r="D8189" t="n">
        <v>1</v>
      </c>
      <c r="E8189" t="n">
        <v>0</v>
      </c>
      <c r="F8189">
        <f>HYPERLINK("https://www.reddit.com/r/cancer/comments/ffvhvg/shortness_of_breath_accompanied_by_sputum_or/")</f>
        <v/>
      </c>
      <c r="G8189" t="inlineStr">
        <is>
          <t>2020-03-09 07:30:24</t>
        </is>
      </c>
      <c r="H8189" t="inlineStr"/>
    </row>
    <row r="8190">
      <c r="A8190" t="inlineStr">
        <is>
          <t>ffvvnj</t>
        </is>
      </c>
      <c r="B8190" t="inlineStr">
        <is>
          <t>"Wasting"</t>
        </is>
      </c>
      <c r="C8190" t="inlineStr">
        <is>
          <t>Any of you been through the process before having the official diagnosis? What was your experience?
I'm over 11% unexplained weight loss within the past 2 months. I was referred to hematology in January by a G.I. specialist after having a couple different scopes done. I'm letting the doctors determine if I have cancer or not! My initial hemo appointment is in 2 weeks and I've noticed I've had trouble keeping weight on and everything I use to like makes me nauseous. I originally went to the G.I. specialist for untreatable/unresponsive GERD, which could mean anything.
Just curious what everyone's experience is regarding "wasting". I'm hoping this will all blow over and it turns out I don't have anything wrong with me, but oh well, guess I'll find out.</t>
        </is>
      </c>
      <c r="D8190" t="n">
        <v>1</v>
      </c>
      <c r="E8190" t="n">
        <v>11</v>
      </c>
      <c r="F8190">
        <f>HYPERLINK("https://www.reddit.com/r/cancer/comments/ffvvnj/wasting/")</f>
        <v/>
      </c>
      <c r="G8190" t="inlineStr">
        <is>
          <t>2020-03-09 07:56:41</t>
        </is>
      </c>
      <c r="H8190" t="inlineStr"/>
    </row>
    <row r="8191">
      <c r="A8191" t="inlineStr">
        <is>
          <t>ffxxg8</t>
        </is>
      </c>
      <c r="B8191" t="inlineStr">
        <is>
          <t>How can I help?</t>
        </is>
      </c>
      <c r="C8191" t="inlineStr">
        <is>
          <t>A coworker of mine was just diagnosed with a form of blood cancer. She's been feeling bad for a while and just found out. She's still working. How can I do something for her?</t>
        </is>
      </c>
      <c r="D8191" t="n">
        <v>1</v>
      </c>
      <c r="E8191" t="n">
        <v>6</v>
      </c>
      <c r="F8191">
        <f>HYPERLINK("https://www.reddit.com/r/cancer/comments/ffxxg8/how_can_i_help/")</f>
        <v/>
      </c>
      <c r="G8191" t="inlineStr">
        <is>
          <t>2020-03-09 10:08:07</t>
        </is>
      </c>
      <c r="H8191" t="inlineStr"/>
    </row>
    <row r="8192">
      <c r="A8192" t="inlineStr">
        <is>
          <t>ffzgd4</t>
        </is>
      </c>
      <c r="B8192" t="inlineStr">
        <is>
          <t>Risk of Coronavirus for Recent Patients</t>
        </is>
      </c>
      <c r="C8192" t="inlineStr">
        <is>
          <t>Hi! I (25M) finished chemo about a month and a half ago. Am I at serious risk for a coronavirus infection? Should I be really worried? I know it doesn’t have as much of an effect on young people, but also my immune system is not what it was</t>
        </is>
      </c>
      <c r="D8192" t="n">
        <v>1</v>
      </c>
      <c r="E8192" t="n">
        <v>1</v>
      </c>
      <c r="F8192">
        <f>HYPERLINK("https://www.reddit.com/r/cancer/comments/ffzgd4/risk_of_coronavirus_for_recent_patients/")</f>
        <v/>
      </c>
      <c r="G8192" t="inlineStr">
        <is>
          <t>2020-03-09 11:41:48</t>
        </is>
      </c>
      <c r="H8192" t="inlineStr"/>
    </row>
    <row r="8193">
      <c r="A8193" t="inlineStr">
        <is>
          <t>fg04tf</t>
        </is>
      </c>
      <c r="B8193" t="inlineStr">
        <is>
          <t>Should I advise my mother with cancer on taking clients because of the Corona Virus? (Brooklyn, New York)</t>
        </is>
      </c>
      <c r="C8193" t="inlineStr">
        <is>
          <t>Hi, my mom has Stage IV Lung Cancer and is ongoing weekly treatment. She is doing well enough to go to work pretty much every day from 9-6. She’s an accountant in Brooklyn and meets with around 5 clients a day. I see the Corona Virus is becoming a concern here in New York. I know it’s a respiratory disease but I’m not sure how serious it can be. Is there anything I should tell my mother? I don’t know much about how cancer and corona virus would work together. Any help would be appreciated!</t>
        </is>
      </c>
      <c r="D8193" t="n">
        <v>1</v>
      </c>
      <c r="E8193" t="n">
        <v>5</v>
      </c>
      <c r="F8193">
        <f>HYPERLINK("https://www.reddit.com/r/cancer/comments/fg04tf/should_i_advise_my_mother_with_cancer_on_taking/")</f>
        <v/>
      </c>
      <c r="G8193" t="inlineStr">
        <is>
          <t>2020-03-09 12:22:24</t>
        </is>
      </c>
      <c r="H8193" t="inlineStr"/>
    </row>
    <row r="8194">
      <c r="A8194" t="inlineStr">
        <is>
          <t>fg0e80</t>
        </is>
      </c>
      <c r="B8194" t="inlineStr">
        <is>
          <t>Mental Health</t>
        </is>
      </c>
      <c r="C8194" t="inlineStr">
        <is>
          <t>I'm not coping well at all after diagnosis. I cry ever day and I all I can think about is dying. I can't bare to be alone.
I don't know how to fix this so I can enjoy what time I have left. The hardest part is everyone still has to go to work etc and life goes on. Nobody knows what to say to me when I phone them crying. I'm so so terrified.</t>
        </is>
      </c>
      <c r="D8194" t="n">
        <v>1</v>
      </c>
      <c r="E8194" t="n">
        <v>6</v>
      </c>
      <c r="F8194">
        <f>HYPERLINK("https://www.reddit.com/r/cancer/comments/fg0e80/mental_health/")</f>
        <v/>
      </c>
      <c r="G8194" t="inlineStr">
        <is>
          <t>2020-03-09 12:37:41</t>
        </is>
      </c>
      <c r="H8194" t="inlineStr"/>
    </row>
    <row r="8195">
      <c r="A8195" t="inlineStr">
        <is>
          <t>fg3dk6</t>
        </is>
      </c>
      <c r="B8195" t="inlineStr">
        <is>
          <t>Is it important to tell my partner that my mom has cancer?</t>
        </is>
      </c>
      <c r="C8195" t="inlineStr">
        <is>
          <t>I've been dating him for about 8 months. We're in college so we haven't met each others families or anything but as we've gotten more serious I've been thinking about this.
I don't really talk about my mom having cancer, and I don't think I've told any of my friends here. She's had it for about 10 years with the exception of about a year of remission in the middle; it's stage IV metastatic breast cancer.
I'm not sure how/when it would come up and I don't want to make a big deal of it by sitting him down to tell him, and I think a big deterrent for me in general has been that I'm uncomfortable with pity and that look people get in their eyes when I say it. On the other hand, it's a big part of my family life and it seems like the kind of thing your partner should know about? I know this sounds morbid but the "what if" of my mom dying while I'm with him and *then* having to be like, "oh, yeah, by the way, she's had cancer this whole time" has crossed my mind.
How do people navigate this kind of thing?</t>
        </is>
      </c>
      <c r="D8195" t="n">
        <v>1</v>
      </c>
      <c r="E8195" t="n">
        <v>2</v>
      </c>
      <c r="F8195">
        <f>HYPERLINK("https://www.reddit.com/r/cancer/comments/fg3dk6/is_it_important_to_tell_my_partner_that_my_mom/")</f>
        <v/>
      </c>
      <c r="G8195" t="inlineStr">
        <is>
          <t>2020-03-09 15:40:04</t>
        </is>
      </c>
      <c r="H8195" t="inlineStr"/>
    </row>
    <row r="8196">
      <c r="A8196" t="inlineStr">
        <is>
          <t>fg4ccy</t>
        </is>
      </c>
      <c r="B8196" t="inlineStr">
        <is>
          <t>Life Insurance + Critical Illness</t>
        </is>
      </c>
      <c r="C8196" t="inlineStr">
        <is>
          <t>Hi all, 
My Dad has recently been diagnosed with advanced prostate cancer. He’s 51. 
I don’t know why, but amidst all the fear, pain and sadness, I’m also thinking a lot about life insurance. My Dad is financially sound and has nothing to worry about, but for some reason now I’m obsessed with the idea of getting life insurance and/or critical illness cover for myself. I’m just turned 27 and am married but don’t have kids yet/have no dependents, but now I am thinking about this need for getting insurance and what would happen if I had a critical illness and couldn’t work, which does seem a bit silly to me as I have no dependents, but at the same time if anything did happen to me I would still want to be able to give something to my husband, mum, sister etc (who are not financially dependent on me at all, but still. For some reason I just feel like if I were gone, I would want them to have money, esp as it could help with things like them changing lifestyles if need be or paying for counselling etc.). 
Is this me being ridiculous? I can’t speak to my Dad about this because I don’t want him to think that I am thinking about my own death or illness. I’ve spoken to my husband and he thinks I might be getting a bit ahead of myself. I just wanted to ask on here, as I feel that people could help. Is this something that has benefitted you, and would you recommend it, even to someone age 27 without kids? 
Also I don’t know why, but I’m also thinking about getting private healthcare insurance (I’m in the U.K.) for my whole family. Is this me being ridiculous? 
I’m sorry if this seems like a silly post. I think the diagnosis has really made me think about death and illness in a way I never had before, and I just wanted to get peoples perspective on if this stuff actually helps when push comes to shove. 
Thank you.</t>
        </is>
      </c>
      <c r="D8196" t="n">
        <v>1</v>
      </c>
      <c r="E8196" t="n">
        <v>7</v>
      </c>
      <c r="F8196">
        <f>HYPERLINK("https://www.reddit.com/r/cancer/comments/fg4ccy/life_insurance_critical_illness/")</f>
        <v/>
      </c>
      <c r="G8196" t="inlineStr">
        <is>
          <t>2020-03-09 16:42:57</t>
        </is>
      </c>
      <c r="H8196" t="inlineStr"/>
    </row>
    <row r="8197">
      <c r="A8197" t="inlineStr">
        <is>
          <t>fg4csq</t>
        </is>
      </c>
      <c r="B8197" t="inlineStr">
        <is>
          <t>This Coronavirus (stage 4 melanoma) last scans came back clear. U.K. resident</t>
        </is>
      </c>
      <c r="C8197" t="inlineStr">
        <is>
          <t>I returned to work last week and I’m just wondering of I should take precaution... My scans came back clear but I’m still on Dabrafenib and Trametinib to prevent further mets. I feel well and I’m just wondering if I’m putting myself at risk?
I’m not allowed to drive and I use public transport</t>
        </is>
      </c>
      <c r="D8197" t="n">
        <v>1</v>
      </c>
      <c r="E8197" t="n">
        <v>3</v>
      </c>
      <c r="F8197">
        <f>HYPERLINK("https://www.reddit.com/r/cancer/comments/fg4csq/this_coronavirus_stage_4_melanoma_last_scans_came/")</f>
        <v/>
      </c>
      <c r="G8197" t="inlineStr">
        <is>
          <t>2020-03-09 16:43:44</t>
        </is>
      </c>
      <c r="H8197" t="inlineStr"/>
    </row>
    <row r="8198">
      <c r="A8198" t="inlineStr">
        <is>
          <t>fg51wj</t>
        </is>
      </c>
      <c r="B8198" t="inlineStr">
        <is>
          <t>A day and a half left... Hopefully.</t>
        </is>
      </c>
      <c r="C8198" t="inlineStr">
        <is>
          <t>Almost two weeks ago I had surgery on my vulva and had lymph nodes removed due to squamous cell carcinoma. Wednesday morning I find out if it was more invasive and I'd need to do chemo/radiation. This is my first and I'm terrified. I hope this is the end of the insanity. Thanks for listening &amp;lt;3</t>
        </is>
      </c>
      <c r="D8198" t="n">
        <v>1</v>
      </c>
      <c r="E8198" t="n">
        <v>20</v>
      </c>
      <c r="F8198">
        <f>HYPERLINK("https://www.reddit.com/r/cancer/comments/fg51wj/a_day_and_a_half_left_hopefully/")</f>
        <v/>
      </c>
      <c r="G8198" t="inlineStr">
        <is>
          <t>2020-03-09 17:31:04</t>
        </is>
      </c>
      <c r="H8198" t="inlineStr"/>
    </row>
    <row r="8199">
      <c r="A8199" t="inlineStr">
        <is>
          <t>fg5ki6</t>
        </is>
      </c>
      <c r="B8199" t="inlineStr">
        <is>
          <t>Oh crap; I’m scared now; my brother thinks our dog might have cancer.</t>
        </is>
      </c>
      <c r="C8199" t="inlineStr">
        <is>
          <t>There is been a change with my dog lately. I’ve notice that he’s been losing weight (I can feel his  ribs and spine when i pet him), he doesn’t want to eat as much and his stools now not as solid. My sister in law (brother wife) is a veterinarian and they she on maternity leave (2nd child) so she is at her home. I’ll take him over and she can do a exam and draw some blood for tests. I’m in total panic mode. I feel guilty that I could recognize if he was suffering. I’ve been focusing on work and the corona virus.</t>
        </is>
      </c>
      <c r="D8199" t="n">
        <v>1</v>
      </c>
      <c r="E8199" t="n">
        <v>1</v>
      </c>
      <c r="F8199">
        <f>HYPERLINK("https://www.reddit.com/r/cancer/comments/fg5ki6/oh_crap_im_scared_now_my_brother_thinks_our_dog/")</f>
        <v/>
      </c>
      <c r="G8199" t="inlineStr">
        <is>
          <t>2020-03-09 18:06:18</t>
        </is>
      </c>
      <c r="H8199" t="inlineStr"/>
    </row>
    <row r="8200">
      <c r="A8200" t="inlineStr">
        <is>
          <t>fg5y4v</t>
        </is>
      </c>
      <c r="B8200" t="inlineStr">
        <is>
          <t>Asking for Two Cents</t>
        </is>
      </c>
      <c r="C8200" t="inlineStr">
        <is>
          <t>I usually post in the cancercaregivers group, but thought it'd be more appropriate to post here.
My mom (46) has stage IV colon cancer with metastasis to her lungs, liver, and ovaries. She doesn't have any other comorbidities. She's had increasingly terrible pain along her abdomen with tenderness and (very very visible) bloating. Her oncologist tried to manage it with pain medication (morphine ER 30mg q 12 hr and dilaudid 4mg q 4 hr), but alas, it did little to help. My mom wanted to be admitted to the ER because any time she ate or drink, pain would follow. 
We've been here since Feb 24 and unfortunately, my mom has started throwing up. There have been a number of general tests like CT with contrast and X-ray obstructive series which show that there might be a partial obstruction, but nothing definitive. 
There are few routes of treatment:
1) Surgery. I've had two opinions and both surgeons agree that they would be operating without a clear picture. They don't think it's an obstruction and it's the cancer giving her these problems. They're afraid that surgery would worsen her condition and/or she wouldn't be able to handle it. They've introduced the idea of hospice.
2) Continue with chemotherapy along with palliative care. Chemo and radiation to buy her more time. Palliative care to manage her symptoms (pain, vomiting, and nausea).
3) Hospice.
I'm not sure what to do. My mom isn't either. We both agree that her pain and other symptoms should be managed, but at what cost and risk?
I'm asking if anyone has had a similar situation and what they did. Any advice is much appreciated.</t>
        </is>
      </c>
      <c r="D8200" t="n">
        <v>1</v>
      </c>
      <c r="E8200" t="n">
        <v>6</v>
      </c>
      <c r="F8200">
        <f>HYPERLINK("https://www.reddit.com/r/cancer/comments/fg5y4v/asking_for_two_cents/")</f>
        <v/>
      </c>
      <c r="G8200" t="inlineStr">
        <is>
          <t>2020-03-09 18:33:05</t>
        </is>
      </c>
      <c r="H8200" t="inlineStr"/>
    </row>
    <row r="8201">
      <c r="A8201" t="inlineStr">
        <is>
          <t>fg6bva</t>
        </is>
      </c>
      <c r="B8201" t="inlineStr">
        <is>
          <t>Hair.</t>
        </is>
      </c>
      <c r="C8201" t="inlineStr">
        <is>
          <t>Hi all. I hope you are well. I had leukaemia about a year and a half ago, got a bmt and I’m doing ok now. This question is for people that have had hair growth after finishing treatment. My hair was really curly after it first started coming in, it stayed fixed and was coiled. Now it seems to have gone back to its normal, very straight, very flat nature in recent months. Has this happened to anyone else? I enjoyed having it curly, but I’m happy to have any</t>
        </is>
      </c>
      <c r="D8201" t="n">
        <v>1</v>
      </c>
      <c r="E8201" t="n">
        <v>6</v>
      </c>
      <c r="F8201">
        <f>HYPERLINK("https://www.reddit.com/r/cancer/comments/fg6bva/hair/")</f>
        <v/>
      </c>
      <c r="G8201" t="inlineStr">
        <is>
          <t>2020-03-09 19:00:18</t>
        </is>
      </c>
      <c r="H8201" t="inlineStr"/>
    </row>
    <row r="8202">
      <c r="A8202" t="inlineStr">
        <is>
          <t>fg714i</t>
        </is>
      </c>
      <c r="B8202" t="inlineStr">
        <is>
          <t>Trying not to be paranoid</t>
        </is>
      </c>
      <c r="C8202" t="inlineStr">
        <is>
          <t>I'm metastatic but currently NED, and this COVID 19 is really starting to worry me. I have close friends and family that all seem to downplay how serious this could be, especially with my already compromised immune system. I don't want to stress my family out, but I really just want to hole myself up. I go back on chemo in 2 weeks and worry what may happen if I carry the virus while on chemo. 
Stay safe and clean out there everybody</t>
        </is>
      </c>
      <c r="D8202" t="n">
        <v>1</v>
      </c>
      <c r="E8202" t="n">
        <v>13</v>
      </c>
      <c r="F8202">
        <f>HYPERLINK("https://www.reddit.com/r/cancer/comments/fg714i/trying_not_to_be_paranoid/")</f>
        <v/>
      </c>
      <c r="G8202" t="inlineStr">
        <is>
          <t>2020-03-09 19:50:50</t>
        </is>
      </c>
      <c r="H8202" t="inlineStr"/>
    </row>
    <row r="8203">
      <c r="A8203" t="inlineStr">
        <is>
          <t>fg75yr</t>
        </is>
      </c>
      <c r="B8203" t="inlineStr">
        <is>
          <t>Well it’s back</t>
        </is>
      </c>
      <c r="C8203" t="inlineStr">
        <is>
          <t>Fucking great. Fuck cancer.</t>
        </is>
      </c>
      <c r="D8203" t="n">
        <v>1</v>
      </c>
      <c r="E8203" t="n">
        <v>16</v>
      </c>
      <c r="F8203">
        <f>HYPERLINK("https://www.reddit.com/r/cancer/comments/fg75yr/well_its_back/")</f>
        <v/>
      </c>
      <c r="G8203" t="inlineStr">
        <is>
          <t>2020-03-09 20:00:45</t>
        </is>
      </c>
      <c r="H8203" t="inlineStr"/>
    </row>
    <row r="8204">
      <c r="A8204" t="inlineStr">
        <is>
          <t>fg7hl0</t>
        </is>
      </c>
      <c r="B8204" t="inlineStr">
        <is>
          <t>New to this</t>
        </is>
      </c>
      <c r="C8204" t="inlineStr">
        <is>
          <t>I was diagnosed with breast cancer recently. My first appointment with the oncologist is in two days. We lost my mom to cancer a year ago. I am lost in my head over this. My Dad is still with us and he wants to help but he is still raw over losing my Mom. I want a break from this. That is all. Thanks for listening.</t>
        </is>
      </c>
      <c r="D8204" t="n">
        <v>1</v>
      </c>
      <c r="E8204" t="n">
        <v>10</v>
      </c>
      <c r="F8204">
        <f>HYPERLINK("https://www.reddit.com/r/cancer/comments/fg7hl0/new_to_this/")</f>
        <v/>
      </c>
      <c r="G8204" t="inlineStr">
        <is>
          <t>2020-03-09 20:25:04</t>
        </is>
      </c>
      <c r="H8204" t="inlineStr"/>
    </row>
    <row r="8205">
      <c r="A8205" t="inlineStr">
        <is>
          <t>fg8dx5</t>
        </is>
      </c>
      <c r="B8205" t="inlineStr">
        <is>
          <t>Cancer is a bitch</t>
        </is>
      </c>
      <c r="C8205" t="inlineStr">
        <is>
          <t>As most of you will know, cancer is a dreadful disease. This year I am participating in Relay for Life, an event dedicated to try and raise money for the Cancer Society. I am aiming to try and raise at least $1000. Most of you will know or be close to someone who has been effected by Cancer. Please take the time to visit my page and donate even a small amount of money. This disease rips apart families and brings lives full of promise to an abrupt ending. Every dollar raised makes a huge difference to those who need the help. Thank you for taking the time to read this post, and for your generosity in order to read the world of this horrible disease.
 [https://relayforlifewellington2020.everydayhero.com/nz/anton-1](https://relayforlifewellington2020.everydayhero.com/nz/anton-1)</t>
        </is>
      </c>
      <c r="D8205" t="n">
        <v>1</v>
      </c>
      <c r="E8205" t="n">
        <v>3</v>
      </c>
      <c r="F8205">
        <f>HYPERLINK("https://www.reddit.com/r/cancer/comments/fg8dx5/cancer_is_a_bitch/")</f>
        <v/>
      </c>
      <c r="G8205" t="inlineStr">
        <is>
          <t>2020-03-09 21:37:15</t>
        </is>
      </c>
      <c r="H8205" t="inlineStr"/>
    </row>
    <row r="8206">
      <c r="A8206" t="inlineStr">
        <is>
          <t>fg8n4i</t>
        </is>
      </c>
      <c r="B8206" t="inlineStr">
        <is>
          <t>Prophylactic cranial irradiation for B-type ALL</t>
        </is>
      </c>
      <c r="C8206" t="inlineStr">
        <is>
          <t>Hi all.
23/M. I was diagnosed with B-type ALL 4 months back. I was into remission after one month of induction chemo and am currently undergoing consolidation. At the time of diagnosis, there was no CNS involvement, however I have been taking intrathecal methotrexate regularly as per schedule.
My doctor mentioned cranial irradiation at the time of induction but I didn’t pay much attention to it( I was just concentrating on induction). 
I still have not had a good discussion about irradiation with my doctor but from what I have read about the cranial irradiation and the BFM-95 protocol : it is done if there was cns involvement at the beginning or if it is T-type ALL.
To all those in a similar situation as me: What did you guys do? Did the cranial irradiation help and how were the side effects?</t>
        </is>
      </c>
      <c r="D8206" t="n">
        <v>1</v>
      </c>
      <c r="E8206" t="n">
        <v>0</v>
      </c>
      <c r="F8206">
        <f>HYPERLINK("https://www.reddit.com/r/cancer/comments/fg8n4i/prophylactic_cranial_irradiation_for_btype_all/")</f>
        <v/>
      </c>
      <c r="G8206" t="inlineStr">
        <is>
          <t>2020-03-09 22:00:04</t>
        </is>
      </c>
      <c r="H8206" t="inlineStr"/>
    </row>
    <row r="8207">
      <c r="A8207" t="inlineStr">
        <is>
          <t>fgb4e3</t>
        </is>
      </c>
      <c r="B8207" t="inlineStr">
        <is>
          <t>Worrying for nothing?</t>
        </is>
      </c>
      <c r="C8207" t="inlineStr">
        <is>
          <t>Got my lumbar spine mri results yesterday confirming arthritis but they also mentioned some thickening of the lining of my womb.
My GP reiterated that this is nothing to panic about and that I may just need a D&amp;amp;C. I asked was there anything sinister and she said not at all - no tumors and that this is something that just needs follow up. 
I’m still really anxious and freaking out though. I’m 37 and mum to one little boy.</t>
        </is>
      </c>
      <c r="D8207" t="n">
        <v>1</v>
      </c>
      <c r="E8207" t="n">
        <v>1</v>
      </c>
      <c r="F8207">
        <f>HYPERLINK("https://www.reddit.com/r/cancer/comments/fgb4e3/worrying_for_nothing/")</f>
        <v/>
      </c>
      <c r="G8207" t="inlineStr">
        <is>
          <t>2020-03-10 02:26:05</t>
        </is>
      </c>
      <c r="H8207" t="inlineStr"/>
    </row>
    <row r="8208">
      <c r="A8208" t="inlineStr">
        <is>
          <t>fgc9ge</t>
        </is>
      </c>
      <c r="B8208" t="inlineStr">
        <is>
          <t>Anyone delaying chemo?</t>
        </is>
      </c>
      <c r="C8208" t="inlineStr">
        <is>
          <t>Just wondering if anyone yet has been advised by their oncologist to delay chemo due to COV19?
I’m starting my next cycle tomorrow (tablets) and am wondering how risky it is.
Since mine is a “clean up” chemo am wondering if I should delay. (I’m not going to as the boredom is killing me). Just occurred to me if I waited a week or two to see how things pan out...</t>
        </is>
      </c>
      <c r="D8208" t="n">
        <v>1</v>
      </c>
      <c r="E8208" t="n">
        <v>16</v>
      </c>
      <c r="F8208">
        <f>HYPERLINK("https://www.reddit.com/r/cancer/comments/fgc9ge/anyone_delaying_chemo/")</f>
        <v/>
      </c>
      <c r="G8208" t="inlineStr">
        <is>
          <t>2020-03-10 04:21:01</t>
        </is>
      </c>
      <c r="H8208" t="inlineStr"/>
    </row>
    <row r="8209">
      <c r="A8209" t="inlineStr">
        <is>
          <t>fgddt3</t>
        </is>
      </c>
      <c r="B8209" t="inlineStr">
        <is>
          <t>Fuck Health Insurance Companies</t>
        </is>
      </c>
      <c r="C8209" t="inlineStr">
        <is>
          <t>My wife and I are HOURS away from leaving for the Mayo Clinic in Rochester, MN to see a radiation oncologist who very well may hold the last remaining door to save her life and we’ve been fighting day and night for the last few weeks with United Healthcare to get it covered. Her oncologist sees the medical need as well as the Mayo Clinic, but just yesterday they denied us again. We’re working with the radiation oncologist to substantiate the case even more, but it’s maddening for it to come down to the wire like this. Cancer is so fucking stressful, but insurance companies compound things and make it so fucking worse.
In our last Mayo Visit, they didn’t cover the very basic imaging Mayo did to see my wife’s cancer, but we didn’t know that until months later when we received a $12,000 bill. We may very well have to decide to accrue even MORE debt to give her the necessary chance of survival. That’s fucking insane. 
I don’t get standing in front of people’s survival. I don’t understand how you can obstruct care. I don’t understand how people can detach themselves so much from the actions they do and the damage they cause. Fuck United Healthcare.</t>
        </is>
      </c>
      <c r="D8209" t="n">
        <v>1</v>
      </c>
      <c r="E8209" t="n">
        <v>31</v>
      </c>
      <c r="F8209">
        <f>HYPERLINK("https://www.reddit.com/r/cancer/comments/fgddt3/fuck_health_insurance_companies/")</f>
        <v/>
      </c>
      <c r="G8209" t="inlineStr">
        <is>
          <t>2020-03-10 05:55:52</t>
        </is>
      </c>
      <c r="H8209" t="inlineStr"/>
    </row>
    <row r="8210">
      <c r="A8210" t="inlineStr">
        <is>
          <t>fgepcz</t>
        </is>
      </c>
      <c r="B8210" t="inlineStr">
        <is>
          <t>My blood levels show higher level of CA 72-4 stomach / bile duct cancer marker (10.40 U/ml) , what should I do?</t>
        </is>
      </c>
      <c r="C8210" t="inlineStr">
        <is>
          <t>Went under colonoscopy and they didn't find anything, but I'm now mostly worried about the bile duct cancer. I sometimes have sharp pain in the upper right quadrant but no yellowing of the skin.
Is my only option MRI at this point or? My doctor who did colonoscopy said they didn't found anything wrong in stomach area and that I should not worry.</t>
        </is>
      </c>
      <c r="D8210" t="n">
        <v>1</v>
      </c>
      <c r="E8210" t="n">
        <v>5</v>
      </c>
      <c r="F8210">
        <f>HYPERLINK("https://www.reddit.com/r/cancer/comments/fgepcz/my_blood_levels_show_higher_level_of_ca_724/")</f>
        <v/>
      </c>
      <c r="G8210" t="inlineStr">
        <is>
          <t>2020-03-10 07:32:10</t>
        </is>
      </c>
      <c r="H8210" t="inlineStr"/>
    </row>
    <row r="8211">
      <c r="A8211" t="inlineStr">
        <is>
          <t>fgf4pz</t>
        </is>
      </c>
      <c r="B8211" t="inlineStr">
        <is>
          <t>It’s finally over</t>
        </is>
      </c>
      <c r="C8211" t="inlineStr">
        <is>
          <t>My mom passed away peacefully last night on her 50th birthday. She had metastatic lung cancer. Thank you to this group for making me feel like I’m not alone.</t>
        </is>
      </c>
      <c r="D8211" t="n">
        <v>1</v>
      </c>
      <c r="E8211" t="n">
        <v>14</v>
      </c>
      <c r="F8211">
        <f>HYPERLINK("https://www.reddit.com/r/cancer/comments/fgf4pz/its_finally_over/")</f>
        <v/>
      </c>
      <c r="G8211" t="inlineStr">
        <is>
          <t>2020-03-10 08:01:16</t>
        </is>
      </c>
      <c r="H8211" t="inlineStr"/>
    </row>
    <row r="8212">
      <c r="A8212" t="inlineStr">
        <is>
          <t>fgfqxr</t>
        </is>
      </c>
      <c r="B8212" t="inlineStr">
        <is>
          <t>diagnosed with bladder cancer at 24</t>
        </is>
      </c>
      <c r="C8212" t="inlineStr">
        <is>
          <t>Hi, yesterday the results of my histopathological exams came back and I have invasive urothelial high grade bladder cancer, which is pretty much unheard of at my age - 24, F.
I was wondering if any of you have that cancer, especially young peeps. Would be happy to hear your stories.
Also I want to point out that the tumor was incidentally found during a gynecological ultrasound. Yet another reason to visit your OB/GYN regularly. It's not only the women cancers they can find.</t>
        </is>
      </c>
      <c r="D8212" t="n">
        <v>1</v>
      </c>
      <c r="E8212" t="n">
        <v>16</v>
      </c>
      <c r="F8212">
        <f>HYPERLINK("https://www.reddit.com/r/cancer/comments/fgfqxr/diagnosed_with_bladder_cancer_at_24/")</f>
        <v/>
      </c>
      <c r="G8212" t="inlineStr">
        <is>
          <t>2020-03-10 08:41:26</t>
        </is>
      </c>
      <c r="H8212" t="inlineStr"/>
    </row>
    <row r="8213">
      <c r="A8213" t="inlineStr">
        <is>
          <t>fgh9z5</t>
        </is>
      </c>
      <c r="B8213" t="inlineStr">
        <is>
          <t>I need help</t>
        </is>
      </c>
      <c r="C8213" t="inlineStr">
        <is>
          <t>How serious is liver cancer please don’t sugarcoat it.</t>
        </is>
      </c>
      <c r="D8213" t="n">
        <v>1</v>
      </c>
      <c r="E8213" t="n">
        <v>6</v>
      </c>
      <c r="F8213">
        <f>HYPERLINK("https://www.reddit.com/r/cancer/comments/fgh9z5/i_need_help/")</f>
        <v/>
      </c>
      <c r="G8213" t="inlineStr">
        <is>
          <t>2020-03-10 10:15:13</t>
        </is>
      </c>
      <c r="H8213" t="inlineStr"/>
    </row>
    <row r="8214">
      <c r="A8214" t="inlineStr">
        <is>
          <t>fgj5i7</t>
        </is>
      </c>
      <c r="B8214" t="inlineStr">
        <is>
          <t>For how long does cancer count as a pre-existing illness?</t>
        </is>
      </c>
      <c r="C8214" t="inlineStr">
        <is>
          <t>Hello all, I have a very general question that I've been thinking about lately and I'm hesitant to actually ask my SO, because cancer is just a topic he doesn't like to talk about and I want to respect it. 
It's about the novel Coronavirus and what counts as pre-existing illness. My SO beat lung cancer 8 (?) years ago, had chemotherapy, lots of operations and an amputation. As far as I know, the last time he went to his general check-up he was told, that he doesn't have to come again because he's all clear.    
He's very active, doing lots of sports.  He doesn't catch colds more often than others, if anything, he gets over it super quickly.
Now, I know that chemotherapy weakens the immune system, but I'm just wondering if it does so permanently? Like 8 years later? Does lung cancer count as a pre-existing illness, even if it was beaten? Especially in the case of COVID-19 which brings issues along such as pneumonia?
I'm sorry if this sounds stupid, but I'm genuinely wondering as I don't know much about the subject. 
Thanks in advance</t>
        </is>
      </c>
      <c r="D8214" t="n">
        <v>1</v>
      </c>
      <c r="E8214" t="n">
        <v>2</v>
      </c>
      <c r="F8214">
        <f>HYPERLINK("https://www.reddit.com/r/cancer/comments/fgj5i7/for_how_long_does_cancer_count_as_a_preexisting/")</f>
        <v/>
      </c>
      <c r="G8214" t="inlineStr">
        <is>
          <t>2020-03-10 12:10:44</t>
        </is>
      </c>
      <c r="H8214" t="inlineStr"/>
    </row>
    <row r="8215">
      <c r="A8215" t="inlineStr">
        <is>
          <t>fgj92r</t>
        </is>
      </c>
      <c r="B8215" t="inlineStr">
        <is>
          <t>I lost two family members to cancer</t>
        </is>
      </c>
      <c r="C8215" t="inlineStr">
        <is>
          <t>The first one to pass was my paternal grandfather in the mid 00's and when my parents told me he passed, I broke down. He had a colonoscopy done and the cancer was discovered. 
The second family member was my great uncle Jay (not his real name), and this time it was leukemia. When diagnosed he was given \~2-2.5 years but fought for 5 years. When my mom told me he did, I didn't break down crying because I really didn't know him that well.</t>
        </is>
      </c>
      <c r="D8215" t="n">
        <v>1</v>
      </c>
      <c r="E8215" t="n">
        <v>2</v>
      </c>
      <c r="F8215">
        <f>HYPERLINK("https://www.reddit.com/r/cancer/comments/fgj92r/i_lost_two_family_members_to_cancer/")</f>
        <v/>
      </c>
      <c r="G8215" t="inlineStr">
        <is>
          <t>2020-03-10 12:16:38</t>
        </is>
      </c>
      <c r="H8215" t="inlineStr"/>
    </row>
    <row r="8216">
      <c r="A8216" t="inlineStr">
        <is>
          <t>fgkc87</t>
        </is>
      </c>
      <c r="B8216" t="inlineStr">
        <is>
          <t>Any input on handeling grief and anxiety tied to the fear of dying?</t>
        </is>
      </c>
      <c r="C8216" t="inlineStr">
        <is>
          <t>My grandmother (also my adoptive mother) has quite aggressive cancer, and is not doing well at all. I haven’t prepared myself for what’s to come as I’m trying to take over her role as what she calls "the family glue".
My family isn’t full on grieving at the moment, as we’re trying to stay hopeful and strong, but my grandmother has developed serious anxiety and depression. My grandad calls me almost every night to give me a rundown of the days ups and downs, and it’s quickly spiraling downwards. Today he used the words "total collapse" which just broke my heart.
I want to try and help her grief and anxiety so I visit them (they 7-8 hour drive) as often as I can to support her and give her a sense of companionship and care.
Today I have called around to family and friends to see if they want to send me a videoclip where they talk about a fond memory or something she had taught them or done for them - or just general greetings or warm wishes.
Is this a good idea or will it make it all worse? I know my grandmother in and out and she’s normally love something like this, but we have never been in this situation before, so I don’t know how to navigate this unknown territory. I will make the little film anyways, but don’t know if showing it to her will further worsen the anxiety?
Any input is super super helpful!</t>
        </is>
      </c>
      <c r="D8216" t="n">
        <v>1</v>
      </c>
      <c r="E8216" t="n">
        <v>5</v>
      </c>
      <c r="F8216">
        <f>HYPERLINK("https://www.reddit.com/r/cancer/comments/fgkc87/any_input_on_handeling_grief_and_anxiety_tied_to/")</f>
        <v/>
      </c>
      <c r="G8216" t="inlineStr">
        <is>
          <t>2020-03-10 13:21:27</t>
        </is>
      </c>
      <c r="H8216" t="inlineStr"/>
    </row>
    <row r="8217">
      <c r="A8217" t="inlineStr">
        <is>
          <t>fgnmd2</t>
        </is>
      </c>
      <c r="B8217" t="inlineStr">
        <is>
          <t>Thyroid cancer worry</t>
        </is>
      </c>
      <c r="C8217" t="inlineStr">
        <is>
          <t>I'm currently waiting for a clinic appointment for my thyroid. It's all kind of happened in a less than a month so its starting to get to me.
Long story so will try and sum up:
Had an unrelated MRI for headaches which picked up lymph node swelling at the tonsils. This then led on to a gp visit for my neck. Whilst there, a swelling over my thyroid was picked up. I had a clinic appointment and got an Ultrasound appointment within a week.
This picked up that one side of my thyroid is much bigger than the other, which I was told at the time.  I had a biopsy and had  CT scan almost immediately after. 
I had a phone call first thing yesterday (8am first thing!) to move my appointment forward a week for follow up. I'm a health professional myself and this is throwing up some red flags for me (or I may be worrying over nothing!)
Is this anything I should worry about? I know everyone here has experienced this and hopefully can help?</t>
        </is>
      </c>
      <c r="D8217" t="n">
        <v>1</v>
      </c>
      <c r="E8217" t="n">
        <v>7</v>
      </c>
      <c r="F8217">
        <f>HYPERLINK("https://www.reddit.com/r/cancer/comments/fgnmd2/thyroid_cancer_worry/")</f>
        <v/>
      </c>
      <c r="G8217" t="inlineStr">
        <is>
          <t>2020-03-10 16:46:09</t>
        </is>
      </c>
      <c r="H8217" t="inlineStr"/>
    </row>
    <row r="8218">
      <c r="A8218" t="inlineStr">
        <is>
          <t>fgonqu</t>
        </is>
      </c>
      <c r="B8218" t="inlineStr">
        <is>
          <t>Hand sanitizer and Clorox wipes sold out everywhere</t>
        </is>
      </c>
      <c r="C8218" t="inlineStr">
        <is>
          <t>Hi everyone my moms undergoing chemotherapy and had to postpone her last infusion due to low white blood cell counts and we realized we were low in hand sanitizer and when going to all the local stores it was sold out. It’s just sickening that people are hoarding these things that are so important for those undergoing chemotherapy. I know there’s nothing anyone can do but just wanted to vent. It keeps me up at night because I’m so worried about my mom. She’s basically quarantined at the house per her oncologists suggestion and we try to limit ppl Coming to the house but my dad is also not well and immunocompromised himself, and he has 24/7 caregivers that come in and I’m so worried of the germs they may bring in. It’s hard to find good help so I don’t want to impose more Rules but I want them to change when they arrive but not sure if that’s asking for too much. Any small thing can send them both to the ICU...they already have been in and out of there. Just venting, thanks</t>
        </is>
      </c>
      <c r="D8218" t="n">
        <v>1</v>
      </c>
      <c r="E8218" t="n">
        <v>54</v>
      </c>
      <c r="F8218">
        <f>HYPERLINK("https://www.reddit.com/r/cancer/comments/fgonqu/hand_sanitizer_and_clorox_wipes_sold_out/")</f>
        <v/>
      </c>
      <c r="G8218" t="inlineStr">
        <is>
          <t>2020-03-10 17:58:30</t>
        </is>
      </c>
      <c r="H8218" t="inlineStr"/>
    </row>
    <row r="8219">
      <c r="A8219" t="inlineStr">
        <is>
          <t>fgps6x</t>
        </is>
      </c>
      <c r="B8219" t="inlineStr">
        <is>
          <t>Spindle Cell Sarcoma</t>
        </is>
      </c>
      <c r="C8219" t="inlineStr">
        <is>
          <t>My mom was diagnosed with spindle cell sarcoma. It’s a rare cancer that attaches to the connective tissue that surround organs if I remember correctly. She is a multipack smoker for over 40 years, I’m not surprised. 
There is nothing the oncologist can do it’s already spread to her brain, it was a small spot now it’s a large mass, and her abdomen. 
She was just taken to the hospital and now they are adding double pneumonia on top of everything. I don’t know how to cope or deal with it all. However, I am the only man in her life, and my sister can’t be there mentally or emotionally because she is a wreck too. I just hide it better.</t>
        </is>
      </c>
      <c r="D8219" t="n">
        <v>1</v>
      </c>
      <c r="E8219" t="n">
        <v>4</v>
      </c>
      <c r="F8219">
        <f>HYPERLINK("https://www.reddit.com/r/cancer/comments/fgps6x/spindle_cell_sarcoma/")</f>
        <v/>
      </c>
      <c r="G8219" t="inlineStr">
        <is>
          <t>2020-03-10 19:16:39</t>
        </is>
      </c>
      <c r="H8219" t="inlineStr"/>
    </row>
    <row r="8220">
      <c r="A8220" t="inlineStr">
        <is>
          <t>fgqkgh</t>
        </is>
      </c>
      <c r="B8220" t="inlineStr">
        <is>
          <t>Can someone help me clarify info about my mother</t>
        </is>
      </c>
      <c r="C8220" t="inlineStr">
        <is>
          <t>My mother was diagnosed with stage 1 breast cancer 5 years ago. About a 1.5 years ago the cancer spread to her bones, liver and lungs. She is 60 years old and this week she told me the cancer has mutated and is also now in her blood stream.
I understand there's nothing I can do. She is so positive about this and I'm so grateful to have such a strong mother. I just worry as I don't really understand what's going on and she's telling me not to worry. I acknowledge the fact that my mom won't live to be an old lady. It pains me so much, she was always a healthy woman. Ate clean, never smoked, drank the odd glass of wine. Sucks that when she was close to retiring she got diagnosed for the worst. Makes me Pinder about life. 
Anwyay, I'm just trying to get an idea on what her timeline may be and how much suffering she will go through. She's on a new drug. She always willing to try new drugs and treatment that may benefit her. I guess I'm just a worried mess right now :(</t>
        </is>
      </c>
      <c r="D8220" t="n">
        <v>1</v>
      </c>
      <c r="E8220" t="n">
        <v>4</v>
      </c>
      <c r="F8220">
        <f>HYPERLINK("https://www.reddit.com/r/cancer/comments/fgqkgh/can_someone_help_me_clarify_info_about_my_mother/")</f>
        <v/>
      </c>
      <c r="G8220" t="inlineStr">
        <is>
          <t>2020-03-10 20:14:22</t>
        </is>
      </c>
      <c r="H8220" t="inlineStr"/>
    </row>
    <row r="8221">
      <c r="A8221" t="inlineStr">
        <is>
          <t>fgqtln</t>
        </is>
      </c>
      <c r="B8221" t="inlineStr">
        <is>
          <t>Today was MRI day for my best friend... and it wasn't good news.</t>
        </is>
      </c>
      <c r="C8221" t="inlineStr">
        <is>
          <t>My best friend (15 f) has Glioblastoma in her brain. This is the third time she has gone against GBM, but tomorrow is 8 months since they said she had a month left. She has been in and out of school, and after a stroke on January 1st, she took a long time to recover. She seemed to be doing pretty well... until we got the MRI today and we got the news that her tumor has started to grow, and the medicine she is on isn't working like it should. She can't do radiation, she is on a kind of chemo, but surgery isn't an option due to the location of the tumor. I don't swear but heck cancer. We are just so tired. She is fighting so hard, but anything could change at any moment, and I don't want to lose her. I'm so scared. She has been my best friend my whole life.</t>
        </is>
      </c>
      <c r="D8221" t="n">
        <v>1</v>
      </c>
      <c r="E8221" t="n">
        <v>4</v>
      </c>
      <c r="F8221">
        <f>HYPERLINK("https://www.reddit.com/r/cancer/comments/fgqtln/today_was_mri_day_for_my_best_friend_and_it_wasnt/")</f>
        <v/>
      </c>
      <c r="G8221" t="inlineStr">
        <is>
          <t>2020-03-10 20:33:24</t>
        </is>
      </c>
      <c r="H8221" t="inlineStr"/>
    </row>
    <row r="8222">
      <c r="A8222" t="inlineStr">
        <is>
          <t>fgr6ml</t>
        </is>
      </c>
      <c r="B8222" t="inlineStr">
        <is>
          <t>Almost a year!</t>
        </is>
      </c>
      <c r="C8222" t="inlineStr">
        <is>
          <t>11 months since I finished chemo. Got some labs back today. Still normal!</t>
        </is>
      </c>
      <c r="D8222" t="n">
        <v>1</v>
      </c>
      <c r="E8222" t="n">
        <v>6</v>
      </c>
      <c r="F8222">
        <f>HYPERLINK("https://www.reddit.com/r/cancer/comments/fgr6ml/almost_a_year/")</f>
        <v/>
      </c>
      <c r="G8222" t="inlineStr">
        <is>
          <t>2020-03-10 21:01:58</t>
        </is>
      </c>
      <c r="H8222" t="inlineStr"/>
    </row>
    <row r="8223">
      <c r="A8223" t="inlineStr">
        <is>
          <t>fgt4hk</t>
        </is>
      </c>
      <c r="B8223" t="inlineStr">
        <is>
          <t>Covid and Cancer -mortality for age groups</t>
        </is>
      </c>
      <c r="C8223" t="inlineStr">
        <is>
          <t>[https://www.msn.com/en-us/health/medical/these-underlying-conditions-make-coronavirus-more-severe-and-theyre-surprisingly-common/ar-BB10ZdOC?ocid=spartandhp](https://www.msn.com/en-us/health/medical/these-underlying-conditions-make-coronavirus-more-severe-and-theyre-surprisingly-common/ar-BB10ZdOC?ocid=spartandhp)</t>
        </is>
      </c>
      <c r="D8223" t="n">
        <v>1</v>
      </c>
      <c r="E8223" t="n">
        <v>0</v>
      </c>
      <c r="F8223">
        <f>HYPERLINK("https://www.reddit.com/r/cancer/comments/fgt4hk/covid_and_cancer_mortality_for_age_groups/")</f>
        <v/>
      </c>
      <c r="G8223" t="inlineStr">
        <is>
          <t>2020-03-11 00:01:29</t>
        </is>
      </c>
      <c r="H8223" t="inlineStr"/>
    </row>
    <row r="8224">
      <c r="A8224" t="inlineStr">
        <is>
          <t>fgv5t2</t>
        </is>
      </c>
      <c r="B8224" t="inlineStr">
        <is>
          <t>Ultrasound of neck showed this</t>
        </is>
      </c>
      <c r="C8224" t="inlineStr">
        <is>
          <t>Here’s what they found in my ultrasound of my neck: 
We see some smaller than 3mm big lymph nodes at the sternocleidomastoideus bilateral
We see some 5mm big lymph nodes at the carotid bifurcation bilateral
We see a 13 x 6 mm and a 12 x 7 mm big lymphnodes on the left and right side located on the angulus mandibulae
We see a 14 x 4 x 8 mm big lymphnode on the left preauricular lymph node.
( I had to translate from Norwegian to English so I may have some typos )
They also added that my bloodwork was fine, and that the lymph nodes doesn’t seem dangerous but that we have to find out what it is since there’s so many of them. 
So I’m now terrified of cancer. But my question is, a lot of these lymphnodes are bilateral, since it’s bilateral does that mean it’s an infection? Or can cancer also be bilateral? I’m fucking terrified of lymphoma or any type of cancer, I’ve had nightmares the last 2 nights about this.</t>
        </is>
      </c>
      <c r="D8224" t="n">
        <v>1</v>
      </c>
      <c r="E8224" t="n">
        <v>0</v>
      </c>
      <c r="F8224">
        <f>HYPERLINK("https://www.reddit.com/r/cancer/comments/fgv5t2/ultrasound_of_neck_showed_this/")</f>
        <v/>
      </c>
      <c r="G8224" t="inlineStr">
        <is>
          <t>2020-03-11 03:44:49</t>
        </is>
      </c>
      <c r="H8224" t="inlineStr"/>
    </row>
    <row r="8225">
      <c r="A8225" t="inlineStr">
        <is>
          <t>fgvkvg</t>
        </is>
      </c>
      <c r="B8225" t="inlineStr">
        <is>
          <t>Tumor Pain Tips</t>
        </is>
      </c>
      <c r="C8225" t="inlineStr">
        <is>
          <t>My cancer is a big ass nerve sheath tumor in my leg muscle. It kinda just sits there and causes pain. Anyone have a similar tumor and have things they did that helped besides pills? Ive got medication from my doctor, Ive tried icing and heating, and Im curious if you guys have any other things that have worked.</t>
        </is>
      </c>
      <c r="D8225" t="n">
        <v>1</v>
      </c>
      <c r="E8225" t="n">
        <v>11</v>
      </c>
      <c r="F8225">
        <f>HYPERLINK("https://www.reddit.com/r/cancer/comments/fgvkvg/tumor_pain_tips/")</f>
        <v/>
      </c>
      <c r="G8225" t="inlineStr">
        <is>
          <t>2020-03-11 04:23:54</t>
        </is>
      </c>
      <c r="H8225" t="inlineStr"/>
    </row>
    <row r="8226">
      <c r="A8226" t="inlineStr">
        <is>
          <t>fgwjs7</t>
        </is>
      </c>
      <c r="B8226" t="inlineStr">
        <is>
          <t>Low grade noninvasive papillary urothelial carcinoma. Bladder cancer?</t>
        </is>
      </c>
      <c r="C8226" t="inlineStr">
        <is>
          <t>Hi all, I (30F) has a tumor removed from my bladder a few weeks ago, and was told on Monday it was cancerous but low grade (slow growing) and non invasive. My doctor wants to monitor to see if it grows back, and if it does proceed with an injection of medication into my bladder. 
That’s all I was told at the appointment and I’m just a bit confused. I have been reading information online about similar cancers, but I just don’t really understand. I know it’s very positive what I have, no high risk or anything. I’m very thankful for that. My question is, I guess, do I have cancer? Or is it gone now that they removed the tumor? If it’s gone, why are they monitoring to see if it comes back?
Thanks in advance, and I apologize if this is posted in the wrong place!</t>
        </is>
      </c>
      <c r="D8226" t="n">
        <v>1</v>
      </c>
      <c r="E8226" t="n">
        <v>20</v>
      </c>
      <c r="F8226">
        <f>HYPERLINK("https://www.reddit.com/r/cancer/comments/fgwjs7/low_grade_noninvasive_papillary_urothelial/")</f>
        <v/>
      </c>
      <c r="G8226" t="inlineStr">
        <is>
          <t>2020-03-11 05:43:43</t>
        </is>
      </c>
      <c r="H8226" t="inlineStr"/>
    </row>
    <row r="8227">
      <c r="A8227" t="inlineStr">
        <is>
          <t>fgwx7i</t>
        </is>
      </c>
      <c r="B8227" t="inlineStr">
        <is>
          <t>PET CT Question</t>
        </is>
      </c>
      <c r="C8227" t="inlineStr">
        <is>
          <t>Hey all,
So I was diagnosed with Stage 2 Tongue Cancer yesterday, after having a removal of a mass last week (Wednesday.) When discussing it, my doctor said we'd need to do a PET CT scan to determine if my cancer has spread (because I could have had it for a while,) however this would be delayed by 3 weeks.
My doctor seems pretty nonchalant about the cancer and mentioned "there's no need to speed up the scans since you're healing from surgery." but I'm freaking out. Is there a risk to the healing process from the PET CT scan, or should I be looking for a different doctor?</t>
        </is>
      </c>
      <c r="D8227" t="n">
        <v>1</v>
      </c>
      <c r="E8227" t="n">
        <v>16</v>
      </c>
      <c r="F8227">
        <f>HYPERLINK("https://www.reddit.com/r/cancer/comments/fgwx7i/pet_ct_question/")</f>
        <v/>
      </c>
      <c r="G8227" t="inlineStr">
        <is>
          <t>2020-03-11 06:11:40</t>
        </is>
      </c>
      <c r="H8227" t="inlineStr"/>
    </row>
    <row r="8228">
      <c r="A8228" t="inlineStr">
        <is>
          <t>fgx94c</t>
        </is>
      </c>
      <c r="B8228" t="inlineStr">
        <is>
          <t>Question about Chemotherapy</t>
        </is>
      </c>
      <c r="C8228" t="inlineStr">
        <is>
          <t>My cousin has been diagnosed with bone cancer and everytime a chemotherapy session has finished, there's always another tumor growth in his body. I'm just wondering that chemotherapy might have something to do with it. And does anyone have a similar situation. Also sorry for my bad English</t>
        </is>
      </c>
      <c r="D8228" t="n">
        <v>1</v>
      </c>
      <c r="E8228" t="n">
        <v>2</v>
      </c>
      <c r="F8228">
        <f>HYPERLINK("https://www.reddit.com/r/cancer/comments/fgx94c/question_about_chemotherapy/")</f>
        <v/>
      </c>
      <c r="G8228" t="inlineStr">
        <is>
          <t>2020-03-11 06:36:05</t>
        </is>
      </c>
      <c r="H8228" t="inlineStr"/>
    </row>
    <row r="8229">
      <c r="A8229" t="inlineStr">
        <is>
          <t>fgx9pz</t>
        </is>
      </c>
      <c r="B8229" t="inlineStr">
        <is>
          <t>Need help with what to do.</t>
        </is>
      </c>
      <c r="C8229" t="inlineStr">
        <is>
          <t>Hello. I just found out yesterday that my aunt was digonsed with metstatic breast cancer. She told us she found a lump and a little discoloration in her breast 3 weeks ago. She had a biopsy of it, and then they saw her liver is speckled with tumors, and a spot on her right lung. They said she may have up to 5 years to live.
I would like to do something nice for her like a gift. We are unsure if she will be doing chemo. she didnt talk about it. Shes very young and has two young children. I would like to get her something to cheer her up. I was thinking a gift card and a box full of sunshine with everything yellow. If you have any input please let me know.</t>
        </is>
      </c>
      <c r="D8229" t="n">
        <v>1</v>
      </c>
      <c r="E8229" t="n">
        <v>14</v>
      </c>
      <c r="F8229">
        <f>HYPERLINK("https://www.reddit.com/r/cancer/comments/fgx9pz/need_help_with_what_to_do/")</f>
        <v/>
      </c>
      <c r="G8229" t="inlineStr">
        <is>
          <t>2020-03-11 06:37:15</t>
        </is>
      </c>
      <c r="H8229" t="inlineStr"/>
    </row>
    <row r="8230">
      <c r="A8230" t="inlineStr">
        <is>
          <t>fgxs6l</t>
        </is>
      </c>
      <c r="B8230" t="inlineStr">
        <is>
          <t>R-CHOP</t>
        </is>
      </c>
      <c r="C8230" t="inlineStr">
        <is>
          <t>Has anyone with Hodgkin or non-Hodgkin lymphoma done R-CHOP?  How long should I be out of work and what’s the recovery time?</t>
        </is>
      </c>
      <c r="D8230" t="n">
        <v>1</v>
      </c>
      <c r="E8230" t="n">
        <v>8</v>
      </c>
      <c r="F8230">
        <f>HYPERLINK("https://www.reddit.com/r/cancer/comments/fgxs6l/rchop/")</f>
        <v/>
      </c>
      <c r="G8230" t="inlineStr">
        <is>
          <t>2020-03-11 07:13:29</t>
        </is>
      </c>
      <c r="H8230" t="inlineStr"/>
    </row>
    <row r="8231">
      <c r="A8231" t="inlineStr">
        <is>
          <t>fgxw9u</t>
        </is>
      </c>
      <c r="B8231" t="inlineStr">
        <is>
          <t>Denying Treatment</t>
        </is>
      </c>
      <c r="C8231" t="inlineStr">
        <is>
          <t>I’m in a spot where I can guarantee, at least to myself, that I’ve got Superficial Spreading Melanoma, no official diagnosis, but I’m refusing to do any sort of check up/treatment and just live my life like I don’t have the disease until it physically affects me as more than just growing blotches on my skin. I feel like those resources could be used for someone who’s not so far along.
I’ve got a solid job, I pushed my girl away so she doesn’t have to deal with this, none of my family knows. But I’m just wondering if there’s others that are going through the same thought process I am.</t>
        </is>
      </c>
      <c r="D8231" t="n">
        <v>1</v>
      </c>
      <c r="E8231" t="n">
        <v>12</v>
      </c>
      <c r="F8231">
        <f>HYPERLINK("https://www.reddit.com/r/cancer/comments/fgxw9u/denying_treatment/")</f>
        <v/>
      </c>
      <c r="G8231" t="inlineStr">
        <is>
          <t>2020-03-11 07:21:27</t>
        </is>
      </c>
      <c r="H8231" t="inlineStr"/>
    </row>
    <row r="8232">
      <c r="A8232" t="inlineStr">
        <is>
          <t>fh0fny</t>
        </is>
      </c>
      <c r="B8232" t="inlineStr">
        <is>
          <t>Here we go, 1st chemo day for wife's ovarian cancer</t>
        </is>
      </c>
      <c r="C8232" t="inlineStr">
        <is>
          <t>1st off, this is mostly to say thank you for all the information and support on the port surgery and her after care.
They've got her all hooked up, and will begin the Taxol and Avastin soon. All the staff has been awesome, and extremely good at explaining things and answering questions. It feels oddly comfortable for us here.
Hope the best for everyone else, and let her fight begin.</t>
        </is>
      </c>
      <c r="D8232" t="n">
        <v>1</v>
      </c>
      <c r="E8232" t="n">
        <v>50</v>
      </c>
      <c r="F8232">
        <f>HYPERLINK("https://www.reddit.com/r/cancer/comments/fh0fny/here_we_go_1st_chemo_day_for_wifes_ovarian_cancer/")</f>
        <v/>
      </c>
      <c r="G8232" t="inlineStr">
        <is>
          <t>2020-03-11 10:03:03</t>
        </is>
      </c>
      <c r="H8232" t="inlineStr"/>
    </row>
    <row r="8233">
      <c r="A8233" t="inlineStr">
        <is>
          <t>fh0t8c</t>
        </is>
      </c>
      <c r="B8233" t="inlineStr">
        <is>
          <t>Lung Cancer or pneumonia? I have to know</t>
        </is>
      </c>
      <c r="C8233" t="inlineStr">
        <is>
          <t>Im 19M, 5‘7, 65kg, African, I do not drink nor smoke (never have), I do not have current existing medical issues and I do not use recreational or any typ of drugs.
I’ve been having chest pain for the last two to three months. The chest pain is sharp and stabbing chest pain that always lasted just for a few seconds. It mostly got triggered when I was in bed and or was laughing, but it obviously happened sometimes where I’d just walk or do anything else. 
It started out on my left side, right around my heart, and slowly moved to my bottom right side of my lung. As of current the pain has gotten worse, got multiple spots and lasts a bit longer than usual. 
At first I wasn’t paying much attention to it, obviously I was wrong, but now I don’t know what to do. I’m scared to go to the doctor because they might declare it cancer but if I don’t it clearly won’t get any better soo just for last glimpse could you idk tell me what you might think of it?
For further info, I did look into „lung cancer“ and have found that most of not all of the other symptoms do not apply to me. I have neither a voice change nor cough or breathing problems. And or for pneumonia I don’t really have fever or any of that stuff. Idk guys...
Btw I really do know that I should go to the doctor, and that is inevitable and I will but if really be great if I got some advice or maybe heads up. Thank you
(I apologize if this was the wrong place to post this)
You can ask me for any other details if you want</t>
        </is>
      </c>
      <c r="D8233" t="n">
        <v>1</v>
      </c>
      <c r="E8233" t="n">
        <v>5</v>
      </c>
      <c r="F8233">
        <f>HYPERLINK("https://www.reddit.com/r/cancer/comments/fh0t8c/lung_cancer_or_pneumonia_i_have_to_know/")</f>
        <v/>
      </c>
      <c r="G8233" t="inlineStr">
        <is>
          <t>2020-03-11 10:25:57</t>
        </is>
      </c>
      <c r="H8233" t="inlineStr"/>
    </row>
    <row r="8234">
      <c r="A8234" t="inlineStr">
        <is>
          <t>fh1ghx</t>
        </is>
      </c>
      <c r="B8234" t="inlineStr">
        <is>
          <t>For the love of God</t>
        </is>
      </c>
      <c r="C8234" t="inlineStr">
        <is>
          <t>Please stop with the “do I have cancer?“ posts. Anyone reading this who has chest pain and thinks they have lung cancer, or sneezes and thinks they have cancer of the nasal cavity, or gets a pimple and thinks that they have skin cancer, or goes jogging and has an ache in their knee and thinks they have bone cancer… Go to the fucking doctor. We cannot tell you if you have cancer. We did not even know we had cancer ourselves until we went to the doctor.
&amp;lt;end rant&amp;gt;</t>
        </is>
      </c>
      <c r="D8234" t="n">
        <v>1</v>
      </c>
      <c r="E8234" t="n">
        <v>58</v>
      </c>
      <c r="F8234">
        <f>HYPERLINK("https://www.reddit.com/r/cancer/comments/fh1ghx/for_the_love_of_god/")</f>
        <v/>
      </c>
      <c r="G8234" t="inlineStr">
        <is>
          <t>2020-03-11 11:06:12</t>
        </is>
      </c>
      <c r="H8234" t="inlineStr"/>
    </row>
    <row r="8235">
      <c r="A8235" t="inlineStr">
        <is>
          <t>fh23e9</t>
        </is>
      </c>
      <c r="B8235" t="inlineStr">
        <is>
          <t>Donate to stop Cancer</t>
        </is>
      </c>
      <c r="C8235" t="inlineStr">
        <is>
          <t xml:space="preserve"> Hey guys so I found this great charity for Cancer that is totally legit called Schools Vs Cancer It ends March 31st so go Donate!   
     https://main.acsevents.org/goto/</t>
        </is>
      </c>
      <c r="D8235" t="n">
        <v>1</v>
      </c>
      <c r="E8235" t="n">
        <v>3</v>
      </c>
      <c r="F8235">
        <f>HYPERLINK("https://www.reddit.com/r/cancer/comments/fh23e9/donate_to_stop_cancer/")</f>
        <v/>
      </c>
      <c r="G8235" t="inlineStr">
        <is>
          <t>2020-03-11 11:46:19</t>
        </is>
      </c>
      <c r="H8235" t="inlineStr"/>
    </row>
    <row r="8236">
      <c r="A8236" t="inlineStr">
        <is>
          <t>fh42r5</t>
        </is>
      </c>
      <c r="B8236" t="inlineStr">
        <is>
          <t>Deuterium Depleted Water and Cancer Treatment</t>
        </is>
      </c>
      <c r="C8236" t="inlineStr">
        <is>
          <t>Hello everyone. My brother was diagnosed with a stage 4 liver tumor last June. He has been doing chemo since then and most of the side effects from the chemo were not as awful and he has been functional. In January we met with his oncologist and he said the cancer was "iffy." The large tumor has shrunk somewhat but other cancers are forming. I started researching other methods. There isn't much research here in the USA regarding deuterium depleted water but it is available here; although very expensive. All of the studies seem to be in other countries.  I ordered some and he has been drinking it for about a month now. His neuropathy is gone so far and he is able to tolerate anything cold whereas before he couldn't. The research studies I read stated it took at least two months to see a  difference. All of the studies included drinking the deuterium depleted water in addition to chemo therapy. Since there is such limited research I wanted to open up a dialogue to see if anyone has tried reducing their deuterium level. As soon as I know more I will continue posting.</t>
        </is>
      </c>
      <c r="D8236" t="n">
        <v>1</v>
      </c>
      <c r="E8236" t="n">
        <v>3</v>
      </c>
      <c r="F8236">
        <f>HYPERLINK("https://www.reddit.com/r/cancer/comments/fh42r5/deuterium_depleted_water_and_cancer_treatment/")</f>
        <v/>
      </c>
      <c r="G8236" t="inlineStr">
        <is>
          <t>2020-03-11 13:47:48</t>
        </is>
      </c>
      <c r="H8236" t="inlineStr"/>
    </row>
    <row r="8237">
      <c r="A8237" t="inlineStr">
        <is>
          <t>fh4ql5</t>
        </is>
      </c>
      <c r="B8237" t="inlineStr">
        <is>
          <t>Should I seek a second opinion?</t>
        </is>
      </c>
      <c r="C8237" t="inlineStr">
        <is>
          <t>Recently, I underwent testing for blood cancer. My hematologist suspected a chronic lymphoma. I had a bunch of blood work, genetic testing, ct scan, mri scan, and a bone marrow biopsy and aspiration. 
My blood work shows that I have a kappa monoclonal b-cell population. I am cd 5, cd 19, cd 20, and fmc-7 positive. I’m and cd 23 negative. 
My bone marrow results came back inconclusive. My lymph nodes are not swollen, but my spleen is slightly enlarged. I also am anemic and have a history of high white blood cell count (almost a year at this point; this is why I was referred by my pcp to hematology).
My doctor said because I don’t fall into any one category, my lump nodes are involved and my biopsy was inconclusive, that I don’t have a specific cancer at this time. 
He has me doing blood work every three months and another appointment in six months. 
Should I have a second opinion done? If so, what kind of institution should I look for? Should it be another hematologist in my area? A university’s cancer center?</t>
        </is>
      </c>
      <c r="D8237" t="n">
        <v>1</v>
      </c>
      <c r="E8237" t="n">
        <v>8</v>
      </c>
      <c r="F8237">
        <f>HYPERLINK("https://www.reddit.com/r/cancer/comments/fh4ql5/should_i_seek_a_second_opinion/")</f>
        <v/>
      </c>
      <c r="G8237" t="inlineStr">
        <is>
          <t>2020-03-11 14:28:08</t>
        </is>
      </c>
      <c r="H8237" t="inlineStr"/>
    </row>
    <row r="8238">
      <c r="A8238" t="inlineStr">
        <is>
          <t>fh5qqu</t>
        </is>
      </c>
      <c r="B8238" t="inlineStr">
        <is>
          <t>Work and Cancer</t>
        </is>
      </c>
      <c r="C8238" t="inlineStr">
        <is>
          <t>Hey, curious what everyone else here did when diagnosed. Did you work when you could? Take short term disability? The only problem I have with work right now is pain caused by the tumor, but otherwise Id like to continue (Im a teacher). Is this what other people did? Is this a doctor and not a group on reddit conversation?</t>
        </is>
      </c>
      <c r="D8238" t="n">
        <v>1</v>
      </c>
      <c r="E8238" t="n">
        <v>28</v>
      </c>
      <c r="F8238">
        <f>HYPERLINK("https://www.reddit.com/r/cancer/comments/fh5qqu/work_and_cancer/")</f>
        <v/>
      </c>
      <c r="G8238" t="inlineStr">
        <is>
          <t>2020-03-11 15:31:33</t>
        </is>
      </c>
      <c r="H8238" t="inlineStr"/>
    </row>
    <row r="8239">
      <c r="A8239" t="inlineStr">
        <is>
          <t>fh6qnk</t>
        </is>
      </c>
      <c r="B8239" t="inlineStr">
        <is>
          <t>Pediatric Brain Cancer</t>
        </is>
      </c>
      <c r="C8239" t="inlineStr">
        <is>
          <t>Pediatric cancer research gets so little funding and there are still kids suffering due to ineffective treatment. 
This site is asking for those that have been effected by pediatric brain cancer to contribute letters of support for their grant application. 
Show support or spread awareness if you can.
https://defeatdipg.org/support-pnoc-cbttc-nih-pediatric-brain-tumor-spore-grant-proposal/?fbclid=IwAR0UuuWMAA8ysadAyg71Bj3uEIsPIPsk_3SkRgvZAFqwGogXkq214nAa4B4</t>
        </is>
      </c>
      <c r="D8239" t="n">
        <v>1</v>
      </c>
      <c r="E8239" t="n">
        <v>0</v>
      </c>
      <c r="F8239">
        <f>HYPERLINK("https://www.reddit.com/r/cancer/comments/fh6qnk/pediatric_brain_cancer/")</f>
        <v/>
      </c>
      <c r="G8239" t="inlineStr">
        <is>
          <t>2020-03-11 16:36:53</t>
        </is>
      </c>
      <c r="H8239" t="inlineStr"/>
    </row>
    <row r="8240">
      <c r="A8240" t="inlineStr">
        <is>
          <t>fh6sjf</t>
        </is>
      </c>
      <c r="B8240" t="inlineStr">
        <is>
          <t>Oropharyngeal Cancer by HPV</t>
        </is>
      </c>
      <c r="C8240" t="inlineStr">
        <is>
          <t>Hello everyone. So I have recently come to the conclusion that I have oral cancer from HPV. I haven’t gotten the diagnosis yet or tests done, this coming Monday I will at the doctors. I am pretty certain that I have it though. It started as strep throat. The strep went away and I was left with constant mucus and obsessive need to swallow. I went to the doctor to get the mucus problem fixed. Whatever he gave me helped. I stopped taking the meds once I had thought the problem was gone. It came back. I didn’t think much of it I just assumed it was because I didn’t have any more meds. 
It has been 6 months since I first got diagnosed with strep. These past few days symptoms started to appear such as dry itchy throat, and discomfort when swallowing. Today I’ve noticed purple veins appearing in the back of my throat. The discomfort when swallowing has been persisting for 3 days now. I just want to know if anyone has experienced this or if anyone has any expertise on how far the cancer has spread. My anxiety is through the roof and I’ve already been depressed for a long time. If anyone can give me advice or some guidance it would be greatly appreciated. I know it’s a cancer that is kinda self inflicted so I don’t want to throw myself a pity party, but I just want to know I’m not alone. Thank you for your time.</t>
        </is>
      </c>
      <c r="D8240" t="n">
        <v>0</v>
      </c>
      <c r="E8240" t="n">
        <v>5</v>
      </c>
      <c r="F8240">
        <f>HYPERLINK("https://www.reddit.com/r/cancer/comments/fh6sjf/oropharyngeal_cancer_by_hpv/")</f>
        <v/>
      </c>
      <c r="G8240" t="inlineStr">
        <is>
          <t>2020-03-11 16:40:28</t>
        </is>
      </c>
      <c r="H8240" t="inlineStr"/>
    </row>
    <row r="8241">
      <c r="A8241" t="inlineStr">
        <is>
          <t>fh6z26</t>
        </is>
      </c>
      <c r="B8241" t="inlineStr">
        <is>
          <t>Fine needle biopsy on auxiliary lymph node</t>
        </is>
      </c>
      <c r="C8241" t="inlineStr">
        <is>
          <t>I had a fine needle biopsy on one of my lymph nodes in my left underarm. I had a mammogram and ultrasound done on my breasts and no cancer was found. The doctors were concerned about my lymph nodes because there is thickening around them. 
I’m scared (although the breast specialist I saw said that the chances of me having cancel are small). For people who had a similar procedure, did doctors tell you you have cancer? Were the results negative? If the results of the biopsy were positive, what were the next steps your doctor took?</t>
        </is>
      </c>
      <c r="D8241" t="n">
        <v>1</v>
      </c>
      <c r="E8241" t="n">
        <v>6</v>
      </c>
      <c r="F8241">
        <f>HYPERLINK("https://www.reddit.com/r/cancer/comments/fh6z26/fine_needle_biopsy_on_auxiliary_lymph_node/")</f>
        <v/>
      </c>
      <c r="G8241" t="inlineStr">
        <is>
          <t>2020-03-11 16:52:53</t>
        </is>
      </c>
      <c r="H8241" t="inlineStr"/>
    </row>
    <row r="8242">
      <c r="A8242" t="inlineStr">
        <is>
          <t>fh8ajr</t>
        </is>
      </c>
      <c r="B8242" t="inlineStr">
        <is>
          <t>I want to get checked up for cancer but I'm scared of the cost</t>
        </is>
      </c>
      <c r="C8242" t="inlineStr">
        <is>
          <t>For the past couple of months ofbeen getting random burts of pain my testicles (usually while im peeing). Ive been mostly ignoring it but im worried it might be testicular cancer. I've been examining my testicles frequently since then and I feel a weird lump on the top side of one of them (idk if its actually that or paranoia)
Anyway, idk what I should do. Im a 20 year old american college student with no real spare income and have no knowledge of how much it cost to get tested or where to start. 
Any advice would be helpful. Thank you in advance</t>
        </is>
      </c>
      <c r="D8242" t="n">
        <v>1</v>
      </c>
      <c r="E8242" t="n">
        <v>10</v>
      </c>
      <c r="F8242">
        <f>HYPERLINK("https://www.reddit.com/r/cancer/comments/fh8ajr/i_want_to_get_checked_up_for_cancer_but_im_scared/")</f>
        <v/>
      </c>
      <c r="G8242" t="inlineStr">
        <is>
          <t>2020-03-11 18:25:12</t>
        </is>
      </c>
      <c r="H8242" t="inlineStr"/>
    </row>
    <row r="8243">
      <c r="A8243" t="inlineStr">
        <is>
          <t>fh8p3c</t>
        </is>
      </c>
      <c r="B8243" t="inlineStr">
        <is>
          <t>Long hair wigs, does anyone need one?</t>
        </is>
      </c>
      <c r="C8243" t="inlineStr">
        <is>
          <t>Hello, 
I wasn't sure if this is okay to post, but I have 2 long hair, dark brown/black wigs that I bought and only tried on (never warn for longer than 5 minutes) that I would like to gift to someone who could give them better use. 
They don't look quite right on me, so I wanted to gift them to someone who may want or need them.
I know decent wigs can be expensive, so if there is anyone here that is interested, I'd be happy to ship them to you, or if you live in the Bay Area, we could meet up so I can give them to you.
These ARE NOT FOR SALE. They are FREE OF CHARGE, NO COST FOR SHIPPING. This is more of a charitable thing to someone in need.
If this post is not okay, please remove it. If there is a better place to post it, could anyone let me know? Please and thank you!</t>
        </is>
      </c>
      <c r="D8243" t="n">
        <v>1</v>
      </c>
      <c r="E8243" t="n">
        <v>3</v>
      </c>
      <c r="F8243">
        <f>HYPERLINK("https://www.reddit.com/r/cancer/comments/fh8p3c/long_hair_wigs_does_anyone_need_one/")</f>
        <v/>
      </c>
      <c r="G8243" t="inlineStr">
        <is>
          <t>2020-03-11 18:52:14</t>
        </is>
      </c>
      <c r="H8243" t="inlineStr"/>
    </row>
    <row r="8244">
      <c r="A8244" t="inlineStr">
        <is>
          <t>fh93rp</t>
        </is>
      </c>
      <c r="B8244" t="inlineStr">
        <is>
          <t>Caregiving</t>
        </is>
      </c>
      <c r="C8244" t="inlineStr">
        <is>
          <t>Today has been a rough day. Dad is dealing with stage iv pancreatic cancer with mets to liver and lymph nodes.
I’ve had a tough time accepting the title of caregiver. It felt disingenuous. Today, it hit me like a ton of fucking bricks. Don’t discount what you do for your loved one or what you bring to the table. I truly had to advocate for my father today. He is in so much pain that I had to help fill out paperwork and at times speak on his behalf. And thank god I did. 
In this case I was able to help articulate his needs. His pain was incredibly convincing but I was able to give the doctor necessary information that helped expedite his care. 
I live clear across the country and get my info in bits and pieces but when I am in town I try to help as best I can. I try to keep the rest of the family in the loop when it comes to what’s going on.
No, I am not the one dealing with the constant and inconceivable physical pain. But after processing and speaking with the people that matter, I finally realized...I should not downplay my role in this. Yes, it’s heavy. Yes, it’s fucking hard. No, it doesn’t always get better. But...
WE ARE ALL DOING OUR BEST.
I’m probably just drunk but thank you for coming to my TED talk.</t>
        </is>
      </c>
      <c r="D8244" t="n">
        <v>1</v>
      </c>
      <c r="E8244" t="n">
        <v>7</v>
      </c>
      <c r="F8244">
        <f>HYPERLINK("https://www.reddit.com/r/cancer/comments/fh93rp/caregiving/")</f>
        <v/>
      </c>
      <c r="G8244" t="inlineStr">
        <is>
          <t>2020-03-11 19:20:12</t>
        </is>
      </c>
      <c r="H8244" t="inlineStr"/>
    </row>
    <row r="8245">
      <c r="A8245" t="inlineStr">
        <is>
          <t>fh9l1a</t>
        </is>
      </c>
      <c r="B8245" t="inlineStr">
        <is>
          <t>No you don't have cancer you have stomach disorder</t>
        </is>
      </c>
      <c r="C8245" t="inlineStr">
        <is>
          <t>After my brain tumor surgery and then cancer many people came to me and ask I often feel headache do I have a brain tumor. For GOD sake stop thinking like this and you will be okay.</t>
        </is>
      </c>
      <c r="D8245" t="n">
        <v>1</v>
      </c>
      <c r="E8245" t="n">
        <v>0</v>
      </c>
      <c r="F8245">
        <f>HYPERLINK("https://www.reddit.com/r/cancer/comments/fh9l1a/no_you_dont_have_cancer_you_have_stomach_disorder/")</f>
        <v/>
      </c>
      <c r="G8245" t="inlineStr">
        <is>
          <t>2020-03-11 19:55:04</t>
        </is>
      </c>
      <c r="H8245" t="inlineStr"/>
    </row>
    <row r="8246">
      <c r="A8246" t="inlineStr">
        <is>
          <t>fh9ob2</t>
        </is>
      </c>
      <c r="B8246" t="inlineStr">
        <is>
          <t>TURBT results on the 20th should I get a PET scan regardless, should I insist on one if they say no?</t>
        </is>
      </c>
      <c r="C8246" t="inlineStr">
        <is>
          <t>I had a bladder resection just over 3 weeks ago. I'm going for the results on the 20th. I was told it's be 2 to 3 weeks and it has been longer, I'm taking that as being good news, however just before I was discharged I had a brief conversation with the consultant and he said it looked like cancer to him but the lab has the final say. I was cool with that cos I just wanted home.
The only good thing about this long gap between appointments is that it's given me time to think, not all possitive. Here are my concerns.
1. I was told before a few times that while I was cathaterised I'd be given Mitomycin which I wasn't.
2. I always vowed I'd never have a CT scan unless I deemed it absolutely necessary, since a PET scan is a ramped up CT I'm ever so slightly reluctant to even mention it but now I'm thinking I absolutely want one.
3. I've been half expecting a letter through the door with a scan appointment set up and so far nothing has come through.
Do I insist on one even if the labs come back benign?
Will they offer me one if it's malignant? On the cystoscopy I did see a tubular growth and one flat on my bladder wall. That tells me that if it's malignant it's been there that long that it grew a mate to keep it company.
I get the feeling that if it is they'll see it as just a bladder issue and treat from there without further investigations.
I'm just kinda in that stuck limbo with my brain doing the mild a minute cycle.
I'm trying my best to carry on as normal and not let it get me down, but when I do start to think I go into the rabbit hole.
Anyone out there got any insight or recommendations as to what my next steps should be in the next hospital appointment?
Sorry if it's a bit rambling. More than happy to elaborate in response requests</t>
        </is>
      </c>
      <c r="D8246" t="n">
        <v>1</v>
      </c>
      <c r="E8246" t="n">
        <v>2</v>
      </c>
      <c r="F8246">
        <f>HYPERLINK("https://www.reddit.com/r/cancer/comments/fh9ob2/turbt_results_on_the_20th_should_i_get_a_pet_scan/")</f>
        <v/>
      </c>
      <c r="G8246" t="inlineStr">
        <is>
          <t>2020-03-11 20:01:52</t>
        </is>
      </c>
      <c r="H8246" t="inlineStr"/>
    </row>
    <row r="8247">
      <c r="A8247" t="inlineStr">
        <is>
          <t>fh9zvf</t>
        </is>
      </c>
      <c r="B8247" t="inlineStr">
        <is>
          <t>A little scared here. Looking for advice.</t>
        </is>
      </c>
      <c r="C8247" t="inlineStr">
        <is>
          <t>Can a skin cancer spot look only a few shades darker than skin color. I’m white, and the spot is about the size of a a small screws head. It is circular, almost perfectly. It is a bit raised after I scratched it, so I don’t know whether it was raised prior. It’s a little pink. I thought it was a large pimple, cuz my skin is always like that. It’s one of the only reasons why I saw it. Tried to “pop” it and nothing came out, but it did raise the surrounding skin and start bleeding a bit. I looked at pictures online, and it doesn’t look like any picture I saw. It looks kind of like a spider bite, but without the irritation. It’s a solid color and there is no ring around it. Thanks for any help. I TRULY appreciate it. I hope it isn’t cancer, but if it is, I’ll be posting here quite a bit more.</t>
        </is>
      </c>
      <c r="D8247" t="n">
        <v>1</v>
      </c>
      <c r="E8247" t="n">
        <v>0</v>
      </c>
      <c r="F8247">
        <f>HYPERLINK("https://www.reddit.com/r/cancer/comments/fh9zvf/a_little_scared_here_looking_for_advice/")</f>
        <v/>
      </c>
      <c r="G8247" t="inlineStr">
        <is>
          <t>2020-03-11 20:25:34</t>
        </is>
      </c>
      <c r="H8247" t="inlineStr"/>
    </row>
    <row r="8248">
      <c r="A8248" t="inlineStr">
        <is>
          <t>fha6fm</t>
        </is>
      </c>
      <c r="B8248" t="inlineStr">
        <is>
          <t>Looking for hope tnbc</t>
        </is>
      </c>
      <c r="C8248" t="inlineStr">
        <is>
          <t>I was diagnosed with stage 2B tnbc idc about a month ago. Then we found more in the other breast so I have a secondary stage 1b tnbc diagnosis.  I’m 30 years old and pregnant with my second and last child. I’m currently doing my 4 rounds of ac and plan to do 12 rounds of taxol after. (Will deliver baby early after ac is done) I’ve been all over the place emotionally and am having trouble finding positive stories for my diagnosis. Any time you search for tnbc the first things you read are how the prognosis is poorer than other breast cancers. I’ve also found I have a BRCA1 mutation which means I’ll need to get my ovaries out some time soon. I’m just overwhelmed and trying not to be discouraged. Does anyone have a positive tnbc story that they could share? I’m just so worn out reading about how bad my situation is.</t>
        </is>
      </c>
      <c r="D8248" t="n">
        <v>1</v>
      </c>
      <c r="E8248" t="n">
        <v>5</v>
      </c>
      <c r="F8248">
        <f>HYPERLINK("https://www.reddit.com/r/cancer/comments/fha6fm/looking_for_hope_tnbc/")</f>
        <v/>
      </c>
      <c r="G8248" t="inlineStr">
        <is>
          <t>2020-03-11 20:39:59</t>
        </is>
      </c>
      <c r="H8248" t="inlineStr"/>
    </row>
    <row r="8249">
      <c r="A8249" t="inlineStr">
        <is>
          <t>fhambz</t>
        </is>
      </c>
      <c r="B8249" t="inlineStr">
        <is>
          <t>Fuck Coronavirus</t>
        </is>
      </c>
      <c r="C8249" t="inlineStr">
        <is>
          <t>Within days of getting diagnosed with stage 4 cancer (in January), mom has booked her travel plans. She wanted one last family trip with us all before she’s too sick to travel. It has been THE bright spot for her in some very dark times. And now we are probably not going because of this unanticipated pandemic.
I know staying home is the safe thing to do, the moral thing. At 69 and undergoing chemo, she’s definitely in the high-risk group. But we may not have the opportunity to reschedule in some months like so many others will. It’s just such a shitty situation, but we have to cancel, right?</t>
        </is>
      </c>
      <c r="D8249" t="n">
        <v>1</v>
      </c>
      <c r="E8249" t="n">
        <v>14</v>
      </c>
      <c r="F8249">
        <f>HYPERLINK("https://www.reddit.com/r/cancer/comments/fhambz/fuck_coronavirus/")</f>
        <v/>
      </c>
      <c r="G8249" t="inlineStr">
        <is>
          <t>2020-03-11 21:16:13</t>
        </is>
      </c>
      <c r="H8249" t="inlineStr"/>
    </row>
    <row r="8250">
      <c r="A8250" t="inlineStr">
        <is>
          <t>fhb240</t>
        </is>
      </c>
      <c r="B8250" t="inlineStr">
        <is>
          <t>Preparedness for the novel coronavirus</t>
        </is>
      </c>
      <c r="C8250" t="inlineStr">
        <is>
          <t>Hello everyone, I was just stopping by this subreddit because I was debating posting my experience donating bone marrow (which was very negative for my health, but still glad for the person I donated to), and I saw some posts about the coronavirus- people not being able to find soap, hand sanitizer, etc
As a high risk group, I encourage you to start storing non perishable food and sanitation supplies. The department of homeland security recommends a 2 week supply of food and water to have on hand before a pandemic. More is better. A good subreddit for more info is r/pandemicpreps
Why might it be a good idea to prep?
- When your area has community transmission, you will be able to avoid exposing yourself to the virus through shopping
- You will be prepared for shortages (like those seen now with PPE and hand sanitizer) that could negatively impact your health
- If you fall ill, you will have everything you need in the house. No need to get up the energy to go to the store
Good things to prep:
- shelf stable foods: I like to make curries and quick meals with dried lentils or canned beans, rice or quinoa, coconut milk, frozen veggies with ginger, garlic, curry powder and turmeric powder. Canned soups make an easy meal. Peanut butter is tasty and calorie rich. But really, buy what you like to eat and what you can afford. Rotate foods in and out by what expires first 
- toilet paper (NOT buying out the store but making sure you have an extra package or two) 
- disposable gloves (can be used when shopping, touching commonly used objects, pumping gas, etc.)
- hand sanitizer or components to make it (guides available online)
- hand soap or Castile soap to dilute down 
- disinfectants (minimum 70% alcohol). Good idea to buy isopropyl/rubbing alcohol for this purpose 
- a few months worth of anything else you need- dish soap, shampoo, toothbrushes, floss, tampons, etc.
- mucinex (guafinesin) could be useful as an expectorant to clear the lungs. Of course talk with your doctor about what is best for you 
- also may be beneficial: vitamin d to boost immune system, electrolytes in case you get sick, pain reducing meds
- an extra month or two of prescription medication (if you are able to build up a supply)
- pet food if applicable (ideally enough for 3-6 months, im worried about potential shortages and pets can be picky!)
- masks are hard to buy right now unfortunately so best bet is to avoid crowds and public transportation
I hope this is useful! I wish you all vibrant health and safety.</t>
        </is>
      </c>
      <c r="D8250" t="n">
        <v>1</v>
      </c>
      <c r="E8250" t="n">
        <v>7</v>
      </c>
      <c r="F8250">
        <f>HYPERLINK("https://www.reddit.com/r/cancer/comments/fhb240/preparedness_for_the_novel_coronavirus/")</f>
        <v/>
      </c>
      <c r="G8250" t="inlineStr">
        <is>
          <t>2020-03-11 21:53:56</t>
        </is>
      </c>
      <c r="H8250" t="inlineStr"/>
    </row>
    <row r="8251">
      <c r="A8251" t="inlineStr">
        <is>
          <t>fhb2fs</t>
        </is>
      </c>
      <c r="B8251" t="inlineStr">
        <is>
          <t>Frigging Covid-19</t>
        </is>
      </c>
      <c r="C8251" t="inlineStr">
        <is>
          <t>So I've been following this outbreak for months.  And I've been keeping my wife up to date with the details.  Well she's finally paying attention.  We live outside of Houston and today for the first time they canceled the Houston Livestock Show and Rodeo.  This is the biggest event of it's kind in the world.  Also today a guy was diagnosed with Covid-19 and they have no idea how or why.  He's not traveled outside of the country or even this part of Texas recently.  
My wife has stage IV metastatic breast cancer.  She's got tumors in her ribs, 6 vertebrae, her hip, liver, and lungs.  She's almost 61, has questionable lungs from radiation, and a compromised immune system.  In other words she's the poster child for the kind  of person who would not survive this virus.  She's a bit freaked out.  So we are basically self quarantining and limiting all visits out into the world.  Honestly I could probably function for a month without leaving the house based on the food and preps we all ready have.
If you are in the same boat....what are you doing to protect yourself?</t>
        </is>
      </c>
      <c r="D8251" t="n">
        <v>1</v>
      </c>
      <c r="E8251" t="n">
        <v>6</v>
      </c>
      <c r="F8251">
        <f>HYPERLINK("https://www.reddit.com/r/cancer/comments/fhb2fs/frigging_covid19/")</f>
        <v/>
      </c>
      <c r="G8251" t="inlineStr">
        <is>
          <t>2020-03-11 21:54:43</t>
        </is>
      </c>
      <c r="H8251" t="inlineStr"/>
    </row>
    <row r="8252">
      <c r="A8252" t="inlineStr">
        <is>
          <t>fhcfi9</t>
        </is>
      </c>
      <c r="B8252" t="inlineStr">
        <is>
          <t>3 years ago was my surgery for renal cancer...</t>
        </is>
      </c>
      <c r="C8252" t="inlineStr">
        <is>
          <t>Just had my three year anniversary checkup with my urologist and oncologist.  Scans came back good and we remain optimistic.  More scans in six months.
Stay strong survivors.</t>
        </is>
      </c>
      <c r="D8252" t="n">
        <v>1</v>
      </c>
      <c r="E8252" t="n">
        <v>0</v>
      </c>
      <c r="F8252">
        <f>HYPERLINK("https://www.reddit.com/r/cancer/comments/fhcfi9/3_years_ago_was_my_surgery_for_renal_cancer/")</f>
        <v/>
      </c>
      <c r="G8252" t="inlineStr">
        <is>
          <t>2020-03-12 00:09:41</t>
        </is>
      </c>
      <c r="H8252" t="inlineStr"/>
    </row>
    <row r="8253">
      <c r="A8253" t="inlineStr">
        <is>
          <t>fhd5zc</t>
        </is>
      </c>
      <c r="B8253" t="inlineStr">
        <is>
          <t>Love you always mom...cancer suck..</t>
        </is>
      </c>
      <c r="C8253" t="inlineStr">
        <is>
          <t>I lost you a weeks before my 18 birthday and it’s hurt me everyday and that now I’m about to be 25 years old it does get easier. I love you and miss you much I remember you planning my big 18th birthday and couldn’t wait for me to turn 18 as much as I was.. it was hard for me to blow out the candles and make a wish knowing that. That wish would never come true because you sent to a better Place. Were you don’t to suffer anymore because of cancer I know you are looking after me still because a mother bond is forever and nothing can stop a sons love for his mother.. I love you and miss you much momma 😊😇</t>
        </is>
      </c>
      <c r="D8253" t="n">
        <v>1</v>
      </c>
      <c r="E8253" t="n">
        <v>5</v>
      </c>
      <c r="F8253">
        <f>HYPERLINK("https://www.reddit.com/r/cancer/comments/fhd5zc/love_you_always_momcancer_suck/")</f>
        <v/>
      </c>
      <c r="G8253" t="inlineStr">
        <is>
          <t>2020-03-12 01:33:12</t>
        </is>
      </c>
      <c r="H8253" t="inlineStr"/>
    </row>
    <row r="8254">
      <c r="A8254" t="inlineStr">
        <is>
          <t>fhdufs</t>
        </is>
      </c>
      <c r="B8254" t="inlineStr">
        <is>
          <t>Worried about putting my immunocompromised parents at risk from serious illness</t>
        </is>
      </c>
      <c r="C8254" t="inlineStr">
        <is>
          <t>Both of my parents have cancer. Dad has multiple myeloma but after going through chemo and stem cell transfers last year he fairly stable for the time being, though will certainly relapse at some point. My mum was recently diagnosed with non-Hodgkin lymphoma, and a separate cancer of the thyroid. She has a preexisting (but undiagnosed) lung condition which means she is on steroids as well as chemo. She is currently in hospital due to experiencing significant vertigo. 
I work in a school in the U.K., and with the spread of Covid-19 I feel completely helpless. I worry about passing the virus on (because children are little undercover spreaders of the disease, bless them) and don’t want to visit my parents (certainly not while they are in hospital). But they will need help, I’m sure. To clean the house, buy supplies, get some much-needed entertainment etc. 
Right now I’m trying to convince mum to request a portable oxygen tank to help with her lungs, before/in case hospitals run out. But I feel like my hands are tied.</t>
        </is>
      </c>
      <c r="D8254" t="n">
        <v>1</v>
      </c>
      <c r="E8254" t="n">
        <v>2</v>
      </c>
      <c r="F8254">
        <f>HYPERLINK("https://www.reddit.com/r/cancer/comments/fhdufs/worried_about_putting_my_immunocompromised/")</f>
        <v/>
      </c>
      <c r="G8254" t="inlineStr">
        <is>
          <t>2020-03-12 02:48:26</t>
        </is>
      </c>
      <c r="H8254" t="inlineStr"/>
    </row>
    <row r="8255">
      <c r="A8255" t="inlineStr">
        <is>
          <t>fhep3m</t>
        </is>
      </c>
      <c r="B8255" t="inlineStr">
        <is>
          <t>How are you guys staying safe from Corona?</t>
        </is>
      </c>
      <c r="C8255" t="inlineStr">
        <is>
          <t>My mom has stage 4 NET tumors. I’m so paranoid of passing COVID19 on to her. Her doctor told her to basically incubate inside the house... any other suggestions?</t>
        </is>
      </c>
      <c r="D8255" t="n">
        <v>1</v>
      </c>
      <c r="E8255" t="n">
        <v>12</v>
      </c>
      <c r="F8255">
        <f>HYPERLINK("https://www.reddit.com/r/cancer/comments/fhep3m/how_are_you_guys_staying_safe_from_corona/")</f>
        <v/>
      </c>
      <c r="G8255" t="inlineStr">
        <is>
          <t>2020-03-12 04:13:49</t>
        </is>
      </c>
      <c r="H8255" t="inlineStr"/>
    </row>
    <row r="8256">
      <c r="A8256" t="inlineStr">
        <is>
          <t>fhg3z2</t>
        </is>
      </c>
      <c r="B8256" t="inlineStr">
        <is>
          <t>coronavirus delaying cancer treatment rant</t>
        </is>
      </c>
      <c r="C8256" t="inlineStr">
        <is>
          <t>hi, I posted a few days ago that I got diagnosed with invasive urothelial high-grade bladder cancer (at 24). It drives me fucking crazy that I barely made it outside the hospital from my (literally) 2 minute consult and the hospital went into lockdown, cause it will now serve as a coronavirus center. They couldn't book me for another procedure, cause the room that has all the books and calendars is being renovated now -.- asked me to call next week, but I don't see a point now that the hospital only deals with coronavirus. That's the only place I can get my procedure done. Fuck. I may have to have my bladder, uterus and ovaries removed, but won't know until I get that second procedure and the histopathology results come back.
How the fuck did we let this shit spread so widely. It's not going to be only the elderly that the coronavirus may kill. Medicine doesn't end with coronavirus. Fuck all the people who didn't adhere to quarantine rules. Fuck the people who travelled sick (those are the cases that started it in Poland).</t>
        </is>
      </c>
      <c r="D8256" t="n">
        <v>1</v>
      </c>
      <c r="E8256" t="n">
        <v>29</v>
      </c>
      <c r="F8256">
        <f>HYPERLINK("https://www.reddit.com/r/cancer/comments/fhg3z2/coronavirus_delaying_cancer_treatment_rant/")</f>
        <v/>
      </c>
      <c r="G8256" t="inlineStr">
        <is>
          <t>2020-03-12 06:11:33</t>
        </is>
      </c>
      <c r="H8256" t="inlineStr"/>
    </row>
    <row r="8257">
      <c r="A8257" t="inlineStr">
        <is>
          <t>fhgzi9</t>
        </is>
      </c>
      <c r="B8257" t="inlineStr">
        <is>
          <t>What should I ask?</t>
        </is>
      </c>
      <c r="C8257" t="inlineStr">
        <is>
          <t>Hello! A few months ago I posted here and had a nice response from you guys.
Unfortunately, not great news. Myoxoid Liposarcoma. I got a ”new” oncologist, more new to me as my original is now on paternity leave.
So, as you might have guessed already, what questions should I ask?Something you wished you had said at the beginning of the process? Please, let me know!</t>
        </is>
      </c>
      <c r="D8257" t="n">
        <v>1</v>
      </c>
      <c r="E8257" t="n">
        <v>1</v>
      </c>
      <c r="F8257">
        <f>HYPERLINK("https://www.reddit.com/r/cancer/comments/fhgzi9/what_should_i_ask/")</f>
        <v/>
      </c>
      <c r="G8257" t="inlineStr">
        <is>
          <t>2020-03-12 07:15:49</t>
        </is>
      </c>
      <c r="H8257" t="inlineStr"/>
    </row>
    <row r="8258">
      <c r="A8258" t="inlineStr">
        <is>
          <t>fhj841</t>
        </is>
      </c>
      <c r="B8258" t="inlineStr">
        <is>
          <t>Dads radiation starting today</t>
        </is>
      </c>
      <c r="C8258" t="inlineStr">
        <is>
          <t>My Dad begins his 5 day stereotactic radiation therapy for his brain tumour today. Fingers crossed it will be able to give him some of his mobility back. It’s so hard watching him deteriorate. Love that guy so much.</t>
        </is>
      </c>
      <c r="D8258" t="n">
        <v>1</v>
      </c>
      <c r="E8258" t="n">
        <v>8</v>
      </c>
      <c r="F8258">
        <f>HYPERLINK("https://www.reddit.com/r/cancer/comments/fhj841/dads_radiation_starting_today/")</f>
        <v/>
      </c>
      <c r="G8258" t="inlineStr">
        <is>
          <t>2020-03-12 09:40:22</t>
        </is>
      </c>
      <c r="H8258" t="inlineStr"/>
    </row>
    <row r="8259">
      <c r="A8259" t="inlineStr">
        <is>
          <t>fhjo05</t>
        </is>
      </c>
      <c r="B8259" t="inlineStr">
        <is>
          <t>I have had A LOT (upwards of 9 CT scans &amp;amp; 20 MRIs) some of my head for various reasons: pituitary adenoma, headaches, bumped my head here. What can I do to significantly decrease my risk of developing cancer or any other negative effects from these scans?</t>
        </is>
      </c>
      <c r="C8259" t="inlineStr">
        <is>
          <t>Is intense exercise a good cancer prevention method?</t>
        </is>
      </c>
      <c r="D8259" t="n">
        <v>1</v>
      </c>
      <c r="E8259" t="n">
        <v>9</v>
      </c>
      <c r="F8259">
        <f>HYPERLINK("https://www.reddit.com/r/cancer/comments/fhjo05/i_have_had_a_lot_upwards_of_9_ct_scans_20_mris/")</f>
        <v/>
      </c>
      <c r="G8259" t="inlineStr">
        <is>
          <t>2020-03-12 10:06:36</t>
        </is>
      </c>
      <c r="H8259" t="inlineStr"/>
    </row>
    <row r="8260">
      <c r="A8260" t="inlineStr">
        <is>
          <t>fhkm45</t>
        </is>
      </c>
      <c r="B8260" t="inlineStr">
        <is>
          <t>Uterine Cancer</t>
        </is>
      </c>
      <c r="C8260" t="inlineStr">
        <is>
          <t>Hi everyone.  Asking a question for my wife.  She was recently diagnosed with stage 1 Uterine Cancer and the doctors have recommended surgery to remove her uterus and ovaries along with a round of radiation to make sure it is completely gone.   This all sounds normal to me but does anyone have any other recommendations or suggestions, advice?  
Also I know this sounds foolish to ask but does anyone know if uterine cancer can be treated without surger? Possible with alternative or holistic medicine?  I ask because we don’t know.  Many family members are asking us TJ get a 2nd opinion which we will.  My wife bleeds way more than a normal person and I really don’t know how that can be stopped without a surgery.  
Thank you for reading, any info is much appreciated.</t>
        </is>
      </c>
      <c r="D8260" t="n">
        <v>1</v>
      </c>
      <c r="E8260" t="n">
        <v>11</v>
      </c>
      <c r="F8260">
        <f>HYPERLINK("https://www.reddit.com/r/cancer/comments/fhkm45/uterine_cancer/")</f>
        <v/>
      </c>
      <c r="G8260" t="inlineStr">
        <is>
          <t>2020-03-12 11:04:31</t>
        </is>
      </c>
      <c r="H8260" t="inlineStr"/>
    </row>
    <row r="8261">
      <c r="A8261" t="inlineStr">
        <is>
          <t>fhkyxd</t>
        </is>
      </c>
      <c r="B8261" t="inlineStr">
        <is>
          <t>Tips on getting health insurance to pay for treatment in another state?</t>
        </is>
      </c>
      <c r="C8261" t="inlineStr">
        <is>
          <t>Just found out my sister is in stage 4. We want her to move here so we can all be together and take care of her. May that be a problem? If so, I'd greatly appreciate any tips on how to overcome those so we can bring her here.</t>
        </is>
      </c>
      <c r="D8261" t="n">
        <v>1</v>
      </c>
      <c r="E8261" t="n">
        <v>1</v>
      </c>
      <c r="F8261">
        <f>HYPERLINK("https://www.reddit.com/r/cancer/comments/fhkyxd/tips_on_getting_health_insurance_to_pay_for/")</f>
        <v/>
      </c>
      <c r="G8261" t="inlineStr">
        <is>
          <t>2020-03-12 11:26:46</t>
        </is>
      </c>
      <c r="H8261" t="inlineStr"/>
    </row>
    <row r="8262">
      <c r="A8262" t="inlineStr">
        <is>
          <t>fhm7bp</t>
        </is>
      </c>
      <c r="B8262" t="inlineStr">
        <is>
          <t>Found Out the Chemo Plan</t>
        </is>
      </c>
      <c r="C8262" t="inlineStr">
        <is>
          <t>3 day blast followed by a 3 week recovery. Cycle for 12 weeks. Anyone else experience this? What were the weeks like? If possible Id like to get some work in. How did it go for you? Starting as soon as they can get all the necessary pre appointments in.</t>
        </is>
      </c>
      <c r="D8262" t="n">
        <v>1</v>
      </c>
      <c r="E8262" t="n">
        <v>3</v>
      </c>
      <c r="F8262">
        <f>HYPERLINK("https://www.reddit.com/r/cancer/comments/fhm7bp/found_out_the_chemo_plan/")</f>
        <v/>
      </c>
      <c r="G8262" t="inlineStr">
        <is>
          <t>2020-03-12 12:41:23</t>
        </is>
      </c>
      <c r="H8262" t="inlineStr"/>
    </row>
    <row r="8263">
      <c r="A8263" t="inlineStr">
        <is>
          <t>fhmckl</t>
        </is>
      </c>
      <c r="B8263" t="inlineStr">
        <is>
          <t>Update my scans last week came back all clear (melanoma stage 4)</t>
        </is>
      </c>
      <c r="C8263" t="inlineStr">
        <is>
          <t>I originally had mets in the brain, lungs liver and groin.. 
2 yrs of treatment such as surgery to remove a tumour from the groin, immunotherapy and gamma knife surgery has worked.
It’s melanoma so it’s likely it could return..
I’m on Dabrafenib and trametinib to prevent any further mets.....
I’m 34 and I’ve been sat during the evenings in silence and disbelief... what now 
Wow. 
I’m back at work and it just feels strange and living a normal life</t>
        </is>
      </c>
      <c r="D8263" t="n">
        <v>1</v>
      </c>
      <c r="E8263" t="n">
        <v>30</v>
      </c>
      <c r="F8263">
        <f>HYPERLINK("https://www.reddit.com/r/cancer/comments/fhmckl/update_my_scans_last_week_came_back_all_clear/")</f>
        <v/>
      </c>
      <c r="G8263" t="inlineStr">
        <is>
          <t>2020-03-12 12:50:22</t>
        </is>
      </c>
      <c r="H8263" t="inlineStr"/>
    </row>
    <row r="8264">
      <c r="A8264" t="inlineStr">
        <is>
          <t>fhnlmu</t>
        </is>
      </c>
      <c r="B8264" t="inlineStr">
        <is>
          <t>COVID-19 and social distancing - How far are you going with it right now?</t>
        </is>
      </c>
      <c r="C8264" t="inlineStr">
        <is>
          <t>After 9 really rough months, my husband's treatment for stage IV colorectal cancer is almost complete. He had the last of three major surgeries this week and is due to restart chemo in 4 weeks to clean up any last remaining cancer cells. 
I'm trying so hard to remain calm as COVID-19 bears down on us. He's in the hospital now and  has colleagues who want to visit. I would really rather they not. Our 7-year-old's school is likely to close for a few weeks beginning next Friday, but I really want to pull her out of school now.
My gut says the time has come for our family to do some serious social distancing, but I honestly can't tell if I am being paranoid or sensible anymore. What I really want to do is lock us all in the house for the foreseeable future.
My husband and I can usually talk about these things and come to some sort of reasonable decision together, but he can't stay awake long enough to talk to me about it! Yay for pain management, but I'm feeling pretty alone at the moment.
Thoughts?</t>
        </is>
      </c>
      <c r="D8264" t="n">
        <v>1</v>
      </c>
      <c r="E8264" t="n">
        <v>2</v>
      </c>
      <c r="F8264">
        <f>HYPERLINK("https://www.reddit.com/r/cancer/comments/fhnlmu/covid19_and_social_distancing_how_far_are_you/")</f>
        <v/>
      </c>
      <c r="G8264" t="inlineStr">
        <is>
          <t>2020-03-12 14:05:03</t>
        </is>
      </c>
      <c r="H8264" t="inlineStr"/>
    </row>
    <row r="8265">
      <c r="A8265" t="inlineStr">
        <is>
          <t>fho3ra</t>
        </is>
      </c>
      <c r="B8265" t="inlineStr">
        <is>
          <t>Need advice on whether to postpone chemo</t>
        </is>
      </c>
      <c r="C8265" t="inlineStr">
        <is>
          <t>I've recently been diagnosed with embryonal carcinoma. Ive had the operation to remove it which was a success, and im due to start adjuvant chemotherapy. The problem is when I went for sperm banking, there was no sperm cells present. 
I was supposed to start my chemo today but instead had a blood test to determine if I can produce testosterone or not, determining whether or not i can produce sperm (ie have a blockage etc). If it turns out i can produce sperm then i can follow this up with tests and possivle options. 
My issue is that in a week or so, it'll be too long since the operation to start my chemo, and instead I'll have to just monitor the possible return of my cancer. Im stuck with whether or not to just start the chemo which will most likely leave me classed as infertile, and not have the possibility of having my own kids; or risk not being able to do the chemo, and worry about the increased probability of having cancer again and not being as lucky as I have been this time.
Has anyone been in this situation before, or something similar? This is easily the hardest decision I've had to make, and I'd really appreciate the input of others. Thanks in advance.</t>
        </is>
      </c>
      <c r="D8265" t="n">
        <v>1</v>
      </c>
      <c r="E8265" t="n">
        <v>1</v>
      </c>
      <c r="F8265">
        <f>HYPERLINK("https://www.reddit.com/r/cancer/comments/fho3ra/need_advice_on_whether_to_postpone_chemo/")</f>
        <v/>
      </c>
      <c r="G8265" t="inlineStr">
        <is>
          <t>2020-03-12 14:35:36</t>
        </is>
      </c>
      <c r="H8265" t="inlineStr"/>
    </row>
    <row r="8266">
      <c r="A8266" t="inlineStr">
        <is>
          <t>fhpexa</t>
        </is>
      </c>
      <c r="B8266" t="inlineStr">
        <is>
          <t>My father just got diagnosed with terminal liver cancer</t>
        </is>
      </c>
      <c r="C8266" t="inlineStr">
        <is>
          <t>The doctor gave him 5-7 months. This is all very sudden, as he is a very healthy person and gets two regular check ups a year, including a blood test two months ago. My father and I have a bit of a rocky relationship. Just last year I moved out because of a bad fight we had and I wanted to do no contact. I  planned on starting my life across the country in a few months,  but this is very hard news for me and my family. I can't imagine how he feels - he seems surprised but at peace, already accepting it. My relationship with him is still at an awkward stage, but has been better with the space. Needless to stay I will be staying in my home city and supporting him for as long as he has.
I was just wondering how accurate doctor's predictions are. I know every person is different, but in your experience, should I expect him to have less or more time? In June, my sister is graduating high school and I'm graduating university and he has been saying "It's possible I'll be alive for that".</t>
        </is>
      </c>
      <c r="D8266" t="n">
        <v>1</v>
      </c>
      <c r="E8266" t="n">
        <v>19</v>
      </c>
      <c r="F8266">
        <f>HYPERLINK("https://www.reddit.com/r/cancer/comments/fhpexa/my_father_just_got_diagnosed_with_terminal_liver/")</f>
        <v/>
      </c>
      <c r="G8266" t="inlineStr">
        <is>
          <t>2020-03-12 15:56:51</t>
        </is>
      </c>
      <c r="H8266" t="inlineStr"/>
    </row>
    <row r="8267">
      <c r="A8267" t="inlineStr">
        <is>
          <t>fhq43j</t>
        </is>
      </c>
      <c r="B8267" t="inlineStr">
        <is>
          <t>New BCC Cancer Diagnosis and Feeling Guilty Already</t>
        </is>
      </c>
      <c r="C8267" t="inlineStr">
        <is>
          <t>Hi all,
Tuesday I had a suspicious mole completely biopsied and today I got the call that told me it was cancerous. But it's basal cell carcinoma, and the doctor said "it's really more of an annoyance than a problem", which is great (!!) but I'm already feeling guilty that I pretty much have had my cancer removed before I even found it it existed. Especially since so many people suffer with cancer, I feel guilty even considering myself among them. I cried today but not because I was scared but I'm just angry.
For context, I'm 30F with RA that takes Humira already, so doing 6 weeks of 5-fluorouracil isn't going to help my poor immune system much. Good thing we have to work from home anyway because of the coronovirus! This isn't really helping my mental state at the moment.
Sorry if this is a little ramble-y, I'm just a little lost right now. I have too much to stress out these days with planning a wedding and writing my dissertation that this just is not helping. Do I even "count"? Are there other people here that are feeling guilty for having an "easy cancer"? I could use some support.</t>
        </is>
      </c>
      <c r="D8267" t="n">
        <v>1</v>
      </c>
      <c r="E8267" t="n">
        <v>0</v>
      </c>
      <c r="F8267">
        <f>HYPERLINK("https://www.reddit.com/r/cancer/comments/fhq43j/new_bcc_cancer_diagnosis_and_feeling_guilty/")</f>
        <v/>
      </c>
      <c r="G8267" t="inlineStr">
        <is>
          <t>2020-03-12 16:43:00</t>
        </is>
      </c>
      <c r="H8267" t="inlineStr"/>
    </row>
    <row r="8268">
      <c r="A8268" t="inlineStr">
        <is>
          <t>fhs5gq</t>
        </is>
      </c>
      <c r="B8268" t="inlineStr">
        <is>
          <t>At this point are hospitals just cruises ships that ADVERTISE for sick people. doubting a surgery next week!</t>
        </is>
      </c>
      <c r="C8268" t="inlineStr">
        <is>
          <t>Just spent all day in a hospital with my elderly mom to get final registrations etc for her oral cancer surgery next week. few wore masks. doctors talking right in her face.(we both wore n95 woodworker masks) I swear hospitals are cruises ships that ADVERTISE for sick people. doubting this surgery next week!
She would need to spend at least 2 days  right when it will break out in this town. I wouldnt put her on a cruise ship right now. hygiene and corona transfer prevention is no better in a hopsital right now from what I see.</t>
        </is>
      </c>
      <c r="D8268" t="n">
        <v>1</v>
      </c>
      <c r="E8268" t="n">
        <v>0</v>
      </c>
      <c r="F8268">
        <f>HYPERLINK("https://www.reddit.com/r/cancer/comments/fhs5gq/at_this_point_are_hospitals_just_cruises_ships/")</f>
        <v/>
      </c>
      <c r="G8268" t="inlineStr">
        <is>
          <t>2020-03-12 19:03:58</t>
        </is>
      </c>
      <c r="H8268" t="inlineStr"/>
    </row>
    <row r="8269">
      <c r="A8269" t="inlineStr">
        <is>
          <t>fhs6qr</t>
        </is>
      </c>
      <c r="B8269" t="inlineStr">
        <is>
          <t>At this point are hospitals just cruise ships that ADVERTISE for sick people. doubting a surgery next week!</t>
        </is>
      </c>
      <c r="C8269" t="inlineStr">
        <is>
          <t>At this point are hospitals just cruise ships that ADVERTISE for sick people. doubting a surgery next week!
Just spent all day in a hospital with my elderly mom to get final registrations etc for her oral cancer surgery next week. few wore masks. doctors talking right in her face.(we both wore n95 woodworker masks) I swear hospitals are cruises ships that ADVERTISE for sick people. doubting this surgery next week!
She would need to spend at least 2 days  right when the virus will break out in this town. the major college in town just closed. I wouldn't put her on a cruise ship right now in a closed space with sick people. hygiene and corona transfer prevention is no better in a hospital right now from what I see.</t>
        </is>
      </c>
      <c r="D8269" t="n">
        <v>1</v>
      </c>
      <c r="E8269" t="n">
        <v>2</v>
      </c>
      <c r="F8269">
        <f>HYPERLINK("https://www.reddit.com/r/cancer/comments/fhs6qr/at_this_point_are_hospitals_just_cruise_ships/")</f>
        <v/>
      </c>
      <c r="G8269" t="inlineStr">
        <is>
          <t>2020-03-12 19:06:24</t>
        </is>
      </c>
      <c r="H8269" t="inlineStr"/>
    </row>
    <row r="8270">
      <c r="A8270" t="inlineStr">
        <is>
          <t>fhs9ua</t>
        </is>
      </c>
      <c r="B8270" t="inlineStr">
        <is>
          <t>mom got PET scan to see if oral cancer was in lymphnodes. no. but breast should up. Thinking of canceling oral cancer surgery on wednesday until we find out if she will need breast cancer treatment. thoughts?</t>
        </is>
      </c>
      <c r="C8270" t="inlineStr">
        <is>
          <t>mom got PET scan to see if oral cancer was in lymphnodes. no. but breast should up. Thinking of canceling oral cancer surgery on Wednesday until we find out if she will need breast cancer treatment. Doing one is one thing. knowing it will be two things it a different thing for an elderly person especially since oral comes back anyway. thoughts?
it it doesn't help that the whole town is just starting to be a corona festival factory and the hospital wont be a good place to be next week.</t>
        </is>
      </c>
      <c r="D8270" t="n">
        <v>1</v>
      </c>
      <c r="E8270" t="n">
        <v>2</v>
      </c>
      <c r="F8270">
        <f>HYPERLINK("https://www.reddit.com/r/cancer/comments/fhs9ua/mom_got_pet_scan_to_see_if_oral_cancer_was_in/")</f>
        <v/>
      </c>
      <c r="G8270" t="inlineStr">
        <is>
          <t>2020-03-12 19:12:44</t>
        </is>
      </c>
      <c r="H8270" t="inlineStr"/>
    </row>
    <row r="8271">
      <c r="A8271" t="inlineStr">
        <is>
          <t>fhu6ls</t>
        </is>
      </c>
      <c r="B8271" t="inlineStr">
        <is>
          <t>How to help from afar?</t>
        </is>
      </c>
      <c r="C8271" t="inlineStr">
        <is>
          <t>My best friend’s mom was diagnosed with stage four ovarian about 10 months ago. This past week hospice came in, and they think she has a matter of weeks left. My heart is breaking. I love her and her daughters with all my heart as they are my second family. I was even there when she told her family she had cancer. 
I have moved to the other side of the country and am struggling to know what I can do to show my love right now. especially to my best friend who is struggling to watch her mom suffer. We are only in our early 20’s and never thought this would happen. My work won’t allow me to go be with them right now, although I am trying. 
In the meantime, what can I do to show I love them from here? Is there some kind of care package or something that would bring some love or comfort? I know I can’t fix what she’s going through. But I just would love to provide some love right now. Any advice would be so greatly appreciated!</t>
        </is>
      </c>
      <c r="D8271" t="n">
        <v>1</v>
      </c>
      <c r="E8271" t="n">
        <v>3</v>
      </c>
      <c r="F8271">
        <f>HYPERLINK("https://www.reddit.com/r/cancer/comments/fhu6ls/how_to_help_from_afar/")</f>
        <v/>
      </c>
      <c r="G8271" t="inlineStr">
        <is>
          <t>2020-03-12 21:39:51</t>
        </is>
      </c>
      <c r="H8271" t="inlineStr"/>
    </row>
    <row r="8272">
      <c r="A8272" t="inlineStr">
        <is>
          <t>fhutfi</t>
        </is>
      </c>
      <c r="B8272" t="inlineStr">
        <is>
          <t>Dad has CLL , was hospitalized during recent bloodwork just because this was a specialist and a long distance to drive. A week later he is comatose and in the ICU further deteriorating, no one has answers</t>
        </is>
      </c>
      <c r="C8272" t="inlineStr">
        <is>
          <t>Hi all. I am desperate for some answers for my dad and why he has taken such a turn.  I’ll try and be brief, but my dad has been living with CLL for about 4 years now and he decided to see a specialist finally after his oncologist was very dismissive about my dads reaction to some chemo pills. Overall he’s been doing great until the last couple months he felt very weak, flu like, more tired than ever and just generally crappy feeling. 
He went to this specialist that is a 3 hour drive from where he and my mom live, so the dr suggested he get some standard bloodwork at the hospital in order the expedite and consolidate tests and to avoid extra long drives.  
As testing and the week progressed we were hit with a richters transformation diagnosis and some mystery issues that area still open like his sore throat and rapid heard rate and this insane lethargy. He wound up in the ICU after a fewdays due to some heart rate stuff. The icu psychosis set in fast tho we didn’t know what it was and assumed he just needed rest. In his time he’s undergone so many scans, blood transfusions, a lymph node biopsy, dialysis, chemo, and antibiotics. Today , however, it’s the worst it’s been. He’s completely unresponsive. He walked in there as a stubborn man with a voice and today he is bedridden, can’t speak, or even squeeze our hands to let us know he’s there. 
The doctors are puzzled . They think maybe Sepsis and have done scans on scans on scans. My dad is dying and he is a strong prideful man. Where did he go? What could cause this???</t>
        </is>
      </c>
      <c r="D8272" t="n">
        <v>1</v>
      </c>
      <c r="E8272" t="n">
        <v>1</v>
      </c>
      <c r="F8272">
        <f>HYPERLINK("https://www.reddit.com/r/cancer/comments/fhutfi/dad_has_cll_was_hospitalized_during_recent/")</f>
        <v/>
      </c>
      <c r="G8272" t="inlineStr">
        <is>
          <t>2020-03-12 22:39:18</t>
        </is>
      </c>
      <c r="H8272" t="inlineStr"/>
    </row>
    <row r="8273">
      <c r="A8273" t="inlineStr">
        <is>
          <t>fhv4zs</t>
        </is>
      </c>
      <c r="B8273" t="inlineStr">
        <is>
          <t>Cancer everywhere</t>
        </is>
      </c>
      <c r="C8273" t="inlineStr">
        <is>
          <t>I'm a myeloma patient in "remission" and just found out one of my old friends has just been diagnosed with Non-Hodgkin's Lymphoma. I never knew what to say to folks dealing with cancer. Not a problem now. I at least called to comfort and encourage him. Shitty road, but some of us have no choice but to walk it.</t>
        </is>
      </c>
      <c r="D8273" t="n">
        <v>1</v>
      </c>
      <c r="E8273" t="n">
        <v>2</v>
      </c>
      <c r="F8273">
        <f>HYPERLINK("https://www.reddit.com/r/cancer/comments/fhv4zs/cancer_everywhere/")</f>
        <v/>
      </c>
      <c r="G8273" t="inlineStr">
        <is>
          <t>2020-03-12 23:10:34</t>
        </is>
      </c>
      <c r="H8273" t="inlineStr"/>
    </row>
    <row r="8274">
      <c r="A8274" t="inlineStr">
        <is>
          <t>fhwwad</t>
        </is>
      </c>
      <c r="B8274" t="inlineStr">
        <is>
          <t>Does PAST chemo treatment making you "immunocompromised"</t>
        </is>
      </c>
      <c r="C8274" t="inlineStr">
        <is>
          <t>Yeah, I know you're not doctors. My oncologist says I'm not immunocompromised "in any way." My chemo ended in 2017. But another doctor said I was. What have your ONCOLOGISTS said, if anything, about whether you are more susceptible to infection as a result of past chemo treatment.</t>
        </is>
      </c>
      <c r="D8274" t="n">
        <v>1</v>
      </c>
      <c r="E8274" t="n">
        <v>20</v>
      </c>
      <c r="F8274">
        <f>HYPERLINK("https://www.reddit.com/r/cancer/comments/fhwwad/does_past_chemo_treatment_making_you/")</f>
        <v/>
      </c>
      <c r="G8274" t="inlineStr">
        <is>
          <t>2020-03-13 02:23:25</t>
        </is>
      </c>
      <c r="H8274" t="inlineStr"/>
    </row>
    <row r="8275">
      <c r="A8275" t="inlineStr">
        <is>
          <t>fhxtge</t>
        </is>
      </c>
      <c r="B8275" t="inlineStr">
        <is>
          <t>Help? Advice? 6 months to 24 months to live... and the people around me just don't get it.</t>
        </is>
      </c>
      <c r="C8275" t="inlineStr">
        <is>
          <t>I was diagnosed with a late stage IV adenocarcinoma all along my right side abdominal wall and cavity... inoperable AFAIK. The docs say 6 months if I do nothing, 2 years if chemo does well for me. Mayyyyyybe 5 years if I'm super lucky. 
My roommate and my boyfriend just... don't get it. I'm trying to tell them, "Guys, since chemo makes me feel great half the time, and like total hammered cr\*p the other half of the time... if I live 5 years, I have about 900 "good days" that I get to enjoy. If I live 2 years I have about 300+ good days I can enjoy, probably. I DO NOT want to spend those days in a messy, dirty, disorganized house, so HELP ME!"
They don't. Chemo is helping me feel and act as if I am getting back to being "normal me." My cancer is an intestinal one that is relatively asymptomatic to someone just looking at me. They're all sunshine, rainbows, and "you're gonna beat this!!" positive attitude. Which I would appreciate more if it didn't seem like an excuse to be in total denial and change nothing about how they act day to day.
I'm \*this close\* to just flipping out and telling them both to move out. It's dark sounding, I know but... I'd rather be alone and face the end alone, than live in the kind of mess two "adult" man-babies can make of a house, y'know?
Just needed to vent about denial masquerading as positive vibes, in a forum where people will probably "get it." And IDK... can anyone give advice about how to make the most of the time you have, on a strict poverty budget? Anyone who's kinda been there who can relate?
I have, like 5 close people in my life, total. And 4 of them just... they just are not equipped to handle this. My BFF of 20 years is amazing, but I can't dump all this on one friend, y'know? The local support group seems to meet just once a month. 
I kinda think... therapy, maybe? I don't even know how that would help, though. I feel like I'm dealing with things calmly and practically, and the people around me are just pretending everything's gonna be ok. Why do \*they\* need to believe that, but I can be okay with trying to make the most of the time I have? Why do they \*get\* to believe that, when I can't afford to act that way? I'm not angry about the darn cancer at this point, it's just a mindless force of nature. An accident of genetics. I'm angry at the people who I need to depend on, but I in many ways can't. 
I'm OK, I really have made my peace. I've always tried to live my life with no reasons for regret or missed adventures. I could go today and I'd be sad, but not scared or angry. I'm taking the diagnosis better than everyone around me, TBH, both emotionally and in the sense of being hopeful but not denying the medical facts either.
Anyone have any advice, ideas, comfort, or want to vent together?</t>
        </is>
      </c>
      <c r="D8275" t="n">
        <v>1</v>
      </c>
      <c r="E8275" t="n">
        <v>91</v>
      </c>
      <c r="F8275">
        <f>HYPERLINK("https://www.reddit.com/r/cancer/comments/fhxtge/help_advice_6_months_to_24_months_to_live_and_the/")</f>
        <v/>
      </c>
      <c r="G8275" t="inlineStr">
        <is>
          <t>2020-03-13 03:56:32</t>
        </is>
      </c>
      <c r="H8275" t="inlineStr"/>
    </row>
    <row r="8276">
      <c r="A8276" t="inlineStr">
        <is>
          <t>fhxzmt</t>
        </is>
      </c>
      <c r="B8276" t="inlineStr">
        <is>
          <t>Can anyone give realistic assessment of the oral cancer surgery experience and opterator fitting and refitting if you had one?</t>
        </is>
      </c>
      <c r="C8276" t="inlineStr">
        <is>
          <t>What ever you have to say about your experience would be helpful. Have family member considering it.</t>
        </is>
      </c>
      <c r="D8276" t="n">
        <v>1</v>
      </c>
      <c r="E8276" t="n">
        <v>0</v>
      </c>
      <c r="F8276">
        <f>HYPERLINK("https://www.reddit.com/r/cancer/comments/fhxzmt/can_anyone_give_realistic_assessment_of_the_oral/")</f>
        <v/>
      </c>
      <c r="G8276" t="inlineStr">
        <is>
          <t>2020-03-13 04:12:17</t>
        </is>
      </c>
      <c r="H8276" t="inlineStr"/>
    </row>
    <row r="8277">
      <c r="A8277" t="inlineStr">
        <is>
          <t>fhy616</t>
        </is>
      </c>
      <c r="B8277" t="inlineStr">
        <is>
          <t>I am part of a small group raising money for Worlds Greatest Shave! Please give us a hand :)</t>
        </is>
      </c>
      <c r="C8277" t="inlineStr">
        <is>
          <t>I am in a group of 3 luscious long haired fellas raising money for WGS. As so far, we have raised around 740$ AUD. Please consider supporting us in our goal of doing this :) any amount is greatly appreciated!</t>
        </is>
      </c>
      <c r="D8277" t="n">
        <v>1</v>
      </c>
      <c r="E8277" t="n">
        <v>2</v>
      </c>
      <c r="F8277">
        <f>HYPERLINK("https://www.reddit.com/r/cancer/comments/fhy616/i_am_part_of_a_small_group_raising_money_for/")</f>
        <v/>
      </c>
      <c r="G8277" t="inlineStr">
        <is>
          <t>2020-03-13 04:28:41</t>
        </is>
      </c>
      <c r="H8277" t="inlineStr"/>
    </row>
    <row r="8278">
      <c r="A8278" t="inlineStr">
        <is>
          <t>fhz674</t>
        </is>
      </c>
      <c r="B8278" t="inlineStr">
        <is>
          <t>Coronavirus concerns post-chemo?</t>
        </is>
      </c>
      <c r="C8278" t="inlineStr">
        <is>
          <t>First of all, I’m praying for all of you who are still going through chemo. Wishing you all the best in these times stay safe!!!! 
I ended my chemo October 2018 so I’m a little over a year. Would I still be at risk? My oncologist said it’s like a flu and I shouldn’t worry but of course there’s that little bit of fear. Would I have built up my immune system by now?</t>
        </is>
      </c>
      <c r="D8278" t="n">
        <v>1</v>
      </c>
      <c r="E8278" t="n">
        <v>8</v>
      </c>
      <c r="F8278">
        <f>HYPERLINK("https://www.reddit.com/r/cancer/comments/fhz674/coronavirus_concerns_postchemo/")</f>
        <v/>
      </c>
      <c r="G8278" t="inlineStr">
        <is>
          <t>2020-03-13 05:52:35</t>
        </is>
      </c>
      <c r="H8278" t="inlineStr"/>
    </row>
    <row r="8279">
      <c r="A8279" t="inlineStr">
        <is>
          <t>fhzm2a</t>
        </is>
      </c>
      <c r="B8279" t="inlineStr">
        <is>
          <t>Tik Tok belongs here</t>
        </is>
      </c>
      <c r="C8279" t="inlineStr">
        <is>
          <t>Tik suck</t>
        </is>
      </c>
      <c r="D8279" t="n">
        <v>1</v>
      </c>
      <c r="E8279" t="n">
        <v>0</v>
      </c>
      <c r="F8279">
        <f>HYPERLINK("https://www.reddit.com/r/cancer/comments/fhzm2a/tik_tok_belongs_here/")</f>
        <v/>
      </c>
      <c r="G8279" t="inlineStr">
        <is>
          <t>2020-03-13 06:26:15</t>
        </is>
      </c>
      <c r="H8279" t="inlineStr"/>
    </row>
    <row r="8280">
      <c r="A8280" t="inlineStr">
        <is>
          <t>fi06c0</t>
        </is>
      </c>
      <c r="B8280" t="inlineStr">
        <is>
          <t>Being well and well-being in the context of prostate cancer: if you have [had] prostate cancer or some close to you has, please follow the link below and do our survey. We'd love to hear from you. And it would really help if you could pass this on to others.</t>
        </is>
      </c>
      <c r="C8280" t="inlineStr">
        <is>
          <t>&amp;amp;#x200B;
https://preview.redd.it/0cntupbr5gm41.png?width=596&amp;amp;format=png&amp;amp;auto=webp&amp;amp;s=70938baa5de3d4dda4a57bd10e43febfa0441d5e</t>
        </is>
      </c>
      <c r="D8280" t="n">
        <v>1</v>
      </c>
      <c r="E8280" t="n">
        <v>0</v>
      </c>
      <c r="F8280">
        <f>HYPERLINK("https://www.reddit.com/r/cancer/comments/fi06c0/being_well_and_wellbeing_in_the_context_of/")</f>
        <v/>
      </c>
      <c r="G8280" t="inlineStr">
        <is>
          <t>2020-03-13 07:07:05</t>
        </is>
      </c>
      <c r="H8280" t="inlineStr"/>
    </row>
    <row r="8281">
      <c r="A8281" t="inlineStr">
        <is>
          <t>fi1685</t>
        </is>
      </c>
      <c r="B8281" t="inlineStr">
        <is>
          <t>Swollen lymph node and pea size nodule in neck</t>
        </is>
      </c>
      <c r="C8281" t="inlineStr">
        <is>
          <t>I have a swollen lymph node that started a week ago and a bony protrusion in my left foot that started a month ago. I thought it was from intense exercise and wrong shoes.
So I went to the doctor.
Well she just ordered an ultrasound on my neck because she also felt a pea size bump. But that bump has been there for many checkups..
I have imaging appointment in a few hours. I'm so scared. If my symptoms just started and worst case scenario I caught it early, will I be ok?
What kind of cancer could it be?</t>
        </is>
      </c>
      <c r="D8281" t="n">
        <v>1</v>
      </c>
      <c r="E8281" t="n">
        <v>4</v>
      </c>
      <c r="F8281">
        <f>HYPERLINK("https://www.reddit.com/r/cancer/comments/fi1685/swollen_lymph_node_and_pea_size_nodule_in_neck/")</f>
        <v/>
      </c>
      <c r="G8281" t="inlineStr">
        <is>
          <t>2020-03-13 08:14:51</t>
        </is>
      </c>
      <c r="H8281" t="inlineStr"/>
    </row>
    <row r="8282">
      <c r="A8282" t="inlineStr">
        <is>
          <t>fi1uwg</t>
        </is>
      </c>
      <c r="B8282" t="inlineStr">
        <is>
          <t>Those in remission, have any of you talked with your oncologist about corona?</t>
        </is>
      </c>
      <c r="C8282" t="inlineStr">
        <is>
          <t>I’m on my 8th year of remission... so it’s been quite some time since I’ve went through treatment. My mom is having a fit about my immune system being compromised.
I’ve reached out to my oncologist for his opinion, but he hasn’t gotten back to me yet. 
A little history: 18 diagnosed with Hodgkin’s lymphoma. Went through ABVD which did effect my lungs according to the pulmonary test and shortness of breath.... but since haven’t had any issues. Although, I do seem to get sick during winter months quite a bit.</t>
        </is>
      </c>
      <c r="D8282" t="n">
        <v>1</v>
      </c>
      <c r="E8282" t="n">
        <v>9</v>
      </c>
      <c r="F8282">
        <f>HYPERLINK("https://www.reddit.com/r/cancer/comments/fi1uwg/those_in_remission_have_any_of_you_talked_with/")</f>
        <v/>
      </c>
      <c r="G8282" t="inlineStr">
        <is>
          <t>2020-03-13 08:58:44</t>
        </is>
      </c>
      <c r="H8282" t="inlineStr"/>
    </row>
    <row r="8283">
      <c r="A8283" t="inlineStr">
        <is>
          <t>fi1xsv</t>
        </is>
      </c>
      <c r="B8283" t="inlineStr">
        <is>
          <t>Those in remission, have any of you talked with your oncologist about corona?</t>
        </is>
      </c>
      <c r="C8283" t="inlineStr">
        <is>
          <t>I’m on my 8th year of remission... so it’s been quite some time since I’ve went through treatment. My mom is having a fit about my immune system being compromised.
I’ve reached out to my oncologist for his opinion, but he hasn’t gotten back to me yet. 
A little history: 18 diagnosed with Hodgkin’s lymphoma. Went through ABVD which did effect my lungs according to the pulmonary test and shortness of breath.... but since haven’t had any issues. Although, I do seem to get sick during winter months quite a bit.</t>
        </is>
      </c>
      <c r="D8283" t="n">
        <v>1</v>
      </c>
      <c r="E8283" t="n">
        <v>0</v>
      </c>
      <c r="F8283">
        <f>HYPERLINK("https://www.reddit.com/r/cancer/comments/fi1xsv/those_in_remission_have_any_of_you_talked_with/")</f>
        <v/>
      </c>
      <c r="G8283" t="inlineStr">
        <is>
          <t>2020-03-13 09:03:35</t>
        </is>
      </c>
      <c r="H8283" t="inlineStr"/>
    </row>
    <row r="8284">
      <c r="A8284" t="inlineStr">
        <is>
          <t>fi7x3h</t>
        </is>
      </c>
      <c r="B8284" t="inlineStr">
        <is>
          <t>My brother was diagnosed with stomach cancer</t>
        </is>
      </c>
      <c r="C8284" t="inlineStr">
        <is>
          <t>I can’t stop crying , I’m in full distress</t>
        </is>
      </c>
      <c r="D8284" t="n">
        <v>1</v>
      </c>
      <c r="E8284" t="n">
        <v>13</v>
      </c>
      <c r="F8284">
        <f>HYPERLINK("https://www.reddit.com/r/cancer/comments/fi7x3h/my_brother_was_diagnosed_with_stomach_cancer/")</f>
        <v/>
      </c>
      <c r="G8284" t="inlineStr">
        <is>
          <t>2020-03-13 15:14:34</t>
        </is>
      </c>
      <c r="H8284" t="inlineStr"/>
    </row>
    <row r="8285">
      <c r="A8285" t="inlineStr">
        <is>
          <t>fi8ckk</t>
        </is>
      </c>
      <c r="B8285" t="inlineStr">
        <is>
          <t>Exactly what happens if you choose not to treat cancer? Will it be very painful?</t>
        </is>
      </c>
      <c r="C8285" t="inlineStr">
        <is>
          <t>I was diagnosed with a Gynecologic cancer. I do not want chemo/radiation and I do not want surgery. Does anyone know what might happen when it grows? Will I go painfully ? Will doctors prescribe me medication so I d ok not feel pain when when it becomes very bad?</t>
        </is>
      </c>
      <c r="D8285" t="n">
        <v>1</v>
      </c>
      <c r="E8285" t="n">
        <v>21</v>
      </c>
      <c r="F8285">
        <f>HYPERLINK("https://www.reddit.com/r/cancer/comments/fi8ckk/exactly_what_happens_if_you_choose_not_to_treat/")</f>
        <v/>
      </c>
      <c r="G8285" t="inlineStr">
        <is>
          <t>2020-03-13 15:42:10</t>
        </is>
      </c>
      <c r="H8285" t="inlineStr"/>
    </row>
    <row r="8286">
      <c r="A8286" t="inlineStr">
        <is>
          <t>fi8d82</t>
        </is>
      </c>
      <c r="B8286" t="inlineStr">
        <is>
          <t>Hey, I want to donate my hair to someone in need of it, and I don’t want the patient to be charged for it...</t>
        </is>
      </c>
      <c r="C8286" t="inlineStr">
        <is>
          <t>TLDR: What is the best organization to donate my hair to?
I’m sorry if this is the wrong place to ask this, but what is the best charity/organization that I can mail my hair donation to? I’m not financially stable enough to donate money but I have long enough hair to donate so I’d like to at least do that. Are there any charities/organizations that don’t charge the patient for a wig?</t>
        </is>
      </c>
      <c r="D8286" t="n">
        <v>1</v>
      </c>
      <c r="E8286" t="n">
        <v>14</v>
      </c>
      <c r="F8286">
        <f>HYPERLINK("https://www.reddit.com/r/cancer/comments/fi8d82/hey_i_want_to_donate_my_hair_to_someone_in_need/")</f>
        <v/>
      </c>
      <c r="G8286" t="inlineStr">
        <is>
          <t>2020-03-13 15:43:26</t>
        </is>
      </c>
      <c r="H8286" t="inlineStr"/>
    </row>
    <row r="8287">
      <c r="A8287" t="inlineStr">
        <is>
          <t>fi8vjd</t>
        </is>
      </c>
      <c r="B8287" t="inlineStr">
        <is>
          <t>My 14 year old daughter had her chemo treatment almost 4 weeks ago and now she can’t eat anything</t>
        </is>
      </c>
      <c r="C8287" t="inlineStr">
        <is>
          <t>My daughter her chemo treatment almost 4 weeks ago and now she can hardly eat anything because everything tastes extremely gross to her.  This would happen a couple days directly after chemo, but usually not this far out.  Wondering if anyone else experienced this, where their tastebuds are screwed up weeks after chemo is done. Thanks!</t>
        </is>
      </c>
      <c r="D8287" t="n">
        <v>1</v>
      </c>
      <c r="E8287" t="n">
        <v>0</v>
      </c>
      <c r="F8287">
        <f>HYPERLINK("https://www.reddit.com/r/cancer/comments/fi8vjd/my_14_year_old_daughter_had_her_chemo_treatment/")</f>
        <v/>
      </c>
      <c r="G8287" t="inlineStr">
        <is>
          <t>2020-03-13 16:16:58</t>
        </is>
      </c>
      <c r="H8287" t="inlineStr"/>
    </row>
    <row r="8288">
      <c r="A8288" t="inlineStr">
        <is>
          <t>fiacmi</t>
        </is>
      </c>
      <c r="B8288" t="inlineStr">
        <is>
          <t>Has anyone developed trismus as a result of head and neck cancer surgery?</t>
        </is>
      </c>
      <c r="C8288" t="inlineStr">
        <is>
          <t>I’m trying to get some feedback on trismus treatment from other head and neck cancer patients. If you gave this condition, i’d love to get some info on how you treated it. Thanks!</t>
        </is>
      </c>
      <c r="D8288" t="n">
        <v>1</v>
      </c>
      <c r="E8288" t="n">
        <v>6</v>
      </c>
      <c r="F8288">
        <f>HYPERLINK("https://www.reddit.com/r/cancer/comments/fiacmi/has_anyone_developed_trismus_as_a_result_of_head/")</f>
        <v/>
      </c>
      <c r="G8288" t="inlineStr">
        <is>
          <t>2020-03-13 18:00:11</t>
        </is>
      </c>
      <c r="H8288" t="inlineStr"/>
    </row>
    <row r="8289">
      <c r="A8289" t="inlineStr">
        <is>
          <t>fiauu9</t>
        </is>
      </c>
      <c r="B8289" t="inlineStr">
        <is>
          <t>Worried about imaging results</t>
        </is>
      </c>
      <c r="C8289" t="inlineStr">
        <is>
          <t>I have posted everywhere and no one is replying. Is there a more active sub somewhere? Please someone give me feedback
I am a 29 white female. 5'7 and 172 lbs. I take Lexapro for depression/anxiety and Vistaril to help me sleep. No history of any kind of cancer or major health concern except herpes, HPV and erythema nodosum. I only take Aciyclovir during outbreaks.
I eat relatively well- lean meat, fruit, veggies, green tea. I take omega-3 and workout 4 days a week hard. (That's why I thought my foot thing was from working out and the neck pain possibly from deadlifting incorrectly.)
I am a previous smoker (quit 2 years ago) and previous drinker (been sober for a year)
I noticed a swollen lymph node last week and went to see my doctor.
I also had a growth on the side of my foot that I thought was a sports injury but swelling has not gone down and wanted to get that looked at as well. (picture here: [https://imgur.com/a/mz0SJ79](https://imgur.com/a/mz0SJ79))
The doctor examined my neck and felt the swollen node but also a tiny hard lump that has been there for years and never changed size or caused issues.
My doctor ordered an X-ray on my foot and ultrasound on my neck STAT status and lab work. I was in the imaging facility immediately and was told I would be called with results within 2 hours since it was STAT and because they wouldn't want me to wait over the weekend. No one ever called me so is no news good news? Would my doctor call me if I had a severe issue causing lumps in multiple areas of my body?
I tried calling the office and the office is closed.
I feel overall healthy and I am really concerned that I have an aggressive cancer or something. But they would call asap if that was the case right</t>
        </is>
      </c>
      <c r="D8289" t="n">
        <v>1</v>
      </c>
      <c r="E8289" t="n">
        <v>0</v>
      </c>
      <c r="F8289">
        <f>HYPERLINK("https://www.reddit.com/r/cancer/comments/fiauu9/worried_about_imaging_results/")</f>
        <v/>
      </c>
      <c r="G8289" t="inlineStr">
        <is>
          <t>2020-03-13 18:37:29</t>
        </is>
      </c>
      <c r="H8289" t="inlineStr"/>
    </row>
    <row r="8290">
      <c r="A8290" t="inlineStr">
        <is>
          <t>fiavpp</t>
        </is>
      </c>
      <c r="B8290" t="inlineStr">
        <is>
          <t>Scan results stage 4 melanoma</t>
        </is>
      </c>
      <c r="C8290" t="inlineStr">
        <is>
          <t>I've got stage 4 melanoma, started treatment last april. Got my scan results today, a "mixed bag" according to the nurse. She was nice and called me, I see doc to grill her on Tuesday. One tumor is down, but one is up 1 cm. No new spots, nothing going on with lungs so my shortness of breath is just from the Opdivo they assume. Blood clot in jugular is the same, has blood travelling on both sides of it so that's good. Pericardial effusion is still small, I had a window put in so it should stay that way. I had some wild psuedoprogression before that went down quick on it's own, but this little progression freaks me out bc it seems real. It could be dead cells, it could be psuedoprogression, but I don't like it. Anyone have anything similar to this? I am always worried about the immuno not working anymore as I am BRAF - with non resectable tumors so have fewer options. Thanks! Hoping for nothing but good news for all of you!</t>
        </is>
      </c>
      <c r="D8290" t="n">
        <v>1</v>
      </c>
      <c r="E8290" t="n">
        <v>6</v>
      </c>
      <c r="F8290">
        <f>HYPERLINK("https://www.reddit.com/r/cancer/comments/fiavpp/scan_results_stage_4_melanoma/")</f>
        <v/>
      </c>
      <c r="G8290" t="inlineStr">
        <is>
          <t>2020-03-13 18:39:21</t>
        </is>
      </c>
      <c r="H8290" t="inlineStr"/>
    </row>
    <row r="8291">
      <c r="A8291" t="inlineStr">
        <is>
          <t>fibbm4</t>
        </is>
      </c>
      <c r="B8291" t="inlineStr">
        <is>
          <t>2 year old - Leukemia Question</t>
        </is>
      </c>
      <c r="C8291" t="inlineStr">
        <is>
          <t>Hi, 
I have been on this forum for a while as we try and figure out what’s wrong with our sweet 2 year old. 
My son was born at 26 weeks and spent the remaining 14 weeks in the hospital. He is a fighter and went through a couple of blood transfusions and other dips along the way. But he came home at around 41 weeks. He has slowly but surely progressed and it’s amazing seeing him grow up. 
About 3 weeks back at his 2 year annual checkup we did a CBC and his WBC came at 21.7k. RBC, Platelet and Hemoglobin were all within range. Our pediatrician made us do another CBC with a smear a week later. He came down to 18.6k and the hematologist told us the smear looked fine, he’s probably just fighting an infection. A week later we did the CBC again and WBC came down very little to 17k - all other counts looked fine. Our pediatrician told us to wait a few more weeks before making an appointment with the hematologist but I just had an inkling that something might be going on with our son. So we got an appointment for the 17th. 
I took our son to get another CBC done today rather than on Tuesday because of the Covid madness and his WBC shot back up to 20k. Again the RBC is still fine, hemoglobin and Platelets are also within range. The WBC is high because of the Absolute lymphocytes being about 12.53k. Still no blasts being reflected. 
How do I push this to getting confirmation on the diagnosis? I called the pediatrician and she again said well the other counts look ok. Let’s see what the hematologist says. I just don’t want to be losing precious time that my son could actually be getting treated. Should I go to ER or just wait till I see the hematologist? Could 3-4 days make any difference in the long term?
I’m sorry for the long email, I’m just trying to be proactive here for my son and wanted to see what if it’s common for it to take so long for a diagnosis.</t>
        </is>
      </c>
      <c r="D8291" t="n">
        <v>1</v>
      </c>
      <c r="E8291" t="n">
        <v>0</v>
      </c>
      <c r="F8291">
        <f>HYPERLINK("https://www.reddit.com/r/cancer/comments/fibbm4/2_year_old_leukemia_question/")</f>
        <v/>
      </c>
      <c r="G8291" t="inlineStr">
        <is>
          <t>2020-03-13 19:13:01</t>
        </is>
      </c>
      <c r="H8291" t="inlineStr"/>
    </row>
    <row r="8292">
      <c r="A8292" t="inlineStr">
        <is>
          <t>fibeqr</t>
        </is>
      </c>
      <c r="B8292" t="inlineStr">
        <is>
          <t>Hospice Care Misconceptions!!!!</t>
        </is>
      </c>
      <c r="C8292" t="inlineStr">
        <is>
          <t>I really feel like I need to get this word out.  Hospice care is NOT only for your last moments.  We had a major struggle getting this through to my mom.  No one at the hospital explained hospice care properly to her.  Because of this she was worried it would cost the family a bunch of money, and you had to be very sick to use it.  This misconception caused her to suffer more than she needed to and waste money.  
Hospice is Federally funded!!!  If insurance drops you, you get all the same care for FREE.  
It’s not only for when you can’t stand the pain anymore.  They have a ton of resources!  Alternative drugs for nausea or pain management, Human Resources to help you through all your paperwork and getting things like Medicaid, a hospital bed put in your house, diet advice, MASSAGE THERAPY!  And it doesn’t cost you anything!
Please do yourself a favor and utilize them right away when they become an option.  If you have a family member who have this as an option make sure they know this!</t>
        </is>
      </c>
      <c r="D8292" t="n">
        <v>1</v>
      </c>
      <c r="E8292" t="n">
        <v>1</v>
      </c>
      <c r="F8292">
        <f>HYPERLINK("https://www.reddit.com/r/cancer/comments/fibeqr/hospice_care_misconceptions/")</f>
        <v/>
      </c>
      <c r="G8292" t="inlineStr">
        <is>
          <t>2020-03-13 19:19:55</t>
        </is>
      </c>
      <c r="H8292" t="inlineStr"/>
    </row>
    <row r="8293">
      <c r="A8293" t="inlineStr">
        <is>
          <t>fibl1z</t>
        </is>
      </c>
      <c r="B8293" t="inlineStr">
        <is>
          <t>Hospice Care Misconceptions!!!</t>
        </is>
      </c>
      <c r="C8293" t="inlineStr">
        <is>
          <t>Hospice care is not just something you use when the pain and symptoms become unbearable!!!  It is also FREE!!!  No one at the hospital explained this to my mom.  This caused her to suffer needlessly!  
Hospice is Federally funded.  If you have insurance, or they drop you, Federal funds pick up the bill!  Nothing comes out of your pocket. 
Hospice is also full of resources!  You can get a hospital bed put in your house, alternative drugs to help with issues like pain and nausea, Human Resources assistance to help you do all of the paperwork and get things like Medicaid, and even a massage therapist!!!  
Please, if you have the option to use them, DO IT!  If you have a loved one who have them as an option, make sure they know how useful they can be, and it’s not going to be a financial burden on their family.  
I wish peace for everyone, love you all</t>
        </is>
      </c>
      <c r="D8293" t="n">
        <v>1</v>
      </c>
      <c r="E8293" t="n">
        <v>12</v>
      </c>
      <c r="F8293">
        <f>HYPERLINK("https://www.reddit.com/r/cancer/comments/fibl1z/hospice_care_misconceptions/")</f>
        <v/>
      </c>
      <c r="G8293" t="inlineStr">
        <is>
          <t>2020-03-13 19:32:46</t>
        </is>
      </c>
      <c r="H8293" t="inlineStr"/>
    </row>
    <row r="8294">
      <c r="A8294" t="inlineStr">
        <is>
          <t>fibm7t</t>
        </is>
      </c>
      <c r="B8294" t="inlineStr">
        <is>
          <t>HOSPICE CARE</t>
        </is>
      </c>
      <c r="C8294" t="inlineStr">
        <is>
          <t>Trying to swat this misconception!  Hospice care is not just something you use when the pain and symptoms become unbearable!!!  It is also FREE!!!  No one at the hospital explained this to my mom.  This caused her to suffer needlessly!  
Hospice is Federally funded.  If you don’t have insurance, or they drop you, Federal funds pick up the bill!  Nothing comes out of your pocket. 
Hospice is also full of resources!  You can get a hospital bed put in your house, alternative drugs to help with issues like pain and nausea, Human Resources assistance to help you do all of the paperwork and get things like Medicaid, and even a massage therapist!!!  
Please, if you have the option to use them, DO IT!  If you have a loved one who have them as an option, make sure they know how useful they can be, and it’s not going to be a financial burden on their family.  
I wish peace for everyone, love you all</t>
        </is>
      </c>
      <c r="D8294" t="n">
        <v>1</v>
      </c>
      <c r="E8294" t="n">
        <v>0</v>
      </c>
      <c r="F8294">
        <f>HYPERLINK("https://www.reddit.com/r/cancer/comments/fibm7t/hospice_care/")</f>
        <v/>
      </c>
      <c r="G8294" t="inlineStr">
        <is>
          <t>2020-03-13 19:35:28</t>
        </is>
      </c>
      <c r="H8294" t="inlineStr"/>
    </row>
    <row r="8295">
      <c r="A8295" t="inlineStr">
        <is>
          <t>fid3pm</t>
        </is>
      </c>
      <c r="B8295" t="inlineStr">
        <is>
          <t>I think the curse is broken</t>
        </is>
      </c>
      <c r="C8295" t="inlineStr">
        <is>
          <t>Exactly two years ago, today, my truck was smashed into by a drunk driver while I was stopped at a stop sign. Exactly one year ago today, I was diagnosed with Myxoid Liposarcoma. As long as I didn't unknowingly contract COVID-19 today, I think my March 13th curse is broken.</t>
        </is>
      </c>
      <c r="D8295" t="n">
        <v>1</v>
      </c>
      <c r="E8295" t="n">
        <v>4</v>
      </c>
      <c r="F8295">
        <f>HYPERLINK("https://www.reddit.com/r/cancer/comments/fid3pm/i_think_the_curse_is_broken/")</f>
        <v/>
      </c>
      <c r="G8295" t="inlineStr">
        <is>
          <t>2020-03-13 21:38:05</t>
        </is>
      </c>
      <c r="H8295" t="inlineStr"/>
    </row>
    <row r="8296">
      <c r="A8296" t="inlineStr">
        <is>
          <t>fid8r4</t>
        </is>
      </c>
      <c r="B8296" t="inlineStr">
        <is>
          <t>A Brief Rant About How Miserably Unfair This Is</t>
        </is>
      </c>
      <c r="C8296" t="inlineStr">
        <is>
          <t>Hey guys, I'm new here, please feel free to tell me if this isn't the right venue.
I just need to vent about how godawful, miserably unfair this shit it. My stepdad is in stage 4, it's in his spine, it's in his brain, we know we're gonna lose him and it's just a matter of fighting for more time. And that is fucking garbage.
My dad left us in emotional and financial ruin when I was five, and my mom did everything right. She worked hard, she leaned on good people for support even when it killed her pride to do so, she was kind and strong and patient and the best mother in the goddamn world. She waited so long for us to be old enough and stable enough before she tried dating again. She finally met The One, he's fantastic, he's a better father than I could ever have hoped for, my mother is happier than I've ever seen her, and then-
Cancer. Metastasized. Not responding to immuno.  Spreading like a motherfucker.
This isn't fair, guys. They had their first anniversary 6 months ago. This IS their second chance, and it's supposed to be their happily every after. They're supposed to grow old together. And now it's just, fuck  off, they don't get to? I lose my dad twice? 
How does anybody ever cope with this?</t>
        </is>
      </c>
      <c r="D8296" t="n">
        <v>1</v>
      </c>
      <c r="E8296" t="n">
        <v>7</v>
      </c>
      <c r="F8296">
        <f>HYPERLINK("https://www.reddit.com/r/cancer/comments/fid8r4/a_brief_rant_about_how_miserably_unfair_this_is/")</f>
        <v/>
      </c>
      <c r="G8296" t="inlineStr">
        <is>
          <t>2020-03-13 21:51:22</t>
        </is>
      </c>
      <c r="H8296" t="inlineStr"/>
    </row>
    <row r="8297">
      <c r="A8297" t="inlineStr">
        <is>
          <t>fie1cj</t>
        </is>
      </c>
      <c r="B8297" t="inlineStr">
        <is>
          <t>Lost my brother to Colorectal Cancer two years back - Wish to help</t>
        </is>
      </c>
      <c r="C8297" t="inlineStr">
        <is>
          <t>It has been two years since my elder brother(27) was taken away by cancer. It was a challenging journey of two years for our family. He was diagnosed in Stage IIIB(metastasized to stage IV with treatment), underwent radiation, a permanent colostomy and around 25 chemotherapies with different drugs.
I just want to share that all of us here are affected by cancer in some or the other way. It is painful. If anyone here needs someone to talk to, I'm your friend.
I organise my own support group circles in my city(New Delhi, India) on a regular basis and would love to help anyone in need of a safe space. I know a bit around managing health and well-being learnt during our journey with cancer. Can recommend some science-based(or at least informed) resources around nutrition, stress and side-effects management. I'm not a medical professional or therapist, just another human whose loved one was taken by this deadly disease and can feel the pain.  
Attaching a beautiful picture of my brother during chemo #21 at Keck Medicine of USC, LA.  
[https://imgur.com/a/8mmVgKw](https://imgur.com/a/8mmVgKw)</t>
        </is>
      </c>
      <c r="D8297" t="n">
        <v>1</v>
      </c>
      <c r="E8297" t="n">
        <v>34</v>
      </c>
      <c r="F8297">
        <f>HYPERLINK("https://www.reddit.com/r/cancer/comments/fie1cj/lost_my_brother_to_colorectal_cancer_two_years/")</f>
        <v/>
      </c>
      <c r="G8297" t="inlineStr">
        <is>
          <t>2020-03-13 23:09:56</t>
        </is>
      </c>
      <c r="H8297" t="inlineStr"/>
    </row>
    <row r="8298">
      <c r="A8298" t="inlineStr">
        <is>
          <t>figccg</t>
        </is>
      </c>
      <c r="B8298" t="inlineStr">
        <is>
          <t>Sarcoma and other problems</t>
        </is>
      </c>
      <c r="C8298" t="inlineStr">
        <is>
          <t>Hello! I have been diagnosed with stage IV myxoid libosarcoma. By the time my doctors could find out what as going on, it had already exited my thigh and landed in my spinal column. On pet in particular, the L5, was enlarged enough to seem to block treatment, so my doctors tried to focus on shrinking that tumor in particular to alleviate the massive amount of pain I have experienced.
Also already done two rounds of chemo, one of ATM, the latest on trabectedine.
At the same time, in the back upper part of my thigh, a cavity developed that won’t embolize. So far, the only way to stop the bleed has been to wipe out the cavity, then stuff it with kerlix gauze and the put in a few sutures to hold it together.
I know that I probably don’t have a lot of time, and I need to start making plans for visiting family and friends for the last time, right? But I can’t do that with this thigh thing hanging over me. So, what can I do? Thanks.</t>
        </is>
      </c>
      <c r="D8298" t="n">
        <v>1</v>
      </c>
      <c r="E8298" t="n">
        <v>0</v>
      </c>
      <c r="F8298">
        <f>HYPERLINK("https://www.reddit.com/r/cancer/comments/figccg/sarcoma_and_other_problems/")</f>
        <v/>
      </c>
      <c r="G8298" t="inlineStr">
        <is>
          <t>2020-03-14 03:28:26</t>
        </is>
      </c>
      <c r="H8298" t="inlineStr"/>
    </row>
    <row r="8299">
      <c r="A8299" t="inlineStr">
        <is>
          <t>fijyep</t>
        </is>
      </c>
      <c r="B8299" t="inlineStr">
        <is>
          <t>Doctors found a tumor.</t>
        </is>
      </c>
      <c r="C8299" t="inlineStr">
        <is>
          <t>So, after struggeling for months with what I and the doctors though were an inflammation, they found a tumor in my leg. I fell on the ice last Tuesday and had to take an xray, no fracture. They did however find a tumor in my leg. They do not know if its cancerous or not yet, but I'm scheduled to go back and take a ct and mri scan in two weeks. Wish me luck.</t>
        </is>
      </c>
      <c r="D8299" t="n">
        <v>1</v>
      </c>
      <c r="E8299" t="n">
        <v>0</v>
      </c>
      <c r="F8299">
        <f>HYPERLINK("https://www.reddit.com/r/cancer/comments/fijyep/doctors_found_a_tumor/")</f>
        <v/>
      </c>
      <c r="G8299" t="inlineStr">
        <is>
          <t>2020-03-14 08:21:48</t>
        </is>
      </c>
      <c r="H8299" t="inlineStr"/>
    </row>
    <row r="8300">
      <c r="A8300" t="inlineStr">
        <is>
          <t>fik927</t>
        </is>
      </c>
      <c r="B8300" t="inlineStr">
        <is>
          <t>Pain Flair Ups</t>
        </is>
      </c>
      <c r="C8300" t="inlineStr">
        <is>
          <t>Hey, big ass nerve sheath tumor in my leg. Today pain is incredible. Talked to doc and got a new pain med and up dosed on what I have. Curious if this happens to others with similar tumors. Some days it just seems like it shifts around the wrong way and just hurts like a bitch, and some days it's shifted around and it's just a dull pain.</t>
        </is>
      </c>
      <c r="D8300" t="n">
        <v>1</v>
      </c>
      <c r="E8300" t="n">
        <v>0</v>
      </c>
      <c r="F8300">
        <f>HYPERLINK("https://www.reddit.com/r/cancer/comments/fik927/pain_flair_ups/")</f>
        <v/>
      </c>
      <c r="G8300" t="inlineStr">
        <is>
          <t>2020-03-14 08:40:54</t>
        </is>
      </c>
      <c r="H8300" t="inlineStr"/>
    </row>
    <row r="8301">
      <c r="A8301" t="inlineStr">
        <is>
          <t>fikjur</t>
        </is>
      </c>
      <c r="B8301" t="inlineStr">
        <is>
          <t>Free home cleanings for cancer patients (link in message)</t>
        </is>
      </c>
      <c r="C8301" t="inlineStr">
        <is>
          <t>I posted this site in a comment, but thought it deserved its own post. If not allowed, please delete.
Most people know that one thing cancer does is sap your energy. For me, that meant letting some things go. One of the first things I let go was cleaning my apartment. I'm able to afford a housekeeper, but I know that many people aren't able to keep working during their treatment or have poor or no health insurance. 
When I was first diagnosed, I looked online for support groups and the like and came upon the following website: [https://cleaningforareason.org](https://cleaningforareason.org/) - they clean houses (I think up to twice a month) for people diagnosed with cancer. I've never used them (so I can't vouch for them), but this seems like an awfully good cause, and worth taking a chance on.</t>
        </is>
      </c>
      <c r="D8301" t="n">
        <v>1</v>
      </c>
      <c r="E8301" t="n">
        <v>5</v>
      </c>
      <c r="F8301">
        <f>HYPERLINK("https://www.reddit.com/r/cancer/comments/fikjur/free_home_cleanings_for_cancer_patients_link_in/")</f>
        <v/>
      </c>
      <c r="G8301" t="inlineStr">
        <is>
          <t>2020-03-14 09:00:18</t>
        </is>
      </c>
      <c r="H8301" t="inlineStr"/>
    </row>
    <row r="8302">
      <c r="A8302" t="inlineStr">
        <is>
          <t>fillsm</t>
        </is>
      </c>
      <c r="B8302" t="inlineStr">
        <is>
          <t>Living with hemoptysis/coughing up blood.</t>
        </is>
      </c>
      <c r="C8302" t="inlineStr">
        <is>
          <t>Hi all. So, my mum is not well. She has both Lung Cancer and Melanoma (Both spread to the Lymph nodes, but no futher, we hope) and is currently on Chemo for the first, haveing had Immunoptherphy, but that failed to effect her lung. 
For a few months now she has been coughing up blood. It got to the point now when she is going for two bags of blood transfusions every few weeks, and has just started taking Tranexmic Acid to help. However, she is finding it hard to cope with living day-to-day with this. For example, my brother recently had a newborn, and she wants to go over and see him more but she is terrified that she will have a coughing fit whilst holding him. Its really getting to her, and I just wish I could help her deal with this. 
Has anyone else had a similar issue, or know family who have?</t>
        </is>
      </c>
      <c r="D8302" t="n">
        <v>1</v>
      </c>
      <c r="E8302" t="n">
        <v>0</v>
      </c>
      <c r="F8302">
        <f>HYPERLINK("https://www.reddit.com/r/cancer/comments/fillsm/living_with_hemoptysiscoughing_up_blood/")</f>
        <v/>
      </c>
      <c r="G8302" t="inlineStr">
        <is>
          <t>2020-03-14 10:05:23</t>
        </is>
      </c>
      <c r="H8302" t="inlineStr"/>
    </row>
    <row r="8303">
      <c r="A8303" t="inlineStr">
        <is>
          <t>filsn0</t>
        </is>
      </c>
      <c r="B8303" t="inlineStr">
        <is>
          <t>How long does your nausea usually last after receiving chemo(carboplatin)</t>
        </is>
      </c>
      <c r="C8303" t="inlineStr">
        <is>
          <t>I have my 4th round tommorow and my nausea from the 3rd one still hadn't gone away. Is this normal?</t>
        </is>
      </c>
      <c r="D8303" t="n">
        <v>1</v>
      </c>
      <c r="E8303" t="n">
        <v>11</v>
      </c>
      <c r="F8303">
        <f>HYPERLINK("https://www.reddit.com/r/cancer/comments/filsn0/how_long_does_your_nausea_usually_last_after/")</f>
        <v/>
      </c>
      <c r="G8303" t="inlineStr">
        <is>
          <t>2020-03-14 10:17:07</t>
        </is>
      </c>
      <c r="H8303" t="inlineStr"/>
    </row>
    <row r="8304">
      <c r="A8304" t="inlineStr">
        <is>
          <t>finm1p</t>
        </is>
      </c>
      <c r="B8304" t="inlineStr">
        <is>
          <t>Concerning Allegations Re: "FAM-Fighting All Monsters"</t>
        </is>
      </c>
      <c r="C8304" t="inlineStr">
        <is>
          <t>[https://massholereport.com/2020/03/13/celebrity-weed-dealer-and-founder-of-fam-fighting-all-monsters-edward-milk-tyson-porter-accused-of-fraud-by-concerned-social-media-posters/](https://massholereport.com/2020/03/13/celebrity-weed-dealer-and-founder-of-fam-fighting-all-monsters-edward-milk-tyson-porter-accused-of-fraud-by-concerned-social-media-posters/)</t>
        </is>
      </c>
      <c r="D8304" t="n">
        <v>1</v>
      </c>
      <c r="E8304" t="n">
        <v>0</v>
      </c>
      <c r="F8304">
        <f>HYPERLINK("https://www.reddit.com/r/cancer/comments/finm1p/concerning_allegations_re_famfighting_all_monsters/")</f>
        <v/>
      </c>
      <c r="G8304" t="inlineStr">
        <is>
          <t>2020-03-14 12:07:02</t>
        </is>
      </c>
      <c r="H8304" t="inlineStr"/>
    </row>
    <row r="8305">
      <c r="A8305" t="inlineStr">
        <is>
          <t>fipojv</t>
        </is>
      </c>
      <c r="B8305" t="inlineStr">
        <is>
          <t>Cancer survivors that used RSO...</t>
        </is>
      </c>
      <c r="C8305" t="inlineStr">
        <is>
          <t>Hi all,
About a year ago I was diagnosed with cancer in my esophagus and stomach. This followed having two large (unrelated) melanomas removed in the previous two years. 
The oncologist and surgeron gave me an aggressive chemo plan that lasted about five months. After the chemo, they were planning on cleaning out any remaining cancer by removing my esophagus and part of the stomach.
Before and during the chemo, I was also taking Rick Simpson Oil and CBD/THC tinctures.
Fortunately, after the chemo, a pet scan a few months later showed no signs of cancer. My doctors wanted to proceed with the surgery anyway, "just to be safe". I refused, and opted for active surveioloance, while continuing to take RSO and tinctures.
Five months later, a CT scan showed no signs of cancer. I have another CT scan in June.
My question is, **if the June CT scan comes negative, when can i safely stop taking the RSO and tinctures?** THey're pretty expensive, and really f\*cks with my head, especially combined with my other meds.
Thanks in advance!</t>
        </is>
      </c>
      <c r="D8305" t="n">
        <v>1</v>
      </c>
      <c r="E8305" t="n">
        <v>8</v>
      </c>
      <c r="F8305">
        <f>HYPERLINK("https://www.reddit.com/r/cancer/comments/fipojv/cancer_survivors_that_used_rso/")</f>
        <v/>
      </c>
      <c r="G8305" t="inlineStr">
        <is>
          <t>2020-03-14 14:15:24</t>
        </is>
      </c>
      <c r="H8305" t="inlineStr"/>
    </row>
    <row r="8306">
      <c r="A8306" t="inlineStr">
        <is>
          <t>fiqczz</t>
        </is>
      </c>
      <c r="B8306" t="inlineStr">
        <is>
          <t>microscopic blood in urine</t>
        </is>
      </c>
      <c r="C8306" t="inlineStr">
        <is>
          <t>34 female non smoker, they found microscopic blood in urine my urologist suggest cystoscopy and i am terrified that i may have bladder cancer</t>
        </is>
      </c>
      <c r="D8306" t="n">
        <v>1</v>
      </c>
      <c r="E8306" t="n">
        <v>1</v>
      </c>
      <c r="F8306">
        <f>HYPERLINK("https://www.reddit.com/r/cancer/comments/fiqczz/microscopic_blood_in_urine/")</f>
        <v/>
      </c>
      <c r="G8306" t="inlineStr">
        <is>
          <t>2020-03-14 14:58:20</t>
        </is>
      </c>
      <c r="H8306" t="inlineStr"/>
    </row>
    <row r="8307">
      <c r="A8307" t="inlineStr">
        <is>
          <t>fir8o0</t>
        </is>
      </c>
      <c r="B8307" t="inlineStr">
        <is>
          <t>I’m not really sure what to say</t>
        </is>
      </c>
      <c r="C8307" t="inlineStr">
        <is>
          <t>I’m a uni student in third year and my mum just came up to see me and has told me she has breast cancer and is getting a mastectomy at the end of the month and I can’t even be there because it coincides with my deadlines. I’m in this weird limbo we’re I’m trying to stay positive but I feels wrong to carry on with my life and uni work. It almost feels wrong to carry on as normal and I’m not sure what I can do to feel proactive about helping her from so far away.</t>
        </is>
      </c>
      <c r="D8307" t="n">
        <v>1</v>
      </c>
      <c r="E8307" t="n">
        <v>13</v>
      </c>
      <c r="F8307">
        <f>HYPERLINK("https://www.reddit.com/r/cancer/comments/fir8o0/im_not_really_sure_what_to_say/")</f>
        <v/>
      </c>
      <c r="G8307" t="inlineStr">
        <is>
          <t>2020-03-14 15:55:27</t>
        </is>
      </c>
      <c r="H8307" t="inlineStr"/>
    </row>
    <row r="8308">
      <c r="A8308" t="inlineStr">
        <is>
          <t>firdwl</t>
        </is>
      </c>
      <c r="B8308" t="inlineStr">
        <is>
          <t>Coronavirus and chemo</t>
        </is>
      </c>
      <c r="C8308" t="inlineStr">
        <is>
          <t>My dad is currently having chemo for stage 4 lung cancer. I cancelled on going with him to his chemo last week because I had a bit of a cold (just sneezing and tired). I’m now terrified of him being exposed to covid-19 since his immune system is shot. Can anyone tell me about the risk of exposure for him and any advice I can give?</t>
        </is>
      </c>
      <c r="D8308" t="n">
        <v>1</v>
      </c>
      <c r="E8308" t="n">
        <v>19</v>
      </c>
      <c r="F8308">
        <f>HYPERLINK("https://www.reddit.com/r/cancer/comments/firdwl/coronavirus_and_chemo/")</f>
        <v/>
      </c>
      <c r="G8308" t="inlineStr">
        <is>
          <t>2020-03-14 16:04:54</t>
        </is>
      </c>
      <c r="H8308" t="inlineStr"/>
    </row>
    <row r="8309">
      <c r="A8309" t="inlineStr">
        <is>
          <t>firjhu</t>
        </is>
      </c>
      <c r="B8309" t="inlineStr">
        <is>
          <t>Extreme Fatigue</t>
        </is>
      </c>
      <c r="C8309" t="inlineStr">
        <is>
          <t>My loved one is experiencing fatigue, about 2 weeks after her last chemo. At this point she’s only speaking a few words at a time. Is this sudden extreme fatigue normal? She has taken chemo-associated medicine for nausea</t>
        </is>
      </c>
      <c r="D8309" t="n">
        <v>1</v>
      </c>
      <c r="E8309" t="n">
        <v>0</v>
      </c>
      <c r="F8309">
        <f>HYPERLINK("https://www.reddit.com/r/cancer/comments/firjhu/extreme_fatigue/")</f>
        <v/>
      </c>
      <c r="G8309" t="inlineStr">
        <is>
          <t>2020-03-14 16:15:33</t>
        </is>
      </c>
      <c r="H8309" t="inlineStr"/>
    </row>
    <row r="8310">
      <c r="A8310" t="inlineStr">
        <is>
          <t>fisfy2</t>
        </is>
      </c>
      <c r="B8310" t="inlineStr">
        <is>
          <t>My father has stage 4 stomach cancer metastasis to the lung and liver. He is 82 years old and the NHS consultants are stating that there is no treatment they can give him.</t>
        </is>
      </c>
      <c r="C8310" t="inlineStr">
        <is>
          <t>Not even offering chemo on the basis it could kill him because of his age. However, my dad is otherwise a very fit and healthy 82 year old who only very recently used to run 6 miles every day. He lives happily independently and is by no means frail even now.  Can anyone recommend any treatments? Is chemo really that bad of an option when it at least gives a chance? I noticed many posts from stage 4 stomach cancer redditors undergoing treatment so it seems strange that the NHS are not offering anything.</t>
        </is>
      </c>
      <c r="D8310" t="n">
        <v>1</v>
      </c>
      <c r="E8310" t="n">
        <v>9</v>
      </c>
      <c r="F8310">
        <f>HYPERLINK("https://www.reddit.com/r/cancer/comments/fisfy2/my_father_has_stage_4_stomach_cancer_metastasis/")</f>
        <v/>
      </c>
      <c r="G8310" t="inlineStr">
        <is>
          <t>2020-03-14 17:17:02</t>
        </is>
      </c>
      <c r="H8310" t="inlineStr"/>
    </row>
    <row r="8311">
      <c r="A8311" t="inlineStr">
        <is>
          <t>fistoo</t>
        </is>
      </c>
      <c r="B8311" t="inlineStr">
        <is>
          <t>Lymph node swollen</t>
        </is>
      </c>
      <c r="C8311" t="inlineStr">
        <is>
          <t>If a swollen and tender lymph node or gland only lasted one week, can it be associated with cancer?</t>
        </is>
      </c>
      <c r="D8311" t="n">
        <v>1</v>
      </c>
      <c r="E8311" t="n">
        <v>0</v>
      </c>
      <c r="F8311">
        <f>HYPERLINK("https://www.reddit.com/r/cancer/comments/fistoo/lymph_node_swollen/")</f>
        <v/>
      </c>
      <c r="G8311" t="inlineStr">
        <is>
          <t>2020-03-14 17:42:29</t>
        </is>
      </c>
      <c r="H8311" t="inlineStr"/>
    </row>
    <row r="8312">
      <c r="A8312" t="inlineStr">
        <is>
          <t>fivy8e</t>
        </is>
      </c>
      <c r="B8312" t="inlineStr">
        <is>
          <t>Father refusing chemo and choosing religous healing</t>
        </is>
      </c>
      <c r="C8312" t="inlineStr">
        <is>
          <t>I posted a few days ago saying my father, whom I have a strained relationship with, was diagnosed with advanced liver cancer with 5-7 months to live. To preface: none of my family members are religious, but my dad claims he is a student of Buddha and has been studying Buddhism for over a decade.
He has decided that he will not do any scientifically proven treatment and wants to try an anedotal treatment that involves energy and stretching, saying he has strong belief that he can live a few more years. I obviously think it is total BS, and can't tell if he is delirious due to fear of death or because he genuinely believes this treatment will help you. His doctor recommended chemotherapy and he is refusing it. I have tried to reason with him and he would rather do a treatment with no proof ("there's no proof but I believe"). I even said maybe try this treatment after he feels 7 months of chemo hasn't worked, but he said doing chemo would make it too late to do his religious method because chemo would tire him out.
He wants us to be supportive but I am super conflicted. I want to respect his decisions for his own body, but at the same time I feel like he is taking, literally, the biggest risk of his life with this gamble. Is it my place to do anything about this other than be here for him?</t>
        </is>
      </c>
      <c r="D8312" t="n">
        <v>1</v>
      </c>
      <c r="E8312" t="n">
        <v>5</v>
      </c>
      <c r="F8312">
        <f>HYPERLINK("https://www.reddit.com/r/cancer/comments/fivy8e/father_refusing_chemo_and_choosing_religous/")</f>
        <v/>
      </c>
      <c r="G8312" t="inlineStr">
        <is>
          <t>2020-03-14 21:36:46</t>
        </is>
      </c>
      <c r="H8312" t="inlineStr"/>
    </row>
    <row r="8313">
      <c r="A8313" t="inlineStr">
        <is>
          <t>fiw3a2</t>
        </is>
      </c>
      <c r="B8313" t="inlineStr">
        <is>
          <t>How to help from far away?</t>
        </is>
      </c>
      <c r="C8313" t="inlineStr">
        <is>
          <t>My mom just started chemo, they said what she has is curable so things are as good as it can be for the situation. I live far away and am not planning to travel until the situation with coronavirus gets a little more under control 
one area I’m struggling is feeling like I donT know what to do or say to help. Get well soon and feel better don’t really feel like the right thing and I’m a little at a loss for how to  talk about it. It’s very scary to me and I can’t imagine how she is feeling, but I’m trying to just follow her lead and not let my fears impact her because she is very positive at this point. I have been talking to her every day because I know that the hospital can get boring and lonely, but I don’t know what to expect going forward or how she might feel. She has plenty of in person support for practical things, I’m just hoping to get an idea maybe if what sort of things she might appreciate going forward or have an idea what to expect. 
What are some good ways to support someone going through chemo when you are far away?</t>
        </is>
      </c>
      <c r="D8313" t="n">
        <v>1</v>
      </c>
      <c r="E8313" t="n">
        <v>8</v>
      </c>
      <c r="F8313">
        <f>HYPERLINK("https://www.reddit.com/r/cancer/comments/fiw3a2/how_to_help_from_far_away/")</f>
        <v/>
      </c>
      <c r="G8313" t="inlineStr">
        <is>
          <t>2020-03-14 21:48:45</t>
        </is>
      </c>
      <c r="H8313" t="inlineStr"/>
    </row>
    <row r="8314">
      <c r="A8314" t="inlineStr">
        <is>
          <t>fizx6l</t>
        </is>
      </c>
      <c r="B8314" t="inlineStr">
        <is>
          <t>Yep, it’s cancer</t>
        </is>
      </c>
      <c r="C8314" t="inlineStr">
        <is>
          <t>TL;DR - got cancer, it sucks, it hurts, what should I do?
It’s been ... not great for the past weeks. Biopsy came back and my oncologist was spot on: myxoid liposarcoma, stage IV, already tiny bits in the spinal connectivity tissue (not the proper spine?).
It’s been a few days. Diagnosis was delayed because trying to get the radiation mapping done took forever because it hurt the absolute living shit out of me. Finally, I had to refuse treatment again, and the radiologist said we should focus on other avenues of treatment.
Only thing that makes me mad is that we had a clear plan on breaking out the pain meds to get me to the end, like planned to the minute, and none of the radiology team followed through. This was Friday evening, so haven’t had a chance to talk to them about it, but do you all think it’s something to pursue?
Also now have a really big cavity in the back of my thigh, near to where my tumor was/is, oozing lots of blood, not bleeding out, just oozing. They’re keeping it stuffed with gauze right now. Needs to be changed at least twice a day; doesn’t *hurt*, but is rather unpleasant. So now that’s sitting in the back of my head and pit of my stomach.
Emotionally, I think I’m doing OK. Need to make some plans, want to visit with extended family and old friends, but stupid dumb virus is screwing that up. One thing I want to do is setup something for my two nieces, no idea what it would look like, but a couple of presents or something in the mail every year, birthday and Christmas? Don’t know if there’s something like that on the Internet.
Guys, Imdont Age
36
Sex
Male
Height
6'3"
Weight
365 lbs
Race
White
Duration of complaint
July 2019
Location
Boston, MA
Any existing relevant medical issues
Tumor
Current medications
Zoloft, "men's" multivitamin, vitamin d, buproprion, senna, miralax, tylenol, dulcolax, dilaudid
Hello! I have been diagnosed with stage IV myxoid libosarcoma. By the time my doctors could find out what as going on, it had already exited my thigh and "landed" in my spinal column. One part in particular, the L5, was enlarged enough to seem to block at least some of the treatment, so my doctors tried to focus on shrinking that tumor in particular to alleviate the massive amount of pain I have experienced. My doctors' have determined that shrinking the L5 via radiation is not the best path to go on, and will be meeting on Monday to determine a better way.
Also I have already done two rounds of chemo, one on ATM, the latest on trabectedine. Three more I think? Latest plan was to continue on with the trabectedine, but that might have changed.
At the same time, in the back upper part of my thigh, a cavity developed that won’t embolize. So far, the only way to stop the bleed has been to wipe out the cavity, then stuff it with kerlix gauze and the put in a few sutures or tape to hold it together.
I know that I probably don’t have a lot of time, and I need to start making plans for visiting family and friends for the last time, right? But I can’t do that with this thigh thing hanging over me. So, what can I do?
Please people of Reddit, help me. I really need all the help you can give me.</t>
        </is>
      </c>
      <c r="D8314" t="n">
        <v>1</v>
      </c>
      <c r="E8314" t="n">
        <v>25</v>
      </c>
      <c r="F8314">
        <f>HYPERLINK("https://www.reddit.com/r/cancer/comments/fizx6l/yep_its_cancer/")</f>
        <v/>
      </c>
      <c r="G8314" t="inlineStr">
        <is>
          <t>2020-03-15 04:23:13</t>
        </is>
      </c>
      <c r="H8314" t="inlineStr"/>
    </row>
    <row r="8315">
      <c r="A8315" t="inlineStr">
        <is>
          <t>fj1hsk</t>
        </is>
      </c>
      <c r="B8315" t="inlineStr">
        <is>
          <t>Need advice!</t>
        </is>
      </c>
      <c r="C8315" t="inlineStr">
        <is>
          <t>Hi guys, my first post here. 27 yr old male on my last hyper CVAD cycle for ALL. I went for chemo the wednesday before the last one, it takes about two weeks for my counts to recover, esp WBC. Last thursday my WBC was literally zero. But my blood was not low enough for transfusions. My onco wants me to come on monday too for possible blood/ platelet transfusions which has been a standard procedure in the past. I have another appointment after that on thursday by then hopefully my counts will be good enough that ill feel a bit more safe to go.
I am terrified to go on monday esp with the virus going on and waiting for transfusions takes all day. So that means I’ll have to sit there with other ppl at the clinic. My oncologist says that ultimately its up to me and she understands my concern too. Did i mention my counts are exactly zero! Need some advice please</t>
        </is>
      </c>
      <c r="D8315" t="n">
        <v>1</v>
      </c>
      <c r="E8315" t="n">
        <v>6</v>
      </c>
      <c r="F8315">
        <f>HYPERLINK("https://www.reddit.com/r/cancer/comments/fj1hsk/need_advice/")</f>
        <v/>
      </c>
      <c r="G8315" t="inlineStr">
        <is>
          <t>2020-03-15 06:42:30</t>
        </is>
      </c>
      <c r="H8315" t="inlineStr"/>
    </row>
    <row r="8316">
      <c r="A8316" t="inlineStr">
        <is>
          <t>fj4cdg</t>
        </is>
      </c>
      <c r="B8316" t="inlineStr">
        <is>
          <t>Nerve pain</t>
        </is>
      </c>
      <c r="C8316" t="inlineStr">
        <is>
          <t>I finished treatment October 2018 and since then I’ve been getting nerve pain in my legs/hips especially at night. I talked to my doctor and he said it’s due to the Vincristine chemo I used to take. He prescribed me gabapentin which worked at first but slowly stopped giving me relief from the pain. Has anyone been prescribed medication for something similar? Please share ways you helped nerve pain from chemo.</t>
        </is>
      </c>
      <c r="D8316" t="n">
        <v>1</v>
      </c>
      <c r="E8316" t="n">
        <v>6</v>
      </c>
      <c r="F8316">
        <f>HYPERLINK("https://www.reddit.com/r/cancer/comments/fj4cdg/nerve_pain/")</f>
        <v/>
      </c>
      <c r="G8316" t="inlineStr">
        <is>
          <t>2020-03-15 09:53:57</t>
        </is>
      </c>
      <c r="H8316" t="inlineStr"/>
    </row>
    <row r="8317">
      <c r="A8317" t="inlineStr">
        <is>
          <t>fj4rc4</t>
        </is>
      </c>
      <c r="B8317" t="inlineStr">
        <is>
          <t>My dad has esophageal cancer and i want to find the best treatment</t>
        </is>
      </c>
      <c r="C8317" t="inlineStr">
        <is>
          <t>Hi, I just got to know that my father (70) has esophageal cancer and now my mission is to find the best clinic with the most experienced surgeon on this specific cancer. How do I find a good clinic? What's the method? I don't care what it costs, if it's private or where it is, as long it is in Europe since we can't travel to the US because of the coronavirus.</t>
        </is>
      </c>
      <c r="D8317" t="n">
        <v>1</v>
      </c>
      <c r="E8317" t="n">
        <v>6</v>
      </c>
      <c r="F8317">
        <f>HYPERLINK("https://www.reddit.com/r/cancer/comments/fj4rc4/my_dad_has_esophageal_cancer_and_i_want_to_find/")</f>
        <v/>
      </c>
      <c r="G8317" t="inlineStr">
        <is>
          <t>2020-03-15 10:18:59</t>
        </is>
      </c>
      <c r="H8317" t="inlineStr"/>
    </row>
    <row r="8318">
      <c r="A8318" t="inlineStr">
        <is>
          <t>fj76te</t>
        </is>
      </c>
      <c r="B8318" t="inlineStr">
        <is>
          <t>Air Travel</t>
        </is>
      </c>
      <c r="C8318" t="inlineStr">
        <is>
          <t>Has anyone heard ANYTHING about US air travel halting?
My son just had surgery at Sloan Kettering and starts a clinical trial in a month. I NEED to get him back there in a month for that clinical trial (it is his best shot at beating this).  But staying out there an entire month will be very difficult for a variety of reasons.
My plan was to bring him home this week and return in a month but I am petrified of air travel being cancelled. Missing this trial would be beyond devastating.
Looking for any information that can help me make the right decision.</t>
        </is>
      </c>
      <c r="D8318" t="n">
        <v>1</v>
      </c>
      <c r="E8318" t="n">
        <v>15</v>
      </c>
      <c r="F8318">
        <f>HYPERLINK("https://www.reddit.com/r/cancer/comments/fj76te/air_travel/")</f>
        <v/>
      </c>
      <c r="G8318" t="inlineStr">
        <is>
          <t>2020-03-15 12:43:41</t>
        </is>
      </c>
      <c r="H8318" t="inlineStr"/>
    </row>
    <row r="8319">
      <c r="A8319" t="inlineStr">
        <is>
          <t>fjcux0</t>
        </is>
      </c>
      <c r="B8319" t="inlineStr">
        <is>
          <t>COVID19 pushed surgery</t>
        </is>
      </c>
      <c r="C8319" t="inlineStr">
        <is>
          <t>Hi everyone,
Just wanted to say I am sending good vibes to all those who have had their treatments affected during the pandemic. In Québec non-urgent care has been put on hold, which means my tumor removal is on hold until further notice, bummer. 
Is anyone else in a similar situation?</t>
        </is>
      </c>
      <c r="D8319" t="n">
        <v>1</v>
      </c>
      <c r="E8319" t="n">
        <v>30</v>
      </c>
      <c r="F8319">
        <f>HYPERLINK("https://www.reddit.com/r/cancer/comments/fjcux0/covid19_pushed_surgery/")</f>
        <v/>
      </c>
      <c r="G8319" t="inlineStr">
        <is>
          <t>2020-03-15 18:43:41</t>
        </is>
      </c>
      <c r="H8319" t="inlineStr"/>
    </row>
    <row r="8320">
      <c r="A8320" t="inlineStr">
        <is>
          <t>fjetbg</t>
        </is>
      </c>
      <c r="B8320" t="inlineStr">
        <is>
          <t>19F my last chemo infusion is next Friday! But when will my hair stop hurting/falling out?</t>
        </is>
      </c>
      <c r="C8320" t="inlineStr">
        <is>
          <t>I’ve been on Taxol and Herceptin infusions for 12 weeks for breast cancer. (I know I’m young, this is not a shit post, will tell lengthy family history of needed.) 
My hair has been falling out little by little over time, but thankfully because I have VERY thick hair, which I usually straighten, the thinning hasn’t been noticeable. 
Although I’m so thankful to have kept my hair, my skull hurts. I use the phrase “my hair hurts” but it’s really like where my hair is connected to my head is tender and sore. 
When does it stop? How long after my last infusion will my hair keep coming out? 
The only person I know who’s gone through chemo is my Mom and cancer took her from me a year ago. Just looking for an answer from someone who gets it/has been there. 
Love and health to you all!</t>
        </is>
      </c>
      <c r="D8320" t="n">
        <v>1</v>
      </c>
      <c r="E8320" t="n">
        <v>3</v>
      </c>
      <c r="F8320">
        <f>HYPERLINK("https://www.reddit.com/r/cancer/comments/fjetbg/19f_my_last_chemo_infusion_is_next_friday_but/")</f>
        <v/>
      </c>
      <c r="G8320" t="inlineStr">
        <is>
          <t>2020-03-15 21:06:30</t>
        </is>
      </c>
      <c r="H8320" t="inlineStr"/>
    </row>
    <row r="8321">
      <c r="A8321" t="inlineStr">
        <is>
          <t>fjghil</t>
        </is>
      </c>
      <c r="B8321" t="inlineStr">
        <is>
          <t>How at risk am I with a brother working at the hospital?</t>
        </is>
      </c>
      <c r="C8321" t="inlineStr">
        <is>
          <t>My brother is my caregiver but needed work when he moved out here. We're in what is considered a low risk state I guess but I'm terrified of him working there. We talked about it today and he said he wouldn't go in if I asked but my dad is also out of work now...he says he feels safe with the precautions they take but...
I'm young at 33 and ended my chemo/radiation (mild constant chemo pump) in early Feb. I have stage 3 rectal cancer and am awaiting surgery. Also my father lives with us too and is badly out of shape. What should I do?</t>
        </is>
      </c>
      <c r="D8321" t="n">
        <v>1</v>
      </c>
      <c r="E8321" t="n">
        <v>1</v>
      </c>
      <c r="F8321">
        <f>HYPERLINK("https://www.reddit.com/r/cancer/comments/fjghil/how_at_risk_am_i_with_a_brother_working_at_the/")</f>
        <v/>
      </c>
      <c r="G8321" t="inlineStr">
        <is>
          <t>2020-03-15 23:32:13</t>
        </is>
      </c>
      <c r="H8321" t="inlineStr"/>
    </row>
    <row r="8322">
      <c r="A8322" t="inlineStr">
        <is>
          <t>fjjaoa</t>
        </is>
      </c>
      <c r="B8322" t="inlineStr">
        <is>
          <t>I ate my first peanut butter and jelly sandwich in 3 and 1/2 years!</t>
        </is>
      </c>
      <c r="C8322" t="inlineStr">
        <is>
          <t>I have had terrible stomach problems and I’ve just eaten a sandwich! I have NHL and MS and chemo made my gut stop. I’m currently being tested for colorectal cancer but somethings have been postponed due to the Covid19 issue. But I’m not upset and I wanted to celebrate something I’ve not been able to do for a while. PB&amp;amp;J! Small victories are so important. I wish you all well, stay safe and have a good week.</t>
        </is>
      </c>
      <c r="D8322" t="n">
        <v>1</v>
      </c>
      <c r="E8322" t="n">
        <v>16</v>
      </c>
      <c r="F8322">
        <f>HYPERLINK("https://www.reddit.com/r/cancer/comments/fjjaoa/i_ate_my_first_peanut_butter_and_jelly_sandwich/")</f>
        <v/>
      </c>
      <c r="G8322" t="inlineStr">
        <is>
          <t>2020-03-16 04:12:26</t>
        </is>
      </c>
      <c r="H8322" t="inlineStr"/>
    </row>
    <row r="8323">
      <c r="A8323" t="inlineStr">
        <is>
          <t>fjknjk</t>
        </is>
      </c>
      <c r="B8323" t="inlineStr">
        <is>
          <t>Conflicted</t>
        </is>
      </c>
      <c r="C8323" t="inlineStr">
        <is>
          <t>Short story first. I was diagnosed in October of last year and had to have a surgical biopsy on my neck just to confirm that I had Burkitt's. And it came back positive. Then after three rounds of high dose chemo that had no effect, was told my EBV had gone up by about three fold and that I'd have to start radiation. 
Now it's March, the radiation burns are healed and I've been told I have a negitive EBV. The head oncologist for my team said that if I haven't had any recurrence in 6 months then I'll technically be in remission. My family is ecstatic and with good reason. But for some unexplainable reason I don't feel that way. I'm happy about the news but I still feel that I guess I could call it empty dread.
I guess to sum it up I don't know how to process everything and would like some advice from anyone with some kind.</t>
        </is>
      </c>
      <c r="D8323" t="n">
        <v>1</v>
      </c>
      <c r="E8323" t="n">
        <v>3</v>
      </c>
      <c r="F8323">
        <f>HYPERLINK("https://www.reddit.com/r/cancer/comments/fjknjk/conflicted/")</f>
        <v/>
      </c>
      <c r="G8323" t="inlineStr">
        <is>
          <t>2020-03-16 06:06:32</t>
        </is>
      </c>
      <c r="H8323" t="inlineStr"/>
    </row>
    <row r="8324">
      <c r="A8324" t="inlineStr">
        <is>
          <t>fjmjua</t>
        </is>
      </c>
      <c r="B8324" t="inlineStr">
        <is>
          <t>Should I be worried for my daughter for covid 19?</t>
        </is>
      </c>
      <c r="C8324" t="inlineStr">
        <is>
          <t>Hi all. I hope this is the correct sub to ask this. My daughter has been in intensive chemo for the past 6 months. She is immunocompromised and is 9 years old. Should I be worried about this virus. Like freaking out worried? My job won’t close and I just returned from FMLA so pto is exhausted already. Wife is home for 2 weeks while school is closed. I work in sales and come across people throughout each day but can limit myself to an office when possible. I just don’t know if that’s enough? Any suggestions please. Thanks!</t>
        </is>
      </c>
      <c r="D8324" t="n">
        <v>1</v>
      </c>
      <c r="E8324" t="n">
        <v>5</v>
      </c>
      <c r="F8324">
        <f>HYPERLINK("https://www.reddit.com/r/cancer/comments/fjmjua/should_i_be_worried_for_my_daughter_for_covid_19/")</f>
        <v/>
      </c>
      <c r="G8324" t="inlineStr">
        <is>
          <t>2020-03-16 08:17:03</t>
        </is>
      </c>
      <c r="H8324" t="inlineStr"/>
    </row>
    <row r="8325">
      <c r="A8325" t="inlineStr">
        <is>
          <t>fjn3tf</t>
        </is>
      </c>
      <c r="B8325" t="inlineStr">
        <is>
          <t>First time poster. My job is trying to fire me because I have leukemia...</t>
        </is>
      </c>
      <c r="C8325" t="inlineStr">
        <is>
          <t>I have ALL, my job called me today saying I'm being laid off because they are concerned about me contracting coronavirus. Do I have any legal standing to propose a law suit?</t>
        </is>
      </c>
      <c r="D8325" t="n">
        <v>1</v>
      </c>
      <c r="E8325" t="n">
        <v>7</v>
      </c>
      <c r="F8325">
        <f>HYPERLINK("https://www.reddit.com/r/cancer/comments/fjn3tf/first_time_poster_my_job_is_trying_to_fire_me/")</f>
        <v/>
      </c>
      <c r="G8325" t="inlineStr">
        <is>
          <t>2020-03-16 08:52:21</t>
        </is>
      </c>
      <c r="H8325" t="inlineStr"/>
    </row>
    <row r="8326">
      <c r="A8326" t="inlineStr">
        <is>
          <t>fjn5w3</t>
        </is>
      </c>
      <c r="B8326" t="inlineStr">
        <is>
          <t>Second opinion on Myeloma</t>
        </is>
      </c>
      <c r="C8326" t="inlineStr">
        <is>
          <t>Hi everyone, 
My mother was diagnosed with Multiple myeloma this week. She still has to get a bone marrow test and  a PET scan in the next 2 days for us to know the actual extent of it. I'm wondering if anyone might be able to point me towards an oncologist that specializes in Myeloma for a second, expert opinion. TIA!</t>
        </is>
      </c>
      <c r="D8326" t="n">
        <v>1</v>
      </c>
      <c r="E8326" t="n">
        <v>7</v>
      </c>
      <c r="F8326">
        <f>HYPERLINK("https://www.reddit.com/r/cancer/comments/fjn5w3/second_opinion_on_myeloma/")</f>
        <v/>
      </c>
      <c r="G8326" t="inlineStr">
        <is>
          <t>2020-03-16 08:55:54</t>
        </is>
      </c>
      <c r="H8326" t="inlineStr"/>
    </row>
    <row r="8327">
      <c r="A8327" t="inlineStr">
        <is>
          <t>fjngnh</t>
        </is>
      </c>
      <c r="B8327" t="inlineStr">
        <is>
          <t>Thyroid problems?</t>
        </is>
      </c>
      <c r="C8327" t="inlineStr">
        <is>
          <t>I’m a survivor or Ewing’s Sarcoma and 5 years in remission. Obviously we all know that there are long lasting complications after receiving chemo. Has anyone had any thyroid related issues? I was just diagnosed with Hashimotos. I work out regularly, good diet, and like most- after this crazy battle I do everything I can to stay healthy, so this was obviously a shock.</t>
        </is>
      </c>
      <c r="D8327" t="n">
        <v>1</v>
      </c>
      <c r="E8327" t="n">
        <v>5</v>
      </c>
      <c r="F8327">
        <f>HYPERLINK("https://www.reddit.com/r/cancer/comments/fjngnh/thyroid_problems/")</f>
        <v/>
      </c>
      <c r="G8327" t="inlineStr">
        <is>
          <t>2020-03-16 09:13:34</t>
        </is>
      </c>
      <c r="H8327" t="inlineStr"/>
    </row>
    <row r="8328">
      <c r="A8328" t="inlineStr">
        <is>
          <t>fjntp8</t>
        </is>
      </c>
      <c r="B8328" t="inlineStr">
        <is>
          <t>Can radiation affect your appetite?</t>
        </is>
      </c>
      <c r="C8328" t="inlineStr">
        <is>
          <t>I'm in my second week of radiation and I have almost no appetite. I'm wondering if the radiation itself could be playing a role or (more likely) if this is just because of the overall stress of getting cancer and being treated. I'm guessing it's the latter but thought I'd throw the question out there. I've also upped my Zoloft dose (I've been on a low dose for about six years to help with health-related anxiety/depression), so hopefully that helps me as well.
Note: I was dx'd in December with breast cancer, surgery in January, no chemo.</t>
        </is>
      </c>
      <c r="D8328" t="n">
        <v>1</v>
      </c>
      <c r="E8328" t="n">
        <v>5</v>
      </c>
      <c r="F8328">
        <f>HYPERLINK("https://www.reddit.com/r/cancer/comments/fjntp8/can_radiation_affect_your_appetite/")</f>
        <v/>
      </c>
      <c r="G8328" t="inlineStr">
        <is>
          <t>2020-03-16 09:35:33</t>
        </is>
      </c>
      <c r="H8328" t="inlineStr"/>
    </row>
    <row r="8329">
      <c r="A8329" t="inlineStr">
        <is>
          <t>fjotd4</t>
        </is>
      </c>
      <c r="B8329" t="inlineStr">
        <is>
          <t>My mom delayed her radiation due to Covid-19</t>
        </is>
      </c>
      <c r="C8329" t="inlineStr">
        <is>
          <t>And I could not be more relieved
She’s already had the tumor removed, she’s on hormone therapy, she’s feeling great and the cancer she has is not very aggressive. She’ll start in a month instead of next week. Thank fuck</t>
        </is>
      </c>
      <c r="D8329" t="n">
        <v>1</v>
      </c>
      <c r="E8329" t="n">
        <v>4</v>
      </c>
      <c r="F8329">
        <f>HYPERLINK("https://www.reddit.com/r/cancer/comments/fjotd4/my_mom_delayed_her_radiation_due_to_covid19/")</f>
        <v/>
      </c>
      <c r="G8329" t="inlineStr">
        <is>
          <t>2020-03-16 10:34:35</t>
        </is>
      </c>
      <c r="H8329" t="inlineStr"/>
    </row>
    <row r="8330">
      <c r="A8330" t="inlineStr">
        <is>
          <t>fjpo35</t>
        </is>
      </c>
      <c r="B8330" t="inlineStr">
        <is>
          <t>Father(65) recently diagnosed with cancer.</t>
        </is>
      </c>
      <c r="C8330" t="inlineStr">
        <is>
          <t>My father(65) was diagnosed with stage 4 liver cancer which has also spread to his spine. I was informed of the news this morning. I was told he will be receiving treatment as early as next week. A chemo pill for his spine and radiation for his liver. 
After reading what I could to better inform myself, I wanted to reach out to the community and ask a few questions hoping you’d share your experiences. 
What is a realistic life expectancy for his situation with treatment? We got a vague answer regarding this(2 months-2 years). How effective can the treatment be for cancer of this type? 
What quality of life will he have while in treatment?</t>
        </is>
      </c>
      <c r="D8330" t="n">
        <v>1</v>
      </c>
      <c r="E8330" t="n">
        <v>2</v>
      </c>
      <c r="F8330">
        <f>HYPERLINK("https://www.reddit.com/r/cancer/comments/fjpo35/father65_recently_diagnosed_with_cancer/")</f>
        <v/>
      </c>
      <c r="G8330" t="inlineStr">
        <is>
          <t>2020-03-16 11:24:05</t>
        </is>
      </c>
      <c r="H8330" t="inlineStr"/>
    </row>
    <row r="8331">
      <c r="A8331" t="inlineStr">
        <is>
          <t>fjrczc</t>
        </is>
      </c>
      <c r="B8331" t="inlineStr">
        <is>
          <t>Could immunotherapy make you (immune) from Coronavirus?</t>
        </is>
      </c>
      <c r="C8331" t="inlineStr">
        <is>
          <t>Sorry this sounds dumb. But I’ve not had flu or even a cold since I started immunotherapy 2 years ago..</t>
        </is>
      </c>
      <c r="D8331" t="n">
        <v>1</v>
      </c>
      <c r="E8331" t="n">
        <v>7</v>
      </c>
      <c r="F8331">
        <f>HYPERLINK("https://www.reddit.com/r/cancer/comments/fjrczc/could_immunotherapy_make_you_immune_from/")</f>
        <v/>
      </c>
      <c r="G8331" t="inlineStr">
        <is>
          <t>2020-03-16 13:02:23</t>
        </is>
      </c>
      <c r="H8331" t="inlineStr"/>
    </row>
    <row r="8332">
      <c r="A8332" t="inlineStr">
        <is>
          <t>fjt29h</t>
        </is>
      </c>
      <c r="B8332" t="inlineStr">
        <is>
          <t>Recurrence confirmation pushed until June. Thanks, corona...</t>
        </is>
      </c>
      <c r="C8332" t="inlineStr">
        <is>
          <t>TLDR: Had a few spots light up on my scan AGAIN. Same as the last time, which they assumed could be random inflammation. Can’t get more conclusive tests or a biopsy for months. I feel so lost and scared.
I’m having a shit day. My last scan was in May, where they found several small, active spots that lit up on my PET CT. I was assured it was probably nothing. My next scan was denied by my insurance so today was the day to know for sure. Or so I thought. If today’s scan had been clean, it would have been the last for possibly a year, switching instead to office visits every three months.
Usually I get my results in an hour/an hour and a half or so. I was there from 9am to 2:30pm, so I guess in the back of my head I knew something was off. 
Same spots lit up, again. Normally, I would have been sent for a biopsy, but because my bloodwork is fine and I’m not experiencing any symptoms, they want me to come back after the pandemic has subsided, in June. The reasoning being that they don’t want me in and out of the hospital for visits while COVID wreaks havoc. 
I’m not one to ever really get scanxiety, and I didn’t have it going into today. Maybe that’s why I feel so helpless and blindsided. Now, I’m social distancing, with my roommate in a foreign country, my parents in other states, and my boyfriend just getting off an international flight... I’m a mess. All I want is a hug. 
[Background: Hodgkin’s diagnosed April 2017. ABVD failed. Auto stem cell transplant June 2018. Quit maintenance chemo due to neurological issues. Stable ever since, but never had a clean scan.)</t>
        </is>
      </c>
      <c r="D8332" t="n">
        <v>1</v>
      </c>
      <c r="E8332" t="n">
        <v>2</v>
      </c>
      <c r="F8332">
        <f>HYPERLINK("https://www.reddit.com/r/cancer/comments/fjt29h/recurrence_confirmation_pushed_until_june_thanks/")</f>
        <v/>
      </c>
      <c r="G8332" t="inlineStr">
        <is>
          <t>2020-03-16 14:44:33</t>
        </is>
      </c>
      <c r="H8332" t="inlineStr"/>
    </row>
    <row r="8333">
      <c r="A8333" t="inlineStr">
        <is>
          <t>fjt7q7</t>
        </is>
      </c>
      <c r="B8333" t="inlineStr">
        <is>
          <t>rectal cancer now moved to liver</t>
        </is>
      </c>
      <c r="C8333" t="inlineStr">
        <is>
          <t>about 2 years ago i had rectal cancer and my whole colon and anus and all tha stuff was removed, now its in my liver.  anyone else in a similar situation?</t>
        </is>
      </c>
      <c r="D8333" t="n">
        <v>1</v>
      </c>
      <c r="E8333" t="n">
        <v>23</v>
      </c>
      <c r="F8333">
        <f>HYPERLINK("https://www.reddit.com/r/cancer/comments/fjt7q7/rectal_cancer_now_moved_to_liver/")</f>
        <v/>
      </c>
      <c r="G8333" t="inlineStr">
        <is>
          <t>2020-03-16 14:53:39</t>
        </is>
      </c>
      <c r="H8333" t="inlineStr"/>
    </row>
    <row r="8334">
      <c r="A8334" t="inlineStr">
        <is>
          <t>fjtgqu</t>
        </is>
      </c>
      <c r="B8334" t="inlineStr">
        <is>
          <t>Scan results.</t>
        </is>
      </c>
      <c r="C8334" t="inlineStr">
        <is>
          <t>So, for whatever reason, DH’s radiology report from his scans on Thursday were posted already. Of course he noticed due to the push notification he got “you have a new test result!” 
He has stage iv sarcoma, with just one spot of mets in his lung. His primary tumor reads like it’s stable (that report is more difficult to interpret). His chest CT indicates progressive mets. Thankfully no new visible lesions, but it’s grown substantially. After chemo it was greatly reduced in size and almost microscopic - we’re talking like .01 x .02 cm. It’s now just under 1cm.
Results appt with oncologist isn’t until late tomorrow.
Still small enough not to induce immediate panic, but it’s doubled like how many times, so that’s worrisome. 
Of course this is happening during a pandemic. So who knows what treatment options might even be offered. He refused surgery on the primary site in the fall, so unsure how they’ll gauge the practicality/urgency of surgery. 
And I’m uncertain about more chemotherapy for him due to extensive neuropathy from initial chemo, plus his kidneys took a hit (numbers good now), and he’s also had some major swelling in the feet/legs which suggests some worry about his other organ functions. 
Not sure he’d elect any additional treatment anyway. 
What shitty timing for this. Of course his well being is my primary concern, but also my teenagers are going to be devastated - meanwhile they’re home and isolated without distractions as schools are (rightfully) closed. Their activities are shut down. Silver lining is I’m a teacher and able to be home for the immediate future. 
I don’t know what to expect. I’m not ready for this.
Edit: small grammatical errors</t>
        </is>
      </c>
      <c r="D8334" t="n">
        <v>1</v>
      </c>
      <c r="E8334" t="n">
        <v>3</v>
      </c>
      <c r="F8334">
        <f>HYPERLINK("https://www.reddit.com/r/cancer/comments/fjtgqu/scan_results/")</f>
        <v/>
      </c>
      <c r="G8334" t="inlineStr">
        <is>
          <t>2020-03-16 15:08:26</t>
        </is>
      </c>
      <c r="H8334" t="inlineStr"/>
    </row>
    <row r="8335">
      <c r="A8335" t="inlineStr">
        <is>
          <t>fjv9n7</t>
        </is>
      </c>
      <c r="B8335" t="inlineStr">
        <is>
          <t>what brand of ostomy supplies do you use?</t>
        </is>
      </c>
      <c r="C8335" t="inlineStr">
        <is>
          <t>and why?
I have a friend who works at Hollister so I get samples and surversys and stuff. ive tried a few other brands but Hollister just seeems to work the best for me.
sorry if my typing is all messed up, they raised my gabapentin dose and i feel like weird</t>
        </is>
      </c>
      <c r="D8335" t="n">
        <v>1</v>
      </c>
      <c r="E8335" t="n">
        <v>11</v>
      </c>
      <c r="F8335">
        <f>HYPERLINK("https://www.reddit.com/r/cancer/comments/fjv9n7/what_brand_of_ostomy_supplies_do_you_use/")</f>
        <v/>
      </c>
      <c r="G8335" t="inlineStr">
        <is>
          <t>2020-03-16 17:00:07</t>
        </is>
      </c>
      <c r="H8335" t="inlineStr"/>
    </row>
    <row r="8336">
      <c r="A8336" t="inlineStr">
        <is>
          <t>fjw42b</t>
        </is>
      </c>
      <c r="B8336" t="inlineStr">
        <is>
          <t>My dad has cancer</t>
        </is>
      </c>
      <c r="C8336" t="inlineStr">
        <is>
          <t>My dad who lives in another country (he was forced to, my mum and him didnt choose that.) he left when i was really little. Less then a year ago he told me  he had cancer for 6 years. I hide my emotions. I never really cry, i kinda wanna die but i know i would regret it, i would make him and the rest of my family sad. I dont know what to do, i want to visit him but its to scary, and my  mum doesnt want me to. Last time i was about to visit he booked a terrible hotel, with homeless sleeping in the halls, dirty sheets, etc. I feel so trapped. Im scared, the coronavirus is scarying me more. Hes about 65 and he has a compromised immune system so he could die if he got it. I don't know what to do, he doesnt have that much money also, so its even scarier. I dont know what i would do if he died. Please help</t>
        </is>
      </c>
      <c r="D8336" t="n">
        <v>1</v>
      </c>
      <c r="E8336" t="n">
        <v>1</v>
      </c>
      <c r="F8336">
        <f>HYPERLINK("https://www.reddit.com/r/cancer/comments/fjw42b/my_dad_has_cancer/")</f>
        <v/>
      </c>
      <c r="G8336" t="inlineStr">
        <is>
          <t>2020-03-16 17:56:08</t>
        </is>
      </c>
      <c r="H8336" t="inlineStr"/>
    </row>
    <row r="8337">
      <c r="A8337" t="inlineStr">
        <is>
          <t>fjw5yl</t>
        </is>
      </c>
      <c r="B8337" t="inlineStr">
        <is>
          <t>I shaved my head.... I don't regret it.</t>
        </is>
      </c>
      <c r="C8337" t="inlineStr">
        <is>
          <t>I started chemo on February 14th this year. My hair started to fall out roughly 10 days after. I literally woke up to a bald patch most days, I could just combover and move on. I could pull my hair out with ease (was fun watching people's reactions).
I finally had enough and had my head buzzcut thinking that would be enough,worked for a while. However it didn't last, my scalp hurt anytime a pillow or cushion was under it.
I thought Really?..... A soft... Pillow made my head feel like my hair stubble buzzcut was the same sensation as needles being driven into my skull? I had enough I shaved down to the skin today and it feels soooooo much better.
I can rest my head on my couch again! I can lay on my left side again (for some reason the right side hurt less when scalp was above a pillow ... Idk why).
I might keep this look actually.
However, as a 32 year old male I still say fuck you breast cancer. I'm happy you are cut out of my chest. I am killing your possible "offsprings" with chemo and radiation. With no remorse might I add,in the words of Jack Nicholson's joker: "I'm glad you're dead HAHAHAAAAAAA HAHAHAAAAAAA I'M GLAD YOU'RE DEAD HAHAHAHAAAAAAAAAAAAHAAAAAAAAA HAHAHAAAAAAA HAHAHAAAAAAA I'M GLAD YOU'RE DEAD HAHAHAHAAAAAAAAAAAAHAAAAAAAAA HAHAHAAAAAAA HAHAHAAAAAAA HAHAHAAAAAAA HAHAHAAAAAAA"
My phones ring tone is the breaking bad themesong now lol.</t>
        </is>
      </c>
      <c r="D8337" t="n">
        <v>1</v>
      </c>
      <c r="E8337" t="n">
        <v>17</v>
      </c>
      <c r="F8337">
        <f>HYPERLINK("https://www.reddit.com/r/cancer/comments/fjw5yl/i_shaved_my_head_i_dont_regret_it/")</f>
        <v/>
      </c>
      <c r="G8337" t="inlineStr">
        <is>
          <t>2020-03-16 17:59:39</t>
        </is>
      </c>
      <c r="H8337" t="inlineStr"/>
    </row>
    <row r="8338">
      <c r="A8338" t="inlineStr">
        <is>
          <t>fjx8z9</t>
        </is>
      </c>
      <c r="B8338" t="inlineStr">
        <is>
          <t>If I die of unrelated events, will my mom learn I have cancer?</t>
        </is>
      </c>
      <c r="C8338" t="inlineStr">
        <is>
          <t>I have not and will not be telling my mom I have stage 1B breast cancer. There's a rough spot in my family when it comes to cancer, and they have enough to deal with. I've got a great support system of friends in my city, so I feel good keeping it this way. 
I've been starting to get worried though. If I die of, well, COVID 19, would she learn anything about my cancer? Would they do an autopsy or anything and tell her? Or could the whole thing run without her ever knowing? 
Odd dilemma, I know, but I'm really unfamiliar with the process of disclosing this stuff post death.</t>
        </is>
      </c>
      <c r="D8338" t="n">
        <v>1</v>
      </c>
      <c r="E8338" t="n">
        <v>22</v>
      </c>
      <c r="F8338">
        <f>HYPERLINK("https://www.reddit.com/r/cancer/comments/fjx8z9/if_i_die_of_unrelated_events_will_my_mom_learn_i/")</f>
        <v/>
      </c>
      <c r="G8338" t="inlineStr">
        <is>
          <t>2020-03-16 19:14:55</t>
        </is>
      </c>
      <c r="H8338" t="inlineStr"/>
    </row>
    <row r="8339">
      <c r="A8339" t="inlineStr">
        <is>
          <t>fjxh8q</t>
        </is>
      </c>
      <c r="B8339" t="inlineStr">
        <is>
          <t>(Medical specialities), Greetings!, i am really considering radiation oncology but unfortunately I couldn’t found any new information regarding the speciality so i came here with some Q</t>
        </is>
      </c>
      <c r="C8339" t="inlineStr">
        <is>
          <t>how is the life as a radiation oncologist?
What is the bread and butter of the speciality 
Is it considered to be an invasive speciality?
Typical week 
Do u go to the OR ?, and if yes how many types a week?
Income?, and is highest part of it is based on the number of radiation therapy u provide?
Oncalls ?
What are the Subspecialties of RadOnc?
Are the any non oncological procedures ?
Do you have enough free time (both during the residency program and afterwards)?
How often are you on-call?
How about weekends? Any control over them?
Do you ever feel depressed as a consequence of your practice?
Is it a fulfilling specialty internally?
Do you feel like you have a higher purpose?
Is it fulfulling externally? Do you feel like people respect who you are and what you do?
How do you evaluate the future of the specialty?
Which would be best if I were to invest most of my time in academic research and teaching?
How do you evaluate your overall quality of life?
Thank you very much!</t>
        </is>
      </c>
      <c r="D8339" t="n">
        <v>1</v>
      </c>
      <c r="E8339" t="n">
        <v>1</v>
      </c>
      <c r="F8339">
        <f>HYPERLINK("https://www.reddit.com/r/cancer/comments/fjxh8q/medical_specialities_greetings_i_am_really/")</f>
        <v/>
      </c>
      <c r="G8339" t="inlineStr">
        <is>
          <t>2020-03-16 19:31:00</t>
        </is>
      </c>
      <c r="H8339" t="inlineStr"/>
    </row>
    <row r="8340">
      <c r="A8340" t="inlineStr">
        <is>
          <t>fjyges</t>
        </is>
      </c>
      <c r="B8340" t="inlineStr">
        <is>
          <t>Gift ideas for male cancer patient?</t>
        </is>
      </c>
      <c r="C8340" t="inlineStr">
        <is>
          <t>My brother in law (44) has been diagnosed with leukemia, and will be in hospital for at least a month. I’m trying to gather some ideas about what to bring him. I have a few books he’d like, but I was hoping for some ideas from those of you who are battling it too. Is there anything that helped you during chemo? Anything that you’d suggest for a newly diagnosed patient?</t>
        </is>
      </c>
      <c r="D8340" t="n">
        <v>1</v>
      </c>
      <c r="E8340" t="n">
        <v>4</v>
      </c>
      <c r="F8340">
        <f>HYPERLINK("https://www.reddit.com/r/cancer/comments/fjyges/gift_ideas_for_male_cancer_patient/")</f>
        <v/>
      </c>
      <c r="G8340" t="inlineStr">
        <is>
          <t>2020-03-16 20:40:36</t>
        </is>
      </c>
      <c r="H8340" t="inlineStr"/>
    </row>
    <row r="8341">
      <c r="A8341" t="inlineStr">
        <is>
          <t>fjz9f7</t>
        </is>
      </c>
      <c r="B8341" t="inlineStr">
        <is>
          <t>Covid and cancer?</t>
        </is>
      </c>
      <c r="C8341" t="inlineStr">
        <is>
          <t>I'm genuinely worried over this. I just started radiation treatment over a low grade myxoid liposarcoma in my lower back. If I get Covid-19, what will happen to me? First, will my treatments stop?  That could delay my treatment for months... If I potentially have the virus now, but am unaware of it, could the radiation cause some funky mutation of the virus? Are there any estimates for how much more at risk are cancer patients of death if they get covid-19?  
Sorry if no one has an answer. My mind is racing and I needed to dump this somewher?</t>
        </is>
      </c>
      <c r="D8341" t="n">
        <v>1</v>
      </c>
      <c r="E8341" t="n">
        <v>6</v>
      </c>
      <c r="F8341">
        <f>HYPERLINK("https://www.reddit.com/r/cancer/comments/fjz9f7/covid_and_cancer/")</f>
        <v/>
      </c>
      <c r="G8341" t="inlineStr">
        <is>
          <t>2020-03-16 21:42:05</t>
        </is>
      </c>
      <c r="H8341" t="inlineStr"/>
    </row>
    <row r="8342">
      <c r="A8342" t="inlineStr">
        <is>
          <t>fk12jq</t>
        </is>
      </c>
      <c r="B8342" t="inlineStr">
        <is>
          <t>I miss you</t>
        </is>
      </c>
      <c r="C8342" t="inlineStr">
        <is>
          <t>There is not a day that does by that I don’t think of you. You told me your doctor found a tumor on your hip back in July but you also assured me that you were going to maintain a positive outlook. That is just who you were, a beautiful ray of sunshine in my life. I watched you slow down more and more. I watched you go through tremendous amounts of pain. I watched you accept your fate. Nothing me or anyone else did could ever help with what you were experiencing within your own being.
My heart crumbled to pieces every time I saw you because you were bedridden and depressed. I tried to reassure you that you would be okay and that I loved you with every fiber of my being and it was I who was the lucky one to get to call you my grandpa. Now you are gone and there is so much more I wish I had done or wish I had said.
I will never forget how amazing of a person you were. I will never forget how you just radiated beauty even while you went through such a painful and evil disease. I miss you grandpa. I wish you were still here so I could hold your hand and just express my love to you. I’ve never been very good with talking about my feelings but I would tell you everything I felt. I would tell you that you never failed to make me smile and laugh. I see your cute little face in my mind when I close my eyes at night. I dream of the way you would dance around the house or go to the store just for some sweets. You were as pure as it gets. Life is not the same without you here. Life will never be the same again. I am happy you are no longer suffering but I would do anything to give you one last hug. I love you grandpa. Please visit me in my dreams.</t>
        </is>
      </c>
      <c r="D8342" t="n">
        <v>1</v>
      </c>
      <c r="E8342" t="n">
        <v>5</v>
      </c>
      <c r="F8342">
        <f>HYPERLINK("https://www.reddit.com/r/cancer/comments/fk12jq/i_miss_you/")</f>
        <v/>
      </c>
      <c r="G8342" t="inlineStr">
        <is>
          <t>2020-03-17 00:24:35</t>
        </is>
      </c>
      <c r="H8342" t="inlineStr"/>
    </row>
    <row r="8343">
      <c r="A8343" t="inlineStr">
        <is>
          <t>fk1n74</t>
        </is>
      </c>
      <c r="B8343" t="inlineStr">
        <is>
          <t>How long does it take for Stage 2 Cancer (Invasive Carcinoma) to get to Stage 3?</t>
        </is>
      </c>
      <c r="C8343" t="inlineStr">
        <is>
          <t>forgive my broken english but my mothers operation to remove the tumor in her right breast on the public hospital got suspended because of the coronavirus they said we have to wait for more than a few months (because the doctors have to be quarantied) so we decided to go to the private hospital and beg the private doctors because we're afraid that her stage 2 cancer might spread and progress  if we won't remove the tumor as soon as possible but they also won't let us , they said that they will only do operation on stage 4 breast cancer  patients , its really horrible because that means they will only help us if my mother is in a critical/dying stage (we don't even have any coronavirus cases here yet it's only a quarantine) please help the private hospitals wont accept us so we'll just have to go back to the public hospital and wait for more a few months before they will give us some attention, please im curious how long does it take for stage 2 cancer to become stage 3, and 4. i am really worried for my mom i dont want her to die</t>
        </is>
      </c>
      <c r="D8343" t="n">
        <v>1</v>
      </c>
      <c r="E8343" t="n">
        <v>0</v>
      </c>
      <c r="F8343">
        <f>HYPERLINK("https://www.reddit.com/r/cancer/comments/fk1n74/how_long_does_it_take_for_stage_2_cancer_invasive/")</f>
        <v/>
      </c>
      <c r="G8343" t="inlineStr">
        <is>
          <t>2020-03-17 01:21:27</t>
        </is>
      </c>
      <c r="H8343" t="inlineStr"/>
    </row>
    <row r="8344">
      <c r="A8344" t="inlineStr">
        <is>
          <t>fk2cu7</t>
        </is>
      </c>
      <c r="B8344" t="inlineStr">
        <is>
          <t>Mums lung cancer and COVID</t>
        </is>
      </c>
      <c r="C8344" t="inlineStr">
        <is>
          <t>Hi everyone, 
I recently wrote on here about my mum, she’s stage 4 lung cancer and I’m extremely worried about the COVID reaching her. I am now working from my home for the foreseeable future so I can still be in contact with her and keep her company when she needs it as she only lives up the road from me. She doesn’t work, so only needs to go for her treatment, but this is where I am worried! The hospital she has her treatment is now treating COVID patients and I’m terrified of her next app on the 15th of April. Maybe it will have got better by then but I am doubting it. Should she delay her treatment (immunotherapy)?
Also, another worry I have. My husband whom I share my home with is in the military. I am sure that they will NOT be quarantining as probably will be the last ones standing along with the police when it all gets really bad. (Sorry for my doom and gloom!) but, when he comes home at the weekend from working away and sharing close spaces with others, should I keep my distance from him? I’m thinking I should get a blow-up mattress in the spare room for myself? I really don’t want to not be able to see my mum. 
Sorry this was rambled</t>
        </is>
      </c>
      <c r="D8344" t="n">
        <v>1</v>
      </c>
      <c r="E8344" t="n">
        <v>3</v>
      </c>
      <c r="F8344">
        <f>HYPERLINK("https://www.reddit.com/r/cancer/comments/fk2cu7/mums_lung_cancer_and_covid/")</f>
        <v/>
      </c>
      <c r="G8344" t="inlineStr">
        <is>
          <t>2020-03-17 02:32:43</t>
        </is>
      </c>
      <c r="H8344" t="inlineStr"/>
    </row>
    <row r="8345">
      <c r="A8345" t="inlineStr">
        <is>
          <t>fk31ob</t>
        </is>
      </c>
      <c r="B8345" t="inlineStr">
        <is>
          <t>Being a student with cancer</t>
        </is>
      </c>
      <c r="C8345" t="inlineStr">
        <is>
          <t>This is not supposed to just be a rant, I'm genuinely looking to learn about other (former and current) students' experiences with continuing their studies while also having cancer and being in chemoteraphy or other treatments, like what was it like, how did you keep up etc.  
Some context:
I have breastcancer, and I'm currently getting neoadjuvant chemoteraphy. When I got the diagnosis in early december last year (2019), I knew right away, that I was going to continue my studies the next term. I go crazy staying at home for extended periods of time, with nothing to do. It would've made everything much more difficult to cope with. I really love studying, and the structure that comes with it does me a lot of good.
It's not easy, but I get by, and I'm generally doing well. But I'm tired all the time and frustrated that I often lack the energy and focus to study, take notes, do my homework etc. I had to postpone the exams I was supposed to take back in the december - from may/june (the upcoming exams period for this spring term) to august. I wouldn't have been able to catch up and do proper repetition, when I also got exams coming up in my current subjects (we have the option to take whats called "sick exams" in my country, which means basically just postponing it).
I'm trying not to blame myself for not being good enough to keep up, trying not to feel like I'm just being lazy and need to pull myself together etc.   
I know on an intellectual level that it's not my fault, and that I have a legit excuse for falling a bit behind, but it still feels like I'm letting myself down.
I also feel kind of alone/lonely with this. I don't know anyone else who is going through the same as I am. I have a cpl friends that I met at the school, who knows that I have cancer, but they couldn't possibly understand what it is like. I don't really discuss/talk about it with them (or anyone else) either.  
Not that I feel like I need or want to, I really, really hate it when people take pity on me or feel sorry for me. If I talk about it with people who don't have cancer, most people will feel sorry for me, and thats entirely unnecessary. So here I am, talking to you guys.
Anyway, studying is currently of the most important parts of my life. So fuck corona for having schools closed down. By the way, I don't disagree in these precautions. If anything, I'm grateful that my government is trying to contain it, especially since, you know, my weakened immune system really doesn't want me getting sick either. I just hope it is resolved soon, so everything can go back to normal.</t>
        </is>
      </c>
      <c r="D8345" t="n">
        <v>1</v>
      </c>
      <c r="E8345" t="n">
        <v>4</v>
      </c>
      <c r="F8345">
        <f>HYPERLINK("https://www.reddit.com/r/cancer/comments/fk31ob/being_a_student_with_cancer/")</f>
        <v/>
      </c>
      <c r="G8345" t="inlineStr">
        <is>
          <t>2020-03-17 03:34:25</t>
        </is>
      </c>
      <c r="H8345" t="inlineStr"/>
    </row>
    <row r="8346">
      <c r="A8346" t="inlineStr">
        <is>
          <t>fk6r2m</t>
        </is>
      </c>
      <c r="B8346" t="inlineStr">
        <is>
          <t>Is coroniavirus more prone to people that have had cancer</t>
        </is>
      </c>
      <c r="C8346" t="inlineStr">
        <is>
          <t>I've been in remission for 5 months and my work is still open it's customer facing industry and just wondering if I have more of a bigger chance of getting coroniavirus ?</t>
        </is>
      </c>
      <c r="D8346" t="n">
        <v>1</v>
      </c>
      <c r="E8346" t="n">
        <v>8</v>
      </c>
      <c r="F8346">
        <f>HYPERLINK("https://www.reddit.com/r/cancer/comments/fk6r2m/is_coroniavirus_more_prone_to_people_that_have/")</f>
        <v/>
      </c>
      <c r="G8346" t="inlineStr">
        <is>
          <t>2020-03-17 08:04:19</t>
        </is>
      </c>
      <c r="H8346" t="inlineStr"/>
    </row>
    <row r="8347">
      <c r="A8347" t="inlineStr">
        <is>
          <t>fk6s0y</t>
        </is>
      </c>
      <c r="B8347" t="inlineStr">
        <is>
          <t>I am now a cyborg.</t>
        </is>
      </c>
      <c r="C8347" t="inlineStr">
        <is>
          <t>Port was placed today. Chemo starts next week. Let's fucking get it.</t>
        </is>
      </c>
      <c r="D8347" t="n">
        <v>1</v>
      </c>
      <c r="E8347" t="n">
        <v>37</v>
      </c>
      <c r="F8347">
        <f>HYPERLINK("https://www.reddit.com/r/cancer/comments/fk6s0y/i_am_now_a_cyborg/")</f>
        <v/>
      </c>
      <c r="G8347" t="inlineStr">
        <is>
          <t>2020-03-17 08:05:58</t>
        </is>
      </c>
      <c r="H8347" t="inlineStr"/>
    </row>
    <row r="8348">
      <c r="A8348" t="inlineStr">
        <is>
          <t>fk6tud</t>
        </is>
      </c>
      <c r="B8348" t="inlineStr">
        <is>
          <t>Best Strains for Pain Relief</t>
        </is>
      </c>
      <c r="C8348" t="inlineStr">
        <is>
          <t>Hey, I use mariuana to help with pain relief of my tumor and to help me sleep at night. Generally I use indicas for this, can anyone recommend particular strains that do this well?</t>
        </is>
      </c>
      <c r="D8348" t="n">
        <v>1</v>
      </c>
      <c r="E8348" t="n">
        <v>4</v>
      </c>
      <c r="F8348">
        <f>HYPERLINK("https://www.reddit.com/r/cancer/comments/fk6tud/best_strains_for_pain_relief/")</f>
        <v/>
      </c>
      <c r="G8348" t="inlineStr">
        <is>
          <t>2020-03-17 08:08:56</t>
        </is>
      </c>
      <c r="H8348" t="inlineStr"/>
    </row>
    <row r="8349">
      <c r="A8349" t="inlineStr">
        <is>
          <t>fk8lif</t>
        </is>
      </c>
      <c r="B8349" t="inlineStr">
        <is>
          <t>I love you mom!</t>
        </is>
      </c>
      <c r="C8349" t="inlineStr">
        <is>
          <t>My beloved mother passed away in my hands last night from cancer and I don't think I can go on without her :( 
Please someone help me! I need my beautiful mother back!!</t>
        </is>
      </c>
      <c r="D8349" t="n">
        <v>1</v>
      </c>
      <c r="E8349" t="n">
        <v>12</v>
      </c>
      <c r="F8349">
        <f>HYPERLINK("https://www.reddit.com/r/cancer/comments/fk8lif/i_love_you_mom/")</f>
        <v/>
      </c>
      <c r="G8349" t="inlineStr">
        <is>
          <t>2020-03-17 09:52:37</t>
        </is>
      </c>
      <c r="H8349" t="inlineStr"/>
    </row>
    <row r="8350">
      <c r="A8350" t="inlineStr">
        <is>
          <t>fk8mlz</t>
        </is>
      </c>
      <c r="B8350" t="inlineStr">
        <is>
          <t>Self-Quarantining to help slow the spread of COVID19 when your parents have advanced stage cancer fucking sucks.</t>
        </is>
      </c>
      <c r="C8350" t="inlineStr">
        <is>
          <t>It just fucking sucks. It's fucking terrible. It was terrible before yesterday, and then we got horrible news. 
Both my parents have advanced stage GI cancers. Yesterday, we got news that after months of tumors shrinking and chemo showing signs of working, there is new activity in my father's lymphnodes and the chemo side effects are increasing to the point where they have to reduce his dosage. We also got the news that my mom's abdominal pain is likely a recurrence and referred pain from new tumor growth. 
They are both over 65. The only condition on the list of high risk factors my father doesn't have is a chronic respiratory illness. To protect them, I can't visit them and for the last few nights I've woken up in a cold sweat thinking that I'm never going to get to hug my parents again. 
How is everyone else handling maintaining connections with immunocompromised loved ones during this insanity?</t>
        </is>
      </c>
      <c r="D8350" t="n">
        <v>1</v>
      </c>
      <c r="E8350" t="n">
        <v>33</v>
      </c>
      <c r="F8350">
        <f>HYPERLINK("https://www.reddit.com/r/cancer/comments/fk8mlz/selfquarantining_to_help_slow_the_spread_of/")</f>
        <v/>
      </c>
      <c r="G8350" t="inlineStr">
        <is>
          <t>2020-03-17 09:54:26</t>
        </is>
      </c>
      <c r="H8350" t="inlineStr"/>
    </row>
    <row r="8351">
      <c r="A8351" t="inlineStr">
        <is>
          <t>fk974i</t>
        </is>
      </c>
      <c r="B8351" t="inlineStr">
        <is>
          <t>NCCN Coronavirus and Cancer Resources for Survivors - seeking questions from public</t>
        </is>
      </c>
      <c r="C8351" t="inlineStr">
        <is>
          <t>NCCN sent out an email this morning with resources on Coronavirus for cancer survivors. 
[Here is the link to the website](https://www.canceradvocacy.org/blog/coronavirus-cancer-resources-for-survivors/?mc_cid=d94d24cb7d&amp;amp;mc_eid=d03fdc54b8)
They are also asking that survivors send in any questions/concerns about COVID-19 so they can generate more applicable/comprehensive advice. 
From the email: “We urge survivors to reply to this email with questions and concerns about COVID-19 so we can continue to address them with answers from top health care experts.”
Hope this helps, and stay safe everyone!</t>
        </is>
      </c>
      <c r="D8351" t="n">
        <v>1</v>
      </c>
      <c r="E8351" t="n">
        <v>4</v>
      </c>
      <c r="F8351">
        <f>HYPERLINK("https://www.reddit.com/r/cancer/comments/fk974i/nccn_coronavirus_and_cancer_resources_for/")</f>
        <v/>
      </c>
      <c r="G8351" t="inlineStr">
        <is>
          <t>2020-03-17 10:26:52</t>
        </is>
      </c>
      <c r="H8351" t="inlineStr"/>
    </row>
    <row r="8352">
      <c r="A8352" t="inlineStr">
        <is>
          <t>fkb3pz</t>
        </is>
      </c>
      <c r="B8352" t="inlineStr">
        <is>
          <t>Fuck Coronavirus, Pt. 2</t>
        </is>
      </c>
      <c r="C8352" t="inlineStr">
        <is>
          <t>I posted last week that we had to cancel our trip to Hawaii due to this damn virus. So, we did. We were supposed to be leaving this Friday. 
And then, this past weekend, mom came down with a cough and a fever and now she’s in the hospital with pneumonia and we are awaiting her COVID-19 test results.
But here’s the most fucked up thing. Since getting the cancer diagnosis, I have been bracing myself for the inevitable: being there and holding her hand as she slowly lost her fight. Now, the timeline has not only accelerated, but she’s in quarantine and going through this completely alone. All we have is FaceTime, which is a blessing, but it’s nowhere near as good as a loving touch.
And now she’s talking like she’s ready to give up the fight. After the heart surgery last year, then the diagnosis, then the chemo, now this. If she does survive the pneumonia, chemo is off the table so she’s living to just postpone dying. And she’ll be isolated from everyone and everything in the meantime.
So yeah: fuck cancer. And fuck this fucking virus.</t>
        </is>
      </c>
      <c r="D8352" t="n">
        <v>2</v>
      </c>
      <c r="E8352" t="n">
        <v>9</v>
      </c>
      <c r="F8352">
        <f>HYPERLINK("https://www.reddit.com/r/cancer/comments/fkb3pz/fuck_coronavirus_pt_2/")</f>
        <v/>
      </c>
      <c r="G8352" t="inlineStr">
        <is>
          <t>2020-03-17 12:12:18</t>
        </is>
      </c>
      <c r="H8352" t="inlineStr"/>
    </row>
    <row r="8353">
      <c r="A8353" t="inlineStr">
        <is>
          <t>fkc68t</t>
        </is>
      </c>
      <c r="B8353" t="inlineStr">
        <is>
          <t>im so afraid</t>
        </is>
      </c>
      <c r="C8353" t="inlineStr">
        <is>
          <t>Today my mother had too much wine and came to my room and started talking very emotionally (which she only does when drunk as fuck)  and  she told me that her father before he died said to her to take care of me and look out because i have a high risk of cancer since his mother had it aswell and that it runs in the familly or something simillar, he also meantioned something about the \~\~3 marks i have on my body. now for some reason im super afraid and i have no idea what to do and what is happening either. What should i do?  im almost in tears right now even tho i know im healthy right now</t>
        </is>
      </c>
      <c r="D8353" t="n">
        <v>1</v>
      </c>
      <c r="E8353" t="n">
        <v>1</v>
      </c>
      <c r="F8353">
        <f>HYPERLINK("https://www.reddit.com/r/cancer/comments/fkc68t/im_so_afraid/")</f>
        <v/>
      </c>
      <c r="G8353" t="inlineStr">
        <is>
          <t>2020-03-17 13:12:41</t>
        </is>
      </c>
      <c r="H8353" t="inlineStr"/>
    </row>
    <row r="8354">
      <c r="A8354" t="inlineStr">
        <is>
          <t>fkch96</t>
        </is>
      </c>
      <c r="B8354" t="inlineStr">
        <is>
          <t>Stopping chemotherapy treatment</t>
        </is>
      </c>
      <c r="C8354" t="inlineStr">
        <is>
          <t>My mum has stage 3 ovarian cancer (since 2016) which has now spread to her liver . She has decided to stop treatment due to her wanting to improve her quality of life.
How can I make this easier for her? What has been your experiences of stopping cancer treatment?
Im so anxious about this but she is sure of her decision.</t>
        </is>
      </c>
      <c r="D8354" t="n">
        <v>1</v>
      </c>
      <c r="E8354" t="n">
        <v>6</v>
      </c>
      <c r="F8354">
        <f>HYPERLINK("https://www.reddit.com/r/cancer/comments/fkch96/stopping_chemotherapy_treatment/")</f>
        <v/>
      </c>
      <c r="G8354" t="inlineStr">
        <is>
          <t>2020-03-17 13:30:09</t>
        </is>
      </c>
      <c r="H8354" t="inlineStr"/>
    </row>
    <row r="8355">
      <c r="A8355" t="inlineStr">
        <is>
          <t>fkchnu</t>
        </is>
      </c>
      <c r="B8355" t="inlineStr">
        <is>
          <t>I have cancer. My boyfriend wants me to move out due to fears of corona virus.</t>
        </is>
      </c>
      <c r="C8355" t="inlineStr">
        <is>
          <t>My boyfriend and I live together. I have been undergoing chemotherapy for cancer. He works as a radiologic technician (gives patients X-rays etc) at a hospital and is worried about giving me corona virus due to his patient exposure and my weakened immune system. 
As a result he has asked ME to move out of our shared home for the foreseeable future (but claims he still wants to be with me?) so that I am “protected” from any potential exposure. The only person I could live with (I have to live with someone as I am too sick to drive myself to appointments) is my sister (my parents passed away in a car accident when I was younger - I’m 25 now). My sister is 2 hours away. That would force me to be hours away from my doctors and out of my own home, which I am really uncomfortable with given that I already feel so bad after my treatments that I want nothing more than to just be able to go home and be comfy in my own bed. 
I am very upset by his request. I think it’s messed up that he would look for ME to move when I’m the sick one here and have so many appointments that I would suddenly have to have someone drive me for hours to attend! If he’s truly concerned why can’t he get a hotel or stay with a friend? Am I way out of line here? Could this be his way of trying to set things up so that he can break up with me if he’s getting sick of taking care of me (I’ve had cancer on and off for my entire 20s and it’s been a very difficult and grueling time for me and him)? What would be a reasonable solution to this issue?</t>
        </is>
      </c>
      <c r="D8355" t="n">
        <v>1</v>
      </c>
      <c r="E8355" t="n">
        <v>6</v>
      </c>
      <c r="F8355">
        <f>HYPERLINK("https://www.reddit.com/r/cancer/comments/fkchnu/i_have_cancer_my_boyfriend_wants_me_to_move_out/")</f>
        <v/>
      </c>
      <c r="G8355" t="inlineStr">
        <is>
          <t>2020-03-17 13:30:48</t>
        </is>
      </c>
      <c r="H8355" t="inlineStr"/>
    </row>
    <row r="8356">
      <c r="A8356" t="inlineStr">
        <is>
          <t>fkd3za</t>
        </is>
      </c>
      <c r="B8356" t="inlineStr">
        <is>
          <t>My mom finished chemo early January. How long does it take for her immune system to be back to normal and not be at increased risk of coronavirus?</t>
        </is>
      </c>
      <c r="C8356" t="inlineStr">
        <is>
          <t>She lives in a low-risk area. I'm flying there from NYC, but I don't want to get her sick. I don't have any symptoms and have no reasons to think I'm sick, but just in case I am asymptomatic or pick up something on the flight, I want to avoid my mom if her immune system is still compromoised. She had stage III colon cancer but is now cancer free. I told her to call her doctor and get his opinion, but I don't know if she will.
Thank you</t>
        </is>
      </c>
      <c r="D8356" t="n">
        <v>1</v>
      </c>
      <c r="E8356" t="n">
        <v>8</v>
      </c>
      <c r="F8356">
        <f>HYPERLINK("https://www.reddit.com/r/cancer/comments/fkd3za/my_mom_finished_chemo_early_january_how_long_does/")</f>
        <v/>
      </c>
      <c r="G8356" t="inlineStr">
        <is>
          <t>2020-03-17 14:06:47</t>
        </is>
      </c>
      <c r="H8356" t="inlineStr"/>
    </row>
    <row r="8357">
      <c r="A8357" t="inlineStr">
        <is>
          <t>fkhz79</t>
        </is>
      </c>
      <c r="B8357" t="inlineStr">
        <is>
          <t>Feeling trapped, need to pay bills and I work at a cafe (operations haven’t changed a ton due to COVID 19) but sibling has cancer and is immunocompromised</t>
        </is>
      </c>
      <c r="C8357" t="inlineStr">
        <is>
          <t>I literally have a panic attack thinking about stepping into work. No amount of cleaning can get me through the fact that the air is contagious (especially in a small local shop). I work alone so if anyone contracts this disease due to my negligence I will not be able to live with that knowledge. I can’t even step foot into the public bathroom to clean it at work, and I cry thinking about going to the grocery store. I’m worried I’m gonna lose my chance at unemployment if I quit, I was hoping that because the bars and restaurants are closing their dining areas that we would close shop so that I wouldn’t have to be in this position but my boss said that we’re doing carry out and delivery too, which isn’t all that different from what we usually do. My family is super low income already (10 years of cancer treatment and a mortgage-sized bill to show for it) and I have been working this job for 2 years while going to college to put a roof over our heads. My sibling is starting radiation next week and is potentially gonna stay on track with chemo oral pills as well after starting late January, so their risk is going up even more and more. This just sucks. 
I don’t really know what responses I’m looking for, I’m just venting honestly. I’m honestly ok, I go to therapy and have a really close relationship with my family so our quarantine is actually pretty okay— we’ve been watching a lot of movies. I just wanna say fuck COVID-19, fuck being poor and having to choose my sibling’s life over a job that I need to pay rent, and most importantly, fuck cancer. Does anyone relate?</t>
        </is>
      </c>
      <c r="D8357" t="n">
        <v>1</v>
      </c>
      <c r="E8357" t="n">
        <v>2</v>
      </c>
      <c r="F8357">
        <f>HYPERLINK("https://www.reddit.com/r/cancer/comments/fkhz79/feeling_trapped_need_to_pay_bills_and_i_work_at_a/")</f>
        <v/>
      </c>
      <c r="G8357" t="inlineStr">
        <is>
          <t>2020-03-17 19:20:42</t>
        </is>
      </c>
      <c r="H8357" t="inlineStr"/>
    </row>
    <row r="8358">
      <c r="A8358" t="inlineStr">
        <is>
          <t>fkiyzj</t>
        </is>
      </c>
      <c r="B8358" t="inlineStr">
        <is>
          <t>Administration expands telemedicine for Medicare and encourages health plans to boost offerings</t>
        </is>
      </c>
      <c r="C8358" t="inlineStr">
        <is>
          <t>The U.S. government is moving to lift restrictions on telemedicine services and expand coverage to all Americans, even as many providers say they’re struggling to meet existing demand.  
The expansion covers roughly 62 million Medicare beneficiaries who are among the most vulnerable to the novel coronavirus.
With the announcement, telemedicine services are now being expanded beyond just the rural areas and brief visits that were previously covered.
If you don't absolutely need to visit hospital in person, try suggest remote visit with your care team</t>
        </is>
      </c>
      <c r="D8358" t="n">
        <v>1</v>
      </c>
      <c r="E8358" t="n">
        <v>1</v>
      </c>
      <c r="F8358">
        <f>HYPERLINK("https://www.reddit.com/r/cancer/comments/fkiyzj/administration_expands_telemedicine_for_medicare/")</f>
        <v/>
      </c>
      <c r="G8358" t="inlineStr">
        <is>
          <t>2020-03-17 20:32:14</t>
        </is>
      </c>
      <c r="H8358" t="inlineStr"/>
    </row>
    <row r="8359">
      <c r="A8359" t="inlineStr">
        <is>
          <t>fkjn9h</t>
        </is>
      </c>
      <c r="B8359" t="inlineStr">
        <is>
          <t>Loss of feeling after surgery.</t>
        </is>
      </c>
      <c r="C8359" t="inlineStr">
        <is>
          <t>I had a thyroidectomy/bilateral neck dissection in order to treat a cancer diagnosis last year. One of the side effects (which I only learned about after the fact) was a loss of feeling around the head and neck. No I can’t feel my ears/neck as well as parts of my jaw and upper chest. I’m really saddened by this loss of feeling. I really wish I could get it back. I feel incomplete.</t>
        </is>
      </c>
      <c r="D8359" t="n">
        <v>1</v>
      </c>
      <c r="E8359" t="n">
        <v>12</v>
      </c>
      <c r="F8359">
        <f>HYPERLINK("https://www.reddit.com/r/cancer/comments/fkjn9h/loss_of_feeling_after_surgery/")</f>
        <v/>
      </c>
      <c r="G8359" t="inlineStr">
        <is>
          <t>2020-03-17 21:24:13</t>
        </is>
      </c>
      <c r="H8359" t="inlineStr"/>
    </row>
    <row r="8360">
      <c r="A8360" t="inlineStr">
        <is>
          <t>fkkyfi</t>
        </is>
      </c>
      <c r="B8360" t="inlineStr">
        <is>
          <t>She's sleeping a lot more than usual...</t>
        </is>
      </c>
      <c r="C8360" t="inlineStr">
        <is>
          <t>My best friend (15 f) has terminal Glioblastoma. She was diagnosed once in December 2016, January 2019, and again in July 2019 (she was told she had a month left, but outlived her prognosis). January 1st 2020 she had a stroke, and it took a long time for her to recover. Her hands were really shakey today though, and she slept almost all day. She was having trouble staying completely upright, and was just super uncoordinated today. But about the sleeping thing- right before we found the third tumor, she had been very sleepy and taking like 3 naps a day (she never napped ever on a constant basis before this), so they took her in to the doctor, and that's when they found the tumor. Now she keeps sleeping even more... I know sleep is good to help her heal but I'm just so scared because the last time she was sleeping this much, it wasn't good news.</t>
        </is>
      </c>
      <c r="D8360" t="n">
        <v>1</v>
      </c>
      <c r="E8360" t="n">
        <v>4</v>
      </c>
      <c r="F8360">
        <f>HYPERLINK("https://www.reddit.com/r/cancer/comments/fkkyfi/shes_sleeping_a_lot_more_than_usual/")</f>
        <v/>
      </c>
      <c r="G8360" t="inlineStr">
        <is>
          <t>2020-03-17 23:19:25</t>
        </is>
      </c>
      <c r="H8360" t="inlineStr"/>
    </row>
    <row r="8361">
      <c r="A8361" t="inlineStr">
        <is>
          <t>fklkls</t>
        </is>
      </c>
      <c r="B8361" t="inlineStr">
        <is>
          <t>Received another round of chemo</t>
        </is>
      </c>
      <c r="C8361" t="inlineStr">
        <is>
          <t>The nausea sucks I cant hold anything in</t>
        </is>
      </c>
      <c r="D8361" t="n">
        <v>1</v>
      </c>
      <c r="E8361" t="n">
        <v>9</v>
      </c>
      <c r="F8361">
        <f>HYPERLINK("https://www.reddit.com/r/cancer/comments/fklkls/received_another_round_of_chemo/")</f>
        <v/>
      </c>
      <c r="G8361" t="inlineStr">
        <is>
          <t>2020-03-18 00:18:56</t>
        </is>
      </c>
      <c r="H8361" t="inlineStr"/>
    </row>
    <row r="8362">
      <c r="A8362" t="inlineStr">
        <is>
          <t>fko0j7</t>
        </is>
      </c>
      <c r="B8362" t="inlineStr">
        <is>
          <t>Having a major hip surgery in a couple of hours, it suddenly feels too real</t>
        </is>
      </c>
      <c r="C8362" t="inlineStr">
        <is>
          <t>I thought I fully accepted the fact that I have cancer, but today I realized that I didn't. It's easy to push that idea to the back of your mind when you still have all your body parts.
Not gonna lie, I'm a bit scared, I'm going to be in a lot of pain tonight.
And of course, the obligatory **FUCK CANCER**</t>
        </is>
      </c>
      <c r="D8362" t="n">
        <v>1</v>
      </c>
      <c r="E8362" t="n">
        <v>2</v>
      </c>
      <c r="F8362">
        <f>HYPERLINK("https://www.reddit.com/r/cancer/comments/fko0j7/having_a_major_hip_surgery_in_a_couple_of_hours/")</f>
        <v/>
      </c>
      <c r="G8362" t="inlineStr">
        <is>
          <t>2020-03-18 04:26:12</t>
        </is>
      </c>
      <c r="H8362" t="inlineStr"/>
    </row>
    <row r="8363">
      <c r="A8363" t="inlineStr">
        <is>
          <t>fko2i4</t>
        </is>
      </c>
      <c r="B8363" t="inlineStr">
        <is>
          <t>Immunocompromised?</t>
        </is>
      </c>
      <c r="C8363" t="inlineStr">
        <is>
          <t>I had Hodgkins Lymphoma last year. I think last radiation therapy session was somewhere in July 2019 and in August 2019, I was told that the cancer was a goner. 
As of recent, I've been wondering if I am still immunocompromised or if my immune system is back to its potential?
Thanks in advance.</t>
        </is>
      </c>
      <c r="D8363" t="n">
        <v>1</v>
      </c>
      <c r="E8363" t="n">
        <v>11</v>
      </c>
      <c r="F8363">
        <f>HYPERLINK("https://www.reddit.com/r/cancer/comments/fko2i4/immunocompromised/")</f>
        <v/>
      </c>
      <c r="G8363" t="inlineStr">
        <is>
          <t>2020-03-18 04:31:12</t>
        </is>
      </c>
      <c r="H8363" t="inlineStr"/>
    </row>
    <row r="8364">
      <c r="A8364" t="inlineStr">
        <is>
          <t>fkpvyb</t>
        </is>
      </c>
      <c r="B8364" t="inlineStr">
        <is>
          <t>Cancer, CO-VID 19 and Funeral Arrangements</t>
        </is>
      </c>
      <c r="C8364" t="inlineStr">
        <is>
          <t>What a start to 2020. My maternal grandmother passed from cancer on the 5th January, and my mother was diagnosed with pancreatic cancer on the 7th. They estimated she’d make it a year if not longer, but unfortunately she passed on the 16th of this month, a day before what would’ve been her mums birthday. 
My mum was only young 56, and leaves behind teenage sons and myself (23). She had so many people who knew her and wanted to pay their respects but due to the current circumstances, we’re being forced to make sacrifices on funeral arrangements. This was one of the last things she planned before she passed, and we’re now told all we can have is a 20 minute slot, she can’t be dressed in her own clothes, and things that just seem silly to myself. It’s just incredibly disheartening to know we’re going through a tough enough time as it is, without added measures and worries on top.
It’s also incredibly tough, not knowing what is really happening, are the government going to ban large gatherings (I’m from the UK) will things change again. I’ve got certain older family members like her dad who is 78, who said he’s going regardless because it’s his daughter, yet he’s considered vulnerable, then I have my best friend who’s known my mother for 20+ years say she’s not going because she’s self isolating for 3 months (has no vulnerabilities is young, and could easily afford to come, no elder family members living close by) but is just being over the top, and to me it seems selfish. I’ve specially arranged off my own back hand sanitiser to be provided to everyone at the funeral. 
I feel like people are going crazy, and are overly anxious as it is, but there are families out there who are going through so much already without this outbreak, who are truly suffering and forgotten about in all this. I just want to be able to give my mum the send off she deserves, is that too much to ask for? 
Hope all of you are hanging in there, and that things pass as easily as possible for you. I truly cannot wait for 2020 to end.</t>
        </is>
      </c>
      <c r="D8364" t="n">
        <v>1</v>
      </c>
      <c r="E8364" t="n">
        <v>24</v>
      </c>
      <c r="F8364">
        <f>HYPERLINK("https://www.reddit.com/r/cancer/comments/fkpvyb/cancer_covid_19_and_funeral_arrangements/")</f>
        <v/>
      </c>
      <c r="G8364" t="inlineStr">
        <is>
          <t>2020-03-18 06:56:12</t>
        </is>
      </c>
      <c r="H8364" t="inlineStr"/>
    </row>
    <row r="8365">
      <c r="A8365" t="inlineStr">
        <is>
          <t>fkt3gr</t>
        </is>
      </c>
      <c r="B8365" t="inlineStr">
        <is>
          <t>How deadly is spinal cancer?</t>
        </is>
      </c>
      <c r="C8365" t="inlineStr">
        <is>
          <t>I just got news that one of my best friends was diagnosed with spinal cancer today. My mom told me that his aunt &amp;amp; his grandfather both had spinal cancer and they both survived. 
They caught it in stage 1. He is 17, if that helps. I am very worried for him, what are his survival chances like? He's starting chemotherapy today or tomorrow.</t>
        </is>
      </c>
      <c r="D8365" t="n">
        <v>1</v>
      </c>
      <c r="E8365" t="n">
        <v>1</v>
      </c>
      <c r="F8365">
        <f>HYPERLINK("https://www.reddit.com/r/cancer/comments/fkt3gr/how_deadly_is_spinal_cancer/")</f>
        <v/>
      </c>
      <c r="G8365" t="inlineStr">
        <is>
          <t>2020-03-18 10:12:04</t>
        </is>
      </c>
      <c r="H8365" t="inlineStr"/>
    </row>
    <row r="8366">
      <c r="A8366" t="inlineStr">
        <is>
          <t>fkuxmk</t>
        </is>
      </c>
      <c r="B8366" t="inlineStr">
        <is>
          <t>CTCA Rant</t>
        </is>
      </c>
      <c r="C8366" t="inlineStr">
        <is>
          <t>My mom has insisted on continuing to go to Cancer Treatment Center of America to treat her lung cancer. We have completed the myriad of diagnostic tests they've thrown our way. It has been a month since we first came here with her diagnosis and still she has yet to recieve treatment. 
I have cried, begged, and pleaded with her to see that they are crooks who are taking our money but she refuses to see the writing on the wall. I'm at my wits end. She has stage 3 cancer. We need to act now. I am at a loss of what to do.</t>
        </is>
      </c>
      <c r="D8366" t="n">
        <v>1</v>
      </c>
      <c r="E8366" t="n">
        <v>6</v>
      </c>
      <c r="F8366">
        <f>HYPERLINK("https://www.reddit.com/r/cancer/comments/fkuxmk/ctca_rant/")</f>
        <v/>
      </c>
      <c r="G8366" t="inlineStr">
        <is>
          <t>2020-03-18 11:56:30</t>
        </is>
      </c>
      <c r="H8366" t="inlineStr"/>
    </row>
    <row r="8367">
      <c r="A8367" t="inlineStr">
        <is>
          <t>fkvhab</t>
        </is>
      </c>
      <c r="B8367" t="inlineStr">
        <is>
          <t>Virtual Support for Young Cancer Survivors</t>
        </is>
      </c>
      <c r="C8367" t="inlineStr">
        <is>
          <t>Hi! My name is Helen and I am a research coordinator for the Bounce Back Study at the Massachusetts General Hospital Cancer Center, an affiliate of Harvard Medical School. We are recruiting adolescent and young adults who were diagnosed with cancer (any type!) between the ages of 14-29, still fall within this age range, and have completed treatment in the past 5 years. Bounce Back is a **FREE virtual group stress management and resilience program** that takes place over 8-weeks. The goal of the program is to help young cancer survivors learn skills to cope with the stress and emotions that arise during the post treatment transition. Participants will be compensated up to $90 for their time. Please send me a message or email [mghbounceback@mgh.harvard.edu](mailto:mghbounceback@mgh.harvard.edu)  if you are interested in learning more or have any questions 😊</t>
        </is>
      </c>
      <c r="D8367" t="n">
        <v>1</v>
      </c>
      <c r="E8367" t="n">
        <v>4</v>
      </c>
      <c r="F8367">
        <f>HYPERLINK("https://www.reddit.com/r/cancer/comments/fkvhab/virtual_support_for_young_cancer_survivors/")</f>
        <v/>
      </c>
      <c r="G8367" t="inlineStr">
        <is>
          <t>2020-03-18 12:28:06</t>
        </is>
      </c>
      <c r="H8367" t="inlineStr"/>
    </row>
    <row r="8368">
      <c r="A8368" t="inlineStr">
        <is>
          <t>fkwg74</t>
        </is>
      </c>
      <c r="B8368" t="inlineStr">
        <is>
          <t>What can we do</t>
        </is>
      </c>
      <c r="C8368" t="inlineStr">
        <is>
          <t>My grandma got diagnosed with late stage stomach cancer back in january. They basically said it was incurable and we should help her be as comfortable as possible. But our family isnt ready to give up yet. Is it worth getting a second opinion? The nearest cancer institute for us is johns hopkins in md...but i guess we’re just at a loss with what to do</t>
        </is>
      </c>
      <c r="D8368" t="n">
        <v>1</v>
      </c>
      <c r="E8368" t="n">
        <v>4</v>
      </c>
      <c r="F8368">
        <f>HYPERLINK("https://www.reddit.com/r/cancer/comments/fkwg74/what_can_we_do/")</f>
        <v/>
      </c>
      <c r="G8368" t="inlineStr">
        <is>
          <t>2020-03-18 13:23:43</t>
        </is>
      </c>
      <c r="H8368" t="inlineStr"/>
    </row>
    <row r="8369">
      <c r="A8369" t="inlineStr">
        <is>
          <t>fkwxoy</t>
        </is>
      </c>
      <c r="B8369" t="inlineStr">
        <is>
          <t>Am I immunocompromised still if I had childhood cancer?</t>
        </is>
      </c>
      <c r="C8369" t="inlineStr">
        <is>
          <t>First off, I got childhood cancer when I was 16 and went into remission at 19. I had stage 3 Non-Hodgkins Lymphoma. I was only treated with chemotherapy. Now as a 22(F), I wanted to know if possible I might be immunocompromised still. This past winter, I actually did get Flu A and recovered before the coronavirus took over.
I just wanted to ask since I do bruise easily, my hair has been thinner, and whatever I seem to experience some days. I'm only worried because my mom may have been exposed to the coronavirus at work, and I'm sure she's going to be worried about me (since I had cancer and other sicknesses) and my youngest sister who is 9.
I'm honestly not worried about the virus since I survived and fought through other illnesses, I just don't want my mom to worry about me.</t>
        </is>
      </c>
      <c r="D8369" t="n">
        <v>2</v>
      </c>
      <c r="E8369" t="n">
        <v>12</v>
      </c>
      <c r="F8369">
        <f>HYPERLINK("https://www.reddit.com/r/cancer/comments/fkwxoy/am_i_immunocompromised_still_if_i_had_childhood/")</f>
        <v/>
      </c>
      <c r="G8369" t="inlineStr">
        <is>
          <t>2020-03-18 13:51:52</t>
        </is>
      </c>
      <c r="H8369" t="inlineStr"/>
    </row>
    <row r="8370">
      <c r="A8370" t="inlineStr">
        <is>
          <t>fkyyhf</t>
        </is>
      </c>
      <c r="B8370" t="inlineStr">
        <is>
          <t>Baxter bottles</t>
        </is>
      </c>
      <c r="C8370" t="inlineStr">
        <is>
          <t>Hey guys. Just wondering if anyone here has had experience with their 5-FU bottle running slower than expected? I did 6 months of FOLFOX last year, through a particularly chilly Australian winter - the cold sensitivity and the neuropathy meant I was rugged up pretty well, my utility provider REALLY enjoyed my increased heating bill, and my bottle always ran on time. I'm now doing FOLFIRI, in summer/autumn...it's warmish, I'm in t-shirts...and I'm not keeping the bottle as close to my body or wrapped up as well. I'm thinking that might be why it's running late each time. Anyone else had anything like this?</t>
        </is>
      </c>
      <c r="D8370" t="n">
        <v>1</v>
      </c>
      <c r="E8370" t="n">
        <v>2</v>
      </c>
      <c r="F8370">
        <f>HYPERLINK("https://www.reddit.com/r/cancer/comments/fkyyhf/baxter_bottles/")</f>
        <v/>
      </c>
      <c r="G8370" t="inlineStr">
        <is>
          <t>2020-03-18 15:50:49</t>
        </is>
      </c>
      <c r="H8370" t="inlineStr"/>
    </row>
    <row r="8371">
      <c r="A8371" t="inlineStr">
        <is>
          <t>fkz7a4</t>
        </is>
      </c>
      <c r="B8371" t="inlineStr">
        <is>
          <t>Dad died in January, but I am thinking of everyone here with how challenging this is.</t>
        </is>
      </c>
      <c r="C8371" t="inlineStr">
        <is>
          <t>Im so sorry you have to confront this on top of everything else you are dealing with.</t>
        </is>
      </c>
      <c r="D8371" t="n">
        <v>1</v>
      </c>
      <c r="E8371" t="n">
        <v>16</v>
      </c>
      <c r="F8371">
        <f>HYPERLINK("https://www.reddit.com/r/cancer/comments/fkz7a4/dad_died_in_january_but_i_am_thinking_of_everyone/")</f>
        <v/>
      </c>
      <c r="G8371" t="inlineStr">
        <is>
          <t>2020-03-18 16:05:36</t>
        </is>
      </c>
      <c r="H8371" t="inlineStr"/>
    </row>
    <row r="8372">
      <c r="A8372" t="inlineStr">
        <is>
          <t>fl0sxg</t>
        </is>
      </c>
      <c r="B8372" t="inlineStr">
        <is>
          <t>Question about your Immune System</t>
        </is>
      </c>
      <c r="C8372" t="inlineStr">
        <is>
          <t>Hi all,
I'm currently receiving chemotherapy for Ewing's Sarcoma (lucky me). I get chemo every three weeks. It's high dosage and really batters my immune system. By the second week after treatment I'm usually neutropenic. However my neutrophil counts always bounce back to normal ranges by the end of the second week.
I'm sure a lot of us are worried about COVID-19 because of the effect chemotherapy has on our immune systems. My question is though, when my neutrophils are in a normal range, am I still immunocompromised? Or are there other factors that affect this? I'm genuinely ignorant about this and have been trying to do research online but can't seem to find anything to answer my question.
&amp;amp;#x200B;
Thank you!
&amp;amp;#x200B;
Edit: I understand that you guys aren't my doctors and I will be asking this question when I go back in for treatment next week. I guess I'm more looking for a general explanation on what the neutrophil count means for your immune system.</t>
        </is>
      </c>
      <c r="D8372" t="n">
        <v>2</v>
      </c>
      <c r="E8372" t="n">
        <v>11</v>
      </c>
      <c r="F8372">
        <f>HYPERLINK("https://www.reddit.com/r/cancer/comments/fl0sxg/question_about_your_immune_system/")</f>
        <v/>
      </c>
      <c r="G8372" t="inlineStr">
        <is>
          <t>2020-03-18 17:48:58</t>
        </is>
      </c>
      <c r="H8372" t="inlineStr"/>
    </row>
    <row r="8373">
      <c r="A8373" t="inlineStr">
        <is>
          <t>fl1cka</t>
        </is>
      </c>
      <c r="B8373" t="inlineStr">
        <is>
          <t>Husband's cancer diagnosis</t>
        </is>
      </c>
      <c r="C8373" t="inlineStr">
        <is>
          <t>My (27f) husband (31m) just got diagnosed with thyroid cancer that has traveled to his lymph nodes. I am so scared and he has been putting on a brave face. We haven't told any family per his request. Feeling so alone and worried about the future.</t>
        </is>
      </c>
      <c r="D8373" t="n">
        <v>1</v>
      </c>
      <c r="E8373" t="n">
        <v>6</v>
      </c>
      <c r="F8373">
        <f>HYPERLINK("https://www.reddit.com/r/cancer/comments/fl1cka/husbands_cancer_diagnosis/")</f>
        <v/>
      </c>
      <c r="G8373" t="inlineStr">
        <is>
          <t>2020-03-18 18:25:32</t>
        </is>
      </c>
      <c r="H8373" t="inlineStr"/>
    </row>
    <row r="8374">
      <c r="A8374" t="inlineStr">
        <is>
          <t>fl1h5t</t>
        </is>
      </c>
      <c r="B8374" t="inlineStr">
        <is>
          <t>Breast cancer moved to lungs stage 4</t>
        </is>
      </c>
      <c r="C8374" t="inlineStr">
        <is>
          <t>My 74 year old family member was diagnosed with stage 4 breast cancer that metastasized to the lungs last October.  She refuses treatment of any kind and resorts to essential oils and herbals.  In the past month, I have noticed a rapid decline in her appearance.  She is much more pale and thin and looks nothing like her normal self. Refuses chemo and anything about that no surgeries. any medical advice, assuming all this how much time would she have?</t>
        </is>
      </c>
      <c r="D8374" t="n">
        <v>1</v>
      </c>
      <c r="E8374" t="n">
        <v>4</v>
      </c>
      <c r="F8374">
        <f>HYPERLINK("https://www.reddit.com/r/cancer/comments/fl1h5t/breast_cancer_moved_to_lungs_stage_4/")</f>
        <v/>
      </c>
      <c r="G8374" t="inlineStr">
        <is>
          <t>2020-03-18 18:34:10</t>
        </is>
      </c>
      <c r="H8374" t="inlineStr"/>
    </row>
    <row r="8375">
      <c r="A8375" t="inlineStr">
        <is>
          <t>fl34sg</t>
        </is>
      </c>
      <c r="B8375" t="inlineStr">
        <is>
          <t>Does radiation therapy cause body temperature to spike?</t>
        </is>
      </c>
      <c r="C8375" t="inlineStr">
        <is>
          <t>I’m feeling feverish, and I’m not sure if I should worry about it being from my pelvic radiation treatment, or due to something else (Covid-19).
I’ve been pretty good with social distancing,  but I’m nervous about raising any false warning signs to doctors that could stop my treatment 
Is this temperature spike normal? I’m two weeks in to treatment</t>
        </is>
      </c>
      <c r="D8375" t="n">
        <v>1</v>
      </c>
      <c r="E8375" t="n">
        <v>11</v>
      </c>
      <c r="F8375">
        <f>HYPERLINK("https://www.reddit.com/r/cancer/comments/fl34sg/does_radiation_therapy_cause_body_temperature_to/")</f>
        <v/>
      </c>
      <c r="G8375" t="inlineStr">
        <is>
          <t>2020-03-18 20:30:17</t>
        </is>
      </c>
      <c r="H8375" t="inlineStr"/>
    </row>
    <row r="8376">
      <c r="A8376" t="inlineStr">
        <is>
          <t>fl3l8t</t>
        </is>
      </c>
      <c r="B8376" t="inlineStr">
        <is>
          <t>How do I deal?</t>
        </is>
      </c>
      <c r="C8376" t="inlineStr">
        <is>
          <t>I beat Ewing sarcoma end of January (RT clavicle resection). I did 15.5/17 cycles because of my body. Not just the nausea, weight gain, the depression, in fact I kept on trucking through potential heart failure (I started at a 75% ejection fraction and now am at 30%, thanks Doxy!) so I have a LONG road to recovery but I’m getting there, I got an exercise bike, started portioning and all and feel better.  Energy is coming up, mood swings are less which is awesome!! 
Here’s the killer, the real reason I stopped chemo was that I was going crazy. Like “one who flew out of the cuckoos nest” crazy. I felt bugs crawl in my skin and non existent hair. To wear I bought lice combs to make myself itch and bleed and not have these fuckers irritating me, I heard people yelling upstairs and whispers in my ear while I tried to sleep. I came to terms with a 7 foot “creature”, I suppose, I should call it even though it was more human like, wearing tattered 1800s clothing who did nothing but watch me sleep. I named him “shadow man” because that’s all he did, was cause a shadow on my wall. So though he’s creepy he doesn’t physically bother me.
Fast forward 2 weeks later I suffer a huge tonic clonic seizure, like I’m talking I was hitting the staff, biting a nurse and swearing I needed to find “big foot” ( this is all hearsay as I have no recollection). I saw a neuro who is getting me into an epilepsy unit because another two weeks went by and I break my clavicle from another seizure (all scans are clear of tumors and such). I’m running out of hope and running out of clavicles to break. Vimpat, is the only med I can take in combo with my other drugs and I feel like a newborn giraffe trying to take his first steps, literally. I just fall if I’m not holding onto something, hallucinations got EVEN WORSE!!! I hear tapping on my windows at night, my daughter whispering in my ear and woke up my boyfriend to tell him there were people at the door who wanted their sheep back that were in our dining room! How could Ifosomide have done this. I’m a shell of a person. I have no memory, I couldn’t recall the name for a lasagna and have to have my boyfriend help me with my meds schedule, I swear people text me things which I later find they never did and I argue constantly with my family because I repeated something for the 10th time. Or I get confused and ask why they called when I actuality I’m the one who called them.
Someone out there, tell me it gets better. That this “adult onset epilepsy syndrome” won’t limit my life forever. I need love, support, prayers, vibes, ANYTHING! Please! 💛
From one survivor to others I want to hear your stories and what worked for you. I’m 28, 3 little kids and want to work and do fun stuff not be confined to wheelchairs because I can’t walk. I have aspirations to be a labor and delivery nurse and then NICU because the beginning of life is so beautiful to me, I know it’s my calling. I just need to be told “it’ll all be okay”.</t>
        </is>
      </c>
      <c r="D8376" t="n">
        <v>1</v>
      </c>
      <c r="E8376" t="n">
        <v>1</v>
      </c>
      <c r="F8376">
        <f>HYPERLINK("https://www.reddit.com/r/cancer/comments/fl3l8t/how_do_i_deal/")</f>
        <v/>
      </c>
      <c r="G8376" t="inlineStr">
        <is>
          <t>2020-03-18 21:03:47</t>
        </is>
      </c>
      <c r="H8376" t="inlineStr"/>
    </row>
    <row r="8377">
      <c r="A8377" t="inlineStr">
        <is>
          <t>fl46op</t>
        </is>
      </c>
      <c r="B8377" t="inlineStr">
        <is>
          <t>Here for you</t>
        </is>
      </c>
      <c r="C8377" t="inlineStr">
        <is>
          <t>I lost my Mom to stage 4 melanoma last July and it still feels like a fresh wound everyday. I am here if anyone want to talk or just share about their loved one or their situation. Someone out there really cares about you, don't forget.</t>
        </is>
      </c>
      <c r="D8377" t="n">
        <v>1</v>
      </c>
      <c r="E8377" t="n">
        <v>2</v>
      </c>
      <c r="F8377">
        <f>HYPERLINK("https://www.reddit.com/r/cancer/comments/fl46op/here_for_you/")</f>
        <v/>
      </c>
      <c r="G8377" t="inlineStr">
        <is>
          <t>2020-03-18 21:51:20</t>
        </is>
      </c>
      <c r="H8377" t="inlineStr"/>
    </row>
    <row r="8378">
      <c r="A8378" t="inlineStr">
        <is>
          <t>fl7d6w</t>
        </is>
      </c>
      <c r="B8378" t="inlineStr">
        <is>
          <t>Mum has just been diagnosed with cancer. Anybody know about cancer in kidneys?</t>
        </is>
      </c>
      <c r="C8378" t="inlineStr">
        <is>
          <t>they’re not sure if it’s spread yet. She will definitely have to have one removed ASAP and the other they’re not sure about yet. This news comes just 18 months after my dad died. It’s been a shit couple of years. 
Does anyone know anything about kidney cancers? And dialysis? Survival rates? 
Apparently it’s rare for women to get it in their kidneys</t>
        </is>
      </c>
      <c r="D8378" t="n">
        <v>1</v>
      </c>
      <c r="E8378" t="n">
        <v>1</v>
      </c>
      <c r="F8378">
        <f>HYPERLINK("https://www.reddit.com/r/cancer/comments/fl7d6w/mum_has_just_been_diagnosed_with_cancer_anybody/")</f>
        <v/>
      </c>
      <c r="G8378" t="inlineStr">
        <is>
          <t>2020-03-19 02:42:55</t>
        </is>
      </c>
      <c r="H8378" t="inlineStr"/>
    </row>
    <row r="8379">
      <c r="A8379" t="inlineStr">
        <is>
          <t>fl7dx7</t>
        </is>
      </c>
      <c r="B8379" t="inlineStr">
        <is>
          <t>Cannabis tablets for nausea</t>
        </is>
      </c>
      <c r="C8379" t="inlineStr">
        <is>
          <t>Guys, have any of y'all tried cannabis tablets to feel a little less nauseous? My mum hates her CAPOX regimen, even taking the cancer tablets is a torture. 
Just want her to be able to eat well and puke a little less. Do let me know. TIA.</t>
        </is>
      </c>
      <c r="D8379" t="n">
        <v>1</v>
      </c>
      <c r="E8379" t="n">
        <v>38</v>
      </c>
      <c r="F8379">
        <f>HYPERLINK("https://www.reddit.com/r/cancer/comments/fl7dx7/cannabis_tablets_for_nausea/")</f>
        <v/>
      </c>
      <c r="G8379" t="inlineStr">
        <is>
          <t>2020-03-19 02:44:53</t>
        </is>
      </c>
      <c r="H8379" t="inlineStr"/>
    </row>
    <row r="8380">
      <c r="A8380" t="inlineStr">
        <is>
          <t>flbzw1</t>
        </is>
      </c>
      <c r="B8380" t="inlineStr">
        <is>
          <t>Latest CT scan results</t>
        </is>
      </c>
      <c r="C8380" t="inlineStr">
        <is>
          <t>Some of you may remember me asking for help with the fact the NHS will no longer treat my dad's cancer.. Although it had shrunk. 
Well he went back today after no chemo since November and it's of course now spread. It's in his lungs and abdomen and there is also fluid there now. 
They have said they no longer want to see him and he has a few weeks to a few months. 
Don't know what I'm asking here. Maybe experiences or help? I don't know.</t>
        </is>
      </c>
      <c r="D8380" t="n">
        <v>1</v>
      </c>
      <c r="E8380" t="n">
        <v>1</v>
      </c>
      <c r="F8380">
        <f>HYPERLINK("https://www.reddit.com/r/cancer/comments/flbzw1/latest_ct_scan_results/")</f>
        <v/>
      </c>
      <c r="G8380" t="inlineStr">
        <is>
          <t>2020-03-19 08:36:13</t>
        </is>
      </c>
      <c r="H8380" t="inlineStr"/>
    </row>
    <row r="8381">
      <c r="A8381" t="inlineStr">
        <is>
          <t>flcmsk</t>
        </is>
      </c>
      <c r="B8381" t="inlineStr">
        <is>
          <t>Mother (58) is Stage 4 Breast Cancer- won’t stop working.</t>
        </is>
      </c>
      <c r="C8381" t="inlineStr">
        <is>
          <t>I’m at a total loss- my mom was diagnosed with Mets back in September. She has heart issues, and is a smoker. 
She works part time at the airport (gate agent) and refuses to stop working during the pandemic. Multiple medical professional friends have stressed the importance of her staying home, but she refuses to listen. She claims the airports are dead, and she will be fine. 
Any suggestions on how to get her to stay home? I’m afraid if I push too hard, it will strain out relationship.</t>
        </is>
      </c>
      <c r="D8381" t="n">
        <v>1</v>
      </c>
      <c r="E8381" t="n">
        <v>12</v>
      </c>
      <c r="F8381">
        <f>HYPERLINK("https://www.reddit.com/r/cancer/comments/flcmsk/mother_58_is_stage_4_breast_cancer_wont_stop/")</f>
        <v/>
      </c>
      <c r="G8381" t="inlineStr">
        <is>
          <t>2020-03-19 09:13:40</t>
        </is>
      </c>
      <c r="H8381" t="inlineStr"/>
    </row>
    <row r="8382">
      <c r="A8382" t="inlineStr">
        <is>
          <t>flcvd0</t>
        </is>
      </c>
      <c r="B8382" t="inlineStr">
        <is>
          <t>Has anyone Marah-Cel before? I'd like to hear of people's experiences with it before I purchase it for my mother.</t>
        </is>
      </c>
      <c r="C8382" t="inlineStr">
        <is>
          <t>As title. My mother has Stage 4 cholangiocarcinoma and I was recommended this product but do not live in Canada. I'm aware of how I can purchase it, but I'd like to learn more about it from people who have used it first.
Thank you.</t>
        </is>
      </c>
      <c r="D8382" t="n">
        <v>1</v>
      </c>
      <c r="E8382" t="n">
        <v>1</v>
      </c>
      <c r="F8382">
        <f>HYPERLINK("https://www.reddit.com/r/cancer/comments/flcvd0/has_anyone_marahcel_before_id_like_to_hear_of/")</f>
        <v/>
      </c>
      <c r="G8382" t="inlineStr">
        <is>
          <t>2020-03-19 09:27:21</t>
        </is>
      </c>
      <c r="H8382" t="inlineStr"/>
    </row>
    <row r="8383">
      <c r="A8383" t="inlineStr">
        <is>
          <t>fldepj</t>
        </is>
      </c>
      <c r="B8383" t="inlineStr">
        <is>
          <t>Anyone else have endometrial cancer?</t>
        </is>
      </c>
      <c r="C8383" t="inlineStr">
        <is>
          <t>We live in Japan. 4 years ago my wife (I’m American male 48 and wife is Japanese age 44) was diagnosed with stage 2 and after a few doctors and tests was upgraded to stage 4 after her full hysterectomy. After the surgery we went to a special hospital in Tokyo that was devoted entirely to cancer. The doctors were very unhelpful and had no treatment ideas whatsoever. They said her cancer had spread into her bones, lungs and brain and most likely other areas. They said she had very little time and we should begin to prepare for death. We were so depressed and I would stay up all night reading everything I could about cancer. We were low on cash and going to another country was simply too costly. The only option we had was to try diet and natural treatments like IV Vitamin-C. We got her on a 22 hour intermittent fasting schedule and ketogenic diet which now is more or less a raw food diet with eggs and a little meat. She was taking about 50+ vitamins/minerals and herbs and now had reduced to about 10 different vitamins and herbs. We take blood and CT scans every 6 months which is nerve racking to say the least. The comments from the doctors are how freaked out and astonished that the cancer has reduced to almost nothing. The spots in her lungs are barely visible compared to 4 years ago which were very prominent. 
I don’t know what to do for further treatment. We own a small cafe bakery, run entirely by my wife and I run an online Ecommerce business focused around fresh coffee. If we go somewhere like America for treatment we will run out of money quickly. 
I would love to meet / chat up with others who have endometrial cancer and stage 4 survivors of any cancer. 
My mind is kind of blank on emotions these days as I realize I hide from the emotional trauma this cancer has caused. I frequently think about my 2 young children losing their mother. 
Sincerely :-)</t>
        </is>
      </c>
      <c r="D8383" t="n">
        <v>1</v>
      </c>
      <c r="E8383" t="n">
        <v>2</v>
      </c>
      <c r="F8383">
        <f>HYPERLINK("https://www.reddit.com/r/cancer/comments/fldepj/anyone_else_have_endometrial_cancer/")</f>
        <v/>
      </c>
      <c r="G8383" t="inlineStr">
        <is>
          <t>2020-03-19 09:58:21</t>
        </is>
      </c>
      <c r="H8383" t="inlineStr"/>
    </row>
    <row r="8384">
      <c r="A8384" t="inlineStr">
        <is>
          <t>flec71</t>
        </is>
      </c>
      <c r="B8384" t="inlineStr">
        <is>
          <t>Stage IV sarcoma cancer</t>
        </is>
      </c>
      <c r="C8384" t="inlineStr">
        <is>
          <t>Hello, as of today my sister (20 years old) got diagnosed with stage IV sarcoma which has spread to the lungs, but not fully. I live in a country where healthcare is very accesible and free. What are the survival rates for her? Im really anxious</t>
        </is>
      </c>
      <c r="D8384" t="n">
        <v>1</v>
      </c>
      <c r="E8384" t="n">
        <v>21</v>
      </c>
      <c r="F8384">
        <f>HYPERLINK("https://www.reddit.com/r/cancer/comments/flec71/stage_iv_sarcoma_cancer/")</f>
        <v/>
      </c>
      <c r="G8384" t="inlineStr">
        <is>
          <t>2020-03-19 10:50:58</t>
        </is>
      </c>
      <c r="H8384" t="inlineStr"/>
    </row>
    <row r="8385">
      <c r="A8385" t="inlineStr">
        <is>
          <t>flf2xt</t>
        </is>
      </c>
      <c r="B8385" t="inlineStr">
        <is>
          <t>I got sent home from work of due to coronavirus as I’m on cancer treatment</t>
        </is>
      </c>
      <c r="C8385" t="inlineStr">
        <is>
          <t>As a joke I posted on fb I’ll watch Netflix and porn now I’m in self isolation. Some bitter person reported me to management and I got a phone call telling me to be mindful and that morale is low at work.
I mean jeez I get that with this pandemic tensions are high and people are being overworked etc
But my post wasn’t meant to offend or was I gloating I’m not at work ffs
How sad can guy get.
Sorry I’m venting. I would rather be at work than be sen home cod of fucking cancer</t>
        </is>
      </c>
      <c r="D8385" t="n">
        <v>1</v>
      </c>
      <c r="E8385" t="n">
        <v>3</v>
      </c>
      <c r="F8385">
        <f>HYPERLINK("https://www.reddit.com/r/cancer/comments/flf2xt/i_got_sent_home_from_work_of_due_to_coronavirus/")</f>
        <v/>
      </c>
      <c r="G8385" t="inlineStr">
        <is>
          <t>2020-03-19 11:34:44</t>
        </is>
      </c>
      <c r="H8385" t="inlineStr"/>
    </row>
    <row r="8386">
      <c r="A8386" t="inlineStr">
        <is>
          <t>flka48</t>
        </is>
      </c>
      <c r="B8386" t="inlineStr">
        <is>
          <t>Alternatives to pain meds</t>
        </is>
      </c>
      <c r="C8386" t="inlineStr">
        <is>
          <t>Hi everyone,
My mother has stage 3 breast cancer and is experiencing all the bone pains that come along with chemotherapy and neulasta. I understand that cbd can help a lot and her doctor said she can take it and should take it but don’t know what she should start with, for example Gummies? Lotion? The drops that go under your tongue? She’s 70 and petite. Her pains are all over, from back to feet. Also there’s so many websites and stores, are some certain brands better than others? I haven’t ever smoked weed or taken anything with cbd so I have no idea about all of this. Thanks for all your responses, her doctor said suggests she take cbd products to help her pain.</t>
        </is>
      </c>
      <c r="D8386" t="n">
        <v>2</v>
      </c>
      <c r="E8386" t="n">
        <v>48</v>
      </c>
      <c r="F8386">
        <f>HYPERLINK("https://www.reddit.com/r/cancer/comments/flka48/alternatives_to_pain_meds/")</f>
        <v/>
      </c>
      <c r="G8386" t="inlineStr">
        <is>
          <t>2020-03-19 16:31:21</t>
        </is>
      </c>
      <c r="H8386" t="inlineStr"/>
    </row>
    <row r="8387">
      <c r="A8387" t="inlineStr">
        <is>
          <t>flkzk2</t>
        </is>
      </c>
      <c r="B8387" t="inlineStr">
        <is>
          <t>I've noticed new freckles developing toward the end of my chemo treatment. Should I be concerned?</t>
        </is>
      </c>
      <c r="C8387" t="inlineStr">
        <is>
          <t>I am covered in freckles. I mean, I have a ton. Everywhere except the palms of my hands and the underside of my fingers. Until now. I've noticed over the last week or so, new freckles have seem to pop up. One on the underside of my thumb, one on the left side in my right ring finger, under my middle left finger, several on the palms of my hands. These have never been there before. I know you body goes through a ton of changes during chemo but is developing new freckles something anyone has heard of before? I'm going to mention it at my next appointment in two weeks, I don't think it's anything immediately concerning, right?</t>
        </is>
      </c>
      <c r="D8387" t="n">
        <v>2</v>
      </c>
      <c r="E8387" t="n">
        <v>7</v>
      </c>
      <c r="F8387">
        <f>HYPERLINK("https://www.reddit.com/r/cancer/comments/flkzk2/ive_noticed_new_freckles_developing_toward_the/")</f>
        <v/>
      </c>
      <c r="G8387" t="inlineStr">
        <is>
          <t>2020-03-19 17:14:39</t>
        </is>
      </c>
      <c r="H8387" t="inlineStr"/>
    </row>
    <row r="8388">
      <c r="A8388" t="inlineStr">
        <is>
          <t>fllhxf</t>
        </is>
      </c>
      <c r="B8388" t="inlineStr">
        <is>
          <t>Cancer and Coronavirus: A verbatim theatre project</t>
        </is>
      </c>
      <c r="C8388" t="inlineStr">
        <is>
          <t>Hi Reddit, 
I am a breast cancer survivor (5 years since diagnosis, yey!) I am studying theatre at university currently and would like to write a verbatim theatre peice about what's happening to you right now.
What is it like to be going through cancer treatment currently? Are you taking measures to quarantine yourself? Tell me what's changed for you, due to the Coronavirus pandemic?
If you reply to this post, I will likely be using your exact wording to create a play.
If you do not consent to having your words recorded and used for public performance, do not reply to this post.
I look forward to hearing about your experiences!</t>
        </is>
      </c>
      <c r="D8388" t="n">
        <v>1</v>
      </c>
      <c r="E8388" t="n">
        <v>27</v>
      </c>
      <c r="F8388">
        <f>HYPERLINK("https://www.reddit.com/r/cancer/comments/fllhxf/cancer_and_coronavirus_a_verbatim_theatre_project/")</f>
        <v/>
      </c>
      <c r="G8388" t="inlineStr">
        <is>
          <t>2020-03-19 17:46:30</t>
        </is>
      </c>
      <c r="H8388" t="inlineStr"/>
    </row>
    <row r="8389">
      <c r="A8389" t="inlineStr">
        <is>
          <t>flm11w</t>
        </is>
      </c>
      <c r="B8389" t="inlineStr">
        <is>
          <t>How long after finishing chemo for stage III colon cancer does your immune system return back to normal?</t>
        </is>
      </c>
      <c r="C8389" t="inlineStr">
        <is>
          <t>My mom finished chemo in December, and I am concerned about being around her in case I am carrying the coronavirus but aren’t showing symptoms yet.
How long until she is not at increased risk?</t>
        </is>
      </c>
      <c r="D8389" t="n">
        <v>1</v>
      </c>
      <c r="E8389" t="n">
        <v>6</v>
      </c>
      <c r="F8389">
        <f>HYPERLINK("https://www.reddit.com/r/cancer/comments/flm11w/how_long_after_finishing_chemo_for_stage_iii/")</f>
        <v/>
      </c>
      <c r="G8389" t="inlineStr">
        <is>
          <t>2020-03-19 18:21:56</t>
        </is>
      </c>
      <c r="H8389" t="inlineStr"/>
    </row>
    <row r="8390">
      <c r="A8390" t="inlineStr">
        <is>
          <t>flp196</t>
        </is>
      </c>
      <c r="B8390" t="inlineStr">
        <is>
          <t>Just beat cancer!</t>
        </is>
      </c>
      <c r="C8390" t="inlineStr">
        <is>
          <t>I just beat cervix cancer! i got to ring the bell. it was amazing. I also got cool hair treatment.. and it was cool.</t>
        </is>
      </c>
      <c r="D8390" t="n">
        <v>1</v>
      </c>
      <c r="E8390" t="n">
        <v>39</v>
      </c>
      <c r="F8390">
        <f>HYPERLINK("https://www.reddit.com/r/cancer/comments/flp196/just_beat_cancer/")</f>
        <v/>
      </c>
      <c r="G8390" t="inlineStr">
        <is>
          <t>2020-03-19 21:52:26</t>
        </is>
      </c>
      <c r="H8390" t="inlineStr"/>
    </row>
    <row r="8391">
      <c r="A8391" t="inlineStr">
        <is>
          <t>flpo20</t>
        </is>
      </c>
      <c r="B8391" t="inlineStr">
        <is>
          <t>What will he actually experience</t>
        </is>
      </c>
      <c r="C8391" t="inlineStr">
        <is>
          <t>My dad has stage 4 metastatic spinal cancer. It metastasised from prostate cancer that he had removed years ago. Now it has further metastasised into his skeletal system and lympathic system. 
I’ve tried to search online for a list of actual possible symptoms, to get an idea of what he will experience from now until his death. Does anyone have any information or first hand experience at watching a person go through this? He is living with me and I just don’t know what to expect and neither does he really. The doctors aren’t telling him much except that it’s fatal. 
So far he is experiencing a lot of pain, migraines, difficulty swallowing, fatigue, constipation, memory loss, and loss of appetite.
Any information at all is really helpful. Thanks guys</t>
        </is>
      </c>
      <c r="D8391" t="n">
        <v>1</v>
      </c>
      <c r="E8391" t="n">
        <v>1</v>
      </c>
      <c r="F8391">
        <f>HYPERLINK("https://www.reddit.com/r/cancer/comments/flpo20/what_will_he_actually_experience/")</f>
        <v/>
      </c>
      <c r="G8391" t="inlineStr">
        <is>
          <t>2020-03-19 22:42:59</t>
        </is>
      </c>
      <c r="H8391" t="inlineStr"/>
    </row>
    <row r="8392">
      <c r="A8392" t="inlineStr">
        <is>
          <t>flr0bc</t>
        </is>
      </c>
      <c r="B8392" t="inlineStr">
        <is>
          <t>Okay, first post.</t>
        </is>
      </c>
      <c r="C8392" t="inlineStr">
        <is>
          <t>Been around for awhile, trying to help out newly Dx’d, CRC, and fellow Ostomates.  Dx’d 4/26/2018 with stage IV CRC cancer (liver).  Lots of fun cancer treatment later I was officially NED.  Scan cycle is pretty short, three months currently.  Had them 7/2019, 10/2019, 12/2019, and yesterday.
I’m beyond happy to say I’m still NED.
Don’t give up my friends, there is always something on the horizon, we just have to make it there.  
I just wanted to post a somewhat positive story.
Take care
JP</t>
        </is>
      </c>
      <c r="D8392" t="n">
        <v>1</v>
      </c>
      <c r="E8392" t="n">
        <v>4</v>
      </c>
      <c r="F8392">
        <f>HYPERLINK("https://www.reddit.com/r/cancer/comments/flr0bc/okay_first_post/")</f>
        <v/>
      </c>
      <c r="G8392" t="inlineStr">
        <is>
          <t>2020-03-20 00:38:37</t>
        </is>
      </c>
      <c r="H8392" t="inlineStr"/>
    </row>
    <row r="8393">
      <c r="A8393" t="inlineStr">
        <is>
          <t>flv952</t>
        </is>
      </c>
      <c r="B8393" t="inlineStr">
        <is>
          <t>cancer and covid</t>
        </is>
      </c>
      <c r="C8393" t="inlineStr">
        <is>
          <t xml:space="preserve"> [https://www.vox.com/2020/3/20/21186681/coronavirus-cancer-treatment](https://www.vox.com/2020/3/20/21186681/coronavirus-cancer-treatment)</t>
        </is>
      </c>
      <c r="D8393" t="n">
        <v>1</v>
      </c>
      <c r="E8393" t="n">
        <v>1</v>
      </c>
      <c r="F8393">
        <f>HYPERLINK("https://www.reddit.com/r/cancer/comments/flv952/cancer_and_covid/")</f>
        <v/>
      </c>
      <c r="G8393" t="inlineStr">
        <is>
          <t>2020-03-20 06:44:15</t>
        </is>
      </c>
      <c r="H8393" t="inlineStr"/>
    </row>
    <row r="8394">
      <c r="A8394" t="inlineStr">
        <is>
          <t>flx36c</t>
        </is>
      </c>
      <c r="B8394" t="inlineStr">
        <is>
          <t>I need to be there for my mom, but I'm scared.</t>
        </is>
      </c>
      <c r="C8394" t="inlineStr">
        <is>
          <t>My mother has AML and myeloid sarcoma and is in the last weeks of her life. Everything is *hell* right now. 
This coronavirus deal has limited the amount of visitors allowed in the hospital. My dad has been there the past few days/overnights. He needs a break. He said two nights ago was the worst night of his life, watching his wife scream in pain. 
He sat me down and asked if I could take over tonight. She is being given dillauted- but when it starts to wear off apparently she starts freaking out and yelling "help me". She tries to get up when she is not supposed to. My dad is strong physically and can help her get up for a second. I can't, mentally or physically. 
I'm scared to go. I want to, but I'm not sure I can do this
 I'm not sure if I can experience my mommy screaming in pain and not be able to help. I'm not sure I can keep her safe when the nurses are not in the room, but my dad said not to freak out and call them every time.
Please help me.</t>
        </is>
      </c>
      <c r="D8394" t="n">
        <v>1</v>
      </c>
      <c r="E8394" t="n">
        <v>0</v>
      </c>
      <c r="F8394">
        <f>HYPERLINK("https://www.reddit.com/r/cancer/comments/flx36c/i_need_to_be_there_for_my_mom_but_im_scared/")</f>
        <v/>
      </c>
      <c r="G8394" t="inlineStr">
        <is>
          <t>2020-03-20 08:40:56</t>
        </is>
      </c>
      <c r="H8394" t="inlineStr"/>
    </row>
    <row r="8395">
      <c r="A8395" t="inlineStr">
        <is>
          <t>flxsi5</t>
        </is>
      </c>
      <c r="B8395" t="inlineStr">
        <is>
          <t>How do i drink ensure plus without throwing it up (how to not taste it)</t>
        </is>
      </c>
      <c r="C8395" t="inlineStr">
        <is>
          <t>I haven't eaten for days and I'm getting weak. I'm planning on drinking ensure but I throw up everytime I try to dri k it (or even think about drinking it). How do I overcome this?</t>
        </is>
      </c>
      <c r="D8395" t="n">
        <v>1</v>
      </c>
      <c r="E8395" t="n">
        <v>30</v>
      </c>
      <c r="F8395">
        <f>HYPERLINK("https://www.reddit.com/r/cancer/comments/flxsi5/how_do_i_drink_ensure_plus_without_throwing_it_up/")</f>
        <v/>
      </c>
      <c r="G8395" t="inlineStr">
        <is>
          <t>2020-03-20 09:21:43</t>
        </is>
      </c>
      <c r="H8395" t="inlineStr"/>
    </row>
    <row r="8396">
      <c r="A8396" t="inlineStr">
        <is>
          <t>flyz3d</t>
        </is>
      </c>
      <c r="B8396" t="inlineStr">
        <is>
          <t>Pancreatic Cancer</t>
        </is>
      </c>
      <c r="C8396" t="inlineStr">
        <is>
          <t>My stepfather, in his 60's, was just diagnosed with what is likely pancreatic cancer that's spread to his kidney and liver. I understand at this point that the outlook for him, if this is the case, isn't great because pancreatic cancer is rarely caught before its advanced. 
While we don't have all of the details yet, and he's keeping a positive attitude, he's the backbone of our family and if he goes it'll be my mother and my brother, in his early twenties, on their own. I'm the oldest son and I live on the other side of the country. 
To be frank, no one saw this coming and nobody is sure what to do. They're going to make a plan and hopefully get some treatment started as soon as they can, but given the current situation I don't think flying across the country and potentially bringing COVID to them to boot is a good idea.
I am at a loss for how to handle this and I don't know what support I can offer to my mother should my stepfather go. Hopefully that's a long way off but it doesn't look great and I just want to do what I can for them. I feel fairly helpless. 
For anyone who has had one of their parents die and wasn't living with them when they did - what did you do? I of course want to do everything I can for them both but I have no idea where to start except to call them once a day and ask how things are going.  I appreciate any advice any of you can offer.</t>
        </is>
      </c>
      <c r="D8396" t="n">
        <v>1</v>
      </c>
      <c r="E8396" t="n">
        <v>1</v>
      </c>
      <c r="F8396">
        <f>HYPERLINK("https://www.reddit.com/r/cancer/comments/flyz3d/pancreatic_cancer/")</f>
        <v/>
      </c>
      <c r="G8396" t="inlineStr">
        <is>
          <t>2020-03-20 10:29:00</t>
        </is>
      </c>
      <c r="H8396" t="inlineStr"/>
    </row>
    <row r="8397">
      <c r="A8397" t="inlineStr">
        <is>
          <t>flz71s</t>
        </is>
      </c>
      <c r="B8397" t="inlineStr">
        <is>
          <t>Vindictive work colleague complained about my fb post. I got sent home due to the coronavirus as I’m still on cancer treatment and classed as vulnerable.</t>
        </is>
      </c>
      <c r="C8397" t="inlineStr">
        <is>
          <t>I posted at home on my personal fb page with sarcasm “ stuck at home again watching Netflix and porn”. I got several likes and nobody commented their disproval.
Anyway next day my manager phoned me and asked what resources i have if I need to work at home and mentioned a work colleague took offence of my fb post cos everyone is busy and stressed out at work.
I told my manager I’ve done nothing wrong and I wasn’t gloating being at home and my fb wasn’t work related and work shouldn’t be involved.
Now I got really annoyed about this as it’s well known I’ve been fighting for my life last two yrs.
I’m considering making a complaint to HR.
Am I overreacting?</t>
        </is>
      </c>
      <c r="D8397" t="n">
        <v>1</v>
      </c>
      <c r="E8397" t="n">
        <v>9</v>
      </c>
      <c r="F8397">
        <f>HYPERLINK("https://www.reddit.com/r/cancer/comments/flz71s/vindictive_work_colleague_complained_about_my_fb/")</f>
        <v/>
      </c>
      <c r="G8397" t="inlineStr">
        <is>
          <t>2020-03-20 10:41:42</t>
        </is>
      </c>
      <c r="H8397" t="inlineStr"/>
    </row>
    <row r="8398">
      <c r="A8398" t="inlineStr">
        <is>
          <t>fm19n9</t>
        </is>
      </c>
      <c r="B8398" t="inlineStr">
        <is>
          <t>8-10 Hour Infusion Coming Up</t>
        </is>
      </c>
      <c r="C8398" t="inlineStr">
        <is>
          <t>First infusion. 8-10 hours, I am getting a private room with a tv/bed. Any tips? Im bringing books, handhelds, consoles, anything else you recommend? I can have edible weed if my nausea/lack of appetitte is gonna hit right away. Or am I just gonna want to sleep through it? Should I ask a friend/family to chill with me and bring cards/board games? What have you guys done?</t>
        </is>
      </c>
      <c r="D8398" t="n">
        <v>1</v>
      </c>
      <c r="E8398" t="n">
        <v>3</v>
      </c>
      <c r="F8398">
        <f>HYPERLINK("https://www.reddit.com/r/cancer/comments/fm19n9/810_hour_infusion_coming_up/")</f>
        <v/>
      </c>
      <c r="G8398" t="inlineStr">
        <is>
          <t>2020-03-20 12:39:24</t>
        </is>
      </c>
      <c r="H8398" t="inlineStr"/>
    </row>
    <row r="8399">
      <c r="A8399" t="inlineStr">
        <is>
          <t>fm23th</t>
        </is>
      </c>
      <c r="B8399" t="inlineStr">
        <is>
          <t>Stage IV Esophageal Cancer</t>
        </is>
      </c>
      <c r="C8399" t="inlineStr">
        <is>
          <t>Hi all, a family member has just been diagnosed with stage IV esophageal cancer. They are a non smoking, non drinking and relatively healthy overall individual. 
I guess my question is what is the best way to support them from afar? My area is currently in lockdown due to COVID, so visiting is out of the question. I’m not sure how to broach the subject with the person because it’s making me emotional and they don’t need to deal with my emotions on top of everything else. 
Does anyone have recommendations for a care kit that I could put together and send via mail?</t>
        </is>
      </c>
      <c r="D8399" t="n">
        <v>1</v>
      </c>
      <c r="E8399" t="n">
        <v>11</v>
      </c>
      <c r="F8399">
        <f>HYPERLINK("https://www.reddit.com/r/cancer/comments/fm23th/stage_iv_esophageal_cancer/")</f>
        <v/>
      </c>
      <c r="G8399" t="inlineStr">
        <is>
          <t>2020-03-20 13:27:49</t>
        </is>
      </c>
      <c r="H8399" t="inlineStr"/>
    </row>
    <row r="8400">
      <c r="A8400" t="inlineStr">
        <is>
          <t>fm284a</t>
        </is>
      </c>
      <c r="B8400" t="inlineStr">
        <is>
          <t>Melanoma's Asymmetry Criterion</t>
        </is>
      </c>
      <c r="C8400" t="inlineStr">
        <is>
          <t>Hi r/cancer
I have a doubt regarding the evaluation of melanocytic lesions, specifically the ones with potential for being a Melanoma. What is the criterion used to determine if a nevus is asymmetrical or not?
For clarification, I do not have a Melanoma myself, my interested is purely academical one. I am not a doctors either, but have interest on the medical field.
So far I have only been able to find superficial explainations, like the comparison of both halves of the lesion. After taking a look at around 10-15 articles, not a single one contained a quantitative value used to compare with the degree of symmetry of the lesions. To be more precise, what I am looking for is something like this:
&amp;gt; if a nevus has more than **X** degree of asymmetry, then that is a potential indicator for a Melanoma.
This question arose after seeing some CAD systems using pictures of skin lesions as parameters.</t>
        </is>
      </c>
      <c r="D8400" t="n">
        <v>1</v>
      </c>
      <c r="E8400" t="n">
        <v>4</v>
      </c>
      <c r="F8400">
        <f>HYPERLINK("https://www.reddit.com/r/cancer/comments/fm284a/melanomas_asymmetry_criterion/")</f>
        <v/>
      </c>
      <c r="G8400" t="inlineStr">
        <is>
          <t>2020-03-20 13:34:49</t>
        </is>
      </c>
      <c r="H8400" t="inlineStr"/>
    </row>
    <row r="8401">
      <c r="A8401" t="inlineStr">
        <is>
          <t>fm2ioc</t>
        </is>
      </c>
      <c r="B8401" t="inlineStr">
        <is>
          <t>Experience with chemo</t>
        </is>
      </c>
      <c r="C8401" t="inlineStr">
        <is>
          <t>Hi all,
It's my very first chemo treatment on Tuesday. I'm startimg off on Folfox and will be getting it every two weeks. I'm just wondering what everyone's exeperiences were.
Did you feel.sick the very first day?
Did it hit the next day.or the day after? Did you feel crap the whole time? 
The thought of not being able to plan anything feels really hard.</t>
        </is>
      </c>
      <c r="D8401" t="n">
        <v>1</v>
      </c>
      <c r="E8401" t="n">
        <v>24</v>
      </c>
      <c r="F8401">
        <f>HYPERLINK("https://www.reddit.com/r/cancer/comments/fm2ioc/experience_with_chemo/")</f>
        <v/>
      </c>
      <c r="G8401" t="inlineStr">
        <is>
          <t>2020-03-20 13:52:01</t>
        </is>
      </c>
      <c r="H8401" t="inlineStr"/>
    </row>
    <row r="8402">
      <c r="A8402" t="inlineStr">
        <is>
          <t>fm5ak4</t>
        </is>
      </c>
      <c r="B8402" t="inlineStr">
        <is>
          <t>mother soon to be gone.</t>
        </is>
      </c>
      <c r="C8402" t="inlineStr">
        <is>
          <t>my mother is currently in a comatose with a very short time left of living. I just turned 20, and is an only child, with a single mother. 
struggling heavily... 
any tips dealing with this? cause im a bit worried for myself based on how im doing.. 
🙁</t>
        </is>
      </c>
      <c r="D8402" t="n">
        <v>1</v>
      </c>
      <c r="E8402" t="n">
        <v>26</v>
      </c>
      <c r="F8402">
        <f>HYPERLINK("https://www.reddit.com/r/cancer/comments/fm5ak4/mother_soon_to_be_gone/")</f>
        <v/>
      </c>
      <c r="G8402" t="inlineStr">
        <is>
          <t>2020-03-20 16:40:38</t>
        </is>
      </c>
      <c r="H8402" t="inlineStr"/>
    </row>
    <row r="8403">
      <c r="A8403" t="inlineStr">
        <is>
          <t>fm5ryx</t>
        </is>
      </c>
      <c r="B8403" t="inlineStr">
        <is>
          <t>Coronavirus is scaring the shit out of me</t>
        </is>
      </c>
      <c r="C8403" t="inlineStr">
        <is>
          <t>So my dad had colorectal cancer, had surgery in December and was told he was cancer free.
In early January he began to have pains and it was discovered that his liver is covered in Tumors. He has been doing aggressive chemo with a plan for surgery but coronavirus has postponed his surgery. I’m so fucking scared that my dad will get coronavirus... he is immunocompromised and if he gets this he is absolutely fucked. I work in health care so I can’t even see him because of the chance I have the virus. I get so fucking angry at people downplaying coronavirus and continuing with life as if nothing is wrong... these people are putting my dad and so many others at risk. :(</t>
        </is>
      </c>
      <c r="D8403" t="n">
        <v>1</v>
      </c>
      <c r="E8403" t="n">
        <v>13</v>
      </c>
      <c r="F8403">
        <f>HYPERLINK("https://www.reddit.com/r/cancer/comments/fm5ryx/coronavirus_is_scaring_the_shit_out_of_me/")</f>
        <v/>
      </c>
      <c r="G8403" t="inlineStr">
        <is>
          <t>2020-03-20 17:11:51</t>
        </is>
      </c>
      <c r="H8403" t="inlineStr"/>
    </row>
    <row r="8404">
      <c r="A8404" t="inlineStr">
        <is>
          <t>fm6hth</t>
        </is>
      </c>
      <c r="B8404" t="inlineStr">
        <is>
          <t>No access to healthcare for 3 months with cancer</t>
        </is>
      </c>
      <c r="C8404" t="inlineStr">
        <is>
          <t>Hi there. So my dad was diagnosed with cancer and he needs surgery. He had an appointment today to see the specialist and to schedule the surgery. But this morning the hospital called to cancel all appointments and said that they would not see any patients until May at the soonest but possibly indefinitely. The other hospital in his area is doing the same thing but for 6 months. I'm at a loss. Is this happening in other areas? What should we do? The doctor had said that it would be best to move fast, so I'm a bit freaked out at the prospect of waiting indefinitely for medical care. Any advice or resources are welcome. Thank you.</t>
        </is>
      </c>
      <c r="D8404" t="n">
        <v>1</v>
      </c>
      <c r="E8404" t="n">
        <v>8</v>
      </c>
      <c r="F8404">
        <f>HYPERLINK("https://www.reddit.com/r/cancer/comments/fm6hth/no_access_to_healthcare_for_3_months_with_cancer/")</f>
        <v/>
      </c>
      <c r="G8404" t="inlineStr">
        <is>
          <t>2020-03-20 17:58:44</t>
        </is>
      </c>
      <c r="H8404" t="inlineStr"/>
    </row>
    <row r="8405">
      <c r="A8405" t="inlineStr">
        <is>
          <t>fm70ls</t>
        </is>
      </c>
      <c r="B8405" t="inlineStr">
        <is>
          <t>Coronavirus and collateral damage to cancer patients</t>
        </is>
      </c>
      <c r="C8405" t="inlineStr">
        <is>
          <t>Cancer is hard enough, but with the health system strained from coronavirus/CoVid-19, cancer patients will become collateral damage in order to save healthier people. This epidemic is a crisis, and that demands sacrifices, but it's tragic that people who have gone through so much, surviving months or years of chemo, radiation, surgery, and more, will not get the care they need and deserve. 
NYC hospitals now have a no visitor policy, unless the patient is end-of-life or incapacitated. Is your family member disabled, hard of hearing, or anxious? You can't help them. You can't be there. You just wait and hope they get out alive. 
That's if they get in the hospital at all; beds have already become scarce, and soon people ill with CoVid-19 will take them. That doctor, that room, that equipment that would handle a whipple procedure or lung resection will now go towards a patient that needs a ventilator. Surgeries are already being deferred, and, if they're not, the patient must recover in an environment latent with infection. They can't win.
Radiation has converted to the shortest courses necessary. For example, a typically long radiation course for colorectal cancer has been reduced to 5 days to minimize office visits and exposure.  Labs are closing indefinitely, delaying life-saving research. Doctors that normally request an office visit to help someone with, say, a neutropenic fever will err on the side of caution and have them stay home. Sometimes it won't be the right gamble.
Ultimately, lives will be shortened, lives will be lost. Not just by the hand of CoVid-19, but everything that comes with it. There will be a long tail of PTSD and anxiety for patients, caregivers, and healthcare workers when this is 'over'. I don't begrudge any institution for these choices, though I wish exceptions could be made. I simply lament what we'll lose.</t>
        </is>
      </c>
      <c r="D8405" t="n">
        <v>1</v>
      </c>
      <c r="E8405" t="n">
        <v>80</v>
      </c>
      <c r="F8405">
        <f>HYPERLINK("https://www.reddit.com/r/cancer/comments/fm70ls/coronavirus_and_collateral_damage_to_cancer/")</f>
        <v/>
      </c>
      <c r="G8405" t="inlineStr">
        <is>
          <t>2020-03-20 18:34:28</t>
        </is>
      </c>
      <c r="H8405" t="inlineStr"/>
    </row>
    <row r="8406">
      <c r="A8406" t="inlineStr">
        <is>
          <t>fm8d2t</t>
        </is>
      </c>
      <c r="B8406" t="inlineStr">
        <is>
          <t>15 with cancer. Stuff sucks</t>
        </is>
      </c>
      <c r="C8406" t="inlineStr">
        <is>
          <t>I found a pretty sizable lump in my neck on thanksgiving. So obviously I got it checked out. They say it’s probably a swollen lymph node. They took some blood and tested for mono. Negative. So now I need to go get a ct scan. Turns out I could have an infection that causes the blood vessels in the back of my brain to swell. So now I need to get an emergency brain mri. So my mom and I drive an hour to the only place that we could schedule one at. We get there and I get the scan done. We wait a few weeks and it turns out I don’t have an infection. So now I go back to the doctors office and he tells me I need a core needle biopsy. Up until this point I’ve only gotten my basic elementary school immunizations and I go for almost yearly physicals so all this stuff is really scary. So a week or two goes by and now it’s biopsy day. I go in and get it done. Test comes back negative. Doc instructs me to wait and see if it goes down. It doesn’t so now I need to get it removed. A month goes by and it’s now surgery day. I get the surgery done and go home. That brings us to today. 
So today I had my follow up. Doc checks it out, asks some questions, peels off the glue. Then he tells my mom to have a seat so I instantly know it’s bad news. He says that the path report isn’t finalized by the lady at the children’s hospital found some cancer in the corner of the node. He thinks this could be all of it because it’s very low grade but there’s still a chance it could’ve spread. 
I’m sorry if any of that was confusing I just needed to get that off my chest. I know this isn’t as bad as some other people’s experiences but just the thought of having cancer this young scares me.</t>
        </is>
      </c>
      <c r="D8406" t="n">
        <v>1</v>
      </c>
      <c r="E8406" t="n">
        <v>12</v>
      </c>
      <c r="F8406">
        <f>HYPERLINK("https://www.reddit.com/r/cancer/comments/fm8d2t/15_with_cancer_stuff_sucks/")</f>
        <v/>
      </c>
      <c r="G8406" t="inlineStr">
        <is>
          <t>2020-03-20 20:11:11</t>
        </is>
      </c>
      <c r="H8406" t="inlineStr"/>
    </row>
    <row r="8407">
      <c r="A8407" t="inlineStr">
        <is>
          <t>fm8pac</t>
        </is>
      </c>
      <c r="B8407" t="inlineStr">
        <is>
          <t>Is this much pain normal?</t>
        </is>
      </c>
      <c r="C8407" t="inlineStr">
        <is>
          <t>My mum in her mid 60s finished her cancer treatment about a month and a bit ago and she is in chronic pain all the time. She cramps up and experiences neuropathic pain. It’s the most terrible thing I have ever witnessed in my life.
The cycles before this painful but manageable. She has a very very high pain tolerance and wouldn’t normally complain. Before all of this happened, I don't think I've ever heard her complaining about pain.
But now, I hear her crying at night, saying pretty unpleasant stuff. She hardly gets any sleep, needs to walk with a walker now. She finds it hard to do normal things like get food and her medication from the fridge etc, so I have to do it for her.
I try and do my best but it’s just this constant pain that is unbearable. She is at rock bottom. 
We have spoke to our Doctors and they just say give her time. But no one should be living like this with the constant chronic pain she is in. It feels like torture.
She has tried all the of opioids and all the drugs for neuropathy / pain management. Like maybe 10 in total?
She has just received medical marijuana (extremely hard to find where I live) and it works but just makes her really sleepy. We are still experimenting with the right dosage and stuff. But just sleeping all day and doing nothing else is not a great way to be for her.
Does anyone have any experience with this?
The Doctors keep on saying the pain should go away, but it just keeps on getting worse. We pushed for a pain specialist (the Doctor was pretty hesitant to give us a referral), but apparently it takes a while to get an appointment.
I’m really worried that this is going to be a permanent thing (I don’t tell her that, but she has already expressed this concern)</t>
        </is>
      </c>
      <c r="D8407" t="n">
        <v>1</v>
      </c>
      <c r="E8407" t="n">
        <v>5</v>
      </c>
      <c r="F8407">
        <f>HYPERLINK("https://www.reddit.com/r/cancer/comments/fm8pac/is_this_much_pain_normal/")</f>
        <v/>
      </c>
      <c r="G8407" t="inlineStr">
        <is>
          <t>2020-03-20 20:37:25</t>
        </is>
      </c>
      <c r="H8407" t="inlineStr"/>
    </row>
    <row r="8408">
      <c r="A8408" t="inlineStr">
        <is>
          <t>fm95z2</t>
        </is>
      </c>
      <c r="B8408" t="inlineStr">
        <is>
          <t>Does having had Bleo put you as high risk for Covid 19?</t>
        </is>
      </c>
      <c r="C8408" t="inlineStr">
        <is>
          <t>I just learned that having had Bleo means you aren't supposed to get high flow oxygen.   What hasn't really been talked about is the risk of past chemo treatments and whether or not that puts a person at high risk even if they are in remission or even cured.</t>
        </is>
      </c>
      <c r="D8408" t="n">
        <v>1</v>
      </c>
      <c r="E8408" t="n">
        <v>7</v>
      </c>
      <c r="F8408">
        <f>HYPERLINK("https://www.reddit.com/r/cancer/comments/fm95z2/does_having_had_bleo_put_you_as_high_risk_for/")</f>
        <v/>
      </c>
      <c r="G8408" t="inlineStr">
        <is>
          <t>2020-03-20 21:12:56</t>
        </is>
      </c>
      <c r="H8408" t="inlineStr"/>
    </row>
    <row r="8409">
      <c r="A8409" t="inlineStr">
        <is>
          <t>fm9op1</t>
        </is>
      </c>
      <c r="B8409" t="inlineStr">
        <is>
          <t>I’m so sorry if this isn’t appropriate or sensitive to the community here, but if it’s okay I’d love your advice.</t>
        </is>
      </c>
      <c r="C8409" t="inlineStr">
        <is>
          <t>My doc just said my MRI showed Parotid Gland Lesions.  Had an X-ray done then day of my results. I assume the chest X-ray was to see, if the lesion is cancerous, whether there was spread to my lungs, but I’m just guessing. 
I can’t get an appointment with a cancer specialist for weeks because of COVID-19 fear.  I might be able to get a phone appointment in 3 weeks, but anything in person is looking like June. 
I know there’s a chance it’s benign. But my lymph nodes have been going crazy for weeks and I’ve had night sweats off and on where I’ve been drenched.  So I’m worried.  
If this isn’t sensitive to anyone who has confirmed cases, I am so sorry. But I don’t have anyone I can talk to about it. Everyone I know is so dramatically impacted by COVID-19 or the related economic destruction that I can’t imagine roping them into the several week waiting game I’m about to go through. 
For anyone who has been in limbo like this.  What do you think I should do?</t>
        </is>
      </c>
      <c r="D8409" t="n">
        <v>1</v>
      </c>
      <c r="E8409" t="n">
        <v>0</v>
      </c>
      <c r="F8409">
        <f>HYPERLINK("https://www.reddit.com/r/cancer/comments/fm9op1/im_so_sorry_if_this_isnt_appropriate_or_sensitive/")</f>
        <v/>
      </c>
      <c r="G8409" t="inlineStr">
        <is>
          <t>2020-03-20 21:56:26</t>
        </is>
      </c>
      <c r="H8409" t="inlineStr"/>
    </row>
    <row r="8410">
      <c r="A8410" t="inlineStr">
        <is>
          <t>fmc9et</t>
        </is>
      </c>
      <c r="B8410" t="inlineStr">
        <is>
          <t>I found a lump in my under arm</t>
        </is>
      </c>
      <c r="C8410" t="inlineStr">
        <is>
          <t>It's pretty small and not visible but when you squeeze it it's hard and it hurts when you squeeze it  idk what this is but I'm kinda scared</t>
        </is>
      </c>
      <c r="D8410" t="n">
        <v>1</v>
      </c>
      <c r="E8410" t="n">
        <v>2</v>
      </c>
      <c r="F8410">
        <f>HYPERLINK("https://www.reddit.com/r/cancer/comments/fmc9et/i_found_a_lump_in_my_under_arm/")</f>
        <v/>
      </c>
      <c r="G8410" t="inlineStr">
        <is>
          <t>2020-03-21 02:08:54</t>
        </is>
      </c>
      <c r="H8410" t="inlineStr"/>
    </row>
    <row r="8411">
      <c r="A8411" t="inlineStr">
        <is>
          <t>fmd53c</t>
        </is>
      </c>
      <c r="B8411" t="inlineStr">
        <is>
          <t>Should UK chemo patient self-isolate?</t>
        </is>
      </c>
      <c r="C8411" t="inlineStr">
        <is>
          <t>Hello hive mind,
My friend will start chemo on friday for stage 3 breast cancer. She's in the UK.
She has two young children and is still going to play dates with others, albeit outdoors playdates. She's saying she's going to be more cautious about coronavirus from the start of chemo, but will still continue going out.
I'm in another country and feel like she's taking unnecessary risks. I feel like she's in very real danger.
But I'm not sure if I'm overreacting due to being in a different country and have different perspective on the Coronvirus. And maybe i also feel guilty because I'm far away and can't get home to her.
What do you guys think? Should she be self-isolating with the kids and husband? Or is the need for continuing with some sense of normal life more important for her mental wellbeing?
Help me figure this out!</t>
        </is>
      </c>
      <c r="D8411" t="n">
        <v>1</v>
      </c>
      <c r="E8411" t="n">
        <v>0</v>
      </c>
      <c r="F8411">
        <f>HYPERLINK("https://www.reddit.com/r/cancer/comments/fmd53c/should_uk_chemo_patient_selfisolate/")</f>
        <v/>
      </c>
      <c r="G8411" t="inlineStr">
        <is>
          <t>2020-03-21 03:41:41</t>
        </is>
      </c>
      <c r="H8411" t="inlineStr"/>
    </row>
    <row r="8412">
      <c r="A8412" t="inlineStr">
        <is>
          <t>fmeqe1</t>
        </is>
      </c>
      <c r="B8412" t="inlineStr">
        <is>
          <t>What’s the worst you’ve ever been treated by medical staff?</t>
        </is>
      </c>
      <c r="C8412" t="inlineStr">
        <is>
          <t>Well, I was just sharing a story from my cancer diagnosis in 2018 and it was not pleasant, I was treated very poorly. I’m curious if anyone else was treated poorly and if so, do you know/think why? 
If enough people have experienced abuse, I’ll gladly share mine, or if someone asks for it lol.</t>
        </is>
      </c>
      <c r="D8412" t="n">
        <v>1</v>
      </c>
      <c r="E8412" t="n">
        <v>27</v>
      </c>
      <c r="F8412">
        <f>HYPERLINK("https://www.reddit.com/r/cancer/comments/fmeqe1/whats_the_worst_youve_ever_been_treated_by/")</f>
        <v/>
      </c>
      <c r="G8412" t="inlineStr">
        <is>
          <t>2020-03-21 06:10:17</t>
        </is>
      </c>
      <c r="H8412" t="inlineStr"/>
    </row>
    <row r="8413">
      <c r="A8413" t="inlineStr">
        <is>
          <t>fmeygk</t>
        </is>
      </c>
      <c r="B8413" t="inlineStr">
        <is>
          <t>My dad with NSCLC stage IV just started radiation yesterday</t>
        </is>
      </c>
      <c r="C8413" t="inlineStr">
        <is>
          <t>He gets high dosage on two bone mets. Current plan is 10 times, and then they'll do a general check-up again. He felt okay yesterday after the procedure, but I think it'll catch up with him this weekend. 
We're all a bit scared because he's not doing chemo, so this is the first time his immune system will probably go down. Please send a few positive thoughts our way ♡</t>
        </is>
      </c>
      <c r="D8413" t="n">
        <v>1</v>
      </c>
      <c r="E8413" t="n">
        <v>8</v>
      </c>
      <c r="F8413">
        <f>HYPERLINK("https://www.reddit.com/r/cancer/comments/fmeygk/my_dad_with_nsclc_stage_iv_just_started_radiation/")</f>
        <v/>
      </c>
      <c r="G8413" t="inlineStr">
        <is>
          <t>2020-03-21 06:28:07</t>
        </is>
      </c>
      <c r="H8413" t="inlineStr"/>
    </row>
    <row r="8414">
      <c r="A8414" t="inlineStr">
        <is>
          <t>fmk4zc</t>
        </is>
      </c>
      <c r="B8414" t="inlineStr">
        <is>
          <t>Flying</t>
        </is>
      </c>
      <c r="C8414" t="inlineStr">
        <is>
          <t>Hi everyone!
I suppose this is more of a rant and very informal PSA but if you’ve been wrestling with the issue of flying out to be with a family member during these uncertain times perhaps you should seriously consider leaving now. I live in the Bay Area and have a father in NJ fighting his final fight with pancreatic cancer.
Tried to fly out of SFO this morning just to be rerouted back after finding out NY/NJ is now restricted airspace and they aren’t letting anyone land. 
Going to try for Boston or DC and rent a car to make the drive but don’t wait until it gets to this point . Trust me, if you can avoid the stress and enjoy the time with your family do it. Do it now. 
P.S. - Remember to be kind and don’t take your frustrations out on those trying to help you or simply do their jobs. We’re al in this together.</t>
        </is>
      </c>
      <c r="D8414" t="n">
        <v>1</v>
      </c>
      <c r="E8414" t="n">
        <v>5</v>
      </c>
      <c r="F8414">
        <f>HYPERLINK("https://www.reddit.com/r/cancer/comments/fmk4zc/flying/")</f>
        <v/>
      </c>
      <c r="G8414" t="inlineStr">
        <is>
          <t>2020-03-21 12:01:11</t>
        </is>
      </c>
      <c r="H8414" t="inlineStr"/>
    </row>
    <row r="8415">
      <c r="A8415" t="inlineStr">
        <is>
          <t>fmlwwc</t>
        </is>
      </c>
      <c r="B8415" t="inlineStr">
        <is>
          <t>Elevated CA 72-4 level but normal CA 19-9 and CEA</t>
        </is>
      </c>
      <c r="C8415" t="inlineStr">
        <is>
          <t>Hi,
I recently consulted my doctor because of long lasting GERD (couple years) and recent bowel irregularities with initial diagnosis of IBS. My doctor ordered screening tests for these three markers before going on with endoscopy. 
Results: CEA 0.81, CA 19-9 4.2 U/mL and CA 72-4 11.2 U/mL.
After reading through many scientific articles and seeing that only very small percentage of increased CA 72-4 levels indicate false positives, I'm freaked out and convinced myself that I have GI cancer. I know I won't find out for sure until I get my endoscopy and further tests done but I'm wondering if any of you have any experience with these and their results.</t>
        </is>
      </c>
      <c r="D8415" t="n">
        <v>1</v>
      </c>
      <c r="E8415" t="n">
        <v>11</v>
      </c>
      <c r="F8415">
        <f>HYPERLINK("https://www.reddit.com/r/cancer/comments/fmlwwc/elevated_ca_724_level_but_normal_ca_199_and_cea/")</f>
        <v/>
      </c>
      <c r="G8415" t="inlineStr">
        <is>
          <t>2020-03-21 13:34:58</t>
        </is>
      </c>
      <c r="H8415" t="inlineStr"/>
    </row>
    <row r="8416">
      <c r="A8416" t="inlineStr">
        <is>
          <t>fmnj9v</t>
        </is>
      </c>
      <c r="B8416" t="inlineStr">
        <is>
          <t>When do chemo side effects start?</t>
        </is>
      </c>
      <c r="C8416" t="inlineStr">
        <is>
          <t>Starting chemo on Monday. I know I'm going to lose my hair and I want to cut it before that happens, but I don't know how much time I have. When does the skin/scalp start to become sensitive? I want to make sure I cut it before that happens but I also don't want to cut it too soon so that it starts growing back before it starts to fall out. 
I'll have low dose Taxol and Herceptin infusions once a week starting Monday.</t>
        </is>
      </c>
      <c r="D8416" t="n">
        <v>1</v>
      </c>
      <c r="E8416" t="n">
        <v>35</v>
      </c>
      <c r="F8416">
        <f>HYPERLINK("https://www.reddit.com/r/cancer/comments/fmnj9v/when_do_chemo_side_effects_start/")</f>
        <v/>
      </c>
      <c r="G8416" t="inlineStr">
        <is>
          <t>2020-03-21 14:49:00</t>
        </is>
      </c>
      <c r="H8416" t="inlineStr"/>
    </row>
    <row r="8417">
      <c r="A8417" t="inlineStr">
        <is>
          <t>fmoc3p</t>
        </is>
      </c>
      <c r="B8417" t="inlineStr">
        <is>
          <t>Should I stay home ?</t>
        </is>
      </c>
      <c r="C8417" t="inlineStr">
        <is>
          <t>Not ever a year ago I finished my stem cell transplant and ofc I had no immune system so I had to start rebuilding it. I had 2 flu shots and some other injections but I’m pretty sure my immune system isn’t like it used to be. I’m just wondering if I should stay home because of the covid-19 ?  I do live in a city and travel by buss to get to work and my work place is pretty packed.</t>
        </is>
      </c>
      <c r="D8417" t="n">
        <v>1</v>
      </c>
      <c r="E8417" t="n">
        <v>8</v>
      </c>
      <c r="F8417">
        <f>HYPERLINK("https://www.reddit.com/r/cancer/comments/fmoc3p/should_i_stay_home/")</f>
        <v/>
      </c>
      <c r="G8417" t="inlineStr">
        <is>
          <t>2020-03-21 15:26:21</t>
        </is>
      </c>
      <c r="H8417" t="inlineStr"/>
    </row>
    <row r="8418">
      <c r="A8418" t="inlineStr">
        <is>
          <t>fmof53</t>
        </is>
      </c>
      <c r="B8418" t="inlineStr">
        <is>
          <t>Mom got diagnosed with cancer, I live on the other side of the country (U.S) attending college. Need advice on life or just general perspective.</t>
        </is>
      </c>
      <c r="C8418" t="inlineStr">
        <is>
          <t>Hi, Everyone.
I am a BSN student attending the University of South Dakota, in the second of four nursing semesters, anticipated to graduate in May 2021, first generation to attend college (yay!, my mom is more proud of this than I, haha, thought this might bring a smile to those that read it).
My mom begged me to come visit her in South Florida during spring break back on the 10th of May, only to tell me she got diagnosed with non small cell adenocarcinoma stage 2 back in January of this year. To my understanding it is currently isolated to her left lung, but deemed inoperable due to poor gas exchange, she has since begun her first round of chemo and radiation therapy.
She is my sole surviving parent at the age of 66. My father passed away in 2011 at the age of 53, when I was 23 while serving on active duty in the Navy, hundreds of miles away, which limited my time spent visiting. I feel these situations are too similar and experiencing flashbacks of negative emotions.
I don't even know what to think of my situation. I have so many questions to process and no time as my nursing program is transitioning online and starting back up on the 23rd, at this point I wish college was just cancelled for the semester... I've reached out to my college to look into possibly getting an incomplete for this semester to allow me some time to work through this and still complete the semester, I don't want to recycle into the next class. I also reached out to the university's student counseling center to talk to someone about this too.
Any life perspective, advice, or professional opinion (if allowed) you could provide would be invaluable.
Thank you.</t>
        </is>
      </c>
      <c r="D8418" t="n">
        <v>1</v>
      </c>
      <c r="E8418" t="n">
        <v>5</v>
      </c>
      <c r="F8418">
        <f>HYPERLINK("https://www.reddit.com/r/cancer/comments/fmof53/mom_got_diagnosed_with_cancer_i_live_on_the_other/")</f>
        <v/>
      </c>
      <c r="G8418" t="inlineStr">
        <is>
          <t>2020-03-21 15:30:59</t>
        </is>
      </c>
      <c r="H8418" t="inlineStr"/>
    </row>
    <row r="8419">
      <c r="A8419" t="inlineStr">
        <is>
          <t>fmp0of</t>
        </is>
      </c>
      <c r="B8419" t="inlineStr">
        <is>
          <t>Loss of a father</t>
        </is>
      </c>
      <c r="C8419" t="inlineStr">
        <is>
          <t>Sometimes I’m fine but sometimes I just want to kill myself. I lost my dad 5 years ago to cancer and he was my best friend. Everything in my life feels like ambience/background noise now. I just want to kill myself. I hate existing. All I do is forget about it for a little while and then remember that he’s gone and I can’t ever talk to him again. I hate my life</t>
        </is>
      </c>
      <c r="D8419" t="n">
        <v>1</v>
      </c>
      <c r="E8419" t="n">
        <v>1</v>
      </c>
      <c r="F8419">
        <f>HYPERLINK("https://www.reddit.com/r/cancer/comments/fmp0of/loss_of_a_father/")</f>
        <v/>
      </c>
      <c r="G8419" t="inlineStr">
        <is>
          <t>2020-03-21 16:04:55</t>
        </is>
      </c>
      <c r="H8419" t="inlineStr"/>
    </row>
    <row r="8420">
      <c r="A8420" t="inlineStr">
        <is>
          <t>fmpti2</t>
        </is>
      </c>
      <c r="B8420" t="inlineStr">
        <is>
          <t>ABVD chest pain?</t>
        </is>
      </c>
      <c r="C8420" t="inlineStr">
        <is>
          <t>I have my 9th of 12 chemo sessions on Thursday. Ive been exclusively on AVD since the 4th treatment. Im wondering if any of you have experienced any chest pain as a side effect during your ABVD treatment?</t>
        </is>
      </c>
      <c r="D8420" t="n">
        <v>1</v>
      </c>
      <c r="E8420" t="n">
        <v>5</v>
      </c>
      <c r="F8420">
        <f>HYPERLINK("https://www.reddit.com/r/cancer/comments/fmpti2/abvd_chest_pain/")</f>
        <v/>
      </c>
      <c r="G8420" t="inlineStr">
        <is>
          <t>2020-03-21 16:51:13</t>
        </is>
      </c>
      <c r="H8420" t="inlineStr"/>
    </row>
    <row r="8421">
      <c r="A8421" t="inlineStr">
        <is>
          <t>fmq9ix</t>
        </is>
      </c>
      <c r="B8421" t="inlineStr">
        <is>
          <t>Suicide</t>
        </is>
      </c>
      <c r="C8421" t="inlineStr">
        <is>
          <t>Can’t wait to kill myself. Me (f22) lives with gf (24f) and just cannot wait to kms. My dad died when I was 16 and he was my best friend I feel like I’ll never know love like it ever again in my life. I’m always going to feel empty and unfulfilled and horrible.</t>
        </is>
      </c>
      <c r="D8421" t="n">
        <v>1</v>
      </c>
      <c r="E8421" t="n">
        <v>10</v>
      </c>
      <c r="F8421">
        <f>HYPERLINK("https://www.reddit.com/r/cancer/comments/fmq9ix/suicide/")</f>
        <v/>
      </c>
      <c r="G8421" t="inlineStr">
        <is>
          <t>2020-03-21 17:18:30</t>
        </is>
      </c>
      <c r="H8421" t="inlineStr"/>
    </row>
    <row r="8422">
      <c r="A8422" t="inlineStr">
        <is>
          <t>fmqn70</t>
        </is>
      </c>
      <c r="B8422" t="inlineStr">
        <is>
          <t>How can I support my friend?</t>
        </is>
      </c>
      <c r="C8422" t="inlineStr">
        <is>
          <t>Hi beautiful people,
So I just talked to my friend (from who I didn’t had any news in a week, which is unusual) and he told me that his mother was diagnosed with terminal kidney cancer.
Usually, I would go spend some time with him, give him the biggest hug and chat at his place.
But since we are asked to stay home (which I completely agree, plus his mother is already vulnerable), then I can’t commit to this plan.
So any ideas?
I thought I could send him a card and chat with him, but I don’t want to invade him and I want to be supportive in the most respectful way.
Thank you, beautiful community.</t>
        </is>
      </c>
      <c r="D8422" t="n">
        <v>1</v>
      </c>
      <c r="E8422" t="n">
        <v>2</v>
      </c>
      <c r="F8422">
        <f>HYPERLINK("https://www.reddit.com/r/cancer/comments/fmqn70/how_can_i_support_my_friend/")</f>
        <v/>
      </c>
      <c r="G8422" t="inlineStr">
        <is>
          <t>2020-03-21 17:42:48</t>
        </is>
      </c>
      <c r="H8422" t="inlineStr"/>
    </row>
    <row r="8423">
      <c r="A8423" t="inlineStr">
        <is>
          <t>fmr4qb</t>
        </is>
      </c>
      <c r="B8423" t="inlineStr">
        <is>
          <t>33 and Esophagus Cancer</t>
        </is>
      </c>
      <c r="C8423" t="inlineStr">
        <is>
          <t>I am 33, just diagnosed this passed friday with esophagus cancer. But that Monday I learned that the cancer had spread to my lymphoids abdominal and lower. Also some bones, they never specified which bones. I just found this reddit page by accident but I'm so scared right now. I have a 12 year old daughter right now and I still have so much more of her to help grow. I'm not ready to die in the slightest. I am on chemo now did my first visit with the hospital monday before I left. Side effects wont allow me to drink or eat anything cold. When a degree is reached my finger tips only get worse. I thought I was working through this well. But today shows me I am not. I am still freaking out. I'm not asking a question or wanting any advice unless you are willing to get some. I'm just scared and I've got  nothing else going right now. I'm trying so hard. Thank you.</t>
        </is>
      </c>
      <c r="D8423" t="n">
        <v>1</v>
      </c>
      <c r="E8423" t="n">
        <v>15</v>
      </c>
      <c r="F8423">
        <f>HYPERLINK("https://www.reddit.com/r/cancer/comments/fmr4qb/33_and_esophagus_cancer/")</f>
        <v/>
      </c>
      <c r="G8423" t="inlineStr">
        <is>
          <t>2020-03-21 18:14:56</t>
        </is>
      </c>
      <c r="H8423" t="inlineStr"/>
    </row>
    <row r="8424">
      <c r="A8424" t="inlineStr">
        <is>
          <t>fmso17</t>
        </is>
      </c>
      <c r="B8424" t="inlineStr">
        <is>
          <t>Immunosuppressed, COVID, and dental work...</t>
        </is>
      </c>
      <c r="C8424" t="inlineStr">
        <is>
          <t>I had a Bone Marrow Transplant 100 days ago, but my blood count numbers are still in the tank (platelets at 40, etc).  Had some serious liver complications (VOD) within the last six weeks, making me coagulopathic. Basically, I’m just one big bleeder.  Lol 
Sprinkle in the COVID pandemic...
So I realized yesterday my back molar’s filling fell out, leaving the whole side of my tooth exposed.  Clearly, infection is a huge worry. But an even bigger worry is trying to find a dentist that’ll take me (my state closed down all non emergency dental work) with this COVID situation, on top of me being a medical shit show. Seems like no one wants to touch me (and quite honest, the thought of going out and having someone’s hand in my mouth with all these cooties going around scares the crap out of me!) and I can’t find a dentist anywhere.  I’m just frustrated and now my ear on the same side as my tooth is a little sore. Blleehhhhhhhh.  
Just wanted to vent to some people that understand where I’m coming from. I hope you all are safe and staying indoors.  &amp;lt;3</t>
        </is>
      </c>
      <c r="D8424" t="n">
        <v>1</v>
      </c>
      <c r="E8424" t="n">
        <v>4</v>
      </c>
      <c r="F8424">
        <f>HYPERLINK("https://www.reddit.com/r/cancer/comments/fmso17/immunosuppressed_covid_and_dental_work/")</f>
        <v/>
      </c>
      <c r="G8424" t="inlineStr">
        <is>
          <t>2020-03-21 19:58:46</t>
        </is>
      </c>
      <c r="H8424" t="inlineStr"/>
    </row>
    <row r="8425">
      <c r="A8425" t="inlineStr">
        <is>
          <t>fmu7dl</t>
        </is>
      </c>
      <c r="B8425" t="inlineStr">
        <is>
          <t>My dad has to choose hospice over treatment and I’m lost.</t>
        </is>
      </c>
      <c r="C8425" t="inlineStr">
        <is>
          <t>My dad is 63. He was diagnosed with lung cancer in 2017 and was in remission for about two years after many rounds of chemo and radiation.
Over the last four months, the persistent cough returned and he began having pain in his throat. It has become so severe he can no longer eat. He has lost nearly 30lbs in 3 months. The cancer doctor he was seeing assured him it was probably an infection, check in to urgent care and let them take a look. They diagnosed him with pneumonia. He did rounds of steroids and antibiotics and it only got worse. Our family doctor was concerned enough to send him to the ER where they did a CT and found a mass in that same lung, and an even larger one in his throat. The masses are confirmed to be cancerous, very aggressive, and have grown significantly just over the past week. 
We went from thinking less than a week ago that this could be treated and there was a chance, to doctors saying there was nothing they could do and that it’s best to call in hospice. Radiation would only prolong his suffering and surgery isn’t an option. Hospice came to the house today and set up his bed and began pain management once he was brought home from the hospital. It is all so surreal. 
I’m here to ask if anyone has experience with this. His breathing is terrible, the cough is worse by the day, his skin is already so cold. My dad is tired and in so much pain. I have never seen him this weak and I just feel like for whatever reason I want to know how long he may hang on like this and how in the world do I ever learn to do life without him. And how can I help make his last days easier? Am I even in the right sub for this? Sorry I’m all over the place. I’m honestly still trying to soak all of this in.</t>
        </is>
      </c>
      <c r="D8425" t="n">
        <v>1</v>
      </c>
      <c r="E8425" t="n">
        <v>3</v>
      </c>
      <c r="F8425">
        <f>HYPERLINK("https://www.reddit.com/r/cancer/comments/fmu7dl/my_dad_has_to_choose_hospice_over_treatment_and/")</f>
        <v/>
      </c>
      <c r="G8425" t="inlineStr">
        <is>
          <t>2020-03-21 21:46:07</t>
        </is>
      </c>
      <c r="H8425" t="inlineStr"/>
    </row>
    <row r="8426">
      <c r="A8426" t="inlineStr">
        <is>
          <t>fmyes3</t>
        </is>
      </c>
      <c r="B8426" t="inlineStr">
        <is>
          <t>What’s the best you’ve ever been treated by medical staff?</t>
        </is>
      </c>
      <c r="C8426" t="inlineStr">
        <is>
          <t>Since I made the post of the opposite. Let’s do a post about positive hospital experiences. 
I’ll go first. When I was first diagnosed with cancer, I was Hospitalized instantly. Due to my medical history, I had doctors from all walks of life in my hospital coming to examine me(seriously. At one point I had a. Paediatric burn doctor sending me for tests and inquiring about my health. 
Anyways. My cancer doctor had this student doctor. I forget what they’re called. He was like in his last year of school. His name was Adam and this guy saved my life. 
Every day I was in hospital, he was working. Some days were his basic 12 hours, others were longer. But no matter what. For two weeks. Anytime he finished his shift. He came to my room and we shot the shit for 2-3 hours every day. He was even planning his wedding and a move. But he always came to visit me. We talked about life, loads of video games, and so much more.
During my stay in the hospital, I felt like a zoo exhibit. I saw anywhere from 5-15 different doctors a day. They were only interested in my case. Hit Adam. He was interested in who I was. Even my wife, a nurse and someone chronically ill aswell had never seen a doctor put his going home on hold just to chat. 
I owe Adam my life. My head got a real dark spot at the start and this guy treated me like a true friend. He would insult, we talked about our favourite video games and movies. And that small gesture helped me to not give up. He’s the best man I’ve ever known in my life and I wish I could meet him again and truly thank him. 
So what about you guys. Any stories of medical staff being amazing? They don’t need to be some crazy long story like mine. Anything from getting some Ice, to giving you massage(which I had a Nightshift nurse do for me once)</t>
        </is>
      </c>
      <c r="D8426" t="n">
        <v>1</v>
      </c>
      <c r="E8426" t="n">
        <v>17</v>
      </c>
      <c r="F8426">
        <f>HYPERLINK("https://www.reddit.com/r/cancer/comments/fmyes3/whats_the_best_youve_ever_been_treated_by_medical/")</f>
        <v/>
      </c>
      <c r="G8426" t="inlineStr">
        <is>
          <t>2020-03-22 04:20:44</t>
        </is>
      </c>
      <c r="H8426" t="inlineStr"/>
    </row>
    <row r="8427">
      <c r="A8427" t="inlineStr">
        <is>
          <t>fmyrzx</t>
        </is>
      </c>
      <c r="B8427" t="inlineStr">
        <is>
          <t>why should wash hands for 20 sec and not 10 or 12 or 17</t>
        </is>
      </c>
      <c r="C8427" t="inlineStr">
        <is>
          <t xml:space="preserve"> [https://www.vox.com/science-and-health/2020/3/11/21173187/coronavirus-covid-19-hand-washing-sanitizer-compared-soap-is-dope](https://www.vox.com/science-and-health/2020/3/11/21173187/coronavirus-covid-19-hand-washing-sanitizer-compared-soap-is-dope)</t>
        </is>
      </c>
      <c r="D8427" t="n">
        <v>1</v>
      </c>
      <c r="E8427" t="n">
        <v>0</v>
      </c>
      <c r="F8427">
        <f>HYPERLINK("https://www.reddit.com/r/cancer/comments/fmyrzx/why_should_wash_hands_for_20_sec_and_not_10_or_12/")</f>
        <v/>
      </c>
      <c r="G8427" t="inlineStr">
        <is>
          <t>2020-03-22 04:54:27</t>
        </is>
      </c>
      <c r="H8427" t="inlineStr"/>
    </row>
    <row r="8428">
      <c r="A8428" t="inlineStr">
        <is>
          <t>fn2n9p</t>
        </is>
      </c>
      <c r="B8428" t="inlineStr">
        <is>
          <t>I miss the times when I wasn't sick</t>
        </is>
      </c>
      <c r="C8428" t="inlineStr">
        <is>
          <t>I miss the times when I don't feel sick from the chemo and could eat anything. I miss the times when I had no permanent damages from my cancer and could still see properly. I miss the times when I wasn't in pain all the time. I miss the times when I wasn't so depressed and anxious.
I just want to go back :(</t>
        </is>
      </c>
      <c r="D8428" t="n">
        <v>1</v>
      </c>
      <c r="E8428" t="n">
        <v>35</v>
      </c>
      <c r="F8428">
        <f>HYPERLINK("https://www.reddit.com/r/cancer/comments/fn2n9p/i_miss_the_times_when_i_wasnt_sick/")</f>
        <v/>
      </c>
      <c r="G8428" t="inlineStr">
        <is>
          <t>2020-03-22 09:46:27</t>
        </is>
      </c>
      <c r="H8428" t="inlineStr"/>
    </row>
    <row r="8429">
      <c r="A8429" t="inlineStr">
        <is>
          <t>fn598p</t>
        </is>
      </c>
      <c r="B8429" t="inlineStr">
        <is>
          <t>First Infusion Anxiety</t>
        </is>
      </c>
      <c r="C8429" t="inlineStr">
        <is>
          <t>Already posted about this and was much more bold about a week out. Now Im super fucking worried about being up at around 5:30, into my first thing at 6:45, bloodwork, ekg, more talking, infusion by 10, about 9 hours. I have the new Animal Crossing on my Switch, a book, snacks, and my Wii. Obviously rocking pjs the whole time. Already posted asking ugiwhat to expect, honestly just need to vent. Kind of terrified of what's going to happen to my body. Right now the PET scan showed Im basically just in the leg, this chemo would wipe out any tiny bits that spread. So if I survive this, we should be good. Surgery for removal and Im basically home free. I just want to get through this and chemo is a big unknown right 
Also my cat cant sit on my chest.anymore because he might hit my port and it sucks. Because he keeps trying and I have to keep moving him. And they cant even sleep in my room when I get the 48 hour pump. So theyll be all sad and Ill want to cuddle them.
Anyway it's kinda been a whirlwind from it being diagnosed as malgninant basically a month a go to chemo tomorrow. It's just been a lot.</t>
        </is>
      </c>
      <c r="D8429" t="n">
        <v>1</v>
      </c>
      <c r="E8429" t="n">
        <v>3</v>
      </c>
      <c r="F8429">
        <f>HYPERLINK("https://www.reddit.com/r/cancer/comments/fn598p/first_infusion_anxiety/")</f>
        <v/>
      </c>
      <c r="G8429" t="inlineStr">
        <is>
          <t>2020-03-22 12:14:36</t>
        </is>
      </c>
      <c r="H8429" t="inlineStr"/>
    </row>
    <row r="8430">
      <c r="A8430" t="inlineStr">
        <is>
          <t>fn5jpr</t>
        </is>
      </c>
      <c r="B8430" t="inlineStr">
        <is>
          <t>Social Distancing</t>
        </is>
      </c>
      <c r="C8430" t="inlineStr">
        <is>
          <t>Limited physical access to the outside world. Hand sanitizer. Six feet of space between people.  Hand washing. No school. No work. No visitors to your home. No visitors to your hospital room. No dining in restaurants. Take out only. Masks. Gloves. Cancellations. 
To many, this is all shocking and unfathomable. To those suffering through cancer treatments and organ transplants, this is life. This whole social distancing thing is a shock to our systems. Humans are social by nature. They thrive in the company of others, need physical interactions. The entire population is getting a taste of what the immunocompromised community faces daily.
For most of us, it has been about a week since we’ve been in “lockdown”. For a week we have been home with our immediate family, eating our meals at home, working virtually, using resources available to “teach” our children, and trying to navigate this new, shocking reality.
No sports on the fields, no sports on TV. We are so grateful for the TB12 decision, only because it gives us something to talk about. We, Patriots Nation, will miss him, but we really needed the distraction, thanks Tom. Our kids, who are so overly scheduled now have nothing. This pandemic is causing us to be creative at home.
Again, welcome to the immunocompromised world. What you are experiencing now, is life for the immunocompromised. With luck and science, hopefully you can get back to some normalcy in a few weeks. For the immunocompromised, it can be months and sometimes years. You are a week in and going stir crazy. Imagine you are six months in, without an outing? Imagine what you are experiencing right now, it lasts for a year. Not only that, but everyone else, your friends, extended family, are back to living a normal life. You. You are stuck, frozen in this isolating reality. You are watching friends gather. You are hearing stories of that great party you could not take part in, the fabulous new restaurant you can not go to, the wedding you were supposed to be in, but sadly could not even attend. 
You, the general population, are receiving a taste. A taste of what life is like for an unnoticed segment of our population--- the immunocompromised population. So, while you are practicing social distancing, be grateful. Be grateful that you are not alone in your isolation. Be grateful that the entire population is going through the exact same thing. Be grateful that you are not missing gatherings, because no one is gathering. Be grateful that it is likely temporary, and you can resume your regular activities soon. 
When this crisis is over, please remember how it felt. Please remember how frustrating it was to be stuck home. Please remember how much you missed physical interactions and social get-togethers. Please remember that although your work colleagues may drive you crazy, you actually enjoy going to work. Please remember that your child’s teacher is amazing. Please remember that there is a portion of our population that cannot go back to normal. Remember that there are countless men, women and children who are forced to remain secluded from the outside world. They did nothing wrong. This isolation is due to treatment for terrible diseases. Men, women and children who must constantly wash their hands, must stay six feet away from people, can’t dine in restaurants, must wear masks in public, can’t have visitors in their homes and have a best friend in hand sanitizer. 
Social distancing is not new, it is just new to you.</t>
        </is>
      </c>
      <c r="D8430" t="n">
        <v>1</v>
      </c>
      <c r="E8430" t="n">
        <v>3</v>
      </c>
      <c r="F8430">
        <f>HYPERLINK("https://www.reddit.com/r/cancer/comments/fn5jpr/social_distancing/")</f>
        <v/>
      </c>
      <c r="G8430" t="inlineStr">
        <is>
          <t>2020-03-22 12:31:04</t>
        </is>
      </c>
      <c r="H8430" t="inlineStr"/>
    </row>
    <row r="8431">
      <c r="A8431" t="inlineStr">
        <is>
          <t>fn8ayg</t>
        </is>
      </c>
      <c r="B8431" t="inlineStr">
        <is>
          <t>Go get checked asap</t>
        </is>
      </c>
      <c r="C8431" t="inlineStr">
        <is>
          <t>February 2019 I was perfectly fine, went for a ride one evening and felt a little rundown, woke up at 3am with horrible abdominal cramps, an hour or two later the worst diarrhoea of my life. Thought it was gastro or food poisoning. It was that frequent leaving the house to go to the doctors was impossible. Decided to try weather it out til I could get to the doctors. 
That night I got the home visit doctor to come see me, he gave me something to help with the cramping and something else to stop the diarrhoea. I finally got about 4 hours relief until I woke up at 2am with cramps and diarrhoea again, every 10 minutes. By this stage I was weak and almost passing out every time I stood up. Called an ambulance and they took me to hospital. I blacked out about half an hour after getting there. It took 11 hours to stabilise me enough to move from emergency to ICU, I was there for almost 2 weeks. 
Found out I had colorectal tumour which blocked my bowel causing the cramps, body decided to use whatever liquid I had in me to flush waste out. That caused my kidneys to shut down and by the time I got to hospital I was going into acute renal failure. Any later with the ambulance I wouldn’t be here now. 
I had the tumour removed and was given an ileostomy. In April I started chemo for the 2 lesions (4mmx5mm) they found on my liver. 5 treatments in and the 2 had become 4 (22mmx25mm) and I was scheduled for liver surgery. I’m about 8 weeks out of hospital now after having 65% of my liver removed. About to have another set of PET scans and a colonoscopy then meet with surgical team and oncologist to discuss the next steps. 
Long story short, get checked now, not next month.</t>
        </is>
      </c>
      <c r="D8431" t="n">
        <v>1</v>
      </c>
      <c r="E8431" t="n">
        <v>14</v>
      </c>
      <c r="F8431">
        <f>HYPERLINK("https://www.reddit.com/r/cancer/comments/fn8ayg/go_get_checked_asap/")</f>
        <v/>
      </c>
      <c r="G8431" t="inlineStr">
        <is>
          <t>2020-03-22 15:09:38</t>
        </is>
      </c>
      <c r="H8431" t="inlineStr"/>
    </row>
    <row r="8432">
      <c r="A8432" t="inlineStr">
        <is>
          <t>fn9ivs</t>
        </is>
      </c>
      <c r="B8432" t="inlineStr">
        <is>
          <t>My dad is dying</t>
        </is>
      </c>
      <c r="C8432" t="inlineStr">
        <is>
          <t>I wrote this on r/offmychest as well
I can’t think well. Just need some support 
About a month ago, my dad was diagnosed with stage 4 lung cancer. He also has diabetes, his kidneys are working only 20-30 percent, and has heart problems. 
Because of the corona situation, dad was discharged from the hospital without any warning. We received no help, no medical assistance, no help to transport him to doctor visits absolutely nothing. Dad is the only financial breadwinner of family so we are running out of money too. 
But it didn’t matter. I was happy to see dad again, but everytime I saw him in pain, every time I saw him struggling to breathe, I felt like a part of me was dying too. When I was sick, when I was scared, I ran to my dad for comfort. Every night before I went to sleep, I always hugged and kissed my parents even if others made fun of me. I’m 26 and I have no shame showing my parents love. Because they are my greatest blessings in life. Now, the person I love the most is in so much pain, and there’s nothing I, a useless daughter can do. 
Dad went back to the emergency room on Friday night as his sugar level was extremely low and it wasn’t going back up. He needed blood which we also didn’t realize. And every day his condition is getting worse. Every night I am so scared to sleep because I’m so afraid to wake up the night day and hear dad isn’t there anymore
My happiest memory, my happiest moment was being my dad’s daughter. If I were to be reborn, I want to be his daughter again. I can’t explain how much I love my dad. Even when he was sick, he was trying to pay off my student loan, even at his most painful moment, he was thinking of me
It would have been better if it was me who was sick. I would gladly give my life if it meant that my dad could live 20 more years. They say that a parent should never have to bury their child but their kids shouldn’t also have to bury their parents even if it’s a natural process of life.
The time I have left with my dad is short and the pain in my heart feels like it will burst my heart open. 
I can’t even see my dad because my immune system is compromised and my dad doesn’t want me to be sick. I’m such a useless daughter, I couldn’t even graduate on time
I wanted my dad to see my get my diploma, I wanted him to be the first person to know I got my first job, I wanted to hug and kiss him before going to sleep even at the age of 30, I wanted him to walk me down the aisle when I get married
My dad is dying and so is a part of me.</t>
        </is>
      </c>
      <c r="D8432" t="n">
        <v>1</v>
      </c>
      <c r="E8432" t="n">
        <v>16</v>
      </c>
      <c r="F8432">
        <f>HYPERLINK("https://www.reddit.com/r/cancer/comments/fn9ivs/my_dad_is_dying/")</f>
        <v/>
      </c>
      <c r="G8432" t="inlineStr">
        <is>
          <t>2020-03-22 16:24:19</t>
        </is>
      </c>
      <c r="H8432" t="inlineStr"/>
    </row>
    <row r="8433">
      <c r="A8433" t="inlineStr">
        <is>
          <t>fn9pf9</t>
        </is>
      </c>
      <c r="B8433" t="inlineStr">
        <is>
          <t>My ma has hours left, I am losing it.</t>
        </is>
      </c>
      <c r="C8433" t="inlineStr">
        <is>
          <t>I have been her caretaker since her diagnosis of lung cancer is past June, which spread to her brain.  I took her to every appointment.  I cleaned her.  I fed her.  She started hospice on NYE, treatment had failed.  She just stares into space, doesn’t blink, her mouth is agape and is generally unresponsive.  I am in such a fog right now.  
How do you cope with this?  I go from angry to hopeless in a matter of minutes.</t>
        </is>
      </c>
      <c r="D8433" t="n">
        <v>1</v>
      </c>
      <c r="E8433" t="n">
        <v>19</v>
      </c>
      <c r="F8433">
        <f>HYPERLINK("https://www.reddit.com/r/cancer/comments/fn9pf9/my_ma_has_hours_left_i_am_losing_it/")</f>
        <v/>
      </c>
      <c r="G8433" t="inlineStr">
        <is>
          <t>2020-03-22 16:35:58</t>
        </is>
      </c>
      <c r="H8433" t="inlineStr"/>
    </row>
    <row r="8434">
      <c r="A8434" t="inlineStr">
        <is>
          <t>fnc6xn</t>
        </is>
      </c>
      <c r="B8434" t="inlineStr">
        <is>
          <t>I have a port a cath</t>
        </is>
      </c>
      <c r="C8434" t="inlineStr">
        <is>
          <t>I’m trying to learn to self access my port (I don’t have cancer just a chronic illness) and struggling to get it in the right spot. Any advice and tips would be helpful. I’m trying my best to not waste supply’s and not have to go to the infustion center right now with this coronacrisis because I don’t want to put others at more risk so fingers crossed I can do it at home in the first or second try but any advice would really be appreciated.💜</t>
        </is>
      </c>
      <c r="D8434" t="n">
        <v>1</v>
      </c>
      <c r="E8434" t="n">
        <v>10</v>
      </c>
      <c r="F8434">
        <f>HYPERLINK("https://www.reddit.com/r/cancer/comments/fnc6xn/i_have_a_port_a_cath/")</f>
        <v/>
      </c>
      <c r="G8434" t="inlineStr">
        <is>
          <t>2020-03-22 19:19:12</t>
        </is>
      </c>
      <c r="H8434" t="inlineStr"/>
    </row>
    <row r="8435">
      <c r="A8435" t="inlineStr">
        <is>
          <t>fnca85</t>
        </is>
      </c>
      <c r="B8435" t="inlineStr">
        <is>
          <t>Dad has weeks left to live. Found out he lied &amp;amp; lost 90% of my mom’s retirement savings.</t>
        </is>
      </c>
      <c r="C8435" t="inlineStr">
        <is>
          <t>Struggling so hard right now. My dad has weeks left to live and my mom revealed he’s just admitted he lost most of their life savings on risky stocks. He’s been lying about the balance for years. She was set to retire this year. 
It’s heartbreaking - my mom’s been so frugal her whole life, the breadwinner, and my dad’s always been the spender. She has Parkinson’s. To know that she saved so hard for him to ruin it...
I want to be furious, yell, etc... though she made me promise to pretend I don’t know. Though he’s terminally ill, he’s felt better and has been asking for us to fetch him his favorite meals everyday. I don’t want to have my last memory of him be filled with anger, but it’s so hard that even in his last days he’s nipping away at my mom’s hard earned money.</t>
        </is>
      </c>
      <c r="D8435" t="n">
        <v>1</v>
      </c>
      <c r="E8435" t="n">
        <v>15</v>
      </c>
      <c r="F8435">
        <f>HYPERLINK("https://www.reddit.com/r/cancer/comments/fnca85/dad_has_weeks_left_to_live_found_out_he_lied_lost/")</f>
        <v/>
      </c>
      <c r="G8435" t="inlineStr">
        <is>
          <t>2020-03-22 19:25:53</t>
        </is>
      </c>
      <c r="H8435" t="inlineStr"/>
    </row>
    <row r="8436">
      <c r="A8436" t="inlineStr">
        <is>
          <t>fncrpy</t>
        </is>
      </c>
      <c r="B8436" t="inlineStr">
        <is>
          <t>I just want some more information</t>
        </is>
      </c>
      <c r="C8436" t="inlineStr">
        <is>
          <t>Hi everyone, 
A family member of mine has been diagnosed with stage 4 lung and abdominal cancer. My whole family and I are in absolute shock as this person has lived a healthy non smoking life and is very young (40s). I just dont know how to handle this, they seemed perfectly fine this just came out of no where!! I was just wondering if anyone could provide me with more information (life expectancy, treatment), if you have personal experience I would be forever grateful to hear it! How do I handle this and how can I help them?</t>
        </is>
      </c>
      <c r="D8436" t="n">
        <v>1</v>
      </c>
      <c r="E8436" t="n">
        <v>7</v>
      </c>
      <c r="F8436">
        <f>HYPERLINK("https://www.reddit.com/r/cancer/comments/fncrpy/i_just_want_some_more_information/")</f>
        <v/>
      </c>
      <c r="G8436" t="inlineStr">
        <is>
          <t>2020-03-22 20:00:50</t>
        </is>
      </c>
      <c r="H8436" t="inlineStr"/>
    </row>
    <row r="8437">
      <c r="A8437" t="inlineStr">
        <is>
          <t>fnglyo</t>
        </is>
      </c>
      <c r="B8437" t="inlineStr">
        <is>
          <t>Is This Melanoma? Fingernail</t>
        </is>
      </c>
      <c r="C8437" t="inlineStr">
        <is>
          <t>I'm never this is Melanoma, I've had it on my fingernail since late August September. Appeared out of nowhere. It's only on this one nail. It could also be pigmentation or Melanin. Who knows.</t>
        </is>
      </c>
      <c r="D8437" t="n">
        <v>1</v>
      </c>
      <c r="E8437" t="n">
        <v>0</v>
      </c>
      <c r="F8437">
        <f>HYPERLINK("https://www.reddit.com/r/cancer/comments/fnglyo/is_this_melanoma_fingernail/")</f>
        <v/>
      </c>
      <c r="G8437" t="inlineStr">
        <is>
          <t>2020-03-23 01:37:46</t>
        </is>
      </c>
      <c r="H8437" t="inlineStr"/>
    </row>
    <row r="8438">
      <c r="A8438" t="inlineStr">
        <is>
          <t>fnh62k</t>
        </is>
      </c>
      <c r="B8438" t="inlineStr">
        <is>
          <t>Talking about cancer prediction/lesion analysis, which kind of mathematical model is most prevalent in current times?</t>
        </is>
      </c>
      <c r="C8438" t="inlineStr">
        <is>
          <t>I'm a computer science student from India. My team is working on a project that aims at analyzing probabilistic models of changes in cellular behavior due to radiation. To continue to do so, we need some information regarding the current prevalent models that help in predicting cellular death/lesion formation in accordance of radiation exposure.
&amp;amp;#x200B;
**Also if possible, it would be a great help if you could provide a link to any helpful research papers related to this topic!**</t>
        </is>
      </c>
      <c r="D8438" t="n">
        <v>1</v>
      </c>
      <c r="E8438" t="n">
        <v>0</v>
      </c>
      <c r="F8438">
        <f>HYPERLINK("https://www.reddit.com/r/cancer/comments/fnh62k/talking_about_cancer_predictionlesion_analysis/")</f>
        <v/>
      </c>
      <c r="G8438" t="inlineStr">
        <is>
          <t>2020-03-23 02:33:19</t>
        </is>
      </c>
      <c r="H8438" t="inlineStr"/>
    </row>
    <row r="8439">
      <c r="A8439" t="inlineStr">
        <is>
          <t>fnlvap</t>
        </is>
      </c>
      <c r="B8439" t="inlineStr">
        <is>
          <t>I'm in remission after testicular cancer which metastasised to my lungs. Am I high risk of COVID-19?</t>
        </is>
      </c>
      <c r="C8439" t="inlineStr">
        <is>
          <t>Hi everyone. I'm concerned that I may be higher risk than others right now of contracting the coronavirus and having it severely impact my body. I had testicular cancer in late 2017, had surgery, and completed 3xBEP chemotherapy in 2018. Unfortunately by the time I started chemo, it had already spread to my lungs. The chemo worked, but I now have permanent nodes on my lungs, but I've been cancer free since then. The chemo/cancer also depleted my immune system and I had to inject a medication every so often to increase my neutrophils since I was neutropenic. This was for a few weeks after chemo too. During chemo, I also caught the flu and was hospitalised as it left me in a dangerous state, but thankfully recovered.  
Anyway, flash forward to 2020 and we are now faced with the COVID-19 coronavirus taking over our lives. I'm wondering if anyone could give me some indication of whether I'm considered high risk at the moment and whether I should be even more cautious than most right now?  
For example my partner lives separately from me and we see other 1-3 times a week, while I'm at home right now, they are still working and close to LOTS of different people in their office. I'm not sure whether I should be around my partner, ie inviting them into my house and sharing our space together or not. Can anyone please advise?
&amp;amp;#x200B;
Thank you in advance :)</t>
        </is>
      </c>
      <c r="D8439" t="n">
        <v>1</v>
      </c>
      <c r="E8439" t="n">
        <v>20</v>
      </c>
      <c r="F8439">
        <f>HYPERLINK("https://www.reddit.com/r/cancer/comments/fnlvap/im_in_remission_after_testicular_cancer_which/")</f>
        <v/>
      </c>
      <c r="G8439" t="inlineStr">
        <is>
          <t>2020-03-23 08:31:52</t>
        </is>
      </c>
      <c r="H8439" t="inlineStr"/>
    </row>
    <row r="8440">
      <c r="A8440" t="inlineStr">
        <is>
          <t>fnprjq</t>
        </is>
      </c>
      <c r="B8440" t="inlineStr">
        <is>
          <t>Good primer to learn more about brain cancer?</t>
        </is>
      </c>
      <c r="C8440" t="inlineStr">
        <is>
          <t>My grandpa has recently been diagnosed with what is supposed to be grade 4 glioblastoma and is currently awaiting surgery - I'm trying to read as much as I can to learn as much as possible about the disease, the treatment and the mechanics of it all to be prepared and to be knowledgeable for my gramps too, but I find it really hard to find a good, all-around info laid out for laymen rather than either short broad descriptions or diving deep into specific case studies.
I have no knowledge of the field and while I do know the most general stuff (like the prognoses, what _seems_ to affect better prognoses, the standard treatment with surgery + radiation + chemo etc.), I'd just like to _understand_ the disease. Like, what it exactly is in layman terms, why actually is it not treatable if we can remove most of it with surgery and then the rest with radiation, what are the possible side effects of surgery, of radiotherapy, of chemo, what does the rehabilition look like after surgery and does everyone need it - you know, the general stuff, but I'd just like to get a better, thorough understanding and to get some grasp on it. Yet mostly I'm finding either very vague definitions on all the popular health sites or some scientific studies which make it hard for a layman like me to draw conclusions on the current state of things, therapies and common obstacles along the way. And what I'm looking for is kind of a middle ground between those two.
Anything you would recommend? Videos, articles, whatever.</t>
        </is>
      </c>
      <c r="D8440" t="n">
        <v>1</v>
      </c>
      <c r="E8440" t="n">
        <v>1</v>
      </c>
      <c r="F8440">
        <f>HYPERLINK("https://www.reddit.com/r/cancer/comments/fnprjq/good_primer_to_learn_more_about_brain_cancer/")</f>
        <v/>
      </c>
      <c r="G8440" t="inlineStr">
        <is>
          <t>2020-03-23 12:04:36</t>
        </is>
      </c>
      <c r="H8440" t="inlineStr"/>
    </row>
    <row r="8441">
      <c r="A8441" t="inlineStr">
        <is>
          <t>fnqhc8</t>
        </is>
      </c>
      <c r="B8441" t="inlineStr">
        <is>
          <t>My mom passed away this morning.</t>
        </is>
      </c>
      <c r="C8441" t="inlineStr">
        <is>
          <t>We "lost" my mom this morning. Quotations because, I know she is forever with us.
Acute Myeloid Leukemia and Myeloid Sarcoma.
She was the most beautiful woman I've ever seen. 58 years old. My dad, brother, and cousin were in the room when it happened. Sister and I were sleeping. My dad told her it was okay to go, and she passed away peacefully a few minutes later. He was playing "Landslide" by Fleetwood Mac when it happened.
I love her so much. 💔💕</t>
        </is>
      </c>
      <c r="D8441" t="n">
        <v>1</v>
      </c>
      <c r="E8441" t="n">
        <v>27</v>
      </c>
      <c r="F8441">
        <f>HYPERLINK("https://www.reddit.com/r/cancer/comments/fnqhc8/my_mom_passed_away_this_morning/")</f>
        <v/>
      </c>
      <c r="G8441" t="inlineStr">
        <is>
          <t>2020-03-23 12:43:53</t>
        </is>
      </c>
      <c r="H8441" t="inlineStr"/>
    </row>
    <row r="8442">
      <c r="A8442" t="inlineStr">
        <is>
          <t>fnqsbo</t>
        </is>
      </c>
      <c r="B8442" t="inlineStr">
        <is>
          <t>Mom has no appetite, but can't keep food down after she struggles to eat. Suggestions?</t>
        </is>
      </c>
      <c r="C8442" t="inlineStr">
        <is>
          <t>Hi everyone, I am new to this subreddit, so please let me know if this is not the appropriate place to ask.
My mom was diagnosed with cancer over the holidays, and just began her chemotherapy treatments last week. Thankfully she has elected to self-isolate and learned to give herself her shots at home, due to coronavirus. She has friends willing to deliver her groceries to her as well, to limit outside contact.
Like the title says, she is having trouble eating and keeping food down. Her diet wasn't the best before her diagnosis, so I am looking for relatively healthy foods that are easier on her system. I don't know where to start. I can only think of soup and crackers, or maybe oatmeal. I feel so terrible, and so helpless.</t>
        </is>
      </c>
      <c r="D8442" t="n">
        <v>1</v>
      </c>
      <c r="E8442" t="n">
        <v>24</v>
      </c>
      <c r="F8442">
        <f>HYPERLINK("https://www.reddit.com/r/cancer/comments/fnqsbo/mom_has_no_appetite_but_cant_keep_food_down_after/")</f>
        <v/>
      </c>
      <c r="G8442" t="inlineStr">
        <is>
          <t>2020-03-23 13:01:00</t>
        </is>
      </c>
      <c r="H8442" t="inlineStr"/>
    </row>
    <row r="8443">
      <c r="A8443" t="inlineStr">
        <is>
          <t>fns5rg</t>
        </is>
      </c>
      <c r="B8443" t="inlineStr">
        <is>
          <t>Undergoing high dose chemo. Very worried about Covid. Anyone going through the same?</t>
        </is>
      </c>
      <c r="C8443" t="inlineStr">
        <is>
          <t>I'm having alternating cycles of Doxy, Vincristine, and Cyclophosphamide (VAC) and Ifosfamide and Etoposide (IE) - the Ewing Sarcoma protocol. 
During the nadir of the neutropenic phase, my WBC sometimes even dips to 0.2 (reference range being 4-11). Still have 8 cycles of chemo remaining. 
I'm super stressed about getting CoVid. Is anyone else in the same boat? How do I stay safe apart from washing my hands and isolating? I'll have to move out at least for my next infusion and I'm really worried about going to the hospital. 
Take care everyone! Stay strong.</t>
        </is>
      </c>
      <c r="D8443" t="n">
        <v>1</v>
      </c>
      <c r="E8443" t="n">
        <v>8</v>
      </c>
      <c r="F8443">
        <f>HYPERLINK("https://www.reddit.com/r/cancer/comments/fns5rg/undergoing_high_dose_chemo_very_worried_about/")</f>
        <v/>
      </c>
      <c r="G8443" t="inlineStr">
        <is>
          <t>2020-03-23 14:16:49</t>
        </is>
      </c>
      <c r="H8443" t="inlineStr"/>
    </row>
    <row r="8444">
      <c r="A8444" t="inlineStr">
        <is>
          <t>fnu7qg</t>
        </is>
      </c>
      <c r="B8444" t="inlineStr">
        <is>
          <t>Lost</t>
        </is>
      </c>
      <c r="C8444" t="inlineStr">
        <is>
          <t>I’ve (21F) just been diagnosed with colon cancer. Feeling lost... and I don’t know what to think or feel. Not sure why I’m posting but I think I just needed to get it out there without continuing to worry my family.</t>
        </is>
      </c>
      <c r="D8444" t="n">
        <v>1</v>
      </c>
      <c r="E8444" t="n">
        <v>22</v>
      </c>
      <c r="F8444">
        <f>HYPERLINK("https://www.reddit.com/r/cancer/comments/fnu7qg/lost/")</f>
        <v/>
      </c>
      <c r="G8444" t="inlineStr">
        <is>
          <t>2020-03-23 16:15:47</t>
        </is>
      </c>
      <c r="H8444" t="inlineStr"/>
    </row>
    <row r="8445">
      <c r="A8445" t="inlineStr">
        <is>
          <t>fnvamh</t>
        </is>
      </c>
      <c r="B8445" t="inlineStr">
        <is>
          <t>What kind of services are available for cancer patients?</t>
        </is>
      </c>
      <c r="C8445" t="inlineStr">
        <is>
          <t>My friend is stricken with colon cancer and is in such pain, she cannot get around (well, she shouldn't anyway esp right now).  Anyway, we have been calling around and she's too young for Meals On Wheels.  Any one know any cancer services that she can call for assistance?  (She's been unable to work so can't afford anything like Instacart)</t>
        </is>
      </c>
      <c r="D8445" t="n">
        <v>1</v>
      </c>
      <c r="E8445" t="n">
        <v>4</v>
      </c>
      <c r="F8445">
        <f>HYPERLINK("https://www.reddit.com/r/cancer/comments/fnvamh/what_kind_of_services_are_available_for_cancer/")</f>
        <v/>
      </c>
      <c r="G8445" t="inlineStr">
        <is>
          <t>2020-03-23 17:22:35</t>
        </is>
      </c>
      <c r="H8445" t="inlineStr"/>
    </row>
    <row r="8446">
      <c r="A8446" t="inlineStr">
        <is>
          <t>fnwwzi</t>
        </is>
      </c>
      <c r="B8446" t="inlineStr">
        <is>
          <t>I need some advice (Carcinoid Cancer)</t>
        </is>
      </c>
      <c r="C8446" t="inlineStr">
        <is>
          <t>I've been going through the medical process for over a year.. and honestly its been horrid, I started with some strange symptoms (Heartburn, Diarrhea, my face getting red and just feeling super unwell, as well as my stomach turning super red on occasion, heart palpitations for days in a row, and quite a bit more) Most days with symptoms were stuck in bed. I went to doctor, after doctor most dismissing me immediately, telling me it was anxiety. Well about two months ago I went to about my 20th or so doctor after a super bad episode, had me on the floor in pain for about 10 or so hours (That whole week was a horrid experience I never want to relive)
So this doctor mentions carcinoid syndrome and the symptoms were the first time something finally made sense. They had me do a urine test and and it came back elevated, they wanted me to get a nuclear scan done but said I'd have to get sent to gastrointerology and they'd have to order the scan (I'd already had a gastroenterologist before but he was a very mean and rude person)
Anyway so this new appointment is still 3 months out and I'm getting impatient, I have this fear I won't make it to ever get this all figured out, I've done everything in my power to try to speed things up. And my even bigger fear is he will send me away without doing anything as quite a few doctors have done before.
So I figured I'd post on here and see if I could get advice, and just to share my story</t>
        </is>
      </c>
      <c r="D8446" t="n">
        <v>1</v>
      </c>
      <c r="E8446" t="n">
        <v>1</v>
      </c>
      <c r="F8446">
        <f>HYPERLINK("https://www.reddit.com/r/cancer/comments/fnwwzi/i_need_some_advice_carcinoid_cancer/")</f>
        <v/>
      </c>
      <c r="G8446" t="inlineStr">
        <is>
          <t>2020-03-23 19:08:08</t>
        </is>
      </c>
      <c r="H8446" t="inlineStr"/>
    </row>
    <row r="8447">
      <c r="A8447" t="inlineStr">
        <is>
          <t>fnyjwm</t>
        </is>
      </c>
      <c r="B8447" t="inlineStr">
        <is>
          <t>My dad was diagnosed with prostate cancer and I'm scared</t>
        </is>
      </c>
      <c r="C8447" t="inlineStr">
        <is>
          <t>I  just found out that my dad (66M) was diagnosed with prostate cancer. I am 25 yo and terrified of losing him. He is my best friend, and we call each other every day.
I only recently found out, so I'm sorry for any inaccuracies. The cancer is stage 2. His PSA was around 6. And the Gleason score was between 6 and 9 (I'm kind of confused on this part). He is going to get a bone scan later this week.</t>
        </is>
      </c>
      <c r="D8447" t="n">
        <v>1</v>
      </c>
      <c r="E8447" t="n">
        <v>10</v>
      </c>
      <c r="F8447">
        <f>HYPERLINK("https://www.reddit.com/r/cancer/comments/fnyjwm/my_dad_was_diagnosed_with_prostate_cancer_and_im/")</f>
        <v/>
      </c>
      <c r="G8447" t="inlineStr">
        <is>
          <t>2020-03-23 21:05:03</t>
        </is>
      </c>
      <c r="H8447" t="inlineStr"/>
    </row>
    <row r="8448">
      <c r="A8448" t="inlineStr">
        <is>
          <t>fnzs5o</t>
        </is>
      </c>
      <c r="B8448" t="inlineStr">
        <is>
          <t>Has anyone else had multiple, unrelated cancers at the same time?</t>
        </is>
      </c>
      <c r="C8448" t="inlineStr">
        <is>
          <t>Just curious...I am 5 years NED of both bladder and rectal cancers, a combination I am told is unusual to have at the same time. Two distinct and different sets of surgeries and chemos. Also a number of excisions of aggressive squamous skin cancers. Yeah...lucky me, the Trifecta Man. If you've had multiple unrelated cancers at or near the same time, what's your story?</t>
        </is>
      </c>
      <c r="D8448" t="n">
        <v>1</v>
      </c>
      <c r="E8448" t="n">
        <v>4</v>
      </c>
      <c r="F8448">
        <f>HYPERLINK("https://www.reddit.com/r/cancer/comments/fnzs5o/has_anyone_else_had_multiple_unrelated_cancers_at/")</f>
        <v/>
      </c>
      <c r="G8448" t="inlineStr">
        <is>
          <t>2020-03-23 22:37:59</t>
        </is>
      </c>
      <c r="H8448" t="inlineStr"/>
    </row>
    <row r="8449">
      <c r="A8449" t="inlineStr">
        <is>
          <t>fo2u6z</t>
        </is>
      </c>
      <c r="B8449" t="inlineStr">
        <is>
          <t>Rest Now</t>
        </is>
      </c>
      <c r="C8449" t="inlineStr">
        <is>
          <t>My cousin just passed away a few hours ago. I’m not exactly sure what type he had, but my mother is taking it pretty hard. Just kinda wanted to share it, talk about it a bit.</t>
        </is>
      </c>
      <c r="D8449" t="n">
        <v>1</v>
      </c>
      <c r="E8449" t="n">
        <v>7</v>
      </c>
      <c r="F8449">
        <f>HYPERLINK("https://www.reddit.com/r/cancer/comments/fo2u6z/rest_now/")</f>
        <v/>
      </c>
      <c r="G8449" t="inlineStr">
        <is>
          <t>2020-03-24 03:23:35</t>
        </is>
      </c>
      <c r="H8449" t="inlineStr"/>
    </row>
    <row r="8450">
      <c r="A8450" t="inlineStr">
        <is>
          <t>fo4lu3</t>
        </is>
      </c>
      <c r="B8450" t="inlineStr">
        <is>
          <t>Dad lost eyelashes due to chemo ..</t>
        </is>
      </c>
      <c r="C8450" t="inlineStr">
        <is>
          <t>Hey all so my father is going though chemo every 3 weeks and lost his eyelashes, anybody have similar instances happen and any recommendations to help with his eyes one is pulling away from the eye on the bottom, very red , just seems irritated but not sure he doesn't want to go to another doctor I'm talking him into it but wanted to post here if anyone has any recommendations with drops or anything else... right now im putting a strong over the counter eye drop and I have castor oil for eyelashes that I apply to just keep the lids from drying out... thanks for any help ..be safe everyone..</t>
        </is>
      </c>
      <c r="D8450" t="n">
        <v>1</v>
      </c>
      <c r="E8450" t="n">
        <v>8</v>
      </c>
      <c r="F8450">
        <f>HYPERLINK("https://www.reddit.com/r/cancer/comments/fo4lu3/dad_lost_eyelashes_due_to_chemo/")</f>
        <v/>
      </c>
      <c r="G8450" t="inlineStr">
        <is>
          <t>2020-03-24 05:52:59</t>
        </is>
      </c>
      <c r="H8450" t="inlineStr"/>
    </row>
    <row r="8451">
      <c r="A8451" t="inlineStr">
        <is>
          <t>fo4n30</t>
        </is>
      </c>
      <c r="B8451" t="inlineStr">
        <is>
          <t>I wish it wasn't my dad</t>
        </is>
      </c>
      <c r="C8451" t="inlineStr">
        <is>
          <t>Things are getting pretty rough. My dad's kidney cancer is no longer responding to treatment. Its so aggressive. Its finally reached *that* point. 
He had a brain scan yesterday since they were worried about him having a stroke. 
Its riddled with dots... We don't know what they are but .. Its either blood or tumors. 
Everything is growing back so fast and I think his organs are shutting down. 
I don't think we have much time with him and i realized this when we were told he has lived seven months longer than the average for people with his cancer. 
I do not have details due to my mental wellness but I do see that things are getting bad. I know what's happening..</t>
        </is>
      </c>
      <c r="D8451" t="n">
        <v>1</v>
      </c>
      <c r="E8451" t="n">
        <v>8</v>
      </c>
      <c r="F8451">
        <f>HYPERLINK("https://www.reddit.com/r/cancer/comments/fo4n30/i_wish_it_wasnt_my_dad/")</f>
        <v/>
      </c>
      <c r="G8451" t="inlineStr">
        <is>
          <t>2020-03-24 05:55:19</t>
        </is>
      </c>
      <c r="H8451" t="inlineStr"/>
    </row>
    <row r="8452">
      <c r="A8452" t="inlineStr">
        <is>
          <t>fo4r8m</t>
        </is>
      </c>
      <c r="B8452" t="inlineStr">
        <is>
          <t>Help pls(look in the comments)</t>
        </is>
      </c>
      <c r="C8452" t="inlineStr">
        <is>
          <t>So yesterday i found a 3mm big brown dot on my penis. I hope its not penile melanom ( ik that chances are low) but still. I dont want to risk of getting infected with corona virus by getting  a doctors appointment so i ask you for permission to post a pic of that dot and if anyone knows something about this( there isnt musch on the net about this) can help. I cant even guess my simptoms.(ABCDE) In this situation i cant even make a difference about round and irregular shape and so on. I know i'm to paranoied and too scared. I would really apreciate if somebody helped. 
Thank you.
Edit: grammar</t>
        </is>
      </c>
      <c r="D8452" t="n">
        <v>1</v>
      </c>
      <c r="E8452" t="n">
        <v>0</v>
      </c>
      <c r="F8452">
        <f>HYPERLINK("https://www.reddit.com/r/cancer/comments/fo4r8m/help_plslook_in_the_comments/")</f>
        <v/>
      </c>
      <c r="G8452" t="inlineStr">
        <is>
          <t>2020-03-24 06:03:42</t>
        </is>
      </c>
      <c r="H8452" t="inlineStr"/>
    </row>
    <row r="8453">
      <c r="A8453" t="inlineStr">
        <is>
          <t>fo8tep</t>
        </is>
      </c>
      <c r="B8453" t="inlineStr">
        <is>
          <t>Does Cancer in the past mean a suppressed immune system now?</t>
        </is>
      </c>
      <c r="C8453" t="inlineStr">
        <is>
          <t>I have had (and beat!) thyroid cancer and had high-dose radioactive iodine to battle it. I no longer have cancer, but also no longer have a thyroid, so I take Synthroid every day now. In addition, I have severe anemia and no gallbladder. 
With all that’s happening with COVID-19, I am working on-site still (essential service) and just wanted to make sure that the above doesn’t mean I have a suppressed immune system.
Thank you for your advice.</t>
        </is>
      </c>
      <c r="D8453" t="n">
        <v>1</v>
      </c>
      <c r="E8453" t="n">
        <v>3</v>
      </c>
      <c r="F8453">
        <f>HYPERLINK("https://www.reddit.com/r/cancer/comments/fo8tep/does_cancer_in_the_past_mean_a_suppressed_immune/")</f>
        <v/>
      </c>
      <c r="G8453" t="inlineStr">
        <is>
          <t>2020-03-24 10:12:37</t>
        </is>
      </c>
      <c r="H8453" t="inlineStr"/>
    </row>
    <row r="8454">
      <c r="A8454" t="inlineStr">
        <is>
          <t>fo977s</t>
        </is>
      </c>
      <c r="B8454" t="inlineStr">
        <is>
          <t>Need an "interview" for class!- CRC</t>
        </is>
      </c>
      <c r="C8454" t="inlineStr">
        <is>
          <t>I'm not sure if this is rude or something- but I wanted to ask some questions for my Biology of Cancer class, for a paper. 
My teacher wants us to write a paper after we interviewed a person with our specific cancer (topic) of choice. My topic was on Colorectal Cancer and it's hard to find someone to answer questions during this time. If you can shoot me a message with a name and two things about yourself if you choose to answer this, that would be appreciated!
1)"What were your initial thoughts and feelings after being diagnosed with cancer?"
2)"What methods did you use to cope with your cancer diagnosis and the cancer treatments?"
3)What was your motivation/ What motivates you the most to fight your cancer?"
4)"How had this disease impact your life, expectedly or unexpectedly?"
5:"What were some of your first thoughts during your journey with this disease?"
6:"What had you not expected when you started treatment?"
7: "What is your new "normal" and how does it compare to your previous experiences?"
Thank you!</t>
        </is>
      </c>
      <c r="D8454" t="n">
        <v>1</v>
      </c>
      <c r="E8454" t="n">
        <v>6</v>
      </c>
      <c r="F8454">
        <f>HYPERLINK("https://www.reddit.com/r/cancer/comments/fo977s/need_an_interview_for_class_crc/")</f>
        <v/>
      </c>
      <c r="G8454" t="inlineStr">
        <is>
          <t>2020-03-24 10:33:33</t>
        </is>
      </c>
      <c r="H8454" t="inlineStr"/>
    </row>
    <row r="8455">
      <c r="A8455" t="inlineStr">
        <is>
          <t>fo9pek</t>
        </is>
      </c>
      <c r="B8455" t="inlineStr">
        <is>
          <t>Need advice for cancer treatment in another country!</t>
        </is>
      </c>
      <c r="C8455" t="inlineStr">
        <is>
          <t>My husband (22 M) and I are currently seeking treatment for his stage 4 NSCLC in Germany. Due to the corona outbreak unfortunately, it is causing the paperwork needed to get his insurance approved from his home country much longer to finish. The doctor here is telling us without his insurance that his new chemo treatment will cost 5,000 euros for just 2 sessions. My husband already had 3 sessions of carboplatin and paclitaxel done in his home country and all it did was keep his cancer stable. We had his scans done around 2 weeks ago to see the difference so we are sure of this.
We have now stayed almost 2 months without taking chemo due to the move and consultations with the oncologist. Another thing that we are missing is a new biopsy sample because we no longer have the old sample used to diagnose his type of cancer (adenocarcinoma). Due to this we dont yet have a genetic profile of his cancer (PDL1, ALK, etc mutation markers) and the corona outbreak has us scared to do that right now so we decided on stronger chemo instead until it dies down and we can do the biopsy.
My questions are, is there any way to ask the German government or maybe NGOs for financial assistance until his insurance comes through? If the new chemo sessions were to shrink his tumor enough or even entirely kill his cancer that a biopsy is no longer possible while the corona outbreak is still going on, would a recurrence mean that the cancer would have the same genetic mutations as before or does it become different? Thank you for all your help</t>
        </is>
      </c>
      <c r="D8455" t="n">
        <v>1</v>
      </c>
      <c r="E8455" t="n">
        <v>10</v>
      </c>
      <c r="F8455">
        <f>HYPERLINK("https://www.reddit.com/r/cancer/comments/fo9pek/need_advice_for_cancer_treatment_in_another/")</f>
        <v/>
      </c>
      <c r="G8455" t="inlineStr">
        <is>
          <t>2020-03-24 11:00:48</t>
        </is>
      </c>
      <c r="H8455" t="inlineStr"/>
    </row>
    <row r="8456">
      <c r="A8456" t="inlineStr">
        <is>
          <t>fo9t5v</t>
        </is>
      </c>
      <c r="B8456" t="inlineStr">
        <is>
          <t>Advanced clear cell endometrial cancer just diagnosed</t>
        </is>
      </c>
      <c r="C8456" t="inlineStr">
        <is>
          <t>Hi, not sure what even to think now. I found this site after doing some reading online. 
After a biopsy, I was just diagnosed with an aggressive form of endometrial cancer which is called clear cell. They say it is advanced. I did an MRI which showed a “large mass” from my cervix, upper part of the vagina and to the bladder.  My symptoms were nothing other than some post menopausal bleeding a couple weeks ago. 
PET scan is tomorrow to see if it spread. 
I already have my chemo set up.  
What I wanted to ask was is this part normal. The oncologist said chemo first to shrink the tumor.  I then asked if they would do any surgery after and got a “probably not, just radiation”. 
Is it normal to do chemo to shrink the tumor then get a hysterectomy or radical hysterectomy to remove everything?
Before this,  After speaking to the doctor who performed my biopsy she seemed to lean the way of doing chemo then looking at options like surgery after.</t>
        </is>
      </c>
      <c r="D8456" t="n">
        <v>1</v>
      </c>
      <c r="E8456" t="n">
        <v>13</v>
      </c>
      <c r="F8456">
        <f>HYPERLINK("https://www.reddit.com/r/cancer/comments/fo9t5v/advanced_clear_cell_endometrial_cancer_just/")</f>
        <v/>
      </c>
      <c r="G8456" t="inlineStr">
        <is>
          <t>2020-03-24 11:06:03</t>
        </is>
      </c>
      <c r="H8456" t="inlineStr"/>
    </row>
    <row r="8457">
      <c r="A8457" t="inlineStr">
        <is>
          <t>fo9wr5</t>
        </is>
      </c>
      <c r="B8457" t="inlineStr">
        <is>
          <t>Cancer is/was back and I'm worried about my future</t>
        </is>
      </c>
      <c r="C8457" t="inlineStr">
        <is>
          <t>Hey guys, it's me Kitty. I'm back here. Maybe some of you remembered me, I posted a bit on here last year after my Hodgkin lymphoma diagnosis. 
I went through chemo and had my last session in October. First pet-ct scan came back clear. Second scan in February (?) showed new activity. I was and still am scared shitless. It returned so fucking fast. I got radiation therapy and can only hope it worked but something inside of me tells me it didn't. I feel like someone is still not right. I told my doctor this but he said not to worry and be patient for my next check up in a month. 
Thing is I experience symptoms that are definitely not expected and not normal. Some are the same as I had before starting chemo. And the most worrying part: so far every time something felt off I was right. I know I can trust this feeling 100%. 
I'm worried... I don't know what to do. This is constantly on my mind. I didn't tell my husband about this; he has enough to carry already. I don't want to be a burden. 
Thanks for reading this, I just needed a place to tell this I guess</t>
        </is>
      </c>
      <c r="D8457" t="n">
        <v>1</v>
      </c>
      <c r="E8457" t="n">
        <v>23</v>
      </c>
      <c r="F8457">
        <f>HYPERLINK("https://www.reddit.com/r/cancer/comments/fo9wr5/cancer_iswas_back_and_im_worried_about_my_future/")</f>
        <v/>
      </c>
      <c r="G8457" t="inlineStr">
        <is>
          <t>2020-03-24 11:10:57</t>
        </is>
      </c>
      <c r="H8457" t="inlineStr"/>
    </row>
    <row r="8458">
      <c r="A8458" t="inlineStr">
        <is>
          <t>fogqaw</t>
        </is>
      </c>
      <c r="B8458" t="inlineStr">
        <is>
          <t>When does the relapse clock start?</t>
        </is>
      </c>
      <c r="C8458" t="inlineStr">
        <is>
          <t>My Doc said it starts at the end of all chemo or treatment, so in my case the end of maintenance chemo (Rituxan). For me, this means  I relapsed in 2.5yrs vs 4.5 yrs. Just curious what others have been told.</t>
        </is>
      </c>
      <c r="D8458" t="n">
        <v>1</v>
      </c>
      <c r="E8458" t="n">
        <v>6</v>
      </c>
      <c r="F8458">
        <f>HYPERLINK("https://www.reddit.com/r/cancer/comments/fogqaw/when_does_the_relapse_clock_start/")</f>
        <v/>
      </c>
      <c r="G8458" t="inlineStr">
        <is>
          <t>2020-03-24 17:31:57</t>
        </is>
      </c>
      <c r="H8458" t="inlineStr"/>
    </row>
    <row r="8459">
      <c r="A8459" t="inlineStr">
        <is>
          <t>fohb3i</t>
        </is>
      </c>
      <c r="B8459" t="inlineStr">
        <is>
          <t>Need contacts on Novocure (I realize this is unlikely but if you know someone who knows someone, please reply)</t>
        </is>
      </c>
      <c r="C8459" t="inlineStr">
        <is>
          <t>My son is supposed to start a clinical trial for the Optune Device (already enrolled).  I NEED him to start this trial.  The manufactures are not responsive; does anyone happen to know anyone that works for this company??  My doctor has reached out and I have reached out multiple times.... I am guessing this is COVID related, but I really cannot postpone this.
I know asking this is a long shot but this trial is the only shot my son has -- I need this device.
Any advice on how to contact them and get confirmation things will proceed?  They should be working with my doctor and so far, they have not replied.</t>
        </is>
      </c>
      <c r="D8459" t="n">
        <v>1</v>
      </c>
      <c r="E8459" t="n">
        <v>1</v>
      </c>
      <c r="F8459">
        <f>HYPERLINK("https://www.reddit.com/r/cancer/comments/fohb3i/need_contacts_on_novocure_i_realize_this_is/")</f>
        <v/>
      </c>
      <c r="G8459" t="inlineStr">
        <is>
          <t>2020-03-24 18:09:01</t>
        </is>
      </c>
      <c r="H8459" t="inlineStr"/>
    </row>
    <row r="8460">
      <c r="A8460" t="inlineStr">
        <is>
          <t>foj1l5</t>
        </is>
      </c>
      <c r="B8460" t="inlineStr">
        <is>
          <t>Anyone else laughing about people complaining about being quarantined?</t>
        </is>
      </c>
      <c r="C8460" t="inlineStr">
        <is>
          <t>I’ve been basically stuck at home 24/7 other than going to appointments since July 2019. Everyone is complaining about not having anything to do during this pandemic but man.. they should be happy that even though they’re stuck inside, they can move around so easily. I have about four or five tumors around my sacrum and lumbar spine. It makes moving or just bending down nearly impossible some days. It’s easy to take so much for granted before being DX’d.</t>
        </is>
      </c>
      <c r="D8460" t="n">
        <v>1</v>
      </c>
      <c r="E8460" t="n">
        <v>30</v>
      </c>
      <c r="F8460">
        <f>HYPERLINK("https://www.reddit.com/r/cancer/comments/foj1l5/anyone_else_laughing_about_people_complaining/")</f>
        <v/>
      </c>
      <c r="G8460" t="inlineStr">
        <is>
          <t>2020-03-24 20:07:29</t>
        </is>
      </c>
      <c r="H8460" t="inlineStr"/>
    </row>
    <row r="8461">
      <c r="A8461" t="inlineStr">
        <is>
          <t>fokmgf</t>
        </is>
      </c>
      <c r="B8461" t="inlineStr">
        <is>
          <t>My dad (72 years old) is having a surgery to remove the tumor in his lung this Friday. 1st time to face cancer in my family amid this global pandemic, I’m at a loss.</t>
        </is>
      </c>
      <c r="C8461" t="inlineStr">
        <is>
          <t>The cancer itself is already very scary for me and my family. We are hopeful that the surgery will cure it with no complications and further treatment required, but COVID-19 would be deadly for dad if for whatever reason he gets infected. The doctor is telling us that hospitals are receiving more and more patients infected with the virus and I don’t even know whether myself, and any of my family members who live with us, is infected. I’m at a loss now and not sure what the best course of action should be.</t>
        </is>
      </c>
      <c r="D8461" t="n">
        <v>1</v>
      </c>
      <c r="E8461" t="n">
        <v>3</v>
      </c>
      <c r="F8461">
        <f>HYPERLINK("https://www.reddit.com/r/cancer/comments/fokmgf/my_dad_72_years_old_is_having_a_surgery_to_remove/")</f>
        <v/>
      </c>
      <c r="G8461" t="inlineStr">
        <is>
          <t>2020-03-24 22:08:05</t>
        </is>
      </c>
      <c r="H8461" t="inlineStr"/>
    </row>
    <row r="8462">
      <c r="A8462" t="inlineStr">
        <is>
          <t>fol42g</t>
        </is>
      </c>
      <c r="B8462" t="inlineStr">
        <is>
          <t>RANT</t>
        </is>
      </c>
      <c r="C8462" t="inlineStr">
        <is>
          <t>As everyone here knows, cancer fucking sucks. My 19 year old boyfriend currently has stage 4 Osteosarcoma that had spread throughout his lungs. Both of us being so young this is so difficult especially since when he was 13 he had stage 2 Lymphoma as well. I never once would have imagined this being my life. I have been there with him through everything. When i say everything I mean I was there to wipe his bum while he was too tired from chemo, there to comfort him as he cried from all the pain life has thrown at him, staying with him every night during each chemo round. I love this man more than I would ever think I could love someone. Sometimes I break down because as selfish as this sounds, but who’s here for me too? the amount of stress I have taken on is unimaginable. Knowing this, I couldn’t imagine how he feels. Now tomorrow he has surgery to take out his femur and knee cap and replace it all with metal. With corono virus going around they told me I could only come for an hour a day (originally i wasn’t allowed to visit). The fear I saw in his eyes when I told him I had to leave haunts me. the tears streaming out of his eyes as he begged me to stay cause honestly who wants to be alone the night before a life changing surgery. I mean ya this surgery will save his life but my boyfriend has always been an athletic person and this surgery takes away hockey and most things from him. As grateful as I am for it, its still tough to digest this as a 19 year old. No body deserves this. No one deserves to wipe away their loved ones tears as they cower in fear over their life. No one deserves to look in the mirror after they’ve lost every speck of hair on there body. No one deserves to spend day after day im a hospital bed. No one deserves to be told how long they have left to live. No one deserves cancer. to end this huge rant. F*** cancer, and I hope you all fight it as much as my boyfriend has. I couldn’t be more proud of somebody❤️</t>
        </is>
      </c>
      <c r="D8462" t="n">
        <v>1</v>
      </c>
      <c r="E8462" t="n">
        <v>9</v>
      </c>
      <c r="F8462">
        <f>HYPERLINK("https://www.reddit.com/r/cancer/comments/fol42g/rant/")</f>
        <v/>
      </c>
      <c r="G8462" t="inlineStr">
        <is>
          <t>2020-03-24 22:50:28</t>
        </is>
      </c>
      <c r="H8462" t="inlineStr"/>
    </row>
    <row r="8463">
      <c r="A8463" t="inlineStr">
        <is>
          <t>foltff</t>
        </is>
      </c>
      <c r="B8463" t="inlineStr">
        <is>
          <t>Lung cancer on maintenance chemo, recently discovered mass in thigh??</t>
        </is>
      </c>
      <c r="C8463" t="inlineStr">
        <is>
          <t>Hi. A relative has lung cancer and has been on maintenance for a while now. Lungs have been stable, recently noticed a lump underneath the thigh and doctor thought it was muscle related, cat scan confirmed it was a mass, going for pet scan to see if it’s cancer?
Just curious if anyone has heard of lung cancer spreading to the thigh? I’m also wondering if it’s soft tissue sarcoma, although it’s rare? 
Would just like to see others thoughts.. thanks!</t>
        </is>
      </c>
      <c r="D8463" t="n">
        <v>1</v>
      </c>
      <c r="E8463" t="n">
        <v>3</v>
      </c>
      <c r="F8463">
        <f>HYPERLINK("https://www.reddit.com/r/cancer/comments/foltff/lung_cancer_on_maintenance_chemo_recently/")</f>
        <v/>
      </c>
      <c r="G8463" t="inlineStr">
        <is>
          <t>2020-03-24 23:55:41</t>
        </is>
      </c>
      <c r="H8463" t="inlineStr"/>
    </row>
    <row r="8464">
      <c r="A8464" t="inlineStr">
        <is>
          <t>fon0wd</t>
        </is>
      </c>
      <c r="B8464" t="inlineStr">
        <is>
          <t>Rest in Peace Dian &amp;lt;3</t>
        </is>
      </c>
      <c r="C8464" t="inlineStr">
        <is>
          <t>I didn't wanna post this but I guess I just want to let it out somewhere. My girlfriend, Dian, passed away last night due to stage III stomach cancer. Just last night she wished me for my birthday. She was unconscious for 11 days but she woke up last night. We talked for a few hours until 12 and after wishing my birthday she went to sleep saying we will talk tomorrow. I was in constant contact with her mother because Dian's condition started to get worse a lot of time so she put me in contact with her mother so I can always stay updated. Then today I woke up to a message from her mother saying that she passed away last night. 
We were in a long-distance relationship. I still can't believe she is gone, just last night she woke up, we talked and she was fine.</t>
        </is>
      </c>
      <c r="D8464" t="n">
        <v>1</v>
      </c>
      <c r="E8464" t="n">
        <v>0</v>
      </c>
      <c r="F8464">
        <f>HYPERLINK("https://www.reddit.com/r/cancer/comments/fon0wd/rest_in_peace_dian_3/")</f>
        <v/>
      </c>
      <c r="G8464" t="inlineStr">
        <is>
          <t>2020-03-25 01:51:51</t>
        </is>
      </c>
      <c r="H8464" t="inlineStr"/>
    </row>
    <row r="8465">
      <c r="A8465" t="inlineStr">
        <is>
          <t>fooaub</t>
        </is>
      </c>
      <c r="B8465" t="inlineStr">
        <is>
          <t>What should I expect?</t>
        </is>
      </c>
      <c r="C8465" t="inlineStr">
        <is>
          <t>I am sorry if this sounds jumbled.   
Hey Folks. My mother was diagnosed with  Superior vena cava syndrome. She has a tumor on that vein which removes to unoxigenated blood into her body.  She started Chemo and Radiation therapy, which I take her to hospital radiation treatments. She takes the chemo at her home. I moved back in with her to take care of her. I let go of the rent on my house. The worst side of things is that even 10% or less will survive for 30 months. What should expect? How can I deal with this as far as long term and end of life care. I understand about probate. But I want to make her few years better. What can I do?</t>
        </is>
      </c>
      <c r="D8465" t="n">
        <v>1</v>
      </c>
      <c r="E8465" t="n">
        <v>2</v>
      </c>
      <c r="F8465">
        <f>HYPERLINK("https://www.reddit.com/r/cancer/comments/fooaub/what_should_i_expect/")</f>
        <v/>
      </c>
      <c r="G8465" t="inlineStr">
        <is>
          <t>2020-03-25 03:52:36</t>
        </is>
      </c>
      <c r="H8465" t="inlineStr"/>
    </row>
    <row r="8466">
      <c r="A8466" t="inlineStr">
        <is>
          <t>fop0xw</t>
        </is>
      </c>
      <c r="B8466" t="inlineStr">
        <is>
          <t>Wake me up from this nightmare</t>
        </is>
      </c>
      <c r="C8466" t="inlineStr">
        <is>
          <t>Dad has a blood disorder, similar to acute leukaemia. Today we got the call that without treatment, he has 10-12 months to live. With treatment, he has 12-24. He’s only 58. Stem cell transplant is not possible right now with covid19.
I was already bracing myself for a world without my dad in 5-10 years. This news is unimaginable to me... I was supposed to have him for double of the time that I’ve had. Mum was supposed to have at least 20 years left with him, they were going to travel together. I’m feeling so scared and cheated. 
I won’t be able to eat his cooking again. He won’t meet his grandchildren. He will be sick for my wedding. My heart is so broken and I don’t know what to do.
I’m trying to remember that he’s still here so I need to make memories with the time he has left, that numbers aren’t always right and he could be an exception. But I’m beside myself. He still looks relatively well, I can’t bear the thought of watching him get sick and die.</t>
        </is>
      </c>
      <c r="D8466" t="n">
        <v>1</v>
      </c>
      <c r="E8466" t="n">
        <v>6</v>
      </c>
      <c r="F8466">
        <f>HYPERLINK("https://www.reddit.com/r/cancer/comments/fop0xw/wake_me_up_from_this_nightmare/")</f>
        <v/>
      </c>
      <c r="G8466" t="inlineStr">
        <is>
          <t>2020-03-25 04:54:29</t>
        </is>
      </c>
      <c r="H8466" t="inlineStr"/>
    </row>
    <row r="8467">
      <c r="A8467" t="inlineStr">
        <is>
          <t>foqcq3</t>
        </is>
      </c>
      <c r="B8467" t="inlineStr">
        <is>
          <t>Speedrunning my cancer (hodgkin lymphoma)</t>
        </is>
      </c>
      <c r="C8467" t="inlineStr">
        <is>
          <t>So today my hematologists told me I’m free of cancer after four sessions of chemo, just two months.
The results of my first PET TAC weren’t so good,  I had lymphatic nodes affected all around my body, so the cancer was at an advanced state.
Five days ago I had my second PET TAC and the results came today.
I’m still on chemo during the next 4 months tho.</t>
        </is>
      </c>
      <c r="D8467" t="n">
        <v>1</v>
      </c>
      <c r="E8467" t="n">
        <v>7</v>
      </c>
      <c r="F8467">
        <f>HYPERLINK("https://www.reddit.com/r/cancer/comments/foqcq3/speedrunning_my_cancer_hodgkin_lymphoma/")</f>
        <v/>
      </c>
      <c r="G8467" t="inlineStr">
        <is>
          <t>2020-03-25 06:34:14</t>
        </is>
      </c>
      <c r="H8467" t="inlineStr"/>
    </row>
    <row r="8468">
      <c r="A8468" t="inlineStr">
        <is>
          <t>foqoz1</t>
        </is>
      </c>
      <c r="B8468" t="inlineStr">
        <is>
          <t>Post for cancer patients or carers. Something for you to do when self-isolating.</t>
        </is>
      </c>
      <c r="C8468" t="inlineStr">
        <is>
          <t>Hey guys!
I am a user researcher at a healthcare startup. Our app allows cancer patients to track their medications and symptoms.
We're now trying to test it and get as much feedback as possible to see how we can improve it; and are running a competition to win something that could make a lockdown a little easier. So if you or anybody you know is going through cancer treatment at the moment take a look at https://www.vinehealth.ai/competition! and hopefully we can help you feel a little more in control amidst all this chaos.
Unfortunately we're only UK based for the time-being, but we appreciate all the love we can get. Let me know if there are any questions?
Look after yourselves, stay healthy - much love.
A</t>
        </is>
      </c>
      <c r="D8468" t="n">
        <v>1</v>
      </c>
      <c r="E8468" t="n">
        <v>0</v>
      </c>
      <c r="F8468">
        <f>HYPERLINK("https://www.reddit.com/r/cancer/comments/foqoz1/post_for_cancer_patients_or_carers_something_for/")</f>
        <v/>
      </c>
      <c r="G8468" t="inlineStr">
        <is>
          <t>2020-03-25 06:56:46</t>
        </is>
      </c>
      <c r="H8468" t="inlineStr"/>
    </row>
    <row r="8469">
      <c r="A8469" t="inlineStr">
        <is>
          <t>fos67r</t>
        </is>
      </c>
      <c r="B8469" t="inlineStr">
        <is>
          <t>Finally got my diagnosis.</t>
        </is>
      </c>
      <c r="C8469" t="inlineStr">
        <is>
          <t>37/m.
Stage IV Neuroendocrine Tumour of the Small Bowel with Metastasis to Liver.
This came out of nowhere on Valentine’s Day. I went to the ER with abdominal and lower back pain suspecting a UTI or kidney infection or appendicitis—found out I had cancer after a last-minute ultrasound and CT scan.
Other than those two dais of pain and flushing when I eat (high serotonin), I am totally asymptotic and feel otherwise healthy.
It seems the liver metastasis is too diffuse for surgical options, but I’ll know more once my case goes to the multidisciplinary tumour board.
I’m starting Sandostatin (octreotide) injections today, but that’s it for now I guess.</t>
        </is>
      </c>
      <c r="D8469" t="n">
        <v>1</v>
      </c>
      <c r="E8469" t="n">
        <v>13</v>
      </c>
      <c r="F8469">
        <f>HYPERLINK("https://www.reddit.com/r/cancer/comments/fos67r/finally_got_my_diagnosis/")</f>
        <v/>
      </c>
      <c r="G8469" t="inlineStr">
        <is>
          <t>2020-03-25 08:26:49</t>
        </is>
      </c>
      <c r="H8469" t="inlineStr"/>
    </row>
    <row r="8470">
      <c r="A8470" t="inlineStr">
        <is>
          <t>foswxr</t>
        </is>
      </c>
      <c r="B8470" t="inlineStr">
        <is>
          <t>A win for Coco</t>
        </is>
      </c>
      <c r="C8470" t="inlineStr">
        <is>
          <t>I wanted to share this video with the world and I didn't know where to start... thought you guys would like it.  Coco finished her last chemo treatment yesterday.  She's been at it for 9 months.  Ewing's sarcoma can suck it.  This is a video of her coming home from her last treatment and the community who loves her lining the streets to welcome their warrior home.</t>
        </is>
      </c>
      <c r="D8470" t="n">
        <v>1</v>
      </c>
      <c r="E8470" t="n">
        <v>0</v>
      </c>
      <c r="F8470">
        <f>HYPERLINK("https://www.reddit.com/r/cancer/comments/foswxr/a_win_for_coco/")</f>
        <v/>
      </c>
      <c r="G8470" t="inlineStr">
        <is>
          <t>2020-03-25 09:09:50</t>
        </is>
      </c>
      <c r="H8470" t="inlineStr"/>
    </row>
    <row r="8471">
      <c r="A8471" t="inlineStr">
        <is>
          <t>fosyau</t>
        </is>
      </c>
      <c r="B8471" t="inlineStr">
        <is>
          <t>A win for Coco</t>
        </is>
      </c>
      <c r="C8471" t="inlineStr">
        <is>
          <t>I wanted to share this video with the world and I didn't know where to start... thought you guys would like it. Coco finished her last chemo treatment yesterday. She's been at it for 9 months. Ewing's sarcoma can suck it. This is a video of her coming home from her last treatment and the community who loves her lining the streets to welcome their warrior home.</t>
        </is>
      </c>
      <c r="D8471" t="n">
        <v>1</v>
      </c>
      <c r="E8471" t="n">
        <v>4</v>
      </c>
      <c r="F8471">
        <f>HYPERLINK("https://www.reddit.com/r/cancer/comments/fosyau/a_win_for_coco/")</f>
        <v/>
      </c>
      <c r="G8471" t="inlineStr">
        <is>
          <t>2020-03-25 09:11:49</t>
        </is>
      </c>
      <c r="H8471" t="inlineStr"/>
    </row>
    <row r="8472">
      <c r="A8472" t="inlineStr">
        <is>
          <t>fotaxf</t>
        </is>
      </c>
      <c r="B8472" t="inlineStr">
        <is>
          <t>My grandpa was diagnosed with pancreatic cancer 4 days ago and died today</t>
        </is>
      </c>
      <c r="C8472" t="inlineStr">
        <is>
          <t>Literally could not have seen this coming. About a week ago my grandma said he started to act a little strangely. Then he fell out of bed and they went to the hospital. Terminal pancreatic cancer, given 1-4 weeks to live and didn’t even make it to a week. 
My mom (and her siblings) flew across the country to visit but by the time she got there he was almost non responsive only able to respond my grasping his hand. No one got to have a conversation with him or say goodbye. 
How does this even happen? I’m at a loss for words. It was also so sudden. One day he’s pretty healthy and the next he’s basically in a coma, and the next he’s gone.</t>
        </is>
      </c>
      <c r="D8472" t="n">
        <v>1</v>
      </c>
      <c r="E8472" t="n">
        <v>26</v>
      </c>
      <c r="F8472">
        <f>HYPERLINK("https://www.reddit.com/r/cancer/comments/fotaxf/my_grandpa_was_diagnosed_with_pancreatic_cancer_4/")</f>
        <v/>
      </c>
      <c r="G8472" t="inlineStr">
        <is>
          <t>2020-03-25 09:31:40</t>
        </is>
      </c>
      <c r="H8472" t="inlineStr"/>
    </row>
    <row r="8473">
      <c r="A8473" t="inlineStr">
        <is>
          <t>fou2vo</t>
        </is>
      </c>
      <c r="B8473" t="inlineStr">
        <is>
          <t>My dad has stage 4 cancer but doesn't know it?</t>
        </is>
      </c>
      <c r="C8473" t="inlineStr">
        <is>
          <t>My das has lung cancer, he also had prostate cancer and some other thing that the word is escaping me now (the thing that filters your blood, I'm not English)
So yesterday I go to see him, his wife tells me he is at stage 4 but he doesn't know coz he told the doctor he didn't wanna know (I doubt it but who knows.) she says knows coz she asked when she was alone with the doc.
Is that BS? Isn't your doctor supposed to tell you?
I don't know how to approach the topic with my dad :/ or even if I should, if he really - doesn't want to know-</t>
        </is>
      </c>
      <c r="D8473" t="n">
        <v>1</v>
      </c>
      <c r="E8473" t="n">
        <v>4</v>
      </c>
      <c r="F8473">
        <f>HYPERLINK("https://www.reddit.com/r/cancer/comments/fou2vo/my_dad_has_stage_4_cancer_but_doesnt_know_it/")</f>
        <v/>
      </c>
      <c r="G8473" t="inlineStr">
        <is>
          <t>2020-03-25 10:14:44</t>
        </is>
      </c>
      <c r="H8473" t="inlineStr"/>
    </row>
    <row r="8474">
      <c r="A8474" t="inlineStr">
        <is>
          <t>foutsu</t>
        </is>
      </c>
      <c r="B8474" t="inlineStr">
        <is>
          <t>What to include in a care package for a friend who's just had a partial glossectomy and reconstruction for tongue cancer?</t>
        </is>
      </c>
      <c r="C8474" t="inlineStr">
        <is>
          <t>As per the title - a good friend had a partial glossectomy and reconstruction a few days ago for tongue cancer. There's no way I can visit in person as I work as a doctor (though oral surgery is very much not my field) and there's a fair chance I've been exposed to COVID, so anything I include would have to be appropriate to be sent by post.
I've sent care packages to friends in the past but they often contain lots of food/drink items, so I'm looking for alternatives and/or advice from those who have had similar surgery as to what food items I *could* include, if any. Obviously I don't want to torment him with things he can't eat, but he was quite a foodie before this happened so I'd like to include edible/drinkable treats if I can. I do also know he's managing liquids and very soft foods already. 
I've already included books, a film, some fancy tea, a bath bomb, ice lolly moulds and hot chocolate, but any other ideas would be gratefully received. Thanks in advance.</t>
        </is>
      </c>
      <c r="D8474" t="n">
        <v>1</v>
      </c>
      <c r="E8474" t="n">
        <v>3</v>
      </c>
      <c r="F8474">
        <f>HYPERLINK("https://www.reddit.com/r/cancer/comments/foutsu/what_to_include_in_a_care_package_for_a_friend/")</f>
        <v/>
      </c>
      <c r="G8474" t="inlineStr">
        <is>
          <t>2020-03-25 10:56:49</t>
        </is>
      </c>
      <c r="H8474" t="inlineStr"/>
    </row>
    <row r="8475">
      <c r="A8475" t="inlineStr">
        <is>
          <t>fouul9</t>
        </is>
      </c>
      <c r="B8475" t="inlineStr">
        <is>
          <t>(Covid-19)Doctor has advised postponing my Mom's Chemotherapy session.</t>
        </is>
      </c>
      <c r="C8475" t="inlineStr">
        <is>
          <t>My mom was diagnosed with metastatic Breast Cancer in December'19. She had a Mastectomy; post which we did a PET scan and scans came clean. She started with Chemotherapy and has completed 3 sessions. Her next session is on 7th April but due to whole country lockdown due to Covid-19; our doctor has advised postponing the next session till further notice. He is saying that coming to hospital may increase her chances of contracting the disease as she is immunocomprised.
We consulted another Oncologist and he suggested we can go ahead with the chemo session provided we take all precautions required for Corona prevention. 
I don't know what are the repercussions of delaying Chemtherapy. Guys help!</t>
        </is>
      </c>
      <c r="D8475" t="n">
        <v>1</v>
      </c>
      <c r="E8475" t="n">
        <v>16</v>
      </c>
      <c r="F8475">
        <f>HYPERLINK("https://www.reddit.com/r/cancer/comments/fouul9/covid19doctor_has_advised_postponing_my_moms/")</f>
        <v/>
      </c>
      <c r="G8475" t="inlineStr">
        <is>
          <t>2020-03-25 10:58:11</t>
        </is>
      </c>
      <c r="H8475" t="inlineStr"/>
    </row>
    <row r="8476">
      <c r="A8476" t="inlineStr">
        <is>
          <t>fow871</t>
        </is>
      </c>
      <c r="B8476" t="inlineStr">
        <is>
          <t>Just need to vent about my liver biopsy today</t>
        </is>
      </c>
      <c r="C8476" t="inlineStr">
        <is>
          <t>I was diagnosed with Stage IIIA colon cancer last year at age 34. I had colon resection surgery and did 6 months of adjuvant chemo that ended in February. A couple weeks after chemo I had a CT scan and now there’s a small spot on my liver. Of course onc. can’t say whether it’s more cancer, but it’s concerning. The liver is usually the next stop on the colon cancer express. Onc. orders a biopsy. He says he’s already talked to the radiologist and confirmed that the spot will be easy to reach with the needle. Plus, he says biopsy will be definitive whereas PET scan won’t be. 
I go in for the biopsy today and they can’t really see the spot clearly on the ultrasound. Doc asks if I had liver ultrasound already and I’m like no, just the CT. Then he has to get his boss who comes and tries to get a better image of the spot. He has no luck and grumbles something like “there should have been a diagnostic ultrasound. That’s supposed to be the procedure.” These two aren’t getting anywhere, so they get the attending. He looks at the ultrasound and tells me that they think they can see the spot, but it’s not clear. They’re going to just do the biopsy at this unclear location and the pathologist will check the tissue right away to see if they’re in the right location. Of course the pathologist says that tissue looks like normal liver tissue, so they’re not in the right spot. Attending doesn’t want to keep poking my liver to find the right spot. Now they need to let my onc. know what happened and figure out how to proceed. Sounds like a CT biopsy is going to have to be done because they know spot can be clearly seen on CT. 
I’m super frustrated about this whole situation. Why wasn’t an ultrasound ordered first before they scheduled this biopsy? Like is it normal for people to show up for biopsies and the docs are just like welp, hopefully we can see this on the ultrasound? I had to take an unpaid day off of work for this biopsy and my co-insurance cost was $500 which has already been paid. Plus, I had to go to the hospital during all of this covid crap (thankfully, the hospital isn’t allowing any visitors in at this point). And I’ve been stressing about whether I have stage IV cancer for two weeks already. Right now I have no idea when I’m going to find out if this spot is cancerous or not. 
Okay just had to get this off my chest.</t>
        </is>
      </c>
      <c r="D8476" t="n">
        <v>1</v>
      </c>
      <c r="E8476" t="n">
        <v>8</v>
      </c>
      <c r="F8476">
        <f>HYPERLINK("https://www.reddit.com/r/cancer/comments/fow871/just_need_to_vent_about_my_liver_biopsy_today/")</f>
        <v/>
      </c>
      <c r="G8476" t="inlineStr">
        <is>
          <t>2020-03-25 12:14:46</t>
        </is>
      </c>
      <c r="H8476" t="inlineStr"/>
    </row>
    <row r="8477">
      <c r="A8477" t="inlineStr">
        <is>
          <t>foyik1</t>
        </is>
      </c>
      <c r="B8477" t="inlineStr">
        <is>
          <t>Looking for Your Help in Talking to Cancer Patients</t>
        </is>
      </c>
      <c r="C8477" t="inlineStr">
        <is>
          <t>I am working with companies that make cancer treatments, and I am eager to learn from cancer patients themselves how they feel about certain words and what what matters most to them. Can you help me by answering the following questions?
* What do the words “progression free survival” mean to you?
* Would you rather *hear a treatment stops cancer from spreading* or *that it keeps cancer from getting worse*? Why?
* If you could keep cancer from spreading but feel like total crap due to treatment, would you continue to pursue the treatment?</t>
        </is>
      </c>
      <c r="D8477" t="n">
        <v>1</v>
      </c>
      <c r="E8477" t="n">
        <v>8</v>
      </c>
      <c r="F8477">
        <f>HYPERLINK("https://www.reddit.com/r/cancer/comments/foyik1/looking_for_your_help_in_talking_to_cancer/")</f>
        <v/>
      </c>
      <c r="G8477" t="inlineStr">
        <is>
          <t>2020-03-25 14:20:57</t>
        </is>
      </c>
      <c r="H8477" t="inlineStr"/>
    </row>
    <row r="8478">
      <c r="A8478" t="inlineStr">
        <is>
          <t>foyqxf</t>
        </is>
      </c>
      <c r="B8478" t="inlineStr">
        <is>
          <t>Need advice for supporting/distracting/... a pupil of mine with cancer</t>
        </is>
      </c>
      <c r="C8478" t="inlineStr">
        <is>
          <t>Aloha all. One of my pupils has cancer. She's wonderfully brave about it all, but things aren't going as they should. Nothing conclusive yet, but she's in a bad spot. My colleagues and I have arranged for her to get a small surprise each week to show her that she's on our minds, to somewhat distract her and hopefully to give her a little something to look forward to. My turn is coming up and I'm a bit at a loss. She will be in complete isolation for the next couple of days or weeks (corona means no visitors) so I imagine she'll be bored as hell... She can't focus on anything for more than a minute so a book, movie... that might distract her a bit isn't really an option. She's lost fine motor skill, so most things online or with her phone are out as well... I really don't want to let her down, but I've no clue as to what to get her or do for her...  I considered an audiobook, but I'm not sure that'd work with her not being able to focus very long. I figured maybe someone on here would be able to better relate to what she's going through and what might be a nice little gesture for her.. 
Help me Obi-Wan-Kereddit, you're my only hope...</t>
        </is>
      </c>
      <c r="D8478" t="n">
        <v>1</v>
      </c>
      <c r="E8478" t="n">
        <v>10</v>
      </c>
      <c r="F8478">
        <f>HYPERLINK("https://www.reddit.com/r/cancer/comments/foyqxf/need_advice_for_supportingdistracting_a_pupil_of/")</f>
        <v/>
      </c>
      <c r="G8478" t="inlineStr">
        <is>
          <t>2020-03-25 14:34:41</t>
        </is>
      </c>
      <c r="H8478" t="inlineStr"/>
    </row>
    <row r="8479">
      <c r="A8479" t="inlineStr">
        <is>
          <t>foyz2j</t>
        </is>
      </c>
      <c r="B8479" t="inlineStr">
        <is>
          <t>Hodgkin's Lymphoma and smoking</t>
        </is>
      </c>
      <c r="C8479" t="inlineStr">
        <is>
          <t>hey guys, I am a 21-year-old girl who was diagnosed with stage 2 Hodgkins lymphoma.  I currently just finished my 1st cycle of ABVD.  I was a smoker/vaped before but have stopped since starting my treatment.  I was wondering if anyone has smoked/vaped during their treatment and what were the effects? I really need to relax and de-stress a bit and I can't think of anything better than a cigarette. I was strongly advised not to drink as it affects my liver and they told me not to smoke but I have read people smoking as a coping mechanism. Anyways if someone has experience with this please let me know.</t>
        </is>
      </c>
      <c r="D8479" t="n">
        <v>1</v>
      </c>
      <c r="E8479" t="n">
        <v>12</v>
      </c>
      <c r="F8479">
        <f>HYPERLINK("https://www.reddit.com/r/cancer/comments/foyz2j/hodgkins_lymphoma_and_smoking/")</f>
        <v/>
      </c>
      <c r="G8479" t="inlineStr">
        <is>
          <t>2020-03-25 14:47:32</t>
        </is>
      </c>
      <c r="H8479" t="inlineStr"/>
    </row>
    <row r="8480">
      <c r="A8480" t="inlineStr">
        <is>
          <t>foz2ho</t>
        </is>
      </c>
      <c r="B8480" t="inlineStr">
        <is>
          <t>Is anyone fighting cancer during Covid19? How's the chemo or radiation? Your mental health?</t>
        </is>
      </c>
      <c r="C8480" t="inlineStr">
        <is>
          <t>I was diagnosed with Hodgkins Lymphoma back in January. I'm 31, and I had issues with stuffy noses/allergies for the past 10 years. Tried everything from nasal sprays to eucalyptus and steam rooms. Then it hit me that this was a serious issue. Found out my adenoids were abnormally large and so they removed them (still have stuffy noses, but much better) and they did a biopsy on it and that's how they found it. I am set to go into chemo or radiation in the next 3 weeks. Will find out which I have to do tomorrow. Good news is, they did the Pet and CT scans and the cancer is nowhere else in my body. My mental health/depression is getting better. Being out of work and running low on money is doing some mental damage to me. Just the uncertainty of not knowing if things will get better real soon. My Dr put me on 25mg of Zoloft, but I dont think its doing anything. I'm honestly scared to go through chemo and being more at risk for the virus. I'm just really thankful to have my dogs in my life, food, and a roof over my head. Some things thats been helping my depression is working on my basement/office/recording studio, watching a ton of movies I grew up with. Yay 90s kids lol and writing music. If you want to hear what I've been writing.  [Soundcloud.com/ndevor](https://Soundcloud.com/ndevor)
Take care and use this time to figure out what you really need in your life that makes you fulfilled. God Bless:)</t>
        </is>
      </c>
      <c r="D8480" t="n">
        <v>1</v>
      </c>
      <c r="E8480" t="n">
        <v>48</v>
      </c>
      <c r="F8480">
        <f>HYPERLINK("https://www.reddit.com/r/cancer/comments/foz2ho/is_anyone_fighting_cancer_during_covid19_hows_the/")</f>
        <v/>
      </c>
      <c r="G8480" t="inlineStr">
        <is>
          <t>2020-03-25 14:52:51</t>
        </is>
      </c>
      <c r="H8480" t="inlineStr"/>
    </row>
    <row r="8481">
      <c r="A8481" t="inlineStr">
        <is>
          <t>foz4ff</t>
        </is>
      </c>
      <c r="B8481" t="inlineStr">
        <is>
          <t>My mom got diagnosed with breast cancer today. Need advice/support/guidance</t>
        </is>
      </c>
      <c r="C8481" t="inlineStr">
        <is>
          <t>My mind is a jumble right now, I'm sorry in advance if it's hard to read. My mom got a call today that she has breast cancer. She got some tests done last week after noticing a large lump near her underarm. Well, it turns out that there wasn't just one, but two tumors around her breast/underarm area. 
There have been only a few particular times where I've seen my mom cry and this was one of them. To be honest, I am very lost. She is the strongest person I know, so when she told me she was scared and started to cry, it really broke my heart. I want to help my mom all I can. A big part of me is in denial right now, this shouldn't be happening to her, this can't be happening to our ordinary life. I'm only 22 years old, fresh out of college. There is still so much I don't even know myself, but I want and have to be strong for the both of us. English also isn't my mom's first language so I want to be able to help her figure out things and help her get information she needs as well. 
I've been reading a lot of posts on this sub and taking any bits and pieces of information I can get. If you're reading this and whenever you have a moment, if you could share something you think would be useful for me to know, please do. Anything like how I can better support her through this time, or about finances, or just anything really would be helpful. Thank you for reading.</t>
        </is>
      </c>
      <c r="D8481" t="n">
        <v>1</v>
      </c>
      <c r="E8481" t="n">
        <v>8</v>
      </c>
      <c r="F8481">
        <f>HYPERLINK("https://www.reddit.com/r/cancer/comments/foz4ff/my_mom_got_diagnosed_with_breast_cancer_today/")</f>
        <v/>
      </c>
      <c r="G8481" t="inlineStr">
        <is>
          <t>2020-03-25 14:56:05</t>
        </is>
      </c>
      <c r="H8481" t="inlineStr"/>
    </row>
    <row r="8482">
      <c r="A8482" t="inlineStr">
        <is>
          <t>fozjwe</t>
        </is>
      </c>
      <c r="B8482" t="inlineStr">
        <is>
          <t>lesions</t>
        </is>
      </c>
      <c r="C8482" t="inlineStr">
        <is>
          <t>hi, 
my mom went in because she thought she had a cyst and they found something abnormal - she got a scan, can’t remember if it’s ct or cat but they found three or four lesions or spots on her brain that are likely from cancer. they will keep her overnight. 
because of the virus, i am unable to visit her, which i understand. i’m just scared and confused and want to be able to handle this the best way that i can. 
what do we do next? second opinions or straight to treatment? are there support groups for the unknown?</t>
        </is>
      </c>
      <c r="D8482" t="n">
        <v>1</v>
      </c>
      <c r="E8482" t="n">
        <v>0</v>
      </c>
      <c r="F8482">
        <f>HYPERLINK("https://www.reddit.com/r/cancer/comments/fozjwe/lesions/")</f>
        <v/>
      </c>
      <c r="G8482" t="inlineStr">
        <is>
          <t>2020-03-25 15:20:39</t>
        </is>
      </c>
      <c r="H8482" t="inlineStr"/>
    </row>
    <row r="8483">
      <c r="A8483" t="inlineStr">
        <is>
          <t>fozket</t>
        </is>
      </c>
      <c r="B8483" t="inlineStr">
        <is>
          <t>I just got diagnosed with colon and liver cancer</t>
        </is>
      </c>
      <c r="C8483" t="inlineStr">
        <is>
          <t>I came in to the emergency this morning because I was having stomach cramping and constipation for about a week. I got checked out and they did a CT scan. I could tell something was wrong because after nobody would look at me or say anything. They just took me in to a room and told me I have to have a section of my colon removed and my liver has a lot of spots on it. They have told me I have to have the colon surgery and then they can start chemotherapy when I have healed.
It feels so strange there is a certain calmness to me. I phoned my wife and all my family but because of the isolation/quarantine I am here alone. I go in for surgery in a couple of hours and take it from there. I feel so afraid and alone but like I said, calm.
Just writing this down and posting (my first reddit post I have created ) helps me but I am so overwhelmed.</t>
        </is>
      </c>
      <c r="D8483" t="n">
        <v>1</v>
      </c>
      <c r="E8483" t="n">
        <v>26</v>
      </c>
      <c r="F8483">
        <f>HYPERLINK("https://www.reddit.com/r/cancer/comments/fozket/i_just_got_diagnosed_with_colon_and_liver_cancer/")</f>
        <v/>
      </c>
      <c r="G8483" t="inlineStr">
        <is>
          <t>2020-03-25 15:21:32</t>
        </is>
      </c>
      <c r="H8483" t="inlineStr"/>
    </row>
    <row r="8484">
      <c r="A8484" t="inlineStr">
        <is>
          <t>fp26uk</t>
        </is>
      </c>
      <c r="B8484" t="inlineStr">
        <is>
          <t>Itchy skin during ABVD?</t>
        </is>
      </c>
      <c r="C8484" t="inlineStr">
        <is>
          <t>Anyone have itchy skin during their ABVD treatments?</t>
        </is>
      </c>
      <c r="D8484" t="n">
        <v>1</v>
      </c>
      <c r="E8484" t="n">
        <v>3</v>
      </c>
      <c r="F8484">
        <f>HYPERLINK("https://www.reddit.com/r/cancer/comments/fp26uk/itchy_skin_during_abvd/")</f>
        <v/>
      </c>
      <c r="G8484" t="inlineStr">
        <is>
          <t>2020-03-25 17:59:22</t>
        </is>
      </c>
      <c r="H8484" t="inlineStr"/>
    </row>
    <row r="8485">
      <c r="A8485" t="inlineStr">
        <is>
          <t>fp4fto</t>
        </is>
      </c>
      <c r="B8485" t="inlineStr">
        <is>
          <t>Ear Pressure turned into Heavy Head Pressure, pins and needles in hands and feet, and lightheaded feeling</t>
        </is>
      </c>
      <c r="C8485" t="inlineStr">
        <is>
          <t>Head pressure, ear pressure, shortness of breath, pins and needles
Hi everyone.  I had flu-like symptoms back in January.  As I was getting over it I developed slight vertigo.  It would come and go for a week then disappeared.
Okay fine. 
But then in February, I developed ear fullness and facial tension.
That’s when the vertigo came back.  And it came back stronger.  I eventually developed a heavy head with so much pressure that sometimes it felt like it was going to explode.
It got me lightheaded and sent me to urgent care.  
I eventually was given a comprehensive blood panel which came out just fine (except for a tad bit low on Vitamin D and somewhat high cholesterol)...The doctor said I had a middle/inner ear infection.  
Now it’s been over a month since these symptoms began.
I still have a heavy head and ear pressure/crackling.  (I feel most lightheaded when I lean forward or stand up too quickly)
But now I have odd sensations in my body.  Burning hands when it’s just a tad bit cold outside.  Throbbing fingers at random times.  And burning feet especially in the morning when it’s coldest.  
There seems to be some peripheral neuropathy going on here but I’m not sure why.  Can an ear or possible sinus infection cause the nerves in my body to go haywire?? 
Or is this something else? 
I have aches developing in random places in my body + slight shortness of breath.  But it’s constantly changing.  
Would this type of cancer show up on my comprehensive blood panel? I was fine in the lymphocytes department etc 
29 year old male
5’7
175 lbs
I was healthy leading up to the new year.  Now I’m ill.
Any advice would be amazing!</t>
        </is>
      </c>
      <c r="D8485" t="n">
        <v>1</v>
      </c>
      <c r="E8485" t="n">
        <v>6</v>
      </c>
      <c r="F8485">
        <f>HYPERLINK("https://www.reddit.com/r/cancer/comments/fp4fto/ear_pressure_turned_into_heavy_head_pressure_pins/")</f>
        <v/>
      </c>
      <c r="G8485" t="inlineStr">
        <is>
          <t>2020-03-25 20:32:00</t>
        </is>
      </c>
      <c r="H8485" t="inlineStr"/>
    </row>
    <row r="8486">
      <c r="A8486" t="inlineStr">
        <is>
          <t>fp4il2</t>
        </is>
      </c>
      <c r="B8486" t="inlineStr">
        <is>
          <t>Is this normal? [Rant/Question]</t>
        </is>
      </c>
      <c r="C8486" t="inlineStr">
        <is>
          <t>Hey! So I've posted before, my mom has terminal Metastatic breast cancer and is now in hospice. Recently due to her [even more] decline in health, we got a hospital bed put in the living room and her nurses now come everyday. Due to COVID-19, my school is cancelled until further notice and both prom and graduation is postponed [and may not happen at all]. The point of this rant and question is, my moms nurse and therapist/psychiatrist keeps trying to get me to like text them if **I** need anything or if **I** want to do anything fun; why? They keep saying how they could throw a graduation party for me or even a prom if mine ends up getting cancelled and they keep telling me to text them my favourite foods. I don't understand why they keep trying to do things for me when it's my mom who's the one dying and not me. It kind of makes me angry for some reason[?], I don't know what but it makes me want to angry cry.
Sorry if this is selfish or stupid. I'll take it down if not allowed.</t>
        </is>
      </c>
      <c r="D8486" t="n">
        <v>1</v>
      </c>
      <c r="E8486" t="n">
        <v>8</v>
      </c>
      <c r="F8486">
        <f>HYPERLINK("https://www.reddit.com/r/cancer/comments/fp4il2/is_this_normal_rantquestion/")</f>
        <v/>
      </c>
      <c r="G8486" t="inlineStr">
        <is>
          <t>2020-03-25 20:37:26</t>
        </is>
      </c>
      <c r="H8486" t="inlineStr"/>
    </row>
    <row r="8487">
      <c r="A8487" t="inlineStr">
        <is>
          <t>fp8qvt</t>
        </is>
      </c>
      <c r="B8487" t="inlineStr">
        <is>
          <t>PSA: Non cancer victims... Fuck off with your views on what I "need" to do</t>
        </is>
      </c>
      <c r="C8487" t="inlineStr">
        <is>
          <t>I'm 32 male and tomorrow is round 3/4 of chemo.... I'm still working full-time (everyone says I should be staying at home for 2+ weeks.... Fuck no, there is no way I'm doing any of that). I wash my hands as often as I can for 2 minutes.... What more do you freaks (people nagging me on what I "should" be doing in their non cancerous eyes... I refuse to let cancer win and hold me back fuck cancer and fuck you for suggesting I become submissive to cancer) want
So aside from all the nagging I feel okay, frankly I don't want to live 10+ years.... I don't want to live to 60. I had to give up my lusts (nicotine and beer) for others to make them happy (parents)... Honestly if they weren't "around" I'd live in lust, and roll the dice. A life without lust, and a life where every day is struggle (work work WORK!!!!!!!!!!) is not worth living. I'm not suicidal but if death comes for me I will embrace it with open arms, I will not run from it. If my cancer comes back or a secondary one occurs from treatment I say fuck it. I refuse to go through chemo again. I refuse to have a port put in again, I refuse to have surgery again. I will live in my lust and enjoy months to years of my life.
I know I sound like an angry asshole but frankly I'm tired of life, every fucking day is a battle and I'm done fighting after my treatment. If I die I fucking die,its inevitable and if it comes sooner rather than later so fucking be it!
I hope all is well for you sincerely, you may see things differently and I wish you the best.</t>
        </is>
      </c>
      <c r="D8487" t="n">
        <v>1</v>
      </c>
      <c r="E8487" t="n">
        <v>10</v>
      </c>
      <c r="F8487">
        <f>HYPERLINK("https://www.reddit.com/r/cancer/comments/fp8qvt/psa_non_cancer_victims_fuck_off_with_your_views/")</f>
        <v/>
      </c>
      <c r="G8487" t="inlineStr">
        <is>
          <t>2020-03-26 02:43:54</t>
        </is>
      </c>
      <c r="H8487" t="inlineStr"/>
    </row>
    <row r="8488">
      <c r="A8488" t="inlineStr">
        <is>
          <t>fp8sv3</t>
        </is>
      </c>
      <c r="B8488" t="inlineStr">
        <is>
          <t>Cancer &amp;amp; COVID-19</t>
        </is>
      </c>
      <c r="C8488" t="inlineStr">
        <is>
          <t>I wonder with all the R&amp;amp;D that is going into COVID-19 if there will be some things we learn that may be able to help in the Cancer fight.
:) Here is hoping a negative turns into something that could be a positive in some senses.</t>
        </is>
      </c>
      <c r="D8488" t="n">
        <v>1</v>
      </c>
      <c r="E8488" t="n">
        <v>4</v>
      </c>
      <c r="F8488">
        <f>HYPERLINK("https://www.reddit.com/r/cancer/comments/fp8sv3/cancer_covid19/")</f>
        <v/>
      </c>
      <c r="G8488" t="inlineStr">
        <is>
          <t>2020-03-26 02:49:20</t>
        </is>
      </c>
      <c r="H8488" t="inlineStr"/>
    </row>
    <row r="8489">
      <c r="A8489" t="inlineStr">
        <is>
          <t>fpahwy</t>
        </is>
      </c>
      <c r="B8489" t="inlineStr">
        <is>
          <t>Is there any discord/group for younger people with cancer?</t>
        </is>
      </c>
      <c r="C8489" t="inlineStr">
        <is>
          <t>If not, I'm thinking of making one either on discord/telegram/whatsapp. Not to discuss cancer necessarily, but generally for support, any sort of discussion, whatever (books, movies, music, anything) For people up to the ages of 30 who have been diagnosed. 
Anyone think this is a good idea or would like to join? Let me know!</t>
        </is>
      </c>
      <c r="D8489" t="n">
        <v>1</v>
      </c>
      <c r="E8489" t="n">
        <v>27</v>
      </c>
      <c r="F8489">
        <f>HYPERLINK("https://www.reddit.com/r/cancer/comments/fpahwy/is_there_any_discordgroup_for_younger_people_with/")</f>
        <v/>
      </c>
      <c r="G8489" t="inlineStr">
        <is>
          <t>2020-03-26 05:14:44</t>
        </is>
      </c>
      <c r="H8489" t="inlineStr"/>
    </row>
    <row r="8490">
      <c r="A8490" t="inlineStr">
        <is>
          <t>fpbsbg</t>
        </is>
      </c>
      <c r="B8490" t="inlineStr">
        <is>
          <t>Colon pain undiagnosed for years</t>
        </is>
      </c>
      <c r="C8490" t="inlineStr">
        <is>
          <t>Hello! Looking for some advice, hoping ya'll might have some for me. 
My mother is a stage 4 colorectal cancer survivor. I'm between 35-40 years old.
Roughly two and a half years ago, I began experiencing pain above my right hip, and below and to the right of my belly button. When I told my doctor, he grew concerned about the possibility of colon cancer.
I was referred for a massive battery of tests. I've had at least 7 ultrasounds, 2 CT scans, colonoscopy, MRI, several x-rays, several blood tests, cystoscopy etc etc. Everything has come back clear, except that my appendix was slightly larger than normal. No other results to speak of.
Meanwhile my pain has worsened over the last nearly three years, and has spread upwards under my bottom rib and occasionally now on the left side of my lower belly. It's constant and generally unchanging, and excruciating 24/7. 
I have no other real symptoms to speak of - haven't passed blood or lost weight. Sometimes my stools seem small, like I should be releasing more than what is coming out, but not always. Also, I feel that I have an unusual amount of noise and gurgling that comes from that area these days, although I may just be oversensitive to those noises as a result of the pain.
I have very little doubt this pain is coming from my bowels, but the doctors seem to be at a loss. 
Question: would it be possible for this to be cancer after almost three years and no results? After this long, would there not be other symptoms or signs?
As far as I can tell, I have three possibilities:
Undiagnosed colon cancer for years
Muscle/ligament/skeletal issue
Functional abdominal pain based on anxiety
Any discussion on this issue is greatly appreciated!</t>
        </is>
      </c>
      <c r="D8490" t="n">
        <v>1</v>
      </c>
      <c r="E8490" t="n">
        <v>7</v>
      </c>
      <c r="F8490">
        <f>HYPERLINK("https://www.reddit.com/r/cancer/comments/fpbsbg/colon_pain_undiagnosed_for_years/")</f>
        <v/>
      </c>
      <c r="G8490" t="inlineStr">
        <is>
          <t>2020-03-26 06:48:46</t>
        </is>
      </c>
      <c r="H8490" t="inlineStr"/>
    </row>
    <row r="8491">
      <c r="A8491" t="inlineStr">
        <is>
          <t>fpbyxu</t>
        </is>
      </c>
      <c r="B8491" t="inlineStr">
        <is>
          <t>I just learned that my mother has breast cancer while I study 500 KM away and can't go see her.</t>
        </is>
      </c>
      <c r="C8491" t="inlineStr">
        <is>
          <t>My [22M] mother [52F] called me yesterday to tell me that she will have surgery on Friday to remove the suspicious tumor she had checked 3 weeks ago. I dont know the stage but the only thing I know is that it has not done metastasis according to the doctor. I cant even go outside due to Covid-19, I feel helpless and dont know what to do .All flights are canceled and I am supposed to stay home and deal with this alone.
Tl;dr I just learned my mother has surgery for cancer and I am stuck in the city I study and cant go see her.</t>
        </is>
      </c>
      <c r="D8491" t="n">
        <v>1</v>
      </c>
      <c r="E8491" t="n">
        <v>0</v>
      </c>
      <c r="F8491">
        <f>HYPERLINK("https://www.reddit.com/r/cancer/comments/fpbyxu/i_just_learned_that_my_mother_has_breast_cancer/")</f>
        <v/>
      </c>
      <c r="G8491" t="inlineStr">
        <is>
          <t>2020-03-26 07:00:53</t>
        </is>
      </c>
      <c r="H8491" t="inlineStr"/>
    </row>
    <row r="8492">
      <c r="A8492" t="inlineStr">
        <is>
          <t>fpfg4e</t>
        </is>
      </c>
      <c r="B8492" t="inlineStr">
        <is>
          <t>Mom's Second Chemo Cycle Better than First?</t>
        </is>
      </c>
      <c r="C8492" t="inlineStr">
        <is>
          <t>Hey guys, as the title says, I've noticed a significant improvement in my mom's response to the second cycle of CHOP chemo for her Non-Hodgkins Lymphoma vs her first cycle. Is this normal?
First Cycle (Given 7 day's after being diagnosed with Stage 4 NH Lymphoma)
* Very high fatigue for 4 days. Only able to get out of bed for food and to use the bathroom. Unable to watch TV, unable to talk to family on the phone
* Low appetite. Struggled to eat more than 1500 calories a day
Second Cycle (3 weeks after first cycle)
* Fatigue is very manageable (been 24 hours since she received 2nd cycle). Able to walk around, cook, clean, talk to family and friends
* Normal appetite. Eating as she has been for the last two weeks (~1800 calories)
I've heard that chemo is supposed to get progressively worse as treatment moves on, but for my mom it's getting easier? Could this have been due to a dosage change?</t>
        </is>
      </c>
      <c r="D8492" t="n">
        <v>1</v>
      </c>
      <c r="E8492" t="n">
        <v>6</v>
      </c>
      <c r="F8492">
        <f>HYPERLINK("https://www.reddit.com/r/cancer/comments/fpfg4e/moms_second_chemo_cycle_better_than_first/")</f>
        <v/>
      </c>
      <c r="G8492" t="inlineStr">
        <is>
          <t>2020-03-26 10:18:28</t>
        </is>
      </c>
      <c r="H8492" t="inlineStr"/>
    </row>
    <row r="8493">
      <c r="A8493" t="inlineStr">
        <is>
          <t>fphto3</t>
        </is>
      </c>
      <c r="B8493" t="inlineStr">
        <is>
          <t>(15m) youngest immunotherapy patient as of right now in the world. One of the youngest melanoma patients ever. Ask me anything</t>
        </is>
      </c>
      <c r="C8493" t="inlineStr">
        <is>
          <t>I’m 100% serious about being the youngest. As checked by my oncologist. I am the youngest immunotherapy patient ever. I was diagnosed in august of last year and it has been extremely tough since my case is incredibly rare. Ask me any question you want.</t>
        </is>
      </c>
      <c r="D8493" t="n">
        <v>2</v>
      </c>
      <c r="E8493" t="n">
        <v>18</v>
      </c>
      <c r="F8493">
        <f>HYPERLINK("https://www.reddit.com/r/cancer/comments/fphto3/15m_youngest_immunotherapy_patient_as_of_right/")</f>
        <v/>
      </c>
      <c r="G8493" t="inlineStr">
        <is>
          <t>2020-03-26 12:24:31</t>
        </is>
      </c>
      <c r="H8493" t="inlineStr"/>
    </row>
    <row r="8494">
      <c r="A8494" t="inlineStr">
        <is>
          <t>fpii06</t>
        </is>
      </c>
      <c r="B8494" t="inlineStr">
        <is>
          <t>How to prepare</t>
        </is>
      </c>
      <c r="C8494" t="inlineStr">
        <is>
          <t>I wasn't really sure where to post this. I am still a little emotional writing this. I have been in contact with someone who was in direct  contact with a covid patient. I have endometrial cancer and I was undergoing radioteraphy when everything got suspended. I know I'm fucked, I don't have anyone but my partner and his family and in case I die I want to leave everything in order to make things easier on them. Where should I start? What do I need to get in order? Banks, life insurance, idk. I never really thought about this because I always thought I would make it. But today i faced the hard reality that this virus is likely to take me out</t>
        </is>
      </c>
      <c r="D8494" t="n">
        <v>1</v>
      </c>
      <c r="E8494" t="n">
        <v>8</v>
      </c>
      <c r="F8494">
        <f>HYPERLINK("https://www.reddit.com/r/cancer/comments/fpii06/how_to_prepare/")</f>
        <v/>
      </c>
      <c r="G8494" t="inlineStr">
        <is>
          <t>2020-03-26 13:01:43</t>
        </is>
      </c>
      <c r="H8494" t="inlineStr"/>
    </row>
    <row r="8495">
      <c r="A8495" t="inlineStr">
        <is>
          <t>fpjqsw</t>
        </is>
      </c>
      <c r="B8495" t="inlineStr">
        <is>
          <t>Covid dads immunotherapy canceled.</t>
        </is>
      </c>
      <c r="C8495" t="inlineStr">
        <is>
          <t>Well, they canceled my dads immunotherapy treatment for next week, and then they canceled his dermatology appointment for the following week. Hes got several bumps on his scalp that since immunotherapy started flared up got crusty oozy but the worst part is the pain. He can barely put his hat on. The bumps have been there and I've been telling him to get them checked out for a while. Now with everything going on everything is pushed back further, or turned into a virtual visit. It's frustrating. Anyone else have these head lesions?</t>
        </is>
      </c>
      <c r="D8495" t="n">
        <v>1</v>
      </c>
      <c r="E8495" t="n">
        <v>7</v>
      </c>
      <c r="F8495">
        <f>HYPERLINK("https://www.reddit.com/r/cancer/comments/fpjqsw/covid_dads_immunotherapy_canceled/")</f>
        <v/>
      </c>
      <c r="G8495" t="inlineStr">
        <is>
          <t>2020-03-26 14:10:11</t>
        </is>
      </c>
      <c r="H8495" t="inlineStr"/>
    </row>
    <row r="8496">
      <c r="A8496" t="inlineStr">
        <is>
          <t>fpkery</t>
        </is>
      </c>
      <c r="B8496" t="inlineStr">
        <is>
          <t>Caregivers: how do you deal with the bad news?</t>
        </is>
      </c>
      <c r="C8496" t="inlineStr">
        <is>
          <t>My mom (nsc lung cancer, stage 3) went into surgery today for a lobectomy. During the surgery, it was discovered that 1) the tumor was too large to remove and 2) the nodes around her pulmonary artery were so hard, the surgeon could not see where the artery was. The doctors are no longer optimistic about her recovery. 
I'm starting to realize that every piece of good news comes married to some bad news when you're dealing with cancer. How do you guys cope with the bad news?</t>
        </is>
      </c>
      <c r="D8496" t="n">
        <v>1</v>
      </c>
      <c r="E8496" t="n">
        <v>11</v>
      </c>
      <c r="F8496">
        <f>HYPERLINK("https://www.reddit.com/r/cancer/comments/fpkery/caregivers_how_do_you_deal_with_the_bad_news/")</f>
        <v/>
      </c>
      <c r="G8496" t="inlineStr">
        <is>
          <t>2020-03-26 14:47:11</t>
        </is>
      </c>
      <c r="H8496" t="inlineStr"/>
    </row>
    <row r="8497">
      <c r="A8497" t="inlineStr">
        <is>
          <t>fpncvf</t>
        </is>
      </c>
      <c r="B8497" t="inlineStr">
        <is>
          <t>Information on wigs for my grandma?</t>
        </is>
      </c>
      <c r="C8497" t="inlineStr">
        <is>
          <t>Hi All, I’m not sure if this is the best place to post this, so please remove or comment if not. My grandma was just diagnosed with stage 4 ovarian cancer and is scheduled for chemotherapy. The one thing scaring her more than the cancer is the idea of losing her hair. She’s always VERY adventurous with her hair, one of very few older women I know who still has longer hair and enjoys doing fun colors like pink, purple, etc.
I’m trying to help her look for wigs, but there are so many types and websites and distributors she got a bit overwhelmed. Most websites just had costume wigs or wigs for people transitioning genders, nothing specialty for those with hair loss from chemo. Does anyone know of any resources or recommendations on how to find a wig for cancer patients? She wants something she can wear all day and isn’t uncomfortable. There’s so many types we don’t know where to begin! By types I mean with caps included, lace fronts, costume, real hair, etc. that we don’t really understand. Should it be real hair? Does the cap type matter for comfort? How can you trust the website you’re buying from to be legit?
I want to help her feel confident in any way I can. So any recommendations or pointing me in the right direction would be so helpful. &amp;lt;3</t>
        </is>
      </c>
      <c r="D8497" t="n">
        <v>1</v>
      </c>
      <c r="E8497" t="n">
        <v>7</v>
      </c>
      <c r="F8497">
        <f>HYPERLINK("https://www.reddit.com/r/cancer/comments/fpncvf/information_on_wigs_for_my_grandma/")</f>
        <v/>
      </c>
      <c r="G8497" t="inlineStr">
        <is>
          <t>2020-03-26 17:43:09</t>
        </is>
      </c>
      <c r="H8497" t="inlineStr"/>
    </row>
    <row r="8498">
      <c r="A8498" t="inlineStr">
        <is>
          <t>fpo7qu</t>
        </is>
      </c>
      <c r="B8498" t="inlineStr">
        <is>
          <t>Recently Diagnosed - Struggling with communication</t>
        </is>
      </c>
      <c r="C8498" t="inlineStr">
        <is>
          <t>Hello all -
On 2.19.20 I was diagnosed with a rare form of Lymphoma (MZL). I've completed the original surgery and my radiation will start in the coming weeks (depending on hospitals capacity with Covid-19). With 2 kids under 3 years old, wife &amp;amp; being in my early 30's, this has been a difficult time in my life. 
What I'm struggling with is the communication with co-workers, friends &amp;amp; even some family members.  I'm reluctant to tell others outside of a very close group because I don't want to look like a dramatic person/woe is me/give me attention.  type of person. I also know that I got VERY lucky that I caught it so early that being a "Cancer Survivor" is an identity shift that is hard to accept or even wrap my head around, especially compared to those that are in a much more dire situation than I'm in. 
Lastly, with 2 very young kids, I don't want them finding out about my diagnosis from anyone but me. They'll have enough to worry about in life and don't want my health issues to be one of them until they're old enough to fully grasp the situation at hand. 
With gratitude,
Mase
ps - wash them hands</t>
        </is>
      </c>
      <c r="D8498" t="n">
        <v>1</v>
      </c>
      <c r="E8498" t="n">
        <v>6</v>
      </c>
      <c r="F8498">
        <f>HYPERLINK("https://www.reddit.com/r/cancer/comments/fpo7qu/recently_diagnosed_struggling_with_communication/")</f>
        <v/>
      </c>
      <c r="G8498" t="inlineStr">
        <is>
          <t>2020-03-26 18:39:00</t>
        </is>
      </c>
      <c r="H8498" t="inlineStr"/>
    </row>
    <row r="8499">
      <c r="A8499" t="inlineStr">
        <is>
          <t>fpowz5</t>
        </is>
      </c>
      <c r="B8499" t="inlineStr">
        <is>
          <t>Chemo Change due to Covid-19</t>
        </is>
      </c>
      <c r="C8499" t="inlineStr">
        <is>
          <t>Today my oncologist called and let me know that they have a zero visitors policy at my doctor's office, which means no one is allowed to come sit with me during chemo. While I completely understand the need for that rule I am really not looking forward to sitting there for 6-7 hours alone. I am already struggling with some mild depression and hate the idea of my husband not being there to support me. Covid-19 really really sucks.</t>
        </is>
      </c>
      <c r="D8499" t="n">
        <v>1</v>
      </c>
      <c r="E8499" t="n">
        <v>12</v>
      </c>
      <c r="F8499">
        <f>HYPERLINK("https://www.reddit.com/r/cancer/comments/fpowz5/chemo_change_due_to_covid19/")</f>
        <v/>
      </c>
      <c r="G8499" t="inlineStr">
        <is>
          <t>2020-03-26 19:24:51</t>
        </is>
      </c>
      <c r="H8499" t="inlineStr"/>
    </row>
    <row r="8500">
      <c r="A8500" t="inlineStr">
        <is>
          <t>fpsu7h</t>
        </is>
      </c>
      <c r="B8500" t="inlineStr">
        <is>
          <t>Hi, I don’t even know where to start.</t>
        </is>
      </c>
      <c r="C8500" t="inlineStr">
        <is>
          <t>Hi. I don’t know where to start so I’ll just get it all out I guess.
My brother is 25 and he’s dying of cancer. It started as testicular cancer with a lot of hope and now it’s stage 4 and in his lungs, spine, and cerebrospinal fluid. It’s not good, the doctors have told us that there’s little to no hope and he has weeks to live as I write this. He has the option of taking chemo for the cancer in his lungs and he’s having radiation on his spine as a last ditch effort but that’s it.
I can’t tell you specifics on when it started, I don’t even remember. It’s all been such a blur and I’ve honestly been avoiding it as much as I can because if I think about it, I’m gonna stop functioning.
My brother and I aren’t super close, we used to be until we hit around age 8 or 9 (we’re very close in age) but then we made our own friends and ran in our own circles. But I still love him so, so much and I don’t want him to die. I don’t wanna watch him go through that, I don’t wanna watch my mom and dad go through this.
Thanks to Corona we can’t even visit him. He’s in a hospital 4 hours away all alone. We don’t even know if we’ll be able to visit him in hospice (it looks like we won’t be able to. He might be allowed only 1 visitor and he’ll probably choose my mom, which is fine. She’s been there for everything until now).
I just don’t know what to do. I’ve never had someone close to me die, let alone my big brother. I don’t even know why I’m writing this. I guess I want comfort, I want to know that I’m not alone. Everything hurts and everything sucks and I feel so guilty for being alive and healthy while he slowly dies, alone in a hospital and in pain. I hate this so much. Fuck cancer, fuck this.
It’s not fair. He doesn’t deserve this. Nobody does. Fuck cancer. Just fuck it.</t>
        </is>
      </c>
      <c r="D8500" t="n">
        <v>1</v>
      </c>
      <c r="E8500" t="n">
        <v>26</v>
      </c>
      <c r="F8500">
        <f>HYPERLINK("https://www.reddit.com/r/cancer/comments/fpsu7h/hi_i_dont_even_know_where_to_start/")</f>
        <v/>
      </c>
      <c r="G8500" t="inlineStr">
        <is>
          <t>2020-03-27 00:37:53</t>
        </is>
      </c>
      <c r="H8500" t="inlineStr"/>
    </row>
    <row r="8501">
      <c r="A8501" t="inlineStr">
        <is>
          <t>fpv1i8</t>
        </is>
      </c>
      <c r="B8501" t="inlineStr">
        <is>
          <t>I have to suffer in suspense because of Corona</t>
        </is>
      </c>
      <c r="C8501" t="inlineStr">
        <is>
          <t>[this is not a "do I have/is this cancer" post] 
so, I might have brain cancer. I have pretty much all of the symptoms. talking to my mom and my grandpa who are both medical professionals, my mom being a nurse and my grandpa being a gp doctor, they both agreed that given my symptoms and the history of cancers in our family, there's a very high chance. so, now I've already basically had a consultation with a gp and was about to see my neurologist when disaster struck. everything's on lockdown, especially hospitals. all my neurologist did (and probably all he could do) over the phone was tell me to take more otc pain meds for the horrible fucking pounding headache that's not letting me sleep and not letting me function while awake.
now I'm stuck in this position, unable to get any tests done, and unable to confirm or deny whether my body has decided to continue the family tradition of having cancer.
God my fucking head hurts</t>
        </is>
      </c>
      <c r="D8501" t="n">
        <v>1</v>
      </c>
      <c r="E8501" t="n">
        <v>7</v>
      </c>
      <c r="F8501">
        <f>HYPERLINK("https://www.reddit.com/r/cancer/comments/fpv1i8/i_have_to_suffer_in_suspense_because_of_corona/")</f>
        <v/>
      </c>
      <c r="G8501" t="inlineStr">
        <is>
          <t>2020-03-27 04:04:32</t>
        </is>
      </c>
      <c r="H8501" t="inlineStr"/>
    </row>
    <row r="8502">
      <c r="A8502" t="inlineStr">
        <is>
          <t>fpyxvs</t>
        </is>
      </c>
      <c r="B8502" t="inlineStr">
        <is>
          <t>Post Chemo Question</t>
        </is>
      </c>
      <c r="C8502" t="inlineStr">
        <is>
          <t>Finished first 3 day round of chemo. Pretty miserable the entire 3 days. Now the past two Ive felt pretty good. Am I clear? Or is more coming? I have two weeks off now before we go again so I thought I would be taking a lot longer to bounce back. Is this normal?</t>
        </is>
      </c>
      <c r="D8502" t="n">
        <v>1</v>
      </c>
      <c r="E8502" t="n">
        <v>4</v>
      </c>
      <c r="F8502">
        <f>HYPERLINK("https://www.reddit.com/r/cancer/comments/fpyxvs/post_chemo_question/")</f>
        <v/>
      </c>
      <c r="G8502" t="inlineStr">
        <is>
          <t>2020-03-27 08:32:37</t>
        </is>
      </c>
      <c r="H8502" t="inlineStr"/>
    </row>
    <row r="8503">
      <c r="A8503" t="inlineStr">
        <is>
          <t>fq16wh</t>
        </is>
      </c>
      <c r="B8503" t="inlineStr">
        <is>
          <t>Just found out my dad (62) has cancer</t>
        </is>
      </c>
      <c r="C8503" t="inlineStr">
        <is>
          <t>We're not sure what kind. It's in his neck, not his throat. It's a big knot and it's grown since he realized it was there (about 3-4 months). He says it doesn't affect is swallowing or anything like that since it's not IN his throat. But it's about the size of a golf ball. He's currently going to the VA (which I'm not too happy about because they're just not in a rush about anything and just....how they've went about things). I ask my dad why not go somewhere else so we can deal with this better and he says he can't go anywhere else. 
When we (me and my sister) first heard he MIGHT have cancer, we were both freaking out. I already have anxiety and then I was thinking what if he does and what if it's one of those instances you hear where a person finds out and then it's like. 6-8 months later they were gone. I had to quit thinking about it until we ACTUALLY knew for sure because what if I was freaking out and then find out it's an infection or something (which they had said it could've also been), because when they did a scan they said there was the knot you can see, but also one behind it?
But now that we KNOW it's cancer.... I'm just really worried. He says they don't know what kind yet. Just said carcinoma (which, isn't that just a fancy word for cancer?) They're doing more tests soon to figure out chemo and what kind it is (when he said this, he said it like....to find out if it's one that's usually easily gotten rid of or an aggressive one or something). I just feel too young to be losing him and I want to be positive and hopeful. I'm 28, the oldest of us two. And although our mom is around (kind of....lives 4 hours away).... they're 2 totally different people. My dad has always been there. He's a little rough around the edges, but he is who he is and he raised me and my sister by himself since I was about 5 because he knew my mom wouldn't really be able to help and they weren't going to work out. This whole thing with him is extra upsetting because he's always there to help. Even when he's bitching about it, he's helpful. And it's funnier now that we're older. My mom is very....about herself. If she asks to borrow anything, expect to not get it back. If you want to vent, expect her to basically have no input and just be waiting for her turn to complain about things in her life that she chooses to not fix. I know it sounds bad, but it's just. If we lost him. It's not like we have this other parent who will be there to help us through this. She'll just make it about herself.
We just lost our grandpa (his dad, who we were also close with) last June due to cancer and other issues and I just can't handle this. Plus with this whole corona thing happening. Like, fuck. I just want to know this can be taken care of. I don't think I'd be nearly as anxious and worried about it if I couldn't physically see this knot in his neck. 
Then it's just, I don't know, me and my boyfriend are probably close to getting engaged, we've talked about kids, my sister has a kid who's almost 2. I've just been thinking about how I want him around to see all of this. For our kids to have actual memories with their grandparents like we did. Not snips of memories because they were so young when they passed or not at all. He's the best and I want them to experience it too. I see how much my neice loves her grandpa. 
Sorry for the long winded explanation. But all of these thoughts have been going through my head and I just wish I knew more. I don't know if it would make the anxiety about this worse or better. 
TLDR: I found out my dad has cancer and I need some sort of hope because he's been the parent that's been around physically and also the one we can rely on. We need him around for much longer.</t>
        </is>
      </c>
      <c r="D8503" t="n">
        <v>1</v>
      </c>
      <c r="E8503" t="n">
        <v>15</v>
      </c>
      <c r="F8503">
        <f>HYPERLINK("https://www.reddit.com/r/cancer/comments/fq16wh/just_found_out_my_dad_62_has_cancer/")</f>
        <v/>
      </c>
      <c r="G8503" t="inlineStr">
        <is>
          <t>2020-03-27 10:24:10</t>
        </is>
      </c>
      <c r="H8503" t="inlineStr"/>
    </row>
    <row r="8504">
      <c r="A8504" t="inlineStr">
        <is>
          <t>fq2mff</t>
        </is>
      </c>
      <c r="B8504" t="inlineStr">
        <is>
          <t>My first post to Reddit is a sad one, my girlfriend just got diagnosed with Ewing's sarcoma</t>
        </is>
      </c>
      <c r="C8504" t="inlineStr">
        <is>
          <t>Hello everyone, I wanted to share this experience with someone, specifically someone who may know of this subject, and what other place would be better than a forum dedicated to it! 2 days ago, my amazing girlfriend who I've been with for the past 27 months was diagnosed with Ewing's sarcoma (not sure what stage), all I know is that it is a very rare form of cancer that affects the bones and muscles. However, I do believe that she could have gotten way better results from hospitals, ever since late November/early December, she's had that pain on the right side of her abdomen, specifically her seventh rib. She kept on getting misdiagnosed for all that time, saying it was gastritis, air in the stomach, more gastritis. One day maybe 3 weeks ago, they decided to go to San Diego and see what they told them there, that's when they found the tumor. If it wasn't for their decision making, who knows when it would have been found out that she had it. I've been angry and frustrated about that, I know she has been too, it's a very serious thing. When she told me, she was calm, a little sad, and I was too, but I know that she is a very brave, beautiful woman, and she will beat this cancer so that she gets the future she deserves, the future she wants. I will try and be the best support I can to her, she's the only woman I've ever loved and the only woman I plan on loving, and she deserves the world just like everyone else out there.</t>
        </is>
      </c>
      <c r="D8504" t="n">
        <v>1</v>
      </c>
      <c r="E8504" t="n">
        <v>15</v>
      </c>
      <c r="F8504">
        <f>HYPERLINK("https://www.reddit.com/r/cancer/comments/fq2mff/my_first_post_to_reddit_is_a_sad_one_my/")</f>
        <v/>
      </c>
      <c r="G8504" t="inlineStr">
        <is>
          <t>2020-03-27 11:33:23</t>
        </is>
      </c>
      <c r="H8504" t="inlineStr"/>
    </row>
    <row r="8505">
      <c r="A8505" t="inlineStr">
        <is>
          <t>fq3saz</t>
        </is>
      </c>
      <c r="B8505" t="inlineStr">
        <is>
          <t>Hi, so I just go a port. How long till my neck stops hurting.</t>
        </is>
      </c>
      <c r="C8505" t="inlineStr">
        <is>
          <t>I've had one before but it was 15 years ago so I don't remember</t>
        </is>
      </c>
      <c r="D8505" t="n">
        <v>1</v>
      </c>
      <c r="E8505" t="n">
        <v>20</v>
      </c>
      <c r="F8505">
        <f>HYPERLINK("https://www.reddit.com/r/cancer/comments/fq3saz/hi_so_i_just_go_a_port_how_long_till_my_neck/")</f>
        <v/>
      </c>
      <c r="G8505" t="inlineStr">
        <is>
          <t>2020-03-27 12:29:00</t>
        </is>
      </c>
      <c r="H8505" t="inlineStr"/>
    </row>
    <row r="8506">
      <c r="A8506" t="inlineStr">
        <is>
          <t>fq45km</t>
        </is>
      </c>
      <c r="B8506" t="inlineStr">
        <is>
          <t>Parents refusing to socially isolate when dad is stage 4 metastatic colon cancer.</t>
        </is>
      </c>
      <c r="C8506" t="inlineStr">
        <is>
          <t>Hello there, little bit of background Info first and then my rant. 
We live in Canada, my parents live in a small town and in an area with few covid-19 cases (for now). My dad has metastatic colon cancer that has spread to his left adrenal gland, lungs, bones and brain. Things started going really down hill in the beginning of February. Dad now needs assistance with walking and every other daily task. 
Today is my Dads birthday, and I know it is going to be his last birthday. My parents have invited 2 couples to come over today, and another couple to come over tomorrow. I am a healthcare professional and am working at a major hospital in a city which has the highest number of covid cases in our province, so I take social distancing during this pandemic very seriously. I have gone over with my parents time and time again with how important it is to stop having people over during this time period as they are both at risk with preexisting conditions and my dads extremely low immune system. They refuse to listen to me, and my mom keeps repeating “its dads last birthday, that’s why we are having people over”. I am absolutely terrified that they are putting themselves at major risk for this illness. 
I guess I am just asking for advice as to what to do, or if I’m maybe being to hard on them.. I love them so much and I just want them to be safe. But I do get that this is my Dads last birthday... I don’t know what to do.</t>
        </is>
      </c>
      <c r="D8506" t="n">
        <v>1</v>
      </c>
      <c r="E8506" t="n">
        <v>10</v>
      </c>
      <c r="F8506">
        <f>HYPERLINK("https://www.reddit.com/r/cancer/comments/fq45km/parents_refusing_to_socially_isolate_when_dad_is/")</f>
        <v/>
      </c>
      <c r="G8506" t="inlineStr">
        <is>
          <t>2020-03-27 12:47:28</t>
        </is>
      </c>
      <c r="H8506" t="inlineStr"/>
    </row>
    <row r="8507">
      <c r="A8507" t="inlineStr">
        <is>
          <t>fq4gd1</t>
        </is>
      </c>
      <c r="B8507" t="inlineStr">
        <is>
          <t>I think the cause of cancer is CT SCAN radiation</t>
        </is>
      </c>
      <c r="C8507" t="inlineStr">
        <is>
          <t>Did you do this radiation in your life before being diagnosed with cancer?</t>
        </is>
      </c>
      <c r="D8507" t="n">
        <v>1</v>
      </c>
      <c r="E8507" t="n">
        <v>6</v>
      </c>
      <c r="F8507">
        <f>HYPERLINK("https://www.reddit.com/r/cancer/comments/fq4gd1/i_think_the_cause_of_cancer_is_ct_scan_radiation/")</f>
        <v/>
      </c>
      <c r="G8507" t="inlineStr">
        <is>
          <t>2020-03-27 13:02:20</t>
        </is>
      </c>
      <c r="H8507" t="inlineStr"/>
    </row>
    <row r="8508">
      <c r="A8508" t="inlineStr">
        <is>
          <t>fq515p</t>
        </is>
      </c>
      <c r="B8508" t="inlineStr">
        <is>
          <t>1 2 year old niece has osteosarcoma that has spread</t>
        </is>
      </c>
      <c r="C8508" t="inlineStr">
        <is>
          <t>It was found out when she was complaining of knee pain, went to the knee doctor, got an xray there, then got sent to oncology because of how the xray looked.
&amp;amp;#x200B;
There's tumors very far away from her knee too. They said it's not treatable, but they can do chemo to reduce pain. They're gonna do 9 months of chemo to get started. I personally think since my niece is so young she'll be with us for a long time and I hope during that interval some amazing clinical trial appears that can help her.</t>
        </is>
      </c>
      <c r="D8508" t="n">
        <v>1</v>
      </c>
      <c r="E8508" t="n">
        <v>7</v>
      </c>
      <c r="F8508">
        <f>HYPERLINK("https://www.reddit.com/r/cancer/comments/fq515p/1_2_year_old_niece_has_osteosarcoma_that_has/")</f>
        <v/>
      </c>
      <c r="G8508" t="inlineStr">
        <is>
          <t>2020-03-27 13:30:28</t>
        </is>
      </c>
      <c r="H8508" t="inlineStr"/>
    </row>
    <row r="8509">
      <c r="A8509" t="inlineStr">
        <is>
          <t>fq5bqf</t>
        </is>
      </c>
      <c r="B8509" t="inlineStr">
        <is>
          <t>ESOPHAGEAL CANCER; I've had Symptoms for 6 Months and My Doctor Did Nothing</t>
        </is>
      </c>
      <c r="C8509" t="inlineStr">
        <is>
          <t>Hi All. I've had the symptoms of esophageal cancer for 6 months and a risk factor that makes me 6x more likely to develop of it, due to a variety of BS excuses I have been unable to get a scope until 2 weeks from now, which I am petrified will be cancelled because of Corona virus. 
If I have had these symptoms for so long I am afraid that if it comes back I have it it will be very far gone, Ive had symptoms since Halloween. Can anyone give me a rough idea of how bad this could be? Is it likely  to have spread everywhere?  ow far am I likely to have gone? 
I cant talk to my doctor about it as I have gone to my family home for self quarantine over 2 hours away-I normally live in a city that has been very badly affected by the virus, especially the part I live in and 2. there is nothing more my doctor can do till I get scope results-he never mentioned cancer to me, but I realised I have a lot of the symptoms and a high risk factor.</t>
        </is>
      </c>
      <c r="D8509" t="n">
        <v>1</v>
      </c>
      <c r="E8509" t="n">
        <v>4</v>
      </c>
      <c r="F8509">
        <f>HYPERLINK("https://www.reddit.com/r/cancer/comments/fq5bqf/esophageal_cancer_ive_had_symptoms_for_6_months/")</f>
        <v/>
      </c>
      <c r="G8509" t="inlineStr">
        <is>
          <t>2020-03-27 13:45:02</t>
        </is>
      </c>
      <c r="H8509" t="inlineStr"/>
    </row>
    <row r="8510">
      <c r="A8510" t="inlineStr">
        <is>
          <t>fq6bh1</t>
        </is>
      </c>
      <c r="B8510" t="inlineStr">
        <is>
          <t>Quick Question if there are any medical experts here</t>
        </is>
      </c>
      <c r="C8510" t="inlineStr">
        <is>
          <t>Hello! I a male, 18 years of age, and right now, I am very terrified as to what is happening, two weeks ago, I had tiny painful lumps in my nipple, no discharge, or scaling, but they are very painful when I touch them. I had them looked and the doctor said it might be some kind of cyst, so he told me to get a mammogram. The day after, I got my mammogram, the lockdown was set, I couldn't get a follow up check up, and now, I notice a big painless lump on my upper armpit, as big as a coin, I can move it around and pinch it, but I can't have them checked because of the lockdown.
I was hoping maybe I could get some help here because I am barely getting some sleep, and everything that I've been reading about is male breast cancer. If anybody can help, that would be greatly appreciated. Thank you guys 😭</t>
        </is>
      </c>
      <c r="D8510" t="n">
        <v>1</v>
      </c>
      <c r="E8510" t="n">
        <v>1</v>
      </c>
      <c r="F8510">
        <f>HYPERLINK("https://www.reddit.com/r/cancer/comments/fq6bh1/quick_question_if_there_are_any_medical_experts/")</f>
        <v/>
      </c>
      <c r="G8510" t="inlineStr">
        <is>
          <t>2020-03-27 14:33:30</t>
        </is>
      </c>
      <c r="H8510" t="inlineStr"/>
    </row>
    <row r="8511">
      <c r="A8511" t="inlineStr">
        <is>
          <t>fq6bx8</t>
        </is>
      </c>
      <c r="B8511" t="inlineStr">
        <is>
          <t>My dad’s birthday is Sunday and I can’t even see him.</t>
        </is>
      </c>
      <c r="C8511" t="inlineStr">
        <is>
          <t>Obviously for his own safety, which is the most important. We are going to do a virtual birthday party with the family and I’m sending over gifts.
Fuck cancer and fuck COVID-19. Stay safe everyone.</t>
        </is>
      </c>
      <c r="D8511" t="n">
        <v>1</v>
      </c>
      <c r="E8511" t="n">
        <v>9</v>
      </c>
      <c r="F8511">
        <f>HYPERLINK("https://www.reddit.com/r/cancer/comments/fq6bx8/my_dads_birthday_is_sunday_and_i_cant_even_see_him/")</f>
        <v/>
      </c>
      <c r="G8511" t="inlineStr">
        <is>
          <t>2020-03-27 14:34:11</t>
        </is>
      </c>
      <c r="H8511" t="inlineStr"/>
    </row>
    <row r="8512">
      <c r="A8512" t="inlineStr">
        <is>
          <t>fq7uzm</t>
        </is>
      </c>
      <c r="B8512" t="inlineStr">
        <is>
          <t>ONE MORE TREATMENT OF CHEMO!!!!</t>
        </is>
      </c>
      <c r="C8512" t="inlineStr">
        <is>
          <t>I am fighting breast cancer (Stage 2B male HER2-, EP+) I was diagnosed 12/2/19 and had my mastectomy 1/9/2020
&amp;amp;#x200B;
April 17th a day that will live in victory. It will be my final treatment of chemo.
&amp;amp;#x200B;
I will only have 25 sessions of radiation - and then I am fucking down with cancer treatments. It is just 5 years of a hormone estrogen blocking pill. Then it is "occasional" checkups. The "big annoying stuff" that steals my weekends are just about over!!!! Chemo taking 3 hours to get done, radiation 40 minutes at the hospital (procedure is supposidly 20 mins but for some reason I have to stay for 40 minutes 5 days a week for 5 weeks).
&amp;amp;#x200B;
I'm tired of fucking fighting, I want my normal life fucking back!! I fucking promise if this happens again, if I get a secondary cancer from treatment, or my original breast cancer returns - I AM FUCKING DONE!!!! I will not be doing this again.I'll ask my oncologist how much time I have left, if she says 2 years....I will say thank you I am going to smoke and drink and enjoy what time I have left, I refuse to get prodded and poked by doctors again!!!</t>
        </is>
      </c>
      <c r="D8512" t="n">
        <v>1</v>
      </c>
      <c r="E8512" t="n">
        <v>15</v>
      </c>
      <c r="F8512">
        <f>HYPERLINK("https://www.reddit.com/r/cancer/comments/fq7uzm/one_more_treatment_of_chemo/")</f>
        <v/>
      </c>
      <c r="G8512" t="inlineStr">
        <is>
          <t>2020-03-27 15:54:51</t>
        </is>
      </c>
      <c r="H8512" t="inlineStr"/>
    </row>
    <row r="8513">
      <c r="A8513" t="inlineStr">
        <is>
          <t>fq9pqo</t>
        </is>
      </c>
      <c r="B8513" t="inlineStr">
        <is>
          <t>Questions about staging</t>
        </is>
      </c>
      <c r="C8513" t="inlineStr">
        <is>
          <t>In December I was diagnosed with liver cancer, fibrolamellar hepatocellular carcinoma to be specific and I never found out what stage it was. I had surgery on New Year’s Eve where they removed a 9cm tumour and local lymph nodes. Only 1 lymph node was cancerous, with only 4 cancer cells. I opted to have chemo as part of a clinical trial just to be safe as the recurrence rate is high. I’m expected to fully recover so I’m just confused as to what stage it was at? Everything online points to stage 4 but I thought that was terminal. I know I should ask my oncologist but I’m kinda nervous and stuck with the no news is good news approach at the moment.</t>
        </is>
      </c>
      <c r="D8513" t="n">
        <v>1</v>
      </c>
      <c r="E8513" t="n">
        <v>15</v>
      </c>
      <c r="F8513">
        <f>HYPERLINK("https://www.reddit.com/r/cancer/comments/fq9pqo/questions_about_staging/")</f>
        <v/>
      </c>
      <c r="G8513" t="inlineStr">
        <is>
          <t>2020-03-27 17:37:12</t>
        </is>
      </c>
      <c r="H8513" t="inlineStr"/>
    </row>
    <row r="8514">
      <c r="A8514" t="inlineStr">
        <is>
          <t>fqgcdp</t>
        </is>
      </c>
      <c r="B8514" t="inlineStr">
        <is>
          <t>How do I accept it?</t>
        </is>
      </c>
      <c r="C8514" t="inlineStr">
        <is>
          <t>Anyone out there who has been told they are treatable but not cureable? How do you accept this.
I'm really struggling. I cried all day today and some days I just wish I could go right now instead of dragging out the inevitable.</t>
        </is>
      </c>
      <c r="D8514" t="n">
        <v>1</v>
      </c>
      <c r="E8514" t="n">
        <v>26</v>
      </c>
      <c r="F8514">
        <f>HYPERLINK("https://www.reddit.com/r/cancer/comments/fqgcdp/how_do_i_accept_it/")</f>
        <v/>
      </c>
      <c r="G8514" t="inlineStr">
        <is>
          <t>2020-03-28 01:38:15</t>
        </is>
      </c>
      <c r="H8514" t="inlineStr"/>
    </row>
    <row r="8515">
      <c r="A8515" t="inlineStr">
        <is>
          <t>fqkeum</t>
        </is>
      </c>
      <c r="B8515" t="inlineStr">
        <is>
          <t>Is this as bad as I think it is?</t>
        </is>
      </c>
      <c r="C8515" t="inlineStr">
        <is>
          <t>My Father in-law's longtime live in girlfriend is in her mid 70's and has COPD.  She hasn't been eating for the last month and lost a bunch of weight.  After she was finally convinced to go to the doctor, they discovered that she had cancer in her liver, one of her lungs and her lymph nodes.  I'm assuming the worst, but I'd like to know if I'm off in my assessment of her chances to survive.</t>
        </is>
      </c>
      <c r="D8515" t="n">
        <v>1</v>
      </c>
      <c r="E8515" t="n">
        <v>4</v>
      </c>
      <c r="F8515">
        <f>HYPERLINK("https://www.reddit.com/r/cancer/comments/fqkeum/is_this_as_bad_as_i_think_it_is/")</f>
        <v/>
      </c>
      <c r="G8515" t="inlineStr">
        <is>
          <t>2020-03-28 06:43:21</t>
        </is>
      </c>
      <c r="H8515" t="inlineStr"/>
    </row>
    <row r="8516">
      <c r="A8516" t="inlineStr">
        <is>
          <t>fqlc8t</t>
        </is>
      </c>
      <c r="B8516" t="inlineStr">
        <is>
          <t>Funerals &amp;amp; the world’s current state</t>
        </is>
      </c>
      <c r="C8516" t="inlineStr">
        <is>
          <t>The outbreak of COVID-19 has majorly fucked everything up for people who have just lost a loved one. My mother died before the pandemic erupted into insanity, and her funeral had to be now. Today. Planning this has been a mess.
My mother was a _very_ loved person who did important work for people in my country. We were initially expecting about 150 people, and then we found out that wasn’t an option. We had to call and uninvited people who were genuinely heartbroken. We couldn’t have a proper memorial either. And they didn’t even allow us inside the church.
We pulled it together in the end, and broke the rules a little (had about 15 people there). The weather was beautiful, two singers &amp;amp; close friends sang songs we knew she loved, and people shared memories of her. You know what? I was pissed, beyond angry when we were planning this and kept getting denials for everything. But in the end that wasn’t what counted.
I’m sorry for anyone who has lost a loved one right now and is trying to plan a funeral during this pandemic. It won’t work out like you wish it would, and you can make the best out of it. I didn’t think we could until today. But I feel at peace.</t>
        </is>
      </c>
      <c r="D8516" t="n">
        <v>1</v>
      </c>
      <c r="E8516" t="n">
        <v>4</v>
      </c>
      <c r="F8516">
        <f>HYPERLINK("https://www.reddit.com/r/cancer/comments/fqlc8t/funerals_the_worlds_current_state/")</f>
        <v/>
      </c>
      <c r="G8516" t="inlineStr">
        <is>
          <t>2020-03-28 07:38:09</t>
        </is>
      </c>
      <c r="H8516" t="inlineStr"/>
    </row>
    <row r="8517">
      <c r="A8517" t="inlineStr">
        <is>
          <t>fqm6kf</t>
        </is>
      </c>
      <c r="B8517" t="inlineStr">
        <is>
          <t>My dad with GBM Grade 4 cant or doesnt wanna understand the Corona situation</t>
        </is>
      </c>
      <c r="C8517" t="inlineStr">
        <is>
          <t>Hello, 
im a little bit conflicted. Im from austria and we arent allowerd to leave the house for a reason to protect the elderly and weak persons of Covid-19. 
Before all that i visited my dad once a week and stayed there for several hours. But cause of this situation ive been only once there and also my 2 sisters try to avoid it (like once a week).
He has a 24h nurse at home so he is alright without us. He is just bored and wants to see us more often. But he thinks we dont come that often cause we dont want to. But actual we shouldnt see him at all. I started to work in my office again 2 days ago since im in a essential busines (electricity) and my girlfriend works as nurse so that puts us under risk. 
&amp;amp;#x200B;
I dont know what to do.</t>
        </is>
      </c>
      <c r="D8517" t="n">
        <v>1</v>
      </c>
      <c r="E8517" t="n">
        <v>4</v>
      </c>
      <c r="F8517">
        <f>HYPERLINK("https://www.reddit.com/r/cancer/comments/fqm6kf/my_dad_with_gbm_grade_4_cant_or_doesnt_wanna/")</f>
        <v/>
      </c>
      <c r="G8517" t="inlineStr">
        <is>
          <t>2020-03-28 08:25:14</t>
        </is>
      </c>
      <c r="H8517" t="inlineStr"/>
    </row>
    <row r="8518">
      <c r="A8518" t="inlineStr">
        <is>
          <t>fqmy12</t>
        </is>
      </c>
      <c r="B8518" t="inlineStr">
        <is>
          <t>First meeting with the doctor</t>
        </is>
      </c>
      <c r="C8518" t="inlineStr">
        <is>
          <t>My dad got diagnosed this Wednesday, he have been doing tests for about 2 month and now it’s confirmed he has cancer. He have a first meeting with the doctor on Monday and I’m going with him. 
Are there any questions I should not forget to ask? 
What can I expect from this first meeting?
The doctors told my dad over the phone that it’s cancer and he then called me. He didn’t get a lot of information. What we know is that he have a tumor between his lungs. They will not operate, he will be treated with chemo. I guess we will find out more this Monday.</t>
        </is>
      </c>
      <c r="D8518" t="n">
        <v>1</v>
      </c>
      <c r="E8518" t="n">
        <v>2</v>
      </c>
      <c r="F8518">
        <f>HYPERLINK("https://www.reddit.com/r/cancer/comments/fqmy12/first_meeting_with_the_doctor/")</f>
        <v/>
      </c>
      <c r="G8518" t="inlineStr">
        <is>
          <t>2020-03-28 09:06:23</t>
        </is>
      </c>
      <c r="H8518" t="inlineStr"/>
    </row>
    <row r="8519">
      <c r="A8519" t="inlineStr">
        <is>
          <t>fqn8kt</t>
        </is>
      </c>
      <c r="B8519" t="inlineStr">
        <is>
          <t>Looking for some answers regarding Cholangiocarcinoma</t>
        </is>
      </c>
      <c r="C8519" t="inlineStr">
        <is>
          <t>Hey everyone, my dad was diagnosed with Cholangiocarcinoma (CC) first week of January 2020. A terrible start to 2020 for our family. We live in Toronto, Canada and my family appreciates any advice we can get right now. He turned 63 years old last week. Physically he is fit, a marathon runner who still wants to go for jogs every morning. 
**Treatment in Jan**: We came to know about a blockage in his bile duct after he developed jaundice, and was itching all over his body. They performed an ERCP and put a plastic stent in his bile duct on Jan 7, 2020 and he was discharged after his bilirubin (BR) and liver enzymes showed a declining trend. They also did an MRCP and CT Scan which confirmed a malignant tumor. It was not clear about the spread but they were worried about two lymph nodes which they suspected were already infected. So they said staging to be IIb or III.
**Treatment in Feb** The oncologist was aggressive and enrolled dad into a clinical trial but unfortunately dad did not get Acelarin drug and had to go through cisplatin and gemcitabine. He was scheduled for six rounds, including two dosages each round. However, after the first dosage he developed an infection in the bile and they cancelled the second dosage. 
**Treatment in Mar** He again developed an infection after the first dosage of second round and they had to do another ERCP to replace the plastic stent with a metal mesh stent. 
Since then he has been in and out of ER with fever. The blood culture keep coming negative. The oncologist called yesterday to say that dad has a CT scheduled for Monday. She thinks the fever is cancer related and wants to see the spread and growth. She is also planning to pull dad out of chemo and go to second line treatment. 
My sister and I have been with our parents during this whole time. But after yesterday we are shaken up and don't know what to do. We were all preparing for dad to recover from this terrible disease. 
**Questions** 1) What should we do at this point in general?
2) What questions should we ask the oncologist when we speak to her next? Meeting is scheduled for Thursday, April 2nd. 
3) Any surgical options for him or is it always chemo first followed by surgery?
4) Should we look into Mayo clinic or Sloan? We had contacted them in Jan but with Covid-19, I am scared for my dad to even step out of the house. 
5) Anything else that has worked for you guys?
Thank you for reading and any advice is very much appreciated. Please stay safe everyone.</t>
        </is>
      </c>
      <c r="D8519" t="n">
        <v>1</v>
      </c>
      <c r="E8519" t="n">
        <v>11</v>
      </c>
      <c r="F8519">
        <f>HYPERLINK("https://www.reddit.com/r/cancer/comments/fqn8kt/looking_for_some_answers_regarding/")</f>
        <v/>
      </c>
      <c r="G8519" t="inlineStr">
        <is>
          <t>2020-03-28 09:22:20</t>
        </is>
      </c>
      <c r="H8519" t="inlineStr"/>
    </row>
    <row r="8520">
      <c r="A8520" t="inlineStr">
        <is>
          <t>fqpcd7</t>
        </is>
      </c>
      <c r="B8520" t="inlineStr">
        <is>
          <t>Are cancer survivors post treatment considered immune compromised?</t>
        </is>
      </c>
      <c r="C8520" t="inlineStr">
        <is>
          <t>For patients who are currently undergoing treatment, I understand chemo and radiation have a direct impact to the immune system and they would be compromised.  What about post treatment? Does the immune system bounce back or is the person's immune system forever impaired?  What if the treatment was only removal of the site and lymphnodes and no chemo?</t>
        </is>
      </c>
      <c r="D8520" t="n">
        <v>1</v>
      </c>
      <c r="E8520" t="n">
        <v>4</v>
      </c>
      <c r="F8520">
        <f>HYPERLINK("https://www.reddit.com/r/cancer/comments/fqpcd7/are_cancer_survivors_post_treatment_considered/")</f>
        <v/>
      </c>
      <c r="G8520" t="inlineStr">
        <is>
          <t>2020-03-28 11:15:26</t>
        </is>
      </c>
      <c r="H8520" t="inlineStr"/>
    </row>
    <row r="8521">
      <c r="A8521" t="inlineStr">
        <is>
          <t>fqtfrf</t>
        </is>
      </c>
      <c r="B8521" t="inlineStr">
        <is>
          <t>I’m been told my cancer isn’t curable and I’m lost</t>
        </is>
      </c>
      <c r="C8521" t="inlineStr">
        <is>
          <t>So... this week I was told that my cancer isn’t curable. I was diagnosed in September 2019 with liver metastasis while roughly 7 months pregnant. I was told it don’t look good, but there was hope.
After a lot of meetings they decided to do a C-section, so my beautiful little girl arrived about 7 weeks too early. Healthy and strong. I was put on chemo until December when they decided it had shrunk enough and in January I underwent a massive surgery, removing about 70% of my liver. 
Sadly that didn’t seem to be enough. Markers in my blood were back this month, and after a PET scan they now know that it’s spread to my bones... spine and hips at least, and I don’t have a lot of time left. My oncologist estimated 1-2 years. I got the news this week. And I feel so horribly lost. I look at my little girl, now almost 6 months old and I... hurt, I ache, I want to be there for her... I want to see her grow up and turn into the beautiful strong woman I know she’ll be. I feel so cheated, I was starting the best part of my life and now I’ve been told that it’s ending...
Now I’m in no way giving up, I’m back on chemo and I’m going to fight this with everything I have, I’m going to look for every clinical trial and experimental treatment, but sometimes I honestly don’t know what to do with myself. I’m 31 and all I want with every fibre of my being is to be there for my girl and partner.
So if anyone has any tips, advice, treatments to recommend... anything. I just want to feel a little less lost.</t>
        </is>
      </c>
      <c r="D8521" t="n">
        <v>14</v>
      </c>
      <c r="E8521" t="n">
        <v>54</v>
      </c>
      <c r="F8521">
        <f>HYPERLINK("https://www.reddit.com/r/cancer/comments/fqtfrf/im_been_told_my_cancer_isnt_curable_and_im_lost/")</f>
        <v/>
      </c>
      <c r="G8521" t="inlineStr">
        <is>
          <t>2020-03-28 14:52:34</t>
        </is>
      </c>
      <c r="H8521" t="inlineStr"/>
    </row>
    <row r="8522">
      <c r="A8522" t="inlineStr">
        <is>
          <t>fqu4nl</t>
        </is>
      </c>
      <c r="B8522" t="inlineStr">
        <is>
          <t>Hodgkin's Lymphoma post-chemo size of lumps.</t>
        </is>
      </c>
      <c r="C8522" t="inlineStr">
        <is>
          <t>I've did ABVD for 2 months and I've done AVD for 2 months. I have 2 months left however this chemo sessions I've delayed with the corona uncertaintity until it seems safe to go again. I want to finish up the 4 transfusions I have to not ever get cancer again.
Right now, and since probably the last 3 infusions, I've had little to no noticeable mass where the original lumps were (armpit, neck node was gone after first ABVD transfusion). Was stage 2 but with unfavorable outcome because of bad EFGR or whatever and having the itches for a while and fevers 2 weeks before coming in
Currently I have still, no mass, the smallest it's ever been.. If you push in deep into my armpit you can feel some stuff.
Doctors say it is just ongoing inflammation, necrotic material, etc. 
Tl;Dr when I finish my treatments and if I still have some feelable lymph nodes (can't see already and can only feel if you really push in) is that ok?
To what level to Hodgkins survivors have some lymph node swelling post chemo</t>
        </is>
      </c>
      <c r="D8522" t="n">
        <v>1</v>
      </c>
      <c r="E8522" t="n">
        <v>2</v>
      </c>
      <c r="F8522">
        <f>HYPERLINK("https://www.reddit.com/r/cancer/comments/fqu4nl/hodgkins_lymphoma_postchemo_size_of_lumps/")</f>
        <v/>
      </c>
      <c r="G8522" t="inlineStr">
        <is>
          <t>2020-03-28 15:29:29</t>
        </is>
      </c>
      <c r="H8522" t="inlineStr"/>
    </row>
    <row r="8523">
      <c r="A8523" t="inlineStr">
        <is>
          <t>fqwvcc</t>
        </is>
      </c>
      <c r="B8523" t="inlineStr">
        <is>
          <t>I'm wishing you all the very best.</t>
        </is>
      </c>
      <c r="C8523" t="inlineStr">
        <is>
          <t>Hey everyone.
I guess this post doesn't really have a direction. I just feel compelled to say something to you all.
The world is in a really shitty and scary place right now, especially for us patients (I had a stem-cell transplant about 6 months ago for MDS, aka pre-leukemia). Some of my appts keep getting cancelled or postponed, I'm worried about getting medicine refills, etc. And I know it's not any easier for a lot of you guys.
But I just wanted to say thank you for humbling me, every day, and that I truly am wishing everyone the best. I wasn't dealt an amazing hand in life but seeing posts here, seeing all of the fear you guys feel but also all of the love that you send each other makes me feel so, well, humbled. I am truly lucky to have gotten to the space I'm in now (transplant seems to have done its job, so far), and I need to remember that. Some days I'm really sad and others I'm really pissed off about everything but it really could be so much worse. I'm lucky and so thankful, and this sub reminds me every day to be grateful for what I do have. 
I hope everyone is doing okay in these hard times, health and pandemic-related and otherwise. I wish you all the best, and I wish you all never-ending happiness. God knows you all deserve it.</t>
        </is>
      </c>
      <c r="D8523" t="n">
        <v>0</v>
      </c>
      <c r="E8523" t="n">
        <v>4</v>
      </c>
      <c r="F8523">
        <f>HYPERLINK("https://www.reddit.com/r/cancer/comments/fqwvcc/im_wishing_you_all_the_very_best/")</f>
        <v/>
      </c>
      <c r="G8523" t="inlineStr">
        <is>
          <t>2020-03-28 18:11:16</t>
        </is>
      </c>
      <c r="H8523" t="inlineStr"/>
    </row>
    <row r="8524">
      <c r="A8524" t="inlineStr">
        <is>
          <t>fr04wm</t>
        </is>
      </c>
      <c r="B8524" t="inlineStr">
        <is>
          <t>Variant of unknown significance in genetic testing</t>
        </is>
      </c>
      <c r="C8524" t="inlineStr">
        <is>
          <t>The results of the genetic testing just came back and I have 1 "variant of unknown significance" for the nf1 gene. All others were normal. 
Anyone else here gone through colorectal surgery to remove colon cancer? It's been almost 3 months since my surgery, and I've been walking every evening without any discomfort, but running still hurts my stomach underneath the incisions. 
Today I tried to do push-ups and it hurt a lot more that I anticipated. I could only do 4 and then had to collapse on the floor, not because of a lack of upper strength but because of the pain in my stomach. 
My gut is telling me not to push it (no pun intended), but it's not in my nature to give up like that. How long does it usually take to fully recover to the point I can start lifting weights and doing push-ups again?  I know I'm lucky to have gotten off so easily and had the cancer removed, so I'm very mindful not to complain. Just curious if there's a timeline to get back to normal workouts?
Also, anyone have any insight in genetic testing and a detection of a VUS?  Thanks in advance!</t>
        </is>
      </c>
      <c r="D8524" t="n">
        <v>1</v>
      </c>
      <c r="E8524" t="n">
        <v>0</v>
      </c>
      <c r="F8524">
        <f>HYPERLINK("https://www.reddit.com/r/cancer/comments/fr04wm/variant_of_unknown_significance_in_genetic_testing/")</f>
        <v/>
      </c>
      <c r="G8524" t="inlineStr">
        <is>
          <t>2020-03-28 21:51:20</t>
        </is>
      </c>
      <c r="H8524" t="inlineStr"/>
    </row>
    <row r="8525">
      <c r="A8525" t="inlineStr">
        <is>
          <t>fr1a1k</t>
        </is>
      </c>
      <c r="B8525" t="inlineStr">
        <is>
          <t>26(F) Hard lump in armpit, my Mom just beat breast cancer</t>
        </is>
      </c>
      <c r="C8525" t="inlineStr">
        <is>
          <t>Didn’t know where to post, if this is not the right place please remove. I’m terrified. Its a hard lump, not soft or squishy, on my right armpit. I don’t shave often. I am not currently sick with anything that would make my lymph nodes swell. I do use spray on deodorant. It’s been there for a little bit, maybe a few weeks, maybe a couple months? I’ve never had a mammogram. My mom just beat breast cancer and it was horrifying to watch her go through it and I’m grateful she is here today and healthy. It’s 11pm here and I can’t go to the doctor right now, and with this pandemic going on I’m afraid it will be hard to get an appointment. However I will call first thing in the morning. I will actually go to the walk in clinic as well. Not sure why I’m posting, I just have a feeling that it is cancer. I know it’s not good to get to Googling and make myself crazy. Not sure what I’m looking for... had to get it out of me. Thank you for reading, have a blessed night/day.</t>
        </is>
      </c>
      <c r="D8525" t="n">
        <v>1</v>
      </c>
      <c r="E8525" t="n">
        <v>0</v>
      </c>
      <c r="F8525">
        <f>HYPERLINK("https://www.reddit.com/r/cancer/comments/fr1a1k/26f_hard_lump_in_armpit_my_mom_just_beat_breast/")</f>
        <v/>
      </c>
      <c r="G8525" t="inlineStr">
        <is>
          <t>2020-03-28 23:21:47</t>
        </is>
      </c>
      <c r="H8525" t="inlineStr"/>
    </row>
    <row r="8526">
      <c r="A8526" t="inlineStr">
        <is>
          <t>fr1pck</t>
        </is>
      </c>
      <c r="B8526" t="inlineStr">
        <is>
          <t>Update, I posted a few days ago on my girlfriend with ewings</t>
        </is>
      </c>
      <c r="C8526" t="inlineStr">
        <is>
          <t>At the moment we're at the hospital, she was complaining of pain when she would breathe, I found out that the cancer has spread to her lungs , something that really just put my morale down heavily, she was crying the whole time on the ride here, I don't know what's going on, she wasn't allowed any visitors, the whole time I tried my best for her to breathe normally, tried to keep her somewhat "cheered" up, but it's very hard, she's feeling pain, she's scared, it feels horrible seeing the person you love go through this. They might fly her to San Diego so that this treatment can finally start, there's no time to waste, I just want her to feel fine again. This valley I live in isn't the most available for treatment like this, I hope they're able to give her some good medicine, help her sleep, and she'll be there in no time to start this. I've been researching online, so far I know she has a tumor in each of her lungs, and one in her rib area. We just need some hope at this moment, please. I love you all.</t>
        </is>
      </c>
      <c r="D8526" t="n">
        <v>1</v>
      </c>
      <c r="E8526" t="n">
        <v>5</v>
      </c>
      <c r="F8526">
        <f>HYPERLINK("https://www.reddit.com/r/cancer/comments/fr1pck/update_i_posted_a_few_days_ago_on_my_girlfriend/")</f>
        <v/>
      </c>
      <c r="G8526" t="inlineStr">
        <is>
          <t>2020-03-28 23:58:48</t>
        </is>
      </c>
      <c r="H8526" t="inlineStr"/>
    </row>
    <row r="8527">
      <c r="A8527" t="inlineStr">
        <is>
          <t>fr37w1</t>
        </is>
      </c>
      <c r="B8527" t="inlineStr">
        <is>
          <t>How do I deal with this state of limbo?</t>
        </is>
      </c>
      <c r="C8527" t="inlineStr">
        <is>
          <t>My mom is currently in a hospice with advanced cancer that has spread to multiple parts of her body, and I know she doesn't have much time left.
She's been fighting cancer for the last decade or so and it's been a difficult journey that has taken a toll on not just her, but also my dad and I. Part of me hopes this will end soon so she doesn't have to bear with all the pain and my dad can finally enjoy his retirement years without the pressure of being a 24/7 caregiver.
Yet at the same time, I'm having so much difficulty dealing with the idea that she'll soon be gone forever and I'll not have a mom for the rest of my life. It feels like there are so many fears and worries I want to tell her about, but when I visit her, she's usually sleeping or not feeling great, so I don't get to speak to her much. 
This sounds very mean, but it's like she's here but not really here right now, and I don't know how to deal with this situation. I'm half burning out from having to run the household (make sure chores are done, pay bills etc), trying to always be calm for my dad so we can make decisions together, and entertaining enquiries from relatives who are always curious about my mom but never have time to visit her even though we all live within an hour's drive of the hospice. 
I sometimes feel like we're stuck in this limbo state where we're all waiting for my mom to pass on peacefully, but at the same time I don't want it to end because she's my mom and I want her to be around. 
Any tips on how I can better handle all these crazy emotions at this point in time?</t>
        </is>
      </c>
      <c r="D8527" t="n">
        <v>1</v>
      </c>
      <c r="E8527" t="n">
        <v>2</v>
      </c>
      <c r="F8527">
        <f>HYPERLINK("https://www.reddit.com/r/cancer/comments/fr37w1/how_do_i_deal_with_this_state_of_limbo/")</f>
        <v/>
      </c>
      <c r="G8527" t="inlineStr">
        <is>
          <t>2020-03-29 02:24:29</t>
        </is>
      </c>
      <c r="H8527" t="inlineStr"/>
    </row>
    <row r="8528">
      <c r="A8528" t="inlineStr">
        <is>
          <t>fr86zq</t>
        </is>
      </c>
      <c r="B8528" t="inlineStr">
        <is>
          <t>How do you keep track of your blood values?</t>
        </is>
      </c>
      <c r="C8528" t="inlineStr">
        <is>
          <t>A friend of mine is in the middle of chemo for Hodgkins-Lymphoma cancer.
As he is unable to add this post (new To Reddit), I'm posting it on his behalf to help him learn about your experience of tracking blood values.
**Original post**
I was wondering if and how you track your blood values?
I, for example, have them taken twice a week (plus on certain occasions), so I end up with loads of different paper printouts (from different labs) but no way to see how they actually develop over time. So it's difficult for me or the doctor to make informed decisions if and which measures to take. Do you have a similar problem and how do you handle it?</t>
        </is>
      </c>
      <c r="D8528" t="n">
        <v>1</v>
      </c>
      <c r="E8528" t="n">
        <v>7</v>
      </c>
      <c r="F8528">
        <f>HYPERLINK("https://www.reddit.com/r/cancer/comments/fr86zq/how_do_you_keep_track_of_your_blood_values/")</f>
        <v/>
      </c>
      <c r="G8528" t="inlineStr">
        <is>
          <t>2020-03-29 09:06:48</t>
        </is>
      </c>
      <c r="H8528" t="inlineStr"/>
    </row>
    <row r="8529">
      <c r="A8529" t="inlineStr">
        <is>
          <t>fr8m08</t>
        </is>
      </c>
      <c r="B8529" t="inlineStr">
        <is>
          <t>new subreddit!</t>
        </is>
      </c>
      <c r="C8529" t="inlineStr">
        <is>
          <t xml:space="preserve"> Today i made a subreddit r/morethan4 to have a separate place for parents of children and teens with cancer to find support.</t>
        </is>
      </c>
      <c r="D8529" t="n">
        <v>1</v>
      </c>
      <c r="E8529" t="n">
        <v>1</v>
      </c>
      <c r="F8529">
        <f>HYPERLINK("https://www.reddit.com/r/cancer/comments/fr8m08/new_subreddit/")</f>
        <v/>
      </c>
      <c r="G8529" t="inlineStr">
        <is>
          <t>2020-03-29 09:31:57</t>
        </is>
      </c>
      <c r="H8529" t="inlineStr"/>
    </row>
    <row r="8530">
      <c r="A8530" t="inlineStr">
        <is>
          <t>fr9ckw</t>
        </is>
      </c>
      <c r="B8530" t="inlineStr">
        <is>
          <t>Still unwell after remission</t>
        </is>
      </c>
      <c r="C8530" t="inlineStr">
        <is>
          <t>Hello to all my friends! Remission 11\2 yrs. ago. I continued to lose weight after finishing chemo. (carbopllatin &amp;amp; taxol). I remain severely nauseas after eating. I also feel 'under the weather' most days. I was always energetic &amp;amp; healthy pre treatment. I feel the chemo was so damaging &amp;amp; I can't bounce back. I see a gastro doctor who injected botox in my stomach and it really helped. I need another botox inj. as the botox has worn off. 
When will I ever feel like my old self? People around me are losing patience and I suspect they believe I'm malingering.</t>
        </is>
      </c>
      <c r="D8530" t="n">
        <v>1</v>
      </c>
      <c r="E8530" t="n">
        <v>9</v>
      </c>
      <c r="F8530">
        <f>HYPERLINK("https://www.reddit.com/r/cancer/comments/fr9ckw/still_unwell_after_remission/")</f>
        <v/>
      </c>
      <c r="G8530" t="inlineStr">
        <is>
          <t>2020-03-29 10:15:29</t>
        </is>
      </c>
      <c r="H8530" t="inlineStr"/>
    </row>
    <row r="8531">
      <c r="A8531" t="inlineStr">
        <is>
          <t>fr9spa</t>
        </is>
      </c>
      <c r="B8531" t="inlineStr">
        <is>
          <t>Did my last round of chemo, But tumor markers are rising. I'm scared</t>
        </is>
      </c>
      <c r="C8531" t="inlineStr">
        <is>
          <t>I have a brain tumor called germinoma. I did 4 courses of chemo finishing just a few weeks ago. They checked my blood today and they said my tumor markers are rising. If it hits a certain point they might consider it to be not only germinoma. If this is the case I have to do 6 more chemo rounds with a more toxic drug.
I cant do this anymore I barely survived the 4 rounds of a less toxic drug how am i going to survive this?. My hearing is almost gone and if I do 6 more ill be deaf on top of the other chronic problems my tumor have me. I'm only 16 why do i have to go through this i feel like giving up rather than living a life of suffering. Just enjoy my last days already, take a break from all the stress</t>
        </is>
      </c>
      <c r="D8531" t="n">
        <v>2</v>
      </c>
      <c r="E8531" t="n">
        <v>10</v>
      </c>
      <c r="F8531">
        <f>HYPERLINK("https://www.reddit.com/r/cancer/comments/fr9spa/did_my_last_round_of_chemo_but_tumor_markers_are/")</f>
        <v/>
      </c>
      <c r="G8531" t="inlineStr">
        <is>
          <t>2020-03-29 10:41:54</t>
        </is>
      </c>
      <c r="H8531" t="inlineStr"/>
    </row>
    <row r="8532">
      <c r="A8532" t="inlineStr">
        <is>
          <t>frab45</t>
        </is>
      </c>
      <c r="B8532" t="inlineStr">
        <is>
          <t>I found out that my cancer is back and has metastasized.</t>
        </is>
      </c>
      <c r="C8532" t="inlineStr">
        <is>
          <t>In 2016 I was diagnosed with adenocarcinoma in my tear gland, I had surgery to remove my eye and they told me I had clear margins and required no further treatment. 
In 2018 however I had local reoccurrence which was removed with surgery again and I had radiotherapy. I received a clear scan in November 2019 and was getting back to my new normal, again. 
Fast forward to now and I've had a cough and loss of appetite since November last year, at the time I put it down to a cold as everyone I knew seemed to be ill around the same time, but then, in January a small lump appeared on my hip, I thought it was a bite but the next day I had 3 of these small, hard, painful lumps that seemed to get bigger every day. 
I went to my GP who sent me for a chest xray, due to my cough and medical history. The xray showed some shadowing behind my heart in my lungs so I was referred to a respiratory specialist and for a CT scan. The scan showed that the lumps were enlarged lymph nodes and that there are also several nodules in my lungs. This worried me as I knew that adenocarcinoma can spread via the lymph system. 2 weeks ago I had a lump removed for testing, by this point I had around 15 from my legs to my face, and a lung biopsy.
I received my diagnosis over the phone due to the current situation in hospitals, both biopsies are adenocarcinoma. I've been told I will be having a PET scan to check where else it has spread but I am finding new lumps everyday and I'm very concerned about how fast it could be spreading and growing. I know I have to wait and find out my oncologists plan but I'm a lot more worried this time around, especially with the coronavirus pandemic, it's been difficult having to tell my family and friends over the phone as well as having to deal with the news alone at home. I'm ready to give this my best fight again, I just wanted to vent here, 3 times in 4 years is getting exhausting!</t>
        </is>
      </c>
      <c r="D8532" t="n">
        <v>1</v>
      </c>
      <c r="E8532" t="n">
        <v>1</v>
      </c>
      <c r="F8532">
        <f>HYPERLINK("https://www.reddit.com/r/cancer/comments/frab45/i_found_out_that_my_cancer_is_back_and_has/")</f>
        <v/>
      </c>
      <c r="G8532" t="inlineStr">
        <is>
          <t>2020-03-29 11:11:37</t>
        </is>
      </c>
      <c r="H8532" t="inlineStr"/>
    </row>
    <row r="8533">
      <c r="A8533" t="inlineStr">
        <is>
          <t>fraqkz</t>
        </is>
      </c>
      <c r="B8533" t="inlineStr">
        <is>
          <t>My mom is in "NED" stage of her first ovarian cancer recurrence. Would she be better off getting Covid-19 now while healthy?</t>
        </is>
      </c>
      <c r="C8533" t="inlineStr">
        <is>
          <t>She had ovarian cancer about 9 years ago, had her first reccurrence and began treatment almost exactly 1 year ago.
She had 6 rounds of chemo and the tumor shrank tremendously, and in the following 2 scans, it's even continued to shrink.
She's not on any maintenance drugs and feels very healthy right now, it's been probably 8 or 9 months since her final treatment.
So here's my thought... I've heard that once you have the virus, your body builds up an immunity.
This sounds crazy to even suggest, but since she has a (relatively) strong immune system right now, I almost feel like it'd be better to get it now, than to risk having another recurrence and having to fear getting the virus while on Chemo.
I don't know how she'd contract it right now even if she wanted to, but wouldn't it theoretically be better to just get it out of the way now?</t>
        </is>
      </c>
      <c r="D8533" t="n">
        <v>1</v>
      </c>
      <c r="E8533" t="n">
        <v>5</v>
      </c>
      <c r="F8533">
        <f>HYPERLINK("https://www.reddit.com/r/cancer/comments/fraqkz/my_mom_is_in_ned_stage_of_her_first_ovarian/")</f>
        <v/>
      </c>
      <c r="G8533" t="inlineStr">
        <is>
          <t>2020-03-29 11:37:12</t>
        </is>
      </c>
      <c r="H8533" t="inlineStr"/>
    </row>
    <row r="8534">
      <c r="A8534" t="inlineStr">
        <is>
          <t>frb4g2</t>
        </is>
      </c>
      <c r="B8534" t="inlineStr">
        <is>
          <t>Metastatic Colon Cancer: CEA Levels</t>
        </is>
      </c>
      <c r="C8534" t="inlineStr">
        <is>
          <t>I was at 3 when I was diagnosed, as of last week I am down to 0.8.
&amp;amp;#x200B;
I AM KICKING MY OWN ASS Y'ALL.
&amp;amp;#x200B;
Just wanted to shout out some good news during this shitty time :D</t>
        </is>
      </c>
      <c r="D8534" t="n">
        <v>3</v>
      </c>
      <c r="E8534" t="n">
        <v>32</v>
      </c>
      <c r="F8534">
        <f>HYPERLINK("https://www.reddit.com/r/cancer/comments/frb4g2/metastatic_colon_cancer_cea_levels/")</f>
        <v/>
      </c>
      <c r="G8534" t="inlineStr">
        <is>
          <t>2020-03-29 11:59:46</t>
        </is>
      </c>
      <c r="H8534" t="inlineStr"/>
    </row>
    <row r="8535">
      <c r="A8535" t="inlineStr">
        <is>
          <t>frecsd</t>
        </is>
      </c>
      <c r="B8535" t="inlineStr">
        <is>
          <t>My mother has terminal cancer</t>
        </is>
      </c>
      <c r="C8535" t="inlineStr">
        <is>
          <t>The doctors didn't say how long exactly other than "it could be months, a year, 2 years". I'm not even exactly sure which type of cancer it is but that it spread to other areas of the body. I think it's pancreatic. Maybe I was too scared to ask the doctor, I don't know.
She was in pain and constipated so had surgery to remove some intestine and is now fitted with a stoma bag. She's been out of hospital now with 2 weeks.
I'm wondering if anyone can offer some advice on what diet would be best for her now. Like what diet could optimise her chances of living as long as possible?
I'm looking at vegetables, fruits and turmeric, green tea etc. I guess I'm looking for a super diet that could get her more time with us and the fact she has a stoma bag isn't making coming up with a diet easier.
Thanks to anyone who answers and good luck to those of you dealing with this.</t>
        </is>
      </c>
      <c r="D8535" t="n">
        <v>2</v>
      </c>
      <c r="E8535" t="n">
        <v>15</v>
      </c>
      <c r="F8535">
        <f>HYPERLINK("https://www.reddit.com/r/cancer/comments/frecsd/my_mother_has_terminal_cancer/")</f>
        <v/>
      </c>
      <c r="G8535" t="inlineStr">
        <is>
          <t>2020-03-29 15:07:14</t>
        </is>
      </c>
      <c r="H8535" t="inlineStr"/>
    </row>
    <row r="8536">
      <c r="A8536" t="inlineStr">
        <is>
          <t>frgfv1</t>
        </is>
      </c>
      <c r="B8536" t="inlineStr">
        <is>
          <t>My dad passed away today</t>
        </is>
      </c>
      <c r="C8536" t="inlineStr">
        <is>
          <t>Basically the title, my dad passed away after a 5 year battle with colon cancer. It was actually kind of suddenly which isn’t usual for cancer. On Thursday I talked to him at my parents house we hung out, I went back to my house and by Sunday he was gone. He regressed so fast. I wasn’t even there in the end. He was my best friend and even though we had our troubles I’d do anything for that man. The last year was so hard he was in a lot of pain we spent countless hours searching for treatment. I’m just glad he’s not in any pain anymore. My family is so supportive but it’s so hard to talk about it already. I just guess I came to get it out bc it’s so tough.</t>
        </is>
      </c>
      <c r="D8536" t="n">
        <v>1</v>
      </c>
      <c r="E8536" t="n">
        <v>18</v>
      </c>
      <c r="F8536">
        <f>HYPERLINK("https://www.reddit.com/r/cancer/comments/frgfv1/my_dad_passed_away_today/")</f>
        <v/>
      </c>
      <c r="G8536" t="inlineStr">
        <is>
          <t>2020-03-29 17:11:56</t>
        </is>
      </c>
      <c r="H8536" t="inlineStr"/>
    </row>
    <row r="8537">
      <c r="A8537" t="inlineStr">
        <is>
          <t>frgnys</t>
        </is>
      </c>
      <c r="B8537" t="inlineStr">
        <is>
          <t>Mom with stage 4 MBC + Hypercalcemic crisis: should I travel during covid?</t>
        </is>
      </c>
      <c r="C8537" t="inlineStr">
        <is>
          <t>[reposting from family support - desperately need advice] 
TLDR: Should I travel to be with my mom if she’s dying, despite COVID19? 
My mom has stage 4 breast cancer with bone Mets and several chronic conditions: heart failure, renal failure, and uncontrolled diabetes. She was admitted to ER Friday for a severe hypercalcemic crisis. Her calcium levels have not improved in the last 36 hours and staying around 17.5. From my research, I know the prognosis is not good, even if she makes it through this, she likely only has 30-90 days left to live.
I’m her only child and unfortunately I live in LA and she’s in Georgia....and we’re in the middle of a global pandemic with hotspots in our respective cities.
I want to be with her if/when she passes. I want to be able to hold her hand, comfort her, and advocate for her care. The amount of guilt I would feel if I wasn’t there for her would be unbearable and haunt me for the rest of my life. The last I spoke with her yesterday, she did not know who I was and was unable to communicate. The nurses say the hospital isn’t on lockdown, and they are currently asking a list of screening questions to all visitors before they are allowed in.
What would you do in this situation? 
Should I risk my own health and hers/others by flying  from LA to ATL to be with her? Or do I need to accept that she will pass without me there?
I have no symptoms of covid and have not left my LA apartment in 16+ days. 
I have one paper mask, a box of gloves, and antibacterial wipes to keep me safe while I travel. I would try to get a red eye (fewer people), and also book the seat next to me to ensure safe distance from others.
My plan is to self quarantine in a hotel for 14 days (if she makes it that long) when I arrive in GA.
Any advice would be greatly appreciated. 
Praying for all cancer patients and their families during these uncertain times.</t>
        </is>
      </c>
      <c r="D8537" t="n">
        <v>2</v>
      </c>
      <c r="E8537" t="n">
        <v>15</v>
      </c>
      <c r="F8537">
        <f>HYPERLINK("https://www.reddit.com/r/cancer/comments/frgnys/mom_with_stage_4_mbc_hypercalcemic_crisis_should/")</f>
        <v/>
      </c>
      <c r="G8537" t="inlineStr">
        <is>
          <t>2020-03-29 17:25:52</t>
        </is>
      </c>
      <c r="H8537" t="inlineStr"/>
    </row>
    <row r="8538">
      <c r="A8538" t="inlineStr">
        <is>
          <t>frhisd</t>
        </is>
      </c>
      <c r="B8538" t="inlineStr">
        <is>
          <t>Health care workers are heroes. N95 masks are hell.</t>
        </is>
      </c>
      <c r="C8538" t="inlineStr">
        <is>
          <t>Just went to get my blood test for next round of chemo. Only wore the n95 mask inside hospital - maybe 30 minutes.
It was hell. Hot. Stifling. Hell.
I already admire doctors and nurses, but my admiration reached new levels today.
I don’t know how they do it but I’m so grateful they do.
Stay safe ❤️</t>
        </is>
      </c>
      <c r="D8538" t="n">
        <v>1</v>
      </c>
      <c r="E8538" t="n">
        <v>4</v>
      </c>
      <c r="F8538">
        <f>HYPERLINK("https://www.reddit.com/r/cancer/comments/frhisd/health_care_workers_are_heroes_n95_masks_are_hell/")</f>
        <v/>
      </c>
      <c r="G8538" t="inlineStr">
        <is>
          <t>2020-03-29 18:20:08</t>
        </is>
      </c>
      <c r="H8538" t="inlineStr"/>
    </row>
    <row r="8539">
      <c r="A8539" t="inlineStr">
        <is>
          <t>fricn1</t>
        </is>
      </c>
      <c r="B8539" t="inlineStr">
        <is>
          <t>Big decisions</t>
        </is>
      </c>
      <c r="C8539" t="inlineStr">
        <is>
          <t>I was diagnosed in 2018. Shortly after, I met someone &amp;amp; we are still together. I have 2 boys from before &amp;amp; he is good with them. But lately it seems like he doesn't understand that I am completely exhausted sometimes &amp;amp; even walking downstairs to tuck them in is rough. Let alone cooking/cleaning &amp;amp; all that. We've been together a short time but A LOT has happened. We are talking about buying a home together but I am unsure if I want to stay. He doesnt seem to care/understand how I feel &amp;amp; gets cranky/pissy when I ask for help. I'm just so tired. Advice?</t>
        </is>
      </c>
      <c r="D8539" t="n">
        <v>1</v>
      </c>
      <c r="E8539" t="n">
        <v>4</v>
      </c>
      <c r="F8539">
        <f>HYPERLINK("https://www.reddit.com/r/cancer/comments/fricn1/big_decisions/")</f>
        <v/>
      </c>
      <c r="G8539" t="inlineStr">
        <is>
          <t>2020-03-29 19:14:45</t>
        </is>
      </c>
      <c r="H8539" t="inlineStr"/>
    </row>
    <row r="8540">
      <c r="A8540" t="inlineStr">
        <is>
          <t>frjs8l</t>
        </is>
      </c>
      <c r="B8540" t="inlineStr">
        <is>
          <t>I just want to talk to him.</t>
        </is>
      </c>
      <c r="C8540" t="inlineStr">
        <is>
          <t>He was always so proud of me. No matter what I wanted to do, he supported me. He never once tried to steer me away from any of my decisions. He encouraged me to follow my dreams and just be happy. That’s all he wanted from me. My mom tries to beg me not to become a PO and tried to bribe me from joining the military. My brother is just hopeless - there is no way of impressing him. But my dad would always be the one to give me that motivation to go for it. Whatever it was. Whether it was writing a terrible song or coming up with idiotic inventions in my head. I was the smartest person in the world to him. I miss him so much. I wish he could see me in my uniform. 
Fuck cancer</t>
        </is>
      </c>
      <c r="D8540" t="n">
        <v>1</v>
      </c>
      <c r="E8540" t="n">
        <v>11</v>
      </c>
      <c r="F8540">
        <f>HYPERLINK("https://www.reddit.com/r/cancer/comments/frjs8l/i_just_want_to_talk_to_him/")</f>
        <v/>
      </c>
      <c r="G8540" t="inlineStr">
        <is>
          <t>2020-03-29 20:55:34</t>
        </is>
      </c>
      <c r="H8540" t="inlineStr"/>
    </row>
    <row r="8541">
      <c r="A8541" t="inlineStr">
        <is>
          <t>frk9mk</t>
        </is>
      </c>
      <c r="B8541" t="inlineStr">
        <is>
          <t>First time ever losing a loved one, and it was to pancreatic cancer</t>
        </is>
      </c>
      <c r="C8541" t="inlineStr">
        <is>
          <t>2 months ago one of my best friends was diagnosed with Stage IV of pancreatic cancer. I never lost hope until the very end, but he passed away just the other day. He was fine just up until 2-3 months ago and bam it took him away from this world. He really had an impact on me and losing him is the hardest thing I’ve ever had to go through. I feel lost, sad, and since I am a guy I feel like I can’t show emotion around anyone. 
It’s been a rough few days , I just want to know ... does it get easier? Does the pain of losing a loved one to cancer go away ? I just can’t seem to shake it right now .</t>
        </is>
      </c>
      <c r="D8541" t="n">
        <v>1</v>
      </c>
      <c r="E8541" t="n">
        <v>1</v>
      </c>
      <c r="F8541">
        <f>HYPERLINK("https://www.reddit.com/r/cancer/comments/frk9mk/first_time_ever_losing_a_loved_one_and_it_was_to/")</f>
        <v/>
      </c>
      <c r="G8541" t="inlineStr">
        <is>
          <t>2020-03-29 21:31:55</t>
        </is>
      </c>
      <c r="H8541" t="inlineStr"/>
    </row>
    <row r="8542">
      <c r="A8542" t="inlineStr">
        <is>
          <t>frkxyo</t>
        </is>
      </c>
      <c r="B8542" t="inlineStr">
        <is>
          <t>How fast does Keytruda work?</t>
        </is>
      </c>
      <c r="C8542" t="inlineStr">
        <is>
          <t>My dad has squamous cell carcinoma cancer (head and neck cancer). Last week he tested positive for PD-L1, so he's able to receive Keytruda(immunotherapy). He does have a sizeable tumor growing on the chest wall. 
The main question is, how fast does Keytruda work to shrink down the tumor? 
When my dad was on chemo, is shrunk &amp;amp; disappeared all the tumors in his neck. But now that he's on Keytruda, I am wondering. Is it as effective? And if so, how fast does it work? Thank you</t>
        </is>
      </c>
      <c r="D8542" t="n">
        <v>1</v>
      </c>
      <c r="E8542" t="n">
        <v>2</v>
      </c>
      <c r="F8542">
        <f>HYPERLINK("https://www.reddit.com/r/cancer/comments/frkxyo/how_fast_does_keytruda_work/")</f>
        <v/>
      </c>
      <c r="G8542" t="inlineStr">
        <is>
          <t>2020-03-29 22:25:38</t>
        </is>
      </c>
      <c r="H8542" t="inlineStr"/>
    </row>
    <row r="8543">
      <c r="A8543" t="inlineStr">
        <is>
          <t>frnylv</t>
        </is>
      </c>
      <c r="B8543" t="inlineStr">
        <is>
          <t>Friend passed from cancer a few hours ago</t>
        </is>
      </c>
      <c r="C8543" t="inlineStr">
        <is>
          <t>I just got news one of my close friends had died a few hours Ago and still can’t believe what’s happening .</t>
        </is>
      </c>
      <c r="D8543" t="n">
        <v>1</v>
      </c>
      <c r="E8543" t="n">
        <v>3</v>
      </c>
      <c r="F8543">
        <f>HYPERLINK("https://www.reddit.com/r/cancer/comments/frnylv/friend_passed_from_cancer_a_few_hours_ago/")</f>
        <v/>
      </c>
      <c r="G8543" t="inlineStr">
        <is>
          <t>2020-03-30 02:58:16</t>
        </is>
      </c>
      <c r="H8543" t="inlineStr"/>
    </row>
    <row r="8544">
      <c r="A8544" t="inlineStr">
        <is>
          <t>fro5bq</t>
        </is>
      </c>
      <c r="B8544" t="inlineStr">
        <is>
          <t>Question about breast cancer?</t>
        </is>
      </c>
      <c r="C8544" t="inlineStr">
        <is>
          <t>So my mother was recently diagnosed with stage 4 breast cancer (triple negative) and I’ve been trying to cope with it these past few months. Hurts me to see her like this but I was hoping I could come here and get a better understanding of this disease to feel a little better or worse about it. 
Apparently from looking it up it’s not curable at all. But as I look into other stories some people end up with a result of being cancer free after a while. Would this count as being cured or no? Or does it just mean that at the time there is no cancer in the body but possibility to show up again in the future? I’m just hoping that someone could tell me the answer and see if my mother could possibly be cancer free as well.</t>
        </is>
      </c>
      <c r="D8544" t="n">
        <v>1</v>
      </c>
      <c r="E8544" t="n">
        <v>2</v>
      </c>
      <c r="F8544">
        <f>HYPERLINK("https://www.reddit.com/r/cancer/comments/fro5bq/question_about_breast_cancer/")</f>
        <v/>
      </c>
      <c r="G8544" t="inlineStr">
        <is>
          <t>2020-03-30 03:14:01</t>
        </is>
      </c>
      <c r="H8544" t="inlineStr"/>
    </row>
    <row r="8545">
      <c r="A8545" t="inlineStr">
        <is>
          <t>frojis</t>
        </is>
      </c>
      <c r="B8545" t="inlineStr">
        <is>
          <t>The end is near.....</t>
        </is>
      </c>
      <c r="C8545" t="inlineStr">
        <is>
          <t>One last cross post from r/braincancer r/CancerCaregivers
Yesterday, my SO was rushed to the hospital for a series of seizures. When he arrived at the hospital, he went into cardiac arrest and was revived but he went into a coma. Now, he intubated and there's a machine breathing for him. The doctors found out he has bacterial pneumonia. His mom is with him thankfully, and now they're going to do a test to check if there is still brain activity
There's so much sadness that I don't really know how to process right now. He's only 23. He should've had his whole life ahead of him. It makes me so sad, but also just as angry! Why did it have to be him?! 
Now, all this just happened during a strict enhanced quarantine which means that I can't even go to him!!! This isn't the way I wanted it to end......</t>
        </is>
      </c>
      <c r="D8545" t="n">
        <v>1</v>
      </c>
      <c r="E8545" t="n">
        <v>0</v>
      </c>
      <c r="F8545">
        <f>HYPERLINK("https://www.reddit.com/r/cancer/comments/frojis/the_end_is_near/")</f>
        <v/>
      </c>
      <c r="G8545" t="inlineStr">
        <is>
          <t>2020-03-30 03:48:00</t>
        </is>
      </c>
      <c r="H8545" t="inlineStr"/>
    </row>
    <row r="8546">
      <c r="A8546" t="inlineStr">
        <is>
          <t>frow2h</t>
        </is>
      </c>
      <c r="B8546" t="inlineStr">
        <is>
          <t>Please help make Zytiga for prostate cancer available on the NHS</t>
        </is>
      </c>
      <c r="C8546" t="inlineStr">
        <is>
          <t xml:space="preserve"> Hi everyone, I hope it's ok to post this here.
My dad has been diagnosed with prostate cancer, but chemotherapy is currently not being recommended because of the risks associated with Covid-19 and its effect on the weakened immune system. There is a very effective alternative hormone treatment called Zytiga, but it's currently not available on the NHS and costs £4,000 a month to have. As a result, many men with newly diagnosed prostate cancer are having their treatment unnecessarily delayed. We have started a petition to try and get the treatment available on the NHS so that these men have a better chance at life.
If you could please spare a minute to [sign our petition](http://chng.it/DrywrNd42C), it would really mean a huge amount to me. Thank you!</t>
        </is>
      </c>
      <c r="D8546" t="n">
        <v>1</v>
      </c>
      <c r="E8546" t="n">
        <v>4</v>
      </c>
      <c r="F8546">
        <f>HYPERLINK("https://www.reddit.com/r/cancer/comments/frow2h/please_help_make_zytiga_for_prostate_cancer/")</f>
        <v/>
      </c>
      <c r="G8546" t="inlineStr">
        <is>
          <t>2020-03-30 04:14:53</t>
        </is>
      </c>
      <c r="H8546" t="inlineStr"/>
    </row>
    <row r="8547">
      <c r="A8547" t="inlineStr">
        <is>
          <t>frsapi</t>
        </is>
      </c>
      <c r="B8547" t="inlineStr">
        <is>
          <t>First glimpse at a picture/video of my dad since he passed rocked me.</t>
        </is>
      </c>
      <c r="C8547" t="inlineStr">
        <is>
          <t xml:space="preserve">Scrolling through my phone, I came across a video of my dad sipping water through a straw in the ICU during his last week here, which was about 2 months ago. I felt a terrifying sensation of, I guess it would be grief overtake me. I only watched 2 seconds before I turned it off. Physically, it felt like a balloon had expanded and contracted in my chest.
I miss him so much that I'm protecting myself against it by not thinking about it, and I feel shameful about that.
I hope you are all well.  
\*edit\* typo. </t>
        </is>
      </c>
      <c r="D8547" t="n">
        <v>0</v>
      </c>
      <c r="E8547" t="n">
        <v>18</v>
      </c>
      <c r="F8547">
        <f>HYPERLINK("https://www.reddit.com/r/cancer/comments/frsapi/first_glimpse_at_a_picturevideo_of_my_dad_since/")</f>
        <v/>
      </c>
      <c r="G8547" t="inlineStr">
        <is>
          <t>2020-03-30 07:58:24</t>
        </is>
      </c>
      <c r="H8547" t="inlineStr"/>
    </row>
    <row r="8548">
      <c r="A8548" t="inlineStr">
        <is>
          <t>frss6g</t>
        </is>
      </c>
      <c r="B8548" t="inlineStr">
        <is>
          <t>Anyone on Inlyta/Keytruda in the USA without commercial insurance?</t>
        </is>
      </c>
      <c r="C8548" t="inlineStr">
        <is>
          <t>My grandpa has been on Inlyta and began Keytruda last year.
He just got the call from Pfizer that his financial assistance is coming to an end due to his 2019 tax return having too much income.  (my grandmother passed away from cancer in 2018 and he brought in a $45k lump sum which was used for living expenses and other expenses)
Estimates for the medicine are $6,000 to $8,000 a month and even more than that for Keytruda.
He has 7 days of Inlyta left.  He's waiting on a call back from his doctor but I am terrifed that this is the failure of the USA healthcare system that I've been afraid of for years.  Has anyonie been in a similar situation and are there alternatives?
EDIT:  He is on Medicaid but from what I understand, they do not cover these treatments.</t>
        </is>
      </c>
      <c r="D8548" t="n">
        <v>1</v>
      </c>
      <c r="E8548" t="n">
        <v>7</v>
      </c>
      <c r="F8548">
        <f>HYPERLINK("https://www.reddit.com/r/cancer/comments/frss6g/anyone_on_inlytakeytruda_in_the_usa_without/")</f>
        <v/>
      </c>
      <c r="G8548" t="inlineStr">
        <is>
          <t>2020-03-30 08:24:45</t>
        </is>
      </c>
      <c r="H8548" t="inlineStr"/>
    </row>
    <row r="8549">
      <c r="A8549" t="inlineStr">
        <is>
          <t>frvv4d</t>
        </is>
      </c>
      <c r="B8549" t="inlineStr">
        <is>
          <t>Scar tissue/bump on tongue after surgery (tongue cancer)</t>
        </is>
      </c>
      <c r="C8549" t="inlineStr">
        <is>
          <t>I had surgery on 3/5 to remove my tongue carcinoma, white spots on my tongue (that were not cancerous) and lymph nodes. The lymph nodes came back clean and the actual carcinoma was very small so it was stage 1. Surgery went well and I'm recovering well. 
About a week ago I noticed that I have a lump on the back side part of my tongue. Doctor removed the white spot on my tongue there that was NOT cancerous - he just wanted to remove it while we were removing the carcinoma and other white spots. Just wondering if others that had tongue surgery developed a bump or scar tissue afterwards?  
I had one follow up visit on 3/10 and was supposed to have another visit tomorrow to discuss the final surgery (they didn't get completely clean margins as the final biopsy showed cancer in-situ cells at the front part of my tongue). 
This visit was re-scheduled to the end of May due to the pandemic and I'm not considered high priority. Which I agree with and am fine waiting. Doctor said we could just watch this area over the next few years or do another surgery and I opted for another surgery.
Would you consider this bump concerning enough to try and get a visit? I'm not even sure if this is possible as the doctor isn't seeing visits in clinic - only e-visits and then he does surgery a few times/week.</t>
        </is>
      </c>
      <c r="D8549" t="n">
        <v>1</v>
      </c>
      <c r="E8549" t="n">
        <v>6</v>
      </c>
      <c r="F8549">
        <f>HYPERLINK("https://www.reddit.com/r/cancer/comments/frvv4d/scar_tissuebump_on_tongue_after_surgery_tongue/")</f>
        <v/>
      </c>
      <c r="G8549" t="inlineStr">
        <is>
          <t>2020-03-30 11:08:27</t>
        </is>
      </c>
      <c r="H8549" t="inlineStr"/>
    </row>
    <row r="8550">
      <c r="A8550" t="inlineStr">
        <is>
          <t>frx30d</t>
        </is>
      </c>
      <c r="B8550" t="inlineStr">
        <is>
          <t>10 cancer symptoms that you are likely to ignore</t>
        </is>
      </c>
      <c r="C8550" t="inlineStr">
        <is>
          <t xml:space="preserve">  Cancer is one of the most deadly and scary diseases. The diagnosis is always a huge shock.  
However, many cancers are highly curable when they are detected early. This is why it is very important to be constantly alert against the symptoms of cancer.  
Here are the 10 cancer symptoms that you should NOT ignore.  
Pay special attention to the latter because it can easily be misinterpreted.  
Then click the link to continue reading. 
 [https://www.healthyplanguide.com/10-cancer-symptoms-likely-ignore/1363/](https://www.healthyplanguide.com/10-cancer-symptoms-likely-ignore/1363/)</t>
        </is>
      </c>
      <c r="D8550" t="n">
        <v>1</v>
      </c>
      <c r="E8550" t="n">
        <v>0</v>
      </c>
      <c r="F8550">
        <f>HYPERLINK("https://www.reddit.com/r/cancer/comments/frx30d/10_cancer_symptoms_that_you_are_likely_to_ignore/")</f>
        <v/>
      </c>
      <c r="G8550" t="inlineStr">
        <is>
          <t>2020-03-30 12:12:03</t>
        </is>
      </c>
      <c r="H8550" t="inlineStr"/>
    </row>
    <row r="8551">
      <c r="A8551" t="inlineStr">
        <is>
          <t>frxuh3</t>
        </is>
      </c>
      <c r="B8551" t="inlineStr">
        <is>
          <t>Feels like these are the last days...</t>
        </is>
      </c>
      <c r="C8551" t="inlineStr">
        <is>
          <t>After fighting for about two years with Endometrial cancer I think this might be it.
It metastasized to her instestine and kidney about 8 months ago when the doctor told us she probably wouldn't even see new years. She made it though, which probably made us thing she was invincible...
She was going for her last chemo session last week when she felt something very wrong with her digestive system. She ate a lot of spaghetti the night prior... but it was the first time in such a long time that she ate soo much that we were happy for her... She's been suffering with this for two years so we thought it would be okay..
We checked her into the hospital and the doctor told us her bowel was blocked and that she needed to stay in the hospital till it returned to normal. They've ran blood tests, x-rays and bone tests. We've been waiting since last Friday for the doctor to tell us something... anything really.
My mom has been throwing up various times a day and feels very very weak... She hasn't eaten since last Wednesday and has been hospitalized for up to a week now. We're afraid that a tumor is blocking her instestine. 
We can't even fucking visit her because of the coronavirus. It fucking sucks. This all sucks. The hospital is soo overrun it was a miracle we even got her a bed in the hospital, but the doctor barely has time for her and we aren't allowed to visit until they confirm she only has a few days left to live.
Sorry for the long post, I just feel useless and worthless at a time my mom needs me the most.</t>
        </is>
      </c>
      <c r="D8551" t="n">
        <v>1</v>
      </c>
      <c r="E8551" t="n">
        <v>2</v>
      </c>
      <c r="F8551">
        <f>HYPERLINK("https://www.reddit.com/r/cancer/comments/frxuh3/feels_like_these_are_the_last_days/")</f>
        <v/>
      </c>
      <c r="G8551" t="inlineStr">
        <is>
          <t>2020-03-30 12:51:04</t>
        </is>
      </c>
      <c r="H8551" t="inlineStr"/>
    </row>
    <row r="8552">
      <c r="A8552" t="inlineStr">
        <is>
          <t>fryfer</t>
        </is>
      </c>
      <c r="B8552" t="inlineStr">
        <is>
          <t>Partners Mom was just given weeks to live.</t>
        </is>
      </c>
      <c r="C8552" t="inlineStr">
        <is>
          <t>My partner has been back home with her mom after being diagnosed with stage 4 kidney cancer. She’s been there for a couple weeks waiting for info and I’ve been holding down the fort at home. The COVID stuff has been slowing down the process of getting help a lot and they were finally told today the she only has weeks left to live. I am going to go be with her tomorrow as I have just figured out time off at work and my travel arrangements. I have never been through this with anyone before and I don’t know what to expect. I don’t know what weeks left to live even means and I am terrified of what is coming next. Is there anything I can do or say or think to prepare myself? What can I do to support my partner through this?</t>
        </is>
      </c>
      <c r="D8552" t="n">
        <v>1</v>
      </c>
      <c r="E8552" t="n">
        <v>4</v>
      </c>
      <c r="F8552">
        <f>HYPERLINK("https://www.reddit.com/r/cancer/comments/fryfer/partners_mom_was_just_given_weeks_to_live/")</f>
        <v/>
      </c>
      <c r="G8552" t="inlineStr">
        <is>
          <t>2020-03-30 13:20:33</t>
        </is>
      </c>
      <c r="H8552" t="inlineStr"/>
    </row>
    <row r="8553">
      <c r="A8553" t="inlineStr">
        <is>
          <t>fs02bm</t>
        </is>
      </c>
      <c r="B8553" t="inlineStr">
        <is>
          <t>Looking for advice for people going through Chemo/radio</t>
        </is>
      </c>
      <c r="C8553" t="inlineStr">
        <is>
          <t>So my dad was diagnosed with throat cancer this week. It's all very new but aggressive treatment starts within the next fortnight- he's going in tomorrow to get mapped for the radiotherapy.
 Obviously in the middle of a pandemic, I can't go into appointments with him. I absolutely hate the idea of him feeling on his own in this. So for those of you who have gone through chemo/radio personally,  what can I do to make it less shit? Is there anything I can pack up for him to make the appointments more bearable? 
I really have no clue, apparently radiotherapy appointments are quick, but chemo appointments are slower. He said that he will be getting a type of chemo which is a combo of radio/chemo, if that makes a difference.
Also- he is slim as it is, and cannot afford to lose more weight. Should I be trying to fatten him up a little before this all kicks off? I can't imagine nutritional supplements being received too well, so what are some easy ways for him to pack on some pounds? He is an amazing cook himself, but his appetite isn't massive, so ideally something small but dense in calories.  Easy swallow would be good too, as apparently the treatment will make it difficult to swallow.
Any guidance at all would be much appreciated, I truly haven't a notion.</t>
        </is>
      </c>
      <c r="D8553" t="n">
        <v>1</v>
      </c>
      <c r="E8553" t="n">
        <v>14</v>
      </c>
      <c r="F8553">
        <f>HYPERLINK("https://www.reddit.com/r/cancer/comments/fs02bm/looking_for_advice_for_people_going_through/")</f>
        <v/>
      </c>
      <c r="G8553" t="inlineStr">
        <is>
          <t>2020-03-30 14:50:01</t>
        </is>
      </c>
      <c r="H8553" t="inlineStr"/>
    </row>
    <row r="8554">
      <c r="A8554" t="inlineStr">
        <is>
          <t>fs0a3n</t>
        </is>
      </c>
      <c r="B8554" t="inlineStr">
        <is>
          <t>Stage 4 Good news</t>
        </is>
      </c>
      <c r="C8554" t="inlineStr">
        <is>
          <t>When my mother was first diagnosed with stage 4 colon cancer I was in a really bad place, if you are here in this subreddit you know and I probably don’t need to explain further. When the diagnosis first came I searched and read everything that I could. I even came by this sub for a bit but all the stories here made me feel worse about her situation and freaked me out more.
After a few months of bi-weekly chemo my mother received the results of her CT scan today and her tumours in her liver have shrunken by 40%. I just wanted to post this incase there was someone like me who just found out some news about this shitty diagnoses and is scared. It’s not over till it’s over, there still might be a battle to fight ahead of you, keep fucking going. Don’t worry about a single stat.
And P.S we were both terrified of the chemo sessions, other than some mild discomfort for a day or 2 (usually a 2 days after chemo) it’s been extremely manageable and she’s been living a relatively normal life during her sessions, she was even hitting the gym before the COVID situation. DON’T BE SCARED!</t>
        </is>
      </c>
      <c r="D8554" t="n">
        <v>1</v>
      </c>
      <c r="E8554" t="n">
        <v>25</v>
      </c>
      <c r="F8554">
        <f>HYPERLINK("https://www.reddit.com/r/cancer/comments/fs0a3n/stage_4_good_news/")</f>
        <v/>
      </c>
      <c r="G8554" t="inlineStr">
        <is>
          <t>2020-03-30 15:01:35</t>
        </is>
      </c>
      <c r="H8554" t="inlineStr"/>
    </row>
    <row r="8555">
      <c r="A8555" t="inlineStr">
        <is>
          <t>fs0s89</t>
        </is>
      </c>
      <c r="B8555" t="inlineStr">
        <is>
          <t>So, What now?</t>
        </is>
      </c>
      <c r="C8555" t="inlineStr">
        <is>
          <t>Hi all,  
I don't even know how to even start this but here goes nothing.  
Living as a relatively happy 22 year old my mom spotted a mole on the left side of my neck that just woudn't stop growing, So we set for an appointment at my GP.
When she examined the mole she reffered me directly to a dermatologist to get it diagnosed at which point she asked the normal family history with cancer as a focal point.
&amp;amp;#x200B;
At the dermatologist a day later the following was discussed.  
\- The fucker needed to gtfo off my neck. (Duh)
\- After this it would be sent to pathology for analysis.
\- Eventual follow-up steps.
&amp;amp;#x200B;
The first surgery was scheduled a week from that meeting with the dermatologist, So we went to the hospital and got the fucking removed from my neck. Now for the fun part, The time between surgery and the results being shared with me.
Well my body had other plans and decided to pop the stitch in the middle of the wound so that we would need to go to the hospital. And what do you know.... Results are in. Yup ya got cancer.
&amp;amp;#x200B;
The news landed relatively good with me, Or so we thought. The following evening and night my mind was going to all sorts of places and no sleep was to be had.
Tests were scheduled and the second surgery to remove a 2cm margin around the original site of the surgery.
All the while being in no control whatsoever.
&amp;amp;#x200B;
And here I sit after surgery and a second round of pathology testing to show that the surrounding tissue and lymph nodes were not compromised. With a daily reminder of the burning hoop I jumped through and landed on a single nail stickingthe landing.
&amp;amp;#x200B;
Right now I find it incredibly hard to trust my own body again after this whole shitshow and I don't know how to go about that. I've got a great support system around me and can talk to whoever at whatever time if something isn't sitting right with me.
&amp;amp;#x200B;
&amp;amp;#x200B;
My question is, How long will it take for me to start trusting my body again after it having betrayed me in the most litteral way of trying to kill me?</t>
        </is>
      </c>
      <c r="D8555" t="n">
        <v>1</v>
      </c>
      <c r="E8555" t="n">
        <v>1</v>
      </c>
      <c r="F8555">
        <f>HYPERLINK("https://www.reddit.com/r/cancer/comments/fs0s89/so_what_now/")</f>
        <v/>
      </c>
      <c r="G8555" t="inlineStr">
        <is>
          <t>2020-03-30 15:28:50</t>
        </is>
      </c>
      <c r="H8555" t="inlineStr"/>
    </row>
    <row r="8556">
      <c r="A8556" t="inlineStr">
        <is>
          <t>fs1x4w</t>
        </is>
      </c>
      <c r="B8556" t="inlineStr">
        <is>
          <t>10 Signs Of Cancer In Cats</t>
        </is>
      </c>
      <c r="C8556" t="inlineStr">
        <is>
          <t xml:space="preserve"> 
Cancer  is an ever-growing problem for our pets, so it’s no surprise that we’re  always on the lookout for love or money abnormal. Annual veterinary  exams can help ensure your cat stays happy and healthy, but cats are  very stoic animals that rarely show any symptoms of disease before it’s  too late. To be proactive in our cat’s health, it’s important to require  a note of any of those symptoms and make certain to see together with  your veterinarian to rule out any problems.
**1 – Abnormal Swelling**
Some  tumors can’t be seen or felt slightly below the skin, but you would  possibly notice that your cat’s chest or abdomen has become enlarged or  distended. this might mean that something dangerous is growing inside  and maybe a sure sign that your cat needs veterinary care.
**2 – Difficulty Breathing**
Tumors  often grow inside or push against the lungs and throat of our cats,  making breathing very difficult. If you notice any wheezing or panting,  make certain to require your cat to the vet as soon as possible. If left  untreated, tumors within the thoracic cavity or throat can suffocate  cats very quickly.
***Open  next page to continue reading***  :  [https://www.maayadal.com/?p=438](https://www.maayadal.com/?p=438)</t>
        </is>
      </c>
      <c r="D8556" t="n">
        <v>1</v>
      </c>
      <c r="E8556" t="n">
        <v>0</v>
      </c>
      <c r="F8556">
        <f>HYPERLINK("https://www.reddit.com/r/cancer/comments/fs1x4w/10_signs_of_cancer_in_cats/")</f>
        <v/>
      </c>
      <c r="G8556" t="inlineStr">
        <is>
          <t>2020-03-30 16:36:49</t>
        </is>
      </c>
      <c r="H8556" t="inlineStr"/>
    </row>
    <row r="8557">
      <c r="A8557" t="inlineStr">
        <is>
          <t>fs36u3</t>
        </is>
      </c>
      <c r="B8557" t="inlineStr">
        <is>
          <t>Are those in remission at risk regarding Coronavirus?</t>
        </is>
      </c>
      <c r="C8557" t="inlineStr">
        <is>
          <t>I had cancer 7 years ago. I'm in remission and was stage 1. It was testicular cancer. I had 1 round of preventative chemo. Does this put me in a risk category regarding the coronavirus?
A friend said it does. Is this true? I rarely get a flu and even when I do they're no different to the flu/cold viruses I had pre-cancer. As a side note my immune system seems stronger post Cancer if I'm honest.</t>
        </is>
      </c>
      <c r="D8557" t="n">
        <v>1</v>
      </c>
      <c r="E8557" t="n">
        <v>3</v>
      </c>
      <c r="F8557">
        <f>HYPERLINK("https://www.reddit.com/r/cancer/comments/fs36u3/are_those_in_remission_at_risk_regarding/")</f>
        <v/>
      </c>
      <c r="G8557" t="inlineStr">
        <is>
          <t>2020-03-30 17:54:16</t>
        </is>
      </c>
      <c r="H8557" t="inlineStr"/>
    </row>
    <row r="8558">
      <c r="A8558" t="inlineStr">
        <is>
          <t>fs4tew</t>
        </is>
      </c>
      <c r="B8558" t="inlineStr">
        <is>
          <t>My mom has cancer and lets out her anger on me all the time</t>
        </is>
      </c>
      <c r="C8558" t="inlineStr">
        <is>
          <t>Staying at home with my mom who has cancer has been stressing me (F 23) out. I don't know who to turn to and I just need to let it out. So..my mom has been terminally ill for 4 years and she often lets out her anger on me. I know that she is angry about her sickness and I try to be patient with her, but sometimes she says mean and hurtful things that I just cannot look past.
It was easier to handle it when I had work as I get to spend time away from home but who knows how long this lockdown (due to covid 19) may extend to...it is only the 2nd week and I had so many mental breakdowns. I do my best to clean the house, get groceries, cook meals, but everything I do is just not good enough for her. She always wants things to be done a certain way and if I don't do it the way she wants, she would call me "useless" and say "it's better if I die tomorrow since no one cares in this house". She blames all her stress on me and my dad when all we do is care for her. Honestly, when she goes for her treatment, I feel so relieve that I have a day of peace. But that relieve is always met with guilt.
I just want to make good memories with her before her time comes, but she makes it really hard. Sometimes after work, I would tell her about what happened at work, and she would scold me and say that I am not allowed to be tired because she is the one dying of cancer. I try so hard to connect with her but each time I try, I feel so upset and angry. 
To those who read til the end, thanks for listening.</t>
        </is>
      </c>
      <c r="D8558" t="n">
        <v>1</v>
      </c>
      <c r="E8558" t="n">
        <v>9</v>
      </c>
      <c r="F8558">
        <f>HYPERLINK("https://www.reddit.com/r/cancer/comments/fs4tew/my_mom_has_cancer_and_lets_out_her_anger_on_me/")</f>
        <v/>
      </c>
      <c r="G8558" t="inlineStr">
        <is>
          <t>2020-03-30 19:38:50</t>
        </is>
      </c>
      <c r="H8558" t="inlineStr"/>
    </row>
    <row r="8559">
      <c r="A8559" t="inlineStr">
        <is>
          <t>fs636k</t>
        </is>
      </c>
      <c r="B8559" t="inlineStr">
        <is>
          <t>My daughter's periodic scans &amp;amp; checkups were postponed due to the coronavirus situation...</t>
        </is>
      </c>
      <c r="C8559" t="inlineStr">
        <is>
          <t>They said they won't be able to do it before the summer! ugh...</t>
        </is>
      </c>
      <c r="D8559" t="n">
        <v>1</v>
      </c>
      <c r="E8559" t="n">
        <v>8</v>
      </c>
      <c r="F8559">
        <f>HYPERLINK("https://www.reddit.com/r/cancer/comments/fs636k/my_daughters_periodic_scans_checkups_were/")</f>
        <v/>
      </c>
      <c r="G8559" t="inlineStr">
        <is>
          <t>2020-03-30 21:07:13</t>
        </is>
      </c>
      <c r="H8559" t="inlineStr"/>
    </row>
    <row r="8560">
      <c r="A8560" t="inlineStr">
        <is>
          <t>fs9ht6</t>
        </is>
      </c>
      <c r="B8560" t="inlineStr">
        <is>
          <t>Could gastric Cancer be hereditary?</t>
        </is>
      </c>
      <c r="C8560" t="inlineStr">
        <is>
          <t>My grandpa, his mother and his grandpa died of gastric cancer. So did 3 uncles and 1 aunt.  Another aunt died of brain cancer at 17 (died in surgery). This is all on my mother’s side.  On my father side they have died of ovarian cancer(aunt) and lung cancer (grandpa).  Is it possible?</t>
        </is>
      </c>
      <c r="D8560" t="n">
        <v>1</v>
      </c>
      <c r="E8560" t="n">
        <v>3</v>
      </c>
      <c r="F8560">
        <f>HYPERLINK("https://www.reddit.com/r/cancer/comments/fs9ht6/could_gastric_cancer_be_hereditary/")</f>
        <v/>
      </c>
      <c r="G8560" t="inlineStr">
        <is>
          <t>2020-03-31 01:52:02</t>
        </is>
      </c>
      <c r="H8560" t="inlineStr"/>
    </row>
    <row r="8561">
      <c r="A8561" t="inlineStr">
        <is>
          <t>fsb8kn</t>
        </is>
      </c>
      <c r="B8561" t="inlineStr">
        <is>
          <t>Terrified of court this morning</t>
        </is>
      </c>
      <c r="C8561" t="inlineStr">
        <is>
          <t>I’m terminal and have to make a choice in 3 hours of being in court to try and reduce the bond, so my client can get out of jail (unconvicted small drug case), or just stay home and keep myself safe.
Sweaty palms, can’t sleep, and scared shitless to catch this damn virus, while at the same time I’m angry at myself for putting myself and my own ability to “save myself” over that of others. I hope I can be the person my parents raised me to be and I’m pretty sure I will, but damn there is a “fuck everything and run” demon on my shoulder.
I just needed a safe place to let this out. Thanks to this group for the love and genuine support.</t>
        </is>
      </c>
      <c r="D8561" t="n">
        <v>1</v>
      </c>
      <c r="E8561" t="n">
        <v>19</v>
      </c>
      <c r="F8561">
        <f>HYPERLINK("https://www.reddit.com/r/cancer/comments/fsb8kn/terrified_of_court_this_morning/")</f>
        <v/>
      </c>
      <c r="G8561" t="inlineStr">
        <is>
          <t>2020-03-31 04:25:01</t>
        </is>
      </c>
      <c r="H8561" t="inlineStr"/>
    </row>
    <row r="8562">
      <c r="A8562" t="inlineStr">
        <is>
          <t>fsbhn2</t>
        </is>
      </c>
      <c r="B8562" t="inlineStr">
        <is>
          <t>An eight person funeral when so many loved my dad.</t>
        </is>
      </c>
      <c r="C8562" t="inlineStr">
        <is>
          <t>I am completely aware of the corona virus and it’s effect on the world. Please do not let that be misunderstood. However, I would do anything to give my Dad the proper funeral and services that he deserves. The funeral home told us 10 people total with two of them being the funeral director and the pastor. My dad was sick for such a long time and although he couldn’t see his friends, his connections were so true and deep because of the person he was. I know if this virus wasn’t ruining our lives right now, we would have a room packed with people that he loved and loved him that get the chance to say goodbye. I can’t even hug his brother at the funeral because he is older and high risk. To lose someone and not be able to celebrate them appropriately and gain closure is twisted.</t>
        </is>
      </c>
      <c r="D8562" t="n">
        <v>1</v>
      </c>
      <c r="E8562" t="n">
        <v>10</v>
      </c>
      <c r="F8562">
        <f>HYPERLINK("https://www.reddit.com/r/cancer/comments/fsbhn2/an_eight_person_funeral_when_so_many_loved_my_dad/")</f>
        <v/>
      </c>
      <c r="G8562" t="inlineStr">
        <is>
          <t>2020-03-31 04:45:49</t>
        </is>
      </c>
      <c r="H8562" t="inlineStr"/>
    </row>
    <row r="8563">
      <c r="A8563" t="inlineStr">
        <is>
          <t>fsbxma</t>
        </is>
      </c>
      <c r="B8563" t="inlineStr">
        <is>
          <t>My mom just died to metastasized lung cancer</t>
        </is>
      </c>
      <c r="C8563" t="inlineStr">
        <is>
          <t>Honestly, it's even worse that we couldn't even be there for her last moments - we couldn't talk to her, hold her hand, kiss her, or do anything at all due to coronavirus.
I received these awful news 1 hour ago and honestly, i haven't even cried a little bit, you might say it's just a phase of shock and that my grieving hasn't started yet, or that i don't believe it's real.
The thing is, i know full well this is real, for the past month we had been getting news that she was getting worse and worse. At first, we got the usual "she's got a few weeks to a few months to live" which was a month ago. One week ago we got the unfortunate "she's got a few hours to a few days to live". Everyday, for the past month, i fell asleep thinking how i would wake up to that god damn call. At this point i feel like i've grown numb to all this leading up to her death.
I am indeed angry and sad, she didn't deserve this, no one in this sub deserves it, but i did expect it, it was just a matter of time.
I have already cried so many times due to my mom's health that it seems i have no more tears for her death.
Perhaps this will hit me harder as time goes on but, it has already been a month since she has been hospitalized without us being able to see her. While talking to myself i would sometimes, by mistake, say "if my mom wasn't dead" even though she was still, hardly, alive.</t>
        </is>
      </c>
      <c r="D8563" t="n">
        <v>1</v>
      </c>
      <c r="E8563" t="n">
        <v>8</v>
      </c>
      <c r="F8563">
        <f>HYPERLINK("https://www.reddit.com/r/cancer/comments/fsbxma/my_mom_just_died_to_metastasized_lung_cancer/")</f>
        <v/>
      </c>
      <c r="G8563" t="inlineStr">
        <is>
          <t>2020-03-31 05:20:00</t>
        </is>
      </c>
      <c r="H8563" t="inlineStr"/>
    </row>
    <row r="8564">
      <c r="A8564" t="inlineStr">
        <is>
          <t>fscnfx</t>
        </is>
      </c>
      <c r="B8564" t="inlineStr">
        <is>
          <t>ANC</t>
        </is>
      </c>
      <c r="C8564" t="inlineStr">
        <is>
          <t>Anyone know how to raise this level?</t>
        </is>
      </c>
      <c r="D8564" t="n">
        <v>1</v>
      </c>
      <c r="E8564" t="n">
        <v>17</v>
      </c>
      <c r="F8564">
        <f>HYPERLINK("https://www.reddit.com/r/cancer/comments/fscnfx/anc/")</f>
        <v/>
      </c>
      <c r="G8564" t="inlineStr">
        <is>
          <t>2020-03-31 06:11:19</t>
        </is>
      </c>
      <c r="H8564" t="inlineStr"/>
    </row>
    <row r="8565">
      <c r="A8565" t="inlineStr">
        <is>
          <t>fsfjk9</t>
        </is>
      </c>
      <c r="B8565" t="inlineStr">
        <is>
          <t>Should I be able to feel my tumor shrinking?</t>
        </is>
      </c>
      <c r="C8565" t="inlineStr">
        <is>
          <t xml:space="preserve">
I’ve only had 2 doses of AC so far but my oncologist and one of the docs at the breast clinic keep asking me if it feels like my tumor is any smaller. I keep wanting to think it is but it’s so irregular and positional that I can’t really tell which makes me think it isn’t shrinking. I have triple negative idc.
Has anyone noticed their tumors shrinking? Was it a slow change or was it pretty fast and obvious? I’m hoping I can talk my oncologist into measuring it on ultrasound to help my piece of mind or at least keep me from going crazy with uncertainty. I have this huge fear that I should have opted for surgery before chemo and the chemo isn’t going to work and could spread during treatment.
I posted on r/breastcancer but there aren’t as many active users over there. 
Ugh. Someone talk me down please.</t>
        </is>
      </c>
      <c r="D8565" t="n">
        <v>1</v>
      </c>
      <c r="E8565" t="n">
        <v>14</v>
      </c>
      <c r="F8565">
        <f>HYPERLINK("https://www.reddit.com/r/cancer/comments/fsfjk9/should_i_be_able_to_feel_my_tumor_shrinking/")</f>
        <v/>
      </c>
      <c r="G8565" t="inlineStr">
        <is>
          <t>2020-03-31 09:02:52</t>
        </is>
      </c>
      <c r="H8565" t="inlineStr"/>
    </row>
    <row r="8566">
      <c r="A8566" t="inlineStr">
        <is>
          <t>fsfutd</t>
        </is>
      </c>
      <c r="B8566" t="inlineStr">
        <is>
          <t>Covid woes: Oral chemo at home, or infusions in hospital?</t>
        </is>
      </c>
      <c r="C8566" t="inlineStr">
        <is>
          <t>I was very recently diagnosed with stage II DCIS breast cancer. 
I had DLBC lymphoma in 2015, I was coming up to 4 years in the clear in July, so i am understandably frustrated with this situation... it also coincides with a break up so, this is altogether a grim 2020.
Anyway ...Because of the worries about contracting covid when i start treatment, my Drs are pressing me to have oral chemo (pills or drops) rather than traipsing into hospital for infusions. 
Obviously i will do whatever is right but I find the idea of chemo pills terrifying and was wondering if anyone has been in the (unfortunate) position to have had both, **which would you pick?** 
My pre-assessment is on Thursday so want to be as informed as possible. Thank you x</t>
        </is>
      </c>
      <c r="D8566" t="n">
        <v>3</v>
      </c>
      <c r="E8566" t="n">
        <v>26</v>
      </c>
      <c r="F8566">
        <f>HYPERLINK("https://www.reddit.com/r/cancer/comments/fsfutd/covid_woes_oral_chemo_at_home_or_infusions_in/")</f>
        <v/>
      </c>
      <c r="G8566" t="inlineStr">
        <is>
          <t>2020-03-31 09:19:30</t>
        </is>
      </c>
      <c r="H8566" t="inlineStr"/>
    </row>
    <row r="8567">
      <c r="A8567" t="inlineStr">
        <is>
          <t>fsglbf</t>
        </is>
      </c>
      <c r="B8567" t="inlineStr">
        <is>
          <t>Hindsight Level: X-ray Vision, Anyone?</t>
        </is>
      </c>
      <c r="C8567" t="inlineStr">
        <is>
          <t>I was on my PC trying to find the name of a dry shampoo that I liked and I saw a search from Nov 30 with something along the lines of "is oily hair a sign of ovarian cancer." I remember feeling so full that I couldn't eat much for Thanksgiving
 and feeling like I needed to wash my hair 2x a day. A few days later I made yet another GYN appointment where they would probably just recommend birth control for hormones yet again ("it's not cancer because of your age") and send me back to the GI doctor for the IBS I didn't have. 
That appointment was scheduled for 3 days ago. I was diagnosed with ovarian cancer in January after emergency surgery to remove a melon-sized tumor that was bleeding out into my abdomen.
I've been able to deal with everything remarkably better than I would have thought; however, I still struggle with distrust of doctors and the healthcare industry in general. I guess that isn't uncommon with us, though.</t>
        </is>
      </c>
      <c r="D8567" t="n">
        <v>1</v>
      </c>
      <c r="E8567" t="n">
        <v>2</v>
      </c>
      <c r="F8567">
        <f>HYPERLINK("https://www.reddit.com/r/cancer/comments/fsglbf/hindsight_level_xray_vision_anyone/")</f>
        <v/>
      </c>
      <c r="G8567" t="inlineStr">
        <is>
          <t>2020-03-31 09:59:11</t>
        </is>
      </c>
      <c r="H8567" t="inlineStr"/>
    </row>
    <row r="8568">
      <c r="A8568" t="inlineStr">
        <is>
          <t>fsj58r</t>
        </is>
      </c>
      <c r="B8568" t="inlineStr">
        <is>
          <t>Stem Cell Transplant Decision</t>
        </is>
      </c>
      <c r="C8568" t="inlineStr">
        <is>
          <t>Hello everyone. I am currently faced with a decision, do I want to start the process for Stem Cell Transplant now after I just finished my 2nd treatment of chemo, or do I do another round of chemo while I am finishing up my online classes (this is my last semester of undergrad)? 
I really don't know what I should do, especially right now with all of the quarantine stuff and it makes me wonder if anyone will even be able to come visit me while I am in the hospital. This last round of chemo really hit me hard, it was a really bad weekend for me. I don't know why but the first treatment was fairly "easy" in terms of the side affects. But this second treatment was really bad, more like when I had chemo the first time around. After struggling this past weekend I was realizing just how bad the stem cell process is going to be and how much pain I will have to endure, and it is making me really scared. I don't know whether I want to push it off and go through another shitty chemo treatment, or just get it over with and start the stem cell stuff. 
I am wondering what everyone else's experiences with the Stem Cell Transplant are like, just how bad was it? The nurse practitioner here said it was worse than child birth and that I would lose a bunch of weight... What I went through just this weekend really sucked the life out of me so if this is even worse I am pretty terrified. 
sidenote: I am really bad with needles and being poked, it was like my worst fear before all of this so I am now facing my fear head on with no choice, but just the idea of having the picc-line makes me cringe big time....</t>
        </is>
      </c>
      <c r="D8568" t="n">
        <v>1</v>
      </c>
      <c r="E8568" t="n">
        <v>4</v>
      </c>
      <c r="F8568">
        <f>HYPERLINK("https://www.reddit.com/r/cancer/comments/fsj58r/stem_cell_transplant_decision/")</f>
        <v/>
      </c>
      <c r="G8568" t="inlineStr">
        <is>
          <t>2020-03-31 12:11:51</t>
        </is>
      </c>
      <c r="H8568" t="inlineStr"/>
    </row>
    <row r="8569">
      <c r="A8569" t="inlineStr">
        <is>
          <t>fsj84n</t>
        </is>
      </c>
      <c r="B8569" t="inlineStr">
        <is>
          <t>Pancreatic cancer towards the end..</t>
        </is>
      </c>
      <c r="C8569" t="inlineStr">
        <is>
          <t>My dad for told a couple of weeks ago that there was nothing more the hospital could do for him. 
Up until now he has just coped with taking codeine but has now started taking morphine 10mg when he needs it. Orally too, if this helps. My husband has also said tonight that he thinks he's starting to look a little yellow. 
Have people experienced this and known how long they had left with their loved one? I know it's not a nice question, I just hate all the guessing. 
Also, does morphine always take the pain away? He is in a false sense of security again now he has no pain after taking the morphine.</t>
        </is>
      </c>
      <c r="D8569" t="n">
        <v>5</v>
      </c>
      <c r="E8569" t="n">
        <v>9</v>
      </c>
      <c r="F8569">
        <f>HYPERLINK("https://www.reddit.com/r/cancer/comments/fsj84n/pancreatic_cancer_towards_the_end/")</f>
        <v/>
      </c>
      <c r="G8569" t="inlineStr">
        <is>
          <t>2020-03-31 12:15:59</t>
        </is>
      </c>
      <c r="H8569" t="inlineStr"/>
    </row>
    <row r="8570">
      <c r="A8570" t="inlineStr">
        <is>
          <t>fsjaoh</t>
        </is>
      </c>
      <c r="B8570" t="inlineStr">
        <is>
          <t>How to alleviate caretaker exhaustion/depression? Please help</t>
        </is>
      </c>
      <c r="C8570" t="inlineStr">
        <is>
          <t>Hey guys, 
My husband is going through stage 4 cancer treatment atm and the uncertainty of it all and the side effects chemo has been causing on his body have me completely stressed out and depressed. Corona being a thing doubled this feeling because I'm constantly thinking how I can keep him safe from the virus. I've reached a stage where I'm at an all time low of feeling like there is no purpose to life and that it's just constant suffering from the day you born till the day you die. I've always been pessimistic but not to the degree of feeling like there is absolutely no beauty to this chaos. 
I know my husband most of all wants to live and fight but seeing him cry to me and ask if this cancer is going to kill him just breaks my heart. I have to be strong though and be that steady shoulder for him to lean his head on. I've been bottling up all these feelings because I dont want to upset him with this point of view that I've recently acquired on life. The last time he mentioned it he had a mental breakdown to his parents over the phone and was crying hysterically over what I said. 
I was just feeling so down that I blew up on him and I still do. We both take anti-depressants but it hardly feels like enough to stop my heart from feeling like it's being clenched hard by a giant fist with its nails sinking into its weakest points. I haven't felt normal ever since our cancer journey began in December. We spent our anniversary in hospital while he was taking strong antibiotics to fight an infection he had and got told he had cancer only a week later. It sucks, it all sucks and I feel like it's just some giant joke. 
Is there even a light to hope for at the end of this tunnel? I want to believe we will get through this and have cancer just be one bad memory out of the many we will make throughout our lives but in the back of my mind I'm always thinking 'What if this is the last memory I will ever make with him? What if we really do hear news that there is nothing that can be done anymore for his cancer and it's the end of the line?'
I just dont want this time of our lives to be the last thing we ever go through together, I want us to do so much more but the world doesnt just give it to you because you asked nicely. It's pure randomness how cancer affects each individual and if they will cure/live longer than expected or just die with an expiration date that is constantly hanging over your head. 
The randomness of it all is what scares me the most. One day you can hear good news and the next month, year or even several years afterwards is when you finally hear that the cancer is winning and there is nothing more to be done. Fuck cancer seriously</t>
        </is>
      </c>
      <c r="D8570" t="n">
        <v>2</v>
      </c>
      <c r="E8570" t="n">
        <v>11</v>
      </c>
      <c r="F8570">
        <f>HYPERLINK("https://www.reddit.com/r/cancer/comments/fsjaoh/how_to_alleviate_caretaker_exhaustiondepression/")</f>
        <v/>
      </c>
      <c r="G8570" t="inlineStr">
        <is>
          <t>2020-03-31 12:19:44</t>
        </is>
      </c>
      <c r="H8570" t="inlineStr"/>
    </row>
    <row r="8571">
      <c r="A8571" t="inlineStr">
        <is>
          <t>fsp3hi</t>
        </is>
      </c>
      <c r="B8571" t="inlineStr">
        <is>
          <t>Virtual Group-Based Support for Young Cancer Survivors</t>
        </is>
      </c>
      <c r="C8571" t="inlineStr">
        <is>
          <t>Hi! My name is Helen and I am a research coordinator for the Bounce Back Study at the Massachusetts General Hospital Cancer Center, an affiliate of Harvard Medical School. We are recruiting adolescent and young adults who were diagnosed with cancer (any type!) between the ages of 14-29, still fall within this age range, and have completed treatment in the past 5 years. Bounce Back is a **FREE virtual group stress management and resilience program** that takes place over 8-weeks. The goal of the program is to help young cancer survivors learn skills to cope with the stress and emotions that arise during the post treatment transition. Participants will be compensated up to $90 for their time. Please send me a message or email [mghbounceback@mgh.harvard.edu](mailto:mghbounceback@mgh.harvard.edu) if you are interested in learning more or have any questions 😊</t>
        </is>
      </c>
      <c r="D8571" t="n">
        <v>1</v>
      </c>
      <c r="E8571" t="n">
        <v>0</v>
      </c>
      <c r="F8571">
        <f>HYPERLINK("https://www.reddit.com/r/cancer/comments/fsp3hi/virtual_groupbased_support_for_young_cancer/")</f>
        <v/>
      </c>
      <c r="G8571" t="inlineStr">
        <is>
          <t>2020-03-31 17:39:04</t>
        </is>
      </c>
      <c r="H8571" t="inlineStr"/>
    </row>
    <row r="8572">
      <c r="A8572" t="inlineStr">
        <is>
          <t>fspd35</t>
        </is>
      </c>
      <c r="B8572" t="inlineStr">
        <is>
          <t>Port in forearm?</t>
        </is>
      </c>
      <c r="C8572" t="inlineStr">
        <is>
          <t>My dad had a port placed for chemo. The oncologist gave him 2 choices of location, the typical upper chest location or arm. They strongly suggested the arm if possible, pointing out a lower chance of infection etc.
I was a bit confused about the location, since all the research I've done shows that the upper chest area is typical, with some placement being done around the upper arm. When he went in they placed the port in his inner forearm sorta below the elbow, with the catheter running up just above the elbow.
Has anyone else seen it done this way? Any reason why it's not done like this more often? The surgeon mentioned that this particular oncologist is the only one that does it like this.</t>
        </is>
      </c>
      <c r="D8572" t="n">
        <v>1</v>
      </c>
      <c r="E8572" t="n">
        <v>16</v>
      </c>
      <c r="F8572">
        <f>HYPERLINK("https://www.reddit.com/r/cancer/comments/fspd35/port_in_forearm/")</f>
        <v/>
      </c>
      <c r="G8572" t="inlineStr">
        <is>
          <t>2020-03-31 17:55:27</t>
        </is>
      </c>
      <c r="H8572" t="inlineStr"/>
    </row>
    <row r="8573">
      <c r="A8573" t="inlineStr">
        <is>
          <t>fsqt42</t>
        </is>
      </c>
      <c r="B8573" t="inlineStr">
        <is>
          <t>Mum has been diagnosed with stage 2 metastatic cancer.</t>
        </is>
      </c>
      <c r="C8573" t="inlineStr">
        <is>
          <t>Hi all.
Sorry if this isn’t allowed but things are moving at such a rate I am still in shock with the diagnosis. It has literally been 2 weeks from diagnosis to starting chemo. 
Have never been through cancer or know anyone who has had it before so I’m at a loss.
Is there anything I could buy mum (already bought ugg boots because Australia and coming into winter), that would make her more comfortable during chemo?
Going to see her isn’t an option because good old covid-19. I have an 8 year old and 31 weeker who just turned 1. Also a single mum. 
Sorry if this upsets anyone, no idea where to ask or really what to do.
Thankyou!</t>
        </is>
      </c>
      <c r="D8573" t="n">
        <v>5</v>
      </c>
      <c r="E8573" t="n">
        <v>27</v>
      </c>
      <c r="F8573">
        <f>HYPERLINK("https://www.reddit.com/r/cancer/comments/fsqt42/mum_has_been_diagnosed_with_stage_2_metastatic/")</f>
        <v/>
      </c>
      <c r="G8573" t="inlineStr">
        <is>
          <t>2020-03-31 19:26:54</t>
        </is>
      </c>
      <c r="H8573" t="inlineStr"/>
    </row>
    <row r="8574">
      <c r="A8574" t="inlineStr">
        <is>
          <t>fsshw5</t>
        </is>
      </c>
      <c r="B8574" t="inlineStr">
        <is>
          <t>Cancer?</t>
        </is>
      </c>
      <c r="C8574" t="inlineStr">
        <is>
          <t>Anyone who sees this please PM me, and put my mind at ease.
I'm a 16 year old girl who has started having unusual symptoms such as
* difficulty swallowing
*feeling food is getting stuck somewhere
* burping a lot to relieve symptoms
* sometimes when I burp, it feels like a bit of sick is going to come out, it nearly did yesterday
* I feel sick after dinner
* I feel like someone is hanging me upside down and squeezing my throat
Could this be cancer? Or does it sound like something a lot less serious?</t>
        </is>
      </c>
      <c r="D8574" t="n">
        <v>1</v>
      </c>
      <c r="E8574" t="n">
        <v>6</v>
      </c>
      <c r="F8574">
        <f>HYPERLINK("https://www.reddit.com/r/cancer/comments/fsshw5/cancer/")</f>
        <v/>
      </c>
      <c r="G8574" t="inlineStr">
        <is>
          <t>2020-03-31 21:19:18</t>
        </is>
      </c>
      <c r="H8574" t="inlineStr"/>
    </row>
    <row r="8575">
      <c r="A8575" t="inlineStr">
        <is>
          <t>fst4yi</t>
        </is>
      </c>
      <c r="B8575" t="inlineStr">
        <is>
          <t>Telling your loved ones</t>
        </is>
      </c>
      <c r="C8575" t="inlineStr">
        <is>
          <t>So a few years ago. They found skin cancer in my back..wait let me back up.
I was a hard worker. I worked for years and years. Honing my skills. To get into a very specialized field of my industry. One that required me to be gone about 98 percent of the year. No not military. 
When i was finally offered the slot....a week later i took time off. 
I visited a close relative. And asked for a haircut(basic buzz).
Now. For reference. Moles are a common thing in my family. I have big and tiny ones all over. I no longer care for or about them as a beauty thing. 
One behind my ear had appeared. The relative asked if it had always been there or misshapen(i guess not? I don't look back there?)
She told me to get it checked out as skin cancer had been common in the family. That it could be deadly.
I calmly smiled and said i would. But I was a workaholic. Taking time off for doctor visit grated my nerves. 
I went in a little later. Had it looked at. A bit scared but mostly...miffed. "Just took a great job and already taking time off... Grrr..." 
Turns out. My head was fine. But my back....not so much. 
Biopsy later. And melanoma in the back. I guess? (Doctors kept talking about it but they didn't seem...sure...?) 
Now. I took the news rather stoically. And i couldn't do anything about it for a while anyways.
I went to work. And for a month i just kept living...
I didnt tell anyone.
A month later. I was rolling through California on i5. Somewhere in the socal area North of grapevine. 
It hit me. I could die. 
I was angry at first. "I can't die. I have so much going....i was supposed to DO something... I can't die"
"Really life. You get me homeless for parts of my life. You take my bestfriend. And after everything since i won't break you just cant let me win...fack you"
Then...i was sad...not because of death...but because unless it could be resolved quickly...if it meant longer treatment. ...i would refuse.
You'd think "this guy. He's crazy. Why? "
See. Im not suicidal. Im not. Im fairly happy. I have beat depression mostly. Suicidal once. But I was sad...because in my heart i knew who i was...that i would rather be remembered as who i was....i knew i juat wouldn't want it... I was sad for the ones i would have to explain my choice to. I was sad. Because no matter how hard i tried. I couldn't change my heart. If death shall take me...then it shall. 
For the first time in decade. I cried. I pulled over. Got out of the vehicle. Hit the ground. And bawled my eyes out. 
Now. The title of this isn't about me. As you can see. This happened years ago. So clearly. Im alive. I survived. 
You know something? When i finally told someone. It was the bestfriend i had made.  I called her. We both had night work and since i work unsupervised then i had no worries about myself in trouble.
You know what? Telling her...she freaked out. Which freaked me out. Hearing her cry. Made me freak out even more about it. 
A few years later. I have a scar on my back. And i have to go in again. For 3 other spots that suspicious.  
And i feel it. Not physically. Emotionally. The "i don't know enough yet. But i cant slow down to flip out. It's probly just malignant moles.."
My story. Isn't nearly as scary as the people in here. 
But i can say this. In my personal case. I appreciate the love from others when i opened up. But the panic. Oh god. That panicked me. 
Anyone who's close one comes to them...dont panic. It's ok to get upset. Or emotional. But please. They are probly scared too and possibly hardly holding it together. 
If this turns out to be worse then last time. But for now. I donr know. I am going to get it looked at. But with work and life in the way... I guess i will just have to wait til the doctor(hopefully this doctor will be a bit more straightforward) tells me. 
Wish me luck folks. (They better not take my tattoo!)</t>
        </is>
      </c>
      <c r="D8575" t="n">
        <v>1</v>
      </c>
      <c r="E8575" t="n">
        <v>3</v>
      </c>
      <c r="F8575">
        <f>HYPERLINK("https://www.reddit.com/r/cancer/comments/fst4yi/telling_your_loved_ones/")</f>
        <v/>
      </c>
      <c r="G8575" t="inlineStr">
        <is>
          <t>2020-03-31 22:04:11</t>
        </is>
      </c>
      <c r="H8575" t="inlineStr"/>
    </row>
    <row r="8576">
      <c r="A8576" t="inlineStr">
        <is>
          <t>fsu4qg</t>
        </is>
      </c>
      <c r="B8576" t="inlineStr">
        <is>
          <t>Post-chemo nausea</t>
        </is>
      </c>
      <c r="C8576" t="inlineStr">
        <is>
          <t>Does anyone else wanna throw up when they go to the hospital for a check up due to the SMELL of the hospital??? It seems to be a trigger for me. I can’t stand it and have to cover my nose with my shirt.</t>
        </is>
      </c>
      <c r="D8576" t="n">
        <v>1</v>
      </c>
      <c r="E8576" t="n">
        <v>2</v>
      </c>
      <c r="F8576">
        <f>HYPERLINK("https://www.reddit.com/r/cancer/comments/fsu4qg/postchemo_nausea/")</f>
        <v/>
      </c>
      <c r="G8576" t="inlineStr">
        <is>
          <t>2020-03-31 23:19:16</t>
        </is>
      </c>
      <c r="H8576" t="inlineStr"/>
    </row>
    <row r="8577">
      <c r="A8577" t="inlineStr">
        <is>
          <t>fsu6ww</t>
        </is>
      </c>
      <c r="B8577" t="inlineStr">
        <is>
          <t>My mom's boyfriend just died, I am surprised at how relieved we all are.</t>
        </is>
      </c>
      <c r="C8577" t="inlineStr">
        <is>
          <t>He was diagnosed with pancreatic cancer about 3 months ago and died the other day. He declined very rapidly and it was the worst case scenario. No surgery, no chemo, no radiation; we could only manage his pain and watch him die.
He was stubborn in a way and I think he was sick for a long time and didn't realise it. He was diagnosed with diabetes 1.5 years ago and that was very clearly the cancer.
My mom had to take 4 months off from work and just take care of him every day. She took care of him until she wasn't physically able to anymore. He died two mornings later.
She has hardly cried. I think she has had enough time to cry and pity herself. She's already done the hard part of thinking about all of it. Now she is just relieved and happy that he is no longer in pain. There was absolutely nothing she could do. She took care of him until he was on death's door.
Cancer truly is terrifying.</t>
        </is>
      </c>
      <c r="D8577" t="n">
        <v>1</v>
      </c>
      <c r="E8577" t="n">
        <v>7</v>
      </c>
      <c r="F8577">
        <f>HYPERLINK("https://www.reddit.com/r/cancer/comments/fsu6ww/my_moms_boyfriend_just_died_i_am_surprised_at_how/")</f>
        <v/>
      </c>
      <c r="G8577" t="inlineStr">
        <is>
          <t>2020-03-31 23:24:00</t>
        </is>
      </c>
      <c r="H8577" t="inlineStr"/>
    </row>
    <row r="8578">
      <c r="A8578" t="inlineStr">
        <is>
          <t>fsu833</t>
        </is>
      </c>
      <c r="B8578" t="inlineStr">
        <is>
          <t>I’m not sure but...</t>
        </is>
      </c>
      <c r="C8578" t="inlineStr">
        <is>
          <t>Hi guys,
So recently I noticed these bumps on my neck that were like rock hard. They were near the back where my spine is. Since I don’t want to risk myself because of COVID, do you guys think it might be cancer. I looked it up and the web said it might be some cancerous tumor. Is this true? Btw I am 11 with no underlying health conditions. My parents told me that if they were still there in a month, they would take me to a doctor. Any advice or suggestions on what it might be?</t>
        </is>
      </c>
      <c r="D8578" t="n">
        <v>1</v>
      </c>
      <c r="E8578" t="n">
        <v>1</v>
      </c>
      <c r="F8578">
        <f>HYPERLINK("https://www.reddit.com/r/cancer/comments/fsu833/im_not_sure_but/")</f>
        <v/>
      </c>
      <c r="G8578" t="inlineStr">
        <is>
          <t>2020-03-31 23:26:28</t>
        </is>
      </c>
      <c r="H8578" t="inlineStr"/>
    </row>
    <row r="8579">
      <c r="A8579" t="inlineStr">
        <is>
          <t>fsubrl</t>
        </is>
      </c>
      <c r="B8579" t="inlineStr">
        <is>
          <t>Chemo and vomiting like the exorcist</t>
        </is>
      </c>
      <c r="C8579" t="inlineStr">
        <is>
          <t>I had my first round of chemo today and now I’m vomiting like Regan in the exorcist. I took a Zofran and threw up 15 minutes later. I’m trying to drink ginger and I vomited that too. At this point, I’m having dry heaves because there is nothing in my stomach. Does anyone have any suggestions?</t>
        </is>
      </c>
      <c r="D8579" t="n">
        <v>1</v>
      </c>
      <c r="E8579" t="n">
        <v>14</v>
      </c>
      <c r="F8579">
        <f>HYPERLINK("https://www.reddit.com/r/cancer/comments/fsubrl/chemo_and_vomiting_like_the_exorcist/")</f>
        <v/>
      </c>
      <c r="G8579" t="inlineStr">
        <is>
          <t>2020-03-31 23:34:34</t>
        </is>
      </c>
      <c r="H8579" t="inlineStr"/>
    </row>
    <row r="8580">
      <c r="A8580" t="inlineStr">
        <is>
          <t>fsucbe</t>
        </is>
      </c>
      <c r="B8580" t="inlineStr">
        <is>
          <t>Debilitating Nerve Pain</t>
        </is>
      </c>
      <c r="C8580" t="inlineStr">
        <is>
          <t>My mother just went to a pain specialist. She finished her last chemo 6 weeks ago. She is experiencing the worst pain she has ever experienced in her life. 10/10 she would describe it as. Before her last chemo the highest her pain went was 6. She can't walk properly, and as she describes it, she is in constant searing pain and I'm worried she's going to be bedridden, because she just describes the pain is getting worse. Pain specialist said it was entirely nerve pain, even though she has a slight bulging disk.
We have tried almost every medicine - we are trying another one.
Doctors kept on saying she'll improve, now this pain specialists is saying he's not sure if she will. I'm pretty sure that's code for she won't. 
I am so scared, going through radiation, chemo, COVID 19 now this. We have to keep on going to hospitals as well, which sucks. It feels like everything just keeps on getting worse.</t>
        </is>
      </c>
      <c r="D8580" t="n">
        <v>1</v>
      </c>
      <c r="E8580" t="n">
        <v>7</v>
      </c>
      <c r="F8580">
        <f>HYPERLINK("https://www.reddit.com/r/cancer/comments/fsucbe/debilitating_nerve_pain/")</f>
        <v/>
      </c>
      <c r="G8580" t="inlineStr">
        <is>
          <t>2020-03-31 23:35:47</t>
        </is>
      </c>
      <c r="H8580" t="inlineStr"/>
    </row>
    <row r="8581">
      <c r="A8581" t="inlineStr">
        <is>
          <t>fswvn2</t>
        </is>
      </c>
      <c r="B8581" t="inlineStr">
        <is>
          <t>Double mastectomy unknowingly turned to brain cancer four years later....</t>
        </is>
      </c>
      <c r="C8581" t="inlineStr">
        <is>
          <t>It’ll be three years on April 17th that I found out the worst news of my life. I was sitting at home and the small business that my mom worked for called me. It was her boss on the phone, he proceeded to pass the phone to my mom. She said “Hi” and everything after that was a mumbled mess.. she passed the phone back to her boss. 
-side note-
(I have worked for this small business so I know the owner personally. And when I say small business, I mean small. The town we live in has a population of over a little of 500 people)
He then went on to say what had happened. She couldn’t remember anything. Their names, how to work the till, computer, etc. After our phone call ended I immediately left to drive where she worked. -I only lived about 20 minutes from here-
After I left I called the nurse hotline and told the gal her symptoms. She told me that I should call 911, because the symptoms I gave her basically said that she had a stroke/seizure. 
When I arrived at my moms work place she snapped out of what she called an “episode”
My boss and I asked her if she would, please, go to the hospital and get checked out. She reluctantly agreed.
We made our way to a Mayo Clinic. I’ll spare some boring details, but I left, came back and saw my mom in tears with the nurse beside her.
The first thing the nurse said was.. “Do you want to tell her or would you like me to?”
My mom broke down in tears and I was told she had brain cancer. 
There is a lot more to this story, but as of right now I cannot bring myself to write anymore. 
I will share the rest of my story to those who are interested.
Thank you ♥️</t>
        </is>
      </c>
      <c r="D8581" t="n">
        <v>1</v>
      </c>
      <c r="E8581" t="n">
        <v>13</v>
      </c>
      <c r="F8581">
        <f>HYPERLINK("https://www.reddit.com/r/cancer/comments/fswvn2/double_mastectomy_unknowingly_turned_to_brain/")</f>
        <v/>
      </c>
      <c r="G8581" t="inlineStr">
        <is>
          <t>2020-04-01 02:56:57</t>
        </is>
      </c>
      <c r="H8581" t="inlineStr"/>
    </row>
    <row r="8582">
      <c r="A8582" t="inlineStr">
        <is>
          <t>fsxjd1</t>
        </is>
      </c>
      <c r="B8582" t="inlineStr">
        <is>
          <t>How to manage the guilt of decision making?</t>
        </is>
      </c>
      <c r="C8582" t="inlineStr">
        <is>
          <t>A loved one was diagnosed with stage 4 pancreatic cancer last year. He was doing great on standard chemo, tumor markers were good and scan looked great. We then decided to switch to radiation as some what of a last step in treatment.
Long story short, radiation didn’t work, we started on a different chemo therapy which also didn’t work, clinical trial didn’t work. Never returned to the original chemo. Now we’re here in hospice and he’s suffering like I’ve never seen before.
Why didn’t we just stay on the chemo? That was working just fine for him. He could’ve just been maintained on that. I don’t understand why our oncologist never recommended this option to us. I should’ve looked more into the options and not relied so heavily on a general oncologist. Only after the fact we discovered lowering the potency of the first chemo was an option. We had one shot to get him back to health and we fucked it up. I should have done more</t>
        </is>
      </c>
      <c r="D8582" t="n">
        <v>1</v>
      </c>
      <c r="E8582" t="n">
        <v>4</v>
      </c>
      <c r="F8582">
        <f>HYPERLINK("https://www.reddit.com/r/cancer/comments/fsxjd1/how_to_manage_the_guilt_of_decision_making/")</f>
        <v/>
      </c>
      <c r="G8582" t="inlineStr">
        <is>
          <t>2020-04-01 03:50:12</t>
        </is>
      </c>
      <c r="H8582" t="inlineStr"/>
    </row>
    <row r="8583">
      <c r="A8583" t="inlineStr">
        <is>
          <t>fsyq9v</t>
        </is>
      </c>
      <c r="B8583" t="inlineStr">
        <is>
          <t>Chemo Questions</t>
        </is>
      </c>
      <c r="C8583" t="inlineStr">
        <is>
          <t>First few suas after chemo I felt pretty good. Recently Ive felt tired, sometimes get a little light headed, and Im getting nausea. Was I just lucky the first dew days?</t>
        </is>
      </c>
      <c r="D8583" t="n">
        <v>1</v>
      </c>
      <c r="E8583" t="n">
        <v>3</v>
      </c>
      <c r="F8583">
        <f>HYPERLINK("https://www.reddit.com/r/cancer/comments/fsyq9v/chemo_questions/")</f>
        <v/>
      </c>
      <c r="G8583" t="inlineStr">
        <is>
          <t>2020-04-01 05:20:55</t>
        </is>
      </c>
      <c r="H8583" t="inlineStr"/>
    </row>
    <row r="8584">
      <c r="A8584" t="inlineStr">
        <is>
          <t>fszfpa</t>
        </is>
      </c>
      <c r="B8584" t="inlineStr">
        <is>
          <t>A good resource for Rhabdomyosarcoma</t>
        </is>
      </c>
      <c r="C8584" t="inlineStr">
        <is>
          <t>I'm a parent to an 11 y/o Rhabdomyosarcoma survivor and I would like to share with this group a useful resource: Global RMS community, where members can see other people's journey in a structured way (plus interesting stats and all). To join you'll need to share your own story first. 
I hope this helps!</t>
        </is>
      </c>
      <c r="D8584" t="n">
        <v>1</v>
      </c>
      <c r="E8584" t="n">
        <v>0</v>
      </c>
      <c r="F8584">
        <f>HYPERLINK("https://www.reddit.com/r/cancer/comments/fszfpa/a_good_resource_for_rhabdomyosarcoma/")</f>
        <v/>
      </c>
      <c r="G8584" t="inlineStr">
        <is>
          <t>2020-04-01 06:06:56</t>
        </is>
      </c>
      <c r="H8584" t="inlineStr"/>
    </row>
    <row r="8585">
      <c r="A8585" t="inlineStr">
        <is>
          <t>ft2fb4</t>
        </is>
      </c>
      <c r="B8585" t="inlineStr">
        <is>
          <t>Dad passed from surgery for pancreatic cancer</t>
        </is>
      </c>
      <c r="C8585" t="inlineStr">
        <is>
          <t>My dad got the Whipple and it initially went well, but a week later he suffered serious complications and ultimately passed away. He went to an experienced surgeon and a great hospital in a major city and he and my mom seemed very comfortable with the surgeon’s level of experience. However, we also live near a hospital that specializes in this procedure and boasts a lower mortality rate. My parents apparently did not look at that hospital because they were happy with the one they went to. I think the ability to get the procedure done quickly was a factor as well. 
How do I deal with the regret of knowing what might have been if they’d just gone somewhere else? My dad was extremely smart and I am trying to trust his decision. 
I can make peace with the choice to get the surgery because pancreatic cancer is awful, but it just kills me to think he could be alive if we went elsewhere.</t>
        </is>
      </c>
      <c r="D8585" t="n">
        <v>1</v>
      </c>
      <c r="E8585" t="n">
        <v>6</v>
      </c>
      <c r="F8585">
        <f>HYPERLINK("https://www.reddit.com/r/cancer/comments/ft2fb4/dad_passed_from_surgery_for_pancreatic_cancer/")</f>
        <v/>
      </c>
      <c r="G8585" t="inlineStr">
        <is>
          <t>2020-04-01 08:57:53</t>
        </is>
      </c>
      <c r="H8585" t="inlineStr"/>
    </row>
    <row r="8586">
      <c r="A8586" t="inlineStr">
        <is>
          <t>ft2jim</t>
        </is>
      </c>
      <c r="B8586" t="inlineStr">
        <is>
          <t>I lost my partner of 10 years last night. I'm so lost and scared.</t>
        </is>
      </c>
      <c r="C8586" t="inlineStr">
        <is>
          <t>I'm in agony. The love of my life -- my partner of 10 years -- is gone. Severe, irreparable brain hemorrhage from his cancerous brain tumor. He was doing great on Saturday. 
He was full of life, joking around, totally mobile, going up and down the stairs. In the middle of the night he got up to pee, said he had a serious headache and collapsed. That was the last time I really saw my Andrew. 
He was on a ventilator for less than a day before his nuerosurgeon told us he would be in a vegetative state in less than 24 hours. I've had many conversations where he begged me not to let that happen to him, so me and his family knew what we had to do. We had to let him go. 
Dealing with all of this amidst COVID-19 is a special kind of hell. We weren't let into the hospital to see him until an hour before they pulled his ventilator. Once pulled, he struggled to breathe for an hour. He passed the second he arrived in bed at hospice care. 
Less than two days ago he was thriving. Now he's dead. I don't know how to deal with this. Fuck cancer forever for taking the best thing that's ever happened to me.</t>
        </is>
      </c>
      <c r="D8586" t="n">
        <v>1</v>
      </c>
      <c r="E8586" t="n">
        <v>30</v>
      </c>
      <c r="F8586">
        <f>HYPERLINK("https://www.reddit.com/r/cancer/comments/ft2jim/i_lost_my_partner_of_10_years_last_night_im_so/")</f>
        <v/>
      </c>
      <c r="G8586" t="inlineStr">
        <is>
          <t>2020-04-01 09:03:48</t>
        </is>
      </c>
      <c r="H8586" t="inlineStr"/>
    </row>
    <row r="8587">
      <c r="A8587" t="inlineStr">
        <is>
          <t>ft593z</t>
        </is>
      </c>
      <c r="B8587" t="inlineStr">
        <is>
          <t>Follow-up on loss of appetite and radiation</t>
        </is>
      </c>
      <c r="C8587" t="inlineStr">
        <is>
          <t>Hi there, a week or so ago I asked about losing your appetite while going through radiation and was glad to see I'm not the only one. I have a follow-up question because this is getting weird for me. Not only is my appetite down (I'm consistently able to get two small meals in but I'm guessing my overall daily calories are down nearly 1/2 of normal), but I can barely tolerate meat anymore. I normally eat poultry and seafood but when I think about eating it now, I feel almost a loathing of it, like I'm grossed out by it. In addition, there's really nothing I crave anymore (not even chocolate, which is a staple for me), which is making it hard to get myself worked up to eat a meal. If I didn't make myself eat, I might have one meal a day, but most days I never get hungry.
Anyway, as someone who has rarely ever had loss of appetite and never had a spontaneous dislike of a wide type of food, I wanted to see if anyone had similar experiences or thoughts on why this is happening. I'm also wondering if this is due (in part or wholly) to my tamoxifen, which I started taking a month before radiation. The loss of appetite started shortly after radiation started though, which is why I've linked the two.
Thanks and I hope everyone is doing as well as possible during the pandemic.</t>
        </is>
      </c>
      <c r="D8587" t="n">
        <v>1</v>
      </c>
      <c r="E8587" t="n">
        <v>3</v>
      </c>
      <c r="F8587">
        <f>HYPERLINK("https://www.reddit.com/r/cancer/comments/ft593z/followup_on_loss_of_appetite_and_radiation/")</f>
        <v/>
      </c>
      <c r="G8587" t="inlineStr">
        <is>
          <t>2020-04-01 11:06:53</t>
        </is>
      </c>
      <c r="H8587" t="inlineStr"/>
    </row>
    <row r="8588">
      <c r="A8588" t="inlineStr">
        <is>
          <t>ft5vjo</t>
        </is>
      </c>
      <c r="B8588" t="inlineStr">
        <is>
          <t>Do you have or know of "Helpful Person and Action Charts" spreadsheets or templates?</t>
        </is>
      </c>
      <c r="C8588" t="inlineStr">
        <is>
          <t>Immediately upon learning a loved one has cancer people ask "what can I do?" And the person who either has cancer or is the partner or proxy of the cancer patient upon reading or hearing "what can I do?" doesn't always immediately have full answers.
Having fielded a few questions this morning via email and phone I'm wondering if people who are further along their cancer journey (ours started Monday March 30 2020) have online spreadsheets or bookmarked URLs that would be helpful.  Local friends and relatives are easier to avail: "Could you shop for us?" and of course this is not the ideal time to receive a diagnosis of cancer -- there are greater limits on what faraway friends and relatives can do.
I am not soliciting money or donations. I am asking the /r/cancer braintrust for organization help, as the healthy members of my family are well-meaning but have executive dysfunctions, thanks.</t>
        </is>
      </c>
      <c r="D8588" t="n">
        <v>1</v>
      </c>
      <c r="E8588" t="n">
        <v>1</v>
      </c>
      <c r="F8588">
        <f>HYPERLINK("https://www.reddit.com/r/cancer/comments/ft5vjo/do_you_have_or_know_of_helpful_person_and_action/")</f>
        <v/>
      </c>
      <c r="G8588" t="inlineStr">
        <is>
          <t>2020-04-01 11:39:16</t>
        </is>
      </c>
      <c r="H8588" t="inlineStr"/>
    </row>
    <row r="8589">
      <c r="A8589" t="inlineStr">
        <is>
          <t>ft6u55</t>
        </is>
      </c>
      <c r="B8589" t="inlineStr">
        <is>
          <t>If you lost someone to cancer, what were some of the best ways you felt supported by loved ones?</t>
        </is>
      </c>
      <c r="C8589" t="inlineStr">
        <is>
          <t>A little background, my boyfriend's mom has stage 4 cancer.  
I love my boyfriend, but I know when he gets upset he tends to keep it to himself or he tries to numb the pain with marijuana.  I am afraid for when the time comes that his mom passes away because I don't want him to spiral or totally shut off his emotions.
So, even though he does not necessarily like to communicate how he's feeling, what would you say is the best way I can still be there for him and support him?  I don't want to be overbearing, but I also want to be there for him.</t>
        </is>
      </c>
      <c r="D8589" t="n">
        <v>1</v>
      </c>
      <c r="E8589" t="n">
        <v>2</v>
      </c>
      <c r="F8589">
        <f>HYPERLINK("https://www.reddit.com/r/cancer/comments/ft6u55/if_you_lost_someone_to_cancer_what_were_some_of/")</f>
        <v/>
      </c>
      <c r="G8589" t="inlineStr">
        <is>
          <t>2020-04-01 12:29:39</t>
        </is>
      </c>
      <c r="H8589" t="inlineStr"/>
    </row>
    <row r="8590">
      <c r="A8590" t="inlineStr">
        <is>
          <t>ft6wo9</t>
        </is>
      </c>
      <c r="B8590" t="inlineStr">
        <is>
          <t>First chemo scan</t>
        </is>
      </c>
      <c r="C8590" t="inlineStr">
        <is>
          <t>My dad just had his first CAT scan since starting his (chemo only) treatments. He's stage 4 non small cell adenocarcinoma. Scan showed mixed results-his lymph nodes are slightly smaller, but lung tumors slightly larger. No new freckles in his lungs, but the existing ones are also slightly larger. He's starting immunotherapy today, and doing another round of Chemo. Anyone else experience similar results after a first scan?</t>
        </is>
      </c>
      <c r="D8590" t="n">
        <v>1</v>
      </c>
      <c r="E8590" t="n">
        <v>2</v>
      </c>
      <c r="F8590">
        <f>HYPERLINK("https://www.reddit.com/r/cancer/comments/ft6wo9/first_chemo_scan/")</f>
        <v/>
      </c>
      <c r="G8590" t="inlineStr">
        <is>
          <t>2020-04-01 12:33:28</t>
        </is>
      </c>
      <c r="H8590" t="inlineStr"/>
    </row>
    <row r="8591">
      <c r="A8591" t="inlineStr">
        <is>
          <t>ft7iv7</t>
        </is>
      </c>
      <c r="B8591" t="inlineStr">
        <is>
          <t>Covid testing before scheduled surgery</t>
        </is>
      </c>
      <c r="C8591" t="inlineStr">
        <is>
          <t>Hi, just wanted to share an interesting experience. I have surgery scheduled for this Friday. Yesterday afternoon I received a call from my hospital saying that there was a new policy in place for scheduled surgeries and that  I needed to come in this morning for mandatory Covid testing. I took down the info, then immediately contacted my oncology team. Apparently the policy was so new, my team had not even been informed yet. 
I went in this morning for the test. The place was mostly empty. The actual test was a quick nasal swab. The staff performing the test were in full safety gear. I also wore a mask and only removed it (with clean hands) for a few seconds while they did the swab. Fortunately my dad had found some N95 masks in his garage that he was using for some sort of construction, so I wore an n95 with a cover over it. I have to go in for SAVI placement tomorrow, so I plan to wear the n95 again.
The only part about it that bothered me was one hallway that I had to walk through that had staff members on either side of the entrance, so you could not enter the hallway without going within a couple feet of them. I pointed the issue out to them and they were very dismissive. They each moved a few inches further away, but it was still not nearly far enough. I wrote an email to the hospital’s Covid help email address about this and they wrote back right away that they would address the issue. 
Anyway, I thought it was interesting and I had not heard about other hospitals doing this. Now I just wait for my results.</t>
        </is>
      </c>
      <c r="D8591" t="n">
        <v>1</v>
      </c>
      <c r="E8591" t="n">
        <v>3</v>
      </c>
      <c r="F8591">
        <f>HYPERLINK("https://www.reddit.com/r/cancer/comments/ft7iv7/covid_testing_before_scheduled_surgery/")</f>
        <v/>
      </c>
      <c r="G8591" t="inlineStr">
        <is>
          <t>2020-04-01 13:06:58</t>
        </is>
      </c>
      <c r="H8591" t="inlineStr"/>
    </row>
    <row r="8592">
      <c r="A8592" t="inlineStr">
        <is>
          <t>ft7xpv</t>
        </is>
      </c>
      <c r="B8592" t="inlineStr">
        <is>
          <t>Stepdad's Terminal Diagnosis</t>
        </is>
      </c>
      <c r="C8592" t="inlineStr">
        <is>
          <t>My stepdad has been battling cancer for the last 3 years but we received the devastating news recently that the oncologist predicts that he only has around 3 months to live. 
Throughout his whole cancer journey he has been adamant that he doesn't want to know any test results/diagnoses/prognoses etc so whilst my mum and I are aware of his prognosis, he isn't. He's always been such a positive person and he's no different at the minute. He's back home after a couple of weeks in hospital and he's sticking to his physio routine religiously and keeps talking about getting back on his feet to walk the dog again etc. Mentally for me though that makes things very difficult because it absolutely doesn't feel real at the moment, it really feels like he's on the mend and things will eventually go back to normal. In my head I keep questioning whether it's right to tell him or not, I wouldn't want to destroy his positivity and have him live a miserable last few months, but on the other hand I don't want him to feel like we've betrayed him by leaving it a long time to tell him (which we will have to do at some point). Even things like how he will get paid by work (especially in the current climate) as if he speaks with them they will have the impression that he will be back at work one day whereas in reality there may be different procedures which need to be followed. 
I've never been faced with death before (i.e. I still have all of my grandparents alive etc) so that is something which scares me. I know a lot of the responsibility will naturally fall on my mum but I want to be able to support her all the way through. We have had a care package arranged for us whereby two carers will come four times a day to begin with and I'm hoping that eventually they will be able to support us as well as him. 
I'm open enough to say here that I'm struggling with things, mainly because I can't accept and acknowledge the situation but it is still playing on in the back of my mind all day. I'm also fearful that the longer I am unable to accept the situation, the harder and faster it will hit me when things start to deteriorate. I did speak with one of the Macmillan nurses over the phone this morning which was nice to be able to talk to someone who can offer direct support, but I wanted to also connect here and see if anyone else has faced a similar experience and may be able to offer advice</t>
        </is>
      </c>
      <c r="D8592" t="n">
        <v>1</v>
      </c>
      <c r="E8592" t="n">
        <v>1</v>
      </c>
      <c r="F8592">
        <f>HYPERLINK("https://www.reddit.com/r/cancer/comments/ft7xpv/stepdads_terminal_diagnosis/")</f>
        <v/>
      </c>
      <c r="G8592" t="inlineStr">
        <is>
          <t>2020-04-01 13:28:38</t>
        </is>
      </c>
      <c r="H8592" t="inlineStr"/>
    </row>
    <row r="8593">
      <c r="A8593" t="inlineStr">
        <is>
          <t>ft7yon</t>
        </is>
      </c>
      <c r="B8593" t="inlineStr">
        <is>
          <t>How common is it for someone with stage 4 cancer to just fall asleep and not wake up again?</t>
        </is>
      </c>
      <c r="C8593" t="inlineStr">
        <is>
          <t>My dad has stage 4 cancer and has been falling into these very deep sleeps lately. He’s on a lot of pain medication so not sure if that’s it, but we have been almost unable to wake him up a couple of times recently. We don’t know if the cancer has progressed to any organs yet, other than his lungs (he has very large tumors there).
Is it possible for cancer to kill people by just causing them to fall into a deep sleep and not wake up?</t>
        </is>
      </c>
      <c r="D8593" t="n">
        <v>1</v>
      </c>
      <c r="E8593" t="n">
        <v>8</v>
      </c>
      <c r="F8593">
        <f>HYPERLINK("https://www.reddit.com/r/cancer/comments/ft7yon/how_common_is_it_for_someone_with_stage_4_cancer/")</f>
        <v/>
      </c>
      <c r="G8593" t="inlineStr">
        <is>
          <t>2020-04-01 13:30:01</t>
        </is>
      </c>
      <c r="H8593" t="inlineStr"/>
    </row>
    <row r="8594">
      <c r="A8594" t="inlineStr">
        <is>
          <t>ft87wf</t>
        </is>
      </c>
      <c r="B8594" t="inlineStr">
        <is>
          <t>Mom has cancer</t>
        </is>
      </c>
      <c r="C8594" t="inlineStr">
        <is>
          <t>Hi,
I need to rant. About a month ago, my (45f) mom (70) was diagnosed with type 1b bladder cancer. she is scheduled to get her bladder removed on the 20th. She lives in CT and I live in MA and due to this virus, I can't visit her. I keep reading she has something like 5 to 10 years to live, even though bladder removal appears to get rid of the cancer, assuming it does turn out to be type 1B when they examine the removed tissue. (it's very high up so it's hard to tell at this time if it truly is 1B.) I am scared. this isolation thing in and of itself is depressing and added to that is the idea my mom is sick and I can't see her. if there is a silver lining, it's that when I visited her a few weeks ago, before everyone was quarantined, I got to get a lot of stuff off my chest that I have been carrying since I was about 12. I am in need of support. My friends are sending me virtual support and that helps, but my sister's husband lost his first wife to cancer and he told me that my mom will overcome cancer, but then die of complications and that made me really upset. how does he know? they have different types of cancer.</t>
        </is>
      </c>
      <c r="D8594" t="n">
        <v>1</v>
      </c>
      <c r="E8594" t="n">
        <v>7</v>
      </c>
      <c r="F8594">
        <f>HYPERLINK("https://www.reddit.com/r/cancer/comments/ft87wf/mom_has_cancer/")</f>
        <v/>
      </c>
      <c r="G8594" t="inlineStr">
        <is>
          <t>2020-04-01 13:43:16</t>
        </is>
      </c>
      <c r="H8594" t="inlineStr"/>
    </row>
    <row r="8595">
      <c r="A8595" t="inlineStr">
        <is>
          <t>ft9faf</t>
        </is>
      </c>
      <c r="B8595" t="inlineStr">
        <is>
          <t>Am I a bad person?</t>
        </is>
      </c>
      <c r="C8595" t="inlineStr">
        <is>
          <t>My mother passed away of breast cancer 16 years ago and my relationship with my dad hasn't ever been the best to say the least. They weren't together when she died and my mother had remarried.
But I haven't thought about her in a long long time. The last few years it's only been around the time of year of her death.
Today I received a package in the mail with about 50 pictures of me and her when I was a child, and I have no idea who sent it. I have a hunch though. But it made me realize I haven't thought about her as much and I feel really bad about it.
I'm well aware that all pains ease with time, but I really guilty about this. Am I a bad person?</t>
        </is>
      </c>
      <c r="D8595" t="n">
        <v>1</v>
      </c>
      <c r="E8595" t="n">
        <v>5</v>
      </c>
      <c r="F8595">
        <f>HYPERLINK("https://www.reddit.com/r/cancer/comments/ft9faf/am_i_a_bad_person/")</f>
        <v/>
      </c>
      <c r="G8595" t="inlineStr">
        <is>
          <t>2020-04-01 14:48:04</t>
        </is>
      </c>
      <c r="H8595" t="inlineStr"/>
    </row>
    <row r="8596">
      <c r="A8596" t="inlineStr">
        <is>
          <t>ftbelx</t>
        </is>
      </c>
      <c r="B8596" t="inlineStr">
        <is>
          <t>Just found out I have stage 2 colorectal cancer. I'm 30.</t>
        </is>
      </c>
      <c r="C8596" t="inlineStr">
        <is>
          <t>How does this shit even happen? 2 weeks ago I was worried about makeup for my under eye circles and that my teeth weren't straight enough...
I went to the hospital 2 Thursdays ago because I was having an alarming amount of GI bleeding. Spent 2 nights in the hospital, had the following performed: sigmoidoscopy, colonoscopy, 2 CT scans, 1 MRI, and a blood transfusion. Left knowing that there was a tumor attached to the wall of my rectum that would need to be removed.
Went back for out-patient surgery last Tuesday. The doctor didn't talk to me personally, but my husband. There was not 1 tumor but many; 2 large ones and numerous smaller ones surrounding. He got very large samples out of the larger ones and burned off the smaller ones. The tumor had penetrated into the muscle near my sphincter, so there was no chance they could completely excise it.
Woke up to a phone call from the surgeon today. He diagnosed one of the tumors as T4, putting me at "at least grade 2." He did not explain what T4 meant, so my husband went out to walk our dog thinking I had stage 4 cancer. Definitely radiation therapy in my near future, possibly chemo as well. I have no idea what either of those things MEAN. There is no history of cancer in my family.
I have so many questions. Is this my fault? How much will treatment hurt? Can I still have children? Any advice would be much appreciated. (I see the oncologist on the 7th.)</t>
        </is>
      </c>
      <c r="D8596" t="n">
        <v>1</v>
      </c>
      <c r="E8596" t="n">
        <v>14</v>
      </c>
      <c r="F8596">
        <f>HYPERLINK("https://www.reddit.com/r/cancer/comments/ftbelx/just_found_out_i_have_stage_2_colorectal_cancer/")</f>
        <v/>
      </c>
      <c r="G8596" t="inlineStr">
        <is>
          <t>2020-04-01 16:41:30</t>
        </is>
      </c>
      <c r="H8596" t="inlineStr"/>
    </row>
    <row r="8597">
      <c r="A8597" t="inlineStr">
        <is>
          <t>ftchfb</t>
        </is>
      </c>
      <c r="B8597" t="inlineStr">
        <is>
          <t>i think my Grand Mother is developing/has cancer but im not sure.</t>
        </is>
      </c>
      <c r="C8597" t="inlineStr">
        <is>
          <t>(throwaway) The other day, about two days ago i was checking my family mailbox as usual and I noticed a letter from the Cancer Research Society and it was adressed to my Grandmother with a note that said "Please open immediately"
Seeing that kinda scares me but shes on vacation and wont get back for 2 months so i dont even know whats inside.. i iust dont want her to come home from a vacation only to get such bad news :( im so sad</t>
        </is>
      </c>
      <c r="D8597" t="n">
        <v>1</v>
      </c>
      <c r="E8597" t="n">
        <v>4</v>
      </c>
      <c r="F8597">
        <f>HYPERLINK("https://www.reddit.com/r/cancer/comments/ftchfb/i_think_my_grand_mother_is_developinghas_cancer/")</f>
        <v/>
      </c>
      <c r="G8597" t="inlineStr">
        <is>
          <t>2020-04-01 17:46:20</t>
        </is>
      </c>
      <c r="H8597" t="inlineStr"/>
    </row>
    <row r="8598">
      <c r="A8598" t="inlineStr">
        <is>
          <t>ftcv3r</t>
        </is>
      </c>
      <c r="B8598" t="inlineStr">
        <is>
          <t>skin post chemo and radiation treatments</t>
        </is>
      </c>
      <c r="C8598" t="inlineStr">
        <is>
          <t>I went through chemo twice a month for 6 months total and then radiation in the middle of my chest for about 2 and a half weeks. I'm about 1 year post OP for chemo and radiation.
Lately my skin ALWAYS feels like it has a mild sun burn. Anyone else skin like this? I don't join hodgkin lymphoma groups (the cancer I went through) for my own mental health/wellness post cancer crisis. 
I see my dermatologist sometime this month and I was going to ask her if she had any suggestions. I don't use any moisturizer or makeup product on my face regularly now (I do know the treatments made me skin super sensitive so I'm basically too scared to try to apply anything to my skin)</t>
        </is>
      </c>
      <c r="D8598" t="n">
        <v>1</v>
      </c>
      <c r="E8598" t="n">
        <v>2</v>
      </c>
      <c r="F8598">
        <f>HYPERLINK("https://www.reddit.com/r/cancer/comments/ftcv3r/skin_post_chemo_and_radiation_treatments/")</f>
        <v/>
      </c>
      <c r="G8598" t="inlineStr">
        <is>
          <t>2020-04-01 18:10:06</t>
        </is>
      </c>
      <c r="H8598" t="inlineStr"/>
    </row>
    <row r="8599">
      <c r="A8599" t="inlineStr">
        <is>
          <t>ftcymn</t>
        </is>
      </c>
      <c r="B8599" t="inlineStr">
        <is>
          <t>Am I the only one like this?</t>
        </is>
      </c>
      <c r="C8599" t="inlineStr">
        <is>
          <t>Its been a year and half since I stopped taking chemo, I survived cancer, at first I was happy but ever since every day my mind doesnt go through a day without thinking if my cancer will ever come back, I have many flashbacks of how painful everything was, how I felt when my hair started falling off, how much the people I love were hurting at that time. My mind doesn’t leave me alone and I can’t seem to forget about it easily. I want to tell someone how I’m feeling but I don’t want to bother my parents or boyfriend with it cause they were with me the whole time when it all happened, I don’t want them to think I’m sad everyday. Does anyone else overthink like this of their hard past they have had?</t>
        </is>
      </c>
      <c r="D8599" t="n">
        <v>1</v>
      </c>
      <c r="E8599" t="n">
        <v>3</v>
      </c>
      <c r="F8599">
        <f>HYPERLINK("https://www.reddit.com/r/cancer/comments/ftcymn/am_i_the_only_one_like_this/")</f>
        <v/>
      </c>
      <c r="G8599" t="inlineStr">
        <is>
          <t>2020-04-01 18:16:06</t>
        </is>
      </c>
      <c r="H8599" t="inlineStr"/>
    </row>
    <row r="8600">
      <c r="A8600" t="inlineStr">
        <is>
          <t>ftd39v</t>
        </is>
      </c>
      <c r="B8600" t="inlineStr">
        <is>
          <t>Mom diagnosed with Lung Cancer - Seeking advise</t>
        </is>
      </c>
      <c r="C8600" t="inlineStr">
        <is>
          <t>Hi all,
Unfortunately my mother had a biopsy performed and came back positive for a cancer tumor in her left lung. They think it’s:
Non-small cell cancer Adenocarcinoma
They also think her left lung is where the cancer originates(don’t believe it’s spread). However, all of this isn’t 100% till she sees an oncologist, which she is doing next, and they perform a PET scan. I'm assuming that will also be where they diagnose the stage of her cancer as well.
I’m posting in hopes of making sure we’re doing everything by the book or if we’re missing something/open to feedback/advice.
While she sees a local oncologist we’re considering getting her a second opinion at another hospital/oncologist with the idea being to get more eyes/brains on her situation.
Thanks!</t>
        </is>
      </c>
      <c r="D8600" t="n">
        <v>1</v>
      </c>
      <c r="E8600" t="n">
        <v>2</v>
      </c>
      <c r="F8600">
        <f>HYPERLINK("https://www.reddit.com/r/cancer/comments/ftd39v/mom_diagnosed_with_lung_cancer_seeking_advise/")</f>
        <v/>
      </c>
      <c r="G8600" t="inlineStr">
        <is>
          <t>2020-04-01 18:23:44</t>
        </is>
      </c>
      <c r="H8600" t="inlineStr"/>
    </row>
    <row r="8601">
      <c r="A8601" t="inlineStr">
        <is>
          <t>fte0ob</t>
        </is>
      </c>
      <c r="B8601" t="inlineStr">
        <is>
          <t>Testicular cancer prognosis</t>
        </is>
      </c>
      <c r="C8601" t="inlineStr">
        <is>
          <t>I’m not sure if this is the right place to ask, and if not Please let me know and any guidance would be greatly appreciated.
One of my good friends ex-husband recently told her he was diagnosed with testicular cancer. The problem is he A.) is very disinterested in his heath / ignorant, and B.) downplays everything. He told her the tumor was not that big of a deal (it required a size able abdominal incision to remove) and he said it has metastasized to his abdominal lymph nodes. He starts chemo next week, and is undergoing 8 hour rounds for 5 days straight, with two weeks off and then repeat, for 6 total sessions.
Now after the back story the basis of the question is this: with the little info he provided, what kind of general idea about prognosis can be drawn? That chemo seems excessively aggressive for the picture he is painting, and he did admit that his oncologist told him he’s going to see a lot of significant physical effects quickly, that he cannot work, drive or otherwise during the entirety of his treatment. 
Any input, thoughts or advice would be greatly appreciated! She has a daughter with him and is primarily concerned how aggressive she should be about pushing for a living will / directives regarding her, since he is disinterested in discussing it and keeps saying his doctor told him he’ll be fine.</t>
        </is>
      </c>
      <c r="D8601" t="n">
        <v>1</v>
      </c>
      <c r="E8601" t="n">
        <v>4</v>
      </c>
      <c r="F8601">
        <f>HYPERLINK("https://www.reddit.com/r/cancer/comments/fte0ob/testicular_cancer_prognosis/")</f>
        <v/>
      </c>
      <c r="G8601" t="inlineStr">
        <is>
          <t>2020-04-01 19:20:27</t>
        </is>
      </c>
      <c r="H8601" t="inlineStr"/>
    </row>
    <row r="8602">
      <c r="A8602" t="inlineStr">
        <is>
          <t>fteydk</t>
        </is>
      </c>
      <c r="B8602" t="inlineStr">
        <is>
          <t>Conflicted about going home to family member on chemo</t>
        </is>
      </c>
      <c r="C8602" t="inlineStr">
        <is>
          <t>Hey everyone, I'm really sorry if this isn't the right place for this, but I'm looking for some opinions and thought this might be an okay place to start.   My father has stage 4 cancer and is currently completing chemo treatments.   He's doing really well actually and his WBC count is within normal range at the moment, which I'm concerned is giving him a false sense of security.   I don't have an apartment right now as I've been doing clinical rotations for the past year in various locations, so I had originally been planning to live at home for a couple months until I pass my boards and work once I'm licensed. I still want to go home and spend time with my dad as we have no idea how much time he might have left.   I finished my last rotation (outpatient) 2.5 weeks ago and to my knowledge I have had no contact with any people who tested positive for COVID-19.  
I've been staying inside at my brother's apartment for 14 days now by myself with no symptoms developing and only 2 contacts with delivery people for food.  I've sanitized everything I brought into the apartment from outside, put clothes immediately in the washing machine the one time I left the house to get gas, and have been washing my hands and cleaning frequently touched surfaces religiously.  Would you, as a random internet stranger, feel comfortable going home at this point? What precautions, if any, would you take once you arrived home if you do? I know I have to make this decision for myself but I would love some input from those who may understand a little better than my friends do at the moment.  Thank you for your thoughts and stay well 💜</t>
        </is>
      </c>
      <c r="D8602" t="n">
        <v>1</v>
      </c>
      <c r="E8602" t="n">
        <v>7</v>
      </c>
      <c r="F8602">
        <f>HYPERLINK("https://www.reddit.com/r/cancer/comments/fteydk/conflicted_about_going_home_to_family_member_on/")</f>
        <v/>
      </c>
      <c r="G8602" t="inlineStr">
        <is>
          <t>2020-04-01 20:21:09</t>
        </is>
      </c>
      <c r="H8602" t="inlineStr"/>
    </row>
    <row r="8603">
      <c r="A8603" t="inlineStr">
        <is>
          <t>ftfy7x</t>
        </is>
      </c>
      <c r="B8603" t="inlineStr">
        <is>
          <t>Update on situation.</t>
        </is>
      </c>
      <c r="C8603" t="inlineStr">
        <is>
          <t>First, thanks for all the positive support on my first post. In case you didn’t see my first post, I’m an otherwise healthy 15 year old male that just so happens to have cancer. I can’t remember everything but I think it’s stage two type A Hodgkin lymphoma. 
So two days ago I found out I need to get chemo, which sucks. I’m not as scared as I thought I would be. I’m just terrified of vomiting and my hair is such a big part of ig my identity that losing it will be pretty sucky. The other thing I’m not looking forward to is either getting a port or a pick (I think that’s what’s called).
 I don’t really have anything like a question to go along with this I just wanted to “talk” about it, because as much as I don’t like talking about it it really does help. Any support is welcome though :)</t>
        </is>
      </c>
      <c r="D8603" t="n">
        <v>1</v>
      </c>
      <c r="E8603" t="n">
        <v>0</v>
      </c>
      <c r="F8603">
        <f>HYPERLINK("https://www.reddit.com/r/cancer/comments/ftfy7x/update_on_situation/")</f>
        <v/>
      </c>
      <c r="G8603" t="inlineStr">
        <is>
          <t>2020-04-01 21:34:08</t>
        </is>
      </c>
      <c r="H8603" t="inlineStr"/>
    </row>
    <row r="8604">
      <c r="A8604" t="inlineStr">
        <is>
          <t>ftgl04</t>
        </is>
      </c>
      <c r="B8604" t="inlineStr">
        <is>
          <t>Dad diagnosed today</t>
        </is>
      </c>
      <c r="C8604" t="inlineStr">
        <is>
          <t>My dad and I have a very complicated relationship, distant in recent years. His abuse has become worse over the last several months and therefore my connection to him emotionally has been almost all but severed.
Today he was diagnosed with colon cancer that's already spread. Tomorrow we find out how much further it's spread, but based on how this has gone so far we're not optimistic (he's become very sick very quickly, he had xrays this morning and our doctor phoned one hour later that him and my mother were to come see him right away...and our doctor had tears in his eyes when reviewing the results and potential how bad it's spread). 
At first, I was completely numb. When he sat down and told my sibling and I, I took in the news, understood the next steps, and my first thought, believe it or not, was "god how am I going to juggle this and work?" My company laid off over half our employees yesterday, and I was one of the lucky ones to stay. That was my first thought. Then I took a shower. Then I took a nap. My brain just wouldn't process what was going on. 
I've finally broken down now. I've been sobbing for hours. I spent the evening with my dad and he said some things about how much he loves me and how sorry he is for how horrible he's been the past few months, I helped put him to bed and got him everything he needed to sleep for a bit, and then every emotion just came crashing down.
I know he's so scared. I don't want him to suffer. He doesn't deserve that.  
I'm so scared he's going to spend whatever time he has left in pain.   
I'm so scared of all of this happening during the current world health situation.   
I'm so scared of the mental and emotional toll this will take on my mom, who has her own health problems as well.   
I'm so scared that, even though I'm living at home right now due to world health situation, that I won't be able to be there for him at all times when he needs support.   
I'm so scared that on top of this I'm going to lose my job during a time that they're shrinking us down to a skeleton staff and keeping only those who have the ability to work round the clock.  
I'm so scared I wasn't a good daughter to him recently because I just didn't know.   
I'm so scared that I still won't be a good daughter, because I just don't know how to handle this. 
I'm just so scared.</t>
        </is>
      </c>
      <c r="D8604" t="n">
        <v>1</v>
      </c>
      <c r="E8604" t="n">
        <v>1</v>
      </c>
      <c r="F8604">
        <f>HYPERLINK("https://www.reddit.com/r/cancer/comments/ftgl04/dad_diagnosed_today/")</f>
        <v/>
      </c>
      <c r="G8604" t="inlineStr">
        <is>
          <t>2020-04-01 22:24:03</t>
        </is>
      </c>
      <c r="H8604" t="inlineStr"/>
    </row>
    <row r="8605">
      <c r="A8605" t="inlineStr">
        <is>
          <t>ftgn3c</t>
        </is>
      </c>
      <c r="B8605" t="inlineStr">
        <is>
          <t>Bruise from bleomycin over a year old?</t>
        </is>
      </c>
      <c r="C8605" t="inlineStr">
        <is>
          <t>[https://imgur.com/pHYBwaN](https://imgur.com/pHYBwaN)
I went through 6 months of ABVD for hodgkin's  lymphoma and finished a little over a year ago.  Before they gave me bleomycin, they injected a small amount into my forearm to check for an allergic reaction and nothing happened within the 15 minutes they waited, but a bruise-like mark developed there  afterwards.  It has faded some but still looks like a permanent bruise  20 months later (not sure how well it shows up in the linked photo).  
I am not bothered by it at all, I was just wondering if anyone else has experienced this?</t>
        </is>
      </c>
      <c r="D8605" t="n">
        <v>1</v>
      </c>
      <c r="E8605" t="n">
        <v>1</v>
      </c>
      <c r="F8605">
        <f>HYPERLINK("https://www.reddit.com/r/cancer/comments/ftgn3c/bruise_from_bleomycin_over_a_year_old/")</f>
        <v/>
      </c>
      <c r="G8605" t="inlineStr">
        <is>
          <t>2020-04-01 22:28:48</t>
        </is>
      </c>
      <c r="H8605" t="inlineStr"/>
    </row>
    <row r="8606">
      <c r="A8606" t="inlineStr">
        <is>
          <t>fthchi</t>
        </is>
      </c>
      <c r="B8606" t="inlineStr">
        <is>
          <t>Poem</t>
        </is>
      </c>
      <c r="C8606" t="inlineStr">
        <is>
          <t>Roses are red  
Violets are blue  
This is what dying feels like  
I don't like it.</t>
        </is>
      </c>
      <c r="D8606" t="n">
        <v>1</v>
      </c>
      <c r="E8606" t="n">
        <v>1</v>
      </c>
      <c r="F8606">
        <f>HYPERLINK("https://www.reddit.com/r/cancer/comments/fthchi/poem/")</f>
        <v/>
      </c>
      <c r="G8606" t="inlineStr">
        <is>
          <t>2020-04-01 23:28:55</t>
        </is>
      </c>
      <c r="H8606" t="inlineStr"/>
    </row>
    <row r="8607">
      <c r="A8607" t="inlineStr">
        <is>
          <t>fthyac</t>
        </is>
      </c>
      <c r="B8607" t="inlineStr">
        <is>
          <t>Dad was recently diagnosed with glioblastoma multiforme, is considering postponing rad/chemo due to the coronavirus. How do you weigh these risks?</t>
        </is>
      </c>
      <c r="C8607" t="inlineStr">
        <is>
          <t>I believe that the treatment plan we have for him could add years to his life, when this prognosis has an average expectancy of 13 months. He's scheduled for Gamme Knife Radiation, followed by 6 weeks of standard care rad/chemo.
For anyone unfamiliar, this tumor is called "the terminator". It is the most aggressive brain cancer, and if untreated, could return in 3 - 5 months. We don't know yet when the coronavirus will be under control in the States, but it's not looking good. 
We have him taking supplements to slow the growth, but it took me weeks to talk him into at least the minimum chemo. I'm not willing to bet his life on the supplements alone, and risking that the tumor come back. What if it's inoperable? How do you weigh those odds?</t>
        </is>
      </c>
      <c r="D8607" t="n">
        <v>1</v>
      </c>
      <c r="E8607" t="n">
        <v>3</v>
      </c>
      <c r="F8607">
        <f>HYPERLINK("https://www.reddit.com/r/cancer/comments/fthyac/dad_was_recently_diagnosed_with_glioblastoma/")</f>
        <v/>
      </c>
      <c r="G8607" t="inlineStr">
        <is>
          <t>2020-04-02 00:22:42</t>
        </is>
      </c>
      <c r="H8607" t="inlineStr"/>
    </row>
    <row r="8608">
      <c r="A8608" t="inlineStr">
        <is>
          <t>fti5c8</t>
        </is>
      </c>
      <c r="B8608" t="inlineStr">
        <is>
          <t>I miss my mom...</t>
        </is>
      </c>
      <c r="C8608" t="inlineStr">
        <is>
          <t>Its been a little over 2 weeks since she passed away and I can't stop thinking about her. I miss hearing her voice when I called her, all the laughs we had, the food she would cook for me when I was home... Life is just not the same without her. It won't ever be the same.. She was best friend.. Why did she have to leave me?? I honestly don't get it! I fucking hate cancer!! Just hearing that word makes me sick! If you are reading this and you have cancer I am deeply sorry! I seriously wish nothing but the best for every single one of you. I hope all of you make it through and live very long and happy lives!</t>
        </is>
      </c>
      <c r="D8608" t="n">
        <v>1</v>
      </c>
      <c r="E8608" t="n">
        <v>0</v>
      </c>
      <c r="F8608">
        <f>HYPERLINK("https://www.reddit.com/r/cancer/comments/fti5c8/i_miss_my_mom/")</f>
        <v/>
      </c>
      <c r="G8608" t="inlineStr">
        <is>
          <t>2020-04-02 00:40:07</t>
        </is>
      </c>
      <c r="H8608" t="inlineStr"/>
    </row>
    <row r="8609">
      <c r="A8609" t="inlineStr">
        <is>
          <t>fticjn</t>
        </is>
      </c>
      <c r="B8609" t="inlineStr">
        <is>
          <t>Urgent Ewing Sarcoma Info</t>
        </is>
      </c>
      <c r="C8609" t="inlineStr">
        <is>
          <t>Hello all!
My cousin (22)  just got diagnosed a few days ago with ewing sarcoma after she fell and broke her thigh. Seems the cancer has reached the pelvic bone, and with the whole corona treatment is taking forever. As well as treatment location options are very limited. The problem we are running in to is she is a Jordanian citizen and just got back from finishing her degree in Germany.
&amp;amp;#x200B;
My cousin has been having pain in her leg for little over a year now to the point she was limping. She broke her leg February 29 in another middle eastern country, traveled back to Jordan to get treatment there and they have dismissed her to go home while they find out if she had cancer or not. (they have not braced the leg to my understanding. She is in immense pain and losing weight). The doctors took about a month to finalize it was cancer and said her pelvic bone is thin. Talks of replacing the pelvic bone have been doing around. All while she is at home, in a diaper, for weeks. Every time she needs to go in for tests her mom and younger sister carry her. 
The concern I have is my grandfather went to the same cancer center in jordan and contracted all kinds of sicknesses and diseases while fighting stage 4 cancer. They have made countless medical mistakes as well, also telling us he is old just go home. Also they are famous for doing unneeded dramatic surgeries uncalled for the situation. I have no doubt if they replace her bone or pelvic they will screw it up. Anyways I am here in America trying to find recourses for her and help out as much as I can. 
I am looking into possible treatment in Europe specifically Scandinavia (when corona situation subsides). I was wondering if anyone has experience or knowledge in this? What process or resources should I be contacting? Is there programs where a second opinion doctor that can weigh in on the test results etc?
&amp;amp;#x200B;
If there is any recourses you may find helpful PLEASE send them my way.
&amp;amp;#x200B;
Sorry if this post is all over the place. There is a lot of frustration within the whole situation and I am over whelmed with where to start looking, and how to go about this. Anything helps. Thank you in advance! :)</t>
        </is>
      </c>
      <c r="D8609" t="n">
        <v>1</v>
      </c>
      <c r="E8609" t="n">
        <v>0</v>
      </c>
      <c r="F8609">
        <f>HYPERLINK("https://www.reddit.com/r/cancer/comments/fticjn/urgent_ewing_sarcoma_info/")</f>
        <v/>
      </c>
      <c r="G8609" t="inlineStr">
        <is>
          <t>2020-04-02 00:58:30</t>
        </is>
      </c>
      <c r="H8609" t="inlineStr"/>
    </row>
    <row r="8610">
      <c r="A8610" t="inlineStr">
        <is>
          <t>ftj4gs</t>
        </is>
      </c>
      <c r="B8610" t="inlineStr">
        <is>
          <t>My partner has stomach cancer</t>
        </is>
      </c>
      <c r="C8610" t="inlineStr">
        <is>
          <t>Doctors had said it hasnt spread over the body , so after 4 chemoterapy sesions, "just for prevention to cancer dont spreading" they say, she will have a removal stomach surgeon. Then two more seasons of chemoterapy, and she will beat the illness. Thats the theory,  after she was done plenty of tests just in order to check that cancer hasn't spread. Wich hasnt.
She dosen't really fear the death.  But she fears the pain. Its just not the same dying without pain than dying after suffering lost of pain. I feel the same way about that. We are now after 2 chemo sesions, next thusrday she'll have the third one. 
First one was fine. She has prescribed a fentanyl patch to prevent pain, its working .
But after the second sesion, she feels without any energy, feels tired, its close to all day on the bed.
Yesterday night she wahsed her hair. I go to sleep early everyday.  This morning i saw most of her hair is gone. My heart is broken because seeing her having this though time. I told her i can make love to her if she wish. I want her feeling loved and feeling i still  feel attracted to her ( wich is true because i love her). 
She is a good person and i feel really bad about it. I'd prefer me having that than her. I deserve it more than her. I've praid to God to me having that and not her. God isn't giving me that
I don't really know why i am writting this. Pray for her if you believe, please
I just hope all the suffering has some sense. That she will be healthy.</t>
        </is>
      </c>
      <c r="D8610" t="n">
        <v>1</v>
      </c>
      <c r="E8610" t="n">
        <v>15</v>
      </c>
      <c r="F8610">
        <f>HYPERLINK("https://www.reddit.com/r/cancer/comments/ftj4gs/my_partner_has_stomach_cancer/")</f>
        <v/>
      </c>
      <c r="G8610" t="inlineStr">
        <is>
          <t>2020-04-02 02:09:13</t>
        </is>
      </c>
      <c r="H8610" t="inlineStr"/>
    </row>
    <row r="8611">
      <c r="A8611" t="inlineStr">
        <is>
          <t>ftkuwt</t>
        </is>
      </c>
      <c r="B8611" t="inlineStr">
        <is>
          <t>Trying to find info about second recurrence (endometrial cancer to sigmoid colon)</t>
        </is>
      </c>
      <c r="C8611" t="inlineStr">
        <is>
          <t>PET scan came back Tuesday with definite recurrence in pelvic region, sigmoid colon, and possibly spleen. I'm trying to find info about such a recurrence and the likelihood it's a new cancer. My first recurrence was to the liver over two years ago which required big surgery and chemo after. The pelvic region makes sense for affected area, sigmoid colon I'm wondering how common that is for endometrial cancer recurrence, and the spleen they said could be lit up from sugars but will see during surgery.  
Any info, experiences, or sites with info is much appreciated.</t>
        </is>
      </c>
      <c r="D8611" t="n">
        <v>1</v>
      </c>
      <c r="E8611" t="n">
        <v>2</v>
      </c>
      <c r="F8611">
        <f>HYPERLINK("https://www.reddit.com/r/cancer/comments/ftkuwt/trying_to_find_info_about_second_recurrence/")</f>
        <v/>
      </c>
      <c r="G8611" t="inlineStr">
        <is>
          <t>2020-04-02 04:40:34</t>
        </is>
      </c>
      <c r="H8611" t="inlineStr"/>
    </row>
    <row r="8612">
      <c r="A8612" t="inlineStr">
        <is>
          <t>ftn6qi</t>
        </is>
      </c>
      <c r="B8612" t="inlineStr">
        <is>
          <t>Found out my Dad's smoldering MM</t>
        </is>
      </c>
      <c r="C8612" t="inlineStr">
        <is>
          <t>Just found out, don't really know how to react to him. They said that the proteins were lowering when they had done blood tests. He's just done more blood tests. Can anyone elaborate on the meaning of the proteins lowering, this is a good thing but does that mean he has blood cancer?</t>
        </is>
      </c>
      <c r="D8612" t="n">
        <v>1</v>
      </c>
      <c r="E8612" t="n">
        <v>3</v>
      </c>
      <c r="F8612">
        <f>HYPERLINK("https://www.reddit.com/r/cancer/comments/ftn6qi/found_out_my_dads_smoldering_mm/")</f>
        <v/>
      </c>
      <c r="G8612" t="inlineStr">
        <is>
          <t>2020-04-02 07:22:52</t>
        </is>
      </c>
      <c r="H8612" t="inlineStr"/>
    </row>
    <row r="8613">
      <c r="A8613" t="inlineStr">
        <is>
          <t>ftpn9r</t>
        </is>
      </c>
      <c r="B8613" t="inlineStr">
        <is>
          <t>Where can my friend get her chemo?</t>
        </is>
      </c>
      <c r="C8613" t="inlineStr">
        <is>
          <t>My friend has been on the phone for hours trying to find somewhere that will take on a cancer patient for their chemo (she has bone cancer), but nowhere will take no new patients with the coronavirus stuff going on. Is there anywhere in the country that is taking people for chemo treatments?</t>
        </is>
      </c>
      <c r="D8613" t="n">
        <v>1</v>
      </c>
      <c r="E8613" t="n">
        <v>0</v>
      </c>
      <c r="F8613">
        <f>HYPERLINK("https://www.reddit.com/r/cancer/comments/ftpn9r/where_can_my_friend_get_her_chemo/")</f>
        <v/>
      </c>
      <c r="G8613" t="inlineStr">
        <is>
          <t>2020-04-02 09:42:56</t>
        </is>
      </c>
      <c r="H8613" t="inlineStr"/>
    </row>
    <row r="8614">
      <c r="A8614" t="inlineStr">
        <is>
          <t>ftrm84</t>
        </is>
      </c>
      <c r="B8614" t="inlineStr">
        <is>
          <t>I can't bring myself to talk to my family yet. So I am just going to vent here, if that's ok.</t>
        </is>
      </c>
      <c r="C8614" t="inlineStr">
        <is>
          <t>I just had a bone scan and a CT scan yesterday.  I am 3 years past my diagnosis for breast cancer, I was diagnosed when I was 30.  I had surgery and I have been taking tamoxifen.  
My hospital just updated their system with my test results and there are multiple uses of the word "suspicious for metastasis."  Including nodules in the lungs.  Also 2 in the bones.  I am terrified in a way I can't describe.  Especially with this virus going around.  If there's something going on in my lungs, then not only is that a bad prognosis but I am way more at risk if I catch anything right now.    And if I have to go in for treatment, I'm going to be more at risk.  
I was stage 1 when I was originally diagnosed in 2016 (the worst year besides now this one).   I had a great outlook.  I don't understand what happened.  I know it's always uncertain, but this seems much worse than anything I expected.  Multiple lung nodules in both lungs?   I had a great scenario at the start:   it was stage 1, it wasn't in the lymph nodes, it was hormone receptor positive.  I even had a score done where they can assess your chance of recurrence using genetics or something and that was a low score.  I don't get it.  
Now I don't know how long I have left.  Thanks for listening.</t>
        </is>
      </c>
      <c r="D8614" t="n">
        <v>1</v>
      </c>
      <c r="E8614" t="n">
        <v>33</v>
      </c>
      <c r="F8614">
        <f>HYPERLINK("https://www.reddit.com/r/cancer/comments/ftrm84/i_cant_bring_myself_to_talk_to_my_family_yet_so_i/")</f>
        <v/>
      </c>
      <c r="G8614" t="inlineStr">
        <is>
          <t>2020-04-02 11:27:09</t>
        </is>
      </c>
      <c r="H8614" t="inlineStr"/>
    </row>
    <row r="8615">
      <c r="A8615" t="inlineStr">
        <is>
          <t>ftsqbd</t>
        </is>
      </c>
      <c r="B8615" t="inlineStr">
        <is>
          <t>Helpful tips/advice for caretakers of chemo patient.</t>
        </is>
      </c>
      <c r="C8615" t="inlineStr">
        <is>
          <t>My (27) mother (59) was just diagnosed with stage 3 breast cancer this week and was told she will have to be starting chemo soon. I’ll be her primary caretaker and in charge of her meals and stuff. If you guys could give some advice on what has made you/a loved one more comfortable, feel better, foods to keep her strength up, things to keep her mind off of it etc... I would really appreciate it.</t>
        </is>
      </c>
      <c r="D8615" t="n">
        <v>1</v>
      </c>
      <c r="E8615" t="n">
        <v>11</v>
      </c>
      <c r="F8615">
        <f>HYPERLINK("https://www.reddit.com/r/cancer/comments/ftsqbd/helpful_tipsadvice_for_caretakers_of_chemo_patient/")</f>
        <v/>
      </c>
      <c r="G8615" t="inlineStr">
        <is>
          <t>2020-04-02 12:27:09</t>
        </is>
      </c>
      <c r="H8615" t="inlineStr"/>
    </row>
    <row r="8616">
      <c r="A8616" t="inlineStr">
        <is>
          <t>ftsw41</t>
        </is>
      </c>
      <c r="B8616" t="inlineStr">
        <is>
          <t>Seeking Medicare Advice</t>
        </is>
      </c>
      <c r="C8616" t="inlineStr">
        <is>
          <t>Hi all,
My mother was unfortunately diagnosed with lung cancer. She has Medicare though Alignment. It's a Medicare HMO Advantage Program.
I was talking to them and they told me that she can only been seen within network. For them in-network is where they live - limited to Stanislaus County.
We'd love for her to be treated in UCSF in San Francisco but that doesn't seem possible since it's out of network. I'd appreciate any feedback/advise anyone has as I want to make sure I'm not missing anything. Are we out of luck in getting her treated at UCSF and just limited to hospitals in Stanislaus County?
Thank you</t>
        </is>
      </c>
      <c r="D8616" t="n">
        <v>1</v>
      </c>
      <c r="E8616" t="n">
        <v>4</v>
      </c>
      <c r="F8616">
        <f>HYPERLINK("https://www.reddit.com/r/cancer/comments/ftsw41/seeking_medicare_advice/")</f>
        <v/>
      </c>
      <c r="G8616" t="inlineStr">
        <is>
          <t>2020-04-02 12:36:06</t>
        </is>
      </c>
      <c r="H8616" t="inlineStr"/>
    </row>
    <row r="8617">
      <c r="A8617" t="inlineStr">
        <is>
          <t>ftt33z</t>
        </is>
      </c>
      <c r="B8617" t="inlineStr">
        <is>
          <t>I’m at a loss, my mother was recently diagnosed with malignant melanoma</t>
        </is>
      </c>
      <c r="C8617" t="inlineStr">
        <is>
          <t>I’m writing this because I’m honestly so lost at this point. My mother was recently diagnosed with melanoma on the 24th of February. They didn’t give her an appointment until the 23rd of March to see an oncologist.
On that day she went in and they explained to her all the steps that go into this. But, just that.
The doctor told her they were going to go ahead and amputate the finger with the tumor. But, he didn’t give us a date or explanation. They are taking forever. Is the process this slow? We are new to this and wouldn’t know how it works. But, is it normal for it to be taking this long?
I’m sorry if I’m not explaining this very well. I just really need answers. I’m hoping someone will let me know if this is actually how it works</t>
        </is>
      </c>
      <c r="D8617" t="n">
        <v>1</v>
      </c>
      <c r="E8617" t="n">
        <v>9</v>
      </c>
      <c r="F8617">
        <f>HYPERLINK("https://www.reddit.com/r/cancer/comments/ftt33z/im_at_a_loss_my_mother_was_recently_diagnosed/")</f>
        <v/>
      </c>
      <c r="G8617" t="inlineStr">
        <is>
          <t>2020-04-02 12:46:50</t>
        </is>
      </c>
      <c r="H8617" t="inlineStr"/>
    </row>
    <row r="8618">
      <c r="A8618" t="inlineStr">
        <is>
          <t>ftuwhw</t>
        </is>
      </c>
      <c r="B8618" t="inlineStr">
        <is>
          <t>How do you measure a year?</t>
        </is>
      </c>
      <c r="C8618" t="inlineStr">
        <is>
          <t>It’s been a crazy year. 
One year ago today i was diagnosed with Testicular cancer. May 5th I had an orchiectomy to remove righty, and found that the tumor was a Mixed Germ Cell, Embryonal Carcinoma (50%), Yolk Sac Tumor (45%) and Teratoma (5%).
I went through BEP X3, and I'm happy to say that a year later I am in remission going on 8 months! I got engaged to my beautiful fiance, and we're in the midst of wedding planning.
Feeling sentimental today, I suppose, but just wanted to share a little good news with everyone, especially in such dark times. 
Keep your head up, keep up your fight, and most of, find a reason to smile today. 
Cheers.</t>
        </is>
      </c>
      <c r="D8618" t="n">
        <v>1</v>
      </c>
      <c r="E8618" t="n">
        <v>3</v>
      </c>
      <c r="F8618">
        <f>HYPERLINK("https://www.reddit.com/r/cancer/comments/ftuwhw/how_do_you_measure_a_year/")</f>
        <v/>
      </c>
      <c r="G8618" t="inlineStr">
        <is>
          <t>2020-04-02 14:24:40</t>
        </is>
      </c>
      <c r="H8618" t="inlineStr"/>
    </row>
    <row r="8619">
      <c r="A8619" t="inlineStr">
        <is>
          <t>ftykv9</t>
        </is>
      </c>
      <c r="B8619" t="inlineStr">
        <is>
          <t>Some Gosh Damned Positivity</t>
        </is>
      </c>
      <c r="C8619" t="inlineStr">
        <is>
          <t>I finished my first round of chemo on the 25th, the next starts on the 13th. I feel fucking great and like I can take on the world. Maybe chemo will kick me in the rear tomorrow or next week but right now Im a fucking super star. Y'all get out and get it we can beat this bullshit. Share out more positivity below if you want.</t>
        </is>
      </c>
      <c r="D8619" t="n">
        <v>1</v>
      </c>
      <c r="E8619" t="n">
        <v>11</v>
      </c>
      <c r="F8619">
        <f>HYPERLINK("https://www.reddit.com/r/cancer/comments/ftykv9/some_gosh_damned_positivity/")</f>
        <v/>
      </c>
      <c r="G8619" t="inlineStr">
        <is>
          <t>2020-04-02 18:02:56</t>
        </is>
      </c>
      <c r="H8619" t="inlineStr"/>
    </row>
    <row r="8620">
      <c r="A8620" t="inlineStr">
        <is>
          <t>ftyof1</t>
        </is>
      </c>
      <c r="B8620" t="inlineStr">
        <is>
          <t>Should I wear a mask?</t>
        </is>
      </c>
      <c r="C8620" t="inlineStr">
        <is>
          <t>First I'm sorry if this is a stupid question. I've tried asking my oncologist but they said they couldn't answer since I wasn't diagnosed with cancer (again). So they weren't sure. 
I had ovarian cancer 2 almost 3 years ago. I'm starting to show and feel symptoms that's it's back. I'm scheduled for a surgery to remove a cyst and possibly ovary. 
I've stayed at home and avoided people as much as possible. I'm not sure how to proceed. Should I wear a mask when I go to the hospital for the surgery? Should my partner? 
I learned 1 of their doctors was diagnosed with covid but no one else so far. 
Once again I'm sorry if it's a stupid question. I guess I'm just nervous. This is happening really fast.  I found out my results about a week ago and now have the surgery for next month... thank you for any advice.</t>
        </is>
      </c>
      <c r="D8620" t="n">
        <v>1</v>
      </c>
      <c r="E8620" t="n">
        <v>9</v>
      </c>
      <c r="F8620">
        <f>HYPERLINK("https://www.reddit.com/r/cancer/comments/ftyof1/should_i_wear_a_mask/")</f>
        <v/>
      </c>
      <c r="G8620" t="inlineStr">
        <is>
          <t>2020-04-02 18:09:17</t>
        </is>
      </c>
      <c r="H8620" t="inlineStr"/>
    </row>
    <row r="8621">
      <c r="A8621" t="inlineStr">
        <is>
          <t>ftz7cd</t>
        </is>
      </c>
      <c r="B8621" t="inlineStr">
        <is>
          <t>Recently diagnosed with a super rare cancer at 19</t>
        </is>
      </c>
      <c r="C8621" t="inlineStr">
        <is>
          <t>I got diagnosed with alveolar soft part sarcoma in my left leg in January after a biopsy and a following ct scan the same month showed it had spread to my lungs on both sides in about 20 spots. The doctors told me out of all tumours 0.1% are the kind i have. Im currently undergoing external beam radiation on my leg, when thats done ill probably go for surgery to deal with my leg, then start immunotherapy, but my doctors could change this plan. I don’t really know what the future holds, the only thing doctors have really told me aside from treatment stuff is that its incurable, but mericles can happen. Ive done very well in accepting my situation, i only worry about the people im close too, im not sure how to talk to them about it or anything, so if anyone has any advice for that let me know, thanks for reading</t>
        </is>
      </c>
      <c r="D8621" t="n">
        <v>1</v>
      </c>
      <c r="E8621" t="n">
        <v>10</v>
      </c>
      <c r="F8621">
        <f>HYPERLINK("https://www.reddit.com/r/cancer/comments/ftz7cd/recently_diagnosed_with_a_super_rare_cancer_at_19/")</f>
        <v/>
      </c>
      <c r="G8621" t="inlineStr">
        <is>
          <t>2020-04-02 18:42:57</t>
        </is>
      </c>
      <c r="H8621" t="inlineStr"/>
    </row>
    <row r="8622">
      <c r="A8622" t="inlineStr">
        <is>
          <t>fu45g6</t>
        </is>
      </c>
      <c r="B8622" t="inlineStr">
        <is>
          <t>Stage IV colon cancer survivors?</t>
        </is>
      </c>
      <c r="C8622" t="inlineStr">
        <is>
          <t>My father has stage IV colon cancer. I am wondering if there are people here who have beat against the odds?</t>
        </is>
      </c>
      <c r="D8622" t="n">
        <v>1</v>
      </c>
      <c r="E8622" t="n">
        <v>0</v>
      </c>
      <c r="F8622">
        <f>HYPERLINK("https://www.reddit.com/r/cancer/comments/fu45g6/stage_iv_colon_cancer_survivors/")</f>
        <v/>
      </c>
      <c r="G8622" t="inlineStr">
        <is>
          <t>2020-04-03 00:47:02</t>
        </is>
      </c>
      <c r="H8622" t="inlineStr"/>
    </row>
    <row r="8623">
      <c r="A8623" t="inlineStr">
        <is>
          <t>fu7g2r</t>
        </is>
      </c>
      <c r="B8623" t="inlineStr">
        <is>
          <t>Asking For Advice (Struggles With Medication)</t>
        </is>
      </c>
      <c r="C8623" t="inlineStr">
        <is>
          <t>My girlfriend has recently begun taking Neupogen/Filgrastim injections. I've looked online extensively (and the doctors have been less than helpful) and I can't seem to find any way to help her deal with the side effects. She frequently has bone pain, nausea, and feels all-around shitty. It absolutely breaks my heart. Any people who are familiar with the medicine or have had similar symptoms, how did you find relief?</t>
        </is>
      </c>
      <c r="D8623" t="n">
        <v>1</v>
      </c>
      <c r="E8623" t="n">
        <v>27</v>
      </c>
      <c r="F8623">
        <f>HYPERLINK("https://www.reddit.com/r/cancer/comments/fu7g2r/asking_for_advice_struggles_with_medication/")</f>
        <v/>
      </c>
      <c r="G8623" t="inlineStr">
        <is>
          <t>2020-04-03 05:21:38</t>
        </is>
      </c>
      <c r="H8623" t="inlineStr"/>
    </row>
    <row r="8624">
      <c r="A8624" t="inlineStr">
        <is>
          <t>fu7gii</t>
        </is>
      </c>
      <c r="B8624" t="inlineStr">
        <is>
          <t>How to handle the coronavirus epidemic when going through treatment?</t>
        </is>
      </c>
      <c r="C8624" t="inlineStr">
        <is>
          <t>My mom is undergoing chemo and her immune system is basically non-existent. We, however, live in NYC, which is one of the worst hit spots (if not the worst hit) in America. She can't stay inside 24/7 but it's scary letting her go outside.</t>
        </is>
      </c>
      <c r="D8624" t="n">
        <v>1</v>
      </c>
      <c r="E8624" t="n">
        <v>17</v>
      </c>
      <c r="F8624">
        <f>HYPERLINK("https://www.reddit.com/r/cancer/comments/fu7gii/how_to_handle_the_coronavirus_epidemic_when_going/")</f>
        <v/>
      </c>
      <c r="G8624" t="inlineStr">
        <is>
          <t>2020-04-03 05:22:27</t>
        </is>
      </c>
      <c r="H8624" t="inlineStr"/>
    </row>
    <row r="8625">
      <c r="A8625" t="inlineStr">
        <is>
          <t>fuar9k</t>
        </is>
      </c>
      <c r="B8625" t="inlineStr">
        <is>
          <t>Questions for anyone with Neulasta Onpro injection experience..</t>
        </is>
      </c>
      <c r="C8625" t="inlineStr">
        <is>
          <t>My wife is the patient.
She's just had her second session of this round of chemo, and each session requires an injection with Neulasta Onpro. 
Her last injection went off smoothly. No leaks, everything was delivered correctly, no cause for concern. 
The device's adhesive tape was lifting a bit at the front, so we used some medical tape to hold it down. The tape was not on the actual device, just the adhesive material, holding it to the skin.
Last night, her injection began on time and all the indicator lights were behaving properly. After the injection began, she went to sleep. The device was on her right arm, but she was sleeping on her left side. I went in and removed the device 15 minutes after the scheduled end time. The indicator light was solid green as it should be. 
But I noticed a damp, discolored spot on the sheet that was resting on her arm while she slept. It's a light bed sheet, and as far as we can tell, it may have been resting on the device. The curious thing is that there was no real evidence of a malfunction other than the strange spot. The adhesive tape on the device that held it to the skin was not wet, and did not appear to have anything other than a small blood stain on it. Her arm was not wet, nor did anything appear to have leaked at the injection site. The extra medical tape we used was not wet or discolored at all. And there was no wetness or discoloration on the actual device. Nothing to indicate any kind of leak. 
Has anyone had a similar experience?  I can't think of any scenario in which the device would leak, but not show any signs of leaking on the device itself, or her arm.
We have a call into her doctor, and we sent them pictures of the device and the sheet.
Here's a link to the photos we sent the doctor:
https://imgur.com/a/TEt08xj</t>
        </is>
      </c>
      <c r="D8625" t="n">
        <v>2</v>
      </c>
      <c r="E8625" t="n">
        <v>3</v>
      </c>
      <c r="F8625">
        <f>HYPERLINK("https://www.reddit.com/r/cancer/comments/fuar9k/questions_for_anyone_with_neulasta_onpro/")</f>
        <v/>
      </c>
      <c r="G8625" t="inlineStr">
        <is>
          <t>2020-04-03 08:49:28</t>
        </is>
      </c>
      <c r="H8625" t="inlineStr"/>
    </row>
    <row r="8626">
      <c r="A8626" t="inlineStr">
        <is>
          <t>fubfet</t>
        </is>
      </c>
      <c r="B8626" t="inlineStr">
        <is>
          <t>Anyone have experience with Krukenberg Tumor?</t>
        </is>
      </c>
      <c r="C8626" t="inlineStr">
        <is>
          <t>My wife recently had surgery to remove ovarian tumors and they ended up discovering cancer in appendix (primary), colon and rectum. Doctors were able to remove affected areas and also did a complete hysterectomy. Turns out the ovarian tumors were Krukenberg tumors.  In doing some reading, these are pretty rare. The main sources I found are papers from academic journals, and results are kind of terrifying. She has an appointment with a medical oncologist in about 10 days, but the waiting is killing me. Has anyone in this community had experience with this that they would be willing to share?</t>
        </is>
      </c>
      <c r="D8626" t="n">
        <v>1</v>
      </c>
      <c r="E8626" t="n">
        <v>0</v>
      </c>
      <c r="F8626">
        <f>HYPERLINK("https://www.reddit.com/r/cancer/comments/fubfet/anyone_have_experience_with_krukenberg_tumor/")</f>
        <v/>
      </c>
      <c r="G8626" t="inlineStr">
        <is>
          <t>2020-04-03 09:26:24</t>
        </is>
      </c>
      <c r="H8626" t="inlineStr"/>
    </row>
    <row r="8627">
      <c r="A8627" t="inlineStr">
        <is>
          <t>fuf6p4</t>
        </is>
      </c>
      <c r="B8627" t="inlineStr">
        <is>
          <t>So my husband had a seizure today and I have no idea what to think</t>
        </is>
      </c>
      <c r="C8627" t="inlineStr">
        <is>
          <t>Maybe some of you recognize me by now,
My husband (22) was diagnosed with adenocarcinoma of the right lung in December and before this new chemo regiment he took a week ago, his old regiment kept his cancer stable or so we thought 
He had a seizure out of the blue today while on a phonecall with his father and I immediately called the ambulance after I got him in as best of a position as I could. He was out cold for I'd say around 5 to 10 minutes before he regained consciousness. When the paramedics arrived they tried getting him to consent to going to the hospital but he kept refusing to
When he was more able to speak with me clearly, he told me he felt scared seeing them there because he went from talking to his dad to suddenly seeing paramedics at the door. He told me he panicked and thought he was dying which is why he didnt want to go and insisted that he is fine
Our doctor seems to think that this is a sign of brain metastases because of the fact he was feeling dizzy this morning whenever he looked to the left or right. His seizure happened a few hours after our checkup with the doctor today, but this is also his first signs of dizziness like this and his first seizure too. He has had dizziness before from standing up too quickly and he doesnt sleep very well either. He has also been waking up in a panic a lot from the slightest sudden noise for the past week (like my elbow hitting the wall, a laugh, talking a bit louder than usual, etc).
He had his last chemo session last week Thursday and a day afterwards he was vomiting every 2 hours due to excessive gas in his stomach and him trying hard to burp which then causes him to vomit. The doctor prescribed stomach pain medication and ever since he has been doing fine. He also got prescribed new anti-depressants and anti-anxiety/sleeping pills from what he was taking before so we also suspect possible withdrawal symptoms from his last medications. 
Could this all be symptoms of brain metastases like his doctor suspects or are there any other possible explanations for this sudden seizure? I want to hear stories from others who are maybe going through brain metastases to tell me how they came about the diagnosis and what the treatment is like. I'm really scared of that possibility of course and so is he</t>
        </is>
      </c>
      <c r="D8627" t="n">
        <v>2</v>
      </c>
      <c r="E8627" t="n">
        <v>24</v>
      </c>
      <c r="F8627">
        <f>HYPERLINK("https://www.reddit.com/r/cancer/comments/fuf6p4/so_my_husband_had_a_seizure_today_and_i_have_no/")</f>
        <v/>
      </c>
      <c r="G8627" t="inlineStr">
        <is>
          <t>2020-04-03 12:52:28</t>
        </is>
      </c>
      <c r="H8627" t="inlineStr"/>
    </row>
    <row r="8628">
      <c r="A8628" t="inlineStr">
        <is>
          <t>fuim6u</t>
        </is>
      </c>
      <c r="B8628" t="inlineStr">
        <is>
          <t>First scan anxiety</t>
        </is>
      </c>
      <c r="C8628" t="inlineStr">
        <is>
          <t>Just need to vent to something, sorry
Got a scan on Monday as part of a clinical trial half way through my chemo. I had the tumor removed before I started but I’m really scared that something is going to pop up in the mri.
Thanks to anyone who read I just needed to rant to someone other than my parents.</t>
        </is>
      </c>
      <c r="D8628" t="n">
        <v>1</v>
      </c>
      <c r="E8628" t="n">
        <v>6</v>
      </c>
      <c r="F8628">
        <f>HYPERLINK("https://www.reddit.com/r/cancer/comments/fuim6u/first_scan_anxiety/")</f>
        <v/>
      </c>
      <c r="G8628" t="inlineStr">
        <is>
          <t>2020-04-03 16:06:34</t>
        </is>
      </c>
      <c r="H8628" t="inlineStr"/>
    </row>
    <row r="8629">
      <c r="A8629" t="inlineStr">
        <is>
          <t>fujdnb</t>
        </is>
      </c>
      <c r="B8629" t="inlineStr">
        <is>
          <t>How to deal with my father talking about “giving up”?</t>
        </is>
      </c>
      <c r="C8629" t="inlineStr">
        <is>
          <t>My dad was diagnosed with lung cancer which has fused to his 4th and 5th vertebrae in November. Initially he didn’t want to explore any treatment options but had a change of heart and went through two rounds of radiation therapy. 
He finished that therapy late last year and has been at home for 3 months essentially just recovering with doses of liquid paracetamol and liquid morphine for pain management. 
In the last few weeks I can tell the morphine is starting to take a toll on him and he is now acting very different. He’s changed from talking about what he needs to do to get on top of the cancer etc to now talking about how he doesn’t want any more treatment and just wants to ride it out. I know he’s close to that “I’m done fighting” stage.  The morphine is also starting to show some negative side affects which I’m taking him into hospital for today. 
He’s recently had a friend with similar cancer just refuse all treatment and slowly died at home. I think my dad is starting to think this is going to be his future too. 
If anyone has been through this I’d love some advice. Thanks in advance.</t>
        </is>
      </c>
      <c r="D8629" t="n">
        <v>1</v>
      </c>
      <c r="E8629" t="n">
        <v>4</v>
      </c>
      <c r="F8629">
        <f>HYPERLINK("https://www.reddit.com/r/cancer/comments/fujdnb/how_to_deal_with_my_father_talking_about_giving_up/")</f>
        <v/>
      </c>
      <c r="G8629" t="inlineStr">
        <is>
          <t>2020-04-03 16:53:36</t>
        </is>
      </c>
      <c r="H8629" t="inlineStr"/>
    </row>
    <row r="8630">
      <c r="A8630" t="inlineStr">
        <is>
          <t>fuju9o</t>
        </is>
      </c>
      <c r="B8630" t="inlineStr">
        <is>
          <t>Just want to talk to someone</t>
        </is>
      </c>
      <c r="C8630" t="inlineStr">
        <is>
          <t>My dad chose to stop everything. I don't know what to do.</t>
        </is>
      </c>
      <c r="D8630" t="n">
        <v>1</v>
      </c>
      <c r="E8630" t="n">
        <v>16</v>
      </c>
      <c r="F8630">
        <f>HYPERLINK("https://www.reddit.com/r/cancer/comments/fuju9o/just_want_to_talk_to_someone/")</f>
        <v/>
      </c>
      <c r="G8630" t="inlineStr">
        <is>
          <t>2020-04-03 17:23:03</t>
        </is>
      </c>
      <c r="H8630" t="inlineStr"/>
    </row>
    <row r="8631">
      <c r="A8631" t="inlineStr">
        <is>
          <t>fuk8c1</t>
        </is>
      </c>
      <c r="B8631" t="inlineStr">
        <is>
          <t>Mom diagnosed just now</t>
        </is>
      </c>
      <c r="C8631" t="inlineStr">
        <is>
          <t>My Mom was just diagnosed. Cancer confirmed in her Pancreas, Lungs, Spleen, and Spine. No prognosis yet. I'm in shock right now. Dont know what's to come but I suspect she doesnt have long. What am I supposed to say to her? I'm at a loss. 
Right now shes at home with my Dad and says she just needs a say or so. Its especially difficult because all of this Covid crap. Everyones paranoid of visiting eachother. 
2020 is the worst year of my life by a long shot.</t>
        </is>
      </c>
      <c r="D8631" t="n">
        <v>1</v>
      </c>
      <c r="E8631" t="n">
        <v>7</v>
      </c>
      <c r="F8631">
        <f>HYPERLINK("https://www.reddit.com/r/cancer/comments/fuk8c1/mom_diagnosed_just_now/")</f>
        <v/>
      </c>
      <c r="G8631" t="inlineStr">
        <is>
          <t>2020-04-03 17:47:28</t>
        </is>
      </c>
      <c r="H8631" t="inlineStr"/>
    </row>
    <row r="8632">
      <c r="A8632" t="inlineStr">
        <is>
          <t>fukk20</t>
        </is>
      </c>
      <c r="B8632" t="inlineStr">
        <is>
          <t>Could stem cell transplants have a (temporary) effect on your intelligence?</t>
        </is>
      </c>
      <c r="C8632" t="inlineStr">
        <is>
          <t>Hi r/cancer,
My father (72) was diagnosed with a tumor in his brain around 5 months ago. We noticed something was wrong when he had lower cognitive ability, e.g. trying to open the garage door with his phone instead of the garage remote. He was clearly mentally not fully there for about a month, and as he underwent chemo etc. it seemed to get better. Never 100% back to normal, but we chalked it up to chemobrain (doctors seemed adamant that there wasn't brain damage from the tumor).
He went into remission, and decided on his own that he wanted to go through with an incredibly heavy round of chemo to basically nullify the chances of the cancer returning. He was ruined - in the hospital for a full month with almost no strength, energy or food. 
Now, he is home for a week and for lack of a better word seems 'stupid'. I'm used to my father being incredibly smart and fast, but at the moment we'll be talking about coronavirus isolation (since we have to completely isolate) and the next second he'll ask if we're going out tonight to visit a friend. 
Does anyone have experience with this? Am I crazy or could this genuinely be the case? I'm scared and hoping to speak with someone who has gone through the stem cell transplant after chemotherapy and could provide some input on how they felt during and after.</t>
        </is>
      </c>
      <c r="D8632" t="n">
        <v>1</v>
      </c>
      <c r="E8632" t="n">
        <v>4</v>
      </c>
      <c r="F8632">
        <f>HYPERLINK("https://www.reddit.com/r/cancer/comments/fukk20/could_stem_cell_transplants_have_a_temporary/")</f>
        <v/>
      </c>
      <c r="G8632" t="inlineStr">
        <is>
          <t>2020-04-03 18:09:15</t>
        </is>
      </c>
      <c r="H8632" t="inlineStr"/>
    </row>
    <row r="8633">
      <c r="A8633" t="inlineStr">
        <is>
          <t>fukvry</t>
        </is>
      </c>
      <c r="B8633" t="inlineStr">
        <is>
          <t>Cancer treatment considered non-essential</t>
        </is>
      </c>
      <c r="C8633" t="inlineStr">
        <is>
          <t>Okay, this is a vent. My mom has been diagnosed with uterine cancer. She's waited a couple months for her hysterectomy where they would find what stage she is in, but now in my state of Ohio cancer treatment is considered non essential (at least that's what the three major hospitals in the area are saying). Her doctor says that she (the doctor) is ticked because she has a lot of patients that don't have time to dick around, but the hospital systems are shedding themselves of cancer patients to treat Covid patients that aren't even overrunning hospitals yet. Basically, they've deemed Covid patients as more important.
So sick of this. So help me if her cancer spreads because she didn't get care.</t>
        </is>
      </c>
      <c r="D8633" t="n">
        <v>1</v>
      </c>
      <c r="E8633" t="n">
        <v>46</v>
      </c>
      <c r="F8633">
        <f>HYPERLINK("https://www.reddit.com/r/cancer/comments/fukvry/cancer_treatment_considered_nonessential/")</f>
        <v/>
      </c>
      <c r="G8633" t="inlineStr">
        <is>
          <t>2020-04-03 18:30:24</t>
        </is>
      </c>
      <c r="H8633" t="inlineStr"/>
    </row>
    <row r="8634">
      <c r="A8634" t="inlineStr">
        <is>
          <t>fumhd9</t>
        </is>
      </c>
      <c r="B8634" t="inlineStr">
        <is>
          <t>I am at my wits end and i need real advice</t>
        </is>
      </c>
      <c r="C8634" t="inlineStr">
        <is>
          <t>This might be a bit long... i have been smoking for about 9 years. Weed, and cigarettes ( pack a day and 2 grama a day). I smoke like that for 3 yrs and joied the Military. I still smoked a pack a day for the next 3 yrs while i was in. When i got out i continued to smoke a pack a day and bout 4 grams of weed a day. After i was a civilian again for a year i quit smoking cigarettes. For about 6 months i smoked 2 blacknd milds aday and 4-6 grams all in blubts btw. After that 6 months i started to Juul. About a pod a day still smoked 6 grams a day. 6 month's ago i switched to joint about 3 grams a day. Last month i quit juulin and switched  2 bowls a day about a gram. 
I stared to have chest pains about 2.5 yrs ago. When i take deep breaths. I feel burned up and tight inside. I spoke to Drs at VA they said "iam to young to be sick like that". Ive had chest xrays and they all say my Lungs are bigger then they should be. For about a year i have been coughing up heavy brown phlegm through the day. About 6 times a day, even after i quit tobacco and juulin  i actually just smoked my last bowl and iam switching to edibles.  Should i be concerned about the phlem and what should i do to help my situation out. 
I have a hugh family history of lung cancer
Please if your a specialist or someone that has experience with this give me some tips advice to clear my lungs and attain better health
  Thank you</t>
        </is>
      </c>
      <c r="D8634" t="n">
        <v>1</v>
      </c>
      <c r="E8634" t="n">
        <v>1</v>
      </c>
      <c r="F8634">
        <f>HYPERLINK("https://www.reddit.com/r/cancer/comments/fumhd9/i_am_at_my_wits_end_and_i_need_real_advice/")</f>
        <v/>
      </c>
      <c r="G8634" t="inlineStr">
        <is>
          <t>2020-04-03 20:22:26</t>
        </is>
      </c>
      <c r="H8634" t="inlineStr"/>
    </row>
    <row r="8635">
      <c r="A8635" t="inlineStr">
        <is>
          <t>fumy16</t>
        </is>
      </c>
      <c r="B8635" t="inlineStr">
        <is>
          <t>I just lost my mom... idk what to do..</t>
        </is>
      </c>
      <c r="C8635" t="inlineStr">
        <is>
          <t>I feel like this is unfair. She went through so much suffering and it didn’t even help her. The chemo, the surgeries, the way she adapted to a completely new way of “life” and for what... it killed her. I’ll never have my mom again. And I wasn’t there to hug her or say goodbye.</t>
        </is>
      </c>
      <c r="D8635" t="n">
        <v>1</v>
      </c>
      <c r="E8635" t="n">
        <v>5</v>
      </c>
      <c r="F8635">
        <f>HYPERLINK("https://www.reddit.com/r/cancer/comments/fumy16/i_just_lost_my_mom_idk_what_to_do/")</f>
        <v/>
      </c>
      <c r="G8635" t="inlineStr">
        <is>
          <t>2020-04-03 20:57:06</t>
        </is>
      </c>
      <c r="H8635" t="inlineStr"/>
    </row>
    <row r="8636">
      <c r="A8636" t="inlineStr">
        <is>
          <t>funlnk</t>
        </is>
      </c>
      <c r="B8636" t="inlineStr">
        <is>
          <t>How to be supportive?</t>
        </is>
      </c>
      <c r="C8636" t="inlineStr">
        <is>
          <t>My partner’s mother was just diagnosed with an advanced, aggressive form of lymphoma. The outlook is not good. 
She is a wonderful woman, and my partner has been closing himself off from it while I tend to be more outwardly emotional.
I want to be supportive and helpful to him and his family, but I’ve honestly never had someone I know be diagnosed with cancer. I’m kind of at a loss for what to do and say. 
How can I be supportive and help without feeling like I’m always bringing it up?</t>
        </is>
      </c>
      <c r="D8636" t="n">
        <v>1</v>
      </c>
      <c r="E8636" t="n">
        <v>3</v>
      </c>
      <c r="F8636">
        <f>HYPERLINK("https://www.reddit.com/r/cancer/comments/funlnk/how_to_be_supportive/")</f>
        <v/>
      </c>
      <c r="G8636" t="inlineStr">
        <is>
          <t>2020-04-03 21:48:49</t>
        </is>
      </c>
      <c r="H8636" t="inlineStr"/>
    </row>
    <row r="8637">
      <c r="A8637" t="inlineStr">
        <is>
          <t>fup6af</t>
        </is>
      </c>
      <c r="B8637" t="inlineStr">
        <is>
          <t>Pins n Nettles during Folfox</t>
        </is>
      </c>
      <c r="C8637" t="inlineStr">
        <is>
          <t>Experiencing the pain in hands, throat and feet when touching anything cold. Will this cause lasting nerve damage?</t>
        </is>
      </c>
      <c r="D8637" t="n">
        <v>1</v>
      </c>
      <c r="E8637" t="n">
        <v>14</v>
      </c>
      <c r="F8637">
        <f>HYPERLINK("https://www.reddit.com/r/cancer/comments/fup6af/pins_n_nettles_during_folfox/")</f>
        <v/>
      </c>
      <c r="G8637" t="inlineStr">
        <is>
          <t>2020-04-04 00:06:26</t>
        </is>
      </c>
      <c r="H8637" t="inlineStr"/>
    </row>
    <row r="8638">
      <c r="A8638" t="inlineStr">
        <is>
          <t>fuqkvk</t>
        </is>
      </c>
      <c r="B8638" t="inlineStr">
        <is>
          <t>Feeling 'depressed' after having chemo</t>
        </is>
      </c>
      <c r="C8638" t="inlineStr">
        <is>
          <t>Seems it has become a thing for me. I had my chemo yesterday, and today I'm sad all the time. Like, down in a black pit of perpetual darkness sad. I'll probably be just as sad tomorrow. It was the same when I had my chemo before this one. After a couple days I'll (hopefully) be back at my old self. I mean, I'm not exactly walking happiness, but I don't usually feel depressed either. 
I don't really know how to bring it up to other people, to my nurses and/or oncologist. The side effects from chemo are usually physical. They only ask you about physical stuff. I don't even know if this is really a side effect from the chemo.
Has anyone else experienced this?</t>
        </is>
      </c>
      <c r="D8638" t="n">
        <v>1</v>
      </c>
      <c r="E8638" t="n">
        <v>10</v>
      </c>
      <c r="F8638">
        <f>HYPERLINK("https://www.reddit.com/r/cancer/comments/fuqkvk/feeling_depressed_after_having_chemo/")</f>
        <v/>
      </c>
      <c r="G8638" t="inlineStr">
        <is>
          <t>2020-04-04 02:14:13</t>
        </is>
      </c>
      <c r="H8638" t="inlineStr"/>
    </row>
    <row r="8639">
      <c r="A8639" t="inlineStr">
        <is>
          <t>furkst</t>
        </is>
      </c>
      <c r="B8639" t="inlineStr">
        <is>
          <t>Another small victory!</t>
        </is>
      </c>
      <c r="C8639" t="inlineStr">
        <is>
          <t>I have not had spaghetti in 3 and 1/2 years. Last night my Husband made me spaghetti and Better than Meat meatballs and it was heaven. I have NHL and MS and the chemo and radiation just stopped my stomach and I have not been able to eat noodles, bread, chicken or peanut butter. I cannot tell you the first taste of spaghetti was better than the pb&amp;amp;j I had last week, if that is possible. Oh, I forgot, BEER! OMG! Beer was not allowed on my chemo and I am having to take a break so I have to say I didn't know how much I missed the taste of beer. 
&amp;amp;#x200B;
I had a PET scan and the results were not really good. I was supposed to be tested for colon cancer but all of my tests have been postponed indefinitely due to Covid19. I'm not going to worry because there is nothing that I can do about it, so I'm enjoying food and some extra weight.  I have had an upper respiratory infection and a ruptured eardrum, which hurt like hell. I'm on my second round of antibiotics. I was told I might have to have tubes put in my ear but that has been put on hold as well. I'm okay though. Still a bit deaf in that ear but that's okay. I feel great having small victories at this point.
&amp;amp;#x200B;
Everyone be safe and take care. Love the small victories. I have nothing but love for all of you and all of the support I get from this sub; you guys are the best.</t>
        </is>
      </c>
      <c r="D8639" t="n">
        <v>1</v>
      </c>
      <c r="E8639" t="n">
        <v>6</v>
      </c>
      <c r="F8639">
        <f>HYPERLINK("https://www.reddit.com/r/cancer/comments/furkst/another_small_victory/")</f>
        <v/>
      </c>
      <c r="G8639" t="inlineStr">
        <is>
          <t>2020-04-04 03:41:51</t>
        </is>
      </c>
      <c r="H8639" t="inlineStr"/>
    </row>
    <row r="8640">
      <c r="A8640" t="inlineStr">
        <is>
          <t>futea6</t>
        </is>
      </c>
      <c r="B8640" t="inlineStr">
        <is>
          <t>How do you support someone with cancer?</t>
        </is>
      </c>
      <c r="C8640" t="inlineStr">
        <is>
          <t>I realize this question is much more complex that how I’m positioning it but how does someone support someone with cancer?
My boyfriend was diagnosed a few months ago and insists he should “carry the burden alone.” It’s devastating and heartbreaking. He said he doesn’t want to take anyone along on this roller coaster ride if he doesn’t have to, despite me insisting I’m not going anywhere and I will see him through this.
With that being said, I want to be as empathic and loving as I can (and strongly believe no one should go through this diagnosis alone). I want to respect his decisions but would backing off and withdrawing really be the best type of support?</t>
        </is>
      </c>
      <c r="D8640" t="n">
        <v>1</v>
      </c>
      <c r="E8640" t="n">
        <v>17</v>
      </c>
      <c r="F8640">
        <f>HYPERLINK("https://www.reddit.com/r/cancer/comments/futea6/how_do_you_support_someone_with_cancer/")</f>
        <v/>
      </c>
      <c r="G8640" t="inlineStr">
        <is>
          <t>2020-04-04 06:05:48</t>
        </is>
      </c>
      <c r="H8640" t="inlineStr"/>
    </row>
    <row r="8641">
      <c r="A8641" t="inlineStr">
        <is>
          <t>fuv9h9</t>
        </is>
      </c>
      <c r="B8641" t="inlineStr">
        <is>
          <t>Constant itchiness after chemotherapy</t>
        </is>
      </c>
      <c r="C8641" t="inlineStr">
        <is>
          <t>Hey guys, I need some advice. My dad has stage 4 lung cancer and recently went through his second chemotherapy round and now has a constant itch that isn’t going away. It’s even disturbing his sleep schedule. He is barely able to sleep. He’s trying Benadryl but it’s not working so far. Any advice? I want him to get a good night of rest. It’s enough that he has to deal with physical pain, let alone bring itchy all the time</t>
        </is>
      </c>
      <c r="D8641" t="n">
        <v>1</v>
      </c>
      <c r="E8641" t="n">
        <v>7</v>
      </c>
      <c r="F8641">
        <f>HYPERLINK("https://www.reddit.com/r/cancer/comments/fuv9h9/constant_itchiness_after_chemotherapy/")</f>
        <v/>
      </c>
      <c r="G8641" t="inlineStr">
        <is>
          <t>2020-04-04 08:10:19</t>
        </is>
      </c>
      <c r="H8641" t="inlineStr"/>
    </row>
    <row r="8642">
      <c r="A8642" t="inlineStr">
        <is>
          <t>fuy4x9</t>
        </is>
      </c>
      <c r="B8642" t="inlineStr">
        <is>
          <t>Mom recently diagnosed / COVID concern</t>
        </is>
      </c>
      <c r="C8642" t="inlineStr">
        <is>
          <t>My mom was recently diagnosed with stage 4 lung cancer. I’m her son and my fiancé and I have helped her through this the past couple of weeks remotely due to COVID and not being able to visit my parents. 
My fiancé and I have been staying at home in our apartment but we’re thinking of putting masks on and visiting my parents, making sure to still keep our distance from them. 
I think just being there in person, even for an hour, will lift everyone’s spirits but of course COVID does not make this an easy decision. 
Curious what others think? Would appreciate any advice. 
Thanks!</t>
        </is>
      </c>
      <c r="D8642" t="n">
        <v>1</v>
      </c>
      <c r="E8642" t="n">
        <v>5</v>
      </c>
      <c r="F8642">
        <f>HYPERLINK("https://www.reddit.com/r/cancer/comments/fuy4x9/mom_recently_diagnosed_covid_concern/")</f>
        <v/>
      </c>
      <c r="G8642" t="inlineStr">
        <is>
          <t>2020-04-04 10:57:35</t>
        </is>
      </c>
      <c r="H8642" t="inlineStr"/>
    </row>
    <row r="8643">
      <c r="A8643" t="inlineStr">
        <is>
          <t>fuyr0c</t>
        </is>
      </c>
      <c r="B8643" t="inlineStr">
        <is>
          <t>Still Cancer Free!</t>
        </is>
      </c>
      <c r="C8643" t="inlineStr">
        <is>
          <t>With all the bad news going around, I thought I’d post some hope. Almost two years ago I was diagnosed with liver cancer. 4 tumors, one the size of cantaloupe, two golf ball size and one marble size were removed. I had a follow up CT Scan this week, one of several I’ve had since surgery, and a follow up with the doctor. The liver looks great and no signs of the cancer returning. Still a long road of bloodwork, CT Scans and follow ups to go, but as of now, I am still CANCER FREE!!!</t>
        </is>
      </c>
      <c r="D8643" t="n">
        <v>21</v>
      </c>
      <c r="E8643" t="n">
        <v>18</v>
      </c>
      <c r="F8643">
        <f>HYPERLINK("https://www.reddit.com/r/cancer/comments/fuyr0c/still_cancer_free/")</f>
        <v/>
      </c>
      <c r="G8643" t="inlineStr">
        <is>
          <t>2020-04-04 11:32:53</t>
        </is>
      </c>
      <c r="H8643" t="inlineStr"/>
    </row>
    <row r="8644">
      <c r="A8644" t="inlineStr">
        <is>
          <t>fv1fin</t>
        </is>
      </c>
      <c r="B8644" t="inlineStr">
        <is>
          <t>Visiting an Out of State Loved One, who is now having Hospice Care, during Coronavirus? Advice Appreciated</t>
        </is>
      </c>
      <c r="C8644" t="inlineStr">
        <is>
          <t>Hi everyone, I hope it's ok to ask your advice here about this.
My beloved grandmother has been battling cancer for a few years, and recently her health started to decline. She has stopped treatment and the doctors do not estimate that she has much time. 
She lives with my mom and my sister, two states away from me, (I am in the Southeastern US) and all would love for me to come visit and see her one last time. The clock is ticking; hospice started making visits this past week.
The thing is, I don't know what I should do.
I want to see her, she practically raised me and is my first best friend in the world. I know she'd be happy to see me, too. I don't want her last week's to be dark and sad.
I also don't want to increase the risk of exposure to her and the rest of my family, who is already ailing and not in the best condition, for obvious reasons. My mom is over 40, and my sister has asthma and arthritis. They don't really take the pandemic and it's associated risks seriously, but I do. 
There is also the worry that if I go, travel restrictions may increase and I may be stranded two states away from home for an undefined period of time. I live with two others and until our unemployment benefits come in, I am the only one with some money. I also have a whole life and things I am trying to accomplish during lockdown, however, this notion seems selfish and meaningless compared to the matter at hand.
In addition to all of this... I feel stuck between three awful options. If I go for a few days and come back, I'll have to leave with both of us knowing it'll be the last time we see each other. How can I do that to her?
If I go and stay until the end, I'll be there, which seems like the right thing to do, and I don't know if I can handle seeing her pass away. How can I handle this?
If I don't go, we'll never see eachother again. Last time I saw her was Christmas. Then, what, I go for her funeral instead? That seems proper fucked.
What do you guys think I should do? I feel that I am being a coward and a bad person for not getting in my car right now and going to be there for her. But it also feels irresponsible to do so during all this. But in a way, I think I'm also avoiding the situation because I am upset. 
Any advice would be appreciated, thank you &amp;lt;3</t>
        </is>
      </c>
      <c r="D8644" t="n">
        <v>1</v>
      </c>
      <c r="E8644" t="n">
        <v>9</v>
      </c>
      <c r="F8644">
        <f>HYPERLINK("https://www.reddit.com/r/cancer/comments/fv1fin/visiting_an_out_of_state_loved_one_who_is_now/")</f>
        <v/>
      </c>
      <c r="G8644" t="inlineStr">
        <is>
          <t>2020-04-04 14:11:39</t>
        </is>
      </c>
      <c r="H8644" t="inlineStr"/>
    </row>
    <row r="8645">
      <c r="A8645" t="inlineStr">
        <is>
          <t>fv1xso</t>
        </is>
      </c>
      <c r="B8645" t="inlineStr">
        <is>
          <t>Chemo basket</t>
        </is>
      </c>
      <c r="C8645" t="inlineStr">
        <is>
          <t>Hi all. My aunt is starting chemo next week and we are wanting to give her a basket of things to do or items for comfort. Any ideas would be greatly appreciated</t>
        </is>
      </c>
      <c r="D8645" t="n">
        <v>1</v>
      </c>
      <c r="E8645" t="n">
        <v>10</v>
      </c>
      <c r="F8645">
        <f>HYPERLINK("https://www.reddit.com/r/cancer/comments/fv1xso/chemo_basket/")</f>
        <v/>
      </c>
      <c r="G8645" t="inlineStr">
        <is>
          <t>2020-04-04 14:42:35</t>
        </is>
      </c>
      <c r="H8645" t="inlineStr"/>
    </row>
    <row r="8646">
      <c r="A8646" t="inlineStr">
        <is>
          <t>fv55co</t>
        </is>
      </c>
      <c r="B8646" t="inlineStr">
        <is>
          <t>Temporal bone growth.</t>
        </is>
      </c>
      <c r="C8646" t="inlineStr">
        <is>
          <t>Was just told I have a temporal bone growth on Friday. My appointment with my doctor is Monday. I've been doing research and it seems like there isn't a lot to be concerned about unless this that or the other. Most reports seem that it's a pretty curable tumor. Still freaking out a little since I have 3 kids (7,4 and 1 yrs old). Anyone have information on this or some words of encouragement?</t>
        </is>
      </c>
      <c r="D8646" t="n">
        <v>1</v>
      </c>
      <c r="E8646" t="n">
        <v>4</v>
      </c>
      <c r="F8646">
        <f>HYPERLINK("https://www.reddit.com/r/cancer/comments/fv55co/temporal_bone_growth/")</f>
        <v/>
      </c>
      <c r="G8646" t="inlineStr">
        <is>
          <t>2020-04-04 18:09:18</t>
        </is>
      </c>
      <c r="H8646" t="inlineStr"/>
    </row>
    <row r="8647">
      <c r="A8647" t="inlineStr">
        <is>
          <t>fv5tj9</t>
        </is>
      </c>
      <c r="B8647" t="inlineStr">
        <is>
          <t>Hair hasn't come back 5 years after treatment is this permanent?</t>
        </is>
      </c>
      <c r="C8647" t="inlineStr">
        <is>
          <t>I was treated for Hodgkin lymphoma 5 years ago when I was 13. My hair fell out in the span of 5 days, I had quite thick hair as a kid. My hair grew back super thin my oncologist assured me that I would have my normal hair back within 3-4 years I wasn't on a high dose and my chemo was relatively short but my hair still looks awful. It's really fucking with my mental health being essentially bald at 18 going to uni and people looking at you like a freak, the dermatologists and hair specialists couldn't explain what happened. I was hoping it would grow thicker over the years but it never did. Anybody else have this experience?</t>
        </is>
      </c>
      <c r="D8647" t="n">
        <v>1</v>
      </c>
      <c r="E8647" t="n">
        <v>7</v>
      </c>
      <c r="F8647">
        <f>HYPERLINK("https://www.reddit.com/r/cancer/comments/fv5tj9/hair_hasnt_come_back_5_years_after_treatment_is/")</f>
        <v/>
      </c>
      <c r="G8647" t="inlineStr">
        <is>
          <t>2020-04-04 18:56:02</t>
        </is>
      </c>
      <c r="H8647" t="inlineStr"/>
    </row>
    <row r="8648">
      <c r="A8648" t="inlineStr">
        <is>
          <t>fv5v2n</t>
        </is>
      </c>
      <c r="B8648" t="inlineStr">
        <is>
          <t>hat for 12 year old girl about to lose hair?</t>
        </is>
      </c>
      <c r="C8648" t="inlineStr">
        <is>
          <t>Hi, just trying to be a good uncle... We live in the south US and my niece is just starting to lose her hair... I was thinking of getting her a hat to protect her head and also make her feel less self-conscious. I don't have any sense of style so I'm not exactly sure what I can get that she'd actually want to wear. I know she absolutely loves the color purple so I was definitely thinking a purple hat or at least one with a purple accent.
What style hat should I be searching for? Do 12 year olds have smaller heads than adults? (that's my way of asking if I need to buy a kids size or something) thanks!</t>
        </is>
      </c>
      <c r="D8648" t="n">
        <v>1</v>
      </c>
      <c r="E8648" t="n">
        <v>0</v>
      </c>
      <c r="F8648">
        <f>HYPERLINK("https://www.reddit.com/r/cancer/comments/fv5v2n/hat_for_12_year_old_girl_about_to_lose_hair/")</f>
        <v/>
      </c>
      <c r="G8648" t="inlineStr">
        <is>
          <t>2020-04-04 18:59:07</t>
        </is>
      </c>
      <c r="H8648" t="inlineStr"/>
    </row>
    <row r="8649">
      <c r="A8649" t="inlineStr">
        <is>
          <t>fv6mt3</t>
        </is>
      </c>
      <c r="B8649" t="inlineStr">
        <is>
          <t>Dad struggling to get to bed</t>
        </is>
      </c>
      <c r="C8649" t="inlineStr">
        <is>
          <t>My dad got brain cancer last year and thankfully due to my mother's ability to know when things are wrong, we caught it pretty quick. He was under the knife within a matter of days and is currently doing as well as one can expect when you have brain cancer. 
However, he did lose part of his brain. His balance is pretty bad, he uses a walker now. He falls down a lot. Sometimes it takes him up to two hours to gather the courage and strength to get up from his chair and go to his room, which is becoming increasingly frustrating for my mom. She feels like she can't do anything to help but sit and wait with him, but waiting for him to go to bed means sacrificing sleep herself when she has to get up earlier. Since my brother and I got home we've been staying up with him instead since we're up late anyways, but I want to find a way to get him up and going sooner so he's in his own bed instead of falling asleep in a chair every night. It would also just be nice to not heckle my dad into getting up because I sort of feel like I'm bullying him or guilting him in a way.
Usually I ask him every five to ten minutes to just open his eyes, sit up in his chair, something like that. He always says in a minute, but he never really does. If I tell him I want him to go to bed, he sort if takes it as he's an inconvenience to me. I can tell he's getting frustrated too. I just don't know what to do anymore. I refuse to let him fall asleep in the chair and mess up his neck (not to mention I'm scared he'll try and get up and fall if I leave and no one will be around to help) but I can't get him to move for hours sometimes and I don't want him to feel like a burden. I just don't want him to take hours to get to bed. When my brother and I go back to college, I'm worried my mom won't be able to stay up with him. Is there anyone in a similar situation? What can I do?
Tl;dr My dad has brain cancer and uses a walker for balance. It takes him a really long time to get up from his chair and go to bed and someone has to be with him to make sure he doesn't fall down. He doesn't respond very well when we try to get him to get up and moving and I don't know how to help.</t>
        </is>
      </c>
      <c r="D8649" t="n">
        <v>1</v>
      </c>
      <c r="E8649" t="n">
        <v>7</v>
      </c>
      <c r="F8649">
        <f>HYPERLINK("https://www.reddit.com/r/cancer/comments/fv6mt3/dad_struggling_to_get_to_bed/")</f>
        <v/>
      </c>
      <c r="G8649" t="inlineStr">
        <is>
          <t>2020-04-04 19:54:23</t>
        </is>
      </c>
      <c r="H8649" t="inlineStr"/>
    </row>
    <row r="8650">
      <c r="A8650" t="inlineStr">
        <is>
          <t>fv89tb</t>
        </is>
      </c>
      <c r="B8650" t="inlineStr">
        <is>
          <t>Help increase Bone Marrow Transplant donation awareness.</t>
        </is>
      </c>
      <c r="C8650" t="inlineStr">
        <is>
          <t>About 6 months ago I received a bone marrow transplant that probably saved my life. I am doing fairly well now but without the donation I would not be where I am. Because of this I would like to share this list and continue to share it as much as possible.
This is a current list of places to sign up for bone marrow donation based on country. I would encourage anyone who is capable to sign up and consider donation but also if your country uses a different site for accepting donations let me know and I will add it to the list.
[The Netherlands 🇳🇱:](https://www.matchis.nl)
[The UK 🇬🇧:](https://www.nhsbt.nhs.uk/)
[Australia 🇦🇺:](https://www.abmdr.org.au/)
[Belgium 🇧🇪:](http://www.31millionchances.org/)
[Canada 🇨🇦:](https://blood.ca/en/stem-cells)
[Germany 🇩🇪:](https://www.dkms.de/de)
[USA:](http://bethematch.org/)
[Switzerland 🇨🇭:](https://www.blutstammzellspende.ch/de/blutstammzellspender-werden/online-registrierung)
[Poland 🇵🇱:] (https://www.dkms.pl/pl/zostan-dawca) and (https://www.szpik.info/jak-zostac-dawca.html)</t>
        </is>
      </c>
      <c r="D8650" t="n">
        <v>1</v>
      </c>
      <c r="E8650" t="n">
        <v>1</v>
      </c>
      <c r="F8650">
        <f>HYPERLINK("https://www.reddit.com/r/cancer/comments/fv89tb/help_increase_bone_marrow_transplant_donation/")</f>
        <v/>
      </c>
      <c r="G8650" t="inlineStr">
        <is>
          <t>2020-04-04 22:01:08</t>
        </is>
      </c>
      <c r="H8650" t="inlineStr"/>
    </row>
    <row r="8651">
      <c r="A8651" t="inlineStr">
        <is>
          <t>fvfyha</t>
        </is>
      </c>
      <c r="B8651" t="inlineStr">
        <is>
          <t>Pancreatic cancer diagnosis with a not-so-great outlook</t>
        </is>
      </c>
      <c r="C8651" t="inlineStr">
        <is>
          <t>Yesterday my stepfather got diagnosed with "aggressive" pancreatic cancer that's spread to a few places. The doctor gave him three months to three years. He's in pain every now and then, and my mother has taken this thing head on and has been looking at all sorts of cancer treatment places. He's supposed to start a chemo stint sometime soon.
Like a lot of other people I've seen on this board, I would be out there with them were it not for COVID-19 - they live on the other side of the country. If things get really bad enough I might just bite the bullet and fly out anyways.
I'm sort of numbed to all of this, and I'm not sure what I can do. My stepfather is trying to take it all in stride - changing his diet, thinking positively etc -  but I'm not sure if it's really hit him yet. 
TL;DR: Stepdad has aggressive cancer and he's not been given a ton of time, though treatment will be starting soon. How can I support my mother and him?</t>
        </is>
      </c>
      <c r="D8651" t="n">
        <v>1</v>
      </c>
      <c r="E8651" t="n">
        <v>6</v>
      </c>
      <c r="F8651">
        <f>HYPERLINK("https://www.reddit.com/r/cancer/comments/fvfyha/pancreatic_cancer_diagnosis_with_a_notsogreat/")</f>
        <v/>
      </c>
      <c r="G8651" t="inlineStr">
        <is>
          <t>2020-04-05 08:56:13</t>
        </is>
      </c>
      <c r="H8651" t="inlineStr"/>
    </row>
    <row r="8652">
      <c r="A8652" t="inlineStr">
        <is>
          <t>fvggx8</t>
        </is>
      </c>
      <c r="B8652" t="inlineStr">
        <is>
          <t>Chemo acne/rash help</t>
        </is>
      </c>
      <c r="C8652" t="inlineStr">
        <is>
          <t>I just did round 2 of FOLFOX + Vectibix, and I've developed a pretty annoying rash that's turned into a bad case of acne. It's on my scalp, face, neck and chest. I feel like every pore within 1 inch of my nose has a pimple. They prescribed an antibiotic that I started before chemo that was supposed to reduce it. I was also prescribed a topical anti-acne solution that I started a couple days ago. I got some aquaphor ointment from a nurse recommendation, but it seems super greasy like it might make it worse. What have y'all done to help with this?</t>
        </is>
      </c>
      <c r="D8652" t="n">
        <v>1</v>
      </c>
      <c r="E8652" t="n">
        <v>9</v>
      </c>
      <c r="F8652">
        <f>HYPERLINK("https://www.reddit.com/r/cancer/comments/fvggx8/chemo_acnerash_help/")</f>
        <v/>
      </c>
      <c r="G8652" t="inlineStr">
        <is>
          <t>2020-04-05 09:25:23</t>
        </is>
      </c>
      <c r="H8652" t="inlineStr"/>
    </row>
    <row r="8653">
      <c r="A8653" t="inlineStr">
        <is>
          <t>fvhci8</t>
        </is>
      </c>
      <c r="B8653" t="inlineStr">
        <is>
          <t>Anyone have issues with liver counts during chemotherapy?</t>
        </is>
      </c>
      <c r="C8653" t="inlineStr">
        <is>
          <t>I'm on Lomustine and Eflornithine for brain cancer. My counts have normally been high at around 100 (about twice what they should be), and I recently had a high of 334. My doctor is ordering an ultrasound of my liver. Already have brain cancer - don't need liver cancer!</t>
        </is>
      </c>
      <c r="D8653" t="n">
        <v>1</v>
      </c>
      <c r="E8653" t="n">
        <v>4</v>
      </c>
      <c r="F8653">
        <f>HYPERLINK("https://www.reddit.com/r/cancer/comments/fvhci8/anyone_have_issues_with_liver_counts_during/")</f>
        <v/>
      </c>
      <c r="G8653" t="inlineStr">
        <is>
          <t>2020-04-05 10:16:55</t>
        </is>
      </c>
      <c r="H8653" t="inlineStr"/>
    </row>
    <row r="8654">
      <c r="A8654" t="inlineStr">
        <is>
          <t>fvj5j2</t>
        </is>
      </c>
      <c r="B8654" t="inlineStr">
        <is>
          <t>Celebrating in these strange times</t>
        </is>
      </c>
      <c r="C8654" t="inlineStr">
        <is>
          <t>My son has been fighting brain cancer for 5 years already and was supposed to have his Bar-Mitzvah this week but with the corona everything was cancelled 😕
Need your help! Know someone famous who can send him a video blessing? it would make this day something he’ll never forget!</t>
        </is>
      </c>
      <c r="D8654" t="n">
        <v>4</v>
      </c>
      <c r="E8654" t="n">
        <v>12</v>
      </c>
      <c r="F8654">
        <f>HYPERLINK("https://www.reddit.com/r/cancer/comments/fvj5j2/celebrating_in_these_strange_times/")</f>
        <v/>
      </c>
      <c r="G8654" t="inlineStr">
        <is>
          <t>2020-04-05 12:00:06</t>
        </is>
      </c>
      <c r="H8654" t="inlineStr"/>
    </row>
    <row r="8655">
      <c r="A8655" t="inlineStr">
        <is>
          <t>fvm6n9</t>
        </is>
      </c>
      <c r="B8655" t="inlineStr">
        <is>
          <t>Disability denied for my mother who is stage 3 Breast cancer ..we are freaking out</t>
        </is>
      </c>
      <c r="C8655" t="inlineStr">
        <is>
          <t>Hi everyone, 
Really needed to vent and ask for the communities advice. I will try to keep this short as it’s a long story. My father suffered a massive hemorrhagic stroke in end of August last year. He’s paralyzed and aphasic and needs 24/7 care now. So my mother took FMLA to help him and that was the last time she worked- August. She added all her sick leave and vacation days on to that to stay home longer to assist him. He needs help with activities of daily living. In January she was supposed to go back to work...but in December she was diagnosed with stage 1 breast cancer then after her mastectomy in January they progressed her staging to stage 3. Thus requiring aggressive chemo and radiation... so her oncologist told her to apply for disability, which we did. We just got a letter denying her disability! They said because she wasn’t previously working. It’s a fucked up situation because it happened one after another but this is so unfair, they really need the funds because since my mother started her breast cancer treatment journey they have hired 24/7 home health aides...which they won’t be able to afford much longer at this pace....this is so much more added stress..unsure what to do or what can we even do? She’s the sole breadwinner since my dad had his stroke. They said we can appeal but what can we even say since they already know the situation ...very worried 
TLDR; mom is diagnosed with cancer and did fmla for my sick dad and now applied for disability but was denied</t>
        </is>
      </c>
      <c r="D8655" t="n">
        <v>1</v>
      </c>
      <c r="E8655" t="n">
        <v>40</v>
      </c>
      <c r="F8655">
        <f>HYPERLINK("https://www.reddit.com/r/cancer/comments/fvm6n9/disability_denied_for_my_mother_who_is_stage_3/")</f>
        <v/>
      </c>
      <c r="G8655" t="inlineStr">
        <is>
          <t>2020-04-05 14:51:45</t>
        </is>
      </c>
      <c r="H8655" t="inlineStr"/>
    </row>
    <row r="8656">
      <c r="A8656" t="inlineStr">
        <is>
          <t>fvquzu</t>
        </is>
      </c>
      <c r="B8656" t="inlineStr">
        <is>
          <t>Dad is depressed, anxious, and scared</t>
        </is>
      </c>
      <c r="C8656" t="inlineStr">
        <is>
          <t>Hi guys, some of you might have seen my posts. As I wrote before, dad has stage 4 lung cancer and is understandably extremely anxious and depressed. We can’t even keep him in the hospital because it’s overrun with corona patients which puts him in more danger.
How can I help my dad in this situation? He is coughing more and it’s like those cough that comes out (the sound is like a phlegm coming out, bad kind of cough). Is this something to worry about or is this something normal with lung cancer patients? I’m also having panic attacks. I wish there was a way for me to help him, what can I do?</t>
        </is>
      </c>
      <c r="D8656" t="n">
        <v>1</v>
      </c>
      <c r="E8656" t="n">
        <v>4</v>
      </c>
      <c r="F8656">
        <f>HYPERLINK("https://www.reddit.com/r/cancer/comments/fvquzu/dad_is_depressed_anxious_and_scared/")</f>
        <v/>
      </c>
      <c r="G8656" t="inlineStr">
        <is>
          <t>2020-04-05 19:54:18</t>
        </is>
      </c>
      <c r="H8656" t="inlineStr"/>
    </row>
    <row r="8657">
      <c r="A8657" t="inlineStr">
        <is>
          <t>fvrgfa</t>
        </is>
      </c>
      <c r="B8657" t="inlineStr">
        <is>
          <t>Does anyone have experience with a Feeding G tube??</t>
        </is>
      </c>
      <c r="C8657" t="inlineStr">
        <is>
          <t>Hi quick question. My mom has a g tube because of cancer, for 2 months so far. Its still healing imo. Anyways the nurse recommended Calazime around the opening area. So I switched from bacitracin to that yesterday or Friday. Last weekend there was bleeding, but very little. Then The past few days the site looked fine, there was some redness but looked okay. But I just changed the dressing and cleaned it right now and it was bleeding quite a bit. We are kinda anxious and hoping it will stop. Has this happened to anyone else? What do we do?</t>
        </is>
      </c>
      <c r="D8657" t="n">
        <v>1</v>
      </c>
      <c r="E8657" t="n">
        <v>7</v>
      </c>
      <c r="F8657">
        <f>HYPERLINK("https://www.reddit.com/r/cancer/comments/fvrgfa/does_anyone_have_experience_with_a_feeding_g_tube/")</f>
        <v/>
      </c>
      <c r="G8657" t="inlineStr">
        <is>
          <t>2020-04-05 20:36:49</t>
        </is>
      </c>
      <c r="H8657" t="inlineStr"/>
    </row>
    <row r="8658">
      <c r="A8658" t="inlineStr">
        <is>
          <t>fvucaq</t>
        </is>
      </c>
      <c r="B8658" t="inlineStr">
        <is>
          <t>Diagnosed with cancer 2 days ago. Let's share.</t>
        </is>
      </c>
      <c r="C8658" t="inlineStr">
        <is>
          <t>Hello, it's 2 am over here and I have been having trouble sleeping even though I will have to get up for work. And I want to hear your stories and experience. Even if it's about someone else's cancer.
I am a 24 yo female. Almost 3 weeks ago I found a lump 3 cm in diameter under my armpit around the curve of my breast.
Some back story on myself, I've sometimes wondered wether the times I have felt like I am not afraid of death was real or maybe it was a "easier said than done". Well, I think I have discovered the answer. I am very much afraid of a sudden unexpected death but a death which I can plan out puts my mind at ease. And even better, I have chances of surviving.
Anyway, two days ago the results of my biopsy came in and it was indeed cancer and it's positive for metastasis. My two doctors before (the gynecologist and the radiologist) kept saying that it's probably nothing to worry about judging it by my age and the shape of my breasts along with no discoloration nor nipple discharge. It would most likely mean it's not cancer, just a lump from something else like a fibrodenoma, sorry I probably got the word wrong but it starts with fibro-. It became an important lesson to get tested instead of dismissing it. The mammography and ultrasound were cheap but that's because I'm not from the U.S. so it seemed very worthwhile to get checked despite my doctors telling me not to worry.
It was amazing too, I got my results on aprils fools but remember that I am not from the US so...it wasn't a prank.
I took the news pretty well, I thought I am sure going to be fine. If the worst of the worst were to happen that would mean I could use up all my savings for a wonderful vacation. Besides, cancer can be fought with a good attitude and I have to focus on not getting stressed. Even if maybe I haven't been doing a very good job at that, I think I'm doing relatively well for something so recent. What terrifies me most is having to remove my breasts, there are still tests to be done to determine if I should remove both or only one and well, I am not looking forward to it. 
Let's talk, share, ask, anything.</t>
        </is>
      </c>
      <c r="D8658" t="n">
        <v>1</v>
      </c>
      <c r="E8658" t="n">
        <v>33</v>
      </c>
      <c r="F8658">
        <f>HYPERLINK("https://www.reddit.com/r/cancer/comments/fvucaq/diagnosed_with_cancer_2_days_ago_lets_share/")</f>
        <v/>
      </c>
      <c r="G8658" t="inlineStr">
        <is>
          <t>2020-04-06 00:30:09</t>
        </is>
      </c>
      <c r="H8658" t="inlineStr"/>
    </row>
    <row r="8659">
      <c r="A8659" t="inlineStr">
        <is>
          <t>fvvw8p</t>
        </is>
      </c>
      <c r="B8659" t="inlineStr">
        <is>
          <t>Male with swollen armpit</t>
        </is>
      </c>
      <c r="C8659" t="inlineStr">
        <is>
          <t>https://imgur.com/a/yMscQ4s
I am a 25yrs old male and noticed some swelling in my right armpit as seen in the pictures. It's hard to catch it at the right angle so i included multiple pictures.
I remember noticing the difference between both armpits half a year ago but it feels more significant now. It doesn't hurt and is right inside the armpit. Not sure how a lump is supposed to feel but from a regular feel with my fingers its soft skin.
I am reluctant on going to the hospital unless it's an absolute necessity due to the covid. Any insight would be greatly appreciated!</t>
        </is>
      </c>
      <c r="D8659" t="n">
        <v>1</v>
      </c>
      <c r="E8659" t="n">
        <v>5</v>
      </c>
      <c r="F8659">
        <f>HYPERLINK("https://www.reddit.com/r/cancer/comments/fvvw8p/male_with_swollen_armpit/")</f>
        <v/>
      </c>
      <c r="G8659" t="inlineStr">
        <is>
          <t>2020-04-06 02:46:34</t>
        </is>
      </c>
      <c r="H8659" t="inlineStr"/>
    </row>
    <row r="8660">
      <c r="A8660" t="inlineStr">
        <is>
          <t>fvwx80</t>
        </is>
      </c>
      <c r="B8660" t="inlineStr">
        <is>
          <t>Weight post bone marrow transplant</t>
        </is>
      </c>
      <c r="C8660" t="inlineStr">
        <is>
          <t>hey, hope you’re all keeping well! Those of us who’ve had stem cell/bone marrow transplants: have you had any difficulty with your weight post transplant? I personally lost a lot of weight during transplant and have been trying my best to gain it back, but it’s been more than a year now and I’m still quite underweight. Does anyone have any experiences (similar or otherwise) that they’d like to share?</t>
        </is>
      </c>
      <c r="D8660" t="n">
        <v>1</v>
      </c>
      <c r="E8660" t="n">
        <v>8</v>
      </c>
      <c r="F8660">
        <f>HYPERLINK("https://www.reddit.com/r/cancer/comments/fvwx80/weight_post_bone_marrow_transplant/")</f>
        <v/>
      </c>
      <c r="G8660" t="inlineStr">
        <is>
          <t>2020-04-06 04:12:23</t>
        </is>
      </c>
      <c r="H8660" t="inlineStr"/>
    </row>
    <row r="8661">
      <c r="A8661" t="inlineStr">
        <is>
          <t>fvyok7</t>
        </is>
      </c>
      <c r="B8661" t="inlineStr">
        <is>
          <t>'I'll Will This Outta Me': NJ Cancer Survivor Shares Moment He Knew He'd Beat Coronavirus, Too | News Break</t>
        </is>
      </c>
      <c r="C8661" t="inlineStr">
        <is>
          <t>Just wanted to share this beautifully optimistic story with the group. **Stay positive!**</t>
        </is>
      </c>
      <c r="D8661" t="n">
        <v>1</v>
      </c>
      <c r="E8661" t="n">
        <v>0</v>
      </c>
      <c r="F8661">
        <f>HYPERLINK("https://www.reddit.com/r/cancer/comments/fvyok7/ill_will_this_outta_me_nj_cancer_survivor_shares/")</f>
        <v/>
      </c>
      <c r="G8661" t="inlineStr">
        <is>
          <t>2020-04-06 06:24:16</t>
        </is>
      </c>
      <c r="H8661" t="inlineStr"/>
    </row>
    <row r="8662">
      <c r="A8662" t="inlineStr">
        <is>
          <t>fvzitv</t>
        </is>
      </c>
      <c r="B8662" t="inlineStr">
        <is>
          <t>If my Mother is diagnosed with ovarian cancer for her 3rd time in 9 years, do her “chances” change any?</t>
        </is>
      </c>
      <c r="C8662" t="inlineStr">
        <is>
          <t>My mother was diagnosed with stage 3 ovarian cancer in 2011. She had chemotherapy and surgery. In 2013, it came back and she had chemotherapy. She responded well to both those cases. 
The number that has always stuck in my mind is the 50% survival rate at 5 years. 
She’s past 5 years and this will be 9 years. She’s experiencing the same symptoms and her CA125 test is quite a bit higher than the normal range. She goes in for a scan today to find out where and how bad the cancer could be. I’m sure I’ll have more information later today or tomorrow. 
I thought I would ask here because I can’t concentrate on my work in the meantime - if she’s survived past the 5 years, and it comes back a 3rd time, does that change your prognosis in any way? Does her “5 year timeline” start over?
I don’t think I’m even phrasing that question correctly and I’m not sure how exactly I want to ask it. If someone can interpret what I’m saying and provide any feedback... I would greatly appreciate it.</t>
        </is>
      </c>
      <c r="D8662" t="n">
        <v>1</v>
      </c>
      <c r="E8662" t="n">
        <v>11</v>
      </c>
      <c r="F8662">
        <f>HYPERLINK("https://www.reddit.com/r/cancer/comments/fvzitv/if_my_mother_is_diagnosed_with_ovarian_cancer_for/")</f>
        <v/>
      </c>
      <c r="G8662" t="inlineStr">
        <is>
          <t>2020-04-06 07:17:51</t>
        </is>
      </c>
      <c r="H8662" t="inlineStr"/>
    </row>
    <row r="8663">
      <c r="A8663" t="inlineStr">
        <is>
          <t>fvzjav</t>
        </is>
      </c>
      <c r="B8663" t="inlineStr">
        <is>
          <t>21 years old and I’m worried I might have neck cancer.</t>
        </is>
      </c>
      <c r="C8663" t="inlineStr">
        <is>
          <t>Idk what to do or where I should post this but I have the symptoms of head and neck cancer. I have a mouth ulcer on the side of my left cheek inside my mouth and I also feel a lump under the left side of  my jaw. But I only feel the lump whenever I move my head down and push up on the skin going up to my jaw. It’s feel like it’s the size of a grape.  
I’m super worried it might be cancer and I don’t think it’s just a coincidence. Sorry if this is a shit post I’m just nervous</t>
        </is>
      </c>
      <c r="D8663" t="n">
        <v>1</v>
      </c>
      <c r="E8663" t="n">
        <v>5</v>
      </c>
      <c r="F8663">
        <f>HYPERLINK("https://www.reddit.com/r/cancer/comments/fvzjav/21_years_old_and_im_worried_i_might_have_neck/")</f>
        <v/>
      </c>
      <c r="G8663" t="inlineStr">
        <is>
          <t>2020-04-06 07:18:39</t>
        </is>
      </c>
      <c r="H8663" t="inlineStr"/>
    </row>
    <row r="8664">
      <c r="A8664" t="inlineStr">
        <is>
          <t>fvzp5r</t>
        </is>
      </c>
      <c r="B8664" t="inlineStr">
        <is>
          <t>How fast do you need to start radiotherapy after GBM surgery?</t>
        </is>
      </c>
      <c r="C8664" t="inlineStr">
        <is>
          <t>My grandpa (68) was diagnosed with a pretty big (at least that's what the docs told me - two of them whom I contacted outside of the hospital told me that a few weeks more and it could have become inoperable) grade 4 glioblastoma two weeks ago. 10 days ago he had the surgery - overall, everything looks good so far (slight hemiparesis remained but I'm still counting on parts of it resolving over time + it's still nothing compared to the magnitude of the whole thing), the docs are happy and all. 
Simultaneously, the hospital told us to start looking for radiotherapy cause the sooner you start the therapy, the better. I read the same on the internet. The problem is, I have a hard time of wrapping my head around "the sooner the better" as a layman and we're all growing a little paranoid with my family cause it's not exactly a turbo-quick thing in my country anyway but now with covid, it's considerably harder. So far, our research and asking around seem to indicate that usually, it takes around a week to get an appointment with an oncologist after you get your histopathology results (cause nobody wants to even see you without it) of the tumor and then as long as a month to actually start the radiations. 
How does that go along with the "let's start it ASAP" recommendation? Is it too long and I should look in cities much further away to have a shot of moving it a week or so back? Or is a month totally fine? I just don't know what "fast" means in this context - does that mean "let's just do it in the first possible open date they give you" or "try to start it literally a week after being released from the hospital or else every day of delay is going to make the therapy harder"? I guess the question is just, is there a window of time within which it makes no difference whether you start the therapy 5, 10 or 15 days this way or another or is there no such window and literally every day counts here?</t>
        </is>
      </c>
      <c r="D8664" t="n">
        <v>1</v>
      </c>
      <c r="E8664" t="n">
        <v>5</v>
      </c>
      <c r="F8664">
        <f>HYPERLINK("https://www.reddit.com/r/cancer/comments/fvzp5r/how_fast_do_you_need_to_start_radiotherapy_after/")</f>
        <v/>
      </c>
      <c r="G8664" t="inlineStr">
        <is>
          <t>2020-04-06 07:28:29</t>
        </is>
      </c>
      <c r="H8664" t="inlineStr"/>
    </row>
    <row r="8665">
      <c r="A8665" t="inlineStr">
        <is>
          <t>fw0vgo</t>
        </is>
      </c>
      <c r="B8665" t="inlineStr">
        <is>
          <t>Liver Cancer Help During Isolation</t>
        </is>
      </c>
      <c r="C8665" t="inlineStr">
        <is>
          <t>Hello, 
Today I had the sad news of hearing my Grandad has a tumor next to his left kidney. Because of Covid-19 the NHS cannot operate for 6 weeks. The doctor has said it should not get any bigger within the 6 weeks but if it does they cannot operate. Is there anything he can do at home to make sure that it does not spread or get any bigger? 
&amp;amp;#x200B;
As a disclaimer: He has a rum coke most nights, ex smoker (20+ years without a fag), his memory is not great, his age is 85+ and does not get that much exercise.</t>
        </is>
      </c>
      <c r="D8665" t="n">
        <v>1</v>
      </c>
      <c r="E8665" t="n">
        <v>2</v>
      </c>
      <c r="F8665">
        <f>HYPERLINK("https://www.reddit.com/r/cancer/comments/fw0vgo/liver_cancer_help_during_isolation/")</f>
        <v/>
      </c>
      <c r="G8665" t="inlineStr">
        <is>
          <t>2020-04-06 08:37:23</t>
        </is>
      </c>
      <c r="H8665" t="inlineStr"/>
    </row>
    <row r="8666">
      <c r="A8666" t="inlineStr">
        <is>
          <t>fw0wbu</t>
        </is>
      </c>
      <c r="B8666" t="inlineStr">
        <is>
          <t>Coping with father's terminal lung cancer as a caregiver. Advice?</t>
        </is>
      </c>
      <c r="C8666" t="inlineStr">
        <is>
          <t>7 weeks ago, my father was diagnosed with Stage 4 NSCLC. His only symptom was increasingly bad back pain which happened to coincide with my parents packing up my childhood home and preparing to move into their new home. Seeing that scan in the emergency room was a shock, as it showed the cancer had spread into his spine, pelvis, ribs, and adrenal gland. 
Though his cancer had no actionable mutations, he qualified for one immunotherapy drug (Opdivo) and after one infusion, his cancer appeared to grow more aggressively. It was as if the tumor was visibly growing before our very eyes. I read dozens of articles and saw that hyperprogression by way of immunotherapy could be a real phenomenon. Also, the radiation treatments did not seem to be working. They likened it to "the tumor laughing in their face". His oncologist examined my dad and immediately ordered a CT scan. The scan showed significant progression in the 5 weeks since his first scan the day we took him to the emergency room. Next, he had one infusion of carbo-taxol chemo but 2 days later, he was so knocked out that he slept almost non-stop and basically didn't eat anything for 3 days. He ended losing 10 pounds in one week.
A week after his first chemo treatment, he was scheduled to have his second carbo-taxol infusion. However, I had noticed that his lung tumor appeared to be even larger. It was clear to me that the chemo likely wasn't working and I steeled myself for more bad news. His oncologist examined him and agreed that stopping treatment was probably the best thing to do considering that radiation, immunotherapy, and chemo had done nothing to stop his aggressive cancer from advancing. Studies show that his tumor co-mutation (KRAS + STK11) is extremely resistant to treatment. So it was recommended that my father enter hospice at home, so he can die with dignity and not have to endure any more treatment-related pain.
My father told us how relieved he was to not have to do chemo again. It's been 3 days since it was decided he would no longer undergo treatment, and a hospice nurse visited us over the weekend. It's absolutely devastating to see how quickly that this has progressed as we truly thought we'd have more time with him. As one of his primary caregivers, I can tell that his pain is worsening despite additional/different pain meds, it is getting more difficult for him to swallow, and his legs are getting weaker as the spine mets grow getting closer to compressing his spine.
I am working toward getting to a place of peace but seeing my dad suffer is the most difficult thing I've ever had to do – and if it's this hard just witnessing it, I don't want to imagine how difficult it is for him to endure this pain. I've always hoped that my parents would go peacefully when their time came and it seems that death from cancer can be painfully drawn out. I'm terrified of facing what's next in the process, even with the compassionate support of hospice and our close-knit family (my mom, 2 siblings, nieces and nephew, and an incredible brother-in-law who has been beyond incredible).
I'm hoping that having an idea of what to expect over the next few weeks will be helpful. My heart goes out to everyone who has been through this... as many have told me, it's difficult to know what it's really like until you go through it yourself.</t>
        </is>
      </c>
      <c r="D8666" t="n">
        <v>1</v>
      </c>
      <c r="E8666" t="n">
        <v>10</v>
      </c>
      <c r="F8666">
        <f>HYPERLINK("https://www.reddit.com/r/cancer/comments/fw0wbu/coping_with_fathers_terminal_lung_cancer_as_a/")</f>
        <v/>
      </c>
      <c r="G8666" t="inlineStr">
        <is>
          <t>2020-04-06 08:38:56</t>
        </is>
      </c>
      <c r="H8666" t="inlineStr"/>
    </row>
    <row r="8667">
      <c r="A8667" t="inlineStr">
        <is>
          <t>fw2976</t>
        </is>
      </c>
      <c r="B8667" t="inlineStr">
        <is>
          <t>Hello everyone, my father has cancer.</t>
        </is>
      </c>
      <c r="C8667" t="inlineStr">
        <is>
          <t>It’s very bad. They are giving him two days. Stage 4 lung cancer. 1st time he beat it second time when it came back he spread like a wildfire.
Now I never fully understood the full evil of cancer till recently. I mean I watched my grandfather pass of lung cancer ( I was 6) but I faintly remember that. 
But this man not only is my father. He adopted me and my sister. My hero since the age of 8 (26). I had to sit there and listen to my father tell me and my siblings (7 of us) goodbye. 
I know I’ve been through hell growing up before I went into the system. But NOTHING beats this. When he had us around the circle last night it was quiet as a mouse. No one knew what to say. 
But I had one question for him. I asked him 
“Did you live a good life ol man? “
 He said “hell yea I did” those moments will always be burned into my head for eternity. 
To those with cancer. You are officially all my hero’s. You are going through a battle that no one could never imagine. I’m sorry I never understood how it feels to be impacted with this horrible situation till now. 
I’ll write a t;l dr when my face dries up. Sorry guys.</t>
        </is>
      </c>
      <c r="D8667" t="n">
        <v>1</v>
      </c>
      <c r="E8667" t="n">
        <v>8</v>
      </c>
      <c r="F8667">
        <f>HYPERLINK("https://www.reddit.com/r/cancer/comments/fw2976/hello_everyone_my_father_has_cancer/")</f>
        <v/>
      </c>
      <c r="G8667" t="inlineStr">
        <is>
          <t>2020-04-06 09:52:52</t>
        </is>
      </c>
      <c r="H8667" t="inlineStr"/>
    </row>
    <row r="8668">
      <c r="A8668" t="inlineStr">
        <is>
          <t>fw5y6y</t>
        </is>
      </c>
      <c r="B8668" t="inlineStr">
        <is>
          <t>Society hates short-haired women</t>
        </is>
      </c>
      <c r="C8668" t="inlineStr">
        <is>
          <t>My hair has grown back to a long-buzzcut length and I'm not wearing a hat all the time anymore. The other day some random homeless man called me a dyke. Today I was on a walk and thought of something funny, so I smiled to myself. Then I looked up and accidentally made eye contact with a normal-looking man on a bike. He turned out to be fragile as hell and thought I was laughing at **him** and started calling me ugly, making fun of my hair, etc. 
Just wanted to vent. I know I don't look good with this hairstyle (though some women can really pull it off), but I didn't know strangers would be so cruel.</t>
        </is>
      </c>
      <c r="D8668" t="n">
        <v>1</v>
      </c>
      <c r="E8668" t="n">
        <v>49</v>
      </c>
      <c r="F8668">
        <f>HYPERLINK("https://www.reddit.com/r/cancer/comments/fw5y6y/society_hates_shorthaired_women/")</f>
        <v/>
      </c>
      <c r="G8668" t="inlineStr">
        <is>
          <t>2020-04-06 13:07:16</t>
        </is>
      </c>
      <c r="H8668" t="inlineStr"/>
    </row>
    <row r="8669">
      <c r="A8669" t="inlineStr">
        <is>
          <t>fw7p17</t>
        </is>
      </c>
      <c r="B8669" t="inlineStr">
        <is>
          <t>Pain in the a**</t>
        </is>
      </c>
      <c r="C8669" t="inlineStr">
        <is>
          <t>Literally. Short backstory (heh): I (35F) was diagnosed with rectal cancer Nov of last year, had a low anterior resection, and am currently going through chemo (round 3 of 4). About a month ago I started having rectal pressure/discomfort that has become increasingly bothersome. I've reached out to my surgeon several times and she's not concerned- just reassures me that "it's very common" among people who have undergone my surgery. Problem is I'm someone who likes an explanation for these things and I'm not getting one. I also had about 5 doctors blow off my symptoms before being diagnosed so I have a little residual skepticism related to that. I am, of course, terrified that this means the cancer is back because I had some similar feelings before I was diagnosed. Anyone who can weigh in on this? If it's as common as my surgeon says I could use some reassurance.</t>
        </is>
      </c>
      <c r="D8669" t="n">
        <v>1</v>
      </c>
      <c r="E8669" t="n">
        <v>13</v>
      </c>
      <c r="F8669">
        <f>HYPERLINK("https://www.reddit.com/r/cancer/comments/fw7p17/pain_in_the_a/")</f>
        <v/>
      </c>
      <c r="G8669" t="inlineStr">
        <is>
          <t>2020-04-06 14:43:56</t>
        </is>
      </c>
      <c r="H8669" t="inlineStr"/>
    </row>
    <row r="8670">
      <c r="A8670" t="inlineStr">
        <is>
          <t>fw8x7v</t>
        </is>
      </c>
      <c r="B8670" t="inlineStr">
        <is>
          <t>Looking for a driving companion, CT to UT</t>
        </is>
      </c>
      <c r="C8670" t="inlineStr">
        <is>
          <t>I'm seeing many on this board in a similar situation: my mother's health has taken a turn for the worse after living for three years with metastatic pancreatic cancer and I would like to visit her, though I am stuck on the East Coast and she in the Rockies. 
I couldn't forgive myself for bringing COVID to her after exposure via plane, so I would like to drive. **Is there anyone else out there who would also find this useful and would like to join me?** I will be driving from mid-CT to northern UT and would be willing to go a few hours out of my way to get a second driver. I plan to drive as many hours as possible each day, pack enough food to not need to venture into a grocery store or other for meals, and have disposable gloves for dispensing gas. I have been self-isolating for the past three weeks and have not experienced any symptoms. I have driven across the country previously (CA to CT) and know what I'm getting myself in for. 
I am happy to give details about myself or discuss logistics with anyone interested, just message me.
I think my plan is relatively safe and adheres to social distancing protocols, but please comment if there's something I haven't thought of or left out here. 
Hope and love to anyone worried about a sick loved one during this pandemic (or anytime). Cancer sucks, then and now.</t>
        </is>
      </c>
      <c r="D8670" t="n">
        <v>1</v>
      </c>
      <c r="E8670" t="n">
        <v>0</v>
      </c>
      <c r="F8670">
        <f>HYPERLINK("https://www.reddit.com/r/cancer/comments/fw8x7v/looking_for_a_driving_companion_ct_to_ut/")</f>
        <v/>
      </c>
      <c r="G8670" t="inlineStr">
        <is>
          <t>2020-04-06 15:55:14</t>
        </is>
      </c>
      <c r="H8670" t="inlineStr"/>
    </row>
    <row r="8671">
      <c r="A8671" t="inlineStr">
        <is>
          <t>fw9o02</t>
        </is>
      </c>
      <c r="B8671" t="inlineStr">
        <is>
          <t>My mom is young with liver cancer</t>
        </is>
      </c>
      <c r="C8671" t="inlineStr">
        <is>
          <t>So, my mom is 46, which is fairly young considering I'm in my 20s. Recently, she got pneumonia and was in the hospital for 2 nights. She begged them to let her come home early, so they let her go. They ran a lot of tests, and just recently, they notified her and my dad that she has liver cancer. My dad just told me this today, and he didn't seem too concerned. Apparently the doctors found it at early stages, and hopefully they can treat it fairly quickly. My parents are acting like it's not a big deal, but I'm sort of freaking out. Because it has been caught in an early stage, is remission more likely? She's already very weak. She has medium-severe arthritis and is in constant pain, and I just hope this cancer doesn't add to any pain she already has. It's heartbreaking to me to see my own mother in such pain. 
TLDR; my mom recently got diagnosed with liver cancer. My parents are acting like it's nothing, and I'm freaking out. Is it reasonable or am I overreacting?</t>
        </is>
      </c>
      <c r="D8671" t="n">
        <v>1</v>
      </c>
      <c r="E8671" t="n">
        <v>3</v>
      </c>
      <c r="F8671">
        <f>HYPERLINK("https://www.reddit.com/r/cancer/comments/fw9o02/my_mom_is_young_with_liver_cancer/")</f>
        <v/>
      </c>
      <c r="G8671" t="inlineStr">
        <is>
          <t>2020-04-06 16:40:09</t>
        </is>
      </c>
      <c r="H8671" t="inlineStr"/>
    </row>
    <row r="8672">
      <c r="A8672" t="inlineStr">
        <is>
          <t>fw9oai</t>
        </is>
      </c>
      <c r="B8672" t="inlineStr">
        <is>
          <t>Things to do before anything happens</t>
        </is>
      </c>
      <c r="C8672" t="inlineStr">
        <is>
          <t>My mom was diagnosed with primary adenocarcinoma of the body of pancreas incurable and locally advanced with metastasis to the retroperitoneum. The doctor let us know it was locally advanced pancreatic cancer, but I did not read the full documentation saying that it metastasized to the retroperitoneum. It’s been 2 months since she was initially diagnosed and this coming Friday will be her third time doing chemo (3 days long). After her 4th chemo in 2 weeks we will be doing a second CT scan to see the progress
Today I finally read the CT scan that gave us her diagnosis and I feel so numb. I’m going to cry later when I’m not around mom, but this makes me want to make a list of things to ask her or things to do because I don’t know how long I’ll have her. 
What are somethings you wish you could have asked your loved ones or done?</t>
        </is>
      </c>
      <c r="D8672" t="n">
        <v>1</v>
      </c>
      <c r="E8672" t="n">
        <v>3</v>
      </c>
      <c r="F8672">
        <f>HYPERLINK("https://www.reddit.com/r/cancer/comments/fw9oai/things_to_do_before_anything_happens/")</f>
        <v/>
      </c>
      <c r="G8672" t="inlineStr">
        <is>
          <t>2020-04-06 16:40:36</t>
        </is>
      </c>
      <c r="H8672" t="inlineStr"/>
    </row>
    <row r="8673">
      <c r="A8673" t="inlineStr">
        <is>
          <t>fwdfnw</t>
        </is>
      </c>
      <c r="B8673" t="inlineStr">
        <is>
          <t>Can long-term depression cause cancer?</t>
        </is>
      </c>
      <c r="C8673" t="inlineStr">
        <is>
          <t>My father got cancer last year and he seems to have depression. I have known that he drank and smoked so much. And I noticed that he was depressed almost everyday.
I am not sure if he has depression for many years.</t>
        </is>
      </c>
      <c r="D8673" t="n">
        <v>1</v>
      </c>
      <c r="E8673" t="n">
        <v>5</v>
      </c>
      <c r="F8673">
        <f>HYPERLINK("https://www.reddit.com/r/cancer/comments/fwdfnw/can_longterm_depression_cause_cancer/")</f>
        <v/>
      </c>
      <c r="G8673" t="inlineStr">
        <is>
          <t>2020-04-06 20:46:44</t>
        </is>
      </c>
      <c r="H8673" t="inlineStr"/>
    </row>
    <row r="8674">
      <c r="A8674" t="inlineStr">
        <is>
          <t>fwef2t</t>
        </is>
      </c>
      <c r="B8674" t="inlineStr">
        <is>
          <t>15F Lifelong best friend with GBM is nearing the end</t>
        </is>
      </c>
      <c r="C8674" t="inlineStr">
        <is>
          <t>I don't have a ton of energy, but here is what happened: December 2016 she was diagnosed with Glioblastoma in her brain. It was just slightly bigger than the size of a baseball. Two surgeries, lots of chemo, and lots of radiation, and she was declared cancer free. January 2019, they found a 2 cm diameter tumor at her routine MRI scan. No big deal. Except now we knew it could come back. One surgery and a few radiation sessions later, and she is cancer free again. Then comes July 2019. She is super tired and sleeping a lot so she goes into her neurologist to see what's up. They have her appointment Wednesday. Her scan is Thursday. Thursday night she stays overnight because of brain swelling, and they wait for the scan results. Friday. She told that her tumor is back, that it is even bigger than the first one she had in 2016. It is inoperable. Too soon for radiation again. Chemo worked for a bit, but stopped working. I love my best friend like a sister and I don't even know how to process this all. She is in palliative care right now, but will probably be transitioned into hospice some time this week. We are probably down to a matter of weeks, if not days. I'm not ready to lose my best friend. We were supposed to have so many more adventures and memories to make. I love her so much. I don't want her to die</t>
        </is>
      </c>
      <c r="D8674" t="n">
        <v>1</v>
      </c>
      <c r="E8674" t="n">
        <v>5</v>
      </c>
      <c r="F8674">
        <f>HYPERLINK("https://www.reddit.com/r/cancer/comments/fwef2t/15f_lifelong_best_friend_with_gbm_is_nearing_the/")</f>
        <v/>
      </c>
      <c r="G8674" t="inlineStr">
        <is>
          <t>2020-04-06 21:59:52</t>
        </is>
      </c>
      <c r="H8674" t="inlineStr"/>
    </row>
    <row r="8675">
      <c r="A8675" t="inlineStr">
        <is>
          <t>fwglme</t>
        </is>
      </c>
      <c r="B8675" t="inlineStr">
        <is>
          <t>My mom has breast cancer</t>
        </is>
      </c>
      <c r="C8675" t="inlineStr">
        <is>
          <t>So my mom has cancer and we need every bit of money to help for her surgery. We barely have any money to support our food and house. My mom isnt able to work so my dad has to work three jobs to feed us. I really hope that someone would be nice enough to give my family some food money.
https://paypal.me/pools/c/8o37X4PeW2</t>
        </is>
      </c>
      <c r="D8675" t="n">
        <v>1</v>
      </c>
      <c r="E8675" t="n">
        <v>0</v>
      </c>
      <c r="F8675">
        <f>HYPERLINK("https://www.reddit.com/r/cancer/comments/fwglme/my_mom_has_breast_cancer/")</f>
        <v/>
      </c>
      <c r="G8675" t="inlineStr">
        <is>
          <t>2020-04-07 01:04:54</t>
        </is>
      </c>
      <c r="H8675" t="inlineStr"/>
    </row>
    <row r="8676">
      <c r="A8676" t="inlineStr">
        <is>
          <t>fwj3l3</t>
        </is>
      </c>
      <c r="B8676" t="inlineStr">
        <is>
          <t>Socialising as a young adult with cancer - First activity + group online!</t>
        </is>
      </c>
      <c r="C8676" t="inlineStr">
        <is>
          <t>Hi everyone!
I'm Matthew
After being diagnosed with 2 germinoma brain tumours in 2017 after months of treatment I got the all clear.  The main struggle I had after treatment was the social isolation I faced, so after a couple of years I decided to do something about it.
 I made a post a couple of months ago about an online social group for young adults (18 - 32) who've ever had a cancer diagnosis and I wanted to let everyone know that the group is now up and running and we are having the first activity at the end of the week.
If you didn't see my last post (  [https://www.reddit.com/r/cancer/comments/eqhfaf/socialising\_as\_a\_young\_adult\_with\_cancer/](https://www.reddit.com/r/cancer/comments/eqhfaf/socialising_as_a_young_adult_with_cancer/)  )
let me tell you a little bit about the group! Unlike other online social groups for young adults we don't **Just** stick to a forum. The whole idea of the group is to get young adults socialising again, so starting from the coming Friday / Saturday we'll be having regularly scheduled activities including: Game nights, Movie watch-alongs, Board games, Social nights and if there's anything else you'd like to do then I'm open to suggestions!
If you'd like to join the group then you can join our group forum which is the best place to get updates and news on activities right [here.](https://energy-out.mn.co/feed)
If you'd like more information on the group then you can visit the website [here.](https://energyout.co.uk)
Or if you have any questions for me then feel free to PM me or ask in the comments!
Thank you all for reading and I hope to see some of you at our first activity!
Matthew White / tngp</t>
        </is>
      </c>
      <c r="D8676" t="n">
        <v>1</v>
      </c>
      <c r="E8676" t="n">
        <v>0</v>
      </c>
      <c r="F8676">
        <f>HYPERLINK("https://www.reddit.com/r/cancer/comments/fwj3l3/socialising_as_a_young_adult_with_cancer_first/")</f>
        <v/>
      </c>
      <c r="G8676" t="inlineStr">
        <is>
          <t>2020-04-07 04:45:24</t>
        </is>
      </c>
      <c r="H8676" t="inlineStr"/>
    </row>
    <row r="8677">
      <c r="A8677" t="inlineStr">
        <is>
          <t>fwj5ph</t>
        </is>
      </c>
      <c r="B8677" t="inlineStr">
        <is>
          <t>Socialising as a young adult with cancer - Group online + First activity!</t>
        </is>
      </c>
      <c r="C8677" t="inlineStr">
        <is>
          <t xml:space="preserve"> 
Hi everyone!
I'm Matthew
After being diagnosed with 2 germinoma brain tumours in 2017 after months of treatment I got the all clear. The main struggle I had after treatment was the social isolation I faced, so after a couple of years I decided to do something about it.
I made a post a couple of months ago about an online social group for young adults (18 - 32) who've ever had a cancer diagnosis and I wanted to let everyone know that the group is now up and running and we are having the first activity at the end of the week.
&amp;amp;#x200B;
let me tell you a little bit about the group! Unlike other online social groups for young adults we don't **Just** stick to a forum. The whole idea of the group is to get young adults socialising again, so starting from the coming Friday / Saturday we'll be having regularly scheduled activities including: Game nights, Movie watch-alongs, Board games, Social nights and if there's anything else you'd like to do then I'm open to suggestions!
If you'd like to join the group just ask for an invite in the comments (I'm unable to post the link!)
Or if you have any questions for me then feel free to PM me or ask in the comments!
Thank you all for reading and I hope to see some of you at our first activity!
Matthew White / tngp</t>
        </is>
      </c>
      <c r="D8677" t="n">
        <v>1</v>
      </c>
      <c r="E8677" t="n">
        <v>18</v>
      </c>
      <c r="F8677">
        <f>HYPERLINK("https://www.reddit.com/r/cancer/comments/fwj5ph/socialising_as_a_young_adult_with_cancer_group/")</f>
        <v/>
      </c>
      <c r="G8677" t="inlineStr">
        <is>
          <t>2020-04-07 04:50:03</t>
        </is>
      </c>
      <c r="H8677" t="inlineStr"/>
    </row>
    <row r="8678">
      <c r="A8678" t="inlineStr">
        <is>
          <t>fwpend</t>
        </is>
      </c>
      <c r="B8678" t="inlineStr">
        <is>
          <t>We are proud...</t>
        </is>
      </c>
      <c r="C8678" t="inlineStr">
        <is>
          <t>...to participate in Smashwords "Authors Give Back" sale we are offering a 30% discount on;
https://www.smashwords.com/books/view/926991
And a 60% discount on;
https://www.smashwords.com/books/view/654883
#cancer #brain surgery #obesity #books #family #love #life</t>
        </is>
      </c>
      <c r="D8678" t="n">
        <v>1</v>
      </c>
      <c r="E8678" t="n">
        <v>0</v>
      </c>
      <c r="F8678">
        <f>HYPERLINK("https://www.reddit.com/r/cancer/comments/fwpend/we_are_proud/")</f>
        <v/>
      </c>
      <c r="G8678" t="inlineStr">
        <is>
          <t>2020-04-07 11:09:06</t>
        </is>
      </c>
      <c r="H8678" t="inlineStr"/>
    </row>
    <row r="8679">
      <c r="A8679" t="inlineStr">
        <is>
          <t>fwrnmi</t>
        </is>
      </c>
      <c r="B8679" t="inlineStr">
        <is>
          <t>Nasopharyngeal, Chemo (Cisplatin), Proton Therapy - Young patient (32M)</t>
        </is>
      </c>
      <c r="C8679" t="inlineStr">
        <is>
          <t>A bit of background. This cancer has created a lot of problems for my family. Out of the 6 kids my grandparents had, 3 of them had nasopharyngeal. My father included; They found it stage 2 when he was 47, he went through treatment and 3 years later it came back (recurrent, same area) and he passed when he was 51. (I was 21 at the time, my brothers were 17 and 15. My uncle was the first one to find it (stage 4...but was cured), and my aunt found it very early due to proactively getting checked (stage 0/1).
Seeing how it affected my extended family, my mom was diligent in asking us to keep getting it checked. I was recently diagnosed (ENT heard my family history, sent it to do biopsy even low risk). My tumor is small (1cm), not invading other tissues or structures, but it might have spread to 1 lymph node. They don't see trace of it in others. I'm either a stage 1 or 2. They are still figuring it out
It's been a roller coaster. Emotionally I've been doing okay, obviously sometimes I worry, but my faith (I'm Christian) has been my support - And recalling how my father was strong in his faith while being in a worse spot the second time has been my anchor in staying strong so far. (Not sure if this is allowed, but if sharing my faith would help anyone, feel free to ask) Also the doctor said it is highly curable and that we found it very early has been comforting.
Below are questions I have so far, if anyone has experience and can help me out, it would be much appreciated
1) They still haven't decisively said if I need chemo or not. The standard procedure is that I get chemo if I'm stage 2. The doctor explained that staging doesn't count how many lymph node is impacted. So does having just one node or ten node change the treatment plan?
2) I'm 32 and married. If this haven't happened, my wife and I were going to try to have a baby this year. It looks like if I'm getting chemo, it would be 30mg of cisplatin. Just wanted to see if there are people around my age that went through this and what kind of side effects they had. I'm worried about infertility...I've heard about freezing my sperm prior, but I don't know too much about the procedure, costs, etc.
3) They said I'm a good candidate for proton therapy. Still waiting on insurance to approve that, but that might be an uphill battle. Has anyone here have proton therapy (or didn't)? Why or why didn't you make that choice? Are the side effects much better than standard radiation therapy?
4) If anyone has experience with medical insurance appeals (or even medical appeal lawyer) and would like to share, I would appreciate that. I hope I don't have to, but just wanted to plan ahead/</t>
        </is>
      </c>
      <c r="D8679" t="n">
        <v>1</v>
      </c>
      <c r="E8679" t="n">
        <v>11</v>
      </c>
      <c r="F8679">
        <f>HYPERLINK("https://www.reddit.com/r/cancer/comments/fwrnmi/nasopharyngeal_chemo_cisplatin_proton_therapy/")</f>
        <v/>
      </c>
      <c r="G8679" t="inlineStr">
        <is>
          <t>2020-04-07 13:08:47</t>
        </is>
      </c>
      <c r="H8679" t="inlineStr"/>
    </row>
    <row r="8680">
      <c r="A8680" t="inlineStr">
        <is>
          <t>fwspv2</t>
        </is>
      </c>
      <c r="B8680" t="inlineStr">
        <is>
          <t>Loosing A Loved One To Cancer During The Pandemic.</t>
        </is>
      </c>
      <c r="C8680" t="inlineStr">
        <is>
          <t>Hi folks,
Unfortunately my father lost his short battle with cancer in the early hours of this morning. It has gutted me. The hospital did let me spend the last few days with him, even though they are in full lock down due to the pandemic, which i am extremely grateful for. I got the call from the staff nurse on his ward this morning. And again, they let go up to the ward and spend a bit of time with him. He was tested for the coronavirus twice during his hospital admission. Both swabs came back negative for coronavirus.
I had to make arrangements with an undertaker this morning, and this is where the problems began. First they wanted £2k upfront. I'm on welfare, so the best i could do was £600 and i applied for help from the UK government. 
Then because of the pandemic, the UK government has put quite a few restrictions on funerals, whether the person died of the the virus or not. I can't have him home and i can't have a viewing at the funeral parlour. I can't have them dress him in a suit, i'm only allowed five family members at the graveside, and we can only have a minister say a few words at the graveside instead of a normal service.
My grandmother is in self isolation due to her age and she is gutted that she can't come to her own son's funeral. And i'm beside myself with grief.</t>
        </is>
      </c>
      <c r="D8680" t="n">
        <v>1</v>
      </c>
      <c r="E8680" t="n">
        <v>10</v>
      </c>
      <c r="F8680">
        <f>HYPERLINK("https://www.reddit.com/r/cancer/comments/fwspv2/loosing_a_loved_one_to_cancer_during_the_pandemic/")</f>
        <v/>
      </c>
      <c r="G8680" t="inlineStr">
        <is>
          <t>2020-04-07 14:06:57</t>
        </is>
      </c>
      <c r="H8680" t="inlineStr"/>
    </row>
    <row r="8681">
      <c r="A8681" t="inlineStr">
        <is>
          <t>fwvb8f</t>
        </is>
      </c>
      <c r="B8681" t="inlineStr">
        <is>
          <t>Negative CtDNA!</t>
        </is>
      </c>
      <c r="C8681" t="inlineStr">
        <is>
          <t>12/12/18 dx with rectal cancer.
Feb-Apr 2019, chemo that turned against me.
7/9/19 local excision (TAMIS) for true staging (T2 with evidence of LVI)
Advice was, do Chemoradiotherapy because of an almost certain chance of relapse, declined and decided to enjoy the time I had with working parts.
Initial Signatera collected in Sep-Oct, took two months to come back with positive results (bummer, but expected). 
Put off scans like an idiot for six months, travel, see old friends, live my life.
Finally go in a week ago, fearing the worst. No evidence on the scans, and today I got the call that my circulating tumor DNA test was NEGATIVE.
I don't think it's set in just yet, and it seems too good to be true. Sure, it's not a guarantee, but it's as close as I could hope to get.
Stay safe, and keep fighting, my friends.</t>
        </is>
      </c>
      <c r="D8681" t="n">
        <v>1</v>
      </c>
      <c r="E8681" t="n">
        <v>1</v>
      </c>
      <c r="F8681">
        <f>HYPERLINK("https://www.reddit.com/r/cancer/comments/fwvb8f/negative_ctdna/")</f>
        <v/>
      </c>
      <c r="G8681" t="inlineStr">
        <is>
          <t>2020-04-07 16:35:07</t>
        </is>
      </c>
      <c r="H8681" t="inlineStr"/>
    </row>
    <row r="8682">
      <c r="A8682" t="inlineStr">
        <is>
          <t>fwvsew</t>
        </is>
      </c>
      <c r="B8682" t="inlineStr">
        <is>
          <t>How did you tell your family and friends about your diagnosis?</t>
        </is>
      </c>
      <c r="C8682" t="inlineStr">
        <is>
          <t>I (29F), have an urgent referral to get a growth checked. It may or may not be cancerous tbh. But I know on my dad's side of the family, there is history of cancer. Both paternal grandparents died quite young and 2 of my 3 uncles have had cancer. 
I've told my parents about it and my best friend. I feel so stupid for ignoring the sign for so long and it's all moving so fast. And so much respect at the same time for everyone on this journey.
How did you first break the news to loved ones? Did you choose not to tell them?</t>
        </is>
      </c>
      <c r="D8682" t="n">
        <v>1</v>
      </c>
      <c r="E8682" t="n">
        <v>7</v>
      </c>
      <c r="F8682">
        <f>HYPERLINK("https://www.reddit.com/r/cancer/comments/fwvsew/how_did_you_tell_your_family_and_friends_about/")</f>
        <v/>
      </c>
      <c r="G8682" t="inlineStr">
        <is>
          <t>2020-04-07 17:03:25</t>
        </is>
      </c>
      <c r="H8682" t="inlineStr"/>
    </row>
    <row r="8683">
      <c r="A8683" t="inlineStr">
        <is>
          <t>fwwb0t</t>
        </is>
      </c>
      <c r="B8683" t="inlineStr">
        <is>
          <t>What are the most common results for a flow cytometry?</t>
        </is>
      </c>
      <c r="C8683" t="inlineStr">
        <is>
          <t>Hello everyone. Last week I had surgery to remove a mass from my leg. Today I got an email that I had a flow cytometry performed. I did minimal research (sorry), and I found it’s most common for diagnosing blood cancers like leukemia and lymphoma. Does anyone have experience with this? I find out my results/diagnosis tomorrow and I nervous as heck. 
22 year old male</t>
        </is>
      </c>
      <c r="D8683" t="n">
        <v>1</v>
      </c>
      <c r="E8683" t="n">
        <v>3</v>
      </c>
      <c r="F8683">
        <f>HYPERLINK("https://www.reddit.com/r/cancer/comments/fwwb0t/what_are_the_most_common_results_for_a_flow/")</f>
        <v/>
      </c>
      <c r="G8683" t="inlineStr">
        <is>
          <t>2020-04-07 17:35:45</t>
        </is>
      </c>
      <c r="H8683" t="inlineStr"/>
    </row>
    <row r="8684">
      <c r="A8684" t="inlineStr">
        <is>
          <t>fwwc1b</t>
        </is>
      </c>
      <c r="B8684" t="inlineStr">
        <is>
          <t>Question: Mom has stage 4 breast.. Can't walk past two days.</t>
        </is>
      </c>
      <c r="C8684" t="inlineStr">
        <is>
          <t>Hi all, I'll try to keep it short. My mom was diagnosed with stage 4 a little over a year ago. She began having pain in her upper left thigh/groin and started using a cane, and has been using it for the past maybe, 6 months. She's asked the specialists as to why she has this pain in her thigh/groin, but they have no idea. As of 2 days ago, she woke up and says she could hardly walk. Does anyone here maybe have an idea? Is this part of it? Specialists don't know, which is why I figured I'd try here. Any help or idea's would be greatly appreciated. Thanks</t>
        </is>
      </c>
      <c r="D8684" t="n">
        <v>1</v>
      </c>
      <c r="E8684" t="n">
        <v>12</v>
      </c>
      <c r="F8684">
        <f>HYPERLINK("https://www.reddit.com/r/cancer/comments/fwwc1b/question_mom_has_stage_4_breast_cant_walk_past/")</f>
        <v/>
      </c>
      <c r="G8684" t="inlineStr">
        <is>
          <t>2020-04-07 17:37:21</t>
        </is>
      </c>
      <c r="H8684" t="inlineStr"/>
    </row>
    <row r="8685">
      <c r="A8685" t="inlineStr">
        <is>
          <t>fwx0z8</t>
        </is>
      </c>
      <c r="B8685" t="inlineStr">
        <is>
          <t>Bad news</t>
        </is>
      </c>
      <c r="C8685" t="inlineStr">
        <is>
          <t>Got some news about my moms cancer and it isn’t as good as they hoped at first. It spread past the point where it is curable and came back really fast. They are trying a different treatment, if that works they are hoping maybe 6 months, if they can do immunotherapy maybe 12 months. 
My question or fear is just those are estimates for if things go well. What if it doesn’t go well? Will we know if things are kind of past the point of no return? My family has lost someone before but I was too young to remember and I don’t want to make anyone remember that at a time like this but I just don’t know anything about this. I hate that this is happening at a time where just going to visit is so unsafe. Like I hate that those numbers are so small and even that much isn’t guaranteed and it’s all fucking awful</t>
        </is>
      </c>
      <c r="D8685" t="n">
        <v>1</v>
      </c>
      <c r="E8685" t="n">
        <v>2</v>
      </c>
      <c r="F8685">
        <f>HYPERLINK("https://www.reddit.com/r/cancer/comments/fwx0z8/bad_news/")</f>
        <v/>
      </c>
      <c r="G8685" t="inlineStr">
        <is>
          <t>2020-04-07 18:23:00</t>
        </is>
      </c>
      <c r="H8685" t="inlineStr"/>
    </row>
    <row r="8686">
      <c r="A8686" t="inlineStr">
        <is>
          <t>fwx3tu</t>
        </is>
      </c>
      <c r="B8686" t="inlineStr">
        <is>
          <t>Cancer Diagnosis During a Pandemic Kinda Sucks</t>
        </is>
      </c>
      <c r="C8686" t="inlineStr">
        <is>
          <t>Never thought I'd end up with cancer of all things. But here I am, 20 years old and wondering if I should be happy that I have thyroid cancer, which is "super survivable" and all I have to do is get surgery, take a radioactive pill, (which doesn't even give me superpowers /sadface) and figure out medication for the rest of my life. Even with that in mind, cancer is a terrifying word that's been looming over me and freezes me in my tracks whenever I think about it.
I don't know how to deal with random acquaintances and old friends I haven't talked to since high school texting me all of a sudden expressing how sorry they are to hear the news. I let my two closest friends know and cried about it with them, but I don't really care for everybody telling me I'm in their prayers. At the same time, I can't *tell them that* because I don't want to be rude.
My surgery is scheduled for next week. I would be ecstatic about how quickly this is all going if it weren't for the whole Covid-19 situation. I'm going to be alone in the hospital and will probably have to quarantine alone in my basement for two weeks after so that I don't get anyone else in my family sick. Can someone please say something to make me feel better about this whole thing? Anything from what my stay in the hospital might be like to random funny jokes.</t>
        </is>
      </c>
      <c r="D8686" t="n">
        <v>1</v>
      </c>
      <c r="E8686" t="n">
        <v>6</v>
      </c>
      <c r="F8686">
        <f>HYPERLINK("https://www.reddit.com/r/cancer/comments/fwx3tu/cancer_diagnosis_during_a_pandemic_kinda_sucks/")</f>
        <v/>
      </c>
      <c r="G8686" t="inlineStr">
        <is>
          <t>2020-04-07 18:28:15</t>
        </is>
      </c>
      <c r="H8686" t="inlineStr"/>
    </row>
    <row r="8687">
      <c r="A8687" t="inlineStr">
        <is>
          <t>fwzgu8</t>
        </is>
      </c>
      <c r="B8687" t="inlineStr">
        <is>
          <t>Looking Back. And ahead.</t>
        </is>
      </c>
      <c r="C8687" t="inlineStr">
        <is>
          <t>I’ve spent an enormous chunk of my day staring at my old eulogy. My siblings wrote it with me as we set funeral plans, at the time I was battling AML and a gnarly case of pneumonia. 
I’m 5 years post-remission now, looking back, it all seems so surreal, and at the same time so daunting, it’s put me into such a strange headspace.
You just never really get over this disease do you? Not all those wounds heal, and although my life is good (great, even!) those are deep scars. 
Hope everyone is keeping their heads up. Love to all.</t>
        </is>
      </c>
      <c r="D8687" t="n">
        <v>1</v>
      </c>
      <c r="E8687" t="n">
        <v>3</v>
      </c>
      <c r="F8687">
        <f>HYPERLINK("https://www.reddit.com/r/cancer/comments/fwzgu8/looking_back_and_ahead/")</f>
        <v/>
      </c>
      <c r="G8687" t="inlineStr">
        <is>
          <t>2020-04-07 21:09:06</t>
        </is>
      </c>
      <c r="H8687" t="inlineStr"/>
    </row>
    <row r="8688">
      <c r="A8688" t="inlineStr">
        <is>
          <t>fx0oh2</t>
        </is>
      </c>
      <c r="B8688" t="inlineStr">
        <is>
          <t>Loss of Brain Function After Chemo (Help)</t>
        </is>
      </c>
      <c r="C8688" t="inlineStr">
        <is>
          <t>My father was diagnosed with T Cell lymphoma 5 months ago - and last week the doctors were unable to find any presence of cancer in imaging after his 3rd round of CHOP.
That news was taken cautiously, and 2 days later he was admitted to the ER having delusions, ripping out his line, being restrained 24/7, not being able to speak, and now finally only able to move his eyes sometimes. He is completely unresponsive now after 4 days in the hospital.
CT imaging and blood work have not shown anything abnormal, and they just informed us hes had a fever for days. We are unable to see him, doctors wont call us back, and it seems like testing has come to a halt. I cant help but feel they are simply letting him die...
Has anyone had ANY similar experiences - some thread we could implore the doctors to test for?</t>
        </is>
      </c>
      <c r="D8688" t="n">
        <v>1</v>
      </c>
      <c r="E8688" t="n">
        <v>7</v>
      </c>
      <c r="F8688">
        <f>HYPERLINK("https://www.reddit.com/r/cancer/comments/fx0oh2/loss_of_brain_function_after_chemo_help/")</f>
        <v/>
      </c>
      <c r="G8688" t="inlineStr">
        <is>
          <t>2020-04-07 22:42:55</t>
        </is>
      </c>
      <c r="H8688" t="inlineStr"/>
    </row>
    <row r="8689">
      <c r="A8689" t="inlineStr">
        <is>
          <t>fx4kak</t>
        </is>
      </c>
      <c r="B8689" t="inlineStr">
        <is>
          <t>Please be my last chemo session..</t>
        </is>
      </c>
      <c r="C8689" t="inlineStr">
        <is>
          <t>I dont think I can handle another round of chemotherapy. The side effects of the new drug hits really hard, I feel like hurling at any second. If all goes well, today will be my last day but I will only know after going for my scans in a month...</t>
        </is>
      </c>
      <c r="D8689" t="n">
        <v>1</v>
      </c>
      <c r="E8689" t="n">
        <v>24</v>
      </c>
      <c r="F8689">
        <f>HYPERLINK("https://www.reddit.com/r/cancer/comments/fx4kak/please_be_my_last_chemo_session/")</f>
        <v/>
      </c>
      <c r="G8689" t="inlineStr">
        <is>
          <t>2020-04-08 04:05:57</t>
        </is>
      </c>
      <c r="H8689" t="inlineStr"/>
    </row>
    <row r="8690">
      <c r="A8690" t="inlineStr">
        <is>
          <t>fx5ozn</t>
        </is>
      </c>
      <c r="B8690" t="inlineStr">
        <is>
          <t>Disability and cancer care research project- participants needed for interviews</t>
        </is>
      </c>
      <c r="C8690" t="inlineStr">
        <is>
          <t>Have you had a diagnosis of cancer and completed your treatment? Do you also have a physical impairment? If so, we’d love to hear from you for a Cardiff University Healthcare Sciences research project exploring cancer care for disabled people. Please message if you are interested in taking part.</t>
        </is>
      </c>
      <c r="D8690" t="n">
        <v>1</v>
      </c>
      <c r="E8690" t="n">
        <v>2</v>
      </c>
      <c r="F8690">
        <f>HYPERLINK("https://www.reddit.com/r/cancer/comments/fx5ozn/disability_and_cancer_care_research_project/")</f>
        <v/>
      </c>
      <c r="G8690" t="inlineStr">
        <is>
          <t>2020-04-08 05:35:02</t>
        </is>
      </c>
      <c r="H8690" t="inlineStr"/>
    </row>
    <row r="8691">
      <c r="A8691" t="inlineStr">
        <is>
          <t>fx79f1</t>
        </is>
      </c>
      <c r="B8691" t="inlineStr">
        <is>
          <t>My Grandpa has cancer. He's gotten extremely skinny.</t>
        </is>
      </c>
      <c r="C8691" t="inlineStr">
        <is>
          <t>Im studying overseas. He doesnt like to be bothered but he loves me dearly. Other than messages and phone calls, which happens only when he wants to, what can i do for him? Is there anything i can send him?</t>
        </is>
      </c>
      <c r="D8691" t="n">
        <v>1</v>
      </c>
      <c r="E8691" t="n">
        <v>5</v>
      </c>
      <c r="F8691">
        <f>HYPERLINK("https://www.reddit.com/r/cancer/comments/fx79f1/my_grandpa_has_cancer_hes_gotten_extremely_skinny/")</f>
        <v/>
      </c>
      <c r="G8691" t="inlineStr">
        <is>
          <t>2020-04-08 07:18:27</t>
        </is>
      </c>
      <c r="H8691" t="inlineStr"/>
    </row>
    <row r="8692">
      <c r="A8692" t="inlineStr">
        <is>
          <t>fx7gyg</t>
        </is>
      </c>
      <c r="B8692" t="inlineStr">
        <is>
          <t>My mother lost the fight</t>
        </is>
      </c>
      <c r="C8692" t="inlineStr">
        <is>
          <t>My mother lost her fight with Stage 4 Lung Cancer 25/03/2020. Western Medicine wasnt able to help her but at least she died at home with her family. 
It was a 7 month battle that really left a mark on me, my mother always relied on me to be the strong one, and now that she is gone, I am a 29 year old son that feels really lost without her around. I've become the legal guardian to my 17 year old sister and her father (step dad) who is a sweet man, and really looked after my mother but, his an alcoholic and relies on others for day to day stuff but his a damn hard worker. So, it's me, stuck with all the legalities, the pieces afterwards and all the emotions. I'm not usually someone that gets anxious, but, I constantly feel on edge at the moment, like every hurdle or fight with medical aid and gap cover for the left over Bill's sets me off and I get panicky... in all honesty, I have no idea what I am doing and whether I'm capable of doing it all... not sure what I'm looking for here, just to rant or vent I suppose...</t>
        </is>
      </c>
      <c r="D8692" t="n">
        <v>1</v>
      </c>
      <c r="E8692" t="n">
        <v>4</v>
      </c>
      <c r="F8692">
        <f>HYPERLINK("https://www.reddit.com/r/cancer/comments/fx7gyg/my_mother_lost_the_fight/")</f>
        <v/>
      </c>
      <c r="G8692" t="inlineStr">
        <is>
          <t>2020-04-08 07:31:16</t>
        </is>
      </c>
      <c r="H8692" t="inlineStr"/>
    </row>
    <row r="8693">
      <c r="A8693" t="inlineStr">
        <is>
          <t>fx9byx</t>
        </is>
      </c>
      <c r="B8693" t="inlineStr">
        <is>
          <t>Disability Denied. Getting Disability while also working ?</t>
        </is>
      </c>
      <c r="C8693" t="inlineStr">
        <is>
          <t>Hi all! My girlfriend was diagnosed with stage 3 hodgkin's lymphoma at the end of January. She wanted to have some normalcy, so she continued working part time at just about 10 hours a week at most. She applied for disability recently but is currently being denied with them saying she can still work. She isn't making a whole ton of money, so any thoughts on how to appeal/get approved? Or are we screwed here? 
Let me know, thank you :)</t>
        </is>
      </c>
      <c r="D8693" t="n">
        <v>1</v>
      </c>
      <c r="E8693" t="n">
        <v>2</v>
      </c>
      <c r="F8693">
        <f>HYPERLINK("https://www.reddit.com/r/cancer/comments/fx9byx/disability_denied_getting_disability_while_also/")</f>
        <v/>
      </c>
      <c r="G8693" t="inlineStr">
        <is>
          <t>2020-04-08 09:13:56</t>
        </is>
      </c>
      <c r="H8693" t="inlineStr"/>
    </row>
    <row r="8694">
      <c r="A8694" t="inlineStr">
        <is>
          <t>fxa649</t>
        </is>
      </c>
      <c r="B8694" t="inlineStr">
        <is>
          <t>Why do I always have to be positive? (Rant)</t>
        </is>
      </c>
      <c r="C8694" t="inlineStr">
        <is>
          <t>I’m so sick of everyone always needing me to be positive. Any time I speak frankly about my fears of not being there for my kids or about the possibility of not making it through this everyone (except my husband thanks goodness) shuts me down. “You’re gonna make it” “you’re strong” “you have so many people who love you” “you’re tough”. “You’re young” These are such empty words to me. You can’t tell me that all of the people who haven’t made it before weren’t strong enough, or didn’t have people who loved them enough, or weren’t young enough. That’s just not how this works. I’m so sick of the fact that when I talk about not making it as a small possibility I’m met with the assumption that I’m giving up. IM NOT FUCKING GIVING UP! I just know the statistics and don’t want to turn a blind eye to the possibilities. I want to accept reality and go forward and it’s so exhausting to act like everything is ok for so many other people. I don’t want to die and will fight with everything I have to be here for my husband and kids. I have every intention of beating this but if that’s all it took no one would die from cancer.</t>
        </is>
      </c>
      <c r="D8694" t="n">
        <v>1</v>
      </c>
      <c r="E8694" t="n">
        <v>17</v>
      </c>
      <c r="F8694">
        <f>HYPERLINK("https://www.reddit.com/r/cancer/comments/fxa649/why_do_i_always_have_to_be_positive_rant/")</f>
        <v/>
      </c>
      <c r="G8694" t="inlineStr">
        <is>
          <t>2020-04-08 09:58:33</t>
        </is>
      </c>
      <c r="H8694" t="inlineStr"/>
    </row>
    <row r="8695">
      <c r="A8695" t="inlineStr">
        <is>
          <t>fxatd5</t>
        </is>
      </c>
      <c r="B8695" t="inlineStr">
        <is>
          <t>She found out her dad got cancer.</t>
        </is>
      </c>
      <c r="C8695" t="inlineStr">
        <is>
          <t>my best friend (let call her Kat) of 10+ years just found out her dad got stage 3 cancer. she found out around two months ago when she was going through her mom's phone and found text messages between her mom and dad. and I just found out about it, with social distancing going on we don't see each other anymore. and Kat whose is not really expressive when she's sad when tell me anything much, but I eventually found out and talk to Kat and try to make her feel better, but I don't know how to "help" her. I, too, was depressed, but this was on an entirely different topic. Kat is repeating and saying how she knows she must stay positive, but she can't, to the point that it effects her sleep. she is taking sleeping pills and stress relief pills on the own (which doesn't help AT ALL). I really want to help, but I don't know how.</t>
        </is>
      </c>
      <c r="D8695" t="n">
        <v>1</v>
      </c>
      <c r="E8695" t="n">
        <v>0</v>
      </c>
      <c r="F8695">
        <f>HYPERLINK("https://www.reddit.com/r/cancer/comments/fxatd5/she_found_out_her_dad_got_cancer/")</f>
        <v/>
      </c>
      <c r="G8695" t="inlineStr">
        <is>
          <t>2020-04-08 10:32:35</t>
        </is>
      </c>
      <c r="H8695" t="inlineStr"/>
    </row>
    <row r="8696">
      <c r="A8696" t="inlineStr">
        <is>
          <t>fxdn62</t>
        </is>
      </c>
      <c r="B8696" t="inlineStr">
        <is>
          <t>PET scan next week</t>
        </is>
      </c>
      <c r="C8696" t="inlineStr">
        <is>
          <t>Hi community,  
My dad is going in for his first PET scan after 2 rounds of keytruda and chemo together (NSCLC, stage 4, diagnosed mid january). I am honestly just terrified. I guess I am trying to prepare myself for news that it isn't working, because maybe I'm being pessimistic but I feel like he seems to be getting worse, not better. Hes still coughing a lot, often dizzy and fatigued, and sleeps a lot. I dont know what to expect. I dont really know what I'm hoping to hear from you guys, but if anybody has any insight or advice or, honestly anything, that may be helpful in helping me prepare for the upcoming test and what to expect. Obviously I dont expect you to know if it's working or not, but if you have any experiences to share I'd appreciate it.</t>
        </is>
      </c>
      <c r="D8696" t="n">
        <v>1</v>
      </c>
      <c r="E8696" t="n">
        <v>7</v>
      </c>
      <c r="F8696">
        <f>HYPERLINK("https://www.reddit.com/r/cancer/comments/fxdn62/pet_scan_next_week/")</f>
        <v/>
      </c>
      <c r="G8696" t="inlineStr">
        <is>
          <t>2020-04-08 13:01:17</t>
        </is>
      </c>
      <c r="H8696" t="inlineStr"/>
    </row>
    <row r="8697">
      <c r="A8697" t="inlineStr">
        <is>
          <t>fxe9go</t>
        </is>
      </c>
      <c r="B8697" t="inlineStr">
        <is>
          <t>Chemo drugs</t>
        </is>
      </c>
      <c r="C8697" t="inlineStr">
        <is>
          <t>Does anyone know the difference between Folfox and Folfoxfiri. Is there a reason you'd go on one and  ot the other? Perhaps one is more agressive?</t>
        </is>
      </c>
      <c r="D8697" t="n">
        <v>1</v>
      </c>
      <c r="E8697" t="n">
        <v>6</v>
      </c>
      <c r="F8697">
        <f>HYPERLINK("https://www.reddit.com/r/cancer/comments/fxe9go/chemo_drugs/")</f>
        <v/>
      </c>
      <c r="G8697" t="inlineStr">
        <is>
          <t>2020-04-08 13:33:19</t>
        </is>
      </c>
      <c r="H8697" t="inlineStr"/>
    </row>
    <row r="8698">
      <c r="A8698" t="inlineStr">
        <is>
          <t>fxfjwk</t>
        </is>
      </c>
      <c r="B8698" t="inlineStr">
        <is>
          <t>How to best help a friend going thru this for a second time?</t>
        </is>
      </c>
      <c r="C8698" t="inlineStr">
        <is>
          <t>A guy I've known for 20 years just found out that his cancer of the throat has reared its ugly head once again.
He just recently got back in touch with me. (Just meaning I wasn't there for the first go round.)He has siblings that are around his age, (70)but, due to Covid 19,  they are too afraid to take him to the hospital daily for radiation. 6 weeks of dailies actually. He told me he had to go thru the first round  alone. 
Having retired last year myself, I roam about, friends and festivals, etc.
I told him there was no way I'd let him go thru this alone. Am I brave or stupid to think that this virus won't affect me? For the record, I've stayed at home for the last month at least. My only contact with others has been to open the hatch of my car while groceries are loaded by a wal mart employee.
Could anyone give me some tips on how to keep myself safe while trying to help him?
I thank you for any feedback!</t>
        </is>
      </c>
      <c r="D8698" t="n">
        <v>1</v>
      </c>
      <c r="E8698" t="n">
        <v>5</v>
      </c>
      <c r="F8698">
        <f>HYPERLINK("https://www.reddit.com/r/cancer/comments/fxfjwk/how_to_best_help_a_friend_going_thru_this_for_a/")</f>
        <v/>
      </c>
      <c r="G8698" t="inlineStr">
        <is>
          <t>2020-04-08 14:43:09</t>
        </is>
      </c>
      <c r="H8698" t="inlineStr"/>
    </row>
    <row r="8699">
      <c r="A8699" t="inlineStr">
        <is>
          <t>fxhbwa</t>
        </is>
      </c>
      <c r="B8699" t="inlineStr">
        <is>
          <t>28 year old wife</t>
        </is>
      </c>
      <c r="C8699" t="inlineStr">
        <is>
          <t>On March 5th we got earth shattering diagnosis that my wife of 8 years (mother to 4; 3YO twins) was diagnosed with cervical cancer. Heads been in an absolute spin ever since; finding it hard at the minute to think about anything else other than her and the kids.
How do men/women cope with these diagnosis? 
I know in my self that I aren't the same even though I aren't physically affected. 
Covid shite has made a bad situation 10x worse!</t>
        </is>
      </c>
      <c r="D8699" t="n">
        <v>3</v>
      </c>
      <c r="E8699" t="n">
        <v>6</v>
      </c>
      <c r="F8699">
        <f>HYPERLINK("https://www.reddit.com/r/cancer/comments/fxhbwa/28_year_old_wife/")</f>
        <v/>
      </c>
      <c r="G8699" t="inlineStr">
        <is>
          <t>2020-04-08 16:27:39</t>
        </is>
      </c>
      <c r="H8699" t="inlineStr"/>
    </row>
    <row r="8700">
      <c r="A8700" t="inlineStr">
        <is>
          <t>fxhnxq</t>
        </is>
      </c>
      <c r="B8700" t="inlineStr">
        <is>
          <t>In lockdown with dying father</t>
        </is>
      </c>
      <c r="C8700" t="inlineStr">
        <is>
          <t>Hi,
My dad was diagnosed and given months to live back in November. He's 82. He was on a mild chemo, however they have stopped all his treatment now due to coronavirus, we're in the UK. 
Although we knew it wasn't going to cure him, being treated gave him some sort of reason to go on each day. Now we're in lockdown, me, my mum and dad. He can't go out, he can't see any other family and friends, his health is deteriorating, doesn't enjoy food, cant sleep at night... it's very bleak, he's alone with his own thoughts most of the day even though we are in the house together, he doesn't really engage in conversation much so it's hard we end up just doing our own thing away from each other. 
He's never been one to open up about how he feels, that's just his generation, his background... very repressed basically.
Today everything came to a head. I wasn't aware but he needs to wear incontinence pads now, and he'd run out. He is meant to be shielded, so not meant to leave the house at all. But he didn't want to ask me to get his pads, he's embarrassed . So he's gone out shopping for them without my knowledge, had a fall while he's been out and I've had go and rescue him, which has made him feel even more embarrassed.
I was very upset and angry because obviously he shouldn't be out, he knows this we've had several chats about it and he's had an official letter form the NHS and its all over the news. I've been going to a lot of effort to make sure I don't bring anything into the house when I come back from essential shopping trips, disinfecting everything, so to me it just seemed like he was being reckless for no good reason and disrespectful to all the efforts we're all going to to keep him safe. 
Well, we didn't speak the rest of the day and this evening he decided to have some wine, got a little drunk, and when I've gone to say good night, he's accused me of making his life hell and got upset, saying how he is sick people telling him what to do (all we do is ask him to eat healthy and drink water, but obviously he's been doing what he wants when he wants with no bother for a good 70 years so it's new to him and annoying) and worst of all he kept saying he just wants to end it all.
Anyway, I diffused the situation and we had a chat and I listened to him and we cuddled and everything and he said I'd helped him out of a dark place tonight, thank goodness. 
I completely understand how lost and alone and powerless and scared he must feel. But I just don't know what to do about it. We don't have any idea how long he has, I don't want him to be in this horrific state of existential crisis for his last bit of time on earth, it's heartbreaking. The mental side of this has been ten times more harrowing for him than any of the physical effects.
All I have come up with so far is to get a puzzle out, cards, scrabble and spend some more time with him doing some activities like that during the day. But I don't know if he'll even want to do that. 
Have any of you guys got any advice on how I can put my poor dads mind at ease and help him come to terms with what is happening to him?
Thank you for reading if you got this far.</t>
        </is>
      </c>
      <c r="D8700" t="n">
        <v>4</v>
      </c>
      <c r="E8700" t="n">
        <v>10</v>
      </c>
      <c r="F8700">
        <f>HYPERLINK("https://www.reddit.com/r/cancer/comments/fxhnxq/in_lockdown_with_dying_father/")</f>
        <v/>
      </c>
      <c r="G8700" t="inlineStr">
        <is>
          <t>2020-04-08 16:47:57</t>
        </is>
      </c>
      <c r="H8700" t="inlineStr"/>
    </row>
    <row r="8701">
      <c r="A8701" t="inlineStr">
        <is>
          <t>fxi33z</t>
        </is>
      </c>
      <c r="B8701" t="inlineStr">
        <is>
          <t>7 Signs Of Ovarian Cancer You Might Be Ignoring</t>
        </is>
      </c>
      <c r="C8701" t="inlineStr">
        <is>
          <t xml:space="preserve">   Why **ar**e **sex gland** cancer symptoms **therefore** silent?
There exists the **5**\-year relative survival rate for **all sorts** of **sex gland** cancer and it equals forty-five **p.c**, **however**, this **variety** rises to ninety **2** **p.c** if the cancer is caught in stage **IA** or IB, right before **it unfolds** **on the far side** the ovary, following the **Yankee** Cancer Society. **due to** **terribly** fact|the fact} that **sex gland** cancer symptoms **could also be** very **arduous** **to acknowledge**, **concerning** seventy **p.c** of all cases **aren't** found **till** **they need** advanced to stage III or IV, **once** it happens that the **possibilities** for survival **ar** **a great deal** lower, notes Kevin Holcomb, a director of **gynecological** **medical specialty** at **composer** Cornell **medication**. **this type** of cancer **isn't** **such a lot** a silent **sickness**, Dr. Holcomb notes. **an enormous** **variety** of females with **sex gland** cancer have some symptoms **within the** months and weeks leading up to 
**1 - Abdominal bloating**
With **this sort** of cancer, not **solely** that the tumors **will** grow **giant**, **however**, **they'll** **conjointly** **lead to** fluid growing around them, **that** **successively** **might** cause a dramatic abdominal extension, as explained by Amanda Fader, **associate degree** **prof** and director of Kelly Gynecologic **medical specialty** Service at Johns Hopkins **medication**. I **work** happens that your abdomen is growing **whereas** your face and arms **are** losing fat and muscle, **probably,** **it's not simply weighted** gain. Therefore, **certify** **that you simply** ignore these myths **concerning** **sex gland** cancer.
&amp;amp;#x200B;
the **identification** **however** **it's** **truly** **unhappy** **that a lot of** **ar** **imprecise** and **nonspecific**. **this type** of cancer whispers, **and so**, **you have got** **to pay attention** closely. Contrary to the **carcinoma**, there **are not any** tests that **are** developed to screen for **sex gland** cancer **therefore** accurately, **that** makes this cancer **arduous** to be detected, **however**, unless you report symptoms early yourself. **just in case** **you're** feeling **over** **one in every one of** the symptoms for **per week** or **over** this, **discuss with** your doctor **concerning** **obtaining** a transvaginal **icon**, **girdle** examination, or a CA **one hundred twenty-five** **biopsy**, **which can** **facilitate** **sight** **sex gland** cancer. There follow **the items** OB-GYNs **would like** you knew **concerning** this cancer.
&amp;amp;#x200B;
***Open  next page to continue reading :*** [***https://www.maayadal.com/?p=207***](https://www.maayadal.com/?p=207)</t>
        </is>
      </c>
      <c r="D8701" t="n">
        <v>0</v>
      </c>
      <c r="E8701" t="n">
        <v>2</v>
      </c>
      <c r="F8701">
        <f>HYPERLINK("https://www.reddit.com/r/cancer/comments/fxi33z/7_signs_of_ovarian_cancer_you_might_be_ignoring/")</f>
        <v/>
      </c>
      <c r="G8701" t="inlineStr">
        <is>
          <t>2020-04-08 17:14:13</t>
        </is>
      </c>
      <c r="H8701" t="inlineStr"/>
    </row>
    <row r="8702">
      <c r="A8702" t="inlineStr">
        <is>
          <t>fxio69</t>
        </is>
      </c>
      <c r="B8702" t="inlineStr">
        <is>
          <t>I'm now cancer free. Fuck cancer.</t>
        </is>
      </c>
      <c r="C8702" t="inlineStr">
        <is>
          <t>I'm a 28(m) sitting in post-op recovery who got diagnosed with a fibrous sarcoma on my right hand last year. I'm a lefty thankfully! 
Up until today I thought I was going to be losing my pinky, ring and middle finger along with the sarcoma. They were able to save my middle finger, leaving the thumb, pointer and middle, so I'm happy!
My chest scans up to date are clear so I can safely say that today;
IM FUCKING CANCER FREE!!!!</t>
        </is>
      </c>
      <c r="D8702" t="n">
        <v>32</v>
      </c>
      <c r="E8702" t="n">
        <v>61</v>
      </c>
      <c r="F8702">
        <f>HYPERLINK("https://www.reddit.com/r/cancer/comments/fxio69/im_now_cancer_free_fuck_cancer/")</f>
        <v/>
      </c>
      <c r="G8702" t="inlineStr">
        <is>
          <t>2020-04-08 17:51:15</t>
        </is>
      </c>
      <c r="H8702" t="inlineStr"/>
    </row>
    <row r="8703">
      <c r="A8703" t="inlineStr">
        <is>
          <t>fxizzi</t>
        </is>
      </c>
      <c r="B8703" t="inlineStr">
        <is>
          <t>"Chinese medicine" vs chemo.</t>
        </is>
      </c>
      <c r="C8703" t="inlineStr">
        <is>
          <t>Hi,
I was recently diagnosed with oropharyngeal cancer.  So I've got it on my tonsils and at least partial lymph nodes, and maybe surrounding areas.  Still waiting for biopsy results but doc said I'll need radiation and chemo.  
It's been suggested(by a relative that has a Phd. in nutrition - graduate of Bastyr) that I look at Chinese medicine instead of chemo.   After reading here about the "alternative" chemo therapies I'm not even sure the idea has merit.  But I also don't want to completely discard the idea until I've done due diligence.   I thought to myself if "Chinese medicine" is so good then people in China would not be using chemo, right?  I can find no evidence to suggest that.  It seems like chemo is done in China just like in the U.S. where I am.   I thought, OK, maybe the doctors in the U.S. are silo'ed and also need to conform to the "best" medical practices as dictated by "somebody".  But if there were better alternatives to chemo, surely they would bubble to the top?   Or does "big pharma" have a death grip on this?  
My main concern is that chemo does not discriminate between the good and the bad and is going to destroy my immune system.  With the covid germs flying around and my age I need all the immunity I can get. 
I haven't seen much on the www about using Chinese medicate as an alternative but I have seen things about using it as a adjunctive therapy.  I need to do more reading on that since I'm early in my research.  
Just wondering if anyone has comments on my statements above?
Thank-you.</t>
        </is>
      </c>
      <c r="D8703" t="n">
        <v>1</v>
      </c>
      <c r="E8703" t="n">
        <v>10</v>
      </c>
      <c r="F8703">
        <f>HYPERLINK("https://www.reddit.com/r/cancer/comments/fxizzi/chinese_medicine_vs_chemo/")</f>
        <v/>
      </c>
      <c r="G8703" t="inlineStr">
        <is>
          <t>2020-04-08 18:13:16</t>
        </is>
      </c>
      <c r="H8703" t="inlineStr"/>
    </row>
    <row r="8704">
      <c r="A8704" t="inlineStr">
        <is>
          <t>fxksqx</t>
        </is>
      </c>
      <c r="B8704" t="inlineStr">
        <is>
          <t>Injured, in lock down, and all I can do is wait and pray.</t>
        </is>
      </c>
      <c r="C8704" t="inlineStr">
        <is>
          <t>Back story. 
I have been dealing with Melanoma on and off since 2013.  I've been in stable treatment for about 2 years. No signs of further progression,   In February, the day after my birthday I had routine follow-up CTscan and I was told the tumor in my arm pit had slightly grown.  This was a huge hit to my confidence. I had been positive and hopeful for so long. It really took the wind out of my sails.   Doc wasn't too worried said it could be related to an infection I had months prior. 
I had been planning a trip to Israel in May with my church for about a year and my oncologist knew about it. Our plan was that I could go on the trip on the condition that if I notice any further growth before the trip I call immediately and the day after I get home we do another scan and make a treatment plan.   
Due to the Covid situation the trip is delayed.  Thats no big deal. An official date has not be set but I'm still hopeful that it will be before the end of the year.  
I'm an essential worker, so I had been working through quarantine until last Friday.  I fell in the factory and broke a vertebrae in my back. I had a trip to the emergency roomy and was sent home with pain pills. Because of Covid I haven't actually been face to face with a doctor about my injury.  Its all been face time conference.  I did manage to get a back brace to help with pain management. I had an MRI today.  As long as there are no complications found on the MRI I'm supposed to be off work for 3 months for the vertebrae to heal.
  I'm in a moderate amount of Pain and stuck at home with my roommate whom is working from home.  Not  being busy at work I'm worrying a lot more.  I'm worrying that I'm not getting the right care to help my back heal. Because of Covid, today my hospital has rescheduled my next scan.  I'm now worrying that the cancer is growing and that because things are delayed its just going to get going to get worse.   All of it compounding me to worry that the trip to Israel won't happen.  I've hoped and dreamed about this trip for a year.  I ve never been one to plan too far in advance. Especially since I've been diagnosed.  Its always been just get by, get to the next appointment.  Now that I actually look forward to doing something.  Actually have hope and feel semi-normal again It's all being taken a way.  I just almost few like what was ever the point in hoping , ever even thinking that I could possibly go on that trip.</t>
        </is>
      </c>
      <c r="D8704" t="n">
        <v>0</v>
      </c>
      <c r="E8704" t="n">
        <v>10</v>
      </c>
      <c r="F8704">
        <f>HYPERLINK("https://www.reddit.com/r/cancer/comments/fxksqx/injured_in_lock_down_and_all_i_can_do_is_wait_and/")</f>
        <v/>
      </c>
      <c r="G8704" t="inlineStr">
        <is>
          <t>2020-04-08 20:14:56</t>
        </is>
      </c>
      <c r="H8704" t="inlineStr"/>
    </row>
    <row r="8705">
      <c r="A8705" t="inlineStr">
        <is>
          <t>fxnhw1</t>
        </is>
      </c>
      <c r="B8705" t="inlineStr">
        <is>
          <t>"Remission": Does anyone else get tired of trying to correct those you don't understand this word?</t>
        </is>
      </c>
      <c r="C8705" t="inlineStr">
        <is>
          <t>So, I survived my treatment. My cancer is now controlled, and has been for more than a year. 
My doctor refuses to use the word remission, and I appreciate him for that. 
That's because remission would mean all signs of the cancer are gone, and they aren't. My lymphoma will be with me until I die. 
He and I understand that, but others do not. They see me working, walking, doing normal things again, and ask how much i love remission, or comment on how lucky I am to be in remission. 
Sometimes I correct them. Sometimes, that makes me feel like an ass. But sometimes I just ignore it, and let it go. 
Anyone else deal with this?</t>
        </is>
      </c>
      <c r="D8705" t="n">
        <v>1</v>
      </c>
      <c r="E8705" t="n">
        <v>5</v>
      </c>
      <c r="F8705">
        <f>HYPERLINK("https://www.reddit.com/r/cancer/comments/fxnhw1/remission_does_anyone_else_get_tired_of_trying_to/")</f>
        <v/>
      </c>
      <c r="G8705" t="inlineStr">
        <is>
          <t>2020-04-08 23:46:04</t>
        </is>
      </c>
      <c r="H8705" t="inlineStr"/>
    </row>
    <row r="8706">
      <c r="A8706" t="inlineStr">
        <is>
          <t>fxnp3h</t>
        </is>
      </c>
      <c r="B8706" t="inlineStr">
        <is>
          <t>We just found out my mom has a rare form of colon cancer. It's already metastatic and has spread to her liver, lungs and lymph nodes.</t>
        </is>
      </c>
      <c r="C8706" t="inlineStr">
        <is>
          <t>The cancer she has is located in the last part of the large intestine, the rectum. It's so aggressive and grew so fast that it has managed to, in a span of 6 months time, get to her lymph nodes, liver, lungs and took the doctors by surprise, as it was NOT there at all when they took the biopts and bloodtests 6 months ago.
I am devastated but need to stay strong for her and do everything I can remotely in times of Corona, which leads me here.
She feels ok physically now, but has started losing weight and is a bit scared of food because of the place of the main culprit. She is going to the hospital again today to work out which treatments she will need, so far they don't want to operate the big tumor but focus on the spreads first, so she will be getting a form of chemo and maybe radiation. 
She has asked me to find information about diets, types of foods, vitamins and even things like CBD  that will be good for her in this time and keep her strong and healthy without putting too much strain on the tumor. She wants to try anything that keeps her body as healthy as possible to give herself the most fighting chance when she's going through the treatment. I'm hoping that I can reach people here who have good sources on or experience with nutrition that are willing to share those with me. Some extra information that might be helpful;
My mother is 56 years old and has battled chrons' disease for at least 30 years so her intestinal tract has always been the weakspot/sensitive. She's already in menopause so hormones don't affect her that much anymore. We live in the Netherlands with access to good Healthcare and financial aid. She loves a glass of red wine and I would like to get some opinions on if it's responsible if she keeps on drinking about a glass per day.
If you have any questions you need answered to give better information, please do. Thanks in advance, 
A very heartbroken and overwhelmed daughter.</t>
        </is>
      </c>
      <c r="D8706" t="n">
        <v>0</v>
      </c>
      <c r="E8706" t="n">
        <v>1</v>
      </c>
      <c r="F8706">
        <f>HYPERLINK("https://www.reddit.com/r/cancer/comments/fxnp3h/we_just_found_out_my_mom_has_a_rare_form_of_colon/")</f>
        <v/>
      </c>
      <c r="G8706" t="inlineStr">
        <is>
          <t>2020-04-09 00:02:08</t>
        </is>
      </c>
      <c r="H8706" t="inlineStr"/>
    </row>
    <row r="8707">
      <c r="A8707" t="inlineStr">
        <is>
          <t>fxvbdl</t>
        </is>
      </c>
      <c r="B8707" t="inlineStr">
        <is>
          <t>Free Virtual Group Support for Young Cancer Survivors</t>
        </is>
      </c>
      <c r="C8707" t="inlineStr">
        <is>
          <t>Hi! My name is Helen and I am a research coordinator for the Bounce Back Study at the Massachusetts General Hospital Cancer Center, an affiliate of Harvard Medical School. We are recruiting adolescent and young adults who were diagnosed with cancer (any type!) between the ages of 14-29, still fall within this age range, and have completed treatment in the past 5 years. Bounce Back is a **FREE virtual group stress management and resilience program** that takes place over 8-weeks. The goal of the program is to help young cancer survivors learn skills to cope with the stress and emotions that arise during the post treatment transition. Participants will be compensated up to $90 for their time. Please send me a message or email [mghbounceback@mgh.harvard.edu](mailto:mghbounceback@mgh.harvard.edu) if you are interested in learning more or have any questions 😊</t>
        </is>
      </c>
      <c r="D8707" t="n">
        <v>1</v>
      </c>
      <c r="E8707" t="n">
        <v>10</v>
      </c>
      <c r="F8707">
        <f>HYPERLINK("https://www.reddit.com/r/cancer/comments/fxvbdl/free_virtual_group_support_for_young_cancer/")</f>
        <v/>
      </c>
      <c r="G8707" t="inlineStr">
        <is>
          <t>2020-04-09 09:17:46</t>
        </is>
      </c>
      <c r="H8707" t="inlineStr"/>
    </row>
    <row r="8708">
      <c r="A8708" t="inlineStr">
        <is>
          <t>fxxs50</t>
        </is>
      </c>
      <c r="B8708" t="inlineStr">
        <is>
          <t>In search of hope</t>
        </is>
      </c>
      <c r="C8708" t="inlineStr">
        <is>
          <t>I am 28 and was rencently diagnosed with a colorectal stage 4 cancer. Cancer has spread to the liver, pelvis bones and possibly the lungs. I haven't started any treatment yet..still waiting for the biopsy results.
But I just want to know if there is still hope to someday be in remission....
If anyone is in a similar situation or knows someone with the same diagnostic I would really appreciate some feedback.
Thanks!</t>
        </is>
      </c>
      <c r="D8708" t="n">
        <v>2</v>
      </c>
      <c r="E8708" t="n">
        <v>22</v>
      </c>
      <c r="F8708">
        <f>HYPERLINK("https://www.reddit.com/r/cancer/comments/fxxs50/in_search_of_hope/")</f>
        <v/>
      </c>
      <c r="G8708" t="inlineStr">
        <is>
          <t>2020-04-09 11:29:31</t>
        </is>
      </c>
      <c r="H8708" t="inlineStr"/>
    </row>
    <row r="8709">
      <c r="A8709" t="inlineStr">
        <is>
          <t>fxy22r</t>
        </is>
      </c>
      <c r="B8709" t="inlineStr">
        <is>
          <t>Mom has breast cancer: Quarantine</t>
        </is>
      </c>
      <c r="C8709" t="inlineStr">
        <is>
          <t>My mom recently announced that she has breast cancer. It's early stage, but it's growing.
Because of the Quarantine and hospitals being busy, her surgery to get it out got delayed and we don't know when her appointment will be.
Worse, she was talking to a secretary and the secretary was rude to her.
I just want to support her the best I can, but everyone just feels so powerless. It's just awful.
I'm with her fortunately after coming home from university early, and the rest of my family; we live in Toronto. Also, she recently got divorced from my father, so she's also dealing with the emotional fallout of that.
Although, she is a very social person and subsequently has a wide net of support. A couple of her friends have had/are undergoing treatment for breast cancer, so she has people to talk to specifically in that area.</t>
        </is>
      </c>
      <c r="D8709" t="n">
        <v>1</v>
      </c>
      <c r="E8709" t="n">
        <v>5</v>
      </c>
      <c r="F8709">
        <f>HYPERLINK("https://www.reddit.com/r/cancer/comments/fxy22r/mom_has_breast_cancer_quarantine/")</f>
        <v/>
      </c>
      <c r="G8709" t="inlineStr">
        <is>
          <t>2020-04-09 11:44:25</t>
        </is>
      </c>
      <c r="H8709" t="inlineStr"/>
    </row>
    <row r="8710">
      <c r="A8710" t="inlineStr">
        <is>
          <t>fy1srs</t>
        </is>
      </c>
      <c r="B8710" t="inlineStr">
        <is>
          <t>How do I stop sore throat pain?</t>
        </is>
      </c>
      <c r="C8710" t="inlineStr">
        <is>
          <t>I recently had to get ventilated for a procedure and after the procedure I got a very bad sore throat, I’ve gotten ventilated before for surgeries and other procedures but this time it hurts so much. I tried sore throat spray but my throat get extremely dry within minutes so it wears off quickly. I tried gargling magic mouth wash which kind of helps. And I’ve tried gargling chlorohexadine and salt and soda mouth wash, it’s been 2 days since the procedure and my throat just gets worse daily. I’ve also taken my index because i got a bunch of mucus in my throat after the procedure. Thanks for the help!</t>
        </is>
      </c>
      <c r="D8710" t="n">
        <v>1</v>
      </c>
      <c r="E8710" t="n">
        <v>17</v>
      </c>
      <c r="F8710">
        <f>HYPERLINK("https://www.reddit.com/r/cancer/comments/fy1srs/how_do_i_stop_sore_throat_pain/")</f>
        <v/>
      </c>
      <c r="G8710" t="inlineStr">
        <is>
          <t>2020-04-09 15:09:17</t>
        </is>
      </c>
      <c r="H8710" t="inlineStr"/>
    </row>
    <row r="8711">
      <c r="A8711" t="inlineStr">
        <is>
          <t>fy2jj6</t>
        </is>
      </c>
      <c r="B8711" t="inlineStr">
        <is>
          <t>Strange or difficult feelings when you or a loved one has stage 4 metastatic cancer?</t>
        </is>
      </c>
      <c r="C8711" t="inlineStr">
        <is>
          <t>Its like i hear a voice that says "ok you've survived longer than expected, now what?" But the cancer and treatment has taken almost everything. Youre a shell of yourself. A burden. To yourself and others. They are tired of taking care of you. Its a long good bye that is both a blessing and a curse.</t>
        </is>
      </c>
      <c r="D8711" t="n">
        <v>1</v>
      </c>
      <c r="E8711" t="n">
        <v>10</v>
      </c>
      <c r="F8711">
        <f>HYPERLINK("https://www.reddit.com/r/cancer/comments/fy2jj6/strange_or_difficult_feelings_when_you_or_a_loved/")</f>
        <v/>
      </c>
      <c r="G8711" t="inlineStr">
        <is>
          <t>2020-04-09 15:53:47</t>
        </is>
      </c>
      <c r="H8711" t="inlineStr"/>
    </row>
    <row r="8712">
      <c r="A8712" t="inlineStr">
        <is>
          <t>fy2t87</t>
        </is>
      </c>
      <c r="B8712" t="inlineStr">
        <is>
          <t>hi. i'm grateful for finding this. i'm new to reddit and to this forum. and i need some advice and support.</t>
        </is>
      </c>
      <c r="C8712" t="inlineStr">
        <is>
          <t>i apologize for now reading other people's posts and offering support to them. i will do that. of course.
i was diagnosed with non-hodgkins lymphoma and short while ago. which kind of threw me for a loop. but i am lucky because  i have a low grade one. there is treatment that can make a difference but not cure this. i know i should go get treatment. i'm not in pain but i'm uncomfortable because of the swelling in my lymph nodes.
but i am feeling huge anxiety and despair and confusion. i am in the risky pool for covid-19. i'm 67 and i have asthma and cancer. so i'm terrified to leave my home. but then i know i need treatment. so what do i do? covid can kill me. this lymphoma would not. 
i'm answering my own question, i guess. but what do you guys think? i would be so grateful for any advice or support for this. 
oh yes, and my 16 year old service dog cocoa chanel is in kidney failure and i could lose her any day. so i'm grateful for her every day. 
it's a real "Aside from that, mrs. lincoln, how was the play?" situation. for everyone here, i know. 
&amp;amp;#x200B;
love and light and stay safe, 
teddy et al
&amp;amp;#x200B;
&amp;amp;#x200B;
&amp;amp;#x200B;
&amp;amp;#x200B;
&amp;amp;#x200B;
\]</t>
        </is>
      </c>
      <c r="D8712" t="n">
        <v>1</v>
      </c>
      <c r="E8712" t="n">
        <v>9</v>
      </c>
      <c r="F8712">
        <f>HYPERLINK("https://www.reddit.com/r/cancer/comments/fy2t87/hi_im_grateful_for_finding_this_im_new_to_reddit/")</f>
        <v/>
      </c>
      <c r="G8712" t="inlineStr">
        <is>
          <t>2020-04-09 16:10:25</t>
        </is>
      </c>
      <c r="H8712" t="inlineStr"/>
    </row>
    <row r="8713">
      <c r="A8713" t="inlineStr">
        <is>
          <t>fy3w0h</t>
        </is>
      </c>
      <c r="B8713" t="inlineStr">
        <is>
          <t>Today its 2 years since i got diagnosed with ALL(lymphoma) and i went into remission in oct 2018 but...</t>
        </is>
      </c>
      <c r="C8713" t="inlineStr">
        <is>
          <t>I seriously struggle with the fear of getting it back. And days like these where i remember where i was on this day in 2018 i get depressed,scared and sad. How do you handle the though times after getting cancer free? I want to be happy im in remission but its so easy falling into negative thoughts and fear.. 
It doesnt help that whenever i move my body ACHES from the treatments,my stomach is messed up after chemo,my back is hurting from getting poked with needles all the time,my legs are sleeping from the nerve killing chemo and i still feel like i have chemo brain.. i have nightmares about the treatment,about the steroids i had to use which messed me up so bad i couldnt even remember my last name... how i neglected my wife and kids.. how my 2 year old son is scared of me and doesnt have a great connection to me because of me being away both physically and mentally the first year of his life...the scars on my body... 
How do you people handle this?</t>
        </is>
      </c>
      <c r="D8713" t="n">
        <v>1</v>
      </c>
      <c r="E8713" t="n">
        <v>4</v>
      </c>
      <c r="F8713">
        <f>HYPERLINK("https://www.reddit.com/r/cancer/comments/fy3w0h/today_its_2_years_since_i_got_diagnosed_with/")</f>
        <v/>
      </c>
      <c r="G8713" t="inlineStr">
        <is>
          <t>2020-04-09 17:14:43</t>
        </is>
      </c>
      <c r="H8713" t="inlineStr"/>
    </row>
    <row r="8714">
      <c r="A8714" t="inlineStr">
        <is>
          <t>fy3zux</t>
        </is>
      </c>
      <c r="B8714" t="inlineStr">
        <is>
          <t>How do I prepare for hospice?</t>
        </is>
      </c>
      <c r="C8714" t="inlineStr">
        <is>
          <t>Hi everyone!
I'm an on/off lurker in this sub. I apologize in advance if my thoughts seem jumbled -- it's been a long journey and I believe I have less than a day to mentally and emotionally prepare myself. 
I have an appointment scheduled for my dad with his NP at a cancer institute where he has been receiving treatment. I believe hospice will be mentioned this time. I am planning to ask about other types of chemotherapy and clinical trials that are available for him (just so my dad knows all of his options), but I have a feeling that the NP and doctor will highly suggest hospice and that further treatments will end up being more harmful than beneficial for my dad. If my dad does decide to choose hospice, I would love some advice from this wonderful and supportive community. 
\- What are some things to keep in mind to make him most comfortable? My dad can still write (the pain is too much for him to talk and swallow, so he no longer speaks and uses a g-tube) but he is extremely tired and most of the time does not write in complete sentences. 
\- How do I keep him happy? He usually lays in bed now and only gets up for feeds and medications. I'd love to go into his room now and then but I'm not sure what else I can do so that we can spend time together. He doesn't like to watch TV or listen to music anymore. 
\- How were you able to accept a patient's decision for hospice? My dad has not even made it to 50 yet. I am trying my best to collect myself when I am around him, but it is difficult to keep the tears from coming out. Life has been extremely cruel to my dad and his history makes it harder for me to accept all of this without crying all the time. 
\- What should I prepare in terms of paperwork?
\- How do I make the most out of the time he has left? I've been constantly thinking about this but it is just so hard to come up with something when my dad is so fatigued. 
Thank you everyone. I really appreciate this.</t>
        </is>
      </c>
      <c r="D8714" t="n">
        <v>1</v>
      </c>
      <c r="E8714" t="n">
        <v>2</v>
      </c>
      <c r="F8714">
        <f>HYPERLINK("https://www.reddit.com/r/cancer/comments/fy3zux/how_do_i_prepare_for_hospice/")</f>
        <v/>
      </c>
      <c r="G8714" t="inlineStr">
        <is>
          <t>2020-04-09 17:20:18</t>
        </is>
      </c>
      <c r="H8714" t="inlineStr"/>
    </row>
    <row r="8715">
      <c r="A8715" t="inlineStr">
        <is>
          <t>fy4als</t>
        </is>
      </c>
      <c r="B8715" t="inlineStr">
        <is>
          <t>How do I get over the fear that I'm going to get cancer?</t>
        </is>
      </c>
      <c r="C8715" t="inlineStr">
        <is>
          <t>I've had 8 blood related family members who have had cancer of various forms-skin, breast, colon, etc. I am paranoid and petrified any time i have a health issue. If a mole looks at me the wrong way I immediately think it's cancerous. How do I deal with this fear?</t>
        </is>
      </c>
      <c r="D8715" t="n">
        <v>1</v>
      </c>
      <c r="E8715" t="n">
        <v>6</v>
      </c>
      <c r="F8715">
        <f>HYPERLINK("https://www.reddit.com/r/cancer/comments/fy4als/how_do_i_get_over_the_fear_that_im_going_to_get/")</f>
        <v/>
      </c>
      <c r="G8715" t="inlineStr">
        <is>
          <t>2020-04-09 17:36:10</t>
        </is>
      </c>
      <c r="H8715" t="inlineStr"/>
    </row>
    <row r="8716">
      <c r="A8716" t="inlineStr">
        <is>
          <t>fy6jgv</t>
        </is>
      </c>
      <c r="B8716" t="inlineStr">
        <is>
          <t>Newly diagnosed and still numb. Advice please?</t>
        </is>
      </c>
      <c r="C8716" t="inlineStr">
        <is>
          <t>53/F diagnosed with Stage ll B grade three invasive ductal carcinoma, and triple negative. No lymph nodes involved, which seems to be the only good spot on which to focus.
Had a second surgery today for a re-excision of some chest wall cells as the initial tumor (a monster at 5.5cm x 4.5cm x 3.3cm excised 3/26/20) left questions about the margins.
All this during a pandemic. I had to endure both surgeries alone because the hospital is allowing no one in. I was the only person in OR today. Very weird.  Lonely and scary too. I work at a small junior college and I’m still working for maybe a month before being furloughed. That scares me too.
I live in a semi rural area but a decent regional medical center is in my small city.  I’m lost. Worried, of course. I’ve grown kids, so no worries about parenting. My wife is trying to be encouraging but is primary caregiver for her mother who has vascular dementia and end stage COPD. She is freaked out and I know it. I’m freaked out, I mean who’s kidding who?
I was wondering what to read, where to go for answers, info, clinical trials, treatments or ideas? I’m not quite sure what I am seeking. Maybe just some ears. 
Meet with oncology soon. I know there will be a plan. I’m just alternating between numb and uncontrollable weeping.
If you’ve read this far, thank you. Thanks also to Reddit for letting me unload my head.</t>
        </is>
      </c>
      <c r="D8716" t="n">
        <v>1</v>
      </c>
      <c r="E8716" t="n">
        <v>10</v>
      </c>
      <c r="F8716">
        <f>HYPERLINK("https://www.reddit.com/r/cancer/comments/fy6jgv/newly_diagnosed_and_still_numb_advice_please/")</f>
        <v/>
      </c>
      <c r="G8716" t="inlineStr">
        <is>
          <t>2020-04-09 19:40:48</t>
        </is>
      </c>
      <c r="H8716" t="inlineStr"/>
    </row>
    <row r="8717">
      <c r="A8717" t="inlineStr">
        <is>
          <t>fy78j7</t>
        </is>
      </c>
      <c r="B8717" t="inlineStr">
        <is>
          <t>Why are people such jerks?</t>
        </is>
      </c>
      <c r="C8717" t="inlineStr">
        <is>
          <t>I was talking about my experience with cancer here on Reddit and someone said they hope I have a really good life. Someone replied directly to their comment saying: "Why should they get to hog all the great days? They’re on their third diagnosis of cancer, they’re probably going to die soon." 
Do people realize their words hurt? Do people think they're invisible to the person they're talking about? I just don't understand why people are so rude. I would never have such a negative outlook towards someone who went through something similar to me, I would just be glad they're alive. I replied to them and said they were right, I would more than likely die soon because I have kidney disease and heart issues (can't remember the diagnosis for the heart). They have not replied to me, but this is the third time someone has pointed out "welp you're going to die anyway." And has made it clear they didn't think I deserved a good life because I will die.</t>
        </is>
      </c>
      <c r="D8717" t="n">
        <v>1</v>
      </c>
      <c r="E8717" t="n">
        <v>27</v>
      </c>
      <c r="F8717">
        <f>HYPERLINK("https://www.reddit.com/r/cancer/comments/fy78j7/why_are_people_such_jerks/")</f>
        <v/>
      </c>
      <c r="G8717" t="inlineStr">
        <is>
          <t>2020-04-09 20:21:33</t>
        </is>
      </c>
      <c r="H8717" t="inlineStr"/>
    </row>
    <row r="8718">
      <c r="A8718" t="inlineStr">
        <is>
          <t>fy8yg1</t>
        </is>
      </c>
      <c r="B8718" t="inlineStr">
        <is>
          <t>About that port scar, jazz things up</t>
        </is>
      </c>
      <c r="C8718" t="inlineStr">
        <is>
          <t>My port was on my left side below my collar bone. Dang scar is uncomfortable but also I hate looking at it. 
I searched for tattoo ideas to disguise it but most of the tattoos I’ve found online to hide/disguise scars have been for women with breast cancer. 
If anyone has ideas or links to what others have done it’d be appreciated</t>
        </is>
      </c>
      <c r="D8718" t="n">
        <v>1</v>
      </c>
      <c r="E8718" t="n">
        <v>7</v>
      </c>
      <c r="F8718">
        <f>HYPERLINK("https://www.reddit.com/r/cancer/comments/fy8yg1/about_that_port_scar_jazz_things_up/")</f>
        <v/>
      </c>
      <c r="G8718" t="inlineStr">
        <is>
          <t>2020-04-09 22:09:15</t>
        </is>
      </c>
      <c r="H8718" t="inlineStr"/>
    </row>
    <row r="8719">
      <c r="A8719" t="inlineStr">
        <is>
          <t>fyac5z</t>
        </is>
      </c>
      <c r="B8719" t="inlineStr">
        <is>
          <t>Given less than 6 months today... I am completely broken.</t>
        </is>
      </c>
      <c r="C8719" t="inlineStr">
        <is>
          <t>Hello all, I am new to this community. I hope this type of post is allowed... I just really need to get these feelings off my chest.
Bit of a backstory, I am 29 and was diagnosed with Stage IV esophageal cancer in October 2019. By the time they found it, it had already spread into my stomach, liver, and several lymph nodes. They told me from the start that it had progressed too far, and was inoperable.
After 5 months of unsuccessful chemo and radiation, I begin what seems to be my last option for treatment, a type of immunotherapy (I can’t recall the specific name at the moment) on Tuesday.
I met with my doctor today and finally asked the hard questions regarding my prognosis. He told me that if this treatment doesn’t work, I likely have less than six months to live, due to the rate at which the cancer is spreading. Especially in my liver.
Even though I have been expecting and preparing myself to receive this type of news, it has completely broken me. I have cried more today than I have my entire life combined. 
I’ve been sad, scared, angry, all on repeat. I mean, I’m only 29... I’ve barely begun my life, and now it’s being taken away. My fiancée and I had plans to get married in October, but now I don’t know if we should continue or cancel. It seems pointless to plan and spend money on a wedding that might not happen.. or even if it does happen, is it worth it for her to almost immediately become a widow? She’s distraught, and there’s nothing I can do or say to make it better.
In a way, the person I used to be actually died back in October. I’ve been a shell of my former self ever since. I’m not religious and don’t believe in an afterlife, so I’m not scared of being dead. But I am scared of the process of dying. Is it going to be painful? Will there be enough time for my friends and family to come and say our final goodbyes? Or will it happen during this pandemic and I’ll be completely alone in a hospital bed?
I don’t want to come across as being selfish, but it’s just not fair. I’ve stayed strong from day one, but I have no idea how to cope with this.
Thanks for reading... Any advice will be extremely appreciated.</t>
        </is>
      </c>
      <c r="D8719" t="n">
        <v>1</v>
      </c>
      <c r="E8719" t="n">
        <v>46</v>
      </c>
      <c r="F8719">
        <f>HYPERLINK("https://www.reddit.com/r/cancer/comments/fyac5z/given_less_than_6_months_today_i_am_completely/")</f>
        <v/>
      </c>
      <c r="G8719" t="inlineStr">
        <is>
          <t>2020-04-09 23:46:28</t>
        </is>
      </c>
      <c r="H8719" t="inlineStr"/>
    </row>
    <row r="8720">
      <c r="A8720" t="inlineStr">
        <is>
          <t>fycn4y</t>
        </is>
      </c>
      <c r="B8720" t="inlineStr">
        <is>
          <t>So, my deadbeat dad has cancer</t>
        </is>
      </c>
      <c r="C8720" t="inlineStr">
        <is>
          <t>So my dad's got bowel cancer. I've known for a few weeks now, since this Coronavirus kicked off actually, so great timing on that. Sent me and my siblings a friggen email to tell us about what treatment he'll be recieving. For clarification, my parents split when I was about 2 (19 now), and he moved out to Portugal 3 years ago, so I haven't even seen him since we've found out about this. And even now, he's not telling us everything, he's held back what stage it's at which just worries me even more- I've had to try guess-timating what stage he's at from what he's told me about treatment, but I don't really know. I have a kinda complicated relationship with my dad, not in the way that he's been awful and abusive my whole life, was a bit when we were kids, but he's just shit at being a parent. I've always considered him closer to a friend than any actual parent, and I've just been used to that for so long, it's just become normal. And now this happens and I'm angry. I'm angry at the world for trying to take someone else from me, but I'm more pissed off with him, because he's leaving us in the dark, letting us worry about him when he could put our minds at ease, and for being so fucking far away when this happened and not wanting to come back for his kids. I don't know how much time he's got, mainly cos he won't fucking tell me, and I just want to hit him. I understand how scary this must be for him, but we are his fucking kids, and I thought that's meant to mean that he tells us exactly what the hell is happening, he's not protecting us from jackshit from holding back. I don't know what the point of this post was, I don't even suppose I'm looking for any great advice or that. I just need these thoughts somewhere other than my head. Sorry for the rant, especially if it makes no sense.</t>
        </is>
      </c>
      <c r="D8720" t="n">
        <v>1</v>
      </c>
      <c r="E8720" t="n">
        <v>6</v>
      </c>
      <c r="F8720">
        <f>HYPERLINK("https://www.reddit.com/r/cancer/comments/fycn4y/so_my_deadbeat_dad_has_cancer/")</f>
        <v/>
      </c>
      <c r="G8720" t="inlineStr">
        <is>
          <t>2020-04-10 02:30:05</t>
        </is>
      </c>
      <c r="H8720" t="inlineStr"/>
    </row>
    <row r="8721">
      <c r="A8721" t="inlineStr">
        <is>
          <t>fydrks</t>
        </is>
      </c>
      <c r="B8721" t="inlineStr">
        <is>
          <t>Mother with potentially stage 3B lung adenocarcinoma has to defer treatment for 2 weeks. Will this make a significant difference?</t>
        </is>
      </c>
      <c r="C8721" t="inlineStr">
        <is>
          <t>My mother had a biopsy done earlier in the week that was going to be used to make the final determination of stage but there was not enough sample tissue so another biopsy will have to be done next week. However my mother has to be tested for Covid before the next biopsy just in case, delaying it another 2 days. Then she will meet with her oncologist later next week, like she would have this week and start treatment the following week hopefully.
My family and I are obviously anxious. I was wondering if anyone can speak to just how aggressive this cancer is and if 2 weeks is going to be detrimental?
Thanks in advance.</t>
        </is>
      </c>
      <c r="D8721" t="n">
        <v>1</v>
      </c>
      <c r="E8721" t="n">
        <v>2</v>
      </c>
      <c r="F8721">
        <f>HYPERLINK("https://www.reddit.com/r/cancer/comments/fydrks/mother_with_potentially_stage_3b_lung/")</f>
        <v/>
      </c>
      <c r="G8721" t="inlineStr">
        <is>
          <t>2020-04-10 03:53:35</t>
        </is>
      </c>
      <c r="H8721" t="inlineStr"/>
    </row>
    <row r="8722">
      <c r="A8722" t="inlineStr">
        <is>
          <t>fyfv1a</t>
        </is>
      </c>
      <c r="B8722" t="inlineStr">
        <is>
          <t>What Is Breast Cancer? Breast Cancer Definition</t>
        </is>
      </c>
      <c r="C8722" t="inlineStr">
        <is>
          <t xml:space="preserve"> Breast cancer is a type of cancer that begins in the breast. Cancer begins when cells begin to grow uncontrollably. (For more information about how cancer begins and spreads, see [**What is** **10 cancer symptoms that you are likely to ignore**](https://www.healthyplanguide.com/10-cancer-symptoms-likely-ignore/1363/)?)
**Breast cancer cells** usually form a tumor that can often be seen on an X-ray or felt like a lump. **Breast cancer occurs** almost entirely in women, but **men can also develop Breast cancer**.
**It is important to understand that most Breast lumps are benign, not cancer (malignant)**.
Non-cancerous breast tumors are abnormal grouth, but they do not spread outside the breast. It is not life threatening, but some types of benign breast lumps can increase a woman’s risk of **developing Breast cancer**. Any lumps or changes in the breast should be examined by a healthcare professional to determine whether they are benign or malignant (**cancer**) and whether they can affect the risk of cancer in the future.
[https://www.healthyplanguide.com/definition-of-breast-cancer/1773/](https://www.healthyplanguide.com/definition-of-breast-cancer/1773/)</t>
        </is>
      </c>
      <c r="D8722" t="n">
        <v>1</v>
      </c>
      <c r="E8722" t="n">
        <v>0</v>
      </c>
      <c r="F8722">
        <f>HYPERLINK("https://www.reddit.com/r/cancer/comments/fyfv1a/what_is_breast_cancer_breast_cancer_definition/")</f>
        <v/>
      </c>
      <c r="G8722" t="inlineStr">
        <is>
          <t>2020-04-10 06:29:54</t>
        </is>
      </c>
      <c r="H8722" t="inlineStr"/>
    </row>
    <row r="8723">
      <c r="A8723" t="inlineStr">
        <is>
          <t>fyk0ie</t>
        </is>
      </c>
      <c r="B8723" t="inlineStr">
        <is>
          <t>Legalize Marijuana nationwide dammit.</t>
        </is>
      </c>
      <c r="C8723" t="inlineStr">
        <is>
          <t>All the politicians and others that hate marijuana should get to experience the impact of opioid painkillers and the joy of chemo induced mega-nausea. I just ate my last edible I secured in a legal state and I am bummed.</t>
        </is>
      </c>
      <c r="D8723" t="n">
        <v>1</v>
      </c>
      <c r="E8723" t="n">
        <v>15</v>
      </c>
      <c r="F8723">
        <f>HYPERLINK("https://www.reddit.com/r/cancer/comments/fyk0ie/legalize_marijuana_nationwide_dammit/")</f>
        <v/>
      </c>
      <c r="G8723" t="inlineStr">
        <is>
          <t>2020-04-10 10:14:59</t>
        </is>
      </c>
      <c r="H8723" t="inlineStr"/>
    </row>
    <row r="8724">
      <c r="A8724" t="inlineStr">
        <is>
          <t>fykfy9</t>
        </is>
      </c>
      <c r="B8724" t="inlineStr">
        <is>
          <t>Dad diagnosed yesterday. Totally new to this and want to know where to begin. Have some q's.</t>
        </is>
      </c>
      <c r="C8724" t="inlineStr">
        <is>
          <t>My father was diagnosed with squamous cell carcinoma in situ p16 on his tonsil. It did spread to a lymph node but they told us it was very treatable so I'm trying to stay positive. It's just very bad timing overall with COVID going on. 
I guess my main questions are if anyone knows much about this type of cancer? 
And, more importantly, what are the best guides and resources about helping a loved one through cancer and treatment? How should we all prepare? What can I do or purchase to make this more comfortable for him? 
I do ***not*** believe in food as a cure-all or any of that shit, but he's wondering if he should start eating more nutritious to prep his body for radiation/chemo/surgery. Is that a good idea, or should he not make a big change rn and just stick with what he knows and likes for now? Esp since he will be on a liquid diet for who knows how long. Going off that, suggestions for the best protein shakes and drinks for this would be very very appreciated.
Also, what should I do to prepare mentally? I've only seen my dad in pain once for something minor and it made me sob, same with my brother. I want to find the strength to take charge of this for the family. 
Thank you all in advance for your help. Apologies for so many questions. I like to have as much info as possible so I can feel prepared in situations like this. If there is a better place or way to get general q's like this answered, please just lmk and I'll head there instead. Thanks again. &amp;lt;3</t>
        </is>
      </c>
      <c r="D8724" t="n">
        <v>1</v>
      </c>
      <c r="E8724" t="n">
        <v>5</v>
      </c>
      <c r="F8724">
        <f>HYPERLINK("https://www.reddit.com/r/cancer/comments/fykfy9/dad_diagnosed_yesterday_totally_new_to_this_and/")</f>
        <v/>
      </c>
      <c r="G8724" t="inlineStr">
        <is>
          <t>2020-04-10 10:36:01</t>
        </is>
      </c>
      <c r="H8724" t="inlineStr"/>
    </row>
    <row r="8725">
      <c r="A8725" t="inlineStr">
        <is>
          <t>fylbmp</t>
        </is>
      </c>
      <c r="B8725" t="inlineStr">
        <is>
          <t>What do I say?</t>
        </is>
      </c>
      <c r="C8725" t="inlineStr">
        <is>
          <t>My mom called. My uncle has decided to end his battle with cancer tonight after months in palliative care. I'm across the country. I can't be there.
Do I call and try and speak to him? My mom said he cant talk. Do I call his wife and talk to her? Do I call my dad, his brother? What do I even say?</t>
        </is>
      </c>
      <c r="D8725" t="n">
        <v>1</v>
      </c>
      <c r="E8725" t="n">
        <v>1</v>
      </c>
      <c r="F8725">
        <f>HYPERLINK("https://www.reddit.com/r/cancer/comments/fylbmp/what_do_i_say/")</f>
        <v/>
      </c>
      <c r="G8725" t="inlineStr">
        <is>
          <t>2020-04-10 11:18:19</t>
        </is>
      </c>
      <c r="H8725" t="inlineStr"/>
    </row>
    <row r="8726">
      <c r="A8726" t="inlineStr">
        <is>
          <t>fyli1l</t>
        </is>
      </c>
      <c r="B8726" t="inlineStr">
        <is>
          <t>Should it be your company’s business what happens in your personal life?</t>
        </is>
      </c>
      <c r="C8726" t="inlineStr">
        <is>
          <t>Hi everyone,
I’m posting this from a throwaway account but I wanted to ask you all a question around how you told the company you work for that you need to leave to take care of a loved one that is currently battling cancer. Essentially, my dad has been battling cancer for the last 3.5 years. He lives in Ohio and I live in California. With all the shelter in place orders do to COVID-19, I want to spend time with my dad and take care of him while he gets more treatments. I’m an only child and my mom passed when I was very young so I don’t really have anyone that can do this for me and I want to spend as much time as possible with my dad. I would have to travel by plane there — I do have a plan where I would self quarantine in Ohio for 3 weeks before I stay with him to be safe and plan on being extra careful around him. I told my manager I would be leaving to stay with my dad until this whole shelter in place thing was lifted. I told them I would likely be leaving at the end of this month but that I would still be working remotely (as we have been). I didn’t even feel as if they needed to know but I told them in the case that they could check my location and due to the time zone differences. Telling them all this already feels very personal for me and has been hard because i just started at this company 4 months ago. My managers response was that they would “look into it”... I’m confused as to what they will have to look into. I feel as if this is my personal business and If I need to or want to spend time with my father then I should be able to. Most of my previous managers have always told me it’s my business and that I have to do what I have to do. Has anyone else ever had this problem? Does anyone have any recommendations? I know things are a little different because of the way things are right now with the shelter in place but I’ve been feeling anxious that my company is going to tell me to not go. Any help would be greatly appreciated! Thank you  all.</t>
        </is>
      </c>
      <c r="D8726" t="n">
        <v>1</v>
      </c>
      <c r="E8726" t="n">
        <v>0</v>
      </c>
      <c r="F8726">
        <f>HYPERLINK("https://www.reddit.com/r/cancer/comments/fyli1l/should_it_be_your_companys_business_what_happens/")</f>
        <v/>
      </c>
      <c r="G8726" t="inlineStr">
        <is>
          <t>2020-04-10 11:26:37</t>
        </is>
      </c>
      <c r="H8726" t="inlineStr"/>
    </row>
    <row r="8727">
      <c r="A8727" t="inlineStr">
        <is>
          <t>fylm8g</t>
        </is>
      </c>
      <c r="B8727" t="inlineStr">
        <is>
          <t>My mother just got diagnosed.</t>
        </is>
      </c>
      <c r="C8727" t="inlineStr">
        <is>
          <t>My mother has a 2 cm and a 5 cm mass in her upper right lung. How bad does that sound?  Has an appointment Monday to speak with a doctor. I’m worried my mom is being too optimistic so I’d like to know how mentally prepared I should be.</t>
        </is>
      </c>
      <c r="D8727" t="n">
        <v>1</v>
      </c>
      <c r="E8727" t="n">
        <v>13</v>
      </c>
      <c r="F8727">
        <f>HYPERLINK("https://www.reddit.com/r/cancer/comments/fylm8g/my_mother_just_got_diagnosed/")</f>
        <v/>
      </c>
      <c r="G8727" t="inlineStr">
        <is>
          <t>2020-04-10 11:31:55</t>
        </is>
      </c>
      <c r="H8727" t="inlineStr"/>
    </row>
    <row r="8728">
      <c r="A8728" t="inlineStr">
        <is>
          <t>fylr5u</t>
        </is>
      </c>
      <c r="B8728" t="inlineStr">
        <is>
          <t>My friend has cancer and I'm feeling helpless</t>
        </is>
      </c>
      <c r="C8728" t="inlineStr">
        <is>
          <t>My friend (M23) texted me yesterday that he has cancer. It's spread to his liver, stomach and spleen. We shortly texted, both at loss of words. A few hours later I offered to call but he didn't think he could handle that. He told me he would contact me when he could/wants. I agreed and let him now I'm here for him whenever.
I just don't know what to do. I've got so many questions. I want to help but don't know how. Its on my mind all the time and I just want to talk to him. I'm thinking of texting him next week? But I I also don't want to push, as he told me that he would contact me when he's ready.
Sorry for the rambling. I just don't know what to do. Any advice is appreciated. What do you appreciate in your friends' support? What shouldn't I do? I'm completely new to this..</t>
        </is>
      </c>
      <c r="D8728" t="n">
        <v>1</v>
      </c>
      <c r="E8728" t="n">
        <v>19</v>
      </c>
      <c r="F8728">
        <f>HYPERLINK("https://www.reddit.com/r/cancer/comments/fylr5u/my_friend_has_cancer_and_im_feeling_helpless/")</f>
        <v/>
      </c>
      <c r="G8728" t="inlineStr">
        <is>
          <t>2020-04-10 11:38:13</t>
        </is>
      </c>
      <c r="H8728" t="inlineStr"/>
    </row>
    <row r="8729">
      <c r="A8729" t="inlineStr">
        <is>
          <t>fyolnf</t>
        </is>
      </c>
      <c r="B8729" t="inlineStr">
        <is>
          <t>What do you regret not being able to say to a loved one who passed?</t>
        </is>
      </c>
      <c r="C8729" t="inlineStr">
        <is>
          <t>I’m tearing up writing this. My wife’s in the hospital, liver count is through the roof and she probably has days at this point to live. I’m not able to visit her with Covid. We’re trying to get her released into hospice in our home but I’m scared that she won’t even make it that far. 
We have two small children. A 20month old boy and my daughter is turning 4 next week. 
I’m petrified that every-time she calls me, it’s going to be the last time. I tell her how much I love her, how happy she has made me,  how I enjoyed our time together more than anything,  and that I’ll make her proud with raising our children but I don’t know what else to say. Ive asked her if she has any wishes or anything, and she says she just wants us to be happy. She gets so tired on the phone and says she just wants to rest, and I feel guilty that I just want to hear her voice. But, I hang up and let her rest; each time thinking was what I said the last words she’ll hear from me. 
I think to make matters worse we won’t even be able to have a proper service for her with this virus going around. 
I don’t know if there’s something so obvious I didn’t mention that I’ll regret later on not saying. If anyone has anything to offer, I would truly appreciate it.</t>
        </is>
      </c>
      <c r="D8729" t="n">
        <v>1</v>
      </c>
      <c r="E8729" t="n">
        <v>39</v>
      </c>
      <c r="F8729">
        <f>HYPERLINK("https://www.reddit.com/r/cancer/comments/fyolnf/what_do_you_regret_not_being_able_to_say_to_a/")</f>
        <v/>
      </c>
      <c r="G8729" t="inlineStr">
        <is>
          <t>2020-04-10 13:56:22</t>
        </is>
      </c>
      <c r="H8729" t="inlineStr"/>
    </row>
    <row r="8730">
      <c r="A8730" t="inlineStr">
        <is>
          <t>fypfmn</t>
        </is>
      </c>
      <c r="B8730" t="inlineStr">
        <is>
          <t>Stage 4 Gastric Cancer</t>
        </is>
      </c>
      <c r="C8730" t="inlineStr">
        <is>
          <t>My father has it, for 2 months now he has a lot of gas and can't get rid of it. Any recommendations? We have tried everything, i think. 
If more info is needed just let me know. 
Thanks in advance</t>
        </is>
      </c>
      <c r="D8730" t="n">
        <v>1</v>
      </c>
      <c r="E8730" t="n">
        <v>1</v>
      </c>
      <c r="F8730">
        <f>HYPERLINK("https://www.reddit.com/r/cancer/comments/fypfmn/stage_4_gastric_cancer/")</f>
        <v/>
      </c>
      <c r="G8730" t="inlineStr">
        <is>
          <t>2020-04-10 14:37:44</t>
        </is>
      </c>
      <c r="H8730" t="inlineStr"/>
    </row>
    <row r="8731">
      <c r="A8731" t="inlineStr">
        <is>
          <t>fyqdwo</t>
        </is>
      </c>
      <c r="B8731" t="inlineStr">
        <is>
          <t>Mom recently diagnosed with stage 3 breast cancer</t>
        </is>
      </c>
      <c r="C8731" t="inlineStr">
        <is>
          <t>So I(28M) just found out a few weeks ago that my mom(51F) has breast cancer and cancer in her armpit lymph node. She’s since then gone to a few appointments and we did find out that luckily the lymph node did it’s job and the cancer hasn’t spread anywhere else yet. 
My grandmother (my moms mother) died of lympth node cancer which eventually all spread everywhere. I was was like 10 at the time and it’s a bit of a blur for me now.
So I just have a few questions....
Currently I’m self quarantined so I can go visit her and family. I’m just curious if there’s any financial help I could look into for her? She’s been talking to her doctor about grants and I’m starting a go fund me, but I was just curious if there’s anything else out there that may be helpful.
Also, she starts chemo next week, then will have surgery then on to radiation. What are some things you wish you’d known before you or a loved one went through this?
Of course while I’m there I’ll be taking on the house responsibilities with my brother and sister along with helping my daddy work but is theee anything else I could do to help make all this a little easier?
I wanna take as much pressure off of my parents as possible</t>
        </is>
      </c>
      <c r="D8731" t="n">
        <v>1</v>
      </c>
      <c r="E8731" t="n">
        <v>1</v>
      </c>
      <c r="F8731">
        <f>HYPERLINK("https://www.reddit.com/r/cancer/comments/fyqdwo/mom_recently_diagnosed_with_stage_3_breast_cancer/")</f>
        <v/>
      </c>
      <c r="G8731" t="inlineStr">
        <is>
          <t>2020-04-10 15:26:23</t>
        </is>
      </c>
      <c r="H8731" t="inlineStr"/>
    </row>
    <row r="8732">
      <c r="A8732" t="inlineStr">
        <is>
          <t>fytz8k</t>
        </is>
      </c>
      <c r="B8732" t="inlineStr">
        <is>
          <t>How much Colon should be removed? 31M, Large Adenocarcinoma, Splenic Flexure.</t>
        </is>
      </c>
      <c r="C8732" t="inlineStr">
        <is>
          <t>Hey fellow cancer folk. 
I am new to the community and have a whole new level of respective for those who have been through this before, are going through it now and or who have supported others in this fight. 
I was diagnosed with colon cancer 4/1/2020 (not a joke, also my birthday). Pathology confirms adenocarcinoma, tumor size is 6.4cm x 6.5cm x 7.5cm and it is located just below the splenic flexure in my descending colon. 
Pathology also came back showing an Absent presence of PMS2, indicating a possibility of Lynch Syndrome. 
My surgeon (who is incredible) is suggesting a subtotal colectomy-the removal of 75% of my bowel.  
My question:
Has anyone had a similar diagnosis/procedure and if so, what is life like afterward?</t>
        </is>
      </c>
      <c r="D8732" t="n">
        <v>1</v>
      </c>
      <c r="E8732" t="n">
        <v>6</v>
      </c>
      <c r="F8732">
        <f>HYPERLINK("https://www.reddit.com/r/cancer/comments/fytz8k/how_much_colon_should_be_removed_31m_large/")</f>
        <v/>
      </c>
      <c r="G8732" t="inlineStr">
        <is>
          <t>2020-04-10 18:48:04</t>
        </is>
      </c>
      <c r="H8732" t="inlineStr"/>
    </row>
    <row r="8733">
      <c r="A8733" t="inlineStr">
        <is>
          <t>fyvg4o</t>
        </is>
      </c>
      <c r="B8733" t="inlineStr">
        <is>
          <t>Scared of lump on back</t>
        </is>
      </c>
      <c r="C8733" t="inlineStr">
        <is>
          <t>I noticed a lump on my back, almost right in the middle on the spinal column. I'm terrified. Found it by accident, there was no pain involved, until I kept messing with it and now it's tender. Has a reddish tinge. Can move with the skin/fat on my back. Please help with advice or comfort.</t>
        </is>
      </c>
      <c r="D8733" t="n">
        <v>1</v>
      </c>
      <c r="E8733" t="n">
        <v>2</v>
      </c>
      <c r="F8733">
        <f>HYPERLINK("https://www.reddit.com/r/cancer/comments/fyvg4o/scared_of_lump_on_back/")</f>
        <v/>
      </c>
      <c r="G8733" t="inlineStr">
        <is>
          <t>2020-04-10 20:19:06</t>
        </is>
      </c>
      <c r="H8733" t="inlineStr"/>
    </row>
    <row r="8734">
      <c r="A8734" t="inlineStr">
        <is>
          <t>fyxfeo</t>
        </is>
      </c>
      <c r="B8734" t="inlineStr">
        <is>
          <t>Tired</t>
        </is>
      </c>
      <c r="C8734" t="inlineStr">
        <is>
          <t>Does anyone else ever just feel like giving up? I feel like a huge burden on everyone, I'm tired of this disease being all I think about. If this is how I feel after 2 rounds of chemo I think I'd rather go now.
The lockdown has increased things tenfold and I don't know how to deal with it. I'm not cureable and all I can think of is years of chemo and crying about it. My daughter without a Mother. 
My partner is trying his best but he hasn't come near me physically since diagnosis. I feel disgusting.</t>
        </is>
      </c>
      <c r="D8734" t="n">
        <v>1</v>
      </c>
      <c r="E8734" t="n">
        <v>10</v>
      </c>
      <c r="F8734">
        <f>HYPERLINK("https://www.reddit.com/r/cancer/comments/fyxfeo/tired/")</f>
        <v/>
      </c>
      <c r="G8734" t="inlineStr">
        <is>
          <t>2020-04-10 22:42:16</t>
        </is>
      </c>
      <c r="H8734" t="inlineStr"/>
    </row>
    <row r="8735">
      <c r="A8735" t="inlineStr">
        <is>
          <t>fyxntc</t>
        </is>
      </c>
      <c r="B8735" t="inlineStr">
        <is>
          <t>Out of the Pan &amp;amp; Into the Fire</t>
        </is>
      </c>
      <c r="C8735" t="inlineStr">
        <is>
          <t>Today I finished my final radiation treatment and am officially cancer free! It was a tough 10 month battle with Hodgkin's Lymphoma but I killed the fucker.
The only thing that sucks is that after finally being able to live my life again, I am back in isolation. I am feeling quite resentful even though I should be so grateful to have my life. And I am so grateful for the doctors, nurses, radiologists and hospital staff who put themselves in harms way during the pandemic so I could be cured. But... I still feel slighted....
 Is anyone feeling the same way? Am I alone in feeling this way?</t>
        </is>
      </c>
      <c r="D8735" t="n">
        <v>1</v>
      </c>
      <c r="E8735" t="n">
        <v>5</v>
      </c>
      <c r="F8735">
        <f>HYPERLINK("https://www.reddit.com/r/cancer/comments/fyxntc/out_of_the_pan_into_the_fire/")</f>
        <v/>
      </c>
      <c r="G8735" t="inlineStr">
        <is>
          <t>2020-04-10 22:59:00</t>
        </is>
      </c>
      <c r="H8735" t="inlineStr"/>
    </row>
    <row r="8736">
      <c r="A8736" t="inlineStr">
        <is>
          <t>fyycvj</t>
        </is>
      </c>
      <c r="B8736" t="inlineStr">
        <is>
          <t>Genetic testing and cancer : really afraid</t>
        </is>
      </c>
      <c r="C8736" t="inlineStr">
        <is>
          <t>Hello, I don't know if it's the right place to post this...
2 years ago I got a biopsy for a "non suspicious" lesion of the palate
It was non suspicious because they were no leukoplakia or erythroplakia, it was just a weird lump
After 3 weeks of horrible waiting, the report came back inconclusive  : we don't know if it's a cancer, a dysplasia or just an ulcer... This new  made me totally crazy, if you see my post history from the past 2 years you'll see how ive been impacted by this
I was hypochondriac but now it's extremly severe, I even dropped  my studies due to my huge anxiety 
I have to be tested for a genetic disease that can cause this :  fanconi anemia, they will check if my cell are sensitive to cancer causing agent 
If I have this disease (very low chance according to my ent) then my life will be completly destroyed 
Thank you for reading, I just wanted to get this off my  chest</t>
        </is>
      </c>
      <c r="D8736" t="n">
        <v>1</v>
      </c>
      <c r="E8736" t="n">
        <v>0</v>
      </c>
      <c r="F8736">
        <f>HYPERLINK("https://www.reddit.com/r/cancer/comments/fyycvj/genetic_testing_and_cancer_really_afraid/")</f>
        <v/>
      </c>
      <c r="G8736" t="inlineStr">
        <is>
          <t>2020-04-10 23:46:09</t>
        </is>
      </c>
      <c r="H8736" t="inlineStr"/>
    </row>
    <row r="8737">
      <c r="A8737" t="inlineStr">
        <is>
          <t>fz0443</t>
        </is>
      </c>
      <c r="B8737" t="inlineStr">
        <is>
          <t>What cancer feels like</t>
        </is>
      </c>
      <c r="C8737" t="inlineStr">
        <is>
          <t>I post this every few months, I think it sums things up perfectly. 
Written by hedgehog... 
What’s it like to go through cancer treatment? It’s something like this: one day, you’re minding your own business, you open the fridge to get some breakfast, and OH MY GOD THERE’S A MOUNTAIN LION IN YOUR FRIDGE.
Wait, what? How? Why is there a mountain lion in your fridge? NO TIME TO EXPLAIN. RUN! THE MOUNTAIN LION WILL KILL YOU! UNLESS YOU FIND SOMETHING EVEN MORE FEROCIOUS TO KILL IT FIRST!
So you take off running, and the mountain lion is right behind you. You know the only thing that can kill a mountain lion is a bear, and the only bear is on top of the mountain, so you better find that bear. You start running up the mountain in hopes of finding the bear. Your friends desperately want to help, but they are powerless against mountain lions, as mountain lions are godless killing machines. But they really want to help, so they’re cheering you on and bringing you paper cups of water and orange slices as you run up the mountain and yelling at the mountain lion - “GET LOST, MOUNTAIN LION, NO ONE LIKES YOU” - and you really appreciate the support, but the mountain lion is still coming.
Also, for some reason, there’s someone in the crowd who’s yelling “that’s not really a mountain lion, it’s a puma” and another person yelling “I read that mountain lions are allergic to kale, have you tried rubbing kale on it?”
As you’re running up the mountain, you see other people fleeing their own mountain lions. Some of the mountain lions seem comparatively wimpy - they’re half grown and only have three legs or whatever, and you think to yourself - why couldn’t I have gotten one of those mountain lions? But then you look over at the people who are fleeing mountain lions the size of a monster truck with huge prehistoric saber fangs, and you feel like an asshole for even thinking that - and besides, who in their right mind would want to fight a mountain lion, even a three-legged one?
Finally, the person closest to you, whose job it is to take care of you - maybe a parent or sibling or best friend or, in my case, my husband - comes barging out of the woods and jumps on the mountain lion, whaling on it and screaming “GODDAMMIT MOUNTAIN LION, STOP TRYING TO EAT MY WIFE,” and the mountain lion punches your husband right in the face. Now your husband (or whatever) is rolling around on the ground clutching his nose, and he’s bought you some time, but you still need to get to the top of the mountain.
Eventually you reach the top, finally, and the bear is there. Waiting. For both of you. You rush right up to the bear, and the bear rushes the mountain lion, but the bear has to go through you to get to the mountain lion, and in doing so, the bear TOTALLY KICKS YOUR ASS, but not before it also punches your husband in the face. And your husband is now staggering around with a black eye and bloody nose, and saying “can I get some help, I’ve been punched in the face by two apex predators and I think my nose is broken,” and all you can say is “I’M KIND OF BUSY IN CASE YOU HADN’T NOTICED I’M FIGHTING A MOUNTAIN LION.”
Then, IF YOU ARE LUCKY, the bear leaps on the mountain lion and they are locked in epic battle until finally the two of them roll off a cliff edge together, and the mountain lion is dead.
Maybe. You’re not sure - it fell off the cliff, but mountain lions are crafty. It could come back at any moment.
And all your friends come running up to you and say “that was amazing! You’re so brave, we’re so proud of you! You didn’t die! That must be a huge relief!”
Meanwhile, you blew out both your knees, you’re having an asthma attack, you twisted your ankle, and also you have been mauled by a bear. And everyone says “boy, you must be excited to walk down the mountain!” And all you can think as you stagger to your feet is “fuck this mountain, I never wanted to climb it in the first place.”</t>
        </is>
      </c>
      <c r="D8737" t="n">
        <v>1</v>
      </c>
      <c r="E8737" t="n">
        <v>33</v>
      </c>
      <c r="F8737">
        <f>HYPERLINK("https://www.reddit.com/r/cancer/comments/fz0443/what_cancer_feels_like/")</f>
        <v/>
      </c>
      <c r="G8737" t="inlineStr">
        <is>
          <t>2020-04-11 01:27:43</t>
        </is>
      </c>
      <c r="H8737" t="inlineStr"/>
    </row>
    <row r="8738">
      <c r="A8738" t="inlineStr">
        <is>
          <t>fz21nn</t>
        </is>
      </c>
      <c r="B8738" t="inlineStr">
        <is>
          <t>I want to get cancer, to fight the cancer who killed my dog!</t>
        </is>
      </c>
      <c r="C8738" t="inlineStr">
        <is>
          <t>How do you get cancer the fastest way possible?</t>
        </is>
      </c>
      <c r="D8738" t="n">
        <v>1</v>
      </c>
      <c r="E8738" t="n">
        <v>4</v>
      </c>
      <c r="F8738">
        <f>HYPERLINK("https://www.reddit.com/r/cancer/comments/fz21nn/i_want_to_get_cancer_to_fight_the_cancer_who/")</f>
        <v/>
      </c>
      <c r="G8738" t="inlineStr">
        <is>
          <t>2020-04-11 03:23:53</t>
        </is>
      </c>
      <c r="H8738" t="inlineStr"/>
    </row>
    <row r="8739">
      <c r="A8739" t="inlineStr">
        <is>
          <t>fz2g7a</t>
        </is>
      </c>
      <c r="B8739" t="inlineStr">
        <is>
          <t>mom was diagnosed with lung cancer (metatisized to the brain)...</t>
        </is>
      </c>
      <c r="C8739" t="inlineStr">
        <is>
          <t>my mom is suffering and i dont know how to help her
hi guys, this post is a cry for help as my mom is suffering from depression due to unique circumstances and i want to help her but i dont know how
my mom was diagnosed with a sickness that affects her ability to see and hear, shes not blind or deaf but has a hard time comprehending words if you speak too fast or if you are in a loud place. this makes her easily frustrated and turns her away from seeing friends, she doesnt like telling people about it so she just sits there and pretends she can hear
furthermore, the brain damage that causes her hearing and vision loss makes her really emotionally unstable. her meds affects her emotions too
because of her sickness, she has a weakened immune system meaning she cant go out too frequently either because of COVID. shes stuck at home without anything to do, her mind goes to places, and she gets easily angry at anything. 
in addition, im only home during breaks because im still going to school. my mom and my dad do not have the best relationship, and because shes trapped at home and her sickness makes her dwell on the past, and particularly every horrible thing my father has done to her. thats all she can think about, and she takes it out on my dad and blames him for everything, including the person she has become. she claims that my father treats her like a burden, doesnt emotionally support her, and make sure she gets the bare minimum, etc. 
every week they get into explosive arguments, and my mom gets physically angry (throwing things). my dad tries to calm her down and she accuses him of trying to kill her. she keeps telling him she wants him dead, etc. she cries to help and she doesnt know how to vent her frustrations
i want to help her, i dont know how! she locks herself in her room for days and i cant get her out. what do i do
my dad also suffers from anxiety, and sometimes she has said some really horrendous things to my dad and he tries really hard not to get angry but he cant help it sometimes. and i know shes trying to make him suffer on purpose</t>
        </is>
      </c>
      <c r="D8739" t="n">
        <v>1</v>
      </c>
      <c r="E8739" t="n">
        <v>2</v>
      </c>
      <c r="F8739">
        <f>HYPERLINK("https://www.reddit.com/r/cancer/comments/fz2g7a/mom_was_diagnosed_with_lung_cancer_metatisized_to/")</f>
        <v/>
      </c>
      <c r="G8739" t="inlineStr">
        <is>
          <t>2020-04-11 03:49:02</t>
        </is>
      </c>
      <c r="H8739" t="inlineStr"/>
    </row>
    <row r="8740">
      <c r="A8740" t="inlineStr">
        <is>
          <t>fz37yw</t>
        </is>
      </c>
      <c r="B8740" t="inlineStr">
        <is>
          <t>I don't want to remember</t>
        </is>
      </c>
      <c r="C8740" t="inlineStr">
        <is>
          <t>I don’t want to remember my mum’s swollen and bloated body, contorted with the ravages of cancer. I don’t want to remember her as her mental faculties were dwindling, as she found it harder and harder to focus on any one thing. She could barely say sentences in the end. Her mind at the level of a new-born, or a toddler, but it got there by a very different process. Not through the slow development and accumulation of neurons that come with growth and experience with the world, but by degeneration and breakdown. Occupation by an agent that takes over the processes of your body: cell replication and specialisation, commandeered by this disease that has no care for your aspirations in life. 
I want to remember her as positive and light, as free and powerful. Her body was a tool that bore her on to myriad experiences and personal growth. She never stopped questioning and wondering. I want to remember her as she was when she took up long distance running and saw the changes this brought and the possibilities it opened up. They were never closed, but they were hidden. They were hidden behind some fear and low self-esteem, that are a perfectly normal part of the human condition. But she overcame so many of these hurdles in her lifetime, with joy and grace. She wanted to shout from the rooftop when she achieved, to shout “Hey, everyone, look what is possible for you too!”. Because that is who she was. Kind and wonderful. My mum.</t>
        </is>
      </c>
      <c r="D8740" t="n">
        <v>1</v>
      </c>
      <c r="E8740" t="n">
        <v>0</v>
      </c>
      <c r="F8740">
        <f>HYPERLINK("https://www.reddit.com/r/cancer/comments/fz37yw/i_dont_want_to_remember/")</f>
        <v/>
      </c>
      <c r="G8740" t="inlineStr">
        <is>
          <t>2020-04-11 04:34:53</t>
        </is>
      </c>
      <c r="H8740" t="inlineStr"/>
    </row>
    <row r="8741">
      <c r="A8741" t="inlineStr">
        <is>
          <t>fz5dg8</t>
        </is>
      </c>
      <c r="B8741" t="inlineStr">
        <is>
          <t>Chemo and depression/feeling numb</t>
        </is>
      </c>
      <c r="C8741" t="inlineStr">
        <is>
          <t>I am 3/4 of the way done on TC chemo for my breast cancer.... And frankly I just feel "meh" inside.
I just don't care about anything, I feel dead inside. I just want this over with.
Friday is my final chemo treatment followed by radiation... A whopping 25 sessions. 5 days a week for 5 weeks.
Oh.... And since I'm so young for radiation I have a small chance of getting a secondary cancer from radiation, and the chemo.... Life is fucking grand!
I can't enjoy my lusts no more beer since beer has estrogen in it... And of course my cancer was EP+/HER2- it would add fuel to possible returns of cancer, and no nicotine (vaping)
Yup.... It's all totally worth it!! /s</t>
        </is>
      </c>
      <c r="D8741" t="n">
        <v>1</v>
      </c>
      <c r="E8741" t="n">
        <v>0</v>
      </c>
      <c r="F8741">
        <f>HYPERLINK("https://www.reddit.com/r/cancer/comments/fz5dg8/chemo_and_depressionfeeling_numb/")</f>
        <v/>
      </c>
      <c r="G8741" t="inlineStr">
        <is>
          <t>2020-04-11 06:35:39</t>
        </is>
      </c>
      <c r="H8741" t="inlineStr"/>
    </row>
    <row r="8742">
      <c r="A8742" t="inlineStr">
        <is>
          <t>fz5yq5</t>
        </is>
      </c>
      <c r="B8742" t="inlineStr">
        <is>
          <t>Please help me get through the lost of my mom</t>
        </is>
      </c>
      <c r="C8742" t="inlineStr">
        <is>
          <t>My mom passed away 2 days ago. I don't know how can I deal with it. The memory of her suffering, in pain due to the cancer keeps flashing back in my mind. I couldn't stop remembering how her body became lifeless. How I was incapable of keeping her alive. I keep thinking that it is my fault she wasn't healed because i'm financially incapable to provide everything she needs for medication and that it cause her treatment to get delayed. I don't know how can I handle this immense grief and regret.</t>
        </is>
      </c>
      <c r="D8742" t="n">
        <v>1</v>
      </c>
      <c r="E8742" t="n">
        <v>10</v>
      </c>
      <c r="F8742">
        <f>HYPERLINK("https://www.reddit.com/r/cancer/comments/fz5yq5/please_help_me_get_through_the_lost_of_my_mom/")</f>
        <v/>
      </c>
      <c r="G8742" t="inlineStr">
        <is>
          <t>2020-04-11 07:07:12</t>
        </is>
      </c>
      <c r="H8742" t="inlineStr"/>
    </row>
    <row r="8743">
      <c r="A8743" t="inlineStr">
        <is>
          <t>fzed40</t>
        </is>
      </c>
      <c r="B8743" t="inlineStr">
        <is>
          <t>Looking for some support</t>
        </is>
      </c>
      <c r="C8743" t="inlineStr">
        <is>
          <t>Hey , I have been going through mum having stage 3 lung cancer that has spread to bones and liver. Doctors gave her a month at the start of 2020, she has got to a point where she knows it is coming with 0sleepand coughing blood. 
I am 21 and have never had to deal with anythuing traumatic before, I am already not able to sleep and keep having panic attacks , is ther any advice people can give me, as i dont know whatto do rather then crawl into a hole...</t>
        </is>
      </c>
      <c r="D8743" t="n">
        <v>4</v>
      </c>
      <c r="E8743" t="n">
        <v>6</v>
      </c>
      <c r="F8743">
        <f>HYPERLINK("https://www.reddit.com/r/cancer/comments/fzed40/looking_for_some_support/")</f>
        <v/>
      </c>
      <c r="G8743" t="inlineStr">
        <is>
          <t>2020-04-11 11:57:24</t>
        </is>
      </c>
      <c r="H8743" t="inlineStr"/>
    </row>
    <row r="8744">
      <c r="A8744" t="inlineStr">
        <is>
          <t>fzjli8</t>
        </is>
      </c>
      <c r="B8744" t="inlineStr">
        <is>
          <t>Owning birds while undergoing chemo?</t>
        </is>
      </c>
      <c r="C8744" t="inlineStr">
        <is>
          <t>Anyone have any experience with this? I've heard mixed things on whether it's safe.
My mom is undergoing chemo and owns a few budgies. They're not let out of their cage or interacted with much, but she does clean the cage once or twice a week.</t>
        </is>
      </c>
      <c r="D8744" t="n">
        <v>3</v>
      </c>
      <c r="E8744" t="n">
        <v>8</v>
      </c>
      <c r="F8744">
        <f>HYPERLINK("https://www.reddit.com/r/cancer/comments/fzjli8/owning_birds_while_undergoing_chemo/")</f>
        <v/>
      </c>
      <c r="G8744" t="inlineStr">
        <is>
          <t>2020-04-11 14:33:13</t>
        </is>
      </c>
      <c r="H8744" t="inlineStr"/>
    </row>
    <row r="8745">
      <c r="A8745" t="inlineStr">
        <is>
          <t>fzmtob</t>
        </is>
      </c>
      <c r="B8745" t="inlineStr">
        <is>
          <t>Are there financial resources in Canada?</t>
        </is>
      </c>
      <c r="C8745" t="inlineStr">
        <is>
          <t>Hi, I'm very new to this as my dad has been diagnosed with liver cancer and he is the first family member of mine with cancer in Canada. His doctor mentioned his treatment is very new and likely doesn't have coverage provided by the government or my mom's insurance. My parents don't speak English very well nor do they really know how to use the internet so I'm trying to help them find ways to pay his medical bills. I'm planning on calling my mom's insurance provider, but where else can I find financial aid?</t>
        </is>
      </c>
      <c r="D8745" t="n">
        <v>2</v>
      </c>
      <c r="E8745" t="n">
        <v>3</v>
      </c>
      <c r="F8745">
        <f>HYPERLINK("https://www.reddit.com/r/cancer/comments/fzmtob/are_there_financial_resources_in_canada/")</f>
        <v/>
      </c>
      <c r="G8745" t="inlineStr">
        <is>
          <t>2020-04-11 17:49:53</t>
        </is>
      </c>
      <c r="H8745" t="inlineStr"/>
    </row>
    <row r="8746">
      <c r="A8746" t="inlineStr">
        <is>
          <t>fzmzgk</t>
        </is>
      </c>
      <c r="B8746" t="inlineStr">
        <is>
          <t>Need to hear experiences: Stage IV prostate</t>
        </is>
      </c>
      <c r="C8746" t="inlineStr">
        <is>
          <t>My dad 12 months ago went for his annual prostate check and was clear.
2 weeks ago he was diagnosed with prostate cancer. It has now spread to his spine and ribs. Due to corona, they have cancelled his chemo and are only treating him with a hormone implant.
Has anyone experienced something similar? Research says 2-8 months but your experiences are what actually matters and important to me.
If you are able to share, I’d appreciate it. You don’t need to sugar coat anything also.</t>
        </is>
      </c>
      <c r="D8746" t="n">
        <v>2</v>
      </c>
      <c r="E8746" t="n">
        <v>5</v>
      </c>
      <c r="F8746">
        <f>HYPERLINK("https://www.reddit.com/r/cancer/comments/fzmzgk/need_to_hear_experiences_stage_iv_prostate/")</f>
        <v/>
      </c>
      <c r="G8746" t="inlineStr">
        <is>
          <t>2020-04-11 18:00:03</t>
        </is>
      </c>
      <c r="H8746" t="inlineStr"/>
    </row>
    <row r="8747">
      <c r="A8747" t="inlineStr">
        <is>
          <t>fznam2</t>
        </is>
      </c>
      <c r="B8747" t="inlineStr">
        <is>
          <t>Tomorrow is my birthday, and I'm stuck in the hospital (f-16)</t>
        </is>
      </c>
      <c r="C8747" t="inlineStr">
        <is>
          <t>My birthday is on easter, but I've had two fevers after my chemotherapy and so I've been admitted three hours from my home. I dont have covid, luckily.  And yet they still dont know what's wrong.
With the Pandemic I wasnt really expecting many presents, but now I've got no chance of any. It sounds selfish but just want to feel happy and childlike again
My dad and my brother cant visit me and my poor mom has been staying up all night patting my back when I get nauseous or anxious. I feel horrible that she has to wait on me and hardly gets a break. I feel bad that I keep crying in front of her cause it hurts so bad. 
I'm sorry for making anyone sad, I just needed to rant
 :)</t>
        </is>
      </c>
      <c r="D8747" t="n">
        <v>5</v>
      </c>
      <c r="E8747" t="n">
        <v>28</v>
      </c>
      <c r="F8747">
        <f>HYPERLINK("https://www.reddit.com/r/cancer/comments/fznam2/tomorrow_is_my_birthday_and_im_stuck_in_the/")</f>
        <v/>
      </c>
      <c r="G8747" t="inlineStr">
        <is>
          <t>2020-04-11 18:19:56</t>
        </is>
      </c>
      <c r="H8747" t="inlineStr"/>
    </row>
    <row r="8748">
      <c r="A8748" t="inlineStr">
        <is>
          <t>fznmqh</t>
        </is>
      </c>
      <c r="B8748" t="inlineStr">
        <is>
          <t>Covid 19 Worry</t>
        </is>
      </c>
      <c r="C8748" t="inlineStr">
        <is>
          <t>I am currently going through chemo. Second 3 day cycle next week, doc said I could end up doing this 6 times depending on response. I am super worried about getting Covid during this time. I am 27 so Im in the age range it would probably not be too bad for, but on chemo not so much. Are those of us on chemo just screwed if we get Covid? Is there a chance we can fight it? Not sure if I can get a legit medical opinion here but I.have been super stressed about this and it is nice to vent it out</t>
        </is>
      </c>
      <c r="D8748" t="n">
        <v>2</v>
      </c>
      <c r="E8748" t="n">
        <v>9</v>
      </c>
      <c r="F8748">
        <f>HYPERLINK("https://www.reddit.com/r/cancer/comments/fznmqh/covid_19_worry/")</f>
        <v/>
      </c>
      <c r="G8748" t="inlineStr">
        <is>
          <t>2020-04-11 18:41:28</t>
        </is>
      </c>
      <c r="H8748" t="inlineStr"/>
    </row>
    <row r="8749">
      <c r="A8749" t="inlineStr">
        <is>
          <t>fzofew</t>
        </is>
      </c>
      <c r="B8749" t="inlineStr">
        <is>
          <t>My 11 year old daughter might have Osteosarcoma</t>
        </is>
      </c>
      <c r="C8749" t="inlineStr">
        <is>
          <t>Hello everybody. I'm in a really dark place right now and I have so much on my mind, I feel like this is the most appropriate way to say everything that's weighing me down.
I'll start from the beginning, I suppose. A couple of weeks ago, my daughter complained to me and my wife that her right leg was bothering her. We've been through so many bumps and scrapes with our four children, we chalked it up to a mild injury from her last session at gymnastics before the shutdown. After another week went by, she mentioned it again. I was concerned about pending layoffs at work and wanted to get her into the doctor ASAP, in the event that I lost my health insurance.   
We took her to an Orthopedic office in town, as we've had a good experience with them in the past. The doctor ordered an x-ray. At this point, there didn't appear to be anything wrong with her at first glance. The x-ray came back and doc said she has a small stress fracture in her knee, to the growth plate. He recommended crutches and to stay off it while it healed.   
Fast forward about a week. Her leg began to swell rapidly. There were also signs of bruising. The pain was becoming significantly worse even though she spent more time resting. We called the office back and they scheduled an MRI. This was on Wednesday of this week. Doc called my wife back into the office and said that he found a tumor in my daughter's leg. He said there was nothing more he could do for her and referred us to a specialist in the next city over. 
I of course, had a million questions. He called us back later that afternoon to give us some more information. At that point, I asked the question I didn't want to know the answer to. "What do you think it is? I know you can't diagnose over the phone, but for my peace of mind, would you tell me?" After a slight pause, he told me that he thinks that my daughter has Osteosarcoma. My wife and I have heard the words before. My stomach crawled into my throat and I thanked the man. He apologized and told us the usual, if you have any questions, feel free to call.
Naturally, I have spent the last few days doing the very last thing on this Earth that I should be doing. Research. My entire world has come to a screeching halt. I can't sleep. I can't eat. Even though we don't have an official diagnosis, the despair and terror is eating me alive. It takes every ounce of my energy and focus to hold it together while my children play. I've broken down in my garage by myself more times than I can count at this point. 
I've reached out to my closest friends and family to find someone...anyone to talk to. I'm holding onto whatever tiny shred of hope that I can find that this isn't cancer. That my baby girl doesn't have to fight this terrible disease. 
Tomorrow is our last day of normal before we explain to my daughter why we have to go to this next doctor's office. I don't want her to find out by walking through a building with a giant Cancer Center written over the threshold.     
Anyway, to say I'm a broken man is an understatement. At the end of the day though, there is no quitting, is there? Hold it together for the wife. Hold it together for the kids. One day at a time.</t>
        </is>
      </c>
      <c r="D8749" t="n">
        <v>2</v>
      </c>
      <c r="E8749" t="n">
        <v>12</v>
      </c>
      <c r="F8749">
        <f>HYPERLINK("https://www.reddit.com/r/cancer/comments/fzofew/my_11_year_old_daughter_might_have_osteosarcoma/")</f>
        <v/>
      </c>
      <c r="G8749" t="inlineStr">
        <is>
          <t>2020-04-11 19:35:10</t>
        </is>
      </c>
      <c r="H8749" t="inlineStr"/>
    </row>
    <row r="8750">
      <c r="A8750" t="inlineStr">
        <is>
          <t>fzq7qo</t>
        </is>
      </c>
      <c r="B8750" t="inlineStr">
        <is>
          <t>This is new to us and we are scared</t>
        </is>
      </c>
      <c r="C8750" t="inlineStr">
        <is>
          <t>A family member was diagnosed with gastric cancer about a month ago. They had their first chemo then had a bad reaction. They have been in hospital for 2 weeks, and no more chemo. Potassium and sodium levels were off, and now they think there is a blockage. This is scary for us, especially now since we aren’t able to visit this family member. They are also experiencing lots of vomiting, diarrhea, and stomach pain. They do have fluid in the belly area that has been routinely drained off. Has anyone experienced anything similar? We are worried and just want a little bit of hope.</t>
        </is>
      </c>
      <c r="D8750" t="n">
        <v>0</v>
      </c>
      <c r="E8750" t="n">
        <v>0</v>
      </c>
      <c r="F8750">
        <f>HYPERLINK("https://www.reddit.com/r/cancer/comments/fzq7qo/this_is_new_to_us_and_we_are_scared/")</f>
        <v/>
      </c>
      <c r="G8750" t="inlineStr">
        <is>
          <t>2020-04-11 21:41:20</t>
        </is>
      </c>
      <c r="H8750" t="inlineStr"/>
    </row>
    <row r="8751">
      <c r="A8751" t="inlineStr">
        <is>
          <t>fzsyr1</t>
        </is>
      </c>
      <c r="B8751" t="inlineStr">
        <is>
          <t>Ideas for memories for my daughter</t>
        </is>
      </c>
      <c r="C8751" t="inlineStr">
        <is>
          <t>Hi guys,
Sorry if this upsets anybody but I'm just after ideas of memories I can leave behind for my daughter. Has anyone made video diaries, future bday cards etc? Any ideas would be be greatfully recieved.</t>
        </is>
      </c>
      <c r="D8751" t="n">
        <v>2</v>
      </c>
      <c r="E8751" t="n">
        <v>19</v>
      </c>
      <c r="F8751">
        <f>HYPERLINK("https://www.reddit.com/r/cancer/comments/fzsyr1/ideas_for_memories_for_my_daughter/")</f>
        <v/>
      </c>
      <c r="G8751" t="inlineStr">
        <is>
          <t>2020-04-12 01:20:31</t>
        </is>
      </c>
      <c r="H8751" t="inlineStr"/>
    </row>
    <row r="8752">
      <c r="A8752" t="inlineStr">
        <is>
          <t>fzzr3u</t>
        </is>
      </c>
      <c r="B8752" t="inlineStr">
        <is>
          <t>Personality changes as a side effect to chemo treatment?</t>
        </is>
      </c>
      <c r="C8752" t="inlineStr">
        <is>
          <t>My dad’s going through treatment for leukaemia. I know that online opinion should be taken with a pinch of salt, but I just wanted to hear from other people’s experiences of chemotherapy. 
My dad’s dose has been upped this week and he seems to be acting... differently? Very talkative but “sees things” when he closes his eyes. 
We took a trip to the hospital today and they took bloods, a CT scan (he hit his head the other day) and a urine sample. All normal. 
Just seems weird, that’s all. He hasn’t slept properly in a few days and I’m still concerned. Maybe it’s just a psychological response, and the fact that everything is medically normal is promising, but... just wanted to hear other experiences.</t>
        </is>
      </c>
      <c r="D8752" t="n">
        <v>1</v>
      </c>
      <c r="E8752" t="n">
        <v>6</v>
      </c>
      <c r="F8752">
        <f>HYPERLINK("https://www.reddit.com/r/cancer/comments/fzzr3u/personality_changes_as_a_side_effect_to_chemo/")</f>
        <v/>
      </c>
      <c r="G8752" t="inlineStr">
        <is>
          <t>2020-04-12 09:27:48</t>
        </is>
      </c>
      <c r="H8752" t="inlineStr"/>
    </row>
    <row r="8753">
      <c r="A8753" t="inlineStr">
        <is>
          <t>g02avu</t>
        </is>
      </c>
      <c r="B8753" t="inlineStr">
        <is>
          <t>Help me support someone</t>
        </is>
      </c>
      <c r="C8753" t="inlineStr">
        <is>
          <t>Hi.
My wife and I were pregnant in early February. Has a miscarriage, and it was molar. That turned into a persistent mole also know as a GTN. Which enters cancer territory.
My wife is a nurse practitioner, so she has the curse of knowledge.
Every step of the way she has been CONVINCED that she had the worst possible outcome. And every time she has been right. However now we are entering different territory.
She has 3 nodules on her lungs, which apparently is very common, also apparently the first place that GTN cancer spreads. We have been told not to worry about them, that they are too small to even biopsy.
Literally nothing I say makes a difference. GTN cancer has a 97-98% cure rate. Cancer specialists have told us not to worry about it. She tells me she now has lung cancer. If I agree with her, she breaks down and it makes things worse. If I disagree, she gets angry that I don’t understand. 
She has told me that she doesn’t trust our oncologist, that she wants to go to a specialty center. I am so lost. I literally have no idea how to help.
I have been through a lot myself, my own shit with addiction. I know how it feels to be CONVINCED you have something. 8 years ago I was convinced I had hep c or HIV from sharing needles. Even for 2 years after getting sober I kept waiting for the dr to say “whoops, we have been testing the wrong blood EVERY TIME! LOL! Can you believe that? Sorry, you have everything.”
Gah, I don’t know. I just feel so lost. I am not a worrier, and on top of that being in AA has taught me a lot of acceptance. She is incredibly anxious, she can work herself up to 120+ BPM. I just don’t know what to do.
She starts crying and I don’t know how to help. It’s killing me. It’s so frustrating. I feel lost.</t>
        </is>
      </c>
      <c r="D8753" t="n">
        <v>7</v>
      </c>
      <c r="E8753" t="n">
        <v>12</v>
      </c>
      <c r="F8753">
        <f>HYPERLINK("https://www.reddit.com/r/cancer/comments/g02avu/help_me_support_someone/")</f>
        <v/>
      </c>
      <c r="G8753" t="inlineStr">
        <is>
          <t>2020-04-12 11:47:58</t>
        </is>
      </c>
      <c r="H8753" t="inlineStr"/>
    </row>
    <row r="8754">
      <c r="A8754" t="inlineStr">
        <is>
          <t>g02dpy</t>
        </is>
      </c>
      <c r="B8754" t="inlineStr">
        <is>
          <t>chemo during quarantine?!</t>
        </is>
      </c>
      <c r="C8754" t="inlineStr">
        <is>
          <t>Hey guys hows chemo going during quarantine?!
I am a professional patient from Connecticut. 32 yr old female. Sarcoma in Chest Wall. Will be going back on chemo this week.. I ended in January with 59 weeks of chemo.</t>
        </is>
      </c>
      <c r="D8754" t="n">
        <v>29</v>
      </c>
      <c r="E8754" t="n">
        <v>52</v>
      </c>
      <c r="F8754">
        <f>HYPERLINK("https://www.reddit.com/r/cancer/comments/g02dpy/chemo_during_quarantine/")</f>
        <v/>
      </c>
      <c r="G8754" t="inlineStr">
        <is>
          <t>2020-04-12 11:52:31</t>
        </is>
      </c>
      <c r="H8754" t="inlineStr"/>
    </row>
    <row r="8755">
      <c r="A8755" t="inlineStr">
        <is>
          <t>g02qyq</t>
        </is>
      </c>
      <c r="B8755" t="inlineStr">
        <is>
          <t>Easter Sunday (Featuring Lung Cancer)</t>
        </is>
      </c>
      <c r="C8755" t="inlineStr">
        <is>
          <t>This morning I woke up to my wife handing me the phone. It was my dad. He called to tell me that he’s in the hospital because he’s been coughing up blood and was diagnosed with lung cancer that has spread up his neck. They won’t let people come see him due to the corona virus.
To be honest I’ve been a wreck all day. My dad is the coolest fucking person I know and I don’t know what I’ll do without him. I know I need to be strong for him. Can anyone give me some rough details on what to expect with this diagnosis? I just feel super lost right now.</t>
        </is>
      </c>
      <c r="D8755" t="n">
        <v>7</v>
      </c>
      <c r="E8755" t="n">
        <v>11</v>
      </c>
      <c r="F8755">
        <f>HYPERLINK("https://www.reddit.com/r/cancer/comments/g02qyq/easter_sunday_featuring_lung_cancer/")</f>
        <v/>
      </c>
      <c r="G8755" t="inlineStr">
        <is>
          <t>2020-04-12 12:12:02</t>
        </is>
      </c>
      <c r="H8755" t="inlineStr"/>
    </row>
    <row r="8756">
      <c r="A8756" t="inlineStr">
        <is>
          <t>g07bw5</t>
        </is>
      </c>
      <c r="B8756" t="inlineStr">
        <is>
          <t>Cancer discovery on Easter</t>
        </is>
      </c>
      <c r="C8756" t="inlineStr">
        <is>
          <t>Today, my Easter was ruined in the worse possible way. We found out that my relative has a softball sized tumor in his colon that is cancerous. He had been in the hospital in December with these terrible symptoms but they couldn’t figure out what it was. He had a kidney transplant five years ago so they were reluctant to do many tests. He was hospitalized on Tuesday, and they finally did the invasive tests to get to the bottom of things. 
He has a hole in his intestines as well. He’s practically wasting away. He is one of the cheeriest and friendliest person I know but for the last month he’s been at best polite and at worst grumpy. 
And I’m just angry. I don’t know how to cope with this information. He is such a good person and he was finally in good health when this hit. After all that he went through with kidney failure and then the transplant... I just can’t believe he has to go through more.
He’s sitting in a hospital room now, dealing with this all alone, on Easter. I feel terrible and heartbroken.
I just needed to get this all out. Any advice or encouragement would be appreciated as well.</t>
        </is>
      </c>
      <c r="D8756" t="n">
        <v>5</v>
      </c>
      <c r="E8756" t="n">
        <v>1</v>
      </c>
      <c r="F8756">
        <f>HYPERLINK("https://www.reddit.com/r/cancer/comments/g07bw5/cancer_discovery_on_easter/")</f>
        <v/>
      </c>
      <c r="G8756" t="inlineStr">
        <is>
          <t>2020-04-12 16:36:01</t>
        </is>
      </c>
      <c r="H8756" t="inlineStr"/>
    </row>
    <row r="8757">
      <c r="A8757" t="inlineStr">
        <is>
          <t>g07llc</t>
        </is>
      </c>
      <c r="B8757" t="inlineStr">
        <is>
          <t>My Father has terminal brain cancer</t>
        </is>
      </c>
      <c r="C8757" t="inlineStr">
        <is>
          <t>He's able to speak clearly but talks in loops and forgets what we said to him, he's in the hospital alone for the next 3 weeks and there is nothing I can to do see him because of covid-19, he cannot work his phone and I have trouble getting in touch with him through hospital lines
I just want him to know I love him before he goes, he's scared, i don't know what to do, he's always confused, I can't even imagine the hell he might be going through. 
Literally there is nothing that I want for him but for him to know that I love him and will always remember him but I don't know if he understands.</t>
        </is>
      </c>
      <c r="D8757" t="n">
        <v>18</v>
      </c>
      <c r="E8757" t="n">
        <v>5</v>
      </c>
      <c r="F8757">
        <f>HYPERLINK("https://www.reddit.com/r/cancer/comments/g07llc/my_father_has_terminal_brain_cancer/")</f>
        <v/>
      </c>
      <c r="G8757" t="inlineStr">
        <is>
          <t>2020-04-12 16:53:02</t>
        </is>
      </c>
      <c r="H8757" t="inlineStr"/>
    </row>
    <row r="8758">
      <c r="A8758" t="inlineStr">
        <is>
          <t>g07t85</t>
        </is>
      </c>
      <c r="B8758" t="inlineStr">
        <is>
          <t>Looking for positive support</t>
        </is>
      </c>
      <c r="C8758" t="inlineStr">
        <is>
          <t>My wife and I are getting ready to head out of state to treat her second cervical cancer recurrence. There’s no more treatment here at home to get rid of the disease. She’ll either have a different kind of radiation moving forward or another major surgery. There’s a lot of worry, anxiety, and fear going through our minds right now. This pandemic isn’t helping things either, since it won’t allow me to be in the hospital with her. Can anyone offer up some words of encouragement for us as we head down this path? Thank you!</t>
        </is>
      </c>
      <c r="D8758" t="n">
        <v>22</v>
      </c>
      <c r="E8758" t="n">
        <v>12</v>
      </c>
      <c r="F8758">
        <f>HYPERLINK("https://www.reddit.com/r/cancer/comments/g07t85/looking_for_positive_support/")</f>
        <v/>
      </c>
      <c r="G8758" t="inlineStr">
        <is>
          <t>2020-04-12 17:06:25</t>
        </is>
      </c>
      <c r="H8758" t="inlineStr"/>
    </row>
    <row r="8759">
      <c r="A8759" t="inlineStr">
        <is>
          <t>g0c7uu</t>
        </is>
      </c>
      <c r="B8759" t="inlineStr">
        <is>
          <t>Best Easter news of all... STILL CANCER FREE AFTER STAGE IV DIAGNOSIS!!!</t>
        </is>
      </c>
      <c r="C8759" t="inlineStr">
        <is>
          <t>Hi everyone!
I've posted on here quite a few times about my dad. You can look through my posts if you want more background. But king story short, my 50 year old dad was diagnosed stage IV colorectal cancer in May 2019. He had extensive chemo, then liver surgery in November, then more chemo (last one on christmas eve!)
Now, we are 5 months COMPLETELY cancer free and we are hoping for him to be cured forever. Stage IV is unbelievably heartbreaking. But we are some of the lucky few that have gotten through this. I hope this can be encouraging for others on this same journey.
Thank you to everyone for your continued support for my family! I love this community</t>
        </is>
      </c>
      <c r="D8759" t="n">
        <v>187</v>
      </c>
      <c r="E8759" t="n">
        <v>21</v>
      </c>
      <c r="F8759">
        <f>HYPERLINK("https://www.reddit.com/r/cancer/comments/g0c7uu/best_easter_news_of_all_still_cancer_free_after/")</f>
        <v/>
      </c>
      <c r="G8759" t="inlineStr">
        <is>
          <t>2020-04-12 21:52:38</t>
        </is>
      </c>
      <c r="H8759" t="inlineStr"/>
    </row>
    <row r="8760">
      <c r="A8760" t="inlineStr">
        <is>
          <t>g0dw9a</t>
        </is>
      </c>
      <c r="B8760" t="inlineStr">
        <is>
          <t>Really afraid to lose my breasts</t>
        </is>
      </c>
      <c r="C8760" t="inlineStr">
        <is>
          <t>I made my post which explained my situation a while back. I was diagnosed with breast cancer and I'm so afraid of the day of the mastectomy and my oncologist recommended to not get a reconstruction because radiation therapy after an immediate reconstruction could complicate things.
I'm 24 and I can't stop thinking why would any guy my age want a woman who's not whole? I never cherished my breasts more than now because they are small, I'm a A-cup flattie and I used to hate them but now I just feel so stupid.
Also I didn't have enough money to freeze my ovules and preserve my fertility, what is going to happen to my love life? An infertile woman with no breasts.</t>
        </is>
      </c>
      <c r="D8760" t="n">
        <v>3</v>
      </c>
      <c r="E8760" t="n">
        <v>11</v>
      </c>
      <c r="F8760">
        <f>HYPERLINK("https://www.reddit.com/r/cancer/comments/g0dw9a/really_afraid_to_lose_my_breasts/")</f>
        <v/>
      </c>
      <c r="G8760" t="inlineStr">
        <is>
          <t>2020-04-13 00:02:25</t>
        </is>
      </c>
      <c r="H8760" t="inlineStr"/>
    </row>
    <row r="8761">
      <c r="A8761" t="inlineStr">
        <is>
          <t>g0jh7d</t>
        </is>
      </c>
      <c r="B8761" t="inlineStr">
        <is>
          <t>Cancer sucks &amp;amp; I'm going to rant</t>
        </is>
      </c>
      <c r="C8761" t="inlineStr">
        <is>
          <t>My father was diagnosed with stage IV aggressive colon cancer in June ish. He had 96% of his colon removed with no bag July 31st and it's been downhill since then. 
He was 235lbs &amp;amp; today he is about 100lbs. He had his colon removed then 8 days later my son was born then 8 days later he was in the hospital with severe kidney failure due to dehydration. The chemo was started the week after he went in for dehydration so he never healed from the colon removal &amp;amp; so the aggressive chemo was too much for him. He did about 7 sessions &amp;amp; had to stop. That was in January/February. Now he can barely eat &amp;amp; barely drink, he's reliant on getting fluids &amp;amp; this is the conversation I had with his doctor. 
Me: the nurses are coming in but he had to have his port removed, should he go in for a pick line? 
Dr: no he can't, he's too vulnerable to the corona virus in a hospital and he's so weak he may get an infection. 
Me: okay but it's hard for us to get an RN in twice a week to place the iv. Can we come in every Monday and do a hard line so they can do fluids on Wednesday Friday?
Dr:  no he shouldn't leave the house to come here and I don't think he should have the nurses coming to the house incase they spread corona virus 
Me: okay but he needs fluids. He's severely dehydrated. We can't stop them. What do you want us to do?
Dr: he just needs to drink &amp;amp; eat more. 
Me: every time he eats or drinks he either has to have tiny sips which isn't enough or he just throws it all up. And the tiny sips don't cover the diarrhea he's having &amp;amp; then there's the constipation when he fixes the diarrhea &amp;amp; because of the dehydration he's having problems controlling either of those. 
Dr: let me look into some things &amp;amp; when the CT scan gets back we can talk. 
My father is so weak he can't keep his eyes open. He doesn't eat he barely drinks. He can walk, he gets out of bed and uses his chair lift to come downstairs &amp;amp; just looks like a corpse. My son loves him &amp;amp; goes and squeaks at him &amp;amp; my father tries so hard to talk back to him but he's so depressed.  He's only held him 3 times in 8 months. 
The worst part is that I wish he would just die because he's suffering. Because the Dr said he was too much of a risk for corona at the hospital my father I think is just trying to die at home so as to not be a burden to the hospitals at this point in time since we are half an hour away from Atlanta, a hot spot. 
He's worked so hard his entire life, he's supported my mother when she had lung cancer 5 years ago &amp;amp; me when I stayed home to take care of her, he had a business that supports 5 guys and myself &amp;amp; he always goes without and this is how he is going to spend his last days? I hate everything because this isn't how good, hard working people should die. They should die old in their sleep randomly. I don't know what to do. 
I'm sorry if this isn't the place for this I just need to say this. My friends are having problems themselves &amp;amp; it's hard for them to understand, none of them have had cancer in their family, I've had 5 family members die from it and my last grandparent has Parkinsons. That's going to be my life. I'm going to die from cancer. 
Cancer fucking sucks and I hate it.</t>
        </is>
      </c>
      <c r="D8761" t="n">
        <v>23</v>
      </c>
      <c r="E8761" t="n">
        <v>13</v>
      </c>
      <c r="F8761">
        <f>HYPERLINK("https://www.reddit.com/r/cancer/comments/g0jh7d/cancer_sucks_im_going_to_rant/")</f>
        <v/>
      </c>
      <c r="G8761" t="inlineStr">
        <is>
          <t>2020-04-13 07:00:14</t>
        </is>
      </c>
      <c r="H8761" t="inlineStr"/>
    </row>
    <row r="8762">
      <c r="A8762" t="inlineStr">
        <is>
          <t>g0jsgq</t>
        </is>
      </c>
      <c r="B8762" t="inlineStr">
        <is>
          <t>This weekend was tough</t>
        </is>
      </c>
      <c r="C8762" t="inlineStr">
        <is>
          <t>Do you ever think to yourself, I dont know how to do X or I dont remember how so in so is related, I'll ask Mom... then it realize she is no longer there?
It's been a year and a half. I'm 35 and feel like an orphan.  I still have my dad but we aren't as close as my mom and I were. I sometimes hate going over to the house because of all the reminders of her. Her design choices, her favorite towels, her obsession with shoes (I swear I keep finding more every time I clean). 
Even yesterday we had a virtual Easter dinner and I kept thinking to myself, mom would have made a better meal than this. My cousin asked if I made mom's famous pound cake. I completely forgot. I felt so ashamed that I forgot. 
It's getting better. Just holidays seem to be the roughest.</t>
        </is>
      </c>
      <c r="D8762" t="n">
        <v>13</v>
      </c>
      <c r="E8762" t="n">
        <v>6</v>
      </c>
      <c r="F8762">
        <f>HYPERLINK("https://www.reddit.com/r/cancer/comments/g0jsgq/this_weekend_was_tough/")</f>
        <v/>
      </c>
      <c r="G8762" t="inlineStr">
        <is>
          <t>2020-04-13 07:18:05</t>
        </is>
      </c>
      <c r="H8762" t="inlineStr"/>
    </row>
    <row r="8763">
      <c r="A8763" t="inlineStr">
        <is>
          <t>g0jsl3</t>
        </is>
      </c>
      <c r="B8763" t="inlineStr">
        <is>
          <t>Father's petscan</t>
        </is>
      </c>
      <c r="C8763" t="inlineStr">
        <is>
          <t>My father has been fighting lung cancer for the past couple of years. He had surgery 3 times and radiotherapy. He has now taken out the maximum amount of lung he could. After his last surgery in October, they started him on chemo hoping that cancer won't come back. He did weekly chemotherapy with two drugs for about 4 months. Today or tomorrow we are getting his results. 
I am beyond scared.  I fear that my heart will not be able to cope with bad news.</t>
        </is>
      </c>
      <c r="D8763" t="n">
        <v>8</v>
      </c>
      <c r="E8763" t="n">
        <v>2</v>
      </c>
      <c r="F8763">
        <f>HYPERLINK("https://www.reddit.com/r/cancer/comments/g0jsl3/fathers_petscan/")</f>
        <v/>
      </c>
      <c r="G8763" t="inlineStr">
        <is>
          <t>2020-04-13 07:18:16</t>
        </is>
      </c>
      <c r="H8763" t="inlineStr"/>
    </row>
    <row r="8764">
      <c r="A8764" t="inlineStr">
        <is>
          <t>g0ny5a</t>
        </is>
      </c>
      <c r="B8764" t="inlineStr">
        <is>
          <t>My friend (M23) has stage 4 adrenal gland cancer and I need support</t>
        </is>
      </c>
      <c r="C8764" t="inlineStr">
        <is>
          <t>My friend (M23) just found out a few days ago that he has adrenal gland cancer. It's stage 4 and has spread to his liver, stomach and spleen. We have been really close friends for almost 6 years. But we don't have mutual friends and I only met his mom once. I'm also on quarantine obviously, so I feel so fuckin lost and alone in this shit. I cant even imagine how he's feeling..
I want to visit him but I can't because of corona. So we just talk a bit on WhatsApp.
I know I should take it day by day and cancer is a personal disease but I just find it really hard to find some hope right now. It keeps occupying my mind all day. I'm so scared for what's to come and I don't want to see him in pain. 
Would anyone like to share a positive experience or some words for hope? I could really use it and I don't know who to turn to that would understand. I'm sorry if this is a weird post I'm just feeling very lost en scared.</t>
        </is>
      </c>
      <c r="D8764" t="n">
        <v>3</v>
      </c>
      <c r="E8764" t="n">
        <v>9</v>
      </c>
      <c r="F8764">
        <f>HYPERLINK("https://www.reddit.com/r/cancer/comments/g0ny5a/my_friend_m23_has_stage_4_adrenal_gland_cancer/")</f>
        <v/>
      </c>
      <c r="G8764" t="inlineStr">
        <is>
          <t>2020-04-13 10:53:06</t>
        </is>
      </c>
      <c r="H8764" t="inlineStr"/>
    </row>
    <row r="8765">
      <c r="A8765" t="inlineStr">
        <is>
          <t>g0nzun</t>
        </is>
      </c>
      <c r="B8765" t="inlineStr">
        <is>
          <t>Cats and cancer</t>
        </is>
      </c>
      <c r="C8765" t="inlineStr">
        <is>
          <t>Hey guys. 
My mother is coming to live with me today after living with my sister since surgery 4 weeks ago or so and now I'm going to look after her. Problem is I have 2 cats. My sister said to keep them away from her but I can't keep them outside all the time. 
My mother hasn't started chemo yet, that's a month away. She just had surgery to get a stoma bag attached. The plan was for her to go back and stay with my sister while she does chemo as we think she can better care for her and it's more homely but she also said that she can't take my mother back if she's been in contact with cats.
Does anyone have any info on this? I read mixed opinions everywhere. It's going to be palliative chemo if that matters at all. As far as I'm aware, her immune system isn't compromised now or is it? 
Any help on this is greatly appreciated. Need to figure out my next move fast.
Thanks
Just to add; we've all been practicing social distancing etc. and been very careful in every aspect of this thus far and hope to remain just as careful and vigilant.
Second edit: just to clarify, my mother adores the cats. She said she wished she could hug them. It's her fear of not being able to go back to my sister's post chemo to recover due to my sister's fear of our mom getting something from the cats. One is outdoors a lot and there's no way we can keep him in or he'll go mad and then so will we. Also, my sister is lovely, she took tremendous care of my mother the last month or so, waiting on her hand and foot. She's just really worried about her kids getting sick.</t>
        </is>
      </c>
      <c r="D8765" t="n">
        <v>5</v>
      </c>
      <c r="E8765" t="n">
        <v>20</v>
      </c>
      <c r="F8765">
        <f>HYPERLINK("https://www.reddit.com/r/cancer/comments/g0nzun/cats_and_cancer/")</f>
        <v/>
      </c>
      <c r="G8765" t="inlineStr">
        <is>
          <t>2020-04-13 10:55:22</t>
        </is>
      </c>
      <c r="H8765" t="inlineStr"/>
    </row>
    <row r="8766">
      <c r="A8766" t="inlineStr">
        <is>
          <t>g0r6ip</t>
        </is>
      </c>
      <c r="B8766" t="inlineStr">
        <is>
          <t>Making a list of questions/discussion points for my family to meet &amp;amp; talk about as my Mom has exhausted treatment options for her Stage IV breast cancer. What are things you wished you would have discussed, asked, or said? I don't want to feel in the future, that I had things I wished I asked. TY</t>
        </is>
      </c>
      <c r="C8766" t="inlineStr">
        <is>
          <t>My family is not the type to express emotions strongly (very Japanese prototypical), so I  thought a set discussion would allow us to feel more comfortable expressing ourselves and really talking about topics that normally feel uncomfortable to bring up in the normal day to day. Sorry if this type of post has been asked before!</t>
        </is>
      </c>
      <c r="D8766" t="n">
        <v>8</v>
      </c>
      <c r="E8766" t="n">
        <v>10</v>
      </c>
      <c r="F8766">
        <f>HYPERLINK("https://www.reddit.com/r/cancer/comments/g0r6ip/making_a_list_of_questionsdiscussion_points_for/")</f>
        <v/>
      </c>
      <c r="G8766" t="inlineStr">
        <is>
          <t>2020-04-13 13:41:45</t>
        </is>
      </c>
      <c r="H8766" t="inlineStr"/>
    </row>
    <row r="8767">
      <c r="A8767" t="inlineStr">
        <is>
          <t>g0u3ov</t>
        </is>
      </c>
      <c r="B8767" t="inlineStr">
        <is>
          <t>Suggestions for what to drink and eat during throat radiation?</t>
        </is>
      </c>
      <c r="C8767" t="inlineStr">
        <is>
          <t>Asking for my middle-aged father. Boost and Ensure seem to be the obvious choices, but I'm wondering if there are other options if he gets tired of these or wants something else.</t>
        </is>
      </c>
      <c r="D8767" t="n">
        <v>6</v>
      </c>
      <c r="E8767" t="n">
        <v>10</v>
      </c>
      <c r="F8767">
        <f>HYPERLINK("https://www.reddit.com/r/cancer/comments/g0u3ov/suggestions_for_what_to_drink_and_eat_during/")</f>
        <v/>
      </c>
      <c r="G8767" t="inlineStr">
        <is>
          <t>2020-04-13 16:21:37</t>
        </is>
      </c>
      <c r="H8767" t="inlineStr"/>
    </row>
    <row r="8768">
      <c r="A8768" t="inlineStr">
        <is>
          <t>g0vb2s</t>
        </is>
      </c>
      <c r="B8768" t="inlineStr">
        <is>
          <t>Exactly 1 year!</t>
        </is>
      </c>
      <c r="C8768" t="inlineStr">
        <is>
          <t>It was exactly one year since my last ever chemo on Easter morning. Let's go for another year!🤞😄</t>
        </is>
      </c>
      <c r="D8768" t="n">
        <v>60</v>
      </c>
      <c r="E8768" t="n">
        <v>9</v>
      </c>
      <c r="F8768">
        <f>HYPERLINK("https://www.reddit.com/r/cancer/comments/g0vb2s/exactly_1_year/")</f>
        <v/>
      </c>
      <c r="G8768" t="inlineStr">
        <is>
          <t>2020-04-13 17:34:49</t>
        </is>
      </c>
      <c r="H8768" t="inlineStr"/>
    </row>
    <row r="8769">
      <c r="A8769" t="inlineStr">
        <is>
          <t>g0vpt7</t>
        </is>
      </c>
      <c r="B8769" t="inlineStr">
        <is>
          <t>Terminal cancer and sleeping 18-20 hours a day</t>
        </is>
      </c>
      <c r="C8769" t="inlineStr">
        <is>
          <t>Hi,
So my dad was diagnosed with lung cancer about 2 years ago and has now traveled to his brain a second time which is now un-treatable. The news of it being terminal was about 2 months ago and the tumors are just continuing to grow within his head. Not going to go into detail, but he's sleeping about 18-20 hours a day and his voice sounds like his life is on the verge of finally leaving. I'm wondering, due to the amount he is sleeping, how long he potentially has left. I understand it is different for everyone but due to the covid-19 situation, I'm in lockdown in another city where my university is and I'm unable to get home to see him. If anyone has gone through any similar situations where they have had to deal with something like this and could shine a light would be nice, I just want to see him one last time before he passes.
Thanks
Edit: Hope everybody had a great Easter :)</t>
        </is>
      </c>
      <c r="D8769" t="n">
        <v>4</v>
      </c>
      <c r="E8769" t="n">
        <v>4</v>
      </c>
      <c r="F8769">
        <f>HYPERLINK("https://www.reddit.com/r/cancer/comments/g0vpt7/terminal_cancer_and_sleeping_1820_hours_a_day/")</f>
        <v/>
      </c>
      <c r="G8769" t="inlineStr">
        <is>
          <t>2020-04-13 17:59:48</t>
        </is>
      </c>
      <c r="H8769" t="inlineStr"/>
    </row>
    <row r="8770">
      <c r="A8770" t="inlineStr">
        <is>
          <t>g0w9ps</t>
        </is>
      </c>
      <c r="B8770" t="inlineStr">
        <is>
          <t>An encounter with death</t>
        </is>
      </c>
      <c r="C8770" t="inlineStr">
        <is>
          <t>My mother in law died yesterday of pancreatic cancer after being diagnosed only about 10 days before.  She was 91 and a pretty remarkable  woman who began running marathons at 50 and did so through her mid 60s.  She and her husband spent their retirement  volunteering with the Red Cross and Habitat for Humanity and just being exemplars of decency and generosity.  My wife and I have been with her as she very rapidly succumbed to her disease with an assist from hospice which was wonderful.  She was able to stay in her home until the end.  She lapsed into a coma a few days ago and from what we could tell she died comfortably and without pain in her own home.  
I was with the funeral home attendant and the hospice RN as they put her one the gurney while her three daughters were in the other room making funeral arrangements.  It was kind of a difficult moment for me as I've lived with NHL for the last year and had received some maintenance chemo a week before.  I thought I'd adjusted to my disease and its uncertain and unpredictable course but this experience was difficult.  I'd tried to push it into the background while all of this was going on but her death, the pandemic and my disease and the its uncertainty all collided as they rolled her out to the hearse.  We had a late season snowfall and I wondered if this was my last chance to watch the world transformed by a blanket of snow.  I stood outside and turned my face to catch the flakes and listen to the silence of a town made still by the virus lockdown.   One of the oncologists at my clinic has been telling his patients that the mortality rate for cancer patients who catch the COVID-19 virus is around 80 per cent so if I get it as an older white male with lymphoma I'm probably toast.  
This is just a rant and I'm not looking for sympathy.  There are a lot of people out there dying who haven't been as fortunate in their lives as I've been or lived as long.  I've worked in healthcare and have seen people die at almost every stage and year of life from the unborn to people the age of my mother in law.  Now that I'm retired, I don't have to worry about losing my job, supporting a family or leaving young children behind.   It was just a difficult moment and it's made me appreciate whatever time I have left, be it years, months, weeks or days.  I just have to figure out how best to use the time.</t>
        </is>
      </c>
      <c r="D8770" t="n">
        <v>22</v>
      </c>
      <c r="E8770" t="n">
        <v>4</v>
      </c>
      <c r="F8770">
        <f>HYPERLINK("https://www.reddit.com/r/cancer/comments/g0w9ps/an_encounter_with_death/")</f>
        <v/>
      </c>
      <c r="G8770" t="inlineStr">
        <is>
          <t>2020-04-13 18:34:10</t>
        </is>
      </c>
      <c r="H8770" t="inlineStr"/>
    </row>
    <row r="8771">
      <c r="A8771" t="inlineStr">
        <is>
          <t>g0z8bd</t>
        </is>
      </c>
      <c r="B8771" t="inlineStr">
        <is>
          <t>Reconstructed breast is now infected</t>
        </is>
      </c>
      <c r="C8771" t="inlineStr">
        <is>
          <t>Hi Reddit fam,
My mom has been cancer free for 15 years. She had one breast removed and reconstructed with tissue and fat from other places on her body. She got a cut recently somewhere near the chest or side boob area and the tissue got infected. There’s apparently red inflammation covering a lot of the boob and chest. She’s getting antibiotics. 
Do we have any doctors in the house?
Questions:
What kind of infection could this be, prognosis, treatment.
Will the infected tissue need to be removed?</t>
        </is>
      </c>
      <c r="D8771" t="n">
        <v>0</v>
      </c>
      <c r="E8771" t="n">
        <v>4</v>
      </c>
      <c r="F8771">
        <f>HYPERLINK("https://www.reddit.com/r/cancer/comments/g0z8bd/reconstructed_breast_is_now_infected/")</f>
        <v/>
      </c>
      <c r="G8771" t="inlineStr">
        <is>
          <t>2020-04-13 21:56:58</t>
        </is>
      </c>
      <c r="H8771" t="inlineStr"/>
    </row>
    <row r="8772">
      <c r="A8772" t="inlineStr">
        <is>
          <t>g10la7</t>
        </is>
      </c>
      <c r="B8772" t="inlineStr">
        <is>
          <t>Looking for suggestions for a chemo care package.</t>
        </is>
      </c>
      <c r="C8772" t="inlineStr">
        <is>
          <t>My partners mother just had a double mastectomy and will start chemo in the next few weeks. She’s a few states away (but with her other son and his family, thank god) and this has all happened during lock down for our respective states. My partner hasn’t been able to visit his mother for obvious reasons, though he talks to her regularly etc. I thought that a gift basket with products that might help her throughout her treatment might be a nice gesture since there’s not much else that can be done from thousands of miles away. I would really appreciate any suggestions on self care products, skin care, books, activities to do while she’s in chemo etc.</t>
        </is>
      </c>
      <c r="D8772" t="n">
        <v>4</v>
      </c>
      <c r="E8772" t="n">
        <v>15</v>
      </c>
      <c r="F8772">
        <f>HYPERLINK("https://www.reddit.com/r/cancer/comments/g10la7/looking_for_suggestions_for_a_chemo_care_package/")</f>
        <v/>
      </c>
      <c r="G8772" t="inlineStr">
        <is>
          <t>2020-04-13 23:46:32</t>
        </is>
      </c>
      <c r="H8772" t="inlineStr"/>
    </row>
    <row r="8773">
      <c r="A8773" t="inlineStr">
        <is>
          <t>g12yhn</t>
        </is>
      </c>
      <c r="B8773" t="inlineStr">
        <is>
          <t>How long do people have left when they stop eating?</t>
        </is>
      </c>
      <c r="C8773" t="inlineStr">
        <is>
          <t>I know everyone is different and it is difficult to say but how long do people usually have left once they stop eating? He is 5ft 10 and now only weighs 8 stone. 
Yesterday my dad ate some shredded wheat and 1 biscuit. The day before a sandwich. The day before that just some cereal.</t>
        </is>
      </c>
      <c r="D8773" t="n">
        <v>18</v>
      </c>
      <c r="E8773" t="n">
        <v>77</v>
      </c>
      <c r="F8773">
        <f>HYPERLINK("https://www.reddit.com/r/cancer/comments/g12yhn/how_long_do_people_have_left_when_they_stop_eating/")</f>
        <v/>
      </c>
      <c r="G8773" t="inlineStr">
        <is>
          <t>2020-04-14 03:15:14</t>
        </is>
      </c>
      <c r="H8773" t="inlineStr"/>
    </row>
    <row r="8774">
      <c r="A8774" t="inlineStr">
        <is>
          <t>g176j2</t>
        </is>
      </c>
      <c r="B8774" t="inlineStr">
        <is>
          <t>I'm really in need of advice..</t>
        </is>
      </c>
      <c r="C8774" t="inlineStr">
        <is>
          <t xml:space="preserve"> So I don't really know how to use reddit, but I'll try to keep this as short as possible, my mother late last year was diagnosed with a cancer of the throat (I'm not entirely sure which one) all I know is that now Treatment is over, her throat is basically unusable and she has to consume through a tube to her stomach. She can't eat food or drink almost all liquids, she's always ill and exhausted and she can't sleep at night since her throat is permenantly dry, she also can't salivate which is why her mouth is permenantly dry too.  
This morning she told me that she couldn't do it anymore, that she couldn't CONTINUE LIVING. I'm her eldest, she has 3 children and her mother lives with us, she WANTS TO DIE! She's been depressed before and i've been dealing with depression myself for years, but I have never heard those words leave her mouth, she is a very tough woman, she's beat cancer despite the odds and now she's fighting the worse depression she's ever had, I think the level of suicidal thoughts rival my worst times and for me that's so hard to watch, I've been telling her ever since this morning to talk to someone but she refuses too and it infuriates me that she'd give up like this, I can't sit there and watch her deal with this alone, so basically what I'm asking for is any sort of advice, if you've had experience with throat cancer before, whether it was yourself, a loved one, someone close, or maybe you're a doctor! Just.. I NEED something, anything, I have to save my mum but I don't know how, she's the reason why I'm alive and I can't let her go, not just yet!</t>
        </is>
      </c>
      <c r="D8774" t="n">
        <v>5</v>
      </c>
      <c r="E8774" t="n">
        <v>25</v>
      </c>
      <c r="F8774">
        <f>HYPERLINK("https://www.reddit.com/r/cancer/comments/g176j2/im_really_in_need_of_advice/")</f>
        <v/>
      </c>
      <c r="G8774" t="inlineStr">
        <is>
          <t>2020-04-14 08:06:13</t>
        </is>
      </c>
      <c r="H8774" t="inlineStr"/>
    </row>
    <row r="8775">
      <c r="A8775" t="inlineStr">
        <is>
          <t>g18csc</t>
        </is>
      </c>
      <c r="B8775" t="inlineStr">
        <is>
          <t>Father's lung cancer</t>
        </is>
      </c>
      <c r="C8775" t="inlineStr">
        <is>
          <t>My dad has been fighting non small lung cancer for more than two years. We went to the top specialist but i don't know wth is wrong with this cancer. Chemo, surgeries, radiation. It keeps coming back. It doesn't metastasize. Its always on his lung. I am lost. So many patients with very aggressive lung cancer forms and many metastasis were saved in the hospital, i just dont get why not my dad. 
I have none to talk to. I dont want to cry in front of my parents.</t>
        </is>
      </c>
      <c r="D8775" t="n">
        <v>3</v>
      </c>
      <c r="E8775" t="n">
        <v>13</v>
      </c>
      <c r="F8775">
        <f>HYPERLINK("https://www.reddit.com/r/cancer/comments/g18csc/fathers_lung_cancer/")</f>
        <v/>
      </c>
      <c r="G8775" t="inlineStr">
        <is>
          <t>2020-04-14 09:09:11</t>
        </is>
      </c>
      <c r="H8775" t="inlineStr"/>
    </row>
    <row r="8776">
      <c r="A8776" t="inlineStr">
        <is>
          <t>g19ym8</t>
        </is>
      </c>
      <c r="B8776" t="inlineStr">
        <is>
          <t>Anyone here who has beaten appendix cancer?</t>
        </is>
      </c>
      <c r="C8776" t="inlineStr">
        <is>
          <t>So a week from yesterday my dad was diagnosed with appendix cancer. I understand it’s extremely rare. He is already undergoing chemotherapy. I know it is unlikely, but has anyone here known someone who beat it or has beaten it themselves? I think it would be helpful for me to talk to them. His only discomfort is the abdominal fluid build up (ascites). He is a fighter and he is sure we will beat it. We are going to md Anderson this week to understand our next steps after chemo. Please no one post negativity or information on appendix cancer. Thanks :)</t>
        </is>
      </c>
      <c r="D8776" t="n">
        <v>24</v>
      </c>
      <c r="E8776" t="n">
        <v>22</v>
      </c>
      <c r="F8776">
        <f>HYPERLINK("https://www.reddit.com/r/cancer/comments/g19ym8/anyone_here_who_has_beaten_appendix_cancer/")</f>
        <v/>
      </c>
      <c r="G8776" t="inlineStr">
        <is>
          <t>2020-04-14 10:34:32</t>
        </is>
      </c>
      <c r="H8776" t="inlineStr"/>
    </row>
    <row r="8777">
      <c r="A8777" t="inlineStr">
        <is>
          <t>g1d1fb</t>
        </is>
      </c>
      <c r="B8777" t="inlineStr">
        <is>
          <t>Father diagnosed with Mesothelioma and Covid question</t>
        </is>
      </c>
      <c r="C8777" t="inlineStr">
        <is>
          <t>Been Googling and going around in circles and all advice lines are currently closed so just need to put this somewhere for some slither of something before I go mad.
So today my Father has been diagnosed with mesothelioma, started with fluid on the lung. In himself, he currently feels good although having his lung drained every week or so. He's going to be getting a treatment plan in the next couple of days and starting chemo next week, obviously, the prognosis is not good.
He doesn't drive anymore and lives alone as Mum passed away a year go so he will need assistance to and from his chemo appointments and with COVID I'm not sure if we're allowed to or not? Obviously my Dad's safety is everything to me but also would love to support him if possible.
I'm in the UK, anything would be helpful.
Thank you</t>
        </is>
      </c>
      <c r="D8777" t="n">
        <v>4</v>
      </c>
      <c r="E8777" t="n">
        <v>10</v>
      </c>
      <c r="F8777">
        <f>HYPERLINK("https://www.reddit.com/r/cancer/comments/g1d1fb/father_diagnosed_with_mesothelioma_and_covid/")</f>
        <v/>
      </c>
      <c r="G8777" t="inlineStr">
        <is>
          <t>2020-04-14 13:18:02</t>
        </is>
      </c>
      <c r="H8777" t="inlineStr"/>
    </row>
    <row r="8778">
      <c r="A8778" t="inlineStr">
        <is>
          <t>g1eqew</t>
        </is>
      </c>
      <c r="B8778" t="inlineStr">
        <is>
          <t>I turned 28 yesterday, and today I got the news that I have basal cell carcinoma.</t>
        </is>
      </c>
      <c r="C8778" t="inlineStr">
        <is>
          <t>I want to preface this by saying that I am very aware of how lucky I am. I know this could be worse, I know the success rate is about 95%, and that I will most likely be fine. I'm having mohs surgery on the 23rd, followed by a skin graft procedure or repair of some kind hopefully that same afternoon with a plastic surgeon, with the potential that the repair could be done the following day under anesthesia. The biggest concern is that it's right under my eye, essentially touching my eyelid, and we don't know how deep it goes yet. I'm also worried because if I have to go under on the 24th, I'll miss too much clinical time for nursing school and have to sit out until June, which isn't a big deal when looking at the big picture, but I've worked so hard to adjust to remote learning and sim labs and sim clinicals, I'd hate to fail based on time. I feel like I can't talk about it with my family, because they're acting like it's not a huge deal and I'll be fine after surgery, which is technically true, but I just feel sort of alone and I'm not sure where to turn.</t>
        </is>
      </c>
      <c r="D8778" t="n">
        <v>47</v>
      </c>
      <c r="E8778" t="n">
        <v>14</v>
      </c>
      <c r="F8778">
        <f>HYPERLINK("https://www.reddit.com/r/cancer/comments/g1eqew/i_turned_28_yesterday_and_today_i_got_the_news/")</f>
        <v/>
      </c>
      <c r="G8778" t="inlineStr">
        <is>
          <t>2020-04-14 14:53:09</t>
        </is>
      </c>
      <c r="H8778" t="inlineStr"/>
    </row>
    <row r="8779">
      <c r="A8779" t="inlineStr">
        <is>
          <t>g1gczn</t>
        </is>
      </c>
      <c r="B8779" t="inlineStr">
        <is>
          <t>Bile duct cancer?</t>
        </is>
      </c>
      <c r="C8779" t="inlineStr">
        <is>
          <t>Does anyone have any success stories? I know it’s rare..I’m looking for some hope</t>
        </is>
      </c>
      <c r="D8779" t="n">
        <v>3</v>
      </c>
      <c r="E8779" t="n">
        <v>12</v>
      </c>
      <c r="F8779">
        <f>HYPERLINK("https://www.reddit.com/r/cancer/comments/g1gczn/bile_duct_cancer/")</f>
        <v/>
      </c>
      <c r="G8779" t="inlineStr">
        <is>
          <t>2020-04-14 16:25:16</t>
        </is>
      </c>
      <c r="H8779" t="inlineStr"/>
    </row>
    <row r="8780">
      <c r="A8780" t="inlineStr">
        <is>
          <t>g1gxck</t>
        </is>
      </c>
      <c r="B8780" t="inlineStr">
        <is>
          <t>Cannabis in the UK, can treatment be stopped?</t>
        </is>
      </c>
      <c r="C8780" t="inlineStr">
        <is>
          <t>Can the NHS stop cancer treatment if they discover THC in the patients system? What exactly do they look for in the blood tests?</t>
        </is>
      </c>
      <c r="D8780" t="n">
        <v>3</v>
      </c>
      <c r="E8780" t="n">
        <v>8</v>
      </c>
      <c r="F8780">
        <f>HYPERLINK("https://www.reddit.com/r/cancer/comments/g1gxck/cannabis_in_the_uk_can_treatment_be_stopped/")</f>
        <v/>
      </c>
      <c r="G8780" t="inlineStr">
        <is>
          <t>2020-04-14 16:58:41</t>
        </is>
      </c>
      <c r="H8780" t="inlineStr"/>
    </row>
    <row r="8781">
      <c r="A8781" t="inlineStr">
        <is>
          <t>g1h0br</t>
        </is>
      </c>
      <c r="B8781" t="inlineStr">
        <is>
          <t>Can you donate your hair to a specific person?</t>
        </is>
      </c>
      <c r="C8781" t="inlineStr">
        <is>
          <t>A childhood friend of mine (29 year old female with a 1 year old son) just found out she has cancer and will begin chemotherapy in the next week. Is there a way to donate my hair to her specifically? I’d be so grateful for any information! 
Side note: my hair is almost down to my bum so length isn’t an issue :)</t>
        </is>
      </c>
      <c r="D8781" t="n">
        <v>2</v>
      </c>
      <c r="E8781" t="n">
        <v>6</v>
      </c>
      <c r="F8781">
        <f>HYPERLINK("https://www.reddit.com/r/cancer/comments/g1h0br/can_you_donate_your_hair_to_a_specific_person/")</f>
        <v/>
      </c>
      <c r="G8781" t="inlineStr">
        <is>
          <t>2020-04-14 17:03:53</t>
        </is>
      </c>
      <c r="H8781" t="inlineStr"/>
    </row>
    <row r="8782">
      <c r="A8782" t="inlineStr">
        <is>
          <t>g1hkis</t>
        </is>
      </c>
      <c r="B8782" t="inlineStr">
        <is>
          <t>Getting married and having kids with a stage 4 diagnosis (8+ years)</t>
        </is>
      </c>
      <c r="C8782" t="inlineStr">
        <is>
          <t>It's been over 8 years since I (28m)had my stage 4 thymoma diagnosis. I've been in and out of chemo over those years. Ive held down a job for 6 years. In the last year I have started getting more active with the guidance of a clinical excercise physiologist. Ive also had some sessions with a health psychologist who has helped me work through some things.
I'm probably at my best right now (minus the self isolation blues) .
I'm in a relationship with someone who I've grown to love very much and  I can see myself being married to her and can see myself having kids with (not sure if my guys are still working after all the chemo  but we're open to the idea of adoption).
I want to know if anyone's been in a similar situation? What are your experiences like? What has been your thought process?</t>
        </is>
      </c>
      <c r="D8782" t="n">
        <v>24</v>
      </c>
      <c r="E8782" t="n">
        <v>4</v>
      </c>
      <c r="F8782">
        <f>HYPERLINK("https://www.reddit.com/r/cancer/comments/g1hkis/getting_married_and_having_kids_with_a_stage_4/")</f>
        <v/>
      </c>
      <c r="G8782" t="inlineStr">
        <is>
          <t>2020-04-14 17:37:43</t>
        </is>
      </c>
      <c r="H8782" t="inlineStr"/>
    </row>
    <row r="8783">
      <c r="A8783" t="inlineStr">
        <is>
          <t>g1i6id</t>
        </is>
      </c>
      <c r="B8783" t="inlineStr">
        <is>
          <t>Tip of the day post chemotherapy, any others?</t>
        </is>
      </c>
      <c r="C8783" t="inlineStr">
        <is>
          <t>Well, you’ve made it through chemo.  For some it was easy, for others a brutal slog.  What are some tips for folks during this time?
For me, chemotherapy turned my normally rock hard nails....into delicate flowers that would split or tear simply because you tried to scratch.  My solution?  Clear nail hardener.  Yeah my fingernails are shiny, but they’re staying in one piece.  And if anyone makes fun of you?  Loudly and publicly explain why.  Makes them look like the bad person they are.  Lol.
On a personal note?  I’m going to donate some chemo shirts to my local infusion center.  It made everyone’s life so much easier.</t>
        </is>
      </c>
      <c r="D8783" t="n">
        <v>17</v>
      </c>
      <c r="E8783" t="n">
        <v>7</v>
      </c>
      <c r="F8783">
        <f>HYPERLINK("https://www.reddit.com/r/cancer/comments/g1i6id/tip_of_the_day_post_chemotherapy_any_others/")</f>
        <v/>
      </c>
      <c r="G8783" t="inlineStr">
        <is>
          <t>2020-04-14 18:16:35</t>
        </is>
      </c>
      <c r="H8783" t="inlineStr"/>
    </row>
    <row r="8784">
      <c r="A8784" t="inlineStr">
        <is>
          <t>g1jvvd</t>
        </is>
      </c>
      <c r="B8784" t="inlineStr">
        <is>
          <t>Guilt/regret is killing me</t>
        </is>
      </c>
      <c r="C8784" t="inlineStr">
        <is>
          <t>My mother was the kindest, most generous, most vibrant, and strongest person in the world. She suffered so much pain and loss throughout her life but it never caused her to lose her love for it. She continued to have a bottomless depth of compassion, patience, and forgiveness, even for those who didn't deserve it. Her friendships lasted decades. She adopted numerous other "children" over her lifetime because she had so much love to give. Her gentleness was seen in a love for all that was alive; plants, animals, people. She somehow always had enough energy to work, protest injustice, maintain a hundred friendships, and fight cancer. She always had a smile to give you, even when she was frightened, even when she was in pain. She was magical.
Next to her I feel like a shadow. Like she was such a bright light that next to her, compared to her, I feel like a black hole. I wasn't half the daughter that she deserved. I have never been deserving of the endless love and forgiveness she granted me. I was certainly not the daughter she deserved in her 3.5 year battle with cancer. I was avoidant, uncomfortable, often irritable, in denial.....I was so thoroughly incapable of giving her the kind of support she needed. Which seems unfathomable to me now. I would give anything to get one more hug. They became so rare because she thought I didn't want them and I never pursued them. But I know I would've hugged her so much once she went into hospice (for the second time) but COVID19 prevented that. I would give anything to be held by her one more time. There were so many times I wanted to be, but didn't know how to say the words to ask for it. I will regret all these things until the day I die.
I don't understand, I literally can't wrap my head around the fact that I used to sometimes dread time with my mother, that her voice used to irritate me, that there were times she clearly wanted to open up to me and be vulnerable, and I just avoided it instead of responding with a hug and some fucking compassion. We had just begun to make some real strides in our relationship and then COVID10 happened and then she got sick again and then she died. I would give anything to go back. I don't know how I will cope with my guilt and regret. How could I take such an incredible mother for granted? How could I not have been a better daughter knowing she was sick and needed me in those last few years? Why was it so hard for me to relax and just be myself and love her freely and openly, without judgement and with patience? It would be so easy for me to do it now. Why did it take her dying for me to figure this out?
[Our last photo together. We visited a tree I had dedicated in her honor at the LBJ Wildeflower Center. ](https://preview.redd.it/lp6ma3ahfws41.jpg?width=822&amp;amp;format=pjpg&amp;amp;auto=webp&amp;amp;s=b707a0d1517cb4dc6d6b84dc428fd58a2409be3e)</t>
        </is>
      </c>
      <c r="D8784" t="n">
        <v>7</v>
      </c>
      <c r="E8784" t="n">
        <v>3</v>
      </c>
      <c r="F8784">
        <f>HYPERLINK("https://www.reddit.com/r/cancer/comments/g1jvvd/guiltregret_is_killing_me/")</f>
        <v/>
      </c>
      <c r="G8784" t="inlineStr">
        <is>
          <t>2020-04-14 20:10:23</t>
        </is>
      </c>
      <c r="H8784" t="inlineStr"/>
    </row>
    <row r="8785">
      <c r="A8785" t="inlineStr">
        <is>
          <t>g1mxx7</t>
        </is>
      </c>
      <c r="B8785" t="inlineStr">
        <is>
          <t>My fight to get a diagnosis one way or the other.</t>
        </is>
      </c>
      <c r="C8785" t="inlineStr">
        <is>
          <t>I am a father of 3 and I don't want to die. 
I know that some of you may think I shouldn't be posting in this sub yet, but I wanted to talk to someone who has been through this battle I have been waging to get a diagnosis. I have had almost all the symptoms of lymphoma: nightsweats, low grade fever, unexplained rash on both feet for 2 years now, excessive fatigue, unexplained weight loss, multiple masses on multiple nodes. I have been hurting in my arm and my back for years and as of 2 months ago I am now in incredible pain. 
My journey into hell started 5 years ago when I noticed the first mass on my lymph nodes. I now have 4 of them in 3 different nodes that I know of (2 have been biopsied and are benign). After fighting them for a year, I finally got them to biopsy the first mass that appeared. I have had CT scans, MRI, xray, ultrasound, blood work, and std tests so many times I have lost count and I still have no answer to why I am in so much pain. I have unexplainable back pain coming from my pelvis just above my kidney and the xrays just keep coming back clean and they just keep prescribing muscle relaxers and anti-inflammatory drugs that do nothing, I have a shrine of useless drugs at my house. 
I work full time I have great insurance and have every advantage and I feel like I can not get any doctor to take this seriously. The medical system in America is a joke. I can't even tell you the amount of times I have been prescribed an anti-inflammatory or antibiotics and told to take it and come back in a few weeks or referred to "pain management" to get rid of me even when I tell them I don't want their drugs. I want to f***ing scream. I just want someone to tell me I am okay or save my life. 
Don't get me wrong, I would love to be wrong about this, but I know there is something wrong with my body and I feel like I am losing time. I'm sorry if this turned into a rant but I am just so sick and tired of being in pain and sometimes I feel like saying f*** it all and let what happens happen. 
I am currently waiting for the Corona pandemic to subside to get more tests done. I have convinced them to do another round of imaging when the clinics open back up. Maybe I will get my answer soon, I can't take this much longer.</t>
        </is>
      </c>
      <c r="D8785" t="n">
        <v>3</v>
      </c>
      <c r="E8785" t="n">
        <v>5</v>
      </c>
      <c r="F8785">
        <f>HYPERLINK("https://www.reddit.com/r/cancer/comments/g1mxx7/my_fight_to_get_a_diagnosis_one_way_or_the_other/")</f>
        <v/>
      </c>
      <c r="G8785" t="inlineStr">
        <is>
          <t>2020-04-15 00:03:27</t>
        </is>
      </c>
      <c r="H8785" t="inlineStr"/>
    </row>
    <row r="8786">
      <c r="A8786" t="inlineStr">
        <is>
          <t>g1na2q</t>
        </is>
      </c>
      <c r="B8786" t="inlineStr">
        <is>
          <t>Post-Cancer worries</t>
        </is>
      </c>
      <c r="C8786" t="inlineStr">
        <is>
          <t>At the end of 2018 (when I was 22 yo) I was diagnosed with germ cell tumor at the mediastinum (middle of the chest) after 4 rounds of chemo it was gone, 2-3 months after my release I had strong pain in my lower back and found out the cancer had spread to one of my vertebra (L5) and had to do a more aggressive chemo treatment and a bone marrow transplant (before my first chemo I went through a process of collecting some of my own bone marrow just in case I'll need it).
The treatment ended at 07/2019 and I was (and am) cancer free and I need to do blood checkups every month + going to my oncologist every 4 months.
I live in a constant fear that one day the cancer will come back especially when I have pain in my lower back or continues coughing (none stop coughing was how I found out the first time).
Do any of you have some tips on how to deal with this fear?
Edit: Thanks everyone for your replies they are very helpful.
I wish for a long, happy and healthy life for each and every one of you.</t>
        </is>
      </c>
      <c r="D8786" t="n">
        <v>16</v>
      </c>
      <c r="E8786" t="n">
        <v>14</v>
      </c>
      <c r="F8786">
        <f>HYPERLINK("https://www.reddit.com/r/cancer/comments/g1na2q/postcancer_worries/")</f>
        <v/>
      </c>
      <c r="G8786" t="inlineStr">
        <is>
          <t>2020-04-15 00:30:28</t>
        </is>
      </c>
      <c r="H8786" t="inlineStr"/>
    </row>
    <row r="8787">
      <c r="A8787" t="inlineStr">
        <is>
          <t>g1praa</t>
        </is>
      </c>
      <c r="B8787" t="inlineStr">
        <is>
          <t>I feel like shit</t>
        </is>
      </c>
      <c r="C8787" t="inlineStr">
        <is>
          <t>I had my first round of cisplatin/avastin/taxol last week and I still feel like a garbage can. I’m ready to feel better and move along to my next session in a couple weeks but I dk if I can feel like this everyday. I’m so tired and everything hurts and I can’t eat.</t>
        </is>
      </c>
      <c r="D8787" t="n">
        <v>17</v>
      </c>
      <c r="E8787" t="n">
        <v>10</v>
      </c>
      <c r="F8787">
        <f>HYPERLINK("https://www.reddit.com/r/cancer/comments/g1praa/i_feel_like_shit/")</f>
        <v/>
      </c>
      <c r="G8787" t="inlineStr">
        <is>
          <t>2020-04-15 03:55:41</t>
        </is>
      </c>
      <c r="H8787" t="inlineStr"/>
    </row>
    <row r="8788">
      <c r="A8788" t="inlineStr">
        <is>
          <t>g1sncy</t>
        </is>
      </c>
      <c r="B8788" t="inlineStr">
        <is>
          <t>Post yesterday re father not eating..</t>
        </is>
      </c>
      <c r="C8788" t="inlineStr">
        <is>
          <t>So overnight things have got even worse. It's scary how quickly there seems to be a decline. 
Dad woke this morning in alot of pain around his stomach and chest. Freezing cold. Grey skin. Couldn't even finish half a cup of coffee. He has had hiccups for 18 hours straight. He also seems to be getting confused now too. 
We called the GP and they came out and have prescribed some stronger pain meds and something to hopefully help with the hiccups. But they have basically said this is all to do with the decline with the cancer. I had hoped his problems were stemming from there being a blockage stopping him from wanting to eat and the pain but there isn't. 
I don't know why I've written this but anyway, I'm scared for what's about to come.</t>
        </is>
      </c>
      <c r="D8788" t="n">
        <v>18</v>
      </c>
      <c r="E8788" t="n">
        <v>12</v>
      </c>
      <c r="F8788">
        <f>HYPERLINK("https://www.reddit.com/r/cancer/comments/g1sncy/post_yesterday_re_father_not_eating/")</f>
        <v/>
      </c>
      <c r="G8788" t="inlineStr">
        <is>
          <t>2020-04-15 07:11:28</t>
        </is>
      </c>
      <c r="H8788" t="inlineStr"/>
    </row>
    <row r="8789">
      <c r="A8789" t="inlineStr">
        <is>
          <t>g1su1l</t>
        </is>
      </c>
      <c r="B8789" t="inlineStr">
        <is>
          <t>Need help. Untraced prime location of cancer.. And my dad is diabetic.</t>
        </is>
      </c>
      <c r="C8789" t="inlineStr">
        <is>
          <t>Main problem is to find the prime location to satrt chemotherapy theyre gonna have to cut him up and do some tests but he is DIABETIC and he said he does not want to go through with it, cause it will just add to the pain from all the surgery wounds.. 
He already did CT scans MRI i think.. But when they reviewed they couldnt find the location..
Any advice.. Cause at this point. Im jist thinking he doctors could have missed something and i want to ask you guys here..</t>
        </is>
      </c>
      <c r="D8789" t="n">
        <v>0</v>
      </c>
      <c r="E8789" t="n">
        <v>1</v>
      </c>
      <c r="F8789">
        <f>HYPERLINK("https://www.reddit.com/r/cancer/comments/g1su1l/need_help_untraced_prime_location_of_cancer_and/")</f>
        <v/>
      </c>
      <c r="G8789" t="inlineStr">
        <is>
          <t>2020-04-15 07:21:46</t>
        </is>
      </c>
      <c r="H8789" t="inlineStr"/>
    </row>
    <row r="8790">
      <c r="A8790" t="inlineStr">
        <is>
          <t>g1tdcu</t>
        </is>
      </c>
      <c r="B8790" t="inlineStr">
        <is>
          <t>Got diagnosed with prostate cancer, age 59. I have to go through radical prostatectomy. I have to decide whether to go for Open or Laparoscopic / Robotic Assisted Radical Prostatectomy.</t>
        </is>
      </c>
      <c r="C8790" t="inlineStr">
        <is>
          <t>I got diagnosed on December the 5th, 2019 with Prostate Cancer: the results gave a Glaseon Score of 6, and i was put under active surveillance. 3 months later, on March the 5th, i got another biopsy and the Glaseon Score was 7, i got the results today, so the doc told me it's time to intervene and go through surgery with some urgency. I am having a hard time finding scientific evidence of the differences in results between Laparoscopic / Robotic Assisted and Open Radical Prostatectomy. My surgeon doesn't do LRP or RARP, and he tells me that his patients in ORP has 50% of chances to get erectile dysfunctions or incontinence complications. How do i find the bet clinic in Europe to do this? I don't care about how much i'm going to spend, i'm just trying to find the best way to go through all this. Sorry for my english, i'm a bit confused and seeking for help right now: and thank you in advance for any help.</t>
        </is>
      </c>
      <c r="D8790" t="n">
        <v>4</v>
      </c>
      <c r="E8790" t="n">
        <v>4</v>
      </c>
      <c r="F8790">
        <f>HYPERLINK("https://www.reddit.com/r/cancer/comments/g1tdcu/got_diagnosed_with_prostate_cancer_age_59_i_have/")</f>
        <v/>
      </c>
      <c r="G8790" t="inlineStr">
        <is>
          <t>2020-04-15 07:50:35</t>
        </is>
      </c>
      <c r="H8790" t="inlineStr"/>
    </row>
    <row r="8791">
      <c r="A8791" t="inlineStr">
        <is>
          <t>g1ttzb</t>
        </is>
      </c>
      <c r="B8791" t="inlineStr">
        <is>
          <t>What is the chance of a CT scan missing cancer?</t>
        </is>
      </c>
      <c r="C8791" t="inlineStr">
        <is>
          <t>Hi everyone,
My Mum \[67/F\] has recently had symptoms of bowel cancer, and before performing a colonoscopy, her doctor decided to undertake a CT scan.
The report reads as follows:
"Bilateral renal scarring is demonstrated consistent with the patient's known history of vesicoureteric reflux. Superimposed on this is a large cystic focus at the inferior pole of the left kidney measuring 4.5cm in diameter. There is prominence of the extrarenal renal pelvis bilaterally. No ureteric dilation. There is no bladder wall mass noted. There is no abnormal fluid collection in the pelvis. The uterus has unremarkable appearances. There is no adnexal masses.
The sigmoid colon has a slightly redundant appearance. There are few scattered sigmoid colonic diverticula noted. No current evidence of acute diverticulitis. Tubal ligation clips are demonstrated in the pelvis. There is no other colonic pathology identified to the limits of the study. There is no small bowel lesion to the limits of the study. Upper abdominal organs have unremarkable appearances."
I have a few questions:
\-What are the chances that the CT scan missed a lesion, particularly in the bowel?
\-What are the chances that the renal cyst is malignant?
\-Would these findings explain all symptoms (bleeding from bowel, change in bowel habits, etc)?
If you have any other thoughts, please let me know.
Many thanks in advance!</t>
        </is>
      </c>
      <c r="D8791" t="n">
        <v>3</v>
      </c>
      <c r="E8791" t="n">
        <v>16</v>
      </c>
      <c r="F8791">
        <f>HYPERLINK("https://www.reddit.com/r/cancer/comments/g1ttzb/what_is_the_chance_of_a_ct_scan_missing_cancer/")</f>
        <v/>
      </c>
      <c r="G8791" t="inlineStr">
        <is>
          <t>2020-04-15 08:14:17</t>
        </is>
      </c>
      <c r="H8791" t="inlineStr"/>
    </row>
    <row r="8792">
      <c r="A8792" t="inlineStr">
        <is>
          <t>g1v426</t>
        </is>
      </c>
      <c r="B8792" t="inlineStr">
        <is>
          <t>How can I make my mom feel a little better?</t>
        </is>
      </c>
      <c r="C8792" t="inlineStr">
        <is>
          <t>I’m sorry if this post is shit, I don’t really know what to say or what details to put or anything. But yeah. 
So in the middle of February, my mom was diagnosed with stage 4 brain cancer, it’s also in her liver, stomach, and lungs. The doctor said that it was too late for everything, and she has less than 2 months to live. 
The two months the doctor told us was last week. My moms still going strong, but she doesn’t want to. She wants this to be over with and is thinking about the assisted suicide. The only reason she’s not doing it is so she can go to heaven with my grandma. 
She’s in a lot of pain, she sleeps all day and she wakes up crying every time because she’s still alive. Nothing gives her joy anymore, she just has no will to live.. 
I don’t know what to do. I don’t know how I can help her. I try my hardest to make her a little happy, make things easier for her. I just don’t know what to say to help her feel a little better.
I know I can’t help her with the pain, but how can I help her make it through the day and make 
it less shitty?</t>
        </is>
      </c>
      <c r="D8792" t="n">
        <v>9</v>
      </c>
      <c r="E8792" t="n">
        <v>2</v>
      </c>
      <c r="F8792">
        <f>HYPERLINK("https://www.reddit.com/r/cancer/comments/g1v426/how_can_i_make_my_mom_feel_a_little_better/")</f>
        <v/>
      </c>
      <c r="G8792" t="inlineStr">
        <is>
          <t>2020-04-15 09:18:38</t>
        </is>
      </c>
      <c r="H8792" t="inlineStr"/>
    </row>
    <row r="8793">
      <c r="A8793" t="inlineStr">
        <is>
          <t>g1vr2g</t>
        </is>
      </c>
      <c r="B8793" t="inlineStr">
        <is>
          <t>26f low grade mucoepidermoid carcinoma</t>
        </is>
      </c>
      <c r="C8793" t="inlineStr">
        <is>
          <t>I just had my left maxillectomy done last monday. Today i went to get my obsturator today and it isnt a proper fit, no big deal ill get a better one next week. My question is: how long does it take to get used to, will i be able to carry on as normal once i have one that fits properly? Can someone who has experienced this situation tell me what to expect? 
I cannot believe the massive hole in my mouth now, so im a little nervous (and weirdly fascinated).</t>
        </is>
      </c>
      <c r="D8793" t="n">
        <v>1</v>
      </c>
      <c r="E8793" t="n">
        <v>0</v>
      </c>
      <c r="F8793">
        <f>HYPERLINK("https://www.reddit.com/r/cancer/comments/g1vr2g/26f_low_grade_mucoepidermoid_carcinoma/")</f>
        <v/>
      </c>
      <c r="G8793" t="inlineStr">
        <is>
          <t>2020-04-15 09:51:54</t>
        </is>
      </c>
      <c r="H8793" t="inlineStr"/>
    </row>
    <row r="8794">
      <c r="A8794" t="inlineStr">
        <is>
          <t>g1vtl4</t>
        </is>
      </c>
      <c r="B8794" t="inlineStr">
        <is>
          <t>When in doubt, laugh.</t>
        </is>
      </c>
      <c r="C8794" t="inlineStr">
        <is>
          <t xml:space="preserve"> When my fiancé was diagnosed… 
In public, I would make jokes, laugh, anything to not show the vulnerability. If you’re not laughing, you’re crying. That’s what he taught me. He laughed a lot.
He was clever, quick, great at strategy games, and a little – lot – goofy. In our nearly half a decade together, he cried 3 times. That last time, it hurt me, the way he accepted his brain cancer. But he started laughing more after that, and I loved that. He would ask for lots of foods, to make me feel useful, I think.
He would ask how we were doing. He never complained. Never. He had a subtle charisma, charming. I couldn’t have asked for a better partner. Don’t think I’ll ever find one again.
At any rate, we need to take this time to be the best version of ourselves. I’m sorry for what you’re all going through, and I would give anything to stop it or take it myself. We’re in this together. And if we’re not laughing, we’re crying.
I don't really know what it is I'm getting at here. I just want you all to know that no matter how bad it gets, we each have a little personal power to not let it destroy our hearts.
Be good to each other. And fuck cancer.</t>
        </is>
      </c>
      <c r="D8794" t="n">
        <v>70</v>
      </c>
      <c r="E8794" t="n">
        <v>8</v>
      </c>
      <c r="F8794">
        <f>HYPERLINK("https://www.reddit.com/r/cancer/comments/g1vtl4/when_in_doubt_laugh/")</f>
        <v/>
      </c>
      <c r="G8794" t="inlineStr">
        <is>
          <t>2020-04-15 09:55:23</t>
        </is>
      </c>
      <c r="H8794" t="inlineStr"/>
    </row>
    <row r="8795">
      <c r="A8795" t="inlineStr">
        <is>
          <t>g1x548</t>
        </is>
      </c>
      <c r="B8795" t="inlineStr">
        <is>
          <t>How can I support my boyfriend who’s mother has lung cancer?</t>
        </is>
      </c>
      <c r="C8795" t="inlineStr">
        <is>
          <t>Hi there, my boyfriends mum got diagnosed with lung cancer back in June/July of last year, around the time we started dating. Me and my boyfriend are long distance but I’ve always been able to be there and support him or at least distract him from all the pain he’s going through. But it’s got a lot harder due to the state that the world is in. 
I’m staying at my house and my boyfriend is staying at his flat (he lives alone, I live with my parents, btw I’m 18 he’s 19) and during this quarantine I’ve been struggling to support him through just texting, he’s been really down lately a lot more than usual and I feel so helpless, I want to be there for him more but I don’t know how. I’m worried that what I’m saying isn’t helping or that I’m not doing enough, it hurts so much seeing him in pain and I was just wondering if anyone had any advice on how to support your partner who’s parent has cancer, during these crazy times? 
Thankyou!</t>
        </is>
      </c>
      <c r="D8795" t="n">
        <v>1</v>
      </c>
      <c r="E8795" t="n">
        <v>2</v>
      </c>
      <c r="F8795">
        <f>HYPERLINK("https://www.reddit.com/r/cancer/comments/g1x548/how_can_i_support_my_boyfriend_whos_mother_has/")</f>
        <v/>
      </c>
      <c r="G8795" t="inlineStr">
        <is>
          <t>2020-04-15 11:01:01</t>
        </is>
      </c>
      <c r="H8795" t="inlineStr"/>
    </row>
    <row r="8796">
      <c r="A8796" t="inlineStr">
        <is>
          <t>g1xugz</t>
        </is>
      </c>
      <c r="B8796" t="inlineStr">
        <is>
          <t>Mucinous Adenocarcinoma (colon)</t>
        </is>
      </c>
      <c r="C8796" t="inlineStr">
        <is>
          <t>I just completed a colectomy two weeks ago. They remove 6 feet and two tumors. Seems I have an odd duck cancer. As this is not just a regular Adenocarcinoma.  I had nothing that came up anywhere else, my liver and lungs are clear there was no spotting. My colon had adhered a bit to what was behind it -from the pressure I guess of the larger tumor. They were able to cut everything away just had one spot I guess that might be questionable where it was cut away. My lymph nodes are clean.  Meeting with the doctor soon to figure out course of action. Just curious if anyone said anything similar happened with them????</t>
        </is>
      </c>
      <c r="D8796" t="n">
        <v>5</v>
      </c>
      <c r="E8796" t="n">
        <v>2</v>
      </c>
      <c r="F8796">
        <f>HYPERLINK("https://www.reddit.com/r/cancer/comments/g1xugz/mucinous_adenocarcinoma_colon/")</f>
        <v/>
      </c>
      <c r="G8796" t="inlineStr">
        <is>
          <t>2020-04-15 11:36:01</t>
        </is>
      </c>
      <c r="H8796" t="inlineStr"/>
    </row>
    <row r="8797">
      <c r="A8797" t="inlineStr">
        <is>
          <t>g21olk</t>
        </is>
      </c>
      <c r="B8797" t="inlineStr">
        <is>
          <t>4 more hours.</t>
        </is>
      </c>
      <c r="C8797" t="inlineStr">
        <is>
          <t>I am sitting here counting down the minutes until my doctors appointment, waiting for my doctor to tell me if I have cancer or not. I am 28 years old and have already beaten cancer once. I don’t have any more energy left in me to fight another battle. I will be all alone at my appointment today and I am losing hope guys. 
Fuck cancer.</t>
        </is>
      </c>
      <c r="D8797" t="n">
        <v>17</v>
      </c>
      <c r="E8797" t="n">
        <v>24</v>
      </c>
      <c r="F8797">
        <f>HYPERLINK("https://www.reddit.com/r/cancer/comments/g21olk/4_more_hours/")</f>
        <v/>
      </c>
      <c r="G8797" t="inlineStr">
        <is>
          <t>2020-04-15 14:55:44</t>
        </is>
      </c>
      <c r="H8797" t="inlineStr"/>
    </row>
    <row r="8798">
      <c r="A8798" t="inlineStr">
        <is>
          <t>g23eec</t>
        </is>
      </c>
      <c r="B8798" t="inlineStr">
        <is>
          <t>Broken</t>
        </is>
      </c>
      <c r="C8798" t="inlineStr">
        <is>
          <t>I’m broken and I don’t know why the world constantly wants to take a shit on my husband and Family. My husband broke his femur before entering hospice. He’s in home hospice now. This is absolutely the worst. Fuck cancer.</t>
        </is>
      </c>
      <c r="D8798" t="n">
        <v>6</v>
      </c>
      <c r="E8798" t="n">
        <v>8</v>
      </c>
      <c r="F8798">
        <f>HYPERLINK("https://www.reddit.com/r/cancer/comments/g23eec/broken/")</f>
        <v/>
      </c>
      <c r="G8798" t="inlineStr">
        <is>
          <t>2020-04-15 16:29:24</t>
        </is>
      </c>
      <c r="H8798" t="inlineStr"/>
    </row>
    <row r="8799">
      <c r="A8799" t="inlineStr">
        <is>
          <t>g23wek</t>
        </is>
      </c>
      <c r="B8799" t="inlineStr">
        <is>
          <t>It's back! And I'm beyond done with it all</t>
        </is>
      </c>
      <c r="C8799" t="inlineStr">
        <is>
          <t>I had a bladder resection for 2 tumours at the start of the year, but because of that dirty bitch rona they delayed my chemo.
I started getting similar pains and told m g.p. she got my in for an ultrasound and I demanded to see the screen this time while they done it. Hot spot found and cystoscopy booked.
Do I go through with it and sue them to the moon and back or just go for plan B?</t>
        </is>
      </c>
      <c r="D8799" t="n">
        <v>1</v>
      </c>
      <c r="E8799" t="n">
        <v>5</v>
      </c>
      <c r="F8799">
        <f>HYPERLINK("https://www.reddit.com/r/cancer/comments/g23wek/its_back_and_im_beyond_done_with_it_all/")</f>
        <v/>
      </c>
      <c r="G8799" t="inlineStr">
        <is>
          <t>2020-04-15 16:57:04</t>
        </is>
      </c>
      <c r="H8799" t="inlineStr"/>
    </row>
    <row r="8800">
      <c r="A8800" t="inlineStr">
        <is>
          <t>g23zvp</t>
        </is>
      </c>
      <c r="B8800" t="inlineStr">
        <is>
          <t>I want to give up.</t>
        </is>
      </c>
      <c r="C8800" t="inlineStr">
        <is>
          <t>Just found out I have two decently sized brain mets.. I’ve always done my best to be optimistic when new mets are found but now I’m terrified. I’ve been fighting since the end of 2018, and I just want to be done. I’m scared sh*tless of what’s next.</t>
        </is>
      </c>
      <c r="D8800" t="n">
        <v>54</v>
      </c>
      <c r="E8800" t="n">
        <v>59</v>
      </c>
      <c r="F8800">
        <f>HYPERLINK("https://www.reddit.com/r/cancer/comments/g23zvp/i_want_to_give_up/")</f>
        <v/>
      </c>
      <c r="G8800" t="inlineStr">
        <is>
          <t>2020-04-15 17:02:46</t>
        </is>
      </c>
      <c r="H8800" t="inlineStr"/>
    </row>
    <row r="8801">
      <c r="A8801" t="inlineStr">
        <is>
          <t>g25zl9</t>
        </is>
      </c>
      <c r="B8801" t="inlineStr">
        <is>
          <t>How do boarding schools handle taking care of students with cancer?</t>
        </is>
      </c>
      <c r="C8801" t="inlineStr">
        <is>
          <t>Do boarding schools handle treatments of students with cancer? Are students with cancer able to or allowed to attend and live at boarding schools?</t>
        </is>
      </c>
      <c r="D8801" t="n">
        <v>2</v>
      </c>
      <c r="E8801" t="n">
        <v>2</v>
      </c>
      <c r="F8801">
        <f>HYPERLINK("https://www.reddit.com/r/cancer/comments/g25zl9/how_do_boarding_schools_handle_taking_care_of/")</f>
        <v/>
      </c>
      <c r="G8801" t="inlineStr">
        <is>
          <t>2020-04-15 19:06:44</t>
        </is>
      </c>
      <c r="H8801" t="inlineStr"/>
    </row>
    <row r="8802">
      <c r="A8802" t="inlineStr">
        <is>
          <t>g29gmf</t>
        </is>
      </c>
      <c r="B8802" t="inlineStr">
        <is>
          <t>I start chemo tomorrow</t>
        </is>
      </c>
      <c r="C8802" t="inlineStr">
        <is>
          <t>I wanna start by thanking everyone for all their support, it’s all helped so much. I’m not as nervous as I thought I would be, but as I’m going to bed I can’t help but feel like I’m not ready. I’ve done everything possible to prepare but I still feel like something is missing. I guess chemo is something you can’t really be 100% ready for. I don’t have much else to say, I just wanted to update anyone that’s been following my little adventure and say thanks.</t>
        </is>
      </c>
      <c r="D8802" t="n">
        <v>6</v>
      </c>
      <c r="E8802" t="n">
        <v>7</v>
      </c>
      <c r="F8802">
        <f>HYPERLINK("https://www.reddit.com/r/cancer/comments/g29gmf/i_start_chemo_tomorrow/")</f>
        <v/>
      </c>
      <c r="G8802" t="inlineStr">
        <is>
          <t>2020-04-15 23:16:30</t>
        </is>
      </c>
      <c r="H8802" t="inlineStr"/>
    </row>
    <row r="8803">
      <c r="A8803" t="inlineStr">
        <is>
          <t>g2aelf</t>
        </is>
      </c>
      <c r="B8803" t="inlineStr">
        <is>
          <t>Life after cancer and how to move on..</t>
        </is>
      </c>
      <c r="C8803" t="inlineStr">
        <is>
          <t>Hello everyone (I will try to keep it short)
January 2020 my husband (24 yr old) was diagnosed with stomach cancer. Came as a complete shock, as hes never been sick or had surgery. Always been healthy!
I remember the first couple weeks after his diagnosis.. so many questions, non stop appointments, his port placement (which was his first ever surgery).
My husband was on FLOT (aggressive chemo), he had a complete response which was honestly a miracle. Oncologist said his type of cancer is curable with surgery which was good news.
He had his stomach removal surgery on April 9th, 1 week ago. Hes doing very well in recovery and surgery went great but I'm not able to visit him because of COVID19, so it's been very difficult as we've never spent more than 24 hours, and we have a 4 month old baby.
So that's the backstory, anyways..
It hit me harder than him. My husband is EVERYTHING to me, and I'm always questioning "why us?", "why now, when we just had a baby?". Hes also so young, this is so unfair. Just starting our lives together as a family... I cry often. I try to hold it together as much as possible. Yesterday was my worst breakdown. 
In the beginning, we would always say we couldnt wait for treatment to be over so we could just pick up from where we left off! I now realize that wont be the case... far from it actually.
What is life after cancer? How do you move on from this? I dont even know where to start... all these thoughts are making my life miserable. The cancer could ways come back, theres a chance he could die and me and my baby will be left alone. I dont think I can do it.
Life will never be the same. I feel like I wont be able to enjoy what we once had. I'm always going to be worried, and the anxiety every 3 months for his follow up scans for the next 5 years.. 
I'm scared. 
I'm scared knowing that my husband could be taken away from me at any moment, that I might have to watch him die right before my eyes. Or that my son won't have his daddy to grow up with..</t>
        </is>
      </c>
      <c r="D8803" t="n">
        <v>7</v>
      </c>
      <c r="E8803" t="n">
        <v>9</v>
      </c>
      <c r="F8803">
        <f>HYPERLINK("https://www.reddit.com/r/cancer/comments/g2aelf/life_after_cancer_and_how_to_move_on/")</f>
        <v/>
      </c>
      <c r="G8803" t="inlineStr">
        <is>
          <t>2020-04-16 00:34:06</t>
        </is>
      </c>
      <c r="H8803" t="inlineStr"/>
    </row>
    <row r="8804">
      <c r="A8804" t="inlineStr">
        <is>
          <t>g2bczd</t>
        </is>
      </c>
      <c r="B8804" t="inlineStr">
        <is>
          <t>Recipe for Gas and Bloating</t>
        </is>
      </c>
      <c r="C8804" t="inlineStr">
        <is>
          <t>I have found this recipe, haven't tried it yet. I will make it for my father (Stage 4 Stomach Cancer) and will reply if it works.
Here is the link: https://stanfordhealthcare.org/medical-clinics/cancer-nutrition-services/recipes/colon-cancer-diet-basil-broccoli-recipe.html</t>
        </is>
      </c>
      <c r="D8804" t="n">
        <v>1</v>
      </c>
      <c r="E8804" t="n">
        <v>5</v>
      </c>
      <c r="F8804">
        <f>HYPERLINK("https://www.reddit.com/r/cancer/comments/g2bczd/recipe_for_gas_and_bloating/")</f>
        <v/>
      </c>
      <c r="G8804" t="inlineStr">
        <is>
          <t>2020-04-16 01:57:43</t>
        </is>
      </c>
      <c r="H8804" t="inlineStr"/>
    </row>
    <row r="8805">
      <c r="A8805" t="inlineStr">
        <is>
          <t>g2diia</t>
        </is>
      </c>
      <c r="B8805" t="inlineStr">
        <is>
          <t>Diagnosed a few days ago with rare cancer.</t>
        </is>
      </c>
      <c r="C8805" t="inlineStr">
        <is>
          <t>Hey there,
I was diagnosed the other day with Desmoplastic Small Round Cell Tumor (DSRCT), some rare form of cancer. This is all very fresh right now and feels very strange. I've been reading into it and there seems to be a 15% survival rate after 5 years. I'm completely new to this illness, I've never had any relatives suffer from it before so my family are all quite upset. Although it's a little bit scary, I feel quite at peace with it and I'm ready to fight with all I have to get rid of it. 
The real kicker here is I've recently graduated university (October), I was job searching from then till January where I was offered a job with an incredible company in an amazing position that I was really looking forward to. I was admitted to hospital the day before I was due to start. So essentially I have been waiting for this job from January to start at the beginning of April and this shit as decided to mess that all up for me.
Just wanted to vent my frustration a bit, sorry if this is the incorrect place for it.</t>
        </is>
      </c>
      <c r="D8805" t="n">
        <v>10</v>
      </c>
      <c r="E8805" t="n">
        <v>20</v>
      </c>
      <c r="F8805">
        <f>HYPERLINK("https://www.reddit.com/r/cancer/comments/g2diia/diagnosed_a_few_days_ago_with_rare_cancer/")</f>
        <v/>
      </c>
      <c r="G8805" t="inlineStr">
        <is>
          <t>2020-04-16 04:54:17</t>
        </is>
      </c>
      <c r="H8805" t="inlineStr"/>
    </row>
    <row r="8806">
      <c r="A8806" t="inlineStr">
        <is>
          <t>g2dzik</t>
        </is>
      </c>
      <c r="B8806" t="inlineStr">
        <is>
          <t>Stay home. Protect our children.</t>
        </is>
      </c>
      <c r="C8806" t="inlineStr">
        <is>
          <t>&amp;amp;#x200B;
https://preview.redd.it/vczhggolb6t41.jpg?width=1283&amp;amp;format=pjpg&amp;amp;auto=webp&amp;amp;s=e204d9c6ac617c496f68dcd0b83da98a355c5dc2</t>
        </is>
      </c>
      <c r="D8806" t="n">
        <v>51</v>
      </c>
      <c r="E8806" t="n">
        <v>2</v>
      </c>
      <c r="F8806">
        <f>HYPERLINK("https://www.reddit.com/r/cancer/comments/g2dzik/stay_home_protect_our_children/")</f>
        <v/>
      </c>
      <c r="G8806" t="inlineStr">
        <is>
          <t>2020-04-16 05:29:08</t>
        </is>
      </c>
      <c r="H8806" t="inlineStr"/>
    </row>
    <row r="8807">
      <c r="A8807" t="inlineStr">
        <is>
          <t>g2ek10</t>
        </is>
      </c>
      <c r="B8807" t="inlineStr">
        <is>
          <t>My mom will start chemo next week. What should I be prepared for?</t>
        </is>
      </c>
      <c r="C8807" t="inlineStr">
        <is>
          <t>She is 70 and diabetic. We will find out if it’s stage 3 or 4 Friday but everyone believes it’s late stage 4 based on symptoms. I think she is going to move in with me so any advice you can give I would greatly appreciate it.</t>
        </is>
      </c>
      <c r="D8807" t="n">
        <v>3</v>
      </c>
      <c r="E8807" t="n">
        <v>10</v>
      </c>
      <c r="F8807">
        <f>HYPERLINK("https://www.reddit.com/r/cancer/comments/g2ek10/my_mom_will_start_chemo_next_week_what_should_i/")</f>
        <v/>
      </c>
      <c r="G8807" t="inlineStr">
        <is>
          <t>2020-04-16 06:07:13</t>
        </is>
      </c>
      <c r="H8807" t="inlineStr"/>
    </row>
    <row r="8808">
      <c r="A8808" t="inlineStr">
        <is>
          <t>g2hj0i</t>
        </is>
      </c>
      <c r="B8808" t="inlineStr">
        <is>
          <t>Still fatigued after treatment?</t>
        </is>
      </c>
      <c r="C8808" t="inlineStr">
        <is>
          <t>I finished 7 weeks of radiation, 1 round of Cisplatin and 3 rounds of Carboplatin and Taxol three and a half weeks ago. This was for squamous cell carcinoma of the head and neck. For those who have had similar treatments, how long before your energy level picked up? I still get pretty fatigued if I am up for more than 10 or 15 minutes. I’m trying to get up and move around every hour or so, but it is tough.</t>
        </is>
      </c>
      <c r="D8808" t="n">
        <v>5</v>
      </c>
      <c r="E8808" t="n">
        <v>6</v>
      </c>
      <c r="F8808">
        <f>HYPERLINK("https://www.reddit.com/r/cancer/comments/g2hj0i/still_fatigued_after_treatment/")</f>
        <v/>
      </c>
      <c r="G8808" t="inlineStr">
        <is>
          <t>2020-04-16 08:53:57</t>
        </is>
      </c>
      <c r="H8808" t="inlineStr"/>
    </row>
    <row r="8809">
      <c r="A8809" t="inlineStr">
        <is>
          <t>g2hqx0</t>
        </is>
      </c>
      <c r="B8809" t="inlineStr">
        <is>
          <t>Anyone use non-hospital paid cancer service?</t>
        </is>
      </c>
      <c r="C8809" t="inlineStr">
        <is>
          <t>Other than hospital visits, what are other paid cancer services do you use? Online and offline?</t>
        </is>
      </c>
      <c r="D8809" t="n">
        <v>0</v>
      </c>
      <c r="E8809" t="n">
        <v>2</v>
      </c>
      <c r="F8809">
        <f>HYPERLINK("https://www.reddit.com/r/cancer/comments/g2hqx0/anyone_use_nonhospital_paid_cancer_service/")</f>
        <v/>
      </c>
      <c r="G8809" t="inlineStr">
        <is>
          <t>2020-04-16 09:04:45</t>
        </is>
      </c>
      <c r="H8809" t="inlineStr"/>
    </row>
    <row r="8810">
      <c r="A8810" t="inlineStr">
        <is>
          <t>g2ik6l</t>
        </is>
      </c>
      <c r="B8810" t="inlineStr">
        <is>
          <t>How to handle a very large medical bill from Mayo Clinic</t>
        </is>
      </c>
      <c r="C8810" t="inlineStr">
        <is>
          <t>**Backstory**: My wife is 31 and has terminal osteosarcoma in her spine.  She was diagnosed last July and given “about a year” to live. Already engaged, we moved up our wedding and got married a month later. Our cancer fight has taken us to Stanford and then out to Rochester, Minnesota to the Mayo Clinic. While there, she received some imaging that we didn’t realize at the time wasn’t covered by insurance (United Health Care). The resulting bill was $13K.
We keep appealing to UHC to no avail and financial assistance from Mayo Clinic isn’t feasible. 
We’re a blended family with 2 young kids. When she passes, her son (who lost his father to suicide) will not have a surviving biological parent, so need need to do her will planning and safeguard guardianship of her son for when she dies.
Any advice?</t>
        </is>
      </c>
      <c r="D8810" t="n">
        <v>15</v>
      </c>
      <c r="E8810" t="n">
        <v>11</v>
      </c>
      <c r="F8810">
        <f>HYPERLINK("https://www.reddit.com/r/cancer/comments/g2ik6l/how_to_handle_a_very_large_medical_bill_from_mayo/")</f>
        <v/>
      </c>
      <c r="G8810" t="inlineStr">
        <is>
          <t>2020-04-16 09:46:33</t>
        </is>
      </c>
      <c r="H8810" t="inlineStr"/>
    </row>
    <row r="8811">
      <c r="A8811" t="inlineStr">
        <is>
          <t>g2kia2</t>
        </is>
      </c>
      <c r="B8811" t="inlineStr">
        <is>
          <t>My best friends Dads has cancer and is likely going to die. How do I comfort her? What do I say to her?</t>
        </is>
      </c>
      <c r="C8811" t="inlineStr">
        <is>
          <t>My (21f) best friends (20f) dad (56m) got lymphoma cancer last year in August. Today she told me it spread to the bones and the liver.
My grandma fought with cancer almost 20 years and I know, if it gets to the liver its almost over. 
Miracles can happen but I just need help how to comfort my friend properly IF it happens? It’s her dad and she is only 20. What do I do and how do I talk to her? She was always my rock and I was hers but now it’s different.
Do you have advice how to talk to someone who lost their parent?</t>
        </is>
      </c>
      <c r="D8811" t="n">
        <v>5</v>
      </c>
      <c r="E8811" t="n">
        <v>3</v>
      </c>
      <c r="F8811">
        <f>HYPERLINK("https://www.reddit.com/r/cancer/comments/g2kia2/my_best_friends_dads_has_cancer_and_is_likely/")</f>
        <v/>
      </c>
      <c r="G8811" t="inlineStr">
        <is>
          <t>2020-04-16 11:25:14</t>
        </is>
      </c>
      <c r="H8811" t="inlineStr"/>
    </row>
    <row r="8812">
      <c r="A8812" t="inlineStr">
        <is>
          <t>g2kkrm</t>
        </is>
      </c>
      <c r="B8812" t="inlineStr">
        <is>
          <t>mom just had first chemo treatment what can i do to help her?</t>
        </is>
      </c>
      <c r="C8812" t="inlineStr">
        <is>
          <t>the doctors discovered my mom has pancreatic cancer she just had her first treatment yesterday i'm wondering what can i do to help her and is there anything i should know about this type of cancer?</t>
        </is>
      </c>
      <c r="D8812" t="n">
        <v>7</v>
      </c>
      <c r="E8812" t="n">
        <v>6</v>
      </c>
      <c r="F8812">
        <f>HYPERLINK("https://www.reddit.com/r/cancer/comments/g2kkrm/mom_just_had_first_chemo_treatment_what_can_i_do/")</f>
        <v/>
      </c>
      <c r="G8812" t="inlineStr">
        <is>
          <t>2020-04-16 11:28:45</t>
        </is>
      </c>
      <c r="H8812" t="inlineStr"/>
    </row>
    <row r="8813">
      <c r="A8813" t="inlineStr">
        <is>
          <t>g2nrpm</t>
        </is>
      </c>
      <c r="B8813" t="inlineStr">
        <is>
          <t>First time I've shaved my head</t>
        </is>
      </c>
      <c r="C8813" t="inlineStr">
        <is>
          <t>I'm in support of my friends wife who has been recently diagnosed with breast cancer. I have never shaved my head before, what should I do to protect my skin, it feels like paper up there. I tried aloe vera gel, but it hasn't really helped. I have some baby oil, Aquaphor, etc. What do you guys put on your heads?</t>
        </is>
      </c>
      <c r="D8813" t="n">
        <v>0</v>
      </c>
      <c r="E8813" t="n">
        <v>6</v>
      </c>
      <c r="F8813">
        <f>HYPERLINK("https://www.reddit.com/r/cancer/comments/g2nrpm/first_time_ive_shaved_my_head/")</f>
        <v/>
      </c>
      <c r="G8813" t="inlineStr">
        <is>
          <t>2020-04-16 14:12:02</t>
        </is>
      </c>
      <c r="H8813" t="inlineStr"/>
    </row>
    <row r="8814">
      <c r="A8814" t="inlineStr">
        <is>
          <t>g2qrpw</t>
        </is>
      </c>
      <c r="B8814" t="inlineStr">
        <is>
          <t>CANCER FREE!!</t>
        </is>
      </c>
      <c r="C8814" t="inlineStr">
        <is>
          <t>Last year I was diagnosed with an aggressive type of Lymphoma at the age of 17. I wouldn’t be able to go to school to attend my senior year and and was heartbroken to be isolated from my friends. 
Over the course of about 5 months of intensive chemotherapy my hair fell out and I felt worse. After 3 rounds of chemo I was forced to undergo another biopsy as the doctors feared I was not responding to treatment. During this biopsy I found out that there was a high possibility of me losing one or both of my testicles. Luckily I didn’t have to increase the intensity of my treatment and I was able to finish out the rest of my chemo by March this year. 
My goal throughout treatment was to be in remission and able to spend my 18th birthday with friends without worrying about any side effects and symptoms of treatment. Unfortunately that didn’t work out but I will still celebrate after COVID quarantine is over. A few days ago I was told I was in remission and did not need any more chemo. This has been the most exciting part of my year so far. Unfortunately with COVID I won’t be able to go back to school for a few months like I wanted and my graduation has been cancelled. 
I’m truly thankful for my support system who helped me feel loved while I fought cancer. In particular one of my friends who would come over after school whenever I needed company and who helped me partake in new hobbies such as gardening, building computers and remodeling my room. I also relied on the support of one of my teachers who made sure to check on me often by texting my mother and I. He too is a cancer survivor and worked his hardest to get other teachers to be more understanding of my situation and my capacity to do work. I also really appreciated this sub during my treatment. Although I didn’t interact much I used it whenever I had anxiety about different procedures and treatments and was usually left reassured by the discussion
Thank you for teaching me so much about myself but fuck you cancer!</t>
        </is>
      </c>
      <c r="D8814" t="n">
        <v>125</v>
      </c>
      <c r="E8814" t="n">
        <v>17</v>
      </c>
      <c r="F8814">
        <f>HYPERLINK("https://www.reddit.com/r/cancer/comments/g2qrpw/cancer_free/")</f>
        <v/>
      </c>
      <c r="G8814" t="inlineStr">
        <is>
          <t>2020-04-16 16:53:49</t>
        </is>
      </c>
      <c r="H8814" t="inlineStr"/>
    </row>
    <row r="8815">
      <c r="A8815" t="inlineStr">
        <is>
          <t>g2rqfq</t>
        </is>
      </c>
      <c r="B8815" t="inlineStr">
        <is>
          <t>How to cope with impending death?</t>
        </is>
      </c>
      <c r="C8815" t="inlineStr">
        <is>
          <t>I’m caring for a 59 year old firefighter who is terminally ill with colon cancer. His pain is increasing everyday and he’s on tons of painkillers. His pain is still great no matter how much drugs he’s on. His cancer is spreading to his spine now. Regardless, he’s always positive and hardly complains. I’m so sad for him and his family and won’t know how to deal with the impending death. I’m in his home everyday caring for him so I spend lots of time with him. I know his death is coming up real soon. It’s sad that instead of getting to enjoy his retirement, he has to deal with his upcoming death instead. What are some things I could talk with him to make him feel better? I just don’t know how to deal with all this. It’s my first time working with a terminally ill patient.</t>
        </is>
      </c>
      <c r="D8815" t="n">
        <v>6</v>
      </c>
      <c r="E8815" t="n">
        <v>11</v>
      </c>
      <c r="F8815">
        <f>HYPERLINK("https://www.reddit.com/r/cancer/comments/g2rqfq/how_to_cope_with_impending_death/")</f>
        <v/>
      </c>
      <c r="G8815" t="inlineStr">
        <is>
          <t>2020-04-16 17:50:51</t>
        </is>
      </c>
      <c r="H8815" t="inlineStr"/>
    </row>
    <row r="8816">
      <c r="A8816" t="inlineStr">
        <is>
          <t>g2t80w</t>
        </is>
      </c>
      <c r="B8816" t="inlineStr">
        <is>
          <t>Final chemo treatment tomorrow</t>
        </is>
      </c>
      <c r="C8816" t="inlineStr">
        <is>
          <t>I'm 32 years old male, and fighting stage 2B invasive ductal carcinoma (breast cancer.... I won the backwards lottery
I was diagnosed 12/2/19.... I bought an actual lottery ticket after diagnosis to see if I could win another lottery lol... I didn't) 
Step 1 is done: mastectomy on right side (1/9/20)
4/4 treatments will have been finished tomorrow. (step 2 finishing up tomorrow)
Next I will be getting radiation (step 3 starting up tomorrow getting a CT scan and a "tattoo"/freckle on where to target the radiation... It is permanent along with a "sun tan")
Followed by a estrogen blocking pill for 5 years and occasional checkups. (Step 4)
I am about 2/4 (1/2) of the way done!!!</t>
        </is>
      </c>
      <c r="D8816" t="n">
        <v>5</v>
      </c>
      <c r="E8816" t="n">
        <v>11</v>
      </c>
      <c r="F8816">
        <f>HYPERLINK("https://www.reddit.com/r/cancer/comments/g2t80w/final_chemo_treatment_tomorrow/")</f>
        <v/>
      </c>
      <c r="G8816" t="inlineStr">
        <is>
          <t>2020-04-16 19:27:35</t>
        </is>
      </c>
      <c r="H8816" t="inlineStr"/>
    </row>
    <row r="8817">
      <c r="A8817" t="inlineStr">
        <is>
          <t>g2tnw7</t>
        </is>
      </c>
      <c r="B8817" t="inlineStr">
        <is>
          <t>is this it?</t>
        </is>
      </c>
      <c r="C8817" t="inlineStr">
        <is>
          <t xml:space="preserve">  
I don’t blame you.
I’ve allowed my depression to ruin me.
I’ve allowed my actions to destroy us. 
I love you and I always will.
I am deeply flawed. I look at the mess of things around me, I think about who I once was, who I have become, and who I want to be.  I’m ashamed of my lies and that I still feel weak to cigarettes at all. I can’t offer any excuses or real satisfying answers beyond this; I was a fool
I won’t pretend to know all the hell that you were forced to live through these years. Beyond the stresses at home, you have had (multiple) work-place fiascos to deal with. The people you are forced to spend your day with are consistently hate filled and negatively oriented. Being in those environments and coming home to different stresses and/or disregard for your desires is unrewarding.  
I struggle with the distance between us. I wanted to believe I had it within me to take the time and slowly allow you the chance to come back around and possibly find affection for me once again. Unfortunately, I am a big mess inside. I feel my time growing shorter and I feel the huge chasm between us and I just feel like it’s already over. 
I hate myself for ruining what little time I have left. 
I hate myself for the fact that my final days will be spent lonely and cut off from affection.
I hate myself for making you hate me. You were my best friend. I love you.
I’m sorry.
I wish you could see you the way I do. I wish I could just hold you. I miss you so goddam much. It drives me into a depression that consumes me. 
Regardless of anything else, I don’t blame you for not wanting to touch me. I can’t even stand to look at myself, why would I expect you to? 
This is selfish, and shitty and I know I shouldn’t put this on you, but it’s true. I want you to miss me when I’m gone.</t>
        </is>
      </c>
      <c r="D8817" t="n">
        <v>3</v>
      </c>
      <c r="E8817" t="n">
        <v>3</v>
      </c>
      <c r="F8817">
        <f>HYPERLINK("https://www.reddit.com/r/cancer/comments/g2tnw7/is_this_it/")</f>
        <v/>
      </c>
      <c r="G8817" t="inlineStr">
        <is>
          <t>2020-04-16 19:58:12</t>
        </is>
      </c>
      <c r="H8817" t="inlineStr"/>
    </row>
    <row r="8818">
      <c r="A8818" t="inlineStr">
        <is>
          <t>g2trky</t>
        </is>
      </c>
      <c r="B8818" t="inlineStr">
        <is>
          <t>Cording aka Axillary Web Syndrome help requested - how long post-op can I start exercises and stretching to help?</t>
        </is>
      </c>
      <c r="C8818" t="inlineStr">
        <is>
          <t>I am currently 2 weeks post lumpectomy, lymph node dissection, and breast reduction and experiencing worsening cording pain and restricted range of motion. I am scheduled to start radiation in 2 weeks, but being told that the cording issue may delay radiation treatment. I asked my oncology team what to do and they referred me to OT/PT, but the schedulers for OT/PT say they wont even hear back from their providers about if they can schedule me for at least two weeks due to Covid stuff. I let my oncology team know and they pretty much told me I am on my own. I have also contacted my plastic surgeon and was told to talk to my oncology team. I have done a lot of PT in my life as I grew up as an often injured athlete, so I am generally pretty comfortable with PT style exercises and not pushing too hard while injured. I found some good resources online for which exercises and stretches  to do.
My question is how soon after surgery were people advised to start gentle cording exercise and stretching?
Trust me, I am generally the first person to advise people to talk to their medical team, but my team is not willing/able to help me, so I am doing my best with the info I do have.</t>
        </is>
      </c>
      <c r="D8818" t="n">
        <v>1</v>
      </c>
      <c r="E8818" t="n">
        <v>2</v>
      </c>
      <c r="F8818">
        <f>HYPERLINK("https://www.reddit.com/r/cancer/comments/g2trky/cording_aka_axillary_web_syndrome_help_requested/")</f>
        <v/>
      </c>
      <c r="G8818" t="inlineStr">
        <is>
          <t>2020-04-16 20:05:01</t>
        </is>
      </c>
      <c r="H8818" t="inlineStr"/>
    </row>
    <row r="8819">
      <c r="A8819" t="inlineStr">
        <is>
          <t>g2u5nc</t>
        </is>
      </c>
      <c r="B8819" t="inlineStr">
        <is>
          <t>Fuck dexamethasone</t>
        </is>
      </c>
      <c r="C8819" t="inlineStr">
        <is>
          <t>I’m 15 all I want to do is sleep after 2 day’s of chemo but instead I’m sat here at 4:30am wide awake in between episodes of sleep paralysis.</t>
        </is>
      </c>
      <c r="D8819" t="n">
        <v>6</v>
      </c>
      <c r="E8819" t="n">
        <v>9</v>
      </c>
      <c r="F8819">
        <f>HYPERLINK("https://www.reddit.com/r/cancer/comments/g2u5nc/fuck_dexamethasone/")</f>
        <v/>
      </c>
      <c r="G8819" t="inlineStr">
        <is>
          <t>2020-04-16 20:31:58</t>
        </is>
      </c>
      <c r="H8819" t="inlineStr"/>
    </row>
    <row r="8820">
      <c r="A8820" t="inlineStr">
        <is>
          <t>g2uj8j</t>
        </is>
      </c>
      <c r="B8820" t="inlineStr">
        <is>
          <t>Care package for chemoradiation</t>
        </is>
      </c>
      <c r="C8820" t="inlineStr">
        <is>
          <t>My mother was recently confirmed to have Stage 3B lung adenocarcinoma. My mother family and I were heartbroken to hear the news but the oncologist says treatable and curable if my mom receives aggressive treatment which she is fortunately young and healthy enough to do. Still, nothing’s guaranteed and treatment will obviously take a tremendous toll on her.
My family and I are arranging a care package for her. 
If anyone is kind enough to suggest what a person going through chemoradiation could find comforting and get some joy from, I would greatly appreciate any suggestions!
This has really opened my eyes to the hardship of cancer... I really hope my family can help soften the blow for my mom.</t>
        </is>
      </c>
      <c r="D8820" t="n">
        <v>2</v>
      </c>
      <c r="E8820" t="n">
        <v>6</v>
      </c>
      <c r="F8820">
        <f>HYPERLINK("https://www.reddit.com/r/cancer/comments/g2uj8j/care_package_for_chemoradiation/")</f>
        <v/>
      </c>
      <c r="G8820" t="inlineStr">
        <is>
          <t>2020-04-16 20:58:32</t>
        </is>
      </c>
      <c r="H8820" t="inlineStr"/>
    </row>
    <row r="8821">
      <c r="A8821" t="inlineStr">
        <is>
          <t>g2upba</t>
        </is>
      </c>
      <c r="B8821" t="inlineStr">
        <is>
          <t>So, my dad has cancer</t>
        </is>
      </c>
      <c r="C8821" t="inlineStr">
        <is>
          <t>It's metastasized and is aggressive. The path isn't certain. This is basically the first night after we found out, but we both knew without having a doctor tell us considering the pain he's been in and how acute it is. As per usual with any dire situation in my life, like he taught me, I'm taking charge. However, all I can really think about right now is how fucking unfair it is for him. He worked his whole life, was a good person, and had strong convictions and is very principled. He's the kinda guy though, that gets the shitty end of the stick, and runs with it making money along the way and figuring everything out. He's older now though. He just wanted to settle down here and catch a few fish and arrowhead hunt with his granddaughter, my daughter. I hate that he's probably not going to see her grow up. I hate that when I was a teenager I thought I hated him because he was honest to a fault and told me the way life is. I hate that I was too busy with school and work for him. My life will be darker without him for a time. He's the only person I know that can truly look at me and know what I'm thinking and calls me out. Nobody is that honest. Sorry for the rant guys. I'm just really really fucking feeling it tonight. My heart is crushed. And I have to pull it together before the morning. Again, sorry guys.</t>
        </is>
      </c>
      <c r="D8821" t="n">
        <v>1</v>
      </c>
      <c r="E8821" t="n">
        <v>2</v>
      </c>
      <c r="F8821">
        <f>HYPERLINK("https://www.reddit.com/r/cancer/comments/g2upba/so_my_dad_has_cancer/")</f>
        <v/>
      </c>
      <c r="G8821" t="inlineStr">
        <is>
          <t>2020-04-16 21:09:54</t>
        </is>
      </c>
      <c r="H8821" t="inlineStr"/>
    </row>
    <row r="8822">
      <c r="A8822" t="inlineStr">
        <is>
          <t>g2vcd5</t>
        </is>
      </c>
      <c r="B8822" t="inlineStr">
        <is>
          <t>My nan is going to die and I’m scared I won’t make it through the loss</t>
        </is>
      </c>
      <c r="C8822" t="inlineStr">
        <is>
          <t>My nan was diagnosed with Terminal Cancer 2 years ago, the cancer was only small and she was offered surgery when they first found it, she never got the surgery because her sister insisted that she would die in the surgery and scared her so she wouldn’t, so she tossed up for 9 months.. her sisters convinced her to try all this natural stuff first knowing how much pain she was in and that it wasnt helping. She went through her first lot of Radiation, but after that they found a second cancer on her leg so she had a second go off radiation. Fast forward to now, there’s absolutely nothing they can do and the one in her legs has grown back and the other is still there but worse because it will never be gone. 
I visited her last week and she’s so sick. She’s barely awake, she keeps thinking I’m her mum that has passed away. She keeps telling me I’ll be okay, and when she looks at me on the odd occasion when she’s awake it’s like she’s looking through me instead. She can’t eat anymore and if she does it’s only a bite, she can’t take her tablets, she’s so confused. It’s so hard to watch.
She’s my best friend and losing her will be the hardest thing I have been through and I’m scared that I won’t make it through it. I’m so scared that I’ll fall back into my depression hard and I won’t make it out.
Pet of me doesn’t blame anyone but I can’t help but resent her sisters for putting so much fear in her head when she would be okay if she went through with it, I don’t know how to cope with this, I’m scared that it was my last goodbye</t>
        </is>
      </c>
      <c r="D8822" t="n">
        <v>1</v>
      </c>
      <c r="E8822" t="n">
        <v>1</v>
      </c>
      <c r="F8822">
        <f>HYPERLINK("https://www.reddit.com/r/cancer/comments/g2vcd5/my_nan_is_going_to_die_and_im_scared_i_wont_make/")</f>
        <v/>
      </c>
      <c r="G8822" t="inlineStr">
        <is>
          <t>2020-04-16 21:58:03</t>
        </is>
      </c>
      <c r="H8822" t="inlineStr"/>
    </row>
    <row r="8823">
      <c r="A8823" t="inlineStr">
        <is>
          <t>g2yrg4</t>
        </is>
      </c>
      <c r="B8823" t="inlineStr">
        <is>
          <t>Trigger warning: Some issues I've been having after my dads death</t>
        </is>
      </c>
      <c r="C8823" t="inlineStr">
        <is>
          <t>I lost my dad to stage four stomach cancer adenocarcinoma about 17 months ago. I just wanted to ask if anyone else experienced their loved one not have a peaceful death at all. My dad had a very slow, agonizing, horrible death and his last months in the hospital he suffered a lot. He was on tpn for about three months and then got taken off of it. He was intubated multiple times. He got sepsis after one chemo session so his kidney and liver failed and he never got a chance to fight the cancer. When he died he looked like a grey skeleton but with an enormous distended belly from the enormous tumors in there. His skin I remember had lots of black spots and his eyes looked so traumatized and wounded and devastated. I'll never forget the way he looked at me. Like the whole world was broken in front of his face. Like he was in a nightmare but trying to remain calm. My dad throughout hospice kept insisting he would get better so because of that they kept doing dialysis etc. He ended up getting delirium and psychosis a lot in the ICU and when it would finally break he would weep. And he would always ask me to please sneak him food or water cause he was so hungry and thirsty but the nurses said I couldnt cause he could aspirate it. One day they told us that they couldnt do dialysis anymore cause his body could no longer tolerate it. Then the monitors couldnt detect his blood pressure anymore and his heart stopped. And that's how he died. I still wonder if I did the wrong thing telling the nurses to listen to his wishes. Because maybe he was so far gone I should have told them what to do instead? Or if he was still communicating that did it mean he still has the right to make that call? And then part of me irrationally always thought that maybe a miracle would come and my dad would get better. But still I cant forget the way my father looked. The way his eyes spoke to me, the way he suffered, everything I saw. And I'm still angry at God for letting it happen, just watching it happen. My dad was only 53 and it took him in five months. I miss him so much, and I wish I could have rescued him.</t>
        </is>
      </c>
      <c r="D8823" t="n">
        <v>1</v>
      </c>
      <c r="E8823" t="n">
        <v>5</v>
      </c>
      <c r="F8823">
        <f>HYPERLINK("https://www.reddit.com/r/cancer/comments/g2yrg4/trigger_warning_some_issues_ive_been_having_after/")</f>
        <v/>
      </c>
      <c r="G8823" t="inlineStr">
        <is>
          <t>2020-04-17 02:34:04</t>
        </is>
      </c>
      <c r="H8823" t="inlineStr"/>
    </row>
    <row r="8824">
      <c r="A8824" t="inlineStr">
        <is>
          <t>g2yu8y</t>
        </is>
      </c>
      <c r="B8824" t="inlineStr">
        <is>
          <t>Anxiety</t>
        </is>
      </c>
      <c r="C8824" t="inlineStr">
        <is>
          <t>Did anyone else struggle with secere anxiety after getting a stage 4 diagnosis.
I am having anxiety attacks every day about the thought of dying, I cry every day and am making life miserable gor my partner. I'm absolutely terrified am lyingvin bed right now with the shakes. 
I just sent my oncologist an email to see if I can be put on any medication as I'm very worried about my mental health. Did anyone else out there experience this, how did you get through?</t>
        </is>
      </c>
      <c r="D8824" t="n">
        <v>3</v>
      </c>
      <c r="E8824" t="n">
        <v>20</v>
      </c>
      <c r="F8824">
        <f>HYPERLINK("https://www.reddit.com/r/cancer/comments/g2yu8y/anxiety/")</f>
        <v/>
      </c>
      <c r="G8824" t="inlineStr">
        <is>
          <t>2020-04-17 02:40:33</t>
        </is>
      </c>
      <c r="H8824" t="inlineStr"/>
    </row>
    <row r="8825">
      <c r="A8825" t="inlineStr">
        <is>
          <t>g30azo</t>
        </is>
      </c>
      <c r="B8825" t="inlineStr">
        <is>
          <t>Hospital steroids dosage mistake, already contacted a doctor but seeking second opinion</t>
        </is>
      </c>
      <c r="C8825" t="inlineStr">
        <is>
          <t>(So first of all, of course as the title reads - and as described in the latter part of this post - I have already talked to a doc so it's not like I'm using the internet as a substitute of professional help - but I'm just freaked out and looking for some reassurance from people who obviously have way more experience in the field)
My grandpa has undergone a brain tumor removal surgery 3 weeks ago and we got the histopathology results reading that they're not 100% sure and it is either a grade 3 anaplastic oligodendroglioma or glioblastoma and further genetic testing is needed. In the meantime however, they told him that after being discharged from the hospital, he's supposed to take 2mg Dexamethasone for three days, then 1mg for three days and then stop taking it. Grandpa used Dexamethasone they prescribed him during his previous hospital stay (at the neurology ward) which turned out to be... wrong.
So they mistakenly prescribed him 20mg tablets instead of 2mg ones which resulted in him taking 80mg a day instead of 8 for the 5 days between his neurology and neurosurgery hospital stays (which isn't that concerning cause he was at the neurosurgical ward for 11 days after that and they ran all the tests because he was there for his surgery so I guess no harm done) but it also resulted in grandpa taking _20_ mg for three days, then _10_ mg and then off instead of 2mg and 1mg respectively _after_ his last hospital stay. He's off the steroids his third day today and nothing bad happened apart from more tiredness, joint pain on the first day and slightly more problematic walking than when he was taking it so nothing drastic (problems with left side of the body was the reason he was being operated in the first place so it's not like it's something new) - but it still freaked me out that he was taking 10 times more than needed before going off the meds.
I called a neurosurgeon on duty in the hospital and they told me that while it certainly isn't ideal that he took those doses, if it's already his third day and these are the only symptoms he's experiencing than nothing bad should happen anymore and there's no need to take him anywhere or to give any medications. It reassured me of course but I'm still pretty panicked and it'd be good to get a second opinion - is it true that in that case, nothing bad should happen anymore since he's already on his third day off and nothing bad happened? Even though he went 20-20-20-10-10-10-0 instead of 2-2-2-1-1-1-0? No late symptoms or anything?</t>
        </is>
      </c>
      <c r="D8825" t="n">
        <v>1</v>
      </c>
      <c r="E8825" t="n">
        <v>3</v>
      </c>
      <c r="F8825">
        <f>HYPERLINK("https://www.reddit.com/r/cancer/comments/g30azo/hospital_steroids_dosage_mistake_already/")</f>
        <v/>
      </c>
      <c r="G8825" t="inlineStr">
        <is>
          <t>2020-04-17 04:36:03</t>
        </is>
      </c>
      <c r="H8825" t="inlineStr"/>
    </row>
    <row r="8826">
      <c r="A8826" t="inlineStr">
        <is>
          <t>g30h8t</t>
        </is>
      </c>
      <c r="B8826" t="inlineStr">
        <is>
          <t>How did you find out you have pancreatic cancer? What were the alarming symptoms that made you go to the doctor?</t>
        </is>
      </c>
      <c r="C8826" t="inlineStr">
        <is>
          <t>I’m doing a research for my college, a brief paragraph should do. Thank you so much, and best of wishes to all of you.</t>
        </is>
      </c>
      <c r="D8826" t="n">
        <v>1</v>
      </c>
      <c r="E8826" t="n">
        <v>3</v>
      </c>
      <c r="F8826">
        <f>HYPERLINK("https://www.reddit.com/r/cancer/comments/g30h8t/how_did_you_find_out_you_have_pancreatic_cancer/")</f>
        <v/>
      </c>
      <c r="G8826" t="inlineStr">
        <is>
          <t>2020-04-17 04:49:09</t>
        </is>
      </c>
      <c r="H8826" t="inlineStr"/>
    </row>
    <row r="8827">
      <c r="A8827" t="inlineStr">
        <is>
          <t>g31fir</t>
        </is>
      </c>
      <c r="B8827" t="inlineStr">
        <is>
          <t>Pain relief not working</t>
        </is>
      </c>
      <c r="C8827" t="inlineStr">
        <is>
          <t>We had the first visit from a district nurse today who has ordered dad a hospital bed to make him more comfortable. 
Of course, he wasn't too happy about it but didn't kick up a fuss. 
He's not eaten much again today. A couple of spoonfuls of cereal but his pain has been much worse. Only yesterday he was put on slow release morphine, paracetamol and oramorph if he needs it. Despite taking all this today the pain is still there and doesn't appear to be working. Pain is his chest and back now too, aswell as his pancreas and bowel. 
It's scary how quickly this is all happening.</t>
        </is>
      </c>
      <c r="D8827" t="n">
        <v>1</v>
      </c>
      <c r="E8827" t="n">
        <v>4</v>
      </c>
      <c r="F8827">
        <f>HYPERLINK("https://www.reddit.com/r/cancer/comments/g31fir/pain_relief_not_working/")</f>
        <v/>
      </c>
      <c r="G8827" t="inlineStr">
        <is>
          <t>2020-04-17 05:53:06</t>
        </is>
      </c>
      <c r="H8827" t="inlineStr"/>
    </row>
    <row r="8828">
      <c r="A8828" t="inlineStr">
        <is>
          <t>g320fd</t>
        </is>
      </c>
      <c r="B8828" t="inlineStr">
        <is>
          <t>How long did you guys need to stay in the low-bacterial diet after the last treatment?</t>
        </is>
      </c>
      <c r="C8828" t="inlineStr">
        <is>
          <t>I was told that the ballpark figure is around 3-6 months by my specialist but I want to know you guys' experience :)</t>
        </is>
      </c>
      <c r="D8828" t="n">
        <v>1</v>
      </c>
      <c r="E8828" t="n">
        <v>1</v>
      </c>
      <c r="F8828">
        <f>HYPERLINK("https://www.reddit.com/r/cancer/comments/g320fd/how_long_did_you_guys_need_to_stay_in_the/")</f>
        <v/>
      </c>
      <c r="G8828" t="inlineStr">
        <is>
          <t>2020-04-17 06:29:10</t>
        </is>
      </c>
      <c r="H8828" t="inlineStr"/>
    </row>
    <row r="8829">
      <c r="A8829" t="inlineStr">
        <is>
          <t>g33uxq</t>
        </is>
      </c>
      <c r="B8829" t="inlineStr">
        <is>
          <t>Getting pregnant</t>
        </is>
      </c>
      <c r="C8829" t="inlineStr">
        <is>
          <t>Looking for advice/personal experiences with getting pregnant and managing pregnancy as a survivor. I had ovarian cancer and underwent 3 rounds of non-platinum based chemo. I have 1 functioning but PCOS ovary according to my specialist. I have been in remission for almost 8 years. I am 26 now with new hypothyroidism (under control) and hope to get pregnant in the next 4 years. I appreciate your responses and hearing about your experiences!</t>
        </is>
      </c>
      <c r="D8829" t="n">
        <v>2</v>
      </c>
      <c r="E8829" t="n">
        <v>1</v>
      </c>
      <c r="F8829">
        <f>HYPERLINK("https://www.reddit.com/r/cancer/comments/g33uxq/getting_pregnant/")</f>
        <v/>
      </c>
      <c r="G8829" t="inlineStr">
        <is>
          <t>2020-04-17 08:12:38</t>
        </is>
      </c>
      <c r="H8829" t="inlineStr"/>
    </row>
    <row r="8830">
      <c r="A8830" t="inlineStr">
        <is>
          <t>g34jtm</t>
        </is>
      </c>
      <c r="B8830" t="inlineStr">
        <is>
          <t>Getting better once pain meds are sorted?</t>
        </is>
      </c>
      <c r="C8830" t="inlineStr">
        <is>
          <t>So for the last few days I've written a few posts about how my dad has deteriorated and that it was happening really quickly etc however...
We had the nurses out this morning to review his pain meds and he was advised to take more of the oral morphine. So slow releasing morphine 30mg and 20mg of the oral morphine. He has had a little sleep and now he seems much better! He seems like he much more awake, much more energy, obviously not in pain now. I can't believe it, he's like a different person since this morning. 
Is this the norm? Now his pain meds are under control is he likely to stay stable? Like I know it's a strange question because no one knows but has anyone else had any similar experience?</t>
        </is>
      </c>
      <c r="D8830" t="n">
        <v>1</v>
      </c>
      <c r="E8830" t="n">
        <v>4</v>
      </c>
      <c r="F8830">
        <f>HYPERLINK("https://www.reddit.com/r/cancer/comments/g34jtm/getting_better_once_pain_meds_are_sorted/")</f>
        <v/>
      </c>
      <c r="G8830" t="inlineStr">
        <is>
          <t>2020-04-17 08:49:34</t>
        </is>
      </c>
      <c r="H8830" t="inlineStr"/>
    </row>
    <row r="8831">
      <c r="A8831" t="inlineStr">
        <is>
          <t>g353ou</t>
        </is>
      </c>
      <c r="B8831" t="inlineStr">
        <is>
          <t>is this a sign of stomach cancer or a tumor?</t>
        </is>
      </c>
      <c r="C8831" t="inlineStr">
        <is>
          <t>Hi, I don’t know anything abt tumors or cancer so forgive me if I’m wrong. 
These past couple weeks, I’ve been feeling super bloated, like there’s a bunch of pressure right beo my bellybutton. Is it a sign of a tumour? It’s constant pressure, for the last couple weeks, kind of painful but mostly just pressure and ignorable.
(For context, I’m female, 16)</t>
        </is>
      </c>
      <c r="D8831" t="n">
        <v>0</v>
      </c>
      <c r="E8831" t="n">
        <v>7</v>
      </c>
      <c r="F8831">
        <f>HYPERLINK("https://www.reddit.com/r/cancer/comments/g353ou/is_this_a_sign_of_stomach_cancer_or_a_tumor/")</f>
        <v/>
      </c>
      <c r="G8831" t="inlineStr">
        <is>
          <t>2020-04-17 09:17:38</t>
        </is>
      </c>
      <c r="H8831" t="inlineStr"/>
    </row>
    <row r="8832">
      <c r="A8832" t="inlineStr">
        <is>
          <t>g35c0l</t>
        </is>
      </c>
      <c r="B8832" t="inlineStr">
        <is>
          <t>Something off my chest, have any of you experienced this?</t>
        </is>
      </c>
      <c r="C8832" t="inlineStr">
        <is>
          <t>I find that my personality as well as outlook on life / death has changed dramatically after being diagnosed with cancer. What are your experiences with this sort of thing?
TLDR at bottom. 
Background story:
worked my whole life to become a firefighter, got on to my first department where I was mainly looking to beef up my resume and apply to a bigger department after a few years in a full time position and gaining experience.
We Had 2 full time guys myself and my senior Man who had been working there for 25+ years, a true honest to God amazing man who would do anything to help anyone. A true fireman in every sense of the word.
He would only come back to work aprox 3 months after I started and got trained by a firefighter who was covering his position during his fight with cancer. I first met him one day with a chemo bottle still attached to him via this thin knitted bottle pouch his wife or daughter had made him. A few weeks later he was back on duty, still rocking his chemo bottle. I was not well versed in the world of cancer at this point so I didn't understand that him working with chemo was a big red flag. I slowly started to realize that things were fishy when Chris would tell me hey spoofyboy I'm a bit crippled today, think you can help me with X? my hands aren't working well or can you help with Y? My damn clumsy feet are keeping me from standing and walking properly. The reason he was still working was because he was out of money and had to work to save his house. I learned later that the firechief (his nephew) essentially said "well that sucks that you have cancer, come back to work when ever your better" and that was that. Used up all his sick time over the course of the year and a half before(+ a few months) I had arrived no support outside of sick time.
By his advice I applied and got into paramedic academy in another province after a few heart to hearts with him knowing that it would help my chances immensely to get into a bigger fire department later on down the road.
During my studies my gf saw a mark behind my ear that was growing rather "fast" and was also bi-colored and irregularly shaped. After a bit of nagging I finally agreed to go get it checked. Booked an appointment with a dermatologist who took a punch biopsy and I kinda left it there and continued on studying to be a medic. 
I got diagnosed with cancer as I was fresh out of school and working as a medic, got a call mid shift saying "you have stage 2 malignant melanoma, ... Cancer, I'm sorry" I was so numb, less than 10 minutes later we get a call and me and my partner do our thing. The entire time It was one of the weirdest feelings I've ever had, I was aware of what was going on. But everything was just blunted, dulled, no emotions just going through motions while essentially on auto pilot.
Got the appointment, had it excised and they sent the specimen away for further testing. The surgeon explained that I was on the border between stage 1 and stage 2 for Melanoma, the deciding factor being infiltration depth. 
During the whole thing and being a medic I started digging into melanoma as well as the stages to know what I was actually going through. I was talking to my senior Man from my old department he outside of my gf and best friend was the only other person that I talked to about even having cancer.
I then got the call that almost immediately made me throw up, I was on shift again when I was told  something along the lines of "hey so after inspecting the biopsy specimen you'll have to come back and get another surgery,  the cancer is deeper and wider spread than the original biopsy revealed" nothing really more than that now everything came rushing through my head, the location where the cancer was sitting was right above my lymph nodes, stage 2 wasn't deep enough to infiltrate but it was getting close. I just got told that it was deeper than previously thought. So the few weeks I had to wait before the next surgery were full of gut wrenching waiting to see if this meant that it had spread or whatever they were going to tell me.... Every scenario that was plausible went through my head.
The person I leaned into more than anyone else during this time was my senior Man. He had been in remission a few times but it kept metastasising after a few a few months post chemo and having him return to the fire hall. He was currently back on chemo at this point expecting to come to my town in the next few weeks for his next treatment. We had agreed on going for coffee and just chatting. This conversation happened around 5am while I was on shift and he was an early riser. I get a call around 1:00pm from a firefighter saying that Chris had passed that morning from complications of his cancer. He had developed some difficulties breathing, called an ambulance and unfortunately succame to his illness in route to the hospital. Next thing I knew it was night and I had not moved from my bed all day.
I reached out to another friend/mentor that had helped me with my journey into becoming a firefighter and had a heart to heart with once I had gotten my first diagnosis. I was at this point contemplating hanging up my helmet and changing career paths but I somehow managed to stay in EMS telling myself it would be selfish not to help other. After the passing of the only person I had confided so much to I tried reaching out to him again.  In short I said something along the lines of " hey so I got a call saying the cancer is actually alot worst then they had initially though, it's deeper and wider spread. And I just lost my senior Man (he being a firefighter could definitely relate to this) I am freaking out I don't know what to do and I'm fucking scared." His response was essentially "you're fine you got this" and that was that.
I just recently got my checkup done last month and they found 2 spots that they are going to keep an eye on. But nothing so far requiring interventions. 
I was 24 years old when I was diagnosed being one of the youngest my dermatologist has treated. It is highly unlikely to be able to prove but the thought is that I developed skin cancer as a result of improper safety measures from the fire department. Stuff like being forced to stay on the apparatus bay floor for the entire 8 hr shift from Monday to Friday. In most firehalls there are both clean and dirty areas in respect to fumes, off gassing gear, gas/hydraulic powered tools, generators, as well as the firetrucks themselves. After completing daily truck and equipment checks crews usually go to the clean side of the department (crew space) and do their duties, cooking, cleaning, reading Ect there. We were not allowed in the "clean" side of the department during out shift and were forced to stay marinating in hydrocarbon and carcinogens for the entirety of our shift minus a 30 minute lunch daily. 
I found out later that we were classified ad janitorial staff that were allowed to respond to calls during our shifts so we did not have proper insurance / life insurance coverage being such savjng the department money. 
I have officially made up my mind that I am leaving the fire service, had I been older and lived a good portion of my life prior to developing cancer I think I would have stayed but at 25 I cannot allow my life to be cut so drastically short if I were to develop cancer again (you're more likely to get melanoma if you've already had it as well as melanoma being one of the job related cancers found to be affecting a large number of firefighters) this means I am also giving up on my career that just started of being a paramedic. The primary reason I became a medic was to help my chances of being a firefighter and for the amazing knowledge that came along with being a licensed medic that will no doubt help me for the rest of my life. But it was never my intention to work as a full time permanent medic. It just lacked alot of what I truly wanted to do, most if not all of that was found on the fire side of the fence. 
After making this realisation I find it impossibly hard to see things in life like I use to before, I can't exactly place my finger on it but my outlook on life has completely shifted in some way. Life is more presious to me, both mine or others. I stop to think about what I'm doing or what effects I will have on my life before undertaking anything that may have a negative impact on my life or those around me. 
Here's the big kicker, I feel like my cancer wasn't even bad. I got diagnosed, got it excised, found more and got that excised there might be more because they are keeping an eye on it but I didn't even have to go through chemo, I didnt have to sit through months of agonizing pain, I did not lose control of my bodily functions I don't have any major deformities nor did I change what I am capable of doing in day to day life. 
Tldr:
Why do I feel this whole thing has changed me so much yet all that happened was a chunk of bad meat go sliced out of neck / head behind my ear. I feel as though I have no right to let this affect me this much after seeing what happens to some others during their fight with cancer. All things aside I am functioning at prettymuch at the same level now that I was before. I cannot shake the feeling that my outlook on life has changed drastically. I will really take a moment to think things through now before charging into certain situations. I feel like I can see pain in my patients that I could not see before. The subtle body language or the slight pauses before answering my questions during a medical call. These things cut deep where they uelse to roll off of me. Every call is now about the patient and who they are as a person not just patient with symptoms X and Y that needs treatment A and B before transport to hospital and then onto the next call. I am planning and trying to change my path in life to avoid getting cancer again (no longer applying or deloping myself to be a firefighter) and if I can find a way out of being a paramedic I think Il take the out in favour of something else. but while I'm amongst others in EMS I feel like I am seen as a coward or a quitter for trying to get out. I didn't have it bad enough to leave but it was bad enough to make me really think about what my life was worth and what I wanted to do and accomplish before I leave. This means putting almost 7 years of training in a lock box and not helping others with the skills I've honned and finetuned over the years. I can see no other term for this but quitter. 
What has your experience been during, before or after your fight with cancer? 
Has it changed your outlook on life / death? 
Has it changed how you plan on living your life? 
Bonus question: What can a paramedic/firefighter with 6 year experience in emergency medical services transition into for a new career path?</t>
        </is>
      </c>
      <c r="D8832" t="n">
        <v>4</v>
      </c>
      <c r="E8832" t="n">
        <v>8</v>
      </c>
      <c r="F8832">
        <f>HYPERLINK("https://www.reddit.com/r/cancer/comments/g35c0l/something_off_my_chest_have_any_of_you/")</f>
        <v/>
      </c>
      <c r="G8832" t="inlineStr">
        <is>
          <t>2020-04-17 09:29:40</t>
        </is>
      </c>
      <c r="H8832" t="inlineStr"/>
    </row>
    <row r="8833">
      <c r="A8833" t="inlineStr">
        <is>
          <t>g369y5</t>
        </is>
      </c>
      <c r="B8833" t="inlineStr">
        <is>
          <t>Stressed after completing treatment?</t>
        </is>
      </c>
      <c r="C8833" t="inlineStr">
        <is>
          <t>Hi! My name is Helen and I am a research coordinator for the Bounce Back Study at the Massachusetts General Hospital Cancer Center, an affiliate of Harvard Medical School. We are recruiting adolescent and young adults who were diagnosed with cancer (any type!) between the ages of 14-29, still fall within this age range, and have completed treatment in the past 5 years. Bounce Back is a **FREE virtual group-based stress management and resilience program** that takes place over 8-weeks. The goal of the program is to help young cancer survivors learn skills to cope with the stress and emotions that arise during the post treatment transition. Participants will be compensated up to $90 for their time. Please send me a message or email [mghbounceback@mgh.harvard.edu](mailto:mghbounceback@mgh.harvard.edu) if you are interested in learning more or have any questions 😊</t>
        </is>
      </c>
      <c r="D8833" t="n">
        <v>6</v>
      </c>
      <c r="E8833" t="n">
        <v>4</v>
      </c>
      <c r="F8833">
        <f>HYPERLINK("https://www.reddit.com/r/cancer/comments/g369y5/stressed_after_completing_treatment/")</f>
        <v/>
      </c>
      <c r="G8833" t="inlineStr">
        <is>
          <t>2020-04-17 10:19:42</t>
        </is>
      </c>
      <c r="H8833" t="inlineStr"/>
    </row>
    <row r="8834">
      <c r="A8834" t="inlineStr">
        <is>
          <t>g37i2f</t>
        </is>
      </c>
      <c r="B8834" t="inlineStr">
        <is>
          <t>F#ck cancer and how I deal with it.</t>
        </is>
      </c>
      <c r="C8834" t="inlineStr">
        <is>
          <t>With the extra time I have had on my hands, I have been stitching Voodoo Doll Cancer Cells.
This is how I take out my anger and rage.  I make them as something tangible to stab and abuse.
I hate how cancer doesn't care, and how hard it is to fight back after the losses and lasting damage.
The fight is real.
I have about 25 if someone wants one; I can support the USPS and send them out.  (No charge to U.S. addresses)
Take care of yourselves and loved ones!
https://preview.redd.it/exiba76w7ft41.jpg?width=3024&amp;amp;format=pjpg&amp;amp;auto=webp&amp;amp;s=9802f0930f11009c00d5e00df23f28acfd0db16e</t>
        </is>
      </c>
      <c r="D8834" t="n">
        <v>12</v>
      </c>
      <c r="E8834" t="n">
        <v>22</v>
      </c>
      <c r="F8834">
        <f>HYPERLINK("https://www.reddit.com/r/cancer/comments/g37i2f/fck_cancer_and_how_i_deal_with_it/")</f>
        <v/>
      </c>
      <c r="G8834" t="inlineStr">
        <is>
          <t>2020-04-17 11:23:02</t>
        </is>
      </c>
      <c r="H8834" t="inlineStr"/>
    </row>
    <row r="8835">
      <c r="A8835" t="inlineStr">
        <is>
          <t>g37tfh</t>
        </is>
      </c>
      <c r="B8835" t="inlineStr">
        <is>
          <t>My father lost the fight</t>
        </is>
      </c>
      <c r="C8835" t="inlineStr">
        <is>
          <t>He was diagnosed with salivary gland cancer about 1.5 year ago. After about 6 month he became cancer free.
But was diagnosed again with same cancer the next month.today at 6am he was declared dead by the hospital.
I don't know what to do.</t>
        </is>
      </c>
      <c r="D8835" t="n">
        <v>23</v>
      </c>
      <c r="E8835" t="n">
        <v>24</v>
      </c>
      <c r="F8835">
        <f>HYPERLINK("https://www.reddit.com/r/cancer/comments/g37tfh/my_father_lost_the_fight/")</f>
        <v/>
      </c>
      <c r="G8835" t="inlineStr">
        <is>
          <t>2020-04-17 11:39:55</t>
        </is>
      </c>
      <c r="H8835" t="inlineStr"/>
    </row>
    <row r="8836">
      <c r="A8836" t="inlineStr">
        <is>
          <t>g3aoux</t>
        </is>
      </c>
      <c r="B8836" t="inlineStr">
        <is>
          <t>Secondary liver &amp;amp; lung cancer nets found</t>
        </is>
      </c>
      <c r="C8836" t="inlineStr">
        <is>
          <t>I would really like some advise please. I had triple negative breast cancer last may. Have just had PET/CT scan and it’s picked up my breast cancer has come back, also back under my arm. I have it under my breast bone too. The scan picked up multiple small
mets in my lungs. Finally I have a 1cm met in my liver. I cannot have normal chemo as I am too poorly. I am
going to be on chemo tablets called capicitabine, I go next Wednesday for tests then get the tablets on Thursday. I have been told if I don’t have the tablets then I will only have 6 months, with the tablets 12-18 months. So I defeated have to try the tablets. Does anyone know which is my most aggressive cancer? The trouble is I have lots of underlying health conditions and feel ill all the time, struggle with everything at the moment. It’s such a lot to take in at the moment. Has anyone had any experience of these chemo tablets? It’s all made worse by just having phone consultations rather than actual appointments. I don’t like to keep bothering them right now. Thank you in advance for any thoughts or help.</t>
        </is>
      </c>
      <c r="D8836" t="n">
        <v>2</v>
      </c>
      <c r="E8836" t="n">
        <v>8</v>
      </c>
      <c r="F8836">
        <f>HYPERLINK("https://www.reddit.com/r/cancer/comments/g3aoux/secondary_liver_lung_cancer_nets_found/")</f>
        <v/>
      </c>
      <c r="G8836" t="inlineStr">
        <is>
          <t>2020-04-17 14:15:23</t>
        </is>
      </c>
      <c r="H8836" t="inlineStr"/>
    </row>
    <row r="8837">
      <c r="A8837" t="inlineStr">
        <is>
          <t>g3bq2q</t>
        </is>
      </c>
      <c r="B8837" t="inlineStr">
        <is>
          <t>Dad was told he has 6 months today.</t>
        </is>
      </c>
      <c r="C8837" t="inlineStr">
        <is>
          <t>Title. Cross-posting with r/lymphoma bc lost. He got diagnosed in July with stage 4 Mantle Cell Lymphoma. He has tried all of the available options and got really close to having a bone marrow transplant around December but it aggressively took over in the three weeks between the PET scan and the anticipated bone marrow transplant. My brother got approved as a donor two months ago but it all seems out the window now. Although they said they will try one last chemo medicine that is available but they aren’t hopeful.   
My mom is his primary care taker. But my brother and I live close by.  
How do I support him? Especially during COVID? I don’t even know what to think/feel right now and have no idea how to navigate this situation. I have never dealt with the death of a close family member.</t>
        </is>
      </c>
      <c r="D8837" t="n">
        <v>2</v>
      </c>
      <c r="E8837" t="n">
        <v>8</v>
      </c>
      <c r="F8837">
        <f>HYPERLINK("https://www.reddit.com/r/cancer/comments/g3bq2q/dad_was_told_he_has_6_months_today/")</f>
        <v/>
      </c>
      <c r="G8837" t="inlineStr">
        <is>
          <t>2020-04-17 15:12:21</t>
        </is>
      </c>
      <c r="H8837" t="inlineStr"/>
    </row>
    <row r="8838">
      <c r="A8838" t="inlineStr">
        <is>
          <t>g3c492</t>
        </is>
      </c>
      <c r="B8838" t="inlineStr">
        <is>
          <t>Nervous About Radiation Therapy Next Week</t>
        </is>
      </c>
      <c r="C8838" t="inlineStr">
        <is>
          <t>Hi guys I’m new to reddit so I’m not sure how to go about this, I was diagnosed with B Cell Follicular Lymphoma in January. I’m a 24 year old male who was relatively healthy for his age so this came as a bit of a shock to me but I’ve always been a “it is what it is” type of person so I rolled with the punches and have tried to stay positive for the most part. Luckily for me I’ve always been OCD and would always check my lymph nodes to see if they were swollen one day in the shower and sure enough there a lump in my left armpit. Fast forward a couple months after CT Scans and a Needle Biopsy and i was diagnosed. Since I caught it myself really early doctors say I’m at Stage 1 and that it has not spread to any other area or lymph node and it has not spread to the bone marrow as well which is good news they tell me. I am now going to start radiation therapy next week for 15 sessions and I’m a bit worried as to what to expect. I will only be receiving the radiation in my left armpit. How will it affect me? Will I feel like crap? Will it burn while I’m being treated? Any info or experiences would be extremely appreciated. Just need to talk to someone who’s been through this.</t>
        </is>
      </c>
      <c r="D8838" t="n">
        <v>2</v>
      </c>
      <c r="E8838" t="n">
        <v>14</v>
      </c>
      <c r="F8838">
        <f>HYPERLINK("https://www.reddit.com/r/cancer/comments/g3c492/nervous_about_radiation_therapy_next_week/")</f>
        <v/>
      </c>
      <c r="G8838" t="inlineStr">
        <is>
          <t>2020-04-17 15:34:03</t>
        </is>
      </c>
      <c r="H8838" t="inlineStr"/>
    </row>
    <row r="8839">
      <c r="A8839" t="inlineStr">
        <is>
          <t>g3ce3a</t>
        </is>
      </c>
      <c r="B8839" t="inlineStr">
        <is>
          <t>How to Cope Waiting Longer For Cancer Diagnosis? (COVID19)</t>
        </is>
      </c>
      <c r="C8839" t="inlineStr">
        <is>
          <t>Hi to everyone reading this, I hope you're all doing well and staying safe! 
I just need to share this with someone...
Three months ago I started having heavy rectal bleeding (3-4 spoons a time) I lost a stone and half (21lbs) in a month and had stomach pain... Fast forward through examinations and I was booked for an urgent colonoscopy (NHS -UK)- bowel cancer was mentioned as a moderate possibility.
Unfortunately due to COVID19 it was cancelled. Since then everything has gotten worse and this morning I went for a wee and about a cup full of bloody slime came out unexpectedly (sorry so horrible) later on tonight I've spent 45 minutes passing just stool with blood in agony. 
I've also found out that my grandad has yesterday been admitted to hospital for an emergency blood transfusion (bleeding profusely from rectum) they suspect late stage bowel cancer. 
I'm losing my mind, I'm only 26 (27 next week alone in lockdown) and I just don't know what to do at all. I have no idea when I'll find out what's going on and have been struggling mentally, if it's cancer I'd rather just know and deal with it sooner rather than later but the NHS can't tell me when they'll be allowed to resume procedures...
Can anyone please offer advice or is anyone else waiting for tests? 
Thank you so so much ❤️</t>
        </is>
      </c>
      <c r="D8839" t="n">
        <v>3</v>
      </c>
      <c r="E8839" t="n">
        <v>11</v>
      </c>
      <c r="F8839">
        <f>HYPERLINK("https://www.reddit.com/r/cancer/comments/g3ce3a/how_to_cope_waiting_longer_for_cancer_diagnosis/")</f>
        <v/>
      </c>
      <c r="G8839" t="inlineStr">
        <is>
          <t>2020-04-17 15:49:35</t>
        </is>
      </c>
      <c r="H8839" t="inlineStr"/>
    </row>
    <row r="8840">
      <c r="A8840" t="inlineStr">
        <is>
          <t>g3cynr</t>
        </is>
      </c>
      <c r="B8840" t="inlineStr">
        <is>
          <t>Lost my cousin - looking for a foundation to donate to</t>
        </is>
      </c>
      <c r="C8840" t="inlineStr">
        <is>
          <t>My 23 year old cousin just lost a 2-year battle with an aggressive form of testicular cancer. This was devastating for our family, especially during this pandemic when we can't all be together to grieve. I'm trying to find ways to help my family, and my aunt asked me if I could find a foundation or organization that we could donate to in his memory. Does anyone here have any recommendations for an awareness fund or something similar that specializes in rare and aggressive forms of testicular cancer? TIA</t>
        </is>
      </c>
      <c r="D8840" t="n">
        <v>1</v>
      </c>
      <c r="E8840" t="n">
        <v>4</v>
      </c>
      <c r="F8840">
        <f>HYPERLINK("https://www.reddit.com/r/cancer/comments/g3cynr/lost_my_cousin_looking_for_a_foundation_to_donate/")</f>
        <v/>
      </c>
      <c r="G8840" t="inlineStr">
        <is>
          <t>2020-04-17 16:21:58</t>
        </is>
      </c>
      <c r="H8840" t="inlineStr"/>
    </row>
    <row r="8841">
      <c r="A8841" t="inlineStr">
        <is>
          <t>g3ddo0</t>
        </is>
      </c>
      <c r="B8841" t="inlineStr">
        <is>
          <t>Seeing your dad dying of cancer is the worst</t>
        </is>
      </c>
      <c r="C8841" t="inlineStr">
        <is>
          <t>We've been giving him morphine every 4 hours but he seems to be suffering... I wish he would stop suffering. This is the worst experience I've ever had in my life. All the years when I was younger asking my dad to stop smoking and he said he would stop tomorrow never happened... he went on with it and went all the way to stage 4 cancer. I even crushed the cigarettes and threw them away but he continued when I was younger and gave up. I'm sad and angry at the same time... this sucks :(</t>
        </is>
      </c>
      <c r="D8841" t="n">
        <v>3</v>
      </c>
      <c r="E8841" t="n">
        <v>11</v>
      </c>
      <c r="F8841">
        <f>HYPERLINK("https://www.reddit.com/r/cancer/comments/g3ddo0/seeing_your_dad_dying_of_cancer_is_the_worst/")</f>
        <v/>
      </c>
      <c r="G8841" t="inlineStr">
        <is>
          <t>2020-04-17 16:46:31</t>
        </is>
      </c>
      <c r="H8841" t="inlineStr"/>
    </row>
    <row r="8842">
      <c r="A8842" t="inlineStr">
        <is>
          <t>g3ep3i</t>
        </is>
      </c>
      <c r="B8842" t="inlineStr">
        <is>
          <t>Liver Cancer and Family</t>
        </is>
      </c>
      <c r="C8842" t="inlineStr">
        <is>
          <t>My father, whom I love very much, has stage 3 liver cancer. I'm not sure how to cope with the uncertainty. I'm not sure how to discuss dying with him because he doesn't want to acknowledge his emotions. I'm worried sick not knowing if he'll be okay. Can someone give me advice? He just finished his first TACE procedure and will be starting on Sorafenib soon. Is there anyone out there in the same boat?</t>
        </is>
      </c>
      <c r="D8842" t="n">
        <v>0</v>
      </c>
      <c r="E8842" t="n">
        <v>0</v>
      </c>
      <c r="F8842">
        <f>HYPERLINK("https://www.reddit.com/r/cancer/comments/g3ep3i/liver_cancer_and_family/")</f>
        <v/>
      </c>
      <c r="G8842" t="inlineStr">
        <is>
          <t>2020-04-17 18:10:05</t>
        </is>
      </c>
      <c r="H8842" t="inlineStr"/>
    </row>
    <row r="8843">
      <c r="A8843" t="inlineStr">
        <is>
          <t>g3h5nj</t>
        </is>
      </c>
      <c r="B8843" t="inlineStr">
        <is>
          <t>The thought of my dad having cancer is killing me.</t>
        </is>
      </c>
      <c r="C8843" t="inlineStr">
        <is>
          <t>A few weeks ago we discovered that my dad had two tumors in his abdomen and needed surgery. One was 17 cm, one 10 cm and one  1cm polyp.  Together with them they removed 3 foot portion of his colon.
The histopathology results came back as mucinous  and tubular adenocarcinoma . I am translating this from a different language so bare with me. It sais there are tumoral emboli present in the regional lymphatic system but not in the venous system.  What does this even mean?
Also they removed 55 regional lymphnodes. 8 of them have adenocarcinoma methastases. 
Anyone have a similar story? I live in a different country than him now and going crazy, thinking if I should move back? Now with this quarantine i dont even know if that’s possible. 
My dad just turned 60 and found out he has cancer the next day after his birthday. 
He had a CT and they said his lungs are ok and they sent him to a cardiologist.  He also started chemotherapy.
His mom had colonic tumor and had it removed about 20 years ago but doesn’t remember what kind it was. His brother died of cancer at age 35. 
I feel lost. I don’t want to loose him.</t>
        </is>
      </c>
      <c r="D8843" t="n">
        <v>2</v>
      </c>
      <c r="E8843" t="n">
        <v>1</v>
      </c>
      <c r="F8843">
        <f>HYPERLINK("https://www.reddit.com/r/cancer/comments/g3h5nj/the_thought_of_my_dad_having_cancer_is_killing_me/")</f>
        <v/>
      </c>
      <c r="G8843" t="inlineStr">
        <is>
          <t>2020-04-17 20:59:48</t>
        </is>
      </c>
      <c r="H8843" t="inlineStr"/>
    </row>
    <row r="8844">
      <c r="A8844" t="inlineStr">
        <is>
          <t>g3i9kg</t>
        </is>
      </c>
      <c r="B8844" t="inlineStr">
        <is>
          <t>Immune discovery ‘may treat all cancer’</t>
        </is>
      </c>
      <c r="C8844" t="inlineStr">
        <is>
          <t>New discovery on how cancer can be treated check it out below . 
 [https://globalhealthdrugs.com/immune-discovery-may-treat-all-cancer/](https://globalhealthdrugs.com/immune-discovery-may-treat-all-cancer/)</t>
        </is>
      </c>
      <c r="D8844" t="n">
        <v>1</v>
      </c>
      <c r="E8844" t="n">
        <v>3</v>
      </c>
      <c r="F8844">
        <f>HYPERLINK("https://www.reddit.com/r/cancer/comments/g3i9kg/immune_discovery_may_treat_all_cancer/")</f>
        <v/>
      </c>
      <c r="G8844" t="inlineStr">
        <is>
          <t>2020-04-17 22:28:48</t>
        </is>
      </c>
      <c r="H8844" t="inlineStr"/>
    </row>
    <row r="8845">
      <c r="A8845" t="inlineStr">
        <is>
          <t>g3i9x7</t>
        </is>
      </c>
      <c r="B8845" t="inlineStr">
        <is>
          <t>FUCK CANCER!</t>
        </is>
      </c>
      <c r="C8845" t="inlineStr">
        <is>
          <t>FUCK THIS STUPID FUCKING DISEASE!!!! It took my beautiful mother away from me... I miss her SOO much :(</t>
        </is>
      </c>
      <c r="D8845" t="n">
        <v>5</v>
      </c>
      <c r="E8845" t="n">
        <v>18</v>
      </c>
      <c r="F8845">
        <f>HYPERLINK("https://www.reddit.com/r/cancer/comments/g3i9x7/fuck_cancer/")</f>
        <v/>
      </c>
      <c r="G8845" t="inlineStr">
        <is>
          <t>2020-04-17 22:29:37</t>
        </is>
      </c>
      <c r="H8845" t="inlineStr"/>
    </row>
    <row r="8846">
      <c r="A8846" t="inlineStr">
        <is>
          <t>g3iwet</t>
        </is>
      </c>
      <c r="B8846" t="inlineStr">
        <is>
          <t>My best friend (15 f) is in her final days against GBM</t>
        </is>
      </c>
      <c r="C8846" t="inlineStr">
        <is>
          <t>I'm so exhausted and sad that I don't have a ton of energy to write this, so basically here's what happened: December 2016 she was diagnosed with glioblastoma. January 2019 she relapsed, but it was small. July 2019 we found out that her tumor was back yet again, and this time it was inoperable. She was on chemo for a while, but that stopped working so they tried a different chemo, but it began not working and was causing my best friend to be in pain and discomfort. Tuesday before last her parents made the difficult decision to cut her chemo. We have no idea how long we have left, but not much time. I love her like a sister, and I don't know what I'm going to do without her. She completes me. I don't mean for that to sound strange, but it is amazing the effect your best friend has on your life. Now I'm going to have to finish growing up without her, but every step of the way will be for her. When I graduate high school, it will be for her as well. I'll be walking across that stage for the both of us. Like the song Long Live The Queen says, I'll be dancing for the two of us. I just don't know how to process this grief. I need to be around people and get my mind off of it, but we are in quarantine, forcing me to process and go through this almost all by myself. This year I really started breaking out of my shell, but after this sudden sharp decline, I feel myself becoming more and more reserved. I'm a generally quiet person, but I just don't really even feel up to conversation with other people other than her and our other mutual best friend at the moment. It is hard to make myself get out of bed in the mornings. I don't want to lose my best friend. But she is dying, and there is nothing I can do to stop it.</t>
        </is>
      </c>
      <c r="D8846" t="n">
        <v>1</v>
      </c>
      <c r="E8846" t="n">
        <v>2</v>
      </c>
      <c r="F8846">
        <f>HYPERLINK("https://www.reddit.com/r/cancer/comments/g3iwet/my_best_friend_15_f_is_in_her_final_days_against/")</f>
        <v/>
      </c>
      <c r="G8846" t="inlineStr">
        <is>
          <t>2020-04-17 23:24:14</t>
        </is>
      </c>
      <c r="H8846" t="inlineStr"/>
    </row>
    <row r="8847">
      <c r="A8847" t="inlineStr">
        <is>
          <t>g3j137</t>
        </is>
      </c>
      <c r="B8847" t="inlineStr">
        <is>
          <t>Learn about brain meta for my mom any happy story to related ?</t>
        </is>
      </c>
      <c r="C8847" t="inlineStr">
        <is>
          <t>Hello 
She was operated a year ago from a lung cancer and now she have a meta in her brain ...
She will be operated in 2 weeks because she only got one meta wish is a good news. Next she will get a new treatement
I feel depressed ... but i'm optimist .
Ho do you deal with that when you the son ? 
Do you know some story who get better ? 
Thanks 
( sorry for my english i did my best )</t>
        </is>
      </c>
      <c r="D8847" t="n">
        <v>1</v>
      </c>
      <c r="E8847" t="n">
        <v>6</v>
      </c>
      <c r="F8847">
        <f>HYPERLINK("https://www.reddit.com/r/cancer/comments/g3j137/learn_about_brain_meta_for_my_mom_any_happy_story/")</f>
        <v/>
      </c>
      <c r="G8847" t="inlineStr">
        <is>
          <t>2020-04-17 23:35:55</t>
        </is>
      </c>
      <c r="H8847" t="inlineStr"/>
    </row>
    <row r="8848">
      <c r="A8848" t="inlineStr">
        <is>
          <t>g3k9qh</t>
        </is>
      </c>
      <c r="B8848" t="inlineStr">
        <is>
          <t>Possibility of the return of melanoma is driving me f**** crazy.</t>
        </is>
      </c>
      <c r="C8848" t="inlineStr">
        <is>
          <t>I removed a huge mole in 2018 and it was melanoma, already in the second or third stage. I was VERY lucky and, despite having a piece of my back removed, at the time all the various exams I did pointed out that it had ended there.
Since then I have felt strange shocks in my body, sensations that feel like pinches or needles and I almost flare up every time I notice a new mole. I dream about it at least 4 times a week.
Now one around my neck seems strange to me and, due to the pandemic, I will only have a new non-emergency appointment in October. I can't explain it but the feeling I have is that it will still kill me someday.. And I don't even know how to prevent myself! I do everything the doctors tell me but sometimes it seems that they are sloppy or just don't care. They hardly look at the suspicious spots I point and they usually take 5 seconds to look at the exams I do.</t>
        </is>
      </c>
      <c r="D8848" t="n">
        <v>1</v>
      </c>
      <c r="E8848" t="n">
        <v>2</v>
      </c>
      <c r="F8848">
        <f>HYPERLINK("https://www.reddit.com/r/cancer/comments/g3k9qh/possibility_of_the_return_of_melanoma_is_driving/")</f>
        <v/>
      </c>
      <c r="G8848" t="inlineStr">
        <is>
          <t>2020-04-18 01:35:29</t>
        </is>
      </c>
      <c r="H8848" t="inlineStr"/>
    </row>
    <row r="8849">
      <c r="A8849" t="inlineStr">
        <is>
          <t>g3ouu4</t>
        </is>
      </c>
      <c r="B8849" t="inlineStr">
        <is>
          <t>Dad has pancreatic cancer and im running his business for him</t>
        </is>
      </c>
      <c r="C8849" t="inlineStr">
        <is>
          <t>Won't bore you with a long backstory but my dad went jaundice about a month ago, lost all his energy (he's one of those never stop, never complain guys) he ended up getting a diagnosis after a month of waiting (covid-19 and Canada's slow system) 4cm lump on his pancreas. My dad taught me my trade, me and my brother apprenticed with him for 5 years and both now have our own businesses and have been in the industry for 10 years. He's a shell of his former self and now both me and my brother are taking care of all his clients and giving him all the money. Im really stressed out about this because im losing clients trying to pay my father's bills and I have a family to take care of as well, we haven't discussed how long this would go on for but it seem indefinitely ATM.  We work in the horse industry so his clients are basically friends  and he's a very popular guy. My problem is my dad wants me to keep a positive front up for all of our clients and most of the family as well. Im struggling to come up with a positive spin on the whole ordeal. Does anyone have any suggestions on things that maybe you say to people? im hoping to have something to say that I can convince myself is true. Thanks for taking to the time to read</t>
        </is>
      </c>
      <c r="D8849" t="n">
        <v>1</v>
      </c>
      <c r="E8849" t="n">
        <v>10</v>
      </c>
      <c r="F8849">
        <f>HYPERLINK("https://www.reddit.com/r/cancer/comments/g3ouu4/dad_has_pancreatic_cancer_and_im_running_his/")</f>
        <v/>
      </c>
      <c r="G8849" t="inlineStr">
        <is>
          <t>2020-04-18 08:00:39</t>
        </is>
      </c>
      <c r="H8849" t="inlineStr"/>
    </row>
    <row r="8850">
      <c r="A8850" t="inlineStr">
        <is>
          <t>g3qveu</t>
        </is>
      </c>
      <c r="B8850" t="inlineStr">
        <is>
          <t>Not sure if I’m grieving properly</t>
        </is>
      </c>
      <c r="C8850" t="inlineStr">
        <is>
          <t>My 33 year old wife and mother of my children (1 and 4) passed away earlier this week after a long battle with cancer. 
I feel like I grieved so much prior to her passing knowing that I’d be left without her and being a single dad that now that she’s passed, I’m doing okay now. Like, I’ve already gone through most of the grieving stages already and I don’t know if that’s normal. I think it’s because I know she’s no longer in pain. 
Can anyone relate? It’s a very weird feeling.</t>
        </is>
      </c>
      <c r="D8850" t="n">
        <v>14</v>
      </c>
      <c r="E8850" t="n">
        <v>56</v>
      </c>
      <c r="F8850">
        <f>HYPERLINK("https://www.reddit.com/r/cancer/comments/g3qveu/not_sure_if_im_grieving_properly/")</f>
        <v/>
      </c>
      <c r="G8850" t="inlineStr">
        <is>
          <t>2020-04-18 10:01:30</t>
        </is>
      </c>
      <c r="H8850" t="inlineStr"/>
    </row>
    <row r="8851">
      <c r="A8851" t="inlineStr">
        <is>
          <t>g3r9sx</t>
        </is>
      </c>
      <c r="B8851" t="inlineStr">
        <is>
          <t>The Experience of Dying?</t>
        </is>
      </c>
      <c r="C8851" t="inlineStr">
        <is>
          <t>Hello! I'm a writer and I am currently writing this huge piece In which a main character has a terminal illness and is in the last leg of his life after ending treatment. I suffered from an aging condition as a kid and I have NEVER seen my illness accurately depicted in the media, so I really want to do this justice. I would like to hear just about anything and everything about life after stopping treatment, from the emotional turmoil, to the physical feelings, to distinctive memories. Anything helps. I really hope that this isn't offensive and I mean absolutely no harm, I really just want this piece to be as respectful as possible and not glorify dying or paint it in an unrealistic melodramatic light.</t>
        </is>
      </c>
      <c r="D8851" t="n">
        <v>2</v>
      </c>
      <c r="E8851" t="n">
        <v>1</v>
      </c>
      <c r="F8851">
        <f>HYPERLINK("https://www.reddit.com/r/cancer/comments/g3r9sx/the_experience_of_dying/")</f>
        <v/>
      </c>
      <c r="G8851" t="inlineStr">
        <is>
          <t>2020-04-18 10:24:48</t>
        </is>
      </c>
      <c r="H8851" t="inlineStr"/>
    </row>
    <row r="8852">
      <c r="A8852" t="inlineStr">
        <is>
          <t>g3sbrc</t>
        </is>
      </c>
      <c r="B8852" t="inlineStr">
        <is>
          <t>Recommendations for a cancer patient with a sore mouth</t>
        </is>
      </c>
      <c r="C8852" t="inlineStr">
        <is>
          <t>My mom is going through cancer treatment, it's a strong course of chemo as she was diagnosed with stage 4. Shes nearing the end of her treatment but her mouth has become increasingly sensitive and she cries while brushing her teeth because of the mint/menthol. We have a good mouthwash for her but it only helps so much. 
Any recommendations for a good toothpaste? I told her to use coconut oil or a kids toothpaste but I want to see if theres any other options for her. Thank you!</t>
        </is>
      </c>
      <c r="D8852" t="n">
        <v>2</v>
      </c>
      <c r="E8852" t="n">
        <v>22</v>
      </c>
      <c r="F8852">
        <f>HYPERLINK("https://www.reddit.com/r/cancer/comments/g3sbrc/recommendations_for_a_cancer_patient_with_a_sore/")</f>
        <v/>
      </c>
      <c r="G8852" t="inlineStr">
        <is>
          <t>2020-04-18 11:26:20</t>
        </is>
      </c>
      <c r="H8852" t="inlineStr"/>
    </row>
    <row r="8853">
      <c r="A8853" t="inlineStr">
        <is>
          <t>g3uf4q</t>
        </is>
      </c>
      <c r="B8853" t="inlineStr">
        <is>
          <t>There's no shame in dying</t>
        </is>
      </c>
      <c r="C8853" t="inlineStr">
        <is>
          <t>Diagnosed with POF (premature ovarian failure) Dec of 2019. Kinda didn't care. It's nice knowing I can't have kids and possibly fuck up another person's consciousness. If anything I'm forced to attach meaning to my life in a different way than most other people. 
And then January hit and I found out I had ovarian cancer. It's pretty benign, and it's killing me softly.
I've thrown the towel in for many reasons, one reason because of my lack of health insurance. Another because I just don't have the resources to deal with it, other than to make the ailments more tolerable. 
I had a conversation about it with someone today- that I'm not close with. And they said I was giving up. I wasn't? If anything I'm taking my losses pretty gracefully. I'm trying to live peacefully, and to fill the earth with love. I get really sad as I'm just 20 years of age. And I know I won't get to experience a lot. And it's just a lonely experience to know you're dying. 
But I greet death like an old friend. It's enriched my life with gratitude. And I realize more now than ever what's important. 
&amp;amp;#x200B;
Thanks.</t>
        </is>
      </c>
      <c r="D8853" t="n">
        <v>2</v>
      </c>
      <c r="E8853" t="n">
        <v>4</v>
      </c>
      <c r="F8853">
        <f>HYPERLINK("https://www.reddit.com/r/cancer/comments/g3uf4q/theres_no_shame_in_dying/")</f>
        <v/>
      </c>
      <c r="G8853" t="inlineStr">
        <is>
          <t>2020-04-18 13:27:59</t>
        </is>
      </c>
      <c r="H8853" t="inlineStr"/>
    </row>
    <row r="8854">
      <c r="A8854" t="inlineStr">
        <is>
          <t>g3xtq9</t>
        </is>
      </c>
      <c r="B8854" t="inlineStr">
        <is>
          <t>My Mom died of Leukemia (Acute Lymphoblastic leukemia to be exact) and I just wanted to share her story</t>
        </is>
      </c>
      <c r="C8854" t="inlineStr">
        <is>
          <t>My Mother was 53 when she was diagnosed with Leukemia in 2016. It started with her feeling poorly and not being able to walk long distances without becoming short of breath. She had always struggled with being overweight and we all figured that she was feeling the effects of obesity.
However, in mid August she developed a strange rash on her leg that wouldn't go away. She decided to go to urgent care because she thought she had an allergy to a new lotion she had been using. She even had plans for lunch afterward with friends and didn't think that this was a big deal. 
The doctor then decided to do a full work up after hearing about her recent difficulties with her health.
By that afternoon, she was in an  Ambulance on it's way to the nearest Hospital that had the capability to deal with what they found in her bloodwork (We live in a rural area with only a small hospital)
By the next morning we had a diagnosis of Acute Lymphoblastic Leukemia
The year that followed was of course, a struggle for my Mother. She got extremely sick from her treatments and was always exhausted. Her appetite was extremely diminished, she lost weight and of course her hair. Her personality went from vivacious and involved to tired and depressed. We all struggled to cope with her illness, but we all thought that there was a light at the end of the tunnel and that this was a passing disease that it would eventually go into remission. That wouldn't be the case.
We found out that my Aunt was eligible to donate her bone marrow to my Mom in December, which meant that she had to go to Denver CO and live there for 3 months during the recovery process so that she could be closer to her Doctor and be sure that the marrow would take. The procedure was done and she was moved into a special apartment complex in Denver. Her sisters and my family all took turns driving to Denver (an 8 hour drive for my family) to rotate staying with her during this time, as she was very weak and needed constant help with her eating, bathing etc...
My Dad runs his own business and was under constant stress as he had to balance working to support us and trying to be there for my Mom. I traveled there as much as my work would allow, but admittedly I wish now that I would have gone more to see her, but I struggled with seeing my Mom that way. It guilts me to this day.
Eventually, she was released back home under a strict diet and a new lifestyle. She was to keep our home extremely sanitary, as she was more susceptible to illnesses and diseases at that time due to her recent transplant. It was wonderful to have her back home! She still wasn't back to her old self of course, but seemed a little more hopeful about her situation and happy to be home.
3 months later, she fell. It wasn't a hard fall but hurt enough that she had to go to the Doctor. Once there, they discovered that her health was actually declining rapidly. I don't remember what they said was happening but it was something along the lines of her organs were not functioning well and had to be sent to another larger hospital 2 hours away. While there, her health continued to decline. It was determined that while her leukemia had gone into remission, she had Graft VS Host disease, which basically means her body was rejecting the donated marrow and was slowly shutting down.
After two weeks, she was lifelighted to Denver, as her condition had reached a point where the doctors in that hospital no longer had the capacity to help her. Upon arrival, she was immediately put on a ventilator, as the doctors said that this would give her body time to rest and recover. She was intubated for a week, and slowly but surely began to improve. She was extubated a short while later but it took her another week to wake up and be able to speak, but unfortunately she would never be the same from this point on. Her mental capabilities were diminished, and she had to work with physical therapy daily as she was unable to move her legs and her muscles were beginning to atrophy.
After another two weeks at that hospital,  she was moved to a rehab facility to begin her long recovery process. However, she was taken back to the hospital 2 days later because she had begun to decline again.
She was put on a venilator once more, but this time, the Doctors were not hopeful. We were told that her GVH was chronic, and that she would likely struggle like this for the rest of her life. The only thing keeping her alive at that point were the machines, as her major organs had started to shut down. We were advised that she would likely not make it out this time, and if she did, she would basically be a vegatable, and it would be many painful years in a rehabilitation facility to even come close to being functional again.
So the difficult decision was made to pull her life support, and she was taken to a hospice home near her hometown in CO. At this point she was not concious and was basically already gone. All that was left was  a barely breathing body.
She would occasionally stop breathing, and we all thought she was gone, only for her to breath again moments later. It was agony to see her in that condition, and we were even told not to touch her, as the skin breakdown she was experiencing would only be painful for her. All we could do was watch her die.
She passed within 5 days of being at the hospice facility. Although it was extremely difficult,  we were all glad that her suffering was over and that she could be at peace.
Thank you for reading this. I just wanted to share this with a community who would understand the evil that is cancer. My Mom was a wonderful woman who made life beautiful for me and almost everyone she came into contact with. I don't want her story to be forgotten, because sometimes it feels like my family (Father and Brother) don't want to talk about her. My father remarried the following year and my brother has since moved out and married as well. 
Her name was Judy and damn do I miss her.</t>
        </is>
      </c>
      <c r="D8854" t="n">
        <v>2</v>
      </c>
      <c r="E8854" t="n">
        <v>26</v>
      </c>
      <c r="F8854">
        <f>HYPERLINK("https://www.reddit.com/r/cancer/comments/g3xtq9/my_mom_died_of_leukemia_acute_lymphoblastic/")</f>
        <v/>
      </c>
      <c r="G8854" t="inlineStr">
        <is>
          <t>2020-04-18 16:58:30</t>
        </is>
      </c>
      <c r="H8854" t="inlineStr"/>
    </row>
    <row r="8855">
      <c r="A8855" t="inlineStr">
        <is>
          <t>g408ab</t>
        </is>
      </c>
      <c r="B8855" t="inlineStr">
        <is>
          <t>Neighbours</t>
        </is>
      </c>
      <c r="C8855" t="inlineStr">
        <is>
          <t>I’ve lost track of which no. treatment/chemo my mum is on now. It’s nearly 2 years. I know everyone faces different situations but I just really feel like I need to rant. I still don’t understand how she could have gotten this and nothing seems to work. She’s still so hardworking (she literally makes sure she eats enough everyday despite the side effects, exercises and eats healthily) despite no improvements in her results. I don’t know how she does it. 
I’m especially pissed today because we are surrounded by neighbours who are constantly engaging in carcinogenic activities (excessive smoking so strong it wafts into our house every single day) and pesticide drift (so so strong I gag every time). My neighbour went ahead to double the insecticide or something (it was really strong smelling today) while we were having breakfast and our family had to rush to close our windows etc. By then we were already sitting in a house full of toxic pesticide. 
Every single time I see these bastards still laughing and talking loudly without a care in the world whilst smoking and spraying insecticide really makes me pissed. I know life isn’t fair but it just feels like the universe is downright mocking my family when we are surrounded by idiotic heartless neighbours.</t>
        </is>
      </c>
      <c r="D8855" t="n">
        <v>2</v>
      </c>
      <c r="E8855" t="n">
        <v>5</v>
      </c>
      <c r="F8855">
        <f>HYPERLINK("https://www.reddit.com/r/cancer/comments/g408ab/neighbours/")</f>
        <v/>
      </c>
      <c r="G8855" t="inlineStr">
        <is>
          <t>2020-04-18 19:48:45</t>
        </is>
      </c>
      <c r="H8855" t="inlineStr"/>
    </row>
    <row r="8856">
      <c r="A8856" t="inlineStr">
        <is>
          <t>g40nqz</t>
        </is>
      </c>
      <c r="B8856" t="inlineStr">
        <is>
          <t>So GFs mom got diagnosed with stomach cancer</t>
        </is>
      </c>
      <c r="C8856" t="inlineStr">
        <is>
          <t>(This is also a post for her because she doesn’t have a reddit account) It’s in stage 1. They went to the doctor and they are getting her started on chemo soon. One doctor recommended her getting her stomach taken out completely, but they’re getting a second opinion. She was laid off her job and doesn’t have insurance, so do you guys have any helpful links around? Her mom wants to go to Houston to get surgery done but unfortunately due to timing things aren’t getting done quick at all. What do you guys know/recommend?</t>
        </is>
      </c>
      <c r="D8856" t="n">
        <v>1</v>
      </c>
      <c r="E8856" t="n">
        <v>1</v>
      </c>
      <c r="F8856">
        <f>HYPERLINK("https://www.reddit.com/r/cancer/comments/g40nqz/so_gfs_mom_got_diagnosed_with_stomach_cancer/")</f>
        <v/>
      </c>
      <c r="G8856" t="inlineStr">
        <is>
          <t>2020-04-18 20:21:38</t>
        </is>
      </c>
      <c r="H8856" t="inlineStr"/>
    </row>
    <row r="8857">
      <c r="A8857" t="inlineStr">
        <is>
          <t>g432p5</t>
        </is>
      </c>
      <c r="B8857" t="inlineStr">
        <is>
          <t>My dad lost his battle recently and I just want to share his story</t>
        </is>
      </c>
      <c r="C8857" t="inlineStr">
        <is>
          <t>My dad was diagnosed with Lymphoma in 2006. He was a healthy 55 year old man, who worked out regularly, didn't consume alcohol or drugs and took care of himself.
For 14 years he went through several treatments,  chemo, radiation, autotransplants of the medula, immunotherapy, and more. He always kept a positive view on it. Luckily the most part of his treatments were not too severe on him. They were brutally aggressive, that's for sure, but I think his positive attitude towards life and the desease really helped it not be worse than it could have been.
During his remission periods he decided to put into books his lifelong studies. He has been interested in theosophy and understanding who we are, what are we doing here and where we're going to when we die, for the most part of his life. He found an editor and he published 8 books and translated quite some books for the editor too. He found some meaning in the middle of all this. Everytime his health permitted he travelled with my mom (I would join them whenever I could too), gave seminars and really enjoyed his time here.
Last September he restarted treatment. This was one of the worst on him. I think he was tired too.  Battling cancer for 14 years it's not easy, even for the strongest. Everything happened super slowly, he was weak everyday, getting out of the bed just to go to the bathroom was a nightmare. My mom was really a hero here, taking care of all his needs, being there for him through this everyday, doing hospital runs and being his rock. Me and my sister live abroad so we missed this last journey.
Last month he was admitted to the hospital and one morning my mum was called to go over there. The hospital was closed for visitations because of the pandemic. She got there and he passed 10 minutes after. He waited for her to come to hold her hand one more time. 
We couldn't do a proper goodbye cerimony because of covid-19 social distancing measures, so we selected one of his favorite song and had family and friends play it at the same time, from their homes. I brought some of his ashes to Switzerland so I can scatter them in the mountains, one of his favorite thing.
Today marks 1 month he left this life. 
I just wanted to share his story and strength to mark this date. It is really amazing the length out Human strength can go.</t>
        </is>
      </c>
      <c r="D8857" t="n">
        <v>1</v>
      </c>
      <c r="E8857" t="n">
        <v>18</v>
      </c>
      <c r="F8857">
        <f>HYPERLINK("https://www.reddit.com/r/cancer/comments/g432p5/my_dad_lost_his_battle_recently_and_i_just_want/")</f>
        <v/>
      </c>
      <c r="G8857" t="inlineStr">
        <is>
          <t>2020-04-18 23:40:55</t>
        </is>
      </c>
      <c r="H8857" t="inlineStr"/>
    </row>
    <row r="8858">
      <c r="A8858" t="inlineStr">
        <is>
          <t>g438b1</t>
        </is>
      </c>
      <c r="B8858" t="inlineStr">
        <is>
          <t>Any Tips For Dealing With Severe Shoulder Pain Related To Liver Cancer?</t>
        </is>
      </c>
      <c r="C8858" t="inlineStr">
        <is>
          <t>A loved one is experiencing pain that makes them scream out in pain, and I am hoping that someone might know of things that will help with this kind of pain.  Right now vitamins/medicines/diet aren't options for treatment of this particular problem because of other health complications, so we are looking for other practical helps.</t>
        </is>
      </c>
      <c r="D8858" t="n">
        <v>1</v>
      </c>
      <c r="E8858" t="n">
        <v>8</v>
      </c>
      <c r="F8858">
        <f>HYPERLINK("https://www.reddit.com/r/cancer/comments/g438b1/any_tips_for_dealing_with_severe_shoulder_pain/")</f>
        <v/>
      </c>
      <c r="G8858" t="inlineStr">
        <is>
          <t>2020-04-18 23:55:27</t>
        </is>
      </c>
      <c r="H8858" t="inlineStr"/>
    </row>
    <row r="8859">
      <c r="A8859" t="inlineStr">
        <is>
          <t>g438l0</t>
        </is>
      </c>
      <c r="B8859" t="inlineStr">
        <is>
          <t>Doing a 24 hour gaming live stream in two weeks for my Dad with stage 4 brain cancer with all proceeds going to Macmillan Cancer Research!</t>
        </is>
      </c>
      <c r="C8859" t="inlineStr">
        <is>
          <t>In about 2 weeks I will be hosting a 24 hour live stream for my Dad. Last year he was diagnosed with stage 4 glioblastoma brain cancer. I want to do this live stream to raise money for cancer research to help everyone that has to deal with it. Even if I raise just £1 in this 24 hours, it’s better than nothing. I hope you can all tune in! I will be posting the day/time on my instagram and twitter. Or if you prefer, follow my twitch and you’ll see me go live with that “24 HOUR CANCER RESEARCH STREAM”. Until then, if you watch me anyway, see you on the battlefield.
Here are my links.
http://twitch.tv/shoutouttomelons
http://twitter.com/s0init
http://instagram.com/shoutouttomelons</t>
        </is>
      </c>
      <c r="D8859" t="n">
        <v>1</v>
      </c>
      <c r="E8859" t="n">
        <v>0</v>
      </c>
      <c r="F8859">
        <f>HYPERLINK("https://www.reddit.com/r/cancer/comments/g438l0/doing_a_24_hour_gaming_live_stream_in_two_weeks/")</f>
        <v/>
      </c>
      <c r="G8859" t="inlineStr">
        <is>
          <t>2020-04-18 23:56:15</t>
        </is>
      </c>
      <c r="H8859" t="inlineStr"/>
    </row>
    <row r="8860">
      <c r="A8860" t="inlineStr">
        <is>
          <t>g441qj</t>
        </is>
      </c>
      <c r="B8860" t="inlineStr">
        <is>
          <t>Cancer Planner for free</t>
        </is>
      </c>
      <c r="C8860" t="inlineStr">
        <is>
          <t>Hello everyone,
I recently completely uprooted my life in support of my mom being the primary caregiver of my grandfather, who is reeling from the after effects of cancer. I moved to a different state, adjusting to a whole new way of life (Me and my parents lived in the basement of my aunt and uncle's house with my grandfather, and I forged a new life at a new school-- I'm a high school senior). We've now all moved back to where I'm from, as we found that it was best my grandfather had a whole team of people, and got him settled at a hospice home. 
When I got back, an internship at a cancer planner business practically fell into my lap-- it was so exciting to get the opportunity, and it has truly been an amazing experience. 
Recently, due to the coronavirus, my friend and boss has decided to give out her cancer planners (pdf version) for free. 
The planner tracks your symptoms and mental health from day to day-- helping out the patient, caregiver--and even the doctor, as it allows them to have a birds- eye- view over how the patient has progressed or regressed over the weeks and months. When my mom looked over the product, she said she'd wished that she had something like it while she was serving my grandfather as his caregiver. 
Even as someone who doesn't have cancer, I've found this helpful for tracking my mental health. I recommend it one million percent, so if you believe a health tracker-- be it physical or mental-- would be something you are interested in, the link for the free pdf is here.</t>
        </is>
      </c>
      <c r="D8860" t="n">
        <v>1</v>
      </c>
      <c r="E8860" t="n">
        <v>4</v>
      </c>
      <c r="F8860">
        <f>HYPERLINK("https://www.reddit.com/r/cancer/comments/g441qj/cancer_planner_for_free/")</f>
        <v/>
      </c>
      <c r="G8860" t="inlineStr">
        <is>
          <t>2020-04-19 01:12:04</t>
        </is>
      </c>
      <c r="H8860" t="inlineStr"/>
    </row>
    <row r="8861">
      <c r="A8861" t="inlineStr">
        <is>
          <t>g44plu</t>
        </is>
      </c>
      <c r="B8861" t="inlineStr">
        <is>
          <t>An app that looks for cures for cancer in your sleep- DreamLab</t>
        </is>
      </c>
      <c r="C8861" t="inlineStr">
        <is>
          <t>Hey guys- a bit of a different post. But recently I found the DreamLab app. And basically you power it in your sleep and it calculates calculations in your sleep. It’s explained that if one computer calculates these calculations- it will take 200 years, but if 200,000 people do it- it will take a few months. 
It basically sees whether treatments are likely to be useful and get them into clinical trials quicker. 
It’s called Dreamlab and I know it works on tablets and mobile phones. 
It’s completely free. You can choose the cancer/treatment regimen that you want to help find a cure.  Its a way of helping by just sleeping. 
https://apps.apple.com/gb/app/vodafone-foundations-dreamlab/id1273619275</t>
        </is>
      </c>
      <c r="D8861" t="n">
        <v>1</v>
      </c>
      <c r="E8861" t="n">
        <v>3</v>
      </c>
      <c r="F8861">
        <f>HYPERLINK("https://www.reddit.com/r/cancer/comments/g44plu/an_app_that_looks_for_cures_for_cancer_in_your/")</f>
        <v/>
      </c>
      <c r="G8861" t="inlineStr">
        <is>
          <t>2020-04-19 02:14:11</t>
        </is>
      </c>
      <c r="H8861" t="inlineStr"/>
    </row>
    <row r="8862">
      <c r="A8862" t="inlineStr">
        <is>
          <t>g45zye</t>
        </is>
      </c>
      <c r="B8862" t="inlineStr">
        <is>
          <t>Burkitt lymphoma, 2 diagnosed bone marrow cancer and 2 amputations, I'm trying to find my happiness.</t>
        </is>
      </c>
      <c r="C8862" t="inlineStr">
        <is>
          <t>As said above, I'm going through a lot. I've been fighting cancer (Burkitt lymphoma) since May of 2019 (previous Bile Duct Cancer 2016). I've lost my left leg first, and just recently, lost my right due to my cancer metastasizing to my bone marrow. I've been in the hospital for about 90% of the time since last year. My last surgery, which lasted 6 hours, was dreadful. After surgery I had 2 strokes back to back. Currently have limited usage of my right side, but not fully numb. Been quarantined since I'm immuno compromised from chemo and radiation in the hospital. Lost my brother 2 years ago, and both parents have passed. My sister is quarantined with her family so she cannot visit me. Through all this however, I'm somewhat happy. I don't know how, or why,  but I'm doing my best. I'm not fully there as far as being 100% truly happy, but I'm doing my best for what I've got. What truly makes me feel warm inside is hearing about others being happy. I'm into playing online games so that keeps me afloat. In any case, I'm writing a huge paragraph, but just wanted to share to everyone that, for everything I'm going through, if I can smile through this mess, you can too. I sincerely hope everyone is doing well through this, and if you'd like, I'd love to hear about your day. Thank you so much for reading this, and have a pleasant day/evening! &amp;lt;3</t>
        </is>
      </c>
      <c r="D8862" t="n">
        <v>1</v>
      </c>
      <c r="E8862" t="n">
        <v>28</v>
      </c>
      <c r="F8862">
        <f>HYPERLINK("https://www.reddit.com/r/cancer/comments/g45zye/burkitt_lymphoma_2_diagnosed_bone_marrow_cancer/")</f>
        <v/>
      </c>
      <c r="G8862" t="inlineStr">
        <is>
          <t>2020-04-19 04:12:17</t>
        </is>
      </c>
      <c r="H8862" t="inlineStr"/>
    </row>
    <row r="8863">
      <c r="A8863" t="inlineStr">
        <is>
          <t>g4630d</t>
        </is>
      </c>
      <c r="B8863" t="inlineStr">
        <is>
          <t>Tips for boosting my dad with cancer in quarantine?</t>
        </is>
      </c>
      <c r="C8863" t="inlineStr">
        <is>
          <t>My dad is a single parent and he and I live alone together. Last month they found a tumour in his bowel and we’re still awaiting full diagnosis/treatment plans.
My dad is the most positive, funny and forward thinking man I know yet this has left us both feeling utterly depressed. As were both in quarantine together, we haven’t been able to see anybody else and I feel like I don’t know what to say to him or how to handle this. We walk around the house like ghosts and it’s so heartbreaking to see the strong man I once knew turn into a bit of a zombie. 
I don’t think it’s hit me yet and I don’t know what I’d do without him. I can tell he’s in a lot of pain and I honestly feel like this is most certainly the worst moment in my life. 
What can I say to my dad? How can I keep him distracted? I try and joke with him but he’s not there mentally right now. He doesn’t have any hobbies and I feel like every conversation we have is jaded by this cancer diagnosis. I’m feeling completely lost.</t>
        </is>
      </c>
      <c r="D8863" t="n">
        <v>1</v>
      </c>
      <c r="E8863" t="n">
        <v>1</v>
      </c>
      <c r="F8863">
        <f>HYPERLINK("https://www.reddit.com/r/cancer/comments/g4630d/tips_for_boosting_my_dad_with_cancer_in_quarantine/")</f>
        <v/>
      </c>
      <c r="G8863" t="inlineStr">
        <is>
          <t>2020-04-19 04:20:11</t>
        </is>
      </c>
      <c r="H8863" t="inlineStr"/>
    </row>
    <row r="8864">
      <c r="A8864" t="inlineStr">
        <is>
          <t>g480cq</t>
        </is>
      </c>
      <c r="B8864" t="inlineStr">
        <is>
          <t>Plasma donation?</t>
        </is>
      </c>
      <c r="C8864" t="inlineStr">
        <is>
          <t>Can Hodgkin lymphoma patients (I was deemed cancer free January 28 2020, and I finished chemo and radiation spring/early summer 2019) ever donate plasma? I doubt it since it's a blood cancer but I'm really curious. I know we can't donate organs. I know red cross won't allow me to donate since HL is a blood cancer.</t>
        </is>
      </c>
      <c r="D8864" t="n">
        <v>1</v>
      </c>
      <c r="E8864" t="n">
        <v>4</v>
      </c>
      <c r="F8864">
        <f>HYPERLINK("https://www.reddit.com/r/cancer/comments/g480cq/plasma_donation/")</f>
        <v/>
      </c>
      <c r="G8864" t="inlineStr">
        <is>
          <t>2020-04-19 06:53:50</t>
        </is>
      </c>
      <c r="H8864" t="inlineStr"/>
    </row>
    <row r="8865">
      <c r="A8865" t="inlineStr">
        <is>
          <t>g49n9f</t>
        </is>
      </c>
      <c r="B8865" t="inlineStr">
        <is>
          <t>Has any of you ladies dealt with fibroids?</t>
        </is>
      </c>
      <c r="C8865" t="inlineStr">
        <is>
          <t>So I battled Hodgkin's lymphoma in 2015 and reached remission in 2016. In 2017 I had a follow up, which showed that I had a 2.2 cm fibroid coming out the uterus. The scan stated no abnormal activity and I didn't present any symptoms. In 2018 I moved back to my country, and my new doctor decided I should make a PET scan just to be clear that everything is fine. Everything looked excellent, the fibroid had grown to 5 cm and it didn't light up on the scan. 
Between December and January I started to lose weight  and I felt a swollen lymph  node on my neck. I was completely anxious and contacted my doctor immediately. She scheduled a PET scan in mid-February which showed NO sign of relapse, but the fibroid has grown to 8.8 cm and it showed some metabolic activity. My doctor referred me to an gynaecologist because she told me it could affect my chances of getting pregnant, and since the fibroid is outside the uterus, it could potentially press on other organs and cause pain. She assured me that the metabolic reaction could be from a high estrogen level. 
For the past couple of weeks I slowly started to gain weight again, until this week. I have been losing weight rapidly and I have no idea why. This made me anxious about the fibroid. I know in rare cases, it could be malignant. But developing a second cancer is not uncommon in my situation. I was supposed to see a gynaecologist this month, but because of the recent circumstances it has been postponed. 
I'm trying to be calm, but it's just difficult. Has any of you ladies dealt with a fibroid during or after treatment?</t>
        </is>
      </c>
      <c r="D8865" t="n">
        <v>1</v>
      </c>
      <c r="E8865" t="n">
        <v>0</v>
      </c>
      <c r="F8865">
        <f>HYPERLINK("https://www.reddit.com/r/cancer/comments/g49n9f/has_any_of_you_ladies_dealt_with_fibroids/")</f>
        <v/>
      </c>
      <c r="G8865" t="inlineStr">
        <is>
          <t>2020-04-19 08:36:55</t>
        </is>
      </c>
      <c r="H8865" t="inlineStr"/>
    </row>
    <row r="8866">
      <c r="A8866" t="inlineStr">
        <is>
          <t>g4bedu</t>
        </is>
      </c>
      <c r="B8866" t="inlineStr">
        <is>
          <t>Shocked diagnosis of NH Lymphoma</t>
        </is>
      </c>
      <c r="C8866" t="inlineStr">
        <is>
          <t>I've only just found this subreddit. About three months ago I was diagnosed with non hodgkin's follicular lymphoma. This was a incredibly shocking diagnosis. Aside from the fact that there is no history of cancer in my family. I am incredibly or was incredibly fit and healthy! Up until the diagnosis was made, I was doing 60 hour weeks at a physically demanding job. You always think it is going to happen to someone else and never you, as cliched as that sounds. My family and including my wife's family have been incredibly supportive of me and I recognise how privileged I am to have that after reading some post on reddit. I Have had a bone marrow biopsy and aspiration done. It was honestly the most painful experience of my life, not to scare anyone here but even as a 35 year old Male 6'2 and 17 stone, built like a tank it was horrific. Thankfully the bone marrow has come through clear.  I sometimes find myself forgetting I have it,  and sometimes it hits me hard and at those times I struggle.  I find myself wondering how long I will live, and that all said and done during treatments and tests that I am alone. It is only me.
Currently stage two.</t>
        </is>
      </c>
      <c r="D8866" t="n">
        <v>1</v>
      </c>
      <c r="E8866" t="n">
        <v>5</v>
      </c>
      <c r="F8866">
        <f>HYPERLINK("https://www.reddit.com/r/cancer/comments/g4bedu/shocked_diagnosis_of_nh_lymphoma/")</f>
        <v/>
      </c>
      <c r="G8866" t="inlineStr">
        <is>
          <t>2020-04-19 10:17:21</t>
        </is>
      </c>
      <c r="H8866" t="inlineStr"/>
    </row>
    <row r="8867">
      <c r="A8867" t="inlineStr">
        <is>
          <t>g4c979</t>
        </is>
      </c>
      <c r="B8867" t="inlineStr">
        <is>
          <t>My dad is deteriorating and I don't know what to do</t>
        </is>
      </c>
      <c r="C8867" t="inlineStr">
        <is>
          <t>This might be long, first time posting, hope these types of posts are okay. Probably more of an offmychest than anything else, but there are just so much going on in my head and I have no one to tell. 
Dad (60) was diagnosed with stage 4 esophageal cancer exactly a year ago. Docs gave him 3-6 months, longer if chemo worked. He went through 3 types of chemo, and immunotherapy as a final shot. Nothing worked and last month we were told there's nothing left to do but wait. The past twelve months has been tough, but I think it would be nothing compared to the next few. He was a strong manly type of man, never seen him cry, never heard him whimper, not even when he got injured, just never saw weakness. Now he is 90lbs max, can barely walk ten steps and he soiled himself for the first time 2 days ago. We tried to clean him up best as we can while maintaining his dignity but you could see the defeat in his eyes. 
Thing is, he doesn't want to give up. He fights so hard every single day and that, in a strange way, is the hardest for me to watch. It's so helpless that I cannot help him. The end is near, our family knows it. He knows it deep down, I think. But he is not ready to stop fighting. 
I guess my question, if I have one, would be, what can I do? How can I help him?
P.s I'm sorry for the rant, I'm in my early 30s and few, if any, of my friends have been through this and it's getting heavier as each day passes and his conditions worsens.</t>
        </is>
      </c>
      <c r="D8867" t="n">
        <v>1</v>
      </c>
      <c r="E8867" t="n">
        <v>11</v>
      </c>
      <c r="F8867">
        <f>HYPERLINK("https://www.reddit.com/r/cancer/comments/g4c979/my_dad_is_deteriorating_and_i_dont_know_what_to_do/")</f>
        <v/>
      </c>
      <c r="G8867" t="inlineStr">
        <is>
          <t>2020-04-19 11:04:45</t>
        </is>
      </c>
      <c r="H8867" t="inlineStr"/>
    </row>
    <row r="8868">
      <c r="A8868" t="inlineStr">
        <is>
          <t>g4cb9l</t>
        </is>
      </c>
      <c r="B8868" t="inlineStr">
        <is>
          <t>Father-in-law’s health took a turn</t>
        </is>
      </c>
      <c r="C8868" t="inlineStr">
        <is>
          <t>Hi Everyone,
I’ve posted here a few times before. My FIL was diagnosed with esophageal carcinoma last May and has since gone through the treatment and had surgery to remove the cancer from his esophagus. It’s been about 10 weeks since the surgery and he’s been back to the hospital twice due to complications. His bladder is no longer able to function properly so he will have a catheter for the rest of his life and a feeding tube. The doctor was adamant that he would be “like his old self” by May. Here we are two weeks out and he’s in pain like he was before the surgery. This last week his health took a big turn and he’s been unable to provide basic care for himself. He’s become reclused to the bed and cannot hold down any liquids or solids. His urine is an orange rust color and he’s lost about 6 pounds this week. His heart rate has bounced around from 110-130 with lower blood pressure. We know this all likely means he’s severely dehydrated but he refuses to go to the hospital since they will just “hook me up to an IV and send me home”. His pain levels have seemed to spike and my husband and I don’t know what to do anymore. We are both in our 20’s and lucky to be working from home during COVID-19 but will be unable to care for him once this all ends. It is beginning to take a toll on us as we don’t understand why his health took a turn. Maybe he’s just given up? Today, he complained of his lower back hurting and I’m almost certain it’s his kidneys. He’s been on oxy since last September every 4-6 hours and he’s barely able to make it through that timeframe now with his pain. Any suggestions? We called his doctor and they just put him back on an all liquid diet through his feeding tube. We took him in to radiology last week and they found no reason why he is throwing up land liquid or solid he is eating. Could it be his body is beginning to shut down? Do we look for a nursing facility or hospice for pain management? We are very young and have no idea where to go. His doctors won’t answer right now due to coronavirus and we are really very overwhelmed.</t>
        </is>
      </c>
      <c r="D8868" t="n">
        <v>1</v>
      </c>
      <c r="E8868" t="n">
        <v>8</v>
      </c>
      <c r="F8868">
        <f>HYPERLINK("https://www.reddit.com/r/cancer/comments/g4cb9l/fatherinlaws_health_took_a_turn/")</f>
        <v/>
      </c>
      <c r="G8868" t="inlineStr">
        <is>
          <t>2020-04-19 11:07:57</t>
        </is>
      </c>
      <c r="H8868" t="inlineStr"/>
    </row>
    <row r="8869">
      <c r="A8869" t="inlineStr">
        <is>
          <t>g4cys9</t>
        </is>
      </c>
      <c r="B8869" t="inlineStr">
        <is>
          <t>Chemo Nausea is Hitting Mom Strong</t>
        </is>
      </c>
      <c r="C8869" t="inlineStr">
        <is>
          <t>Mom started her treatment plan(radiation every weekday and chemo once every 3 week) this past Wednesday and she has not been able to keep anything down since chemo on Thursday. Does anyone have any suggestions that might help with combating nausea. She’s the first person on both sides of my family to ever be diagnosed so we’re stumbling around blind right now :/</t>
        </is>
      </c>
      <c r="D8869" t="n">
        <v>1</v>
      </c>
      <c r="E8869" t="n">
        <v>14</v>
      </c>
      <c r="F8869">
        <f>HYPERLINK("https://www.reddit.com/r/cancer/comments/g4cys9/chemo_nausea_is_hitting_mom_strong/")</f>
        <v/>
      </c>
      <c r="G8869" t="inlineStr">
        <is>
          <t>2020-04-19 11:44:51</t>
        </is>
      </c>
      <c r="H8869" t="inlineStr"/>
    </row>
    <row r="8870">
      <c r="A8870" t="inlineStr">
        <is>
          <t>g4ekkw</t>
        </is>
      </c>
      <c r="B8870" t="inlineStr">
        <is>
          <t>Getting told you have cancer alone</t>
        </is>
      </c>
      <c r="C8870" t="inlineStr">
        <is>
          <t>Last Tuesday my husband made me go to the hospital because I don’t go willingly especially with everything going on right now. I thought I was constipated. I had begged my family doctor to see me because in a week and a half my stomach ballooned so that I looked about 7 months pregnant. I had a tubal litigation last May so I knew that wasn’t a legit possibility. My doctor refused to see me and prescribed another laxative. The prescriptions weren’t working and that’s when my husband told me we were going to the hospital. We get to emerge and only I was allowed in. My husband stayed in the car. I get a bunch of tests done (ultrasound, bloodwork and a CT scan) The emerge doctor comes in to tell me there’s no blockage and My guts are clean but there is a problem. There’s a mass on my ovaries and my stomach is bloated because of fluid. I had asked if my husband could come in so that he could be told but no. They did slow me to go out to the car so that I could tell him but I had to go back in for another round of bloodwork. I had 20 mins with him. 
Once the bloodwork was done we were allowed to leave. I have my first consultation with a specialist this coming Tuesday and I’m not allowed anyone in. I have to go through all of this on my own and I’m not sure how to handle it. I’ve come to terms that I have ovarian cancer but the fact I have to process everything the doctors tell me without a second set of ears is what is bothering me the most. I’ll have to go through treatments alone. The cancer centre I’m being sent to is about 2 hours away so it’s not a drop off, go home then come back situation. I completely understand that out front line healthcare workers need to protect themselves and other patients but how is 1 person supposed to process that they have cancer by themselves?</t>
        </is>
      </c>
      <c r="D8870" t="n">
        <v>1</v>
      </c>
      <c r="E8870" t="n">
        <v>30</v>
      </c>
      <c r="F8870">
        <f>HYPERLINK("https://www.reddit.com/r/cancer/comments/g4ekkw/getting_told_you_have_cancer_alone/")</f>
        <v/>
      </c>
      <c r="G8870" t="inlineStr">
        <is>
          <t>2020-04-19 13:15:29</t>
        </is>
      </c>
      <c r="H8870" t="inlineStr"/>
    </row>
    <row r="8871">
      <c r="A8871" t="inlineStr">
        <is>
          <t>g4h1ib</t>
        </is>
      </c>
      <c r="B8871" t="inlineStr">
        <is>
          <t>Hair loss</t>
        </is>
      </c>
      <c r="C8871" t="inlineStr">
        <is>
          <t>I (36f) feel bad for asking this as in the scheme of things it's very small. I'm having Irinotecan added to the mix this week and have been told I'll lose my hair which makes it all real now. 
My initial thought (stupid I know) is that how will my partner be able to look at me. 
How did your husbands/ partners deal with this?</t>
        </is>
      </c>
      <c r="D8871" t="n">
        <v>1</v>
      </c>
      <c r="E8871" t="n">
        <v>25</v>
      </c>
      <c r="F8871">
        <f>HYPERLINK("https://www.reddit.com/r/cancer/comments/g4h1ib/hair_loss/")</f>
        <v/>
      </c>
      <c r="G8871" t="inlineStr">
        <is>
          <t>2020-04-19 15:41:26</t>
        </is>
      </c>
      <c r="H8871" t="inlineStr"/>
    </row>
    <row r="8872">
      <c r="A8872" t="inlineStr">
        <is>
          <t>g4itv7</t>
        </is>
      </c>
      <c r="B8872" t="inlineStr">
        <is>
          <t>Clicking in submandibular salivary gland?</t>
        </is>
      </c>
      <c r="C8872" t="inlineStr">
        <is>
          <t>Hey everybody. I hope your travels are treating you with mercy.
I'll do my best to keep this short and to the point.
So.
Last July I had my thyroid and 70 something lymph nodes removed due to stage 1 papillary thyroid cancer. I did RAI in October. Besides the obvious its been a pretty smooth recovery. I don't see my surgeon until June so I thought this would be my best bet to have my concern addressed.
I've been doing lymphatic drainage massage and massaging the muscles in my neck due to it being a near 8 hour surgery. ( I want to heal as well as possible). But about a three weeks ago I noticed the right side submandibular gland clicks? When I run my fingers against that region. It could be a muscle? But I don't know?
The bottom of my tongue (right side) gets like pins and needles when I do massage in this region. I also have some pain/pressure shooting up my ear sometimes.
I asked my dentist/orthodontist because I also had some bumps/deposits build up in my lip post RAI and he says it's most likely side affects to the radiation (like back up) in the glands and to just massage on a regular basis and stay hydrated and stimulate them with sour lollies. My question is.
Does anybody have a similar experience or know someone that has and can tell me what it might be. Also if you're a endocrine or surgeon or professional with knowledge in the field please don't hesitate to let me know what you think is going on.
All the best to you all in these frustrating times. X.</t>
        </is>
      </c>
      <c r="D8872" t="n">
        <v>1</v>
      </c>
      <c r="E8872" t="n">
        <v>0</v>
      </c>
      <c r="F8872">
        <f>HYPERLINK("https://www.reddit.com/r/cancer/comments/g4itv7/clicking_in_submandibular_salivary_gland/")</f>
        <v/>
      </c>
      <c r="G8872" t="inlineStr">
        <is>
          <t>2020-04-19 17:32:13</t>
        </is>
      </c>
      <c r="H8872" t="inlineStr"/>
    </row>
    <row r="8873">
      <c r="A8873" t="inlineStr">
        <is>
          <t>g4iur3</t>
        </is>
      </c>
      <c r="B8873" t="inlineStr">
        <is>
          <t>No point to this really</t>
        </is>
      </c>
      <c r="C8873" t="inlineStr">
        <is>
          <t>As the title says, there’s no real point to this post, I just want to vent. 
I miss my mom a fucking lot. She was 57 when she passed from lung cancer that was caught way too late. She had had a dry cough for a while. I (the nurse in the family) brushed it off as nothing because I felt like it was a side effect from one of her anti rejection or BP meds (she had a kidney transplant 7 years before passing). I kind of blame myself. Maybe if I hadn’t brushed it off she would’ve been able to get treatment. 
Eventually her boyfriend made her go to urgent care for the cough and she had a pleural effusion. I remember saying “maybe it’s her heart” trying to stay optimistic. They did surgery and put a chest tube in. A few days later the fluid came back as malignant. The doctor told me while I was driving at work to my next patients house. I left work early to go be with my mom. She apologized to me because of what they told me. I don’t remember what day it was except that it was in October 2019. 
She got a PET scan and unfortunately it showed that it started in her lung, went to the pleural space, was in her liver, spine and pelvis. I distinctly remembered having conversations with her saying if she ever got cancer and it’s spread she doesn’t want to go through treatment. But her friend was with us when we got the results and she agreed to chemo. 
Eventually it got to the point that my mom needed to be hospitalized again. The admitting doctor said to my sister and I that I doesn’t look good and the nurse in me already knew that. I asked my mom “momma, do you want to just be comfortable?” She said “what do you mean?” “Momma do you want to skip treatment and go home and be comfortable? We can do whatever you want” “I want to be comfortable”
She was made a DNR/DNI. she went home later that day on hospice care. I don’t remember how long it took her to pass once we brought her home but she passed away on November 12, 2019. 
Today my heart is heavy. I miss her so fucking much.</t>
        </is>
      </c>
      <c r="D8873" t="n">
        <v>1</v>
      </c>
      <c r="E8873" t="n">
        <v>5</v>
      </c>
      <c r="F8873">
        <f>HYPERLINK("https://www.reddit.com/r/cancer/comments/g4iur3/no_point_to_this_really/")</f>
        <v/>
      </c>
      <c r="G8873" t="inlineStr">
        <is>
          <t>2020-04-19 17:33:46</t>
        </is>
      </c>
      <c r="H8873" t="inlineStr"/>
    </row>
    <row r="8874">
      <c r="A8874" t="inlineStr">
        <is>
          <t>g4jg4z</t>
        </is>
      </c>
      <c r="B8874" t="inlineStr">
        <is>
          <t>34 years old diagnosed alone</t>
        </is>
      </c>
      <c r="C8874" t="inlineStr">
        <is>
          <t>I am 34 and massive blood loss had me rushed to the ER. Keeping the story short I had 3 days of intubation and procedures and surgery. I had cancer.. a large mass in my low pelvic region. Too large to operate. I spent over a week in my own head going crazy and now I'm home to do chemotherapy and radiation. Life was difficult before and now I am in the verge of losing everything. I will fight for my kids. The pain feels like childbirth... Hopefully the tumor will shrink as none of the meds work. If anyone has any resources they can share please let me know because I can't let my kids down. I was alone the whole time due to COVID and no visitors allowed.</t>
        </is>
      </c>
      <c r="D8874" t="n">
        <v>1</v>
      </c>
      <c r="E8874" t="n">
        <v>9</v>
      </c>
      <c r="F8874">
        <f>HYPERLINK("https://www.reddit.com/r/cancer/comments/g4jg4z/34_years_old_diagnosed_alone/")</f>
        <v/>
      </c>
      <c r="G8874" t="inlineStr">
        <is>
          <t>2020-04-19 18:12:55</t>
        </is>
      </c>
      <c r="H8874" t="inlineStr"/>
    </row>
    <row r="8875">
      <c r="A8875" t="inlineStr">
        <is>
          <t>g4k7wi</t>
        </is>
      </c>
      <c r="B8875" t="inlineStr">
        <is>
          <t>BRCA 1</t>
        </is>
      </c>
      <c r="C8875" t="inlineStr">
        <is>
          <t>Hi everyone, 
Just need to write it out.
I'm 31 YO F with 3 kids.  Up until a few years ago life was pretty good. In 2018 my 2 YO was diagnosed with ALL, a the year before, my aunt was diagnosed with stage 4 ovarian,  and last year her sister with stage 4 breast. I've done tons of research and knew i was at risk of carrying BRCA 1. 
While awaiting results i knew id take all precautions if i had it. Well guys,  i have it. I scheduled my mystectomy in June.
The nerves are now starting to kick in.  I've always been pretty independent and healthy.  I know the surgery is serious,  I'm nervous about how it will affect my family.  At first my husband was supportive, i feel like that may have slightly changed.  I'm also scared if i wait,  i would hate my kids to see me go through that fight.  Sad to say,  i also don't think my husband could handle it. (Anyone felt that)
I'm choosing the surgery now because i feel my body would heal quicker than if i waited a few years.  I also still have my parents to fall back on.  I'm worried,  but also ready to get it over with.</t>
        </is>
      </c>
      <c r="D8875" t="n">
        <v>1</v>
      </c>
      <c r="E8875" t="n">
        <v>8</v>
      </c>
      <c r="F8875">
        <f>HYPERLINK("https://www.reddit.com/r/cancer/comments/g4k7wi/brca_1/")</f>
        <v/>
      </c>
      <c r="G8875" t="inlineStr">
        <is>
          <t>2020-04-19 19:05:16</t>
        </is>
      </c>
      <c r="H8875" t="inlineStr"/>
    </row>
    <row r="8876">
      <c r="A8876" t="inlineStr">
        <is>
          <t>g4kpgk</t>
        </is>
      </c>
      <c r="B8876" t="inlineStr">
        <is>
          <t>Lots of cancer in the family, wondering when I will get my diagnosis...</t>
        </is>
      </c>
      <c r="C8876" t="inlineStr">
        <is>
          <t>My dad died from a brain tumor we caught too late. (We found out and he stroked out 5 days later). My mom died after a 4 year fight with colon cancer (both in their early 50’s). My mom’s sister got breast cancer twice (40’s and 50’s). My mom’s dad died from cancer (don’t know what kind, kind of a long story) and NOW my brother got lung cancer at 25.
Most of these cancers “aren’t hereditary” but I feel a sense of looming. Anyone else dealt with this?</t>
        </is>
      </c>
      <c r="D8876" t="n">
        <v>1</v>
      </c>
      <c r="E8876" t="n">
        <v>9</v>
      </c>
      <c r="F8876">
        <f>HYPERLINK("https://www.reddit.com/r/cancer/comments/g4kpgk/lots_of_cancer_in_the_family_wondering_when_i/")</f>
        <v/>
      </c>
      <c r="G8876" t="inlineStr">
        <is>
          <t>2020-04-19 19:39:34</t>
        </is>
      </c>
      <c r="H8876" t="inlineStr"/>
    </row>
    <row r="8877">
      <c r="A8877" t="inlineStr">
        <is>
          <t>g4lr4v</t>
        </is>
      </c>
      <c r="B8877" t="inlineStr">
        <is>
          <t>Just noticed today, a lot of swelling in testicular sack but doesn't seem attached to the testicle. Any ideas?</t>
        </is>
      </c>
      <c r="C8877" t="inlineStr">
        <is>
          <t>Before anyone says anything, I am making an appointment tomorrow. But it'll help to have some thoughts from you guys.
Started all of a sudden, maybe a day.  Seems in the sack itself, doesn't seem attached to the testicle?  But not sure how testicular cancer works.  It's itchy a bit but no pain.  Anything for me to think about helps!  I am making an appointment even though it might go away on its own.</t>
        </is>
      </c>
      <c r="D8877" t="n">
        <v>1</v>
      </c>
      <c r="E8877" t="n">
        <v>2</v>
      </c>
      <c r="F8877">
        <f>HYPERLINK("https://www.reddit.com/r/cancer/comments/g4lr4v/just_noticed_today_a_lot_of_swelling_in/")</f>
        <v/>
      </c>
      <c r="G8877" t="inlineStr">
        <is>
          <t>2020-04-19 20:56:27</t>
        </is>
      </c>
      <c r="H8877" t="inlineStr"/>
    </row>
    <row r="8878">
      <c r="A8878" t="inlineStr">
        <is>
          <t>g4myrj</t>
        </is>
      </c>
      <c r="B8878" t="inlineStr">
        <is>
          <t>Anyone else feeling helpless with all of the people not taking COVID-19 seriously?</t>
        </is>
      </c>
      <c r="C8878" t="inlineStr">
        <is>
          <t>I made a post on my local subreddit asking if anyone knew of upcoming anti-quarantine protests (there have been several recently) in our area because I wanted to counter protest. I explained my situation and got numerous comments calling me stupid for going out in public when I’m immunocompromised. I ended up deleting the post. 
The thing is, the fact that I have cancer and a below average immune system is why I want to go protest. I want these people to have a face etched in their minds when they go home. I want them to know who they’re killing. I know that going outside right now is dumb and dangerous. I’m acutely aware of the risks. I’m just so, so frustrated. I feel until there is  a viable vaccine I won’t be able to live the life I have left because of all the people who think this is a hoax. I feel invisible.</t>
        </is>
      </c>
      <c r="D8878" t="n">
        <v>1</v>
      </c>
      <c r="E8878" t="n">
        <v>20</v>
      </c>
      <c r="F8878">
        <f>HYPERLINK("https://www.reddit.com/r/cancer/comments/g4myrj/anyone_else_feeling_helpless_with_all_of_the/")</f>
        <v/>
      </c>
      <c r="G8878" t="inlineStr">
        <is>
          <t>2020-04-19 22:32:40</t>
        </is>
      </c>
      <c r="H8878" t="inlineStr"/>
    </row>
    <row r="8879">
      <c r="A8879" t="inlineStr">
        <is>
          <t>g4pqd0</t>
        </is>
      </c>
      <c r="B8879" t="inlineStr">
        <is>
          <t>High voltage powerlines and cancer</t>
        </is>
      </c>
      <c r="C8879" t="inlineStr">
        <is>
          <t>Is anyone aware of serious research and data correlating high voltage of powerlines with distance from the lines, and their cancer effects, especially on children?</t>
        </is>
      </c>
      <c r="D8879" t="n">
        <v>1</v>
      </c>
      <c r="E8879" t="n">
        <v>9</v>
      </c>
      <c r="F8879">
        <f>HYPERLINK("https://www.reddit.com/r/cancer/comments/g4pqd0/high_voltage_powerlines_and_cancer/")</f>
        <v/>
      </c>
      <c r="G8879" t="inlineStr">
        <is>
          <t>2020-04-20 02:31:19</t>
        </is>
      </c>
      <c r="H8879" t="inlineStr"/>
    </row>
    <row r="8880">
      <c r="A8880" t="inlineStr">
        <is>
          <t>g4pyt9</t>
        </is>
      </c>
      <c r="B8880" t="inlineStr">
        <is>
          <t>getting insomnia from meds</t>
        </is>
      </c>
      <c r="C8880" t="inlineStr">
        <is>
          <t>I am taking Imatinib 400gm, anyone one have any ideas on what i can try to do to get more sleep. i will be talking with my doctor on the 29th, so i will ask him then.I also cant take other meds until i ask my doctor.</t>
        </is>
      </c>
      <c r="D8880" t="n">
        <v>1</v>
      </c>
      <c r="E8880" t="n">
        <v>2</v>
      </c>
      <c r="F8880">
        <f>HYPERLINK("https://www.reddit.com/r/cancer/comments/g4pyt9/getting_insomnia_from_meds/")</f>
        <v/>
      </c>
      <c r="G8880" t="inlineStr">
        <is>
          <t>2020-04-20 02:52:29</t>
        </is>
      </c>
      <c r="H8880" t="inlineStr"/>
    </row>
    <row r="8881">
      <c r="A8881" t="inlineStr">
        <is>
          <t>g4s3fe</t>
        </is>
      </c>
      <c r="B8881" t="inlineStr">
        <is>
          <t>Boyfriend diagnosed with Ewing's Sarcoma</t>
        </is>
      </c>
      <c r="C8881" t="inlineStr">
        <is>
          <t>Hi everyone,
So my boyfriend is 24 and was diagnosed today with Ewing's sarcoma. The tumor was found on his rib (or what was left of the rib - the tumor ate away at it and is now just bone fragments) and they are currently doing tests to see if it has spread at all. 
A little background: my boyfriend had complained of a numb patch on the bottom of his ribs about a year ago, but we didnt think anything of it since he had no other symptoms at that stage. In September of 2019 he went to the doctor with rib pain and was told it was just a fractured rib. After two more doctor visits he was told the rib was broken and that there was nothing that they could do, it would have to heal on it's own.
Fast track to about a month ago, when our lockdown started due to COVID(I live in South Africa). He could barely breathe and couldn't sleep. Last week tuesday he went for xrays and they found fluid around his lung. Long story short, his left lung had been compressed to a quarter of the size due to blood pooling around the lung. When in surgery to drain the blood they took a biopsy of what they thought was a benign growth on his rib. He got the results today and it has been confirmed to be malignant. 
I have been with him for 7 years, and we were just starting to talk about getting married at the end of the year or early next year. I feel like my world has just shattered, and due to a major increase in positive COVID cases here, I am not allowed visitation with him. 
I was wondering if anyone had any advice on what to do to support him through this, or how to handle this diagnosis? I am quite lost...</t>
        </is>
      </c>
      <c r="D8881" t="n">
        <v>1</v>
      </c>
      <c r="E8881" t="n">
        <v>15</v>
      </c>
      <c r="F8881">
        <f>HYPERLINK("https://www.reddit.com/r/cancer/comments/g4s3fe/boyfriend_diagnosed_with_ewings_sarcoma/")</f>
        <v/>
      </c>
      <c r="G8881" t="inlineStr">
        <is>
          <t>2020-04-20 05:43:56</t>
        </is>
      </c>
      <c r="H8881" t="inlineStr"/>
    </row>
    <row r="8882">
      <c r="A8882" t="inlineStr">
        <is>
          <t>g4u924</t>
        </is>
      </c>
      <c r="B8882" t="inlineStr">
        <is>
          <t>A Conversation with Ben Moon - Photographer, Author, Filmmaker &amp;amp; Cancer Survivor</t>
        </is>
      </c>
      <c r="C8882" t="inlineStr">
        <is>
          <t>[https://open.spotify.com/episode/46NqBOMO47RjsIE5u51H0A?si=bpxim9qAS-2c1j2gXS1m6A](https://open.spotify.com/episode/46NqBOMO47RjsIE5u51H0A?si=bpxim9qAS-2c1j2gXS1m6A)
Ben really opens up about his life during and after cancer, his difficulty with relationships due to having a colostomy bag and how his companion Denali helped him get through the worst parts. Its an amazing story and definitely one worth listening to.</t>
        </is>
      </c>
      <c r="D8882" t="n">
        <v>1</v>
      </c>
      <c r="E8882" t="n">
        <v>0</v>
      </c>
      <c r="F8882">
        <f>HYPERLINK("https://www.reddit.com/r/cancer/comments/g4u924/a_conversation_with_ben_moon_photographer_author/")</f>
        <v/>
      </c>
      <c r="G8882" t="inlineStr">
        <is>
          <t>2020-04-20 07:55:17</t>
        </is>
      </c>
      <c r="H8882" t="inlineStr"/>
    </row>
    <row r="8883">
      <c r="A8883" t="inlineStr">
        <is>
          <t>g4vghl</t>
        </is>
      </c>
      <c r="B8883" t="inlineStr">
        <is>
          <t>Alline Procap?</t>
        </is>
      </c>
      <c r="C8883" t="inlineStr">
        <is>
          <t>Hi everyone.    
My mother was diagnosed with breast cancer a few weeks ago.    
She felt something in her boob which wasn't supposed to be there, she thought. She made me, her daughter, feel it as well, just so she didn't make an appointment for nothing.    
She got a mammography, and the lady immediately made an appointment with the hospital to get it checked out more. My mother still had hope it wasn't too bad, but I already had a bad feeling. Now with COVID19, only the very important appointments are still allowed to happen, everything else gets cancelled. So, yeah.    
Turns out she had a tumor, and it already spread to her lymph nodes. She had both the tumor and 4 (or 5) lymph nodes removed. Had to stay in the hospital for about 5 days.    
She's back home now, but she had another appointment today. They still had to wait for more test results, to make sure she had to get chemo or radiation.    
She has to get both.    
First chemo, every other week, for 4 weeks. Then for 12 days, every day. Then she gets a break, and then she has to get radiation.  
I had a friend a while ago who took Alline Procap, and she told me it was pretty expensive, but it really worked.    
My mother loves her hair. It's already very thin and fragile, and the doctors told her she's going to be completely bald after her second chemo appointment.    
I know I can't really help her in this time, but I wanna try my best.     
Has anyone ever tried these pills? If so, what was your experience? Please don't be afraid to be honest. If you're sure it won't work, please just tell me.  
&amp;amp;#x200B;
I'm so very sorry if this question has been asked before. I'm also sorry if some of the words I used are wrong. English is not my main language and I had to translate a few of them, as this is not a topic I speak about everyday.    
Thanks in advance.</t>
        </is>
      </c>
      <c r="D8883" t="n">
        <v>1</v>
      </c>
      <c r="E8883" t="n">
        <v>4</v>
      </c>
      <c r="F8883">
        <f>HYPERLINK("https://www.reddit.com/r/cancer/comments/g4vghl/alline_procap/")</f>
        <v/>
      </c>
      <c r="G8883" t="inlineStr">
        <is>
          <t>2020-04-20 09:01:38</t>
        </is>
      </c>
      <c r="H8883" t="inlineStr"/>
    </row>
    <row r="8884">
      <c r="A8884" t="inlineStr">
        <is>
          <t>g4wfbn</t>
        </is>
      </c>
      <c r="B8884" t="inlineStr">
        <is>
          <t>Is jaundice a bad sign in stage 4 cancer?</t>
        </is>
      </c>
      <c r="C8884" t="inlineStr">
        <is>
          <t>I'm so sorry Reddit. I feel like I'm posting here nearly every single day but everyone has been so helpful and it's really become my go to place for support. 
This afternoon my dads face has gone really yellow. Also the whites of his eyes.. It seems to have happened all of a sudden? Is this a bad sign? 
He's on hospice at home care currently.. He has stage 4 pancreatic, spread to his liver, lungs and bowel. If that makes a difference.</t>
        </is>
      </c>
      <c r="D8884" t="n">
        <v>1</v>
      </c>
      <c r="E8884" t="n">
        <v>23</v>
      </c>
      <c r="F8884">
        <f>HYPERLINK("https://www.reddit.com/r/cancer/comments/g4wfbn/is_jaundice_a_bad_sign_in_stage_4_cancer/")</f>
        <v/>
      </c>
      <c r="G8884" t="inlineStr">
        <is>
          <t>2020-04-20 09:51:56</t>
        </is>
      </c>
      <c r="H8884" t="inlineStr"/>
    </row>
    <row r="8885">
      <c r="A8885" t="inlineStr">
        <is>
          <t>g4xsdd</t>
        </is>
      </c>
      <c r="B8885" t="inlineStr">
        <is>
          <t>Lump in middle of chest</t>
        </is>
      </c>
      <c r="C8885" t="inlineStr">
        <is>
          <t>There's a lump in the middle of the chest. It's almost at xiphoid process. It's hard and not painful but I'm scared as shit. Should i go see a doctor?</t>
        </is>
      </c>
      <c r="D8885" t="n">
        <v>1</v>
      </c>
      <c r="E8885" t="n">
        <v>2</v>
      </c>
      <c r="F8885">
        <f>HYPERLINK("https://www.reddit.com/r/cancer/comments/g4xsdd/lump_in_middle_of_chest/")</f>
        <v/>
      </c>
      <c r="G8885" t="inlineStr">
        <is>
          <t>2020-04-20 11:00:56</t>
        </is>
      </c>
      <c r="H8885" t="inlineStr"/>
    </row>
    <row r="8886">
      <c r="A8886" t="inlineStr">
        <is>
          <t>g4zey0</t>
        </is>
      </c>
      <c r="B8886" t="inlineStr">
        <is>
          <t>I want to help but idk where to go</t>
        </is>
      </c>
      <c r="C8886" t="inlineStr">
        <is>
          <t>I have been growing out and taking care of my hair for years now just to donate. I have heard of many company charging patients for the wigs but I was wondering if their are any that dose not or dose it at a really low cost. Please help me</t>
        </is>
      </c>
      <c r="D8886" t="n">
        <v>1</v>
      </c>
      <c r="E8886" t="n">
        <v>2</v>
      </c>
      <c r="F8886">
        <f>HYPERLINK("https://www.reddit.com/r/cancer/comments/g4zey0/i_want_to_help_but_idk_where_to_go/")</f>
        <v/>
      </c>
      <c r="G8886" t="inlineStr">
        <is>
          <t>2020-04-20 12:30:19</t>
        </is>
      </c>
      <c r="H8886" t="inlineStr"/>
    </row>
    <row r="8887">
      <c r="A8887" t="inlineStr">
        <is>
          <t>g5336x</t>
        </is>
      </c>
      <c r="B8887" t="inlineStr">
        <is>
          <t>How do I remain positive?</t>
        </is>
      </c>
      <c r="C8887" t="inlineStr">
        <is>
          <t>I have just found this subreddit and wanted to share my story. I am 16 and I have been diagnosed with B-Cell acute lymphoblastic leukemia for over a year. I was diagnosed with it a week before my 15th birthday and I have found it really difficult to talk to people about it. Anyone here who has beat cancer who has any tips on keeping your mental health in check and not losing to your demons?</t>
        </is>
      </c>
      <c r="D8887" t="n">
        <v>1</v>
      </c>
      <c r="E8887" t="n">
        <v>21</v>
      </c>
      <c r="F8887">
        <f>HYPERLINK("https://www.reddit.com/r/cancer/comments/g5336x/how_do_i_remain_positive/")</f>
        <v/>
      </c>
      <c r="G8887" t="inlineStr">
        <is>
          <t>2020-04-20 15:42:11</t>
        </is>
      </c>
      <c r="H8887" t="inlineStr"/>
    </row>
    <row r="8888">
      <c r="A8888" t="inlineStr">
        <is>
          <t>g539wc</t>
        </is>
      </c>
      <c r="B8888" t="inlineStr">
        <is>
          <t>Are these spots melanoma?</t>
        </is>
      </c>
      <c r="C8888" t="inlineStr">
        <is>
          <t xml:space="preserve"> I’ve had these spots below my right knee for at least 3 months. Initially I would scratch and tear them off, but they would come back. They seem to have increased in size. I also have similar spots below my right ankle. Due to the quarantine I’ve been unable to see any doctors, and I’m concerned they might be cancer. If anybody knows what it is, please let me know.</t>
        </is>
      </c>
      <c r="D8888" t="n">
        <v>1</v>
      </c>
      <c r="E8888" t="n">
        <v>1</v>
      </c>
      <c r="F8888">
        <f>HYPERLINK("https://www.reddit.com/r/cancer/comments/g539wc/are_these_spots_melanoma/")</f>
        <v/>
      </c>
      <c r="G8888" t="inlineStr">
        <is>
          <t>2020-04-20 15:52:35</t>
        </is>
      </c>
      <c r="H8888" t="inlineStr"/>
    </row>
    <row r="8889">
      <c r="A8889" t="inlineStr">
        <is>
          <t>g55r37</t>
        </is>
      </c>
      <c r="B8889" t="inlineStr">
        <is>
          <t>is this cancerous and should I be worried?</t>
        </is>
      </c>
      <c r="C8889" t="inlineStr">
        <is>
          <t>Hello everyone I am a 19M, 299 lbs and 6”0.
I started experiencing lower back pain with the pain goes down to my left leg like 4months ago. Pain medications with muscle relaxer were no help. I then was sent to a neurosurgeon. He ordered and MRI with and XRAY that captures my spine when I bend back and forwards. I got my tests read today and this kinda scares me out. 
So here are the full reports: 
-XRAY-
LS SPINE FLEX/EXT MIN 6 VIEWS
HISTORY:
M54.5 Lower Back Pain M54.42
Lower back pain with left sciatica M79.605
Left Leg Pain M62.81
Muscle weakness R26.2
Difficulty Walking M21.372
Left Foot Drop
Views: standing AP, lateral (neutral, flexion and extension)
There are no acute fractures. Cortical margins are intact. Vertebral body heights are well-maintained.
Intervertebral disc heights are well-maintained.
There is no osteophyte formation.
Facet joints are unremarkable.
There is bilateral L5 spondylolysis.
There is grade 1 mm anterolisthesis of L5 relative to S1. There is no evidence of dynamic instability with flexion or extension.
Sacroiliac joints demonstrate no degenerative changes..
Lumbar lordotic curve is normal.
IMPRESSION: Bilateral spondylolysis L5.. M43.06
Grade 1 anterolisthesis L5-S1 M43.16
No evidence of dynamic instability.
-MRI-
MRI-3T LUMBAR SPINE NON CONTRAST
History: Low back pain radiating to the left lower extremity.
TECHNIQUE: Sagittal T1-weighted, T2-weighted and STIR images were supplemented by axial proton density images and axial T1-FLAIR images on a 3.0 Tesla system.
Comparison examination: Plain film studies dated April 20 and March 17, 2020.
Alignment: Minimal Grade I spondylolisthesis at L5-S1.
L4-5: Mild degenerative disc disease with a central disc herniation without thecal sac or nerve root compression.
L5-S1: Grade I spondylolisthesis secondary to bilateral spondylolysis of L5 without compression of the L5 nerve roots, thecal sac or S1 nerve roots.
Vertebral bodies: No compression fractures are seen.
Conus medullaris: Normal.
Cauda equina: Multiple masses are seen associated with the nerve roots of the cauda equina. There is a mass behind the body of L4 that measures 3.4 mm in anterior-posterior dimension, 4 mm in craniocaudad dimension and 6.2 mm in left-right dimension. A larger mass is seen at the level of the L2-3 disc space that measures 1.5 cm in left-right dimension, 9 mm in anterior-posterior dimension and 2.1 cm in craniocaudad dimension.
Bone marrow signal: No pathologic marrow infiltration or bone marrow edema is seen.
Facet joints: Normal.
Kidneys: Normal.
IMPRESSION:
Multiple masses associated nerve roots of the cauda equina is strongly suggestive of a nerve sheath tumors. Further evaluation with contrast-enhanced MR of the lumbar spine is recommended.
Grade I spondylolisthesis at L5-S1 secondary to bilateral spondylolysis of L5 without thecal sac or nerve root compression.
Mild degenerative disc disease at L4-5 with a central disc herniation without stenosis or nerve root compression.
ICD 10 - Degeneration Lumbar Spine, M51.36
Herniated disc lumbar spine, M51.26
Spondylolisthesis, M43.16
I have masses in my cauda equina... should I be worried? I read online and most of them require surgery... is there any non surgical treatment?</t>
        </is>
      </c>
      <c r="D8889" t="n">
        <v>1</v>
      </c>
      <c r="E8889" t="n">
        <v>1</v>
      </c>
      <c r="F8889">
        <f>HYPERLINK("https://www.reddit.com/r/cancer/comments/g55r37/is_this_cancerous_and_should_i_be_worried/")</f>
        <v/>
      </c>
      <c r="G8889" t="inlineStr">
        <is>
          <t>2020-04-20 18:22:41</t>
        </is>
      </c>
      <c r="H8889" t="inlineStr"/>
    </row>
    <row r="8890">
      <c r="A8890" t="inlineStr">
        <is>
          <t>g5676v</t>
        </is>
      </c>
      <c r="B8890" t="inlineStr">
        <is>
          <t>Can viruses kill cancer cells?</t>
        </is>
      </c>
      <c r="C8890" t="inlineStr">
        <is>
          <t>So recently with the whole covid19 thing i have read how humans could create their own virus (not saying coronavirus is human made) and my question is. how is it not possible to make a virus that detects a cancer cell  and auto kills it?</t>
        </is>
      </c>
      <c r="D8890" t="n">
        <v>1</v>
      </c>
      <c r="E8890" t="n">
        <v>4</v>
      </c>
      <c r="F8890">
        <f>HYPERLINK("https://www.reddit.com/r/cancer/comments/g5676v/can_viruses_kill_cancer_cells/")</f>
        <v/>
      </c>
      <c r="G8890" t="inlineStr">
        <is>
          <t>2020-04-20 18:50:55</t>
        </is>
      </c>
      <c r="H8890" t="inlineStr"/>
    </row>
    <row r="8891">
      <c r="A8891" t="inlineStr">
        <is>
          <t>g56lec</t>
        </is>
      </c>
      <c r="B8891" t="inlineStr">
        <is>
          <t>Help! What to say/ how to reach out to a friend dying of cancer?</t>
        </is>
      </c>
      <c r="C8891" t="inlineStr">
        <is>
          <t>I have a friend who I just found out doesn’t have much time left. I’ve never been super close with her, but still someone in like an outer circle of friends.  I’ve always wanted to be respectful of my friend’s privacy since they’ve been keeping medical issues private. Anyway, at this point I feel like I really want to reach out and say something/ send something to express that I have heard the news, and am thinking of them. I just don’t know what to say exactly. Does anyone have any advice or an experience of what they said to someone they knew that was on their deathbed. I just worry whatever i say is just going to be the wrong thing.</t>
        </is>
      </c>
      <c r="D8891" t="n">
        <v>1</v>
      </c>
      <c r="E8891" t="n">
        <v>3</v>
      </c>
      <c r="F8891">
        <f>HYPERLINK("https://www.reddit.com/r/cancer/comments/g56lec/help_what_to_say_how_to_reach_out_to_a_friend/")</f>
        <v/>
      </c>
      <c r="G8891" t="inlineStr">
        <is>
          <t>2020-04-20 19:15:08</t>
        </is>
      </c>
      <c r="H8891" t="inlineStr"/>
    </row>
    <row r="8892">
      <c r="A8892" t="inlineStr">
        <is>
          <t>g59aqe</t>
        </is>
      </c>
      <c r="B8892" t="inlineStr">
        <is>
          <t>Worried I have cancer</t>
        </is>
      </c>
      <c r="C8892" t="inlineStr">
        <is>
          <t>I’ve had a frontal headache for 18 days. I also sometimes have some cheekbone/facial pain. I tried antibiotics, those didn’t work. I got a brain CT and it came back normal. Just started steroids and those don’t seem to be helping. I’m thinking I might have nasopharyngeal carcinoma. I read that a lot of patients with this cancer only present headaches. Thoughts?</t>
        </is>
      </c>
      <c r="D8892" t="n">
        <v>1</v>
      </c>
      <c r="E8892" t="n">
        <v>1</v>
      </c>
      <c r="F8892">
        <f>HYPERLINK("https://www.reddit.com/r/cancer/comments/g59aqe/worried_i_have_cancer/")</f>
        <v/>
      </c>
      <c r="G8892" t="inlineStr">
        <is>
          <t>2020-04-20 22:21:51</t>
        </is>
      </c>
      <c r="H8892" t="inlineStr"/>
    </row>
    <row r="8893">
      <c r="A8893" t="inlineStr">
        <is>
          <t>g5gq0q</t>
        </is>
      </c>
      <c r="B8893" t="inlineStr">
        <is>
          <t>Brca1 and brca2 mutation and ovarian cyst</t>
        </is>
      </c>
      <c r="C8893" t="inlineStr">
        <is>
          <t>Hello, my mother got diagnosed with breast cancer at a " young age" ( 50 years old) , it was stage 4 so it was probably growing for years
I did a genetic test for 30 cancer gene and they found 2 variant of uncertain significance in brca 1 and brca2
The problem is my pregnant sister have a very big ovarian cyst, 7 or 8 cm maybe, it's causing pzin and growing
Doctor said it's without any doubt an ovarian cyst but I'm afraid it can be something more sinister
My sister doesn't know  at all that I did a genetic test, I don't want to scare her, especially since these 2 mutation have 90% chance to be reclassified as benign
She's already following a monitoring program because of family history (only my mother)
Do you think this cyst is cancerous?</t>
        </is>
      </c>
      <c r="D8893" t="n">
        <v>0</v>
      </c>
      <c r="E8893" t="n">
        <v>2</v>
      </c>
      <c r="F8893">
        <f>HYPERLINK("https://www.reddit.com/r/cancer/comments/g5gq0q/brca1_and_brca2_mutation_and_ovarian_cyst/")</f>
        <v/>
      </c>
      <c r="G8893" t="inlineStr">
        <is>
          <t>2020-04-21 07:57:40</t>
        </is>
      </c>
      <c r="H8893" t="inlineStr"/>
    </row>
    <row r="8894">
      <c r="A8894" t="inlineStr">
        <is>
          <t>g5iou9</t>
        </is>
      </c>
      <c r="B8894" t="inlineStr">
        <is>
          <t>What type of cancer did one of my childhood friends have?</t>
        </is>
      </c>
      <c r="C8894" t="inlineStr">
        <is>
          <t>Sorry if this isn't really the best place to ask but I couldn't think of anything else.
Basically when I was around 9-10, a kid in my class died of pneumonia. The reason he died from it is because he was weak from the cancer he had. If I remember correctly, he went into remission but was still weak and unfortunately passed. He suffered with it for a couple of years and never really came into school very often because of it. Whenever he did though, I remember he would go around in a wheelchair and he had a large tumour/lump on the back of his upper neck. Everyone in our class was only told he had cancer and not what type. Any help appreciated.</t>
        </is>
      </c>
      <c r="D8894" t="n">
        <v>2</v>
      </c>
      <c r="E8894" t="n">
        <v>1</v>
      </c>
      <c r="F8894">
        <f>HYPERLINK("https://www.reddit.com/r/cancer/comments/g5iou9/what_type_of_cancer_did_one_of_my_childhood/")</f>
        <v/>
      </c>
      <c r="G8894" t="inlineStr">
        <is>
          <t>2020-04-21 09:43:24</t>
        </is>
      </c>
      <c r="H8894" t="inlineStr"/>
    </row>
    <row r="8895">
      <c r="A8895" t="inlineStr">
        <is>
          <t>g5ityj</t>
        </is>
      </c>
      <c r="B8895" t="inlineStr">
        <is>
          <t>I need some help</t>
        </is>
      </c>
      <c r="C8895" t="inlineStr">
        <is>
          <t>My husband has battled nasopharyngeal cancer since Jan 2013. He has been through radiation, several kinds of chemo, immune therapy and now dr is telling us that all avenues of therapy have been exhausted. He was ready to go on trials but they have been canceled because of covid19. My husband is on a feeding tube ..and because his weight has increased.. he refuses to accept what dr is saying. He thinks he can insist on getting more chemo. I tell him that it will give his body a rest from chemo and maybe his immune system can take over but he gets furious with me. Tells me that I’m giving up on him. He says hospice means he is dying and that he isn’t dying. I would like hospice to visit us and help with things but the mention of hospice infuriates him. I can’t make him see that I need some help too. Does anyone have any advice that will help this situation? Thank you for reading this and for any words you have for us.</t>
        </is>
      </c>
      <c r="D8895" t="n">
        <v>5</v>
      </c>
      <c r="E8895" t="n">
        <v>22</v>
      </c>
      <c r="F8895">
        <f>HYPERLINK("https://www.reddit.com/r/cancer/comments/g5ityj/i_need_some_help/")</f>
        <v/>
      </c>
      <c r="G8895" t="inlineStr">
        <is>
          <t>2020-04-21 09:51:04</t>
        </is>
      </c>
      <c r="H8895" t="inlineStr"/>
    </row>
    <row r="8896">
      <c r="A8896" t="inlineStr">
        <is>
          <t>g5kn9a</t>
        </is>
      </c>
      <c r="B8896" t="inlineStr">
        <is>
          <t>How to Cope with a loved one having cancer</t>
        </is>
      </c>
      <c r="C8896" t="inlineStr">
        <is>
          <t>There are so many existential questions people ask themselves when they are diagnosed, or when a loved one has been diagnosed.
I remember I was in elementary school when my mother was diagnosed. She was informed over our landline phone by the doctor, and I was silently listening to the call while the news was dropped. I was 11. My mom was calm, cool, and collected, and asked questions about the next steps. I, on the other hand, spiked the telephone onto my bed and proceeded to hysterically cry until my mom came in to comfort me. I learned that it should have been the other way around, I should have been comforting her, but I was 11 and needed a decade to learn that lesson
My mom had cancer for almost 8 years. And without talking about myself too much, I’ve learned some ways to really let the beauty shine in the situation, as opposed to getting buried in stress, emotions, and the unknowns.
I will list some of the things and elaborate more afterwards
1) accept that the roles of the relationship have changed, and it was outside of your control
2) learn to appreciate dark humor 
3) change your mindset to relationship management as a growth driven mindset as opposed to a destiny driven mindset 
4) do not make assumptions
5) enjoy, but don’t obsess over, learning about nutrition, drugs, health, healthcare, and insurance, etc.
6) build community 
—
1)
Your partner, parent, sibling, or child may have played a particular role in your life before - and no matter how much you loved that and wish it didn’t change - the dynamics did change. What they used to have the energy to do, they might not anymore. And that’s okay. Sit back, observe and project what the new normal will be, and you manage that situation to the best of your ability. It’s your job now to make surviving an enjoyable experience. You are now a team member with the responsibility of a team leader, and you can do it. Don’t be afraid of the future. You will rise to the occasion, and your loved one will look forward to your involvement in their life every day. 
2) there’s something about being terminally ill that changes your sense of humor. Everybody involved will have a changed perspective. It used to be annoying with the dog farted on the couch, but now, it’s funny because someone jokes that the dog is trying to kill everybody quicker. Losing your hair used to be depressing, because usually it is a painful experience, but it opens a vast opportunity for jokes - crystal balls seeing into the future, opportunity to have Trump hair, rubbing it for good luck, or a blinding shine everywhere they go, or the bandana they wear makes them look like a gangster. There is humor in everything, and you need to help your sick loved one find it, if they don’t help you find it first
3) if you believe destiny has the wheel, your less likely to make personal changes for and with your loved one. Yeah, they’re having trouble keeping food down, but it doesn’t mean you don’t put in the effort to prepare a nutritious and delicious meal. Yeah, they might not be able to sleep, but that doesn’t mean that time can’t be spent doing something fun, educational, or inspiring. Yeah, they might have a lower immune system, but that doesn’t mean you don’t make a conscious effort to boost the immune system so they can enjoy the things they like to enjoy, even if you have to push them in a wheelchair
4) don’t assume your doctors are correct 100% of the time, don’t assume your thoughts are not part of a bigger plan, do not assume this situation is not extremely rewarding and rich in life’s deepest lessons, and don’t assume you can’t rise to the occasion. Don’t assume anything. Be omni directional in your approach to loving, caring, and rehabilitating your loved one
5) the more you learn about, and worry about, the less your loved one has to. Remember, you’re now the leader - whether it’s just in your own mind or openly in your family.
6) never push yourself to the point of stress, because it will make the patient feel like a burden. Find a healthy balance of help and don’t be afraid to respectfully ask for it. Your neighbors, church members, friends, and family will be as supportive as you need. You might have to ask, but that’s ok, that’s what leaders do.
I hope this post helps at least one person who is going through one of the toughest situations known to man - watching a loved one degenerate. But remember nothing is impossible and regeneration is the most important aspect to healing
Thanks for reading. Now, go crack a bald joke and make a delicious salad for you and your loved ones to share.</t>
        </is>
      </c>
      <c r="D8896" t="n">
        <v>2</v>
      </c>
      <c r="E8896" t="n">
        <v>11</v>
      </c>
      <c r="F8896">
        <f>HYPERLINK("https://www.reddit.com/r/cancer/comments/g5kn9a/how_to_cope_with_a_loved_one_having_cancer/")</f>
        <v/>
      </c>
      <c r="G8896" t="inlineStr">
        <is>
          <t>2020-04-21 11:26:39</t>
        </is>
      </c>
      <c r="H8896" t="inlineStr"/>
    </row>
    <row r="8897">
      <c r="A8897" t="inlineStr">
        <is>
          <t>g5lr2l</t>
        </is>
      </c>
      <c r="B8897" t="inlineStr">
        <is>
          <t>Do you nervously rub your lymph nodes?</t>
        </is>
      </c>
      <c r="C8897" t="inlineStr">
        <is>
          <t>I think the lymph nodes on the back of my neck are swollen from the rash caused by chemo. I keep feeling them to see how swollen they are, and am hoping they're not new mets.</t>
        </is>
      </c>
      <c r="D8897" t="n">
        <v>1</v>
      </c>
      <c r="E8897" t="n">
        <v>1</v>
      </c>
      <c r="F8897">
        <f>HYPERLINK("https://www.reddit.com/r/cancer/comments/g5lr2l/do_you_nervously_rub_your_lymph_nodes/")</f>
        <v/>
      </c>
      <c r="G8897" t="inlineStr">
        <is>
          <t>2020-04-21 12:23:58</t>
        </is>
      </c>
      <c r="H8897" t="inlineStr"/>
    </row>
    <row r="8898">
      <c r="A8898" t="inlineStr">
        <is>
          <t>g5m7uj</t>
        </is>
      </c>
      <c r="B8898" t="inlineStr">
        <is>
          <t>Online support groups?</t>
        </is>
      </c>
      <c r="C8898" t="inlineStr">
        <is>
          <t>My wife is headed into a major surgery this week. It’ll give her the best chance of being free of disease for good, but she’ll be left with ostomy bags. Does anyone know of online communities she can look to for support in adjusting to her new normal? The team of doctors she’s with will also put into in touch with groups, but we want to make sure she has all resources available. 
P.S. I previously posted on this thread looking for some positivity for my wife as she started down this road, and you all came through. Thank you again from the bottom of my heart!</t>
        </is>
      </c>
      <c r="D8898" t="n">
        <v>3</v>
      </c>
      <c r="E8898" t="n">
        <v>8</v>
      </c>
      <c r="F8898">
        <f>HYPERLINK("https://www.reddit.com/r/cancer/comments/g5m7uj/online_support_groups/")</f>
        <v/>
      </c>
      <c r="G8898" t="inlineStr">
        <is>
          <t>2020-04-21 12:48:23</t>
        </is>
      </c>
      <c r="H8898" t="inlineStr"/>
    </row>
    <row r="8899">
      <c r="A8899" t="inlineStr">
        <is>
          <t>g5n5q1</t>
        </is>
      </c>
      <c r="B8899" t="inlineStr">
        <is>
          <t>Help?</t>
        </is>
      </c>
      <c r="C8899" t="inlineStr">
        <is>
          <t>Hi. My mom was recently diagnosed with breast cancer and the whole (immediate) family is understandably freaking out. We’re the only ones who know so far. What can I do to make my mom feel better and keep the family unit in a good place? I wish that we could just go back two months in time, but since we can’t, I just want to be able to make things as okay as they can be in a time of cancer and covid.</t>
        </is>
      </c>
      <c r="D8899" t="n">
        <v>1</v>
      </c>
      <c r="E8899" t="n">
        <v>8</v>
      </c>
      <c r="F8899">
        <f>HYPERLINK("https://www.reddit.com/r/cancer/comments/g5n5q1/help/")</f>
        <v/>
      </c>
      <c r="G8899" t="inlineStr">
        <is>
          <t>2020-04-21 13:37:17</t>
        </is>
      </c>
      <c r="H8899" t="inlineStr"/>
    </row>
    <row r="8900">
      <c r="A8900" t="inlineStr">
        <is>
          <t>g5p4py</t>
        </is>
      </c>
      <c r="B8900" t="inlineStr">
        <is>
          <t>Just read this about cancer. from cancer.gov</t>
        </is>
      </c>
      <c r="C8900" t="inlineStr">
        <is>
          <t>I think people might be illiterate or wait for information on their TV sets. But all the proof you need is right here.   
 [https://www.cancer.gov/about-cancer/treatment/cam/hp/cannabis-pdq](https://www.cancer.gov/about-cancer/treatment/cam/hp/cannabis-pdq)</t>
        </is>
      </c>
      <c r="D8900" t="n">
        <v>1</v>
      </c>
      <c r="E8900" t="n">
        <v>3</v>
      </c>
      <c r="F8900">
        <f>HYPERLINK("https://www.reddit.com/r/cancer/comments/g5p4py/just_read_this_about_cancer_from_cancergov/")</f>
        <v/>
      </c>
      <c r="G8900" t="inlineStr">
        <is>
          <t>2020-04-21 15:24:44</t>
        </is>
      </c>
      <c r="H8900" t="inlineStr"/>
    </row>
    <row r="8901">
      <c r="A8901" t="inlineStr">
        <is>
          <t>g5pt38</t>
        </is>
      </c>
      <c r="B8901" t="inlineStr">
        <is>
          <t>Dad got diagnosed. I live an hour away from him and my city is in lockdown.</t>
        </is>
      </c>
      <c r="C8901" t="inlineStr">
        <is>
          <t>There are control points outside of my city so there's no way I can see him. Besides, due to him being more than 80 years old and me living in an area strongly affected by the coronavirus, I wouldn't want to risk it anyway.
How can I give him the support he needs in such circumstances?</t>
        </is>
      </c>
      <c r="D8901" t="n">
        <v>1</v>
      </c>
      <c r="E8901" t="n">
        <v>4</v>
      </c>
      <c r="F8901">
        <f>HYPERLINK("https://www.reddit.com/r/cancer/comments/g5pt38/dad_got_diagnosed_i_live_an_hour_away_from_him/")</f>
        <v/>
      </c>
      <c r="G8901" t="inlineStr">
        <is>
          <t>2020-04-21 16:03:38</t>
        </is>
      </c>
      <c r="H8901" t="inlineStr"/>
    </row>
    <row r="8902">
      <c r="A8902" t="inlineStr">
        <is>
          <t>g5qabc</t>
        </is>
      </c>
      <c r="B8902" t="inlineStr">
        <is>
          <t>Never Give Up! Queens heart transplant recipient and cancer survivor beats coronavirus</t>
        </is>
      </c>
      <c r="C8902" t="inlineStr">
        <is>
          <t>[Inspiring story](https://nypost.com/2020/04/19/queens-heart-transplant-recipient-cancer-survivor-beats-coronavirus/) about a heart transplant recipient who's also a cancer survivor who beats coronavirus. #inspiring
&amp;amp;#x200B;</t>
        </is>
      </c>
      <c r="D8902" t="n">
        <v>3</v>
      </c>
      <c r="E8902" t="n">
        <v>2</v>
      </c>
      <c r="F8902">
        <f>HYPERLINK("https://www.reddit.com/r/cancer/comments/g5qabc/never_give_up_queens_heart_transplant_recipient/")</f>
        <v/>
      </c>
      <c r="G8902" t="inlineStr">
        <is>
          <t>2020-04-21 16:32:27</t>
        </is>
      </c>
      <c r="H8902" t="inlineStr"/>
    </row>
    <row r="8903">
      <c r="A8903" t="inlineStr">
        <is>
          <t>g5sz9o</t>
        </is>
      </c>
      <c r="B8903" t="inlineStr">
        <is>
          <t>Dad has insomnia, itchiness, and isn’t feeling hungry</t>
        </is>
      </c>
      <c r="C8903" t="inlineStr">
        <is>
          <t>My dad was diagnosed with stage 4 lung cancer in February. Tomorrow he will get his 3rd round of chemotherapy and the doctors will see if there’s any progress with the cancer. He had a lot of continuous itchiness from the last chemo and it affected his sleep a lot. He stays up all night and sleeps during the day. Today, he’s saying he’s not hungry and is unable to eat dinner. I’m the paranoid type so I’ve been googling everything and the answer always end up being the thing I’m scared of the most. Are these symptoms usually common with cancer patients? Is my dad not eating well due to depression and nervousness about his chemo tomorrow? (He was really irritated with me today. He is usually a rational person but he was angry over little things. It was my first time witnessing this behavior) I don’t want to think about my dad nearing the end of his life. I’m not ready to lose him yet. I can’t lose him yet. I only spent 26 years with him. I want to spend forever with him.</t>
        </is>
      </c>
      <c r="D8903" t="n">
        <v>1</v>
      </c>
      <c r="E8903" t="n">
        <v>3</v>
      </c>
      <c r="F8903">
        <f>HYPERLINK("https://www.reddit.com/r/cancer/comments/g5sz9o/dad_has_insomnia_itchiness_and_isnt_feeling_hungry/")</f>
        <v/>
      </c>
      <c r="G8903" t="inlineStr">
        <is>
          <t>2020-04-21 19:28:51</t>
        </is>
      </c>
      <c r="H8903" t="inlineStr"/>
    </row>
    <row r="8904">
      <c r="A8904" t="inlineStr">
        <is>
          <t>g5t4j7</t>
        </is>
      </c>
      <c r="B8904" t="inlineStr">
        <is>
          <t>Medical Marijuana</t>
        </is>
      </c>
      <c r="C8904" t="inlineStr">
        <is>
          <t>Have any of your family members tried marijuana?  My dad has stage 3 lung cancer , and is having a really rough night. I got him some edibles, and he won’t try it. I can’t understand why!  His doctor even OK’d it.</t>
        </is>
      </c>
      <c r="D8904" t="n">
        <v>1</v>
      </c>
      <c r="E8904" t="n">
        <v>11</v>
      </c>
      <c r="F8904">
        <f>HYPERLINK("https://www.reddit.com/r/cancer/comments/g5t4j7/medical_marijuana/")</f>
        <v/>
      </c>
      <c r="G8904" t="inlineStr">
        <is>
          <t>2020-04-21 19:39:23</t>
        </is>
      </c>
      <c r="H8904" t="inlineStr"/>
    </row>
    <row r="8905">
      <c r="A8905" t="inlineStr">
        <is>
          <t>g5wkqg</t>
        </is>
      </c>
      <c r="B8905" t="inlineStr">
        <is>
          <t>Please: A COVID-19 Lymphoma Birthday</t>
        </is>
      </c>
      <c r="C8905" t="inlineStr">
        <is>
          <t>Hi Everyone,
I don't know if this can be pinned or not. This is my First post here. My sister is undergoing ABVD for hodgkins lymphoma. **Her 24th birthday is April 30, 2020.** My whole family is quarantined and staying inside to keep her safe. Her immune system is severely compromised and she is suffering the effects of her chemotherapy. We are trying to bring her some joy this birthday amongst the stress on her birthday as she will have no access to her friends or other family.
**If you could offer some words of support or encouragement I would really appreciate it. Please send your kinds words and support to** [**lindsayelliottis24@gmail.com**](mailto:lindsayelliottis24@gmail.com) **I will compile them in a card to give her. Please say you are from reddit, and you may post your reddit id.**
Please share this with anyone who is a cancer or hodgkins survivor or suffering through hodgkins or cancer to let her know things will get better. This is a scary time for our family, but I really want to celebrate her birthday with positive messages.
Thank you.</t>
        </is>
      </c>
      <c r="D8905" t="n">
        <v>1</v>
      </c>
      <c r="E8905" t="n">
        <v>0</v>
      </c>
      <c r="F8905">
        <f>HYPERLINK("https://www.reddit.com/r/cancer/comments/g5wkqg/please_a_covid19_lymphoma_birthday/")</f>
        <v/>
      </c>
      <c r="G8905" t="inlineStr">
        <is>
          <t>2020-04-22 00:12:59</t>
        </is>
      </c>
      <c r="H8905" t="inlineStr"/>
    </row>
    <row r="8906">
      <c r="A8906" t="inlineStr">
        <is>
          <t>g5wqmr</t>
        </is>
      </c>
      <c r="B8906" t="inlineStr">
        <is>
          <t>Over a year ago my grandmother (70) was diagnosed with stage IV NSCLC, Today we learned some interesting news.</t>
        </is>
      </c>
      <c r="C8906" t="inlineStr">
        <is>
          <t>Today we found out on a recent PET/CT scan a separate cancer has developed not related to lung cancer called squamous cell carcinoma of the soft tissue. The tumor is in an isolated area, thankfully, but I haven’t got all of the details so I’m not sure what will be next. A bit nervous but I’m hoping for the best.
On a good note, the doctor who reviewed the report of the recent PET/CT scan said the lungs and mets from the lung cancer have had a complete resolution. Great news!! And it was a shocking surprise since maintenance chemo (Pemetrexed/Alimta) has been discontinued since January due to the side effects!</t>
        </is>
      </c>
      <c r="D8906" t="n">
        <v>1</v>
      </c>
      <c r="E8906" t="n">
        <v>1</v>
      </c>
      <c r="F8906">
        <f>HYPERLINK("https://www.reddit.com/r/cancer/comments/g5wqmr/over_a_year_ago_my_grandmother_70_was_diagnosed/")</f>
        <v/>
      </c>
      <c r="G8906" t="inlineStr">
        <is>
          <t>2020-04-22 00:27:46</t>
        </is>
      </c>
      <c r="H8906" t="inlineStr"/>
    </row>
    <row r="8907">
      <c r="A8907" t="inlineStr">
        <is>
          <t>g5xk3r</t>
        </is>
      </c>
      <c r="B8907" t="inlineStr">
        <is>
          <t>Feeding tube burst - post cancer</t>
        </is>
      </c>
      <c r="C8907" t="inlineStr">
        <is>
          <t>I’m hoping I’m in the right place to ask this; 
A little bit of background, in 2013 I (F19) I had oral cancer (located on my tongue) I had a full Glossectomy, chemo and radiotherapy. 
As a result of all this I have a feeding tube (Mic-Key) in my stomach, and a few years ago I woke up in the middle of the night to discover the balloon to my tube had burst and it had slipped out. 
On Saturday night it happened again, but this time I was awake and I felt the “Pop” and some pain, the site started to bleed so I went to the hospital (during a global pandemic that was a load of fun!!) but got it sorted.
I’m just wondering what would have caused the balloon to pop... it’s honestly confused me, has this happened to anyone else? Does anyone know what’s caused it? Is there a way to prevent it happening? 
Thanks in advance</t>
        </is>
      </c>
      <c r="D8907" t="n">
        <v>1</v>
      </c>
      <c r="E8907" t="n">
        <v>5</v>
      </c>
      <c r="F8907">
        <f>HYPERLINK("https://www.reddit.com/r/cancer/comments/g5xk3r/feeding_tube_burst_post_cancer/")</f>
        <v/>
      </c>
      <c r="G8907" t="inlineStr">
        <is>
          <t>2020-04-22 01:42:45</t>
        </is>
      </c>
      <c r="H8907" t="inlineStr"/>
    </row>
    <row r="8908">
      <c r="A8908" t="inlineStr">
        <is>
          <t>g5z3i8</t>
        </is>
      </c>
      <c r="B8908" t="inlineStr">
        <is>
          <t>What helps with radiation therapy side effects?</t>
        </is>
      </c>
      <c r="C8908" t="inlineStr">
        <is>
          <t>A good friend (F32) is about to head into a pretty gnarly round of radiation therapy and potentially chemo as well for cancer in her jaw. Any ideas for things/gifts/experiences that will help, be comforting, or make it a little easier to deal with the side effects? She's got a big support network and we're all happy to go out of our way to make this easier for her. Xxx</t>
        </is>
      </c>
      <c r="D8908" t="n">
        <v>1</v>
      </c>
      <c r="E8908" t="n">
        <v>1</v>
      </c>
      <c r="F8908">
        <f>HYPERLINK("https://www.reddit.com/r/cancer/comments/g5z3i8/what_helps_with_radiation_therapy_side_effects/")</f>
        <v/>
      </c>
      <c r="G8908" t="inlineStr">
        <is>
          <t>2020-04-22 04:00:16</t>
        </is>
      </c>
      <c r="H8908" t="inlineStr"/>
    </row>
    <row r="8909">
      <c r="A8909" t="inlineStr">
        <is>
          <t>g5z3jw</t>
        </is>
      </c>
      <c r="B8909" t="inlineStr">
        <is>
          <t>Soft Part Sarcoma</t>
        </is>
      </c>
      <c r="C8909" t="inlineStr">
        <is>
          <t>Hello my brother got diagnosed with a soft part sarcoma in 2016. I am currently sixteen years old and was twelve at the time when I found out. My dad never told me about what it was or anything so to this day I still don’t really know what it is. However, in 2016 my dad did tell me he had 5 years left. It is currently year 4 and I am terrified. I just want to know if there is someone who is dealing with a soft part sarcoma who can help me understand what’s going on. I am sorry if this was a waste of time but thank you.</t>
        </is>
      </c>
      <c r="D8909" t="n">
        <v>1</v>
      </c>
      <c r="E8909" t="n">
        <v>2</v>
      </c>
      <c r="F8909">
        <f>HYPERLINK("https://www.reddit.com/r/cancer/comments/g5z3jw/soft_part_sarcoma/")</f>
        <v/>
      </c>
      <c r="G8909" t="inlineStr">
        <is>
          <t>2020-04-22 04:00:21</t>
        </is>
      </c>
      <c r="H8909" t="inlineStr"/>
    </row>
    <row r="8910">
      <c r="A8910" t="inlineStr">
        <is>
          <t>g5z5si</t>
        </is>
      </c>
      <c r="B8910" t="inlineStr">
        <is>
          <t>Being told you have the best cancer.</t>
        </is>
      </c>
      <c r="C8910" t="inlineStr">
        <is>
          <t>I have CML since I was 17, I know many people have it worse than me. And I know my treatments side effects are nowhere near IV chemotherapy and never had to have surgery. But medication already started affecting my liver and heart, and my body’s just 30 years older than my age with my energy levels and medical problems. Knowing I’ll have to take it for the rest of my life doesn’t make things better. I see family members who were diagnosed later are already in remission and don’t need treatment anymore. Always told by doctors and everyone that I have the best cancer, I just take a magic pill everyday and live life like a healthy person. I feel like I don’t have the right to complain, like I always have to pretend it’s not affecting me at all, it’s just a pill how bad can it be right? Even my friends tell me im lucky for having the excruciating circumstances option at uni when I’m just fine.. they call it the cancer card, I’m completely fine and healthy but still use it.
I basically have to work too hard not only to look healthy, but also not to use the cancer card so I’m not judged.. I’m in no way saying i have it worse than anyone, it’s just a lot of pressure I wish people didn’t put on us.</t>
        </is>
      </c>
      <c r="D8910" t="n">
        <v>1</v>
      </c>
      <c r="E8910" t="n">
        <v>14</v>
      </c>
      <c r="F8910">
        <f>HYPERLINK("https://www.reddit.com/r/cancer/comments/g5z5si/being_told_you_have_the_best_cancer/")</f>
        <v/>
      </c>
      <c r="G8910" t="inlineStr">
        <is>
          <t>2020-04-22 04:05:28</t>
        </is>
      </c>
      <c r="H8910" t="inlineStr"/>
    </row>
    <row r="8911">
      <c r="A8911" t="inlineStr">
        <is>
          <t>g607av</t>
        </is>
      </c>
      <c r="B8911" t="inlineStr">
        <is>
          <t>Dad deteriorating and jaundice worsening</t>
        </is>
      </c>
      <c r="C8911" t="inlineStr">
        <is>
          <t>I've posted a few times over the last week or so but thought I'd provide an update.
2 days ago dad developed jaundice and with each day it's become worse and he's become more yellow. 
The palliative care nurse came in yesterday and noticed it immediately and has told us this is the start of a fast decline. He showed no signs or symptoms of jaundice last Thursday when she first saw him so this was concerning. 
His pain is still under control but he's getting confused and weaker. He can still get up on his own but has told us he is feeling unsteady on his feet but won't accept help moving around yet. A hospital bed is being delivered tomorrow to try and prevent bedsores. 
They have now told us that if he gets more confused or falls, spending more and more time in bed, stops eating or drinking then we are to call the hospice and they will take him, bed permitting.</t>
        </is>
      </c>
      <c r="D8911" t="n">
        <v>1</v>
      </c>
      <c r="E8911" t="n">
        <v>5</v>
      </c>
      <c r="F8911">
        <f>HYPERLINK("https://www.reddit.com/r/cancer/comments/g607av/dad_deteriorating_and_jaundice_worsening/")</f>
        <v/>
      </c>
      <c r="G8911" t="inlineStr">
        <is>
          <t>2020-04-22 05:26:18</t>
        </is>
      </c>
      <c r="H8911" t="inlineStr"/>
    </row>
    <row r="8912">
      <c r="A8912" t="inlineStr">
        <is>
          <t>g64811</t>
        </is>
      </c>
      <c r="B8912" t="inlineStr">
        <is>
          <t>Worried about my aunt’s next treatment...</t>
        </is>
      </c>
      <c r="C8912" t="inlineStr">
        <is>
          <t xml:space="preserve"> My aunt was diagnosed with stage 3 colon cancer in December. She has been receiving chemo ever since. The treatment was working great and the tumor was getting a lot smaller when she had a CAT scan done in March to see the progress. However, she recently started having trouble going to the bathroom and decided to get another scan. She called today letting me know the tumor had grown (doesn’t know by how much yet), and the doctor scheduled an emergency operation for May 8. She wasn’t supposed to get surgery until her chemo was over in late July. She mentioned the process involves taking out her intestines I believe in order to stop the cancer from attaching and spreading. Has anyone dealt with this surgery or known someone thats gone through it?</t>
        </is>
      </c>
      <c r="D8912" t="n">
        <v>1</v>
      </c>
      <c r="E8912" t="n">
        <v>1</v>
      </c>
      <c r="F8912">
        <f>HYPERLINK("https://www.reddit.com/r/cancer/comments/g64811/worried_about_my_aunts_next_treatment/")</f>
        <v/>
      </c>
      <c r="G8912" t="inlineStr">
        <is>
          <t>2020-04-22 09:25:49</t>
        </is>
      </c>
      <c r="H8912" t="inlineStr"/>
    </row>
    <row r="8913">
      <c r="A8913" t="inlineStr">
        <is>
          <t>g66rn1</t>
        </is>
      </c>
      <c r="B8913" t="inlineStr">
        <is>
          <t>Uterus fibroids?</t>
        </is>
      </c>
      <c r="C8913" t="inlineStr">
        <is>
          <t>So have any of you ladies accidentally found out you have a fibroid/fibroids while getting scanned? 
I found I had a 2.2 cm fibroid in 2017 one year after my end-treatment. My doctors were never worried about the fibroid as it didn't lit up during the PET scan. The same thing in 2018 but it had grown to 5 cm. I made a PET scan on February as I started to lose a good amount of weight and I also found two swollen lymph nodes on my neck. Luckily I didn't suffer any relapse. But the fibroid showed an uptake, which my doctor believed could be due to high estrogen level. And it has grown to 8 cm which is insane as I do not have any symptoms. My doctor referred me to an gynecologist as it could cause infertility. 
I do not know the treatment yet, but I'm just scared it could be anything serious other than just a fibroid. Especially with the weight loss and now an uptake at the area. I know it's really rare to be cancer, but I want to push for a biopsy just to make sure.</t>
        </is>
      </c>
      <c r="D8913" t="n">
        <v>1</v>
      </c>
      <c r="E8913" t="n">
        <v>14</v>
      </c>
      <c r="F8913">
        <f>HYPERLINK("https://www.reddit.com/r/cancer/comments/g66rn1/uterus_fibroids/")</f>
        <v/>
      </c>
      <c r="G8913" t="inlineStr">
        <is>
          <t>2020-04-22 11:42:26</t>
        </is>
      </c>
      <c r="H8913" t="inlineStr"/>
    </row>
    <row r="8914">
      <c r="A8914" t="inlineStr">
        <is>
          <t>g68s6a</t>
        </is>
      </c>
      <c r="B8914" t="inlineStr">
        <is>
          <t>Avastin to treat a glioblastoma</t>
        </is>
      </c>
      <c r="C8914" t="inlineStr">
        <is>
          <t>The board of doctors that treat my father recommended Avastin treatment for my father's inoperable glioblastoma. Now I'm reading that Avastin not only isn't helpful when it comes to glioblastomas, it's even deemed counterproductive. Am I missing something? Are they not up to date? What should I do?
I cannot simply ask them for their reasoning because they will only talk to the patient about it, and my father is not willing to dig any further.</t>
        </is>
      </c>
      <c r="D8914" t="n">
        <v>1</v>
      </c>
      <c r="E8914" t="n">
        <v>6</v>
      </c>
      <c r="F8914">
        <f>HYPERLINK("https://www.reddit.com/r/cancer/comments/g68s6a/avastin_to_treat_a_glioblastoma/")</f>
        <v/>
      </c>
      <c r="G8914" t="inlineStr">
        <is>
          <t>2020-04-22 13:31:11</t>
        </is>
      </c>
      <c r="H8914" t="inlineStr"/>
    </row>
    <row r="8915">
      <c r="A8915" t="inlineStr">
        <is>
          <t>g69z75</t>
        </is>
      </c>
      <c r="B8915" t="inlineStr">
        <is>
          <t>Cancer and relationships</t>
        </is>
      </c>
      <c r="C8915" t="inlineStr">
        <is>
          <t>Just wondering how your diagnoses effected your relationship with your significant other and how you dealt with it?</t>
        </is>
      </c>
      <c r="D8915" t="n">
        <v>1</v>
      </c>
      <c r="E8915" t="n">
        <v>7</v>
      </c>
      <c r="F8915">
        <f>HYPERLINK("https://www.reddit.com/r/cancer/comments/g69z75/cancer_and_relationships/")</f>
        <v/>
      </c>
      <c r="G8915" t="inlineStr">
        <is>
          <t>2020-04-22 14:36:14</t>
        </is>
      </c>
      <c r="H8915" t="inlineStr"/>
    </row>
    <row r="8916">
      <c r="A8916" t="inlineStr">
        <is>
          <t>g6ay25</t>
        </is>
      </c>
      <c r="B8916" t="inlineStr">
        <is>
          <t>End of Life Care Advice?</t>
        </is>
      </c>
      <c r="C8916" t="inlineStr">
        <is>
          <t>My grandfather is currently struggling with what are likely his last couple months, even weeks, of life.  Two different types of cancer in each lung.  He has a hospital bed set up in his living room where he lies every day, mostly sleeping when he can manage.  He can still go to the bathroom with assistance, but it's pretty touch and go.
Our main concern now is 1) keeping him as comfortable as possible as long as possible, and 2) making sure he's being taken care of and that his needs are being met.
The problem is that the only person taking care of him is my grandmother, who's quite reasonably overwhelmed with everything.  While both me and my partner, along with their two daughters, all live within a mile of him, none of us can properly visit due to the Covid-19 situation.  We're of course taking care of what we can remotely and making trips to make sure they don't have to leave the house for anything, but our actual helpfulness is depleting fast.
We're arranging for hospice to come in, but they'll only come in once a week or so just to check up on him.  What we really need is someone who can stay with him, particularly through the evenings.  He's usually awake at night and antsy.  He's quite headstrong, so multiple times a night he'll attempt to get out of bed, be it for a drink of water, to use the bathroom, or just to pick up the remote he dropped.
The reason this is such a problem is because he REALLY can't walk properly.  It's only a matter of time until he falls, and when and if he does, he'll certainly need to be admitted to the hospital.  Like many, he wants to be able to pass away in his home as opposed to in a hospital.  Completely reasonable, but not always an option for everyone, unfortunately.
What's worse than the threat of him having to pass away in the hospital though, is he'll have to do it ALONE.  With the current pandemic, they won't allow anyone to enter the hospital with him - not even his wife.  This would be the worst possible situation, and he's only a stumble away from it becoming his reality.
I can't bear the thought of this happening to him.  I already feel helpless enough as it is that I can't be there to watch him myself.  We're all trying to find a caregiver for him, calling around to everyone we know for referrals, but most people aren't answering their phones, and the few we have been able to reach have no time for him in their schedules right now.
We did manage to get one caretaker who could watch him for a week, but my grandparents ultimately turned him away because he smelled.  Both of my grandparents are EXTREMELY sensitive to fragrances of almost any kind, so it's making an already difficult situation into a nightmare real fast.
Just... what should we do at this point?  He doesn't want to go to the hospital and he doesn't want to go into a home of any kind.  Reasonable requests, yes, but he's deteriorating at such a rate now that grandma alone can't take care of him on her own.
Are there any other options?  Are there other routes we haven't explored yet?  Is there anyone out there we can reach out to who can help us?
Note: I don't know if it helps any, but we're located in southern California and he is also a veteran.
Any advice or information that could be tossed my way would be greatly appreciated!  🙇‍♂️</t>
        </is>
      </c>
      <c r="D8916" t="n">
        <v>2</v>
      </c>
      <c r="E8916" t="n">
        <v>1</v>
      </c>
      <c r="F8916">
        <f>HYPERLINK("https://www.reddit.com/r/cancer/comments/g6ay25/end_of_life_care_advice/")</f>
        <v/>
      </c>
      <c r="G8916" t="inlineStr">
        <is>
          <t>2020-04-22 15:30:54</t>
        </is>
      </c>
      <c r="H8916" t="inlineStr"/>
    </row>
    <row r="8917">
      <c r="A8917" t="inlineStr">
        <is>
          <t>g6b2pa</t>
        </is>
      </c>
      <c r="B8917" t="inlineStr">
        <is>
          <t>People who have had Basal Cell Carcinoma - how have you processed your cancer experience?</t>
        </is>
      </c>
      <c r="C8917" t="inlineStr">
        <is>
          <t>I am trying to process my experience with Basal Cell Carcinoma. I am mid 30s. I had a bleeding sore on my left temple for 5-6 months. Thought it was a big bite. Never healed. So went to see dermatologist.
After a biopsy I waited a couple of weeks and then everything happened last week. I received the biopsy result on Monday, signed the forms on Wednesday, and had the operation on Friday.
It’s hard for me to process this as cancer as I’m not sure that it affected or has affected my general health. I have felt run down and generally terrible over the winter, but I also have Crohns Disease and would attribute that general sense of lethargy and other digestive issues to that. It is difficult to know.
So I’m finding it hard to process really. I don’t use the word cancer and haven’t used it when talking about it. I do have a lot of family history of cancer on both sides so I am reluctant to equate this experience with those fatal cases. Obviously it means I need to be careful and I’m not dismissing the links - I mean that I don’t see it as serious as those fatal cases.
If you’ve read this far, thanks. I’m still not sure that I’ve had cancer or can say that I’ve had cancer, even though it is a form of skin cancer. 
I don’t feel angry or worried or concerned. I don’t feel very much really.
How have you guys worked through your basal experiences?</t>
        </is>
      </c>
      <c r="D8917" t="n">
        <v>1</v>
      </c>
      <c r="E8917" t="n">
        <v>6</v>
      </c>
      <c r="F8917">
        <f>HYPERLINK("https://www.reddit.com/r/cancer/comments/g6b2pa/people_who_have_had_basal_cell_carcinoma_how_have/")</f>
        <v/>
      </c>
      <c r="G8917" t="inlineStr">
        <is>
          <t>2020-04-22 15:38:31</t>
        </is>
      </c>
      <c r="H8917" t="inlineStr"/>
    </row>
    <row r="8918">
      <c r="A8918" t="inlineStr">
        <is>
          <t>g6c967</t>
        </is>
      </c>
      <c r="B8918" t="inlineStr">
        <is>
          <t>Mother diagnosed with metastatic lung cancer. Any folks have any words of encouragement I can send to her?</t>
        </is>
      </c>
      <c r="C8918" t="inlineStr">
        <is>
          <t>Her first chemo treatment is on Tuesday, and I’m working on building a care package for her. We’re scared, she’s scared, and I don’t know what to say. “It’s going to be ok,” just sounds insensitive because there’s so many variables. Is there anyone out there that wouldn’t mind writing some words of encouragement that I can send her in her care package? Thank you so much everyone.</t>
        </is>
      </c>
      <c r="D8918" t="n">
        <v>1</v>
      </c>
      <c r="E8918" t="n">
        <v>8</v>
      </c>
      <c r="F8918">
        <f>HYPERLINK("https://www.reddit.com/r/cancer/comments/g6c967/mother_diagnosed_with_metastatic_lung_cancer_any/")</f>
        <v/>
      </c>
      <c r="G8918" t="inlineStr">
        <is>
          <t>2020-04-22 16:49:30</t>
        </is>
      </c>
      <c r="H8918" t="inlineStr"/>
    </row>
    <row r="8919">
      <c r="A8919" t="inlineStr">
        <is>
          <t>g6ccl6</t>
        </is>
      </c>
      <c r="B8919" t="inlineStr">
        <is>
          <t>7 Signs Of Ovarian Cancer You Might Be Ignoring</t>
        </is>
      </c>
      <c r="C8919" t="inlineStr">
        <is>
          <t xml:space="preserve">  **Why are sex gland cancer symptoms therefore silent?**
There exists the 5-year relative survival rate for all sorts of sex gland cancer and it equals forty-five p.c, however, this variety rises to ninety 2 p.c if the cancer is caught in stage IA or IB, right before it unfolds on the far side the ovary, following the Yankee Cancer Society. due to terribly fact|the fact} that sex gland cancer symptoms could also be very arduous to acknowledge, concerning seventy p.c of all cases aren't found till they need advanced to stage III or IV, once it happens that the possibilities for survival ar a great deal lower, notes Kevin Holcomb, a director of gynecological medical specialty at composer Cornell medication. this type of cancer isn't such a lot a silent sickness, Dr. Holcomb notes. an enormous variety of females with sex gland cancer have some symptoms within the months and weeks leading up to 
 the identification however it's truly unhappy that a lot of ar imprecise and nonspecific. this type of cancer whispers, and so, you have got to pay attention closely. Contrary to the carcinoma, there are not any tests that are developed to screen for sex gland cancer therefore accurately, that makes this cancer arduous to be detected, however, unless you report symptoms early yourself. just in case you're feeling over one in every one of the symptoms for per week or over this, discuss with your doctor concerning obtaining a transvaginal icon, girdle examination, or a CA one hundred twenty-five biopsy, which can facilitate sight sex gland cancer. There follow the items OB-GYNs would like you knew concerning this cancer. 
***Open  next page to continue reading :***  [https://www.maayadal.com/?p=207](https://www.maayadal.com/?p=207)</t>
        </is>
      </c>
      <c r="D8919" t="n">
        <v>1</v>
      </c>
      <c r="E8919" t="n">
        <v>2</v>
      </c>
      <c r="F8919">
        <f>HYPERLINK("https://www.reddit.com/r/cancer/comments/g6ccl6/7_signs_of_ovarian_cancer_you_might_be_ignoring/")</f>
        <v/>
      </c>
      <c r="G8919" t="inlineStr">
        <is>
          <t>2020-04-22 16:55:06</t>
        </is>
      </c>
      <c r="H8919" t="inlineStr"/>
    </row>
    <row r="8920">
      <c r="A8920" t="inlineStr">
        <is>
          <t>g6ddpa</t>
        </is>
      </c>
      <c r="B8920" t="inlineStr">
        <is>
          <t>Question to those who have undergone/are undergoing FOLFOXIRI</t>
        </is>
      </c>
      <c r="C8920" t="inlineStr">
        <is>
          <t>My dad is on day 2 out of 3 on his second cycle of FOLFOXIRI. Here are his side effects: major fatigue, not eating as much as he should (most likely due to his ascites), constipation (probably his opioids, making appetite worse), cramping (mainly tongue and jaw), sweat spells, and hiccups. Anyone on here gone through FOLFOXIRI? If so, what cycle did you think was the worst? What was your worst symptoms? What are your tips? Thanks.</t>
        </is>
      </c>
      <c r="D8920" t="n">
        <v>1</v>
      </c>
      <c r="E8920" t="n">
        <v>18</v>
      </c>
      <c r="F8920">
        <f>HYPERLINK("https://www.reddit.com/r/cancer/comments/g6ddpa/question_to_those_who_have_undergoneare/")</f>
        <v/>
      </c>
      <c r="G8920" t="inlineStr">
        <is>
          <t>2020-04-22 18:01:58</t>
        </is>
      </c>
      <c r="H8920" t="inlineStr"/>
    </row>
    <row r="8921">
      <c r="A8921" t="inlineStr">
        <is>
          <t>g6dgi7</t>
        </is>
      </c>
      <c r="B8921" t="inlineStr">
        <is>
          <t>My dad was given 6 months</t>
        </is>
      </c>
      <c r="C8921" t="inlineStr">
        <is>
          <t>My dad was given 6 months by the neurosurgeon. 8 years of battling colorectal cancer, then it spread to his lungs, and last Thursday morning, a CT scan revealed 7 lesions in his brain; 3 in the left side, 3 in the right, and 1 on the cerebellum. 
I don’t know what to do or how to feel. The first couple of days, I was angry and cried A LOT. And now, he’s at home with us and under hospice care and I don’t know, I guess I’m in denial? I keep telling myself that I see him regaining strength, I hear his speech getting better, so he’s gonna get BETTER. But I know that’s not true, and I’m utterly heartbroken and devastated by this. I’m 25, I don’t want to lose my dad at any point, but especially not now. Not like this. I don’t want to be facing this reality, I want SO MUCH for things to go back to how they were. Just a month ago, my dad was driving, and now he can’t even dress himself. I don’t know how to feel, I don’t know what to do, and I just know I’m going to spiral into a pit of depression when it happens. I’m just lost. I’ve never lost anyone close to me, and know I’m preparing to lose someone closest to me.</t>
        </is>
      </c>
      <c r="D8921" t="n">
        <v>1</v>
      </c>
      <c r="E8921" t="n">
        <v>7</v>
      </c>
      <c r="F8921">
        <f>HYPERLINK("https://www.reddit.com/r/cancer/comments/g6dgi7/my_dad_was_given_6_months/")</f>
        <v/>
      </c>
      <c r="G8921" t="inlineStr">
        <is>
          <t>2020-04-22 18:07:00</t>
        </is>
      </c>
      <c r="H8921" t="inlineStr"/>
    </row>
    <row r="8922">
      <c r="A8922" t="inlineStr">
        <is>
          <t>g6eb6g</t>
        </is>
      </c>
      <c r="B8922" t="inlineStr">
        <is>
          <t>Advice on dealing with death?</t>
        </is>
      </c>
      <c r="C8922" t="inlineStr">
        <is>
          <t>My grandma was diagnosed with 2 types of cancers 4 years ago (bowel/intestines and urine blatter- I'm not entirely sure if that's what they're called in english though), one of them was removed, but the other one couldn't be removed (I honestly don't know which one was removed and which one wasn't). The one that hadn't been removed stayed stable for almost 4 years. Recently we found out that it had spread to almost all organs. A few weeks ago we were told by the doctors that she's terminal, that it's just a matter of hours or days. But then she started doing better for a little while (maybe a week or a week and a half), now she's back in that terminal stage. She goes kinda back and forth between being completely there and talking almost normally and hallucinating (she called me once to tell me she was sorry but she was stuck in another city and couldn't come home because the train was canceled or something - she was in the hospital were we live. She has also called my cousin and my aunt, asking them if they could pick her up at the airport because there was no one there to drive her home or something.. that was recently). Sometimes she just sleeps and it can be hard to hear what she's saying.
The nursing home she's at has banned visitors now due to covid-19, but since my grandma is terminally ill now, we're allowed to visit her - but only one at the time. My dad and I always bring her dog with us when one of us visits her. 
I want to tell her I love her, that I'll miss her but that it's okay to let go, that I won't forget her and that I will take care of her dog (I'm basically a second owner to the dog anyway) and that I refuse to let anyone else take care of him (she has always been really worried about what would happen with her dog if she dies before him, and for him it would be extremely bad if he would have to get a new owner now. I honestly don't think he would survive that).. anyway, my family doesn't really talk about things like that. I'm almost 26 and my mom has only told me once that she loves me, that's it. And on top of that I have a form of social anxiety, talking about feelings is one of the things I'm the absolute worst at.. I visited her yesterday and while she was sleeping I managed to whisper 'I love you', but not more than that.
Through the years of her having her dog, anytime she talked about dying before him and being worried about that etc I assured her I would take care of him.. but I don't know if she still knows/remembers that.. 
And I really wish I could ask her if there's one last thing she would want to say/do or anything from her house that she would want to see... the problem is, she doesn't know how ill she is. I don't know if they told her, but if they did she would just forget it after a few minutes anyway..
I just don't know how to deal with all this. The only other relative who has died was my grandpa, 15 years ago. But I was only 11 and I didn't have such a strong bond with my grandpa as I do with my grandma, so his death didn't affect me that much..and because I was so little I barely remember any of it now. 
Does anyone have any ideas on how to cope? 
The worst part about all of this is that we're basically just waiting for it to happen..I mean, obviously I wish she wouldn't ever have to die.. but this waiting around for it to happen because we know it'll happen soon is just so nerve wracking. Should I try to keep myself busy and distract my mind so that I don't think about it? Or should I just let myself think about it 24/7? 
Whenever I tell my mom that I'm worried (the grandma who's terminally ill is my dad's mom), she just says that she is old and that it's to be expected when your that old and that sick. And that she is lucky to have lived such a long life (she's 90) etc etc. 
But that doesn't make it any less painful to see her go through this. She's not my grandma anymore... she's not the person I know. Sometimes that person still shines through every now and then (she is very stubborn and everytime she feels good and isn't in any pain etc she wants to go home immediately and doesn't understand why she has to be there etc) but for the most time she just lays in bed and is barely able to speak/move. 
Remember the thing about my family not talking about feelings? We also don't talk about death that much... I have read about cancer and death online, what happens when someone dies etc.. but I'm still anxious and depressed AF. I always get extremely anxious about anything I'm not that familiar with. 
I am extremely grateful to have her/our doggo to take care of, he has always been very cuddly and needs attention always. He's great at giving comfort. He comforts me and I comfort him. But I'm worried about how he'll cope with her death... I will take him to see her when she has passed, but I'm really anxious about how he'll react to it.. 
If you read all that, thanks for listening to me venting 😂🙈 I just had to get it out to someone who hopefully understands.</t>
        </is>
      </c>
      <c r="D8922" t="n">
        <v>1</v>
      </c>
      <c r="E8922" t="n">
        <v>12</v>
      </c>
      <c r="F8922">
        <f>HYPERLINK("https://www.reddit.com/r/cancer/comments/g6eb6g/advice_on_dealing_with_death/")</f>
        <v/>
      </c>
      <c r="G8922" t="inlineStr">
        <is>
          <t>2020-04-22 19:05:42</t>
        </is>
      </c>
      <c r="H8922" t="inlineStr"/>
    </row>
    <row r="8923">
      <c r="A8923" t="inlineStr">
        <is>
          <t>g6grrx</t>
        </is>
      </c>
      <c r="B8923" t="inlineStr">
        <is>
          <t>my father decided to stop cancer treatment. is this a bad idea?</t>
        </is>
      </c>
      <c r="C8923" t="inlineStr">
        <is>
          <t>Not sure if this is the right place, but my father  (65+) was diagnosed with colon cancer a few months back. Did one round of treatment from what he said  (not sure what type of treatment) but decided to stop, due to not liking the side effects of weight loss, appetite loss, skin peeling? . (Anyone know what type of treatment causes this?) All of a sudden he says he is feeling a lot better so he doesn’t need to get the treatment and suffer. He has been eating a lot healthier to try to “treat it himself” for back of better words, like a bunch of veggies and fruit etc. Which he is, he is in much better shape than before. Is this a terrible idea? Or is it a good sign that he “feels” better? What am i supposed to do, i don’t want him to just slowly die all of a sudden. Please help.</t>
        </is>
      </c>
      <c r="D8923" t="n">
        <v>1</v>
      </c>
      <c r="E8923" t="n">
        <v>14</v>
      </c>
      <c r="F8923">
        <f>HYPERLINK("https://www.reddit.com/r/cancer/comments/g6grrx/my_father_decided_to_stop_cancer_treatment_is/")</f>
        <v/>
      </c>
      <c r="G8923" t="inlineStr">
        <is>
          <t>2020-04-22 22:09:56</t>
        </is>
      </c>
      <c r="H8923" t="inlineStr"/>
    </row>
    <row r="8924">
      <c r="A8924" t="inlineStr">
        <is>
          <t>g6km9m</t>
        </is>
      </c>
      <c r="B8924" t="inlineStr">
        <is>
          <t>Cancer Ribbon Items</t>
        </is>
      </c>
      <c r="C8924" t="inlineStr">
        <is>
          <t>I get a lot of blankets, hats, bands, pins and knickknacks with cancer ribbons. I understand the sentiment of why people give these items, to show support and such. But, honestly I hate receiving those things. I'm reminded of my cancer everytime I look down at my port scar or my biopsy scar. I feel like I don't need a usable item to remind me of it. I realize that's not what my friends and family are trying to do, but it always reminds me, hey you had cancer!! Do you feel this way about cancer ribbon/cancer color items?</t>
        </is>
      </c>
      <c r="D8924" t="n">
        <v>1</v>
      </c>
      <c r="E8924" t="n">
        <v>41</v>
      </c>
      <c r="F8924">
        <f>HYPERLINK("https://www.reddit.com/r/cancer/comments/g6km9m/cancer_ribbon_items/")</f>
        <v/>
      </c>
      <c r="G8924" t="inlineStr">
        <is>
          <t>2020-04-23 03:59:07</t>
        </is>
      </c>
      <c r="H8924" t="inlineStr"/>
    </row>
    <row r="8925">
      <c r="A8925" t="inlineStr">
        <is>
          <t>g6oewp</t>
        </is>
      </c>
      <c r="B8925" t="inlineStr">
        <is>
          <t>Mums chemo starts tomorrow/ We found the primary! Thank god!</t>
        </is>
      </c>
      <c r="C8925" t="inlineStr">
        <is>
          <t>For anyone who saw my last post about my mum having stage 2 metastatic cancer!
Primary has been found! 
Ovarian. 
Which is very good news given the other 2 options were pancreas or bile duct.
She starts chemo tomorrow and I am more scared than she is. I have no idea what to expect, neither does mum. 
However, mum will be the one with the needle in her vein, she will be the one getting pumped full of drugs to keep her alive, she will be  the one relying one nurses to keep her sane and hopefully mentally get her through this. 
I can’t go in, good old covid-19. Baby daddy paramedic will check in on her when he can, I will hopefully see her soon!
What a time to have cancer!
You are all amazingly strong.
Keep fighting.
Never give up! 
Xxx</t>
        </is>
      </c>
      <c r="D8925" t="n">
        <v>1</v>
      </c>
      <c r="E8925" t="n">
        <v>0</v>
      </c>
      <c r="F8925">
        <f>HYPERLINK("https://www.reddit.com/r/cancer/comments/g6oewp/mums_chemo_starts_tomorrow_we_found_the_primary/")</f>
        <v/>
      </c>
      <c r="G8925" t="inlineStr">
        <is>
          <t>2020-04-23 08:13:07</t>
        </is>
      </c>
      <c r="H8925" t="inlineStr"/>
    </row>
    <row r="8926">
      <c r="A8926" t="inlineStr">
        <is>
          <t>g6qalq</t>
        </is>
      </c>
      <c r="B8926" t="inlineStr">
        <is>
          <t>AML Stem Cell Transplant complications.</t>
        </is>
      </c>
      <c r="C8926" t="inlineStr">
        <is>
          <t>Hi there. I’m writing this message on behalf of my girlfriend. She was diagnosed with AML and received a BMT about a year a 4 months ago. Since the transplant she is at home with severe stomach cramps, gurgling, and different stomach issues. Her bones are always hurting too. We’ve been to many many doctors seeking answers and no one has been able to identify a certain problem or help very much. Had anything dealt with this before? If so, some feed back would help very much. Thank you guys!</t>
        </is>
      </c>
      <c r="D8926" t="n">
        <v>1</v>
      </c>
      <c r="E8926" t="n">
        <v>9</v>
      </c>
      <c r="F8926">
        <f>HYPERLINK("https://www.reddit.com/r/cancer/comments/g6qalq/aml_stem_cell_transplant_complications/")</f>
        <v/>
      </c>
      <c r="G8926" t="inlineStr">
        <is>
          <t>2020-04-23 09:56:49</t>
        </is>
      </c>
      <c r="H8926" t="inlineStr"/>
    </row>
    <row r="8927">
      <c r="A8927" t="inlineStr">
        <is>
          <t>g6qkmj</t>
        </is>
      </c>
      <c r="B8927" t="inlineStr">
        <is>
          <t>Mouth dysplasia reoccurence in 2 days ?</t>
        </is>
      </c>
      <c r="C8927" t="inlineStr">
        <is>
          <t xml:space="preserve"> 
Hello, im 24 years old, 140 lbs for 6"2
2 years ago I got a red lump removed from my palate and it was indeterminated for dysplasia
I m monitored every 6 month, last monitoring 1 month ago and clean
Today I found a red lesion very close to the spot when it has occurred, I already had something like that on my mouth and it usually disappear in some days
It wasn't there some days ago, im sure about that because I'm checking my mouth everyday with my flash
Is it possible for a dysplasia to reoccur in just some days?
I'm extremly worried and I really don't want to live the same thing again</t>
        </is>
      </c>
      <c r="D8927" t="n">
        <v>1</v>
      </c>
      <c r="E8927" t="n">
        <v>4</v>
      </c>
      <c r="F8927">
        <f>HYPERLINK("https://www.reddit.com/r/cancer/comments/g6qkmj/mouth_dysplasia_reoccurence_in_2_days/")</f>
        <v/>
      </c>
      <c r="G8927" t="inlineStr">
        <is>
          <t>2020-04-23 10:11:35</t>
        </is>
      </c>
      <c r="H8927" t="inlineStr"/>
    </row>
    <row r="8928">
      <c r="A8928" t="inlineStr">
        <is>
          <t>g6rh1w</t>
        </is>
      </c>
      <c r="B8928" t="inlineStr">
        <is>
          <t>Stage 4 advice</t>
        </is>
      </c>
      <c r="C8928" t="inlineStr">
        <is>
          <t>Hey all, this is my first time posting on here, I live in Germany and when I went in due to a persistent migraine and soon after was diagnosed with stage 4 brain cancer. After 2 surgeries the doctors say they got most, but not all of it, and I'm now taking chemo and radiation therapy. What are some things that I should expect, and how long is the usual amount of time that people experience these symptoms? Thank you all.</t>
        </is>
      </c>
      <c r="D8928" t="n">
        <v>1</v>
      </c>
      <c r="E8928" t="n">
        <v>0</v>
      </c>
      <c r="F8928">
        <f>HYPERLINK("https://www.reddit.com/r/cancer/comments/g6rh1w/stage_4_advice/")</f>
        <v/>
      </c>
      <c r="G8928" t="inlineStr">
        <is>
          <t>2020-04-23 11:00:35</t>
        </is>
      </c>
      <c r="H8928" t="inlineStr"/>
    </row>
    <row r="8929">
      <c r="A8929" t="inlineStr">
        <is>
          <t>g6ry3o</t>
        </is>
      </c>
      <c r="B8929" t="inlineStr">
        <is>
          <t>My mom (53) has metastatic breast cancer. We think she might have to do chemo for the third time. She is so thin, and barely eats. Can someone even survive a third round?</t>
        </is>
      </c>
      <c r="C8929" t="inlineStr">
        <is>
          <t>Her CA 27-29 numbers jumped from 200 to 269, her highest in the 10 years she has had cancer. 
She only eats veggies really to cut down on anything that feeds the cancer, and has done that for years, so she is really thin now, and I am so afraid that the chemo can kill her this time. 
Do you guys have any advice/ stories that can confirm or deny this?
Thank you,</t>
        </is>
      </c>
      <c r="D8929" t="n">
        <v>1</v>
      </c>
      <c r="E8929" t="n">
        <v>37</v>
      </c>
      <c r="F8929">
        <f>HYPERLINK("https://www.reddit.com/r/cancer/comments/g6ry3o/my_mom_53_has_metastatic_breast_cancer_we_think/")</f>
        <v/>
      </c>
      <c r="G8929" t="inlineStr">
        <is>
          <t>2020-04-23 11:26:03</t>
        </is>
      </c>
      <c r="H8929" t="inlineStr"/>
    </row>
    <row r="8930">
      <c r="A8930" t="inlineStr">
        <is>
          <t>g6tenh</t>
        </is>
      </c>
      <c r="B8930" t="inlineStr">
        <is>
          <t>Bloodwork numbers</t>
        </is>
      </c>
      <c r="C8930" t="inlineStr">
        <is>
          <t>Hi,
I came back from the ER after they had ruled out a DVT, thankfully. On the bloodwork, however, I noticed that my WBC are very low (3.4, should be 4.5-11) and my total protein high (8.6, should be 6.6-8.2). These numbers for the past few years have generally been high for me. However, the protein is now the highest it ever has been and the WBC is the lowest by far., so it definitely has come down from 4.3 just 4 months ago. When I search for this online, it mainly comes up with multiple myeloma. Any input appreciated.</t>
        </is>
      </c>
      <c r="D8930" t="n">
        <v>1</v>
      </c>
      <c r="E8930" t="n">
        <v>4</v>
      </c>
      <c r="F8930">
        <f>HYPERLINK("https://www.reddit.com/r/cancer/comments/g6tenh/bloodwork_numbers/")</f>
        <v/>
      </c>
      <c r="G8930" t="inlineStr">
        <is>
          <t>2020-04-23 12:43:37</t>
        </is>
      </c>
      <c r="H8930" t="inlineStr"/>
    </row>
    <row r="8931">
      <c r="A8931" t="inlineStr">
        <is>
          <t>g6uk4k</t>
        </is>
      </c>
      <c r="B8931" t="inlineStr">
        <is>
          <t>Radiation oncologist said no new mets, oncologist says otherwise. Next step, immunotherapy. Looking for advice.</t>
        </is>
      </c>
      <c r="C8931" t="inlineStr">
        <is>
          <t>Looking for advice/experience.
My Mum was diagnosed with stage IV RCC two months ago with mets to her pubic bone (pain in pubic bone was the only symptom). She had 2 weeks of radiation to the bone and then laparoscopic kidney removal. During the radiation, she developed pain in her upper leg joint of the same side she had the radiotherapy - severe, uncontrolled pain.
Her urologist referred her for a CT, then called with the news on Monday that there was a new cancer there. While trying to digest this, the radiation oncologist called and said the cancer is not new, it was in the target field he treated, said the pain is normal because it’s so inflamed and also because it’s a weight bearing joint, but this would settle. 
Then the oncologist called her in for an appointment yesterday and said the cancer there has grown, and also said there is new cancer in the same spot on the other side and she will now move to systemic immunotherapy. He also said he wouldn’t have removed the kidney - something he *never* brought up in previous appointments when we actually could have done something about it! In fact, he was all for it because the only evidence of disease was the kidney and the bone mets. I’m not sure what purpose it served telling us he would have kept the kidney.
I’m just confused that the radiation oncologist said he was comparing the scans and saying nothing had changed besides the inflammation from radiotherapy, even though the CT report states very clearly otherwise on comparison with the previous scan. I want my parents to talk to him for some clarity because he is aware of other bone mets that were asymptomatic that he opted to watch rather than treat right now.
Has anyone had experience with immunotherapy? The oncologist is still confident, despite this setback, that this cancer will be manageable. He has had multiple patients with multiple mets that have responded well to immunotherapy- even if treatment had to be abandoned because of adverse effects - a cycle or 2 was enough to make a difference.
Just looking for words or wisdom, and some hope. I’m trying to keep my optimism and I will always have hope.</t>
        </is>
      </c>
      <c r="D8931" t="n">
        <v>1</v>
      </c>
      <c r="E8931" t="n">
        <v>7</v>
      </c>
      <c r="F8931">
        <f>HYPERLINK("https://www.reddit.com/r/cancer/comments/g6uk4k/radiation_oncologist_said_no_new_mets_oncologist/")</f>
        <v/>
      </c>
      <c r="G8931" t="inlineStr">
        <is>
          <t>2020-04-23 13:45:18</t>
        </is>
      </c>
      <c r="H8931" t="inlineStr"/>
    </row>
    <row r="8932">
      <c r="A8932" t="inlineStr">
        <is>
          <t>g6uluq</t>
        </is>
      </c>
      <c r="B8932" t="inlineStr">
        <is>
          <t>Paid Remote Opportunity for People with Multiple Chronic Conditions</t>
        </is>
      </c>
      <c r="C8932" t="inlineStr">
        <is>
          <t>I am an associate at an expert network called proSapient. We are looking for looking for people who who have experience with multiple chronic conditions and are interested in participating in a paid phone consultation compensated at a rate of $200/hour. Our client, a management consultancy, is looking to conduct some end consumer interviews or video diaries related to a product idea about those with multiple chronic conditions.
**Participant Requirements (only reply if you fit the below criteria)**
1 – Currently have health insurance coverage via a Medicare Advantage plan, are a “dual” (meaning have joint Medicare and Medicaid coverage), or via a commercial plan (e.g., UHC, Aetna, Anthem, Humana, Blue Cross, etc)
2 – Must have **at least** 3 chronic conditions (e.g., hypertension, diabetes, cirrhosis, heart failure, COPD, asthma, MS, arthritis, etc) and see (or have been recommended to receive care from) more than one type of specialist doctor
3 – Must have had an inpatient hospital admission at least once in the last 2 years
4 – Must have experienced either a post hospitalizations stay in a long term acute care hospital (LTAC), a nursing home (SNF), or in an inpatient rehab facility (IRF), or had home health (HH) visits when the participant returned home within the last 2 years
5 – Expect to see at least one physician in the next 12 months
Feel free to email me at [george.gildehaus@prosapient.com](mailto:george.gildehaus@prosapient.com) , direct message me, or comment below this post if you are interested in this opportunity or know someone who might be and I will follow up with you about it. Please include details about your experience related to the above 5 criteria.</t>
        </is>
      </c>
      <c r="D8932" t="n">
        <v>1</v>
      </c>
      <c r="E8932" t="n">
        <v>0</v>
      </c>
      <c r="F8932">
        <f>HYPERLINK("https://www.reddit.com/r/cancer/comments/g6uluq/paid_remote_opportunity_for_people_with_multiple/")</f>
        <v/>
      </c>
      <c r="G8932" t="inlineStr">
        <is>
          <t>2020-04-23 13:48:03</t>
        </is>
      </c>
      <c r="H8932" t="inlineStr"/>
    </row>
    <row r="8933">
      <c r="A8933" t="inlineStr">
        <is>
          <t>g6x1zv</t>
        </is>
      </c>
      <c r="B8933" t="inlineStr">
        <is>
          <t>Elevated Hemoglobin in Urine Test, Possible Polycethemia. Need Advice</t>
        </is>
      </c>
      <c r="C8933" t="inlineStr">
        <is>
          <t>I came into urgent care 5 weeks after my symptoms because I'm stupid, but all this came about after running my mile.
 I got a really bad headache. After the headache wore off I constantly got lightheaded, fatigue, balance issues, brain fog, and my brain just felt like it was swollen, that type of uncomfort. 
Luckily it's not been that bad recently. And I'm not getting those problems as of late, but I got other problems now like my feet getting really cold and having a burning sensation, overall feeling of uneasiness, weird discomfort near my back around the kidney and abdomen. Also got weird disomfort near my chest and slight shortness of breath. So it was time to visit a doctor. 
After my urine test, the doc said I have high levels of hemoglobin than normal. 
Obviously I'm worried now. I was wondering if anyone been thru anything similiar? I'm not scared of fighting cancer, I just don't like the anxiety from not knowing my real diagnosis. Please help!</t>
        </is>
      </c>
      <c r="D8933" t="n">
        <v>1</v>
      </c>
      <c r="E8933" t="n">
        <v>3</v>
      </c>
      <c r="F8933">
        <f>HYPERLINK("https://www.reddit.com/r/cancer/comments/g6x1zv/elevated_hemoglobin_in_urine_test_possible/")</f>
        <v/>
      </c>
      <c r="G8933" t="inlineStr">
        <is>
          <t>2020-04-23 16:05:26</t>
        </is>
      </c>
      <c r="H8933" t="inlineStr"/>
    </row>
    <row r="8934">
      <c r="A8934" t="inlineStr">
        <is>
          <t>g6xdec</t>
        </is>
      </c>
      <c r="B8934" t="inlineStr">
        <is>
          <t>Possible Polycythemia in Urine Test, Worried About Cancer. Need Advice</t>
        </is>
      </c>
      <c r="C8934" t="inlineStr">
        <is>
          <t>I came into urgent care 5 weeks after my symptoms because I'm stupid, but all this came about after running my mile. Note, i'm male and still young, in my 20s.
I got a really bad headache. After the headache wore off I constantly got lightheaded, fatigue, balance issues, brain fog, and my brain just felt like it was swollen, that type of uncomfort.
Luckily it's not been that bad recently. And I'm not getting those problems as of late, but I got other problems now like my feet getting really cold and having a burning sensation, overall feeling of uneasiness, weird discomfort near my back around the kidney and abdomen. Also got weird disomfort near my chest and slight shortness of breath. So it was time to visit a doctor.
After my urine test, the doc said I have high levels of hemoglobin than normal.
Obviously I'm worried now. I was wondering if anyone been thru anything similiar? I'm not scared of fighting cancer, I just don't like the anxiety from not knowing my real diagnosis. I plan on going to the ER in the coming days. If anyone has been thru similiar, please share ur story with us.</t>
        </is>
      </c>
      <c r="D8934" t="n">
        <v>1</v>
      </c>
      <c r="E8934" t="n">
        <v>0</v>
      </c>
      <c r="F8934">
        <f>HYPERLINK("https://www.reddit.com/r/cancer/comments/g6xdec/possible_polycythemia_in_urine_test_worried_about/")</f>
        <v/>
      </c>
      <c r="G8934" t="inlineStr">
        <is>
          <t>2020-04-23 16:24:40</t>
        </is>
      </c>
      <c r="H8934" t="inlineStr"/>
    </row>
    <row r="8935">
      <c r="A8935" t="inlineStr">
        <is>
          <t>g6xxmw</t>
        </is>
      </c>
      <c r="B8935" t="inlineStr">
        <is>
          <t>In my 20s with High Hemoglobin in Urine Sample Test. I'm Worried</t>
        </is>
      </c>
      <c r="C8935" t="inlineStr">
        <is>
          <t>I came into urgent care 5 weeks after my symptoms because I'm stupid, but all this came about after running my mile. Note, i'm male and still young, in my 20s.
I got a really bad headache. After the headache wore off I constantly got lightheaded, fatigue, balance issues, brain fog, and my brain just felt like it was swollen, that type of uncomfort.
Luckily it's not been that bad recently. And I'm not getting those problems as of late, but I got other problems now like my feet getting really cold and having a burning sensation, overall feeling of uneasiness, weird discomfort near my back around the kidney and abdomen. Also got weird disomfort near my chest and slight shortness of breath. So it was time to visit a doctor.
After my urine test, the doc said I have high levels of hemoglobin than normal. And believes polycythemia could be one of the culprits.
Obviously I'm worried now. I was wondering if anyone been thru anything similiar? I'm not scared of fighting cancer, I just don't like the anxiety from not knowing my real diagnosis. I plan on going to the ER in the coming days. If anyone has been thru similiar, please share ur story with us.</t>
        </is>
      </c>
      <c r="D8935" t="n">
        <v>1</v>
      </c>
      <c r="E8935" t="n">
        <v>7</v>
      </c>
      <c r="F8935">
        <f>HYPERLINK("https://www.reddit.com/r/cancer/comments/g6xxmw/in_my_20s_with_high_hemoglobin_in_urine_sample/")</f>
        <v/>
      </c>
      <c r="G8935" t="inlineStr">
        <is>
          <t>2020-04-23 16:57:37</t>
        </is>
      </c>
      <c r="H8935" t="inlineStr"/>
    </row>
    <row r="8936">
      <c r="A8936" t="inlineStr">
        <is>
          <t>g70oqv</t>
        </is>
      </c>
      <c r="B8936" t="inlineStr">
        <is>
          <t>This is just a lot</t>
        </is>
      </c>
      <c r="C8936" t="inlineStr">
        <is>
          <t>Hello I am for personal reasons not stating my exact age but I will say for a general idea under 20. March 6th of this year I was diagnosed with cancer. I have for many years now been struggling with self image and self esteem. Recently at the end of 2019 my self esteem was finally showing improvement and I found something about myself that I could finally love, my hair. Ever since I was 5 I’ve had long hair and I liked it that way. Now that I’ve undergone 2 almost three rounds of chemo, my hair has come out. I decided, before all my hair was gone I wanted to shave my head. So a few days ago I did. Today I’ve taken my first shower since and before this I could take showers at 8pm and go to bed at 4am and my hair would not be dry yet. My small amount of shaved hair on my head dried in 1-3 minutes. I’m not asking for sympathy or attention simply to put my feelings out into the world so that I may move past them.</t>
        </is>
      </c>
      <c r="D8936" t="n">
        <v>1</v>
      </c>
      <c r="E8936" t="n">
        <v>4</v>
      </c>
      <c r="F8936">
        <f>HYPERLINK("https://www.reddit.com/r/cancer/comments/g70oqv/this_is_just_a_lot/")</f>
        <v/>
      </c>
      <c r="G8936" t="inlineStr">
        <is>
          <t>2020-04-23 20:00:22</t>
        </is>
      </c>
      <c r="H8936" t="inlineStr"/>
    </row>
    <row r="8937">
      <c r="A8937" t="inlineStr">
        <is>
          <t>g72ph3</t>
        </is>
      </c>
      <c r="B8937" t="inlineStr">
        <is>
          <t>Complications with Cyclosporine for Stem Cell Transplant</t>
        </is>
      </c>
      <c r="C8937" t="inlineStr">
        <is>
          <t>So I'm writing this as I'm feeling quite distraught at the moment. My mother (59) underwent an  allogeneic stem cell transplant back in March after being diagnosed with ALL in October. We were nervous about it as we were aware it comes with significant risks and complications. 
However the transplant went well and in less than 4 weeks the new cells had started to graft. But then we noticed she had started deteriorating. She was suffering from severe musocitis and was unable to swallow or talk. 
Then she got weaker and weaker to the point now where she has become virtually unresponsive. The doctors are saying its from the cyclosporine used to prevent GvHD. She has also developed an infection. We are told now that they don't know if she will survive this. 
Apparently reaction to cyclosporine is very rare. I can only hope she will recover, but it's not looking good.</t>
        </is>
      </c>
      <c r="D8937" t="n">
        <v>1</v>
      </c>
      <c r="E8937" t="n">
        <v>1</v>
      </c>
      <c r="F8937">
        <f>HYPERLINK("https://www.reddit.com/r/cancer/comments/g72ph3/complications_with_cyclosporine_for_stem_cell/")</f>
        <v/>
      </c>
      <c r="G8937" t="inlineStr">
        <is>
          <t>2020-04-23 22:33:16</t>
        </is>
      </c>
      <c r="H8937" t="inlineStr"/>
    </row>
    <row r="8938">
      <c r="A8938" t="inlineStr">
        <is>
          <t>g736bo</t>
        </is>
      </c>
      <c r="B8938" t="inlineStr">
        <is>
          <t>I got some good news today!</t>
        </is>
      </c>
      <c r="C8938" t="inlineStr">
        <is>
          <t>After being diagnosed for only 3 1/2 months, my dad has beat his tumors ass and is having Whipple surgery in a few weeks!</t>
        </is>
      </c>
      <c r="D8938" t="n">
        <v>1</v>
      </c>
      <c r="E8938" t="n">
        <v>11</v>
      </c>
      <c r="F8938">
        <f>HYPERLINK("https://www.reddit.com/r/cancer/comments/g736bo/i_got_some_good_news_today/")</f>
        <v/>
      </c>
      <c r="G8938" t="inlineStr">
        <is>
          <t>2020-04-23 23:13:23</t>
        </is>
      </c>
      <c r="H8938" t="inlineStr"/>
    </row>
    <row r="8939">
      <c r="A8939" t="inlineStr">
        <is>
          <t>g773bf</t>
        </is>
      </c>
      <c r="B8939" t="inlineStr">
        <is>
          <t>I (20) had been diagnosed with colon cancer (adenocarcinoma) and I need someone to discuss this with</t>
        </is>
      </c>
      <c r="C8939" t="inlineStr">
        <is>
          <t>So, basically I have no symptoms of colon cancer. I had symptoms of UTI instead but to make the long story short. They found a small tumor in the bladder and they removed it. But the primary tumor is in the cecum which they removed by right hemicolectomy. The biopsy result came negative and basically the doctor said there were no signs that the cancer spread to other parts such as lungs and liver. Now, the doctor said I'm fine but needs to have some chemotherapy.
This is what I'm afraid of. What are the possible long term negative effects of chemo on my body? Do I really need to do this even though the doctor said I'm already cleared of cancer?</t>
        </is>
      </c>
      <c r="D8939" t="n">
        <v>1</v>
      </c>
      <c r="E8939" t="n">
        <v>17</v>
      </c>
      <c r="F8939">
        <f>HYPERLINK("https://www.reddit.com/r/cancer/comments/g773bf/i_20_had_been_diagnosed_with_colon_cancer/")</f>
        <v/>
      </c>
      <c r="G8939" t="inlineStr">
        <is>
          <t>2020-04-24 04:56:58</t>
        </is>
      </c>
      <c r="H8939" t="inlineStr"/>
    </row>
    <row r="8940">
      <c r="A8940" t="inlineStr">
        <is>
          <t>g77lyc</t>
        </is>
      </c>
      <c r="B8940" t="inlineStr">
        <is>
          <t>How are you all dealing with quaratene</t>
        </is>
      </c>
      <c r="C8940" t="inlineStr">
        <is>
          <t>So since i'm immunocompromised i have been staying home and avoiding contact with even family who go outside, i have found this extremely hard and lonely. I wanted to ask how all of you are dealing with isolation and the fear og getting the virus?</t>
        </is>
      </c>
      <c r="D8940" t="n">
        <v>1</v>
      </c>
      <c r="E8940" t="n">
        <v>9</v>
      </c>
      <c r="F8940">
        <f>HYPERLINK("https://www.reddit.com/r/cancer/comments/g77lyc/how_are_you_all_dealing_with_quaratene/")</f>
        <v/>
      </c>
      <c r="G8940" t="inlineStr">
        <is>
          <t>2020-04-24 05:36:02</t>
        </is>
      </c>
      <c r="H8940" t="inlineStr"/>
    </row>
    <row r="8941">
      <c r="A8941" t="inlineStr">
        <is>
          <t>g77w0o</t>
        </is>
      </c>
      <c r="B8941" t="inlineStr">
        <is>
          <t>Cancer free</t>
        </is>
      </c>
      <c r="C8941" t="inlineStr">
        <is>
          <t>I have some good news for you all, I am a 28 year old guy and was diagnosed with stage 4 non hodgkins lymphoma last year. Today I received results from my mid point scan (which due to world circumstances I never got until about 70% through my treatment). 
And I'm cancer free. 
Keep the faith guys. Much love</t>
        </is>
      </c>
      <c r="D8941" t="n">
        <v>1</v>
      </c>
      <c r="E8941" t="n">
        <v>35</v>
      </c>
      <c r="F8941">
        <f>HYPERLINK("https://www.reddit.com/r/cancer/comments/g77w0o/cancer_free/")</f>
        <v/>
      </c>
      <c r="G8941" t="inlineStr">
        <is>
          <t>2020-04-24 05:55:48</t>
        </is>
      </c>
      <c r="H8941" t="inlineStr"/>
    </row>
    <row r="8942">
      <c r="A8942" t="inlineStr">
        <is>
          <t>g78tqc</t>
        </is>
      </c>
      <c r="B8942" t="inlineStr">
        <is>
          <t>Breast lump, should I be worried?</t>
        </is>
      </c>
      <c r="C8942" t="inlineStr">
        <is>
          <t>Hello. Last Monday, I felt a lump on the cleavage part closer to my right breast. It is firm and has little pain when I push my finger through it. It is not physically obvious unless you try to feel it with your fingers. I don't know if I should be bothered by it but I searched that not all breast lumps are cancerous and some disappear naturally. I wanted to give it two weeks so I can observe any changes. So far, there's only the lump (right breast) and 3 red dots on the side of my left breast (it is itchy but I'm thinking it's because of the hot weather).
Should I be worried? Any steps that I should take? We have no history of breast cancer on either side except one aunt. Please give me advice. Thank you.</t>
        </is>
      </c>
      <c r="D8942" t="n">
        <v>1</v>
      </c>
      <c r="E8942" t="n">
        <v>9</v>
      </c>
      <c r="F8942">
        <f>HYPERLINK("https://www.reddit.com/r/cancer/comments/g78tqc/breast_lump_should_i_be_worried/")</f>
        <v/>
      </c>
      <c r="G8942" t="inlineStr">
        <is>
          <t>2020-04-24 06:58:08</t>
        </is>
      </c>
      <c r="H8942" t="inlineStr"/>
    </row>
    <row r="8943">
      <c r="A8943" t="inlineStr">
        <is>
          <t>g79y4j</t>
        </is>
      </c>
      <c r="B8943" t="inlineStr">
        <is>
          <t>My dad passed so peacefully.</t>
        </is>
      </c>
      <c r="C8943" t="inlineStr">
        <is>
          <t>After spending 2.5 weeks on hospice, my father died peacefully at home on Wednesday just before midnight. He had stage 4 NSCLC that had spread to his adrenal gland, spine, ribs, and pelvis. He was in a good amount of pain despite a steady intake of MS Contin as his long-acting pain and oxycodone for his breakthrough pain. After reading so much about the active dying process and hearing about other caretakers' experience, I was bracing myself for the worst. My father began the active dying process on Tuesday at noon and passed at 11:20 pm the next day on Wednesday. He slept nonstop and woke only once to utter the words "I love you too" after his eldest grandaughter said she loved him. Once more, he said my name as perhaps he was in some pain (at this point he was receiving liquid morphine or lorazepam). After saying my name which I believe was his final distinguishable word, he remained unconscious for the duration of the journey. 30 minutes before he passed, his grandchildren read a letter to him and they left to go home. 10 minutes later, I gave him a dose of the liquid morphine and kissed him on his forehard, telling him I love him. I left the room to watch TV and my mom went to lie down, in her bed next to his hospital bed. A few minutes later she came to get me, saying that she no longer heard him breathing. I checked his pulse and sure enough he had passed. We were surprised as we though he still had another day as his breathing wasn't labor and there weren't many pauses yet, his skin hadn't started to change color, and he was warm... his feet and hands were only slightly cooler to the touch but definitely still warm. There was no rattle and no gasps; absolutely no struggle. He passed with his eyes closed and looked absolutely beautiful. He remained warm to the touch with only the slightest graying of his complexion and his bowels did not release. He did not stiffen up. I believe that God answered our most important prayer which was to allow him to pass with peace and without pain. 
I hope that this gives some of you peace as I know how much I feared my dad'd impending death, and was so scared that I would see him in great distress. I do believe he waited until his children and grandchildren had left the room. We are so heartbroken as selfishly we miss him so much already, but we also take comfort knowing he is out of the misery the aggressive cancer was wreaking on his body.</t>
        </is>
      </c>
      <c r="D8943" t="n">
        <v>1</v>
      </c>
      <c r="E8943" t="n">
        <v>8</v>
      </c>
      <c r="F8943">
        <f>HYPERLINK("https://www.reddit.com/r/cancer/comments/g79y4j/my_dad_passed_so_peacefully/")</f>
        <v/>
      </c>
      <c r="G8943" t="inlineStr">
        <is>
          <t>2020-04-24 08:04:09</t>
        </is>
      </c>
      <c r="H8943" t="inlineStr"/>
    </row>
    <row r="8944">
      <c r="A8944" t="inlineStr">
        <is>
          <t>g7azrt</t>
        </is>
      </c>
      <c r="B8944" t="inlineStr">
        <is>
          <t>Looking for advice on how to handle my Father-in-laws new diagnosis. My searching has been frustratingly ineffective, and my Physician Wife asked me to reach out to Reddit.</t>
        </is>
      </c>
      <c r="C8944" t="inlineStr">
        <is>
          <t>Hello, my father-in-law just had a racquetball colon tumor show up and we’re kind of in shock and trying to get our wits about us.  No metastasis from CAT scan and lymph nodes and removal are next week.  Minimum Stage 3A.  My wife is a doctor and I work in pharma, but we know nothing about this, and what to expect.  
Ironically my wife asked me to reach out to reddit for advice on how to support Dad without causing any undue stress and to be as supportive as possible.
- does anyone have any good advice?
- are there any good posts that I wasn’t able to find to lay this out?
Thank you so much, I went through it as a kid losing my best friend to a rare cancer when we were 9, and I want to partition that experience from this one.</t>
        </is>
      </c>
      <c r="D8944" t="n">
        <v>1</v>
      </c>
      <c r="E8944" t="n">
        <v>6</v>
      </c>
      <c r="F8944">
        <f>HYPERLINK("https://www.reddit.com/r/cancer/comments/g7azrt/looking_for_advice_on_how_to_handle_my/")</f>
        <v/>
      </c>
      <c r="G8944" t="inlineStr">
        <is>
          <t>2020-04-24 09:03:08</t>
        </is>
      </c>
      <c r="H8944" t="inlineStr"/>
    </row>
    <row r="8945">
      <c r="A8945" t="inlineStr">
        <is>
          <t>g7b98z</t>
        </is>
      </c>
      <c r="B8945" t="inlineStr">
        <is>
          <t>Tongue carcinoma and reccurence risk (young patient)</t>
        </is>
      </c>
      <c r="C8945" t="inlineStr">
        <is>
          <t>Hi, I got diagnosed with SCC of the tongue at just 23 years old, no family history of SCC , my 3 brothers older than me ( 30  , 33, 36) are totally fine
fortunaly i immediatly went to an ent and got it removed without mutilating  treatment, it was T1N0M0  and very small : 5 mm 
now im really afraid about recurrence, everyday i think about it
the next month i"ll have a chromosomal test : they will see if my cell have normal dna repair capacity ... 
&amp;amp;#x200B;
does scc always reccur ? especially in young ?</t>
        </is>
      </c>
      <c r="D8945" t="n">
        <v>1</v>
      </c>
      <c r="E8945" t="n">
        <v>1</v>
      </c>
      <c r="F8945">
        <f>HYPERLINK("https://www.reddit.com/r/cancer/comments/g7b98z/tongue_carcinoma_and_reccurence_risk_young_patient/")</f>
        <v/>
      </c>
      <c r="G8945" t="inlineStr">
        <is>
          <t>2020-04-24 09:17:28</t>
        </is>
      </c>
      <c r="H8945" t="inlineStr"/>
    </row>
    <row r="8946">
      <c r="A8946" t="inlineStr">
        <is>
          <t>g7boye</t>
        </is>
      </c>
      <c r="B8946" t="inlineStr">
        <is>
          <t>CT report help</t>
        </is>
      </c>
      <c r="C8946" t="inlineStr">
        <is>
          <t>Father took his 3rd CT scan for stomach cancer,  Can you help me  interpret some sentences.
"Stomach is underdistended, limiting evaluation."</t>
        </is>
      </c>
      <c r="D8946" t="n">
        <v>1</v>
      </c>
      <c r="E8946" t="n">
        <v>6</v>
      </c>
      <c r="F8946">
        <f>HYPERLINK("https://www.reddit.com/r/cancer/comments/g7boye/ct_report_help/")</f>
        <v/>
      </c>
      <c r="G8946" t="inlineStr">
        <is>
          <t>2020-04-24 09:41:16</t>
        </is>
      </c>
      <c r="H8946" t="inlineStr"/>
    </row>
    <row r="8947">
      <c r="A8947" t="inlineStr">
        <is>
          <t>g7df8l</t>
        </is>
      </c>
      <c r="B8947" t="inlineStr">
        <is>
          <t>Optune accessories to make treatment better</t>
        </is>
      </c>
      <c r="C8947" t="inlineStr">
        <is>
          <t>My father just received his optune and although it comes with a backpack , I’m wondering if anyone may know of any other accessories to make wearing one more comfortable/ doable. 
So far we found the solar hat that has a fan on it which is amazing! 
I’ve been trying to find like fanny packs , better ways of carrying it around, maybe a timer meant for it idk I just feel like there’s so much involved and I don’t even know where to begin looking for stuff.</t>
        </is>
      </c>
      <c r="D8947" t="n">
        <v>1</v>
      </c>
      <c r="E8947" t="n">
        <v>1</v>
      </c>
      <c r="F8947">
        <f>HYPERLINK("https://www.reddit.com/r/cancer/comments/g7df8l/optune_accessories_to_make_treatment_better/")</f>
        <v/>
      </c>
      <c r="G8947" t="inlineStr">
        <is>
          <t>2020-04-24 11:12:31</t>
        </is>
      </c>
      <c r="H8947" t="inlineStr"/>
    </row>
    <row r="8948">
      <c r="A8948" t="inlineStr">
        <is>
          <t>g7e3o6</t>
        </is>
      </c>
      <c r="B8948" t="inlineStr">
        <is>
          <t>I know what you mean</t>
        </is>
      </c>
      <c r="C8948" t="inlineStr">
        <is>
          <t>When you tell someone about your feelings, toughts and they say that they understand what you mean and in 5 minutes... You realise that she/he don't understand shit. They cannot understand anything until they go trough your skin... Hope this makes sense.
Maybe, i'm just very angry and sad. 
Fuck cancer.</t>
        </is>
      </c>
      <c r="D8948" t="n">
        <v>1</v>
      </c>
      <c r="E8948" t="n">
        <v>4</v>
      </c>
      <c r="F8948">
        <f>HYPERLINK("https://www.reddit.com/r/cancer/comments/g7e3o6/i_know_what_you_mean/")</f>
        <v/>
      </c>
      <c r="G8948" t="inlineStr">
        <is>
          <t>2020-04-24 11:48:20</t>
        </is>
      </c>
      <c r="H8948" t="inlineStr"/>
    </row>
    <row r="8949">
      <c r="A8949" t="inlineStr">
        <is>
          <t>g7em90</t>
        </is>
      </c>
      <c r="B8949" t="inlineStr">
        <is>
          <t>Family Breaking Quarantine With a Stage 4 Patient Undergoing Chemo</t>
        </is>
      </c>
      <c r="C8949" t="inlineStr">
        <is>
          <t>My family have just started aggressively breaking quarantine in the past week or so, now that we're several weeks into this even though we have a stage 4 cancer patient who's 73 and still undergoing chemo in the house. She also almost died last year of a lung-infection that put her in the ICU for 14 days too. And is pre-diabetic. She's got an insurmountable amount of potential COVID complications. 
They're breaking it for useless, completely non-essential reasons. Just because they're bored. Like going into stores when we usually use online order and pick orders up for free. Having a stranger come over and do unnecessary landscaping with household members standing right next to him. 
My state's on full lock-down except for essential workers and life-sustaining trips too, so this isn't just life risking it's against the state regulations. 
And no on else in the family cares or will help me try to reign the people doing it in and I don't how to deal with this. She's survived so long with stage 4 cancer and now I can't stop them from gambling with her life. 
I'm becoming completely broken this. Any advice?</t>
        </is>
      </c>
      <c r="D8949" t="n">
        <v>1</v>
      </c>
      <c r="E8949" t="n">
        <v>5</v>
      </c>
      <c r="F8949">
        <f>HYPERLINK("https://www.reddit.com/r/cancer/comments/g7em90/family_breaking_quarantine_with_a_stage_4_patient/")</f>
        <v/>
      </c>
      <c r="G8949" t="inlineStr">
        <is>
          <t>2020-04-24 12:15:36</t>
        </is>
      </c>
      <c r="H8949" t="inlineStr"/>
    </row>
    <row r="8950">
      <c r="A8950" t="inlineStr">
        <is>
          <t>g7etr6</t>
        </is>
      </c>
      <c r="B8950" t="inlineStr">
        <is>
          <t>Do I have early stage Kaposi's Sarcoma?</t>
        </is>
      </c>
      <c r="C8950" t="inlineStr">
        <is>
          <t xml:space="preserve">
I'm 29m with no pre-existing conditions besides asthma and allergies to pollen. I may have had HIV exposure but I'm negative 120 days through antibody testing. I have developed what I fear to be early stage Kaposi's Sarcoma, here is an image Is there another plausible explanation for what this may be. https://imgur.com/dpJFjTH</t>
        </is>
      </c>
      <c r="D8950" t="n">
        <v>1</v>
      </c>
      <c r="E8950" t="n">
        <v>4</v>
      </c>
      <c r="F8950">
        <f>HYPERLINK("https://www.reddit.com/r/cancer/comments/g7etr6/do_i_have_early_stage_kaposis_sarcoma/")</f>
        <v/>
      </c>
      <c r="G8950" t="inlineStr">
        <is>
          <t>2020-04-24 12:26:39</t>
        </is>
      </c>
      <c r="H8950" t="inlineStr"/>
    </row>
    <row r="8951">
      <c r="A8951" t="inlineStr">
        <is>
          <t>g7gtbv</t>
        </is>
      </c>
      <c r="B8951" t="inlineStr">
        <is>
          <t>How / When to tell a 7 year old boy that mom has cancer</t>
        </is>
      </c>
      <c r="C8951" t="inlineStr">
        <is>
          <t>Hey all, 
My wife has cancer diagnosed via biopsy, she is resisting treatment, we have no idea what stage she is... I DO NOT WANT TO GET INTO DETAILS ABOUT THIS NOW, I am struggling even to write this without tears. 
&amp;amp;#x200B;
How / When should I include my son?  I know that it's never a good time to give this sort of news to a child but I assume there is a best practice method to deal with this.  Worst case, I don't want him totally caught off guard if my wife's health declines rapidly as on the surface everything still seems normal.</t>
        </is>
      </c>
      <c r="D8951" t="n">
        <v>1</v>
      </c>
      <c r="E8951" t="n">
        <v>7</v>
      </c>
      <c r="F8951">
        <f>HYPERLINK("https://www.reddit.com/r/cancer/comments/g7gtbv/how_when_to_tell_a_7_year_old_boy_that_mom_has/")</f>
        <v/>
      </c>
      <c r="G8951" t="inlineStr">
        <is>
          <t>2020-04-24 14:16:15</t>
        </is>
      </c>
      <c r="H8951" t="inlineStr"/>
    </row>
    <row r="8952">
      <c r="A8952" t="inlineStr">
        <is>
          <t>g7iii7</t>
        </is>
      </c>
      <c r="B8952" t="inlineStr">
        <is>
          <t>Tired of everything going on.</t>
        </is>
      </c>
      <c r="C8952" t="inlineStr">
        <is>
          <t>Hello, this is my first time posting here, since i don't know any other places on where I can relate to what's going on right now. I'm a 23F, and when I was 18 I was diagnosed with ovarian cancer, stage IIa. These years were rough, i didn't go through chemo, i didn't do radiotherapy but i had 2 surgeries. One, to remove the first tumor, my left ovary and my Falopian tube. After this surgery, I had an extreme fever and stayed in the hospital for almost 3 weeks. When i finally came back home, they had the results for the tumor. It was bad, and they sent to me do a new PET Scan. On this new scan, they saw that new cancer was found in my right ovary, and in one of my lymph node. Two weeks later, i had another surgery. This one, to remove part of my ovary, all my lymph nodes up to my armpits, and all the abdominal fat they could recovered. After this surgery, i lost a lot of sensitivity on my stomach and hips, including my legs. Since i couldn't get a better insurance at the time, nobody could help me out more. Now, 5 years later, and non-stop since that last surgery, i've been in pain. Really deep pain, near the ovary that remains, but no one founds solution or any way to stop this. Doctors say i'm okay, that's there nothing wrong on my scans, the only problem now is that i also have headache and a complete mess of my hormones, due to something wrong with my pituitary gland, but cannot help me after this pandemic has been controlled. I really don't know where else to find support to keep on going, especially since i recognized i've been acting wrongly with my loved ones because of this. Hope someone reads this and let me know if you anyone in this situation too. Sorry for my english, I'm from Argentina and spanish is my native language.</t>
        </is>
      </c>
      <c r="D8952" t="n">
        <v>1</v>
      </c>
      <c r="E8952" t="n">
        <v>4</v>
      </c>
      <c r="F8952">
        <f>HYPERLINK("https://www.reddit.com/r/cancer/comments/g7iii7/tired_of_everything_going_on/")</f>
        <v/>
      </c>
      <c r="G8952" t="inlineStr">
        <is>
          <t>2020-04-24 15:54:11</t>
        </is>
      </c>
      <c r="H8952" t="inlineStr"/>
    </row>
    <row r="8953">
      <c r="A8953" t="inlineStr">
        <is>
          <t>g7jhau</t>
        </is>
      </c>
      <c r="B8953" t="inlineStr">
        <is>
          <t>I feel like I’m living the same day over and over again.</t>
        </is>
      </c>
      <c r="C8953" t="inlineStr">
        <is>
          <t>A couple months ago, I was told my previous colon cancer (tumor was removed) had spread to my stomach. During this same time, I also had surgery bc of a small bowel obstruction as a result. Fast forward to now, I am not on any treatments, as my doctor thinks I am still too weak bc of the surgery, and I feel like I’m just letting this disease eat me alive without being able to fight back. This pandemic sure doesn’t help neither since my doctor’s made it clear she doesn’t want me in the hospital at the moment bc of it.
My doctor did say that I *might* be able to try the pill if I feel better in the future but right now, that just feels like she just said that to give me hope bc we are literally doing nothing else.
Anyone else been through something similar?</t>
        </is>
      </c>
      <c r="D8953" t="n">
        <v>1</v>
      </c>
      <c r="E8953" t="n">
        <v>1</v>
      </c>
      <c r="F8953">
        <f>HYPERLINK("https://www.reddit.com/r/cancer/comments/g7jhau/i_feel_like_im_living_the_same_day_over_and_over/")</f>
        <v/>
      </c>
      <c r="G8953" t="inlineStr">
        <is>
          <t>2020-04-24 16:53:07</t>
        </is>
      </c>
      <c r="H8953" t="inlineStr"/>
    </row>
    <row r="8954">
      <c r="A8954" t="inlineStr">
        <is>
          <t>g7kds6</t>
        </is>
      </c>
      <c r="B8954" t="inlineStr">
        <is>
          <t>Partner's mother was just re diagnosed with lung cancer. I live 30 minutes away, and she with her mother right now. Lockdown is separating us - what can I do?</t>
        </is>
      </c>
      <c r="C8954" t="inlineStr">
        <is>
          <t>As the title said, my partner's mother was just diagnosed again with some type of sarcoma in the lungs after it spread from elsewhere (news today). I live alone, 30 minutes away, and she lives with her mother since the start of Covid-19 lockdown. What can I do to support her? We face time, but that's about it. Any other suggestions? Poor girl has the closest bond with a mother I've ever witnessed.</t>
        </is>
      </c>
      <c r="D8954" t="n">
        <v>1</v>
      </c>
      <c r="E8954" t="n">
        <v>1</v>
      </c>
      <c r="F8954">
        <f>HYPERLINK("https://www.reddit.com/r/cancer/comments/g7kds6/partners_mother_was_just_re_diagnosed_with_lung/")</f>
        <v/>
      </c>
      <c r="G8954" t="inlineStr">
        <is>
          <t>2020-04-24 17:51:49</t>
        </is>
      </c>
      <c r="H8954" t="inlineStr"/>
    </row>
    <row r="8955">
      <c r="A8955" t="inlineStr">
        <is>
          <t>g7l2gg</t>
        </is>
      </c>
      <c r="B8955" t="inlineStr">
        <is>
          <t>Did you ever start obsessing about cancer before you had symptoms/were diagnosed?</t>
        </is>
      </c>
      <c r="C8955" t="inlineStr">
        <is>
          <t>I was diagnosed last summer (July 2019) and for a couple months before that, I was obsessed with cancer. I was always talking about it to my family, like how many chemicals we use every day, industrialization and pollution, etc. could be the reason so many people are getting cancer these days. It’s so crazy, like my subconscious new something was up and was trying to tell me. Soon after, I started getting symptoms and turns out I did have it!!!! Did this happen to anyone else?! Am I psychic? Lmao</t>
        </is>
      </c>
      <c r="D8955" t="n">
        <v>1</v>
      </c>
      <c r="E8955" t="n">
        <v>5</v>
      </c>
      <c r="F8955">
        <f>HYPERLINK("https://www.reddit.com/r/cancer/comments/g7l2gg/did_you_ever_start_obsessing_about_cancer_before/")</f>
        <v/>
      </c>
      <c r="G8955" t="inlineStr">
        <is>
          <t>2020-04-24 18:37:26</t>
        </is>
      </c>
      <c r="H8955" t="inlineStr"/>
    </row>
    <row r="8956">
      <c r="A8956" t="inlineStr">
        <is>
          <t>g7mil6</t>
        </is>
      </c>
      <c r="B8956" t="inlineStr">
        <is>
          <t>Kidney Damage From Cisplatin + What to Do Now</t>
        </is>
      </c>
      <c r="C8956" t="inlineStr">
        <is>
          <t>At 25 I was diagnosed with stage 3B Seminoma testicular cancer and underwent 4 rounds of BEP.
Fast forward 7 years and the cancer is back. This time the treatment plan was 4 rounds of High Dose VIP.
I have completed 3 rounds.
During rounds 1&amp;amp;2 my creatinine would jump from 1.1-1.9 by end of 5 days of chemo and then promptly come back down.
After the 3rd round my creatinine jumped up to 3.4 for 2 days and has since been around 2.5 for the last 3 weeks.
The plan was to postpone the chemo and let my kidneys recover some. Well now My treatment team wants me to go ahead with a 4th round.
They want to substitute carboplatin and stop the cisplatin while also reducing the ifosfamide by 25%.
I’m wanting to give my kidneys more time to try and heal before submitting to another round.
I really don’t want permanent kidney problems especially having to do dialysis.
Looking for other people’s input on what the right move is.
Happy to provide more info.
Thanks</t>
        </is>
      </c>
      <c r="D8956" t="n">
        <v>1</v>
      </c>
      <c r="E8956" t="n">
        <v>4</v>
      </c>
      <c r="F8956">
        <f>HYPERLINK("https://www.reddit.com/r/cancer/comments/g7mil6/kidney_damage_from_cisplatin_what_to_do_now/")</f>
        <v/>
      </c>
      <c r="G8956" t="inlineStr">
        <is>
          <t>2020-04-24 20:18:55</t>
        </is>
      </c>
      <c r="H8956" t="inlineStr"/>
    </row>
    <row r="8957">
      <c r="A8957" t="inlineStr">
        <is>
          <t>g7nvbr</t>
        </is>
      </c>
      <c r="B8957" t="inlineStr">
        <is>
          <t>(21 M) Dating during and after cancer treatment.</t>
        </is>
      </c>
      <c r="C8957" t="inlineStr">
        <is>
          <t>Hey guys I was diagnosed with leukemia last August and went into remission in January. I’m getting a bone marrow transplant in 2 months. How do you go about telling people you had cancer and are still getting treated? I’ve been using dating apps such as tinder and everything seems to go well until I mention that. At this point I feel like not even saying anything. I tell them if they ask for my social media because their are pictures of me in the hospital on there. Are there any apps or websites meant just for cancer survivors? This is probably the last thing I need to worry about but I still want to live my life somewhat normal.</t>
        </is>
      </c>
      <c r="D8957" t="n">
        <v>1</v>
      </c>
      <c r="E8957" t="n">
        <v>20</v>
      </c>
      <c r="F8957">
        <f>HYPERLINK("https://www.reddit.com/r/cancer/comments/g7nvbr/21_m_dating_during_and_after_cancer_treatment/")</f>
        <v/>
      </c>
      <c r="G8957" t="inlineStr">
        <is>
          <t>2020-04-24 22:01:54</t>
        </is>
      </c>
      <c r="H8957" t="inlineStr"/>
    </row>
    <row r="8958">
      <c r="A8958" t="inlineStr">
        <is>
          <t>g7qtw4</t>
        </is>
      </c>
      <c r="B8958" t="inlineStr">
        <is>
          <t>What the hell is happening</t>
        </is>
      </c>
      <c r="C8958" t="inlineStr">
        <is>
          <t>BOTH MY GRANDPARENTS HAVE CANCER NOW!!!
I have known that one of them had it for over 8 months now but the other one just discovered he has lung cancer a few days ago. WOHOO.
The first one can't even say my name without wasting all of his energy, and now, the second will keep getting eaten by this fucking shitty thing until he behaves the same like my other grandpa until they die.
FUCK CANCER FUCK CANCER FUCK CANCER FUCK CANCER</t>
        </is>
      </c>
      <c r="D8958" t="n">
        <v>1</v>
      </c>
      <c r="E8958" t="n">
        <v>2</v>
      </c>
      <c r="F8958">
        <f>HYPERLINK("https://www.reddit.com/r/cancer/comments/g7qtw4/what_the_hell_is_happening/")</f>
        <v/>
      </c>
      <c r="G8958" t="inlineStr">
        <is>
          <t>2020-04-25 02:33:13</t>
        </is>
      </c>
      <c r="H8958" t="inlineStr"/>
    </row>
    <row r="8959">
      <c r="A8959" t="inlineStr">
        <is>
          <t>g7r232</t>
        </is>
      </c>
      <c r="B8959" t="inlineStr">
        <is>
          <t>Cancer is so bad because it isn’t picky</t>
        </is>
      </c>
      <c r="C8959" t="inlineStr">
        <is>
          <t>My mum told me a few days ago that someone she knows has had cancer for a few years and she has 2 children my age (16 and 14)
She was told she had a few weeks to live which is already awful but she died yesterday
She was 38 with two children and she died of cancer. Never knew her but I just feel awful</t>
        </is>
      </c>
      <c r="D8959" t="n">
        <v>1</v>
      </c>
      <c r="E8959" t="n">
        <v>2</v>
      </c>
      <c r="F8959">
        <f>HYPERLINK("https://www.reddit.com/r/cancer/comments/g7r232/cancer_is_so_bad_because_it_isnt_picky/")</f>
        <v/>
      </c>
      <c r="G8959" t="inlineStr">
        <is>
          <t>2020-04-25 02:56:16</t>
        </is>
      </c>
      <c r="H8959" t="inlineStr"/>
    </row>
    <row r="8960">
      <c r="A8960" t="inlineStr">
        <is>
          <t>g7rpq6</t>
        </is>
      </c>
      <c r="B8960" t="inlineStr">
        <is>
          <t>EnergyOut Movie night tonight! 5pm GMT Open to young adults (18-38) who have ever had a cancer diagnosis.</t>
        </is>
      </c>
      <c r="C8960" t="inlineStr">
        <is>
          <t>Hi my name is Matthew and I've posted here a few times. I run an online social group called EnergyOut for young adults who have ever had a cancer diagnosis.
We have over 30 members on our forum and have regular activities including: games nights, social events, board game nights, quizzes and more, all online.
If you want to join our activity tonight then all you have to do is comment that you want to join and I'll send you an invite to our zoom call at 4:50pm GMT 
or you can join our forum [here](https://energy-out.mn.co/), I'll be sending invites out at the same time.
Hopefully see some of you later!
If you have any questions feel free to ask me.
Sorry if this shouldn't have been posted here I just wanted to make people aware!</t>
        </is>
      </c>
      <c r="D8960" t="n">
        <v>1</v>
      </c>
      <c r="E8960" t="n">
        <v>2</v>
      </c>
      <c r="F8960">
        <f>HYPERLINK("https://www.reddit.com/r/cancer/comments/g7rpq6/energyout_movie_night_tonight_5pm_gmt_open_to/")</f>
        <v/>
      </c>
      <c r="G8960" t="inlineStr">
        <is>
          <t>2020-04-25 04:00:15</t>
        </is>
      </c>
      <c r="H8960" t="inlineStr"/>
    </row>
    <row r="8961">
      <c r="A8961" t="inlineStr">
        <is>
          <t>g7sq80</t>
        </is>
      </c>
      <c r="B8961" t="inlineStr">
        <is>
          <t>Chemo care package</t>
        </is>
      </c>
      <c r="C8961" t="inlineStr">
        <is>
          <t>My dad has just started chemo for oesophageal cancer, he lives 100 miles away and obviously due to lockdown (we’re in the uk) I can’t go see him. So I want to put together a care package to send him as I think he’s struggling more than he expected. Any ideas of what to add please, he’s in his 70s but fairly young for his age. I thought of books, but he’s just started Game of Thrones so he’s got lots to go at for a while!</t>
        </is>
      </c>
      <c r="D8961" t="n">
        <v>1</v>
      </c>
      <c r="E8961" t="n">
        <v>3</v>
      </c>
      <c r="F8961">
        <f>HYPERLINK("https://www.reddit.com/r/cancer/comments/g7sq80/chemo_care_package/")</f>
        <v/>
      </c>
      <c r="G8961" t="inlineStr">
        <is>
          <t>2020-04-25 05:29:15</t>
        </is>
      </c>
      <c r="H8961" t="inlineStr"/>
    </row>
    <row r="8962">
      <c r="A8962" t="inlineStr">
        <is>
          <t>g7stge</t>
        </is>
      </c>
      <c r="B8962" t="inlineStr">
        <is>
          <t>Cannabis for cancer experiences</t>
        </is>
      </c>
      <c r="C8962" t="inlineStr">
        <is>
          <t>Hope this is allowed. I've been diagnosed with breast cancer recently. Just wondered if anyone uses cannabis and has it has helped? I'm thinking of using it but would rather edibles than smoking it. Anyone have any recipes?</t>
        </is>
      </c>
      <c r="D8962" t="n">
        <v>1</v>
      </c>
      <c r="E8962" t="n">
        <v>15</v>
      </c>
      <c r="F8962">
        <f>HYPERLINK("https://www.reddit.com/r/cancer/comments/g7stge/cannabis_for_cancer_experiences/")</f>
        <v/>
      </c>
      <c r="G8962" t="inlineStr">
        <is>
          <t>2020-04-25 05:36:18</t>
        </is>
      </c>
      <c r="H8962" t="inlineStr"/>
    </row>
    <row r="8963">
      <c r="A8963" t="inlineStr">
        <is>
          <t>g7vsxo</t>
        </is>
      </c>
      <c r="B8963" t="inlineStr">
        <is>
          <t>How technology could have made your journey with cancer better?</t>
        </is>
      </c>
      <c r="C8963" t="inlineStr">
        <is>
          <t>People affected by cancer in any way - I wish to understand how technology could have made your whole diagnosis, treatment, and the rest of the journey better?  
It could be maybe having to know better about medical terminologies, various chemo drugs, alternative treatment options, a sense of community and belonging with others going through the same journey or anything in general you thought was difficult and could have been solved by technology(app, website etc.)  
I'm asking so because I'm a Software Engineer who lost his brother to Colorectal cancer around two years back. I would be analyzing your valuable responses to figure out a solution that I can pursue to give back to the community.</t>
        </is>
      </c>
      <c r="D8963" t="n">
        <v>1</v>
      </c>
      <c r="E8963" t="n">
        <v>4</v>
      </c>
      <c r="F8963">
        <f>HYPERLINK("https://www.reddit.com/r/cancer/comments/g7vsxo/how_technology_could_have_made_your_journey_with/")</f>
        <v/>
      </c>
      <c r="G8963" t="inlineStr">
        <is>
          <t>2020-04-25 08:57:35</t>
        </is>
      </c>
      <c r="H8963" t="inlineStr"/>
    </row>
    <row r="8964">
      <c r="A8964" t="inlineStr">
        <is>
          <t>g7w6iy</t>
        </is>
      </c>
      <c r="B8964" t="inlineStr">
        <is>
          <t>I thought I wouldn't ever see my mom again yesterday. How to deal with this?</t>
        </is>
      </c>
      <c r="C8964" t="inlineStr">
        <is>
          <t>So my mom has been mostly okay for the last 10 years. ( She has stage 4 her positive breast cancer metastatic to the bone).
Three days ago she had an injection of medicine meant to strengthen bone, and it put her in such extreme pain that even fully doped up on pain meds, she was moaning in pain for two days and could barely walk. We took her to the hospital yesterday, for dehydration and constipation, and we weren't even allowed into the hospital with her. 
I remember reading the nurses accounts of the hospitals right now, how if people are dying, they just get a video call to say goodbye to their loved ones, and I I was so scared I would never see her again. 
They let her out the same day and we took her home, but it made me realize how much my parents aren't telling me about how the disease is affecting her. 
I sit here, knowing it's okay now, but.. it's not. I thought I would lose her yesterday and now it's just fine?
How can I deal with this.</t>
        </is>
      </c>
      <c r="D8964" t="n">
        <v>1</v>
      </c>
      <c r="E8964" t="n">
        <v>1</v>
      </c>
      <c r="F8964">
        <f>HYPERLINK("https://www.reddit.com/r/cancer/comments/g7w6iy/i_thought_i_wouldnt_ever_see_my_mom_again/")</f>
        <v/>
      </c>
      <c r="G8964" t="inlineStr">
        <is>
          <t>2020-04-25 09:18:32</t>
        </is>
      </c>
      <c r="H8964" t="inlineStr"/>
    </row>
    <row r="8965">
      <c r="A8965" t="inlineStr">
        <is>
          <t>g7ypt3</t>
        </is>
      </c>
      <c r="B8965" t="inlineStr">
        <is>
          <t>Question about seromas and med-port</t>
        </is>
      </c>
      <c r="C8965" t="inlineStr">
        <is>
          <t>So Mom got diagnosed with Stage IV Colorectal cancer that had spread as a mass attached to her lung (she broke the news half-laughing and crying that it was butt cancer that was causing her chronic coughing). So as she is about to go into the second round of chemo, she's developed a seroma over where her med-port is. Is this common? Anyone had experience with this? From what I've been told and read it sounds like intravenous chemo is a good deal harder to go through. What can I do to help?</t>
        </is>
      </c>
      <c r="D8965" t="n">
        <v>1</v>
      </c>
      <c r="E8965" t="n">
        <v>1</v>
      </c>
      <c r="F8965">
        <f>HYPERLINK("https://www.reddit.com/r/cancer/comments/g7ypt3/question_about_seromas_and_medport/")</f>
        <v/>
      </c>
      <c r="G8965" t="inlineStr">
        <is>
          <t>2020-04-25 11:36:47</t>
        </is>
      </c>
      <c r="H8965" t="inlineStr"/>
    </row>
    <row r="8966">
      <c r="A8966" t="inlineStr">
        <is>
          <t>g83owm</t>
        </is>
      </c>
      <c r="B8966" t="inlineStr">
        <is>
          <t>Opinions on symptoms?</t>
        </is>
      </c>
      <c r="C8966" t="inlineStr">
        <is>
          <t>To preface this I’ve already gone to a doctor and they told me I didn’t have anything serious going on. I’ve posted in the medical subreddit too and a few others told me nothing to be worried about. 
About three / four weeks ago I started lifting weights and went way too heavy, hurt myself and strained some muscles. Pain / soreness for days. That went away and I started going at it really heavy again, and also frequently. After my initial soreness went away I woke up with a sore spot on the bottom of my right rib cage, as well as the top of my left. Ignored it and worked out. Then realized I might have hurt myself so I stopped. Then two days later those initial pains went away and my sternum started to ache. Eventually that started to subside but other spots in my ribs got a little sore, back / shoulders / knees / knuckles were pretty achey. That was about a week and a half ago, most of those pains / soreness have gone away, granted I’ve been getting seriously drunk and being sedentary for the last month but here’s why I’m posting here: 
I’ve what feels like a deep ache in my forearm near the bone close to my wrist. Some of my knuckles ache too. It isnt constant. Comes and goes random times, probably 2-3 on a pain. Yesterday it felt like I had hit my funny bone and a few of my fingers were tingling but I’m sure I didn’t hit it. I’m kind of nervous I could be dealing with something more serious as it doesn’t feel like muscle pain and I’m kind of worried. Want to go back to the doctor but I feel like they’ll just blow it off. 
Does this sound like possible cancer to anyone out there? Has anyone who has been diagnosed experienced something similar? I have no other symptoms at this point, no chest / rib / back pain and I feel completely fine otherwise. Just paranoid.</t>
        </is>
      </c>
      <c r="D8966" t="n">
        <v>1</v>
      </c>
      <c r="E8966" t="n">
        <v>0</v>
      </c>
      <c r="F8966">
        <f>HYPERLINK("https://www.reddit.com/r/cancer/comments/g83owm/opinions_on_symptoms/")</f>
        <v/>
      </c>
      <c r="G8966" t="inlineStr">
        <is>
          <t>2020-04-25 16:28:03</t>
        </is>
      </c>
      <c r="H8966" t="inlineStr"/>
    </row>
    <row r="8967">
      <c r="A8967" t="inlineStr">
        <is>
          <t>g846yu</t>
        </is>
      </c>
      <c r="B8967" t="inlineStr">
        <is>
          <t>My nan passed away on Friday</t>
        </is>
      </c>
      <c r="C8967" t="inlineStr">
        <is>
          <t>I’m not coping, I’m numb. I feel guilty because I’m not crying but I just feel numb inside. There’s moments where I will cry over something like seeing a dress of hers or something.
I was supposed to see her and say my goodbyes today, my mum and dad were going to be picking me up to take me to her.
On Friday my dad called me and told me that the nurse had been and we weren’t sure if she was going to make it till Sunday, 
My partner ended up driving me half way home to my sister who then drove me the rest of the way, when I got to my sister she had told me she passed away about 5 minutes ago, I couldn’t explain the feeling it was just awful. When I got there she was just laying there cold and stiff, I sat with her for 3 hours until the funeral home took her. I’ll never forget them taking her body I the bag and wheeling it away. 
She was my best friend but I know she was in pain. I know she’s cancer free and with her mum in heaven but I’m hurting. I can’t eat, I don’t want to do anything, my partner can’t come down because he knows I need my family but I also need him to. 
Why does this happen, I feel like I’m trapped and can’t breath, I’m sorry for the long post but I just needed to get it off my chest</t>
        </is>
      </c>
      <c r="D8967" t="n">
        <v>1</v>
      </c>
      <c r="E8967" t="n">
        <v>0</v>
      </c>
      <c r="F8967">
        <f>HYPERLINK("https://www.reddit.com/r/cancer/comments/g846yu/my_nan_passed_away_on_friday/")</f>
        <v/>
      </c>
      <c r="G8967" t="inlineStr">
        <is>
          <t>2020-04-25 16:58:58</t>
        </is>
      </c>
      <c r="H8967" t="inlineStr"/>
    </row>
    <row r="8968">
      <c r="A8968" t="inlineStr">
        <is>
          <t>g84r7x</t>
        </is>
      </c>
      <c r="B8968" t="inlineStr">
        <is>
          <t>So far 2020 has been the worst! It's my cake Day today, which is supposed to be a happy time, but I just got a call that I have cancer.</t>
        </is>
      </c>
      <c r="C8968" t="inlineStr">
        <is>
          <t>I've been having problems with losing consciousness and severe fatigue, and so much more.  It's been going on for a year. Well, I just got off the phone with my doctor and she says it's a form of blood cancer.  She referred me to a hematologist and oncologist.  I have no idea what to expect, and I will keep fighting, but I know I need to be realistic.  What are some coping strategies you've found to be helpful?  Everything is so messed up and now I've got to go all the way to Mayo.  I'm terrified I'll get covid19.  I'm scared and I absolutely hate that I'm sick all of the time.  Would you be willing to share your story with me?  I feel very alone right now.</t>
        </is>
      </c>
      <c r="D8968" t="n">
        <v>1</v>
      </c>
      <c r="E8968" t="n">
        <v>1</v>
      </c>
      <c r="F8968">
        <f>HYPERLINK("https://www.reddit.com/r/cancer/comments/g84r7x/so_far_2020_has_been_the_worst_its_my_cake_day/")</f>
        <v/>
      </c>
      <c r="G8968" t="inlineStr">
        <is>
          <t>2020-04-25 17:35:25</t>
        </is>
      </c>
      <c r="H8968" t="inlineStr"/>
    </row>
    <row r="8969">
      <c r="A8969" t="inlineStr">
        <is>
          <t>g84sgr</t>
        </is>
      </c>
      <c r="B8969" t="inlineStr">
        <is>
          <t>I just want to live a normal life.</t>
        </is>
      </c>
      <c r="C8969" t="inlineStr">
        <is>
          <t>How do I tell all my friends and familly that I'm fine. I do not want special treatment. I will either make it or I wont. I'm just my shitty self that I was even before this shit.</t>
        </is>
      </c>
      <c r="D8969" t="n">
        <v>1</v>
      </c>
      <c r="E8969" t="n">
        <v>3</v>
      </c>
      <c r="F8969">
        <f>HYPERLINK("https://www.reddit.com/r/cancer/comments/g84sgr/i_just_want_to_live_a_normal_life/")</f>
        <v/>
      </c>
      <c r="G8969" t="inlineStr">
        <is>
          <t>2020-04-25 17:37:34</t>
        </is>
      </c>
      <c r="H8969" t="inlineStr"/>
    </row>
    <row r="8970">
      <c r="A8970" t="inlineStr">
        <is>
          <t>g859k1</t>
        </is>
      </c>
      <c r="B8970" t="inlineStr">
        <is>
          <t>My first time posting about it.</t>
        </is>
      </c>
      <c r="C8970" t="inlineStr">
        <is>
          <t xml:space="preserve">
This is the first time I’ve posted anything about my cancer story so it might be a bit long. I’m 35/M, married with 2 boys ages 11 &amp;amp; 7. So in March of 2018 I had a really weird bout of extreme chest pain while on a business trip with the president of my company. I’m talking about hurts to breathe, buckled my knees, excruciating pain to touch my chest. I thought I was having a heart attack. But I’m stupid and stubborn so I fight it off or so I thought. 2 hours later it happened again. This time I went to the ER. Doctors at first thought the same thing I did, heart attack. They ran a bunch of test, heart was fine, x-rays? No broken bones. Everything looked perfectly fine. Then the pain was mostly gone. So a month later I’m laying in bed next to my wife, then boom here we go again with round 2, but this time it was worse. Doctors again check me for heart issues but nothing. So now everyone’s scratching their heads. So they order a CT to see if I might have a blood clot somewhere. Get the results back and my doctors calls me in, (this can’t be good). She’s no longer worried about my chest pain, that’ll have to wait. I have a tumor on my kidney and it needs to checked out immediately. So I go see a specialist in another town. He looks at the images and says he’s 95% sure it’s cancer. So 1 week later I’m back with him and I’m having a partial left nephrectomy (they took out half my left kidney). Sure enough it was cancerous. Here I’m am 2 years later and I have a 2 week checkup to see if I’m cancer free. But as for the chest pain, I’ve never had it again. My doctors can’t explain it, because my kidney is know way connected to my chest pains, doctor said it was someone’s way of getting my attention to get looked at otherwise the cancer could have spread to my together organs had it not been caught when it did. Wish me luck!</t>
        </is>
      </c>
      <c r="D8970" t="n">
        <v>1</v>
      </c>
      <c r="E8970" t="n">
        <v>5</v>
      </c>
      <c r="F8970">
        <f>HYPERLINK("https://www.reddit.com/r/cancer/comments/g859k1/my_first_time_posting_about_it/")</f>
        <v/>
      </c>
      <c r="G8970" t="inlineStr">
        <is>
          <t>2020-04-25 18:09:05</t>
        </is>
      </c>
      <c r="H8970" t="inlineStr"/>
    </row>
    <row r="8971">
      <c r="A8971" t="inlineStr">
        <is>
          <t>g85s24</t>
        </is>
      </c>
      <c r="B8971" t="inlineStr">
        <is>
          <t>If my Dad only has a few months left and we've always been kinda light friends shouldn't I take an opportunity to get to know him? How could we do that or is there a word for presenting that idea to him?</t>
        </is>
      </c>
      <c r="C8971" t="inlineStr">
        <is>
          <t>Im just trying to not have any regrets for things after he's gone</t>
        </is>
      </c>
      <c r="D8971" t="n">
        <v>1</v>
      </c>
      <c r="E8971" t="n">
        <v>0</v>
      </c>
      <c r="F8971">
        <f>HYPERLINK("https://www.reddit.com/r/cancer/comments/g85s24/if_my_dad_only_has_a_few_months_left_and_weve/")</f>
        <v/>
      </c>
      <c r="G8971" t="inlineStr">
        <is>
          <t>2020-04-25 18:43:57</t>
        </is>
      </c>
      <c r="H8971" t="inlineStr"/>
    </row>
    <row r="8972">
      <c r="A8972" t="inlineStr">
        <is>
          <t>g862xv</t>
        </is>
      </c>
      <c r="B8972" t="inlineStr">
        <is>
          <t>Cancer good</t>
        </is>
      </c>
      <c r="C8972" t="inlineStr">
        <is>
          <t>Haha</t>
        </is>
      </c>
      <c r="D8972" t="n">
        <v>1</v>
      </c>
      <c r="E8972" t="n">
        <v>0</v>
      </c>
      <c r="F8972">
        <f>HYPERLINK("https://www.reddit.com/r/cancer/comments/g862xv/cancer_good/")</f>
        <v/>
      </c>
      <c r="G8972" t="inlineStr">
        <is>
          <t>2020-04-25 19:04:23</t>
        </is>
      </c>
      <c r="H8972" t="inlineStr"/>
    </row>
    <row r="8973">
      <c r="A8973" t="inlineStr">
        <is>
          <t>g865v6</t>
        </is>
      </c>
      <c r="B8973" t="inlineStr">
        <is>
          <t>Room remodel for my dad with cancer and my mom (his primary caregiver)</t>
        </is>
      </c>
      <c r="C8973" t="inlineStr">
        <is>
          <t>Hi everyone! My dad has Stage IV colon cancer and my mother is his primary caregiver. I’m home from college for the summer and planning on helping both of them. My mom expressed that she always put effort into other parts of the house, and feels their bedroom was the neglected section. With Mother’s Day coming up, I want to spend more time with her, so we decided to take on a remodel of their bedroom. I guess quarantine downtime is good for something. And with Father’s Day not far away, we want to give my dad a room that makes being sick a little less awful. Right now, my dad has more energy than expected and is taking advantage of every good day. We are in the fortunate position to have some time to plan ahead. My questions include: 
1. As a person with cancer, what are some room/bathroom accommodations you have/wish you had sooner? 
2. As a caregiver/partner what are some things that would make your living space more special or relaxing? 
3. What are some changes you had to make to the bedroom in the later stages of cancer? How would you do them differently if you had more time? I feel lucky that my dad doesn’t need this yet, and frankly a little guilty for asking this question because I don’t want to manifest bad outcomes (that sounds woo-woo, but apparently having a sick father changes my perspective lol). But, I also want to be realistic and prepared. 
4. Any advice is welcome. 
My heart is with each of you. For the caregivers and families and loved ones, it sucks. For the people with the actual cancer, I’m positive it sucks even more. Thank you all so much in advance 💗</t>
        </is>
      </c>
      <c r="D8973" t="n">
        <v>1</v>
      </c>
      <c r="E8973" t="n">
        <v>2</v>
      </c>
      <c r="F8973">
        <f>HYPERLINK("https://www.reddit.com/r/cancer/comments/g865v6/room_remodel_for_my_dad_with_cancer_and_my_mom/")</f>
        <v/>
      </c>
      <c r="G8973" t="inlineStr">
        <is>
          <t>2020-04-25 19:10:03</t>
        </is>
      </c>
      <c r="H8973" t="inlineStr"/>
    </row>
    <row r="8974">
      <c r="A8974" t="inlineStr">
        <is>
          <t>g8bu4v</t>
        </is>
      </c>
      <c r="B8974" t="inlineStr">
        <is>
          <t>Fed up of people treating me like I’m fragile</t>
        </is>
      </c>
      <c r="C8974" t="inlineStr">
        <is>
          <t>Diagnosed with Neuroendocrine cancer last year, tumour removed with surgery, 6 months after scans show slowly growing lymph nodes and activity around end of bowel in scan end of last last year/this year start. 
Due to COVID my investigations have been cancelled. (MRI and colonoscopy). I’m under no treatment and haven’t been told by anyone official that I’m “vulnerable” and I’m very lucky that I don’t look unwell, my only symptoms are hormonal/occasionally abdominal pain. 
My work has closed. I’m student going to Uni in September to study nursing as well - with this in mind I’ve decided to take a temp job in my local hospital as nursing assistant. 
Cue everyone on from people who barely know me to tutors from my college saying 
“Shouldn’t you be shielding with your diagnosis?”
“Please stay safe”
“Are you sure you should be working in a hospital?”
Just a rant cos it makes me feel shit, I’m lucky I haven’t gone through chemo and a treatment plan hasn’t been discussed as I’m just over my first year diagnosed, my next appt is in September. 
I feel as though I’m either a “sick” individual to them who needs sympathy or if I crack on and just try and do a good thing I’m “well enough and it’s not bad, I must be cancer free!!!!” /s
Especially being someone who doesn’t look sick, I’m sick at a cellular level. Pisses me off.</t>
        </is>
      </c>
      <c r="D8974" t="n">
        <v>1</v>
      </c>
      <c r="E8974" t="n">
        <v>6</v>
      </c>
      <c r="F8974">
        <f>HYPERLINK("https://www.reddit.com/r/cancer/comments/g8bu4v/fed_up_of_people_treating_me_like_im_fragile/")</f>
        <v/>
      </c>
      <c r="G8974" t="inlineStr">
        <is>
          <t>2020-04-26 03:02:09</t>
        </is>
      </c>
      <c r="H8974" t="inlineStr"/>
    </row>
    <row r="8975">
      <c r="A8975" t="inlineStr">
        <is>
          <t>g8ee5l</t>
        </is>
      </c>
      <c r="B8975" t="inlineStr">
        <is>
          <t>Some positivity</t>
        </is>
      </c>
      <c r="C8975" t="inlineStr">
        <is>
          <t>Hi all. I posted on here a few years ago when I was diagnosed with stage 2a testicular cancer. I remember how scared I was then, and how so many of you were kind enough to reassure me. I thought I would try and return the kindness and give some good vibes back. 
When I got diagnosed, I had been dating a girl for 3 months. I told her to leave me, because I didn't know how the cancer would turn out and she should leave before we become too invested in the relationship. She refused to leave, and she stayed by my side. That lovely lady is now my wife! We got married just after Christmas. We expected the surgery and chemotherapy to make me infertile. But as it turns out we are expecting our first child in 5 weeks time. I am so incredibly grateful for every bit of kindness I've had from people since my journey began, and you are all part of that. So for that, I say thank you all.</t>
        </is>
      </c>
      <c r="D8975" t="n">
        <v>1</v>
      </c>
      <c r="E8975" t="n">
        <v>14</v>
      </c>
      <c r="F8975">
        <f>HYPERLINK("https://www.reddit.com/r/cancer/comments/g8ee5l/some_positivity/")</f>
        <v/>
      </c>
      <c r="G8975" t="inlineStr">
        <is>
          <t>2020-04-26 06:31:36</t>
        </is>
      </c>
      <c r="H8975" t="inlineStr"/>
    </row>
    <row r="8976">
      <c r="A8976" t="inlineStr">
        <is>
          <t>g8gtan</t>
        </is>
      </c>
      <c r="B8976" t="inlineStr">
        <is>
          <t>Oh dear.</t>
        </is>
      </c>
      <c r="C8976" t="inlineStr">
        <is>
          <t>I have two friends from uni who i am very close to and who do not know that my cancer is terminal. I was talking to one of them in the group chat and inexplicably I went ‘oh lol i’m dying and i’ve been out the house more’ and then said some other things. but i said it. i made the admission. 
i’ve been trying to tell my friends that i’m dying for over a year now. i blurted it out with them. and now i can’t tell whether the lack of response is because, like any other day in this chat, people are doing other stuff or just delaying replying, or whether they have cottoned on to the full admission i just made. I can’t read digital silence. I can’t see their expressions or body language and i don’t know what the lack of reply signifies. 
just feels crappy. i love these two people with all my heart. with the pandemic i have no clue if i’ll ever see them again.</t>
        </is>
      </c>
      <c r="D8976" t="n">
        <v>1</v>
      </c>
      <c r="E8976" t="n">
        <v>2</v>
      </c>
      <c r="F8976">
        <f>HYPERLINK("https://www.reddit.com/r/cancer/comments/g8gtan/oh_dear/")</f>
        <v/>
      </c>
      <c r="G8976" t="inlineStr">
        <is>
          <t>2020-04-26 09:01:31</t>
        </is>
      </c>
      <c r="H8976" t="inlineStr"/>
    </row>
    <row r="8977">
      <c r="A8977" t="inlineStr">
        <is>
          <t>g8hn0j</t>
        </is>
      </c>
      <c r="B8977" t="inlineStr">
        <is>
          <t>I need reassurance from stories of hope</t>
        </is>
      </c>
      <c r="C8977" t="inlineStr">
        <is>
          <t>Hi everyone I'm a (27/F) and I'm currently doing everything with my older brother(30/M) to take care of my mom (68/F) who was diagnosed with metastatic breast cancer back in the Fall. She's made great progress so far because the markers have gone way down since November. However, recently we've had to call an ambulance for dehydration and a UTI. I'm always scared about hospitals because that's where she was last time before she was diagnosed. Some meds have been disagreeing with her lately but, every day I'm worried she's not going to make it. And I suffer from trauma because I lost my father to colon cancer in 1997. So I'm really worried about my mom and I need some positive energy right now.</t>
        </is>
      </c>
      <c r="D8977" t="n">
        <v>1</v>
      </c>
      <c r="E8977" t="n">
        <v>7</v>
      </c>
      <c r="F8977">
        <f>HYPERLINK("https://www.reddit.com/r/cancer/comments/g8hn0j/i_need_reassurance_from_stories_of_hope/")</f>
        <v/>
      </c>
      <c r="G8977" t="inlineStr">
        <is>
          <t>2020-04-26 09:46:26</t>
        </is>
      </c>
      <c r="H8977" t="inlineStr"/>
    </row>
    <row r="8978">
      <c r="A8978" t="inlineStr">
        <is>
          <t>g8hsq4</t>
        </is>
      </c>
      <c r="B8978" t="inlineStr">
        <is>
          <t>Do I even have the right to feel angry?</t>
        </is>
      </c>
      <c r="C8978" t="inlineStr">
        <is>
          <t>I posted this on cancer family support as well..
My dad is the one diagnosed with stage 4 lung cancer in February. Dad and I have been really close so almost every day I have been crying. I really really love my dad and can’t live without him. For the most part, we have been doing okay. I usually give him his meds in the morning and it almost seemed kind of back to normal...until last week when he had his third round of chemo and a pet scan. This is when things became a nightmare.
My mom is also old and she has a lot of pain in her body but she has done everything and more for my dad. But my dad keeps losing his temper. He won’t eat something because it’s too hot and then when she tried to fix it, he says it’s too cold. When I try to give him meds in the morning, because I also have pain in my hands, I can’t do it as quickly but he gets mad at me for that and he asks me why I’m standing there with my mouth open like I’m stupid, he just says a lot of hurtful things to everyone. He became extremely irritated, angry, impatient and child like. He constantly calls for my mom even though she has other things to do, believes he has corona even though he doesn’t, tells us he can’t do it anymore, he’s having trouble breathing and eating which makes him more irritated and angry, he’s very nauseous, and so on.
And I get it. I understand it’s the side effects of the chemo and medication. I understand that more than us, my dad is the one who is in more pain physically, emotionally. Dad used to be a doctor so I know he knows what’s going on his body and it’s making him more anxious. I know what he is saying and doing right now, he doesn’t mean it. He’s frustrated at being an healthy person and now having to relay on everyone for small things. I understand. I have a chronic disease myself although it’s nowhere as severe as cancer. But lately I feel so guilty. Because as much as I love my dad, these days I feel relieved when he is sleeping. In a way, ive been trying to avoid him and it makes me feel so shitty to feel that way. Am I a bad daughter for feeling this way? I love my dad so much, it’s just really hard to handle his anger and frustration sometimes</t>
        </is>
      </c>
      <c r="D8978" t="n">
        <v>1</v>
      </c>
      <c r="E8978" t="n">
        <v>4</v>
      </c>
      <c r="F8978">
        <f>HYPERLINK("https://www.reddit.com/r/cancer/comments/g8hsq4/do_i_even_have_the_right_to_feel_angry/")</f>
        <v/>
      </c>
      <c r="G8978" t="inlineStr">
        <is>
          <t>2020-04-26 09:55:22</t>
        </is>
      </c>
      <c r="H8978" t="inlineStr"/>
    </row>
    <row r="8979">
      <c r="A8979" t="inlineStr">
        <is>
          <t>g8iwxb</t>
        </is>
      </c>
      <c r="B8979" t="inlineStr">
        <is>
          <t>Obstruction</t>
        </is>
      </c>
      <c r="C8979" t="inlineStr">
        <is>
          <t>Anyone have a loved one die from a bowel obstruction or have one themselves ? I have stage 4 colon cancer , I have a partial blockage that as far as I can tell from vomiting and not being able to eat is getting worse. I am not a surgical candidate...because I have cancer in my abdominal wall , but I should probably get a 2nd opinion. I’m on tpn , if I wasn’t I would be dying over the next couple weeks to a month maybe  ? I’m in a clinical trial but I don’t know if I’m well enough to continue, I don’t know what to think. Vomiting bile really sucks. I’m young and have children ,  I’m still “ me “ , the dying process scares me , I wish when when it just got bad enough I could have a different option then dying slowly..</t>
        </is>
      </c>
      <c r="D8979" t="n">
        <v>1</v>
      </c>
      <c r="E8979" t="n">
        <v>3</v>
      </c>
      <c r="F8979">
        <f>HYPERLINK("https://www.reddit.com/r/cancer/comments/g8iwxb/obstruction/")</f>
        <v/>
      </c>
      <c r="G8979" t="inlineStr">
        <is>
          <t>2020-04-26 10:55:10</t>
        </is>
      </c>
      <c r="H8979" t="inlineStr"/>
    </row>
    <row r="8980">
      <c r="A8980" t="inlineStr">
        <is>
          <t>g8l1jt</t>
        </is>
      </c>
      <c r="B8980" t="inlineStr">
        <is>
          <t>Urgent Help</t>
        </is>
      </c>
      <c r="C8980" t="inlineStr">
        <is>
          <t>I’ve had a port since last July and today the area around the port is cramping. When I take a deep breath it hurts more. When I extend my arm it hurts more. Should I go to the ER?</t>
        </is>
      </c>
      <c r="D8980" t="n">
        <v>1</v>
      </c>
      <c r="E8980" t="n">
        <v>14</v>
      </c>
      <c r="F8980">
        <f>HYPERLINK("https://www.reddit.com/r/cancer/comments/g8l1jt/urgent_help/")</f>
        <v/>
      </c>
      <c r="G8980" t="inlineStr">
        <is>
          <t>2020-04-26 12:47:25</t>
        </is>
      </c>
      <c r="H8980" t="inlineStr"/>
    </row>
    <row r="8981">
      <c r="A8981" t="inlineStr">
        <is>
          <t>g8lw64</t>
        </is>
      </c>
      <c r="B8981" t="inlineStr">
        <is>
          <t>One year after diagnosis NED</t>
        </is>
      </c>
      <c r="C8981" t="inlineStr">
        <is>
          <t>Just thought I'd mark the date.</t>
        </is>
      </c>
      <c r="D8981" t="n">
        <v>1</v>
      </c>
      <c r="E8981" t="n">
        <v>7</v>
      </c>
      <c r="F8981">
        <f>HYPERLINK("https://www.reddit.com/r/cancer/comments/g8lw64/one_year_after_diagnosis_ned/")</f>
        <v/>
      </c>
      <c r="G8981" t="inlineStr">
        <is>
          <t>2020-04-26 13:34:29</t>
        </is>
      </c>
      <c r="H8981" t="inlineStr"/>
    </row>
    <row r="8982">
      <c r="A8982" t="inlineStr">
        <is>
          <t>g8m6kx</t>
        </is>
      </c>
      <c r="B8982" t="inlineStr">
        <is>
          <t>Help</t>
        </is>
      </c>
      <c r="C8982" t="inlineStr">
        <is>
          <t>Pp hard</t>
        </is>
      </c>
      <c r="D8982" t="n">
        <v>1</v>
      </c>
      <c r="E8982" t="n">
        <v>0</v>
      </c>
      <c r="F8982">
        <f>HYPERLINK("https://www.reddit.com/r/cancer/comments/g8m6kx/help/")</f>
        <v/>
      </c>
      <c r="G8982" t="inlineStr">
        <is>
          <t>2020-04-26 13:50:54</t>
        </is>
      </c>
      <c r="H8982" t="inlineStr"/>
    </row>
    <row r="8983">
      <c r="A8983" t="inlineStr">
        <is>
          <t>g8mgts</t>
        </is>
      </c>
      <c r="B8983" t="inlineStr">
        <is>
          <t>Are cancer survivors considered a risk demographic during COVID-19? Apologies if this has been addressed.</t>
        </is>
      </c>
      <c r="C8983" t="inlineStr">
        <is>
          <t>It seems the CDC classifies it that way but I'm wondering what you guys think?</t>
        </is>
      </c>
      <c r="D8983" t="n">
        <v>1</v>
      </c>
      <c r="E8983" t="n">
        <v>2</v>
      </c>
      <c r="F8983">
        <f>HYPERLINK("https://www.reddit.com/r/cancer/comments/g8mgts/are_cancer_survivors_considered_a_risk/")</f>
        <v/>
      </c>
      <c r="G8983" t="inlineStr">
        <is>
          <t>2020-04-26 14:06:01</t>
        </is>
      </c>
      <c r="H8983" t="inlineStr"/>
    </row>
    <row r="8984">
      <c r="A8984" t="inlineStr">
        <is>
          <t>g8n2db</t>
        </is>
      </c>
      <c r="B8984" t="inlineStr">
        <is>
          <t>Care Package for 27F, double mastectomy + chemo with stage 3 breast cancer</t>
        </is>
      </c>
      <c r="C8984" t="inlineStr">
        <is>
          <t>Hello! 
My very best friend was diagnosed with double positive, stage III breast cancer a month or so ago. She is 27, married, with a teenaged stepchild, but otherwise has ZERO support system in terms of family, and as she has been grinding in law school, she has very few friends that are willing/able to provide help. 
We live across the country since she moved away for law school, but I had planned on taking a few weeks and going to stay with her and helping after her surgery and start of chemo. Obviously, I am unable to get on a plane right now with Covid and stay-at-home orders. I am also pregnant and due in August, so postponing my trip to July or this fall isn't an option :( 
I am hoping to send her a care package of things that would be helpful, both in terms of practical items like blanket/socks for chemo, ginger drops, shower chairs, etc but also fun things that she can do to keep her occupied while she is out of work. 
She lives in Colorado and her husband is a pot farmer, so she probably would love pot-related things.  She generally eschews most of the stereotypical "save the tatas/women warriors/pink" items that are what I can find when Googling care package ideas, and I am unfamiliar with pot culture to feel comfortable buying the stuff without recommendations from others.  
Are there any items that were invaluable to you while you were post-op and/or going through chemo? Anything you wish you would have had?</t>
        </is>
      </c>
      <c r="D8984" t="n">
        <v>1</v>
      </c>
      <c r="E8984" t="n">
        <v>7</v>
      </c>
      <c r="F8984">
        <f>HYPERLINK("https://www.reddit.com/r/cancer/comments/g8n2db/care_package_for_27f_double_mastectomy_chemo_with/")</f>
        <v/>
      </c>
      <c r="G8984" t="inlineStr">
        <is>
          <t>2020-04-26 14:38:34</t>
        </is>
      </c>
      <c r="H8984" t="inlineStr"/>
    </row>
    <row r="8985">
      <c r="A8985" t="inlineStr">
        <is>
          <t>g8pcqm</t>
        </is>
      </c>
      <c r="B8985" t="inlineStr">
        <is>
          <t>Cancer is a bitch</t>
        </is>
      </c>
      <c r="C8985" t="inlineStr">
        <is>
          <t>My mother passed from stage 4 pancreatic cancer, due to the virus I couldn't even see her before she passed.
This post is for some insight, I lived alone with my mum, she was then moved to a hospice where she peacefully passed.
The NHS and the hospice were amazing, they even sent me a card after she passed, I still can't believe it. We were told 3 months she had left to live, after we were told she passed 2 weeks later. It's no one's fault but just struggling to cope, I still feel in shock but I still live in her house.
This virus is shitty, we can have a maximum of 10 people at the funeral, we all have to stand 2m apart, can't hang out afterwards, just have to get in our cars and go. What a bad time, I just hope this virus passes fast so no one else has to deal with this, sorry for moaning but have no real outlet</t>
        </is>
      </c>
      <c r="D8985" t="n">
        <v>1</v>
      </c>
      <c r="E8985" t="n">
        <v>17</v>
      </c>
      <c r="F8985">
        <f>HYPERLINK("https://www.reddit.com/r/cancer/comments/g8pcqm/cancer_is_a_bitch/")</f>
        <v/>
      </c>
      <c r="G8985" t="inlineStr">
        <is>
          <t>2020-04-26 16:48:34</t>
        </is>
      </c>
      <c r="H8985" t="inlineStr"/>
    </row>
    <row r="8986">
      <c r="A8986" t="inlineStr">
        <is>
          <t>g8qwd0</t>
        </is>
      </c>
      <c r="B8986" t="inlineStr">
        <is>
          <t>To chemo or not to chemo?</t>
        </is>
      </c>
      <c r="C8986" t="inlineStr">
        <is>
          <t>Hello all. I was recently diagnosed with NHL, diffuse large B-cell type. I have a rare instance of lymphoma causing a mass in my uterus, instead of my lymph nodes. Early stages. Even amongst the COVID stuff, things have been moving quite quickly. Docs want to do 6 rounds of chemo, maybe radiation. Had the power port for chemo put in late last week. Gyno Oncologist wants to do a hysterectomy after everything so that the cancer does not come back, at least not in my lady parts. 
Now that you know the situation, I feel like I don't even know if I want to do the chemo. I do have a history of anxiety and depression (since childhood) and can be rather nihilistic in my view of the world. I have long felt like if I ever got cancer (not that I thought it would ever actually happen to me!) that I wouldn't do treatments, but live my life til my body completely fails. The world is overpopulated,  I don't value or enjoy life, maybe this is the world telling me that was enough. For a bit, I felt like I should do the chemo and whatever because I do have really awesome friends, family, and even co-workers that love me and care about me. Every single person has been all positive and "we can get through this," which is great and what most people probably want or need to hear. But then I started feeling very much like doing treatments is for them, not for me. Everyone else will be sad if I'm no longer around, which sucks and I don't want that for them. However, I feel like there is no one that I can talk to about not wanting to do the treatments because of this. I haven't yet discussed this with my drs, as it has been a weekend thought. 
Has anyone had similar thoughts?</t>
        </is>
      </c>
      <c r="D8986" t="n">
        <v>1</v>
      </c>
      <c r="E8986" t="n">
        <v>9</v>
      </c>
      <c r="F8986">
        <f>HYPERLINK("https://www.reddit.com/r/cancer/comments/g8qwd0/to_chemo_or_not_to_chemo/")</f>
        <v/>
      </c>
      <c r="G8986" t="inlineStr">
        <is>
          <t>2020-04-26 18:24:20</t>
        </is>
      </c>
      <c r="H8986" t="inlineStr"/>
    </row>
    <row r="8987">
      <c r="A8987" t="inlineStr">
        <is>
          <t>g8rp99</t>
        </is>
      </c>
      <c r="B8987" t="inlineStr">
        <is>
          <t>Lost my mom to terminal cancer and she had to die alone without any family in hospice because of the Corona Virus.</t>
        </is>
      </c>
      <c r="C8987" t="inlineStr">
        <is>
          <t>I don’t usually take to social media to air out my personal tragedies and struggles, but this climate our country is in has messed a lot of things up to put it lightly. 
My mother was diagnosed with terminal brain cancer early March of this year and just passed away on April 24 in the night. And I never got to say goodbye after we put her in hospice care. I felt like shit, she got put in a care facility, where she was not allowed to see family, to die. 
I had previously lost my father when I was 11 due to an motorcycle accident and I couldn’t help comparing the two and which was worse. Is it worse not knowing when your parent is going to die, and then it just happens out of the blue, without saying goodbye? Or is it better to know when they are going to die, so you can say goodbye, but you have to watch them become someone else (especially in the case of brain cancer where it alters moods and states of being similar to Alzheimer’s). I still cannot choose, but both are shitty. 
I just want to put out there that to those who’s families have been separated, to those families who have immunocompromised loved ones who they cannot are due to the Corona Virus lockdown, I am so so sorry. And I feel your struggle. Please know that there is a light at the end of the tunnel.
And to those who are not in as much trouble remember, tomorrow is never promised and today is a gift. Call your loved ones, shoot them a text, send a letter, and tell them how much they mean to you.</t>
        </is>
      </c>
      <c r="D8987" t="n">
        <v>1</v>
      </c>
      <c r="E8987" t="n">
        <v>4</v>
      </c>
      <c r="F8987">
        <f>HYPERLINK("https://www.reddit.com/r/cancer/comments/g8rp99/lost_my_mom_to_terminal_cancer_and_she_had_to_die/")</f>
        <v/>
      </c>
      <c r="G8987" t="inlineStr">
        <is>
          <t>2020-04-26 19:16:59</t>
        </is>
      </c>
      <c r="H8987" t="inlineStr"/>
    </row>
    <row r="8988">
      <c r="A8988" t="inlineStr">
        <is>
          <t>g8s4aj</t>
        </is>
      </c>
      <c r="B8988" t="inlineStr">
        <is>
          <t>Need some advice here on what to tell family members.</t>
        </is>
      </c>
      <c r="C8988" t="inlineStr">
        <is>
          <t>Recently my mom had (what is seemed like) a successful surgery to remove a tumor for pancreatic cancer. She was looking a lot better, gaining weight back, and looking happy again. She’s recently been losing a lot of weight and had been advised to take chemo sessions again but refused because she’s too weak for it. I’m sure the cancer has spread but my grandparents don’t know yet and they keep advising me to ask doctors if there’s anything they can do to help. How can I break the news to them if my mom doesn’t want to tell hem herself?</t>
        </is>
      </c>
      <c r="D8988" t="n">
        <v>1</v>
      </c>
      <c r="E8988" t="n">
        <v>7</v>
      </c>
      <c r="F8988">
        <f>HYPERLINK("https://www.reddit.com/r/cancer/comments/g8s4aj/need_some_advice_here_on_what_to_tell_family/")</f>
        <v/>
      </c>
      <c r="G8988" t="inlineStr">
        <is>
          <t>2020-04-26 19:45:03</t>
        </is>
      </c>
      <c r="H8988" t="inlineStr"/>
    </row>
    <row r="8989">
      <c r="A8989" t="inlineStr">
        <is>
          <t>g8slks</t>
        </is>
      </c>
      <c r="B8989" t="inlineStr">
        <is>
          <t>Cisplatin side effects</t>
        </is>
      </c>
      <c r="C8989" t="inlineStr">
        <is>
          <t>Hello all! I am four months in remission now, my first follow up went great. My side effects have been going away, except for the constant ringing in my ears because of the cisplatin in my treatment.
Does anyone have some advice on a way to make it less deafening? Sometimes it just really gets out of control and it is so annoying and loud. Are there hearing aids that work for this sort of thing and do they actually work?
Thanks ya'll. Sending love to everyone during these wild times.</t>
        </is>
      </c>
      <c r="D8989" t="n">
        <v>1</v>
      </c>
      <c r="E8989" t="n">
        <v>21</v>
      </c>
      <c r="F8989">
        <f>HYPERLINK("https://www.reddit.com/r/cancer/comments/g8slks/cisplatin_side_effects/")</f>
        <v/>
      </c>
      <c r="G8989" t="inlineStr">
        <is>
          <t>2020-04-26 20:17:51</t>
        </is>
      </c>
      <c r="H8989" t="inlineStr"/>
    </row>
    <row r="8990">
      <c r="A8990" t="inlineStr">
        <is>
          <t>g8tw83</t>
        </is>
      </c>
      <c r="B8990" t="inlineStr">
        <is>
          <t>QUESTION (Not a Cancer Patient , but I'm Worried that I May Be at Risk)</t>
        </is>
      </c>
      <c r="C8990" t="inlineStr">
        <is>
          <t>**If it is relevant, I am a 17 year-old male.**
I have very white skin, so I sunburn quite easily, and I have spent a lot of time in the sun over the years playing football and working outside for my summer job. Although I try to wear sunscreen when I know I'm going to be in the sun for extended periods of time, I often forget and have had many bad sunburns over the years.
I am very worried that I am at risk of skin cancer because of my history with sunburns. My father had very similar skin to mine, and he got a handful of tumors on his skin on multiple occasions (fortunately they were all easily treated by just removing them).
Should I consider regularly visiting a dermatologist to catch tumors before they can get out of control (like every 6 months or once a year)? I'm also worried that if I don't go for regular appointments and I see a growth on my skin, I'll wait until it's too late to seek treatment (it's just kind of how my personality is; yes I know that's not a good thing)</t>
        </is>
      </c>
      <c r="D8990" t="n">
        <v>1</v>
      </c>
      <c r="E8990" t="n">
        <v>3</v>
      </c>
      <c r="F8990">
        <f>HYPERLINK("https://www.reddit.com/r/cancer/comments/g8tw83/question_not_a_cancer_patient_but_im_worried_that/")</f>
        <v/>
      </c>
      <c r="G8990" t="inlineStr">
        <is>
          <t>2020-04-26 21:48:05</t>
        </is>
      </c>
      <c r="H8990" t="inlineStr"/>
    </row>
    <row r="8991">
      <c r="A8991" t="inlineStr">
        <is>
          <t>g8u5hp</t>
        </is>
      </c>
      <c r="B8991" t="inlineStr">
        <is>
          <t>primary mediastinum large B cell lymphoma</t>
        </is>
      </c>
      <c r="C8991" t="inlineStr">
        <is>
          <t>im a 23 y/o male who got diagnosed a little over a month ago and have done 2 rounds of da epoch r.
was wondering if during treatment, anyone felt their heart beating harder than normal during chemo. It's beating at a normal pace but I am definitely aware of it beating most of the time. the doctors say are normal, but definitely makes me uncomfortable.
Also everyone talks about the side effects of chemo, but did you continue to get pains from your cancer? I originally went in for chest pain, and still get pains in my chest but the pains are different now from when I went in originally.</t>
        </is>
      </c>
      <c r="D8991" t="n">
        <v>1</v>
      </c>
      <c r="E8991" t="n">
        <v>5</v>
      </c>
      <c r="F8991">
        <f>HYPERLINK("https://www.reddit.com/r/cancer/comments/g8u5hp/primary_mediastinum_large_b_cell_lymphoma/")</f>
        <v/>
      </c>
      <c r="G8991" t="inlineStr">
        <is>
          <t>2020-04-26 22:07:10</t>
        </is>
      </c>
      <c r="H8991" t="inlineStr"/>
    </row>
    <row r="8992">
      <c r="A8992" t="inlineStr">
        <is>
          <t>g92icv</t>
        </is>
      </c>
      <c r="B8992" t="inlineStr">
        <is>
          <t>Help</t>
        </is>
      </c>
      <c r="C8992" t="inlineStr">
        <is>
          <t>Hello, my sister (35) has just been told that she has advanced liver cancer. It has spread to her bones and lungs, but the doctors are unsure whether it is a primary cancer or metastatic from her previous breast cancer, which she had about 5/6 years ago. Either way, it isn’t good. 
What should I expect from this point? My husband is a doctor and I’ve done some reading and I’m worried. I want to be strong and positive for her, but I feel like I need to know to be painted a reality. 
The last cancer, was difficult to deal with but her body handled it well and it didn’t spread. This time, she seems riddled with it. 
Covid plus 280miles apart is really challenging.</t>
        </is>
      </c>
      <c r="D8992" t="n">
        <v>2</v>
      </c>
      <c r="E8992" t="n">
        <v>10</v>
      </c>
      <c r="F8992">
        <f>HYPERLINK("https://www.reddit.com/r/cancer/comments/g92icv/help/")</f>
        <v/>
      </c>
      <c r="G8992" t="inlineStr">
        <is>
          <t>2020-04-27 08:12:08</t>
        </is>
      </c>
      <c r="H8992" t="inlineStr"/>
    </row>
    <row r="8993">
      <c r="A8993" t="inlineStr">
        <is>
          <t>g93323</t>
        </is>
      </c>
      <c r="B8993" t="inlineStr">
        <is>
          <t>I'm really lost.</t>
        </is>
      </c>
      <c r="C8993" t="inlineStr">
        <is>
          <t>In 2018, I fought for my life against acute myeloid leukemia and I won. It was an incredibly odd case and it, like it is for anyone who has had cancer, was very traumatic. But I beat it. I finally got past it and was well on my way to healing.
My best friend went to the hospital yesterday because she's experiencing symptoms matching colon cancer, and the doctors claimed to have felt at least 2 masses in her side. Nothing is for certain.
It's all coming back and I hate it. I spent the better part of an hour, maybe more, dissociating. I managed to snap myself out of it for her sake, but my emotions are reverting to what they were before/during treatment. I kept tasting familiar tastes when I was trying to fall asleep last night.
I'm having trouble wrapping my head around things. Most cancers, according to my family, are very slow moving, while mine was very fast moving. It's killing me inside, pun intended, that it's going to take so long for my friend to get diagnosed. I feel this imminent danger from waiting any longer.
I also keep having visions of myself wreaking violence. They're brief, but powerful. Smashing things, tearing things apart... I could never actually do it, but it's still bothersome.
I thought I'd escaped that curse, but with only a few words, it's all coming back to me. I'm just very lost in my own head right now and I'm not sure what to do other than try to be there for her, despite the pressures. Which I intend to be.
I'm not really asking for an answer, because I really don't think there's a clear-cut way to fix all of this. Mostly I just needed to vent, and I'm looking for support/coping mechanisms. I'd much appreciate it...
Stay strong, folks. Whatever you're going through, you've got it. You'll make it through. You're pretty cool that way.</t>
        </is>
      </c>
      <c r="D8993" t="n">
        <v>2</v>
      </c>
      <c r="E8993" t="n">
        <v>9</v>
      </c>
      <c r="F8993">
        <f>HYPERLINK("https://www.reddit.com/r/cancer/comments/g93323/im_really_lost/")</f>
        <v/>
      </c>
      <c r="G8993" t="inlineStr">
        <is>
          <t>2020-04-27 08:42:17</t>
        </is>
      </c>
      <c r="H8993" t="inlineStr"/>
    </row>
    <row r="8994">
      <c r="A8994" t="inlineStr">
        <is>
          <t>g934vk</t>
        </is>
      </c>
      <c r="B8994" t="inlineStr">
        <is>
          <t>FDA Approves Sacituzumab Govitecan-hziy for Patients With Previously Treated Metastatic Triple-Negative Breast Cancer</t>
        </is>
      </c>
      <c r="C8994" t="inlineStr">
        <is>
          <t>A new treatment if nothing worked before.
[https://ascopost.com/news/april-2020/fda-approves-sacituzumab-govitecan-hziy-for-patients-with-previously-treated-metastatic-triple-negative-breast-cancer/](https://ascopost.com/news/april-2020/fda-approves-sacituzumab-govitecan-hziy-for-patients-with-previously-treated-metastatic-triple-negative-breast-cancer/)
[https://www.nejm.org/doi/full/10.1056/NEJMoa1814213](https://www.nejm.org/doi/full/10.1056/NEJMoa1814213)</t>
        </is>
      </c>
      <c r="D8994" t="n">
        <v>7</v>
      </c>
      <c r="E8994" t="n">
        <v>4</v>
      </c>
      <c r="F8994">
        <f>HYPERLINK("https://www.reddit.com/r/cancer/comments/g934vk/fda_approves_sacituzumab_govitecanhziy_for/")</f>
        <v/>
      </c>
      <c r="G8994" t="inlineStr">
        <is>
          <t>2020-04-27 08:44:55</t>
        </is>
      </c>
      <c r="H8994" t="inlineStr"/>
    </row>
    <row r="8995">
      <c r="A8995" t="inlineStr">
        <is>
          <t>g94bln</t>
        </is>
      </c>
      <c r="B8995" t="inlineStr">
        <is>
          <t>How you healed?</t>
        </is>
      </c>
      <c r="C8995" t="inlineStr">
        <is>
          <t>Hey, guys! I had Osteosarcoma and I fought with it for one and half year, but it came back. Someone can told me what have I done wrong? What should I do now?</t>
        </is>
      </c>
      <c r="D8995" t="n">
        <v>3</v>
      </c>
      <c r="E8995" t="n">
        <v>6</v>
      </c>
      <c r="F8995">
        <f>HYPERLINK("https://www.reddit.com/r/cancer/comments/g94bln/how_you_healed/")</f>
        <v/>
      </c>
      <c r="G8995" t="inlineStr">
        <is>
          <t>2020-04-27 09:45:01</t>
        </is>
      </c>
      <c r="H8995" t="inlineStr"/>
    </row>
    <row r="8996">
      <c r="A8996" t="inlineStr">
        <is>
          <t>g95wwj</t>
        </is>
      </c>
      <c r="B8996" t="inlineStr">
        <is>
          <t>Mesolithoma Chemo, is it worth it?</t>
        </is>
      </c>
      <c r="C8996" t="inlineStr">
        <is>
          <t>So my Dad has a call from the Dr today today and was told he has 8-12 months without chemo and 12-14 with chemo.
He was also told the side effects and that his immune system will be shot meaning no one can see him.
I know this is a question that no one can really answer but any advice would be great, is it worth it?
Are you guaranteed side effects from chemo?
Is getting potentially 2-4 months worth it if he can't see his family potentially till he dies?
My Dad is a family man and the biggest thing he misses during Covid has been seeing his grandchildren.
The Dr was advising wait a further 3 weeks before proceeding down treatment line to see what the cancer does but my Dad is keen to get on it right away, I personally feel like he's jumping the gun a bit and should maybe wait? And maybe even not have the treatment and enjoy what time he has left without side effects, he feels perfectly fine right now.
Apologies for rambling, I'm going to phone macmillan tomorrow for further advice, anything as I feel my Dad is jumping to treatment without too much thought.
Any advice would be great.
Thank you</t>
        </is>
      </c>
      <c r="D8996" t="n">
        <v>1</v>
      </c>
      <c r="E8996" t="n">
        <v>12</v>
      </c>
      <c r="F8996">
        <f>HYPERLINK("https://www.reddit.com/r/cancer/comments/g95wwj/mesolithoma_chemo_is_it_worth_it/")</f>
        <v/>
      </c>
      <c r="G8996" t="inlineStr">
        <is>
          <t>2020-04-27 11:05:31</t>
        </is>
      </c>
      <c r="H8996" t="inlineStr"/>
    </row>
    <row r="8997">
      <c r="A8997" t="inlineStr">
        <is>
          <t>g978tu</t>
        </is>
      </c>
      <c r="B8997" t="inlineStr">
        <is>
          <t>Preparing for my girlfriend’s cancer returning</t>
        </is>
      </c>
      <c r="C8997" t="inlineStr">
        <is>
          <t>We are currently waiting for my girlfriend’s test results to confirm if her melanoma spread to her lungs. Her primary tumor was removed and she was dealing with some returning tumors in the primary area, however there was no growth anywhere for a long time. There seemed to be something on her lungs from the last scan. This week, more detailed scans could confirm this and we are just waiting for her results. She was always so hopeful about her life and future even with spreading melanoma so I am really afraid about the her when she finds out about her cancer spreading even further. Is there something I can do to prepare? Asking for an advice, what could calm her down and make her feel better afterwards?</t>
        </is>
      </c>
      <c r="D8997" t="n">
        <v>1</v>
      </c>
      <c r="E8997" t="n">
        <v>4</v>
      </c>
      <c r="F8997">
        <f>HYPERLINK("https://www.reddit.com/r/cancer/comments/g978tu/preparing_for_my_girlfriends_cancer_returning/")</f>
        <v/>
      </c>
      <c r="G8997" t="inlineStr">
        <is>
          <t>2020-04-27 12:13:17</t>
        </is>
      </c>
      <c r="H8997" t="inlineStr"/>
    </row>
    <row r="8998">
      <c r="A8998" t="inlineStr">
        <is>
          <t>g978y7</t>
        </is>
      </c>
      <c r="B8998" t="inlineStr">
        <is>
          <t>Can CT scans identify tumors as cancerous?</t>
        </is>
      </c>
      <c r="C8998" t="inlineStr">
        <is>
          <t>Sorry if this is not the place for this but i’m looking for answers any place I can. I’m too impatient and anxious. My father was told he has cancer in his T4 (spine) and outside of his lung, last Tuesday. He started radiation because the mass in his spine is eating away at his bone and getting close to his spinal cord. He is getting a biopsy tomorrow but he still needs a PET scan and another CT scan. We still don’t know what stage it’s at or which one is primary. One doctor told him “it might not even be cancer,” but when you read his first CT report it uses words like metastatic malignancy. So my question is, can a CT scan even identify if a mass is malignant in the first place?</t>
        </is>
      </c>
      <c r="D8998" t="n">
        <v>1</v>
      </c>
      <c r="E8998" t="n">
        <v>27</v>
      </c>
      <c r="F8998">
        <f>HYPERLINK("https://www.reddit.com/r/cancer/comments/g978y7/can_ct_scans_identify_tumors_as_cancerous/")</f>
        <v/>
      </c>
      <c r="G8998" t="inlineStr">
        <is>
          <t>2020-04-27 12:13:27</t>
        </is>
      </c>
      <c r="H8998" t="inlineStr"/>
    </row>
    <row r="8999">
      <c r="A8999" t="inlineStr">
        <is>
          <t>g97q8o</t>
        </is>
      </c>
      <c r="B8999" t="inlineStr">
        <is>
          <t>Dr being weird about the lump in my neck, what should I do?</t>
        </is>
      </c>
      <c r="C8999" t="inlineStr">
        <is>
          <t>I've had a very swollen left lump on my neck for 2 and a half months now. It's hard, doesn't move and very visible when I tilt my head. 
I had an ultrasound a week ago that showed swollen lymph nodes in a little group and one in my jaw. She said they looked ok.
I've been breathless and very tired &amp;amp; fatigued, easy bruising. Yet my bloods came back fine. Haven't been sick for months.
I go back in 4 weeks to check on them. 
I saw her yesterday with concern due to swelling around my collarbone now too. 
She's told me the swelling around my neck could be due to bad posture or the way I do things....it doesn't seem to make much sense when the scan showed swollen lymph nodes. I feel like she isn't taking me seriously. 
Should I get a second opinion? Would you wait?</t>
        </is>
      </c>
      <c r="D8999" t="n">
        <v>1</v>
      </c>
      <c r="E8999" t="n">
        <v>27</v>
      </c>
      <c r="F8999">
        <f>HYPERLINK("https://www.reddit.com/r/cancer/comments/g97q8o/dr_being_weird_about_the_lump_in_my_neck_what/")</f>
        <v/>
      </c>
      <c r="G8999" t="inlineStr">
        <is>
          <t>2020-04-27 12:38:21</t>
        </is>
      </c>
      <c r="H8999" t="inlineStr"/>
    </row>
    <row r="9000">
      <c r="A9000" t="inlineStr">
        <is>
          <t>g97w3n</t>
        </is>
      </c>
      <c r="B9000" t="inlineStr">
        <is>
          <t>Looking for someone to talk to</t>
        </is>
      </c>
      <c r="C9000" t="inlineStr">
        <is>
          <t>Hi, first of all I’m sorry if this post is not appropriate. I’m looking for someone who has experienced their parent/s dying at a relatively young age, let’s say under 60 years old. I’m F22 and my mom died 4 months ago, she was 50 years old and always a single mom and the only one who took care of me. My dad is still alive but he has had cancer too and right now he is waiting for an organ transplant which he might get or not, so there’s a big chance he won’t be around for too long either. (Also he hasn’t been that much of a parent anyway, I mean I’m in contact with him but he’s more like a relative or a friend than a parent) So I’m just looking for someone to talk to, someone who has experienced something similar or someone who has lost their only parent or parents.
English is not my 1st language so I’m sorry for any grammatical mistakes</t>
        </is>
      </c>
      <c r="D9000" t="n">
        <v>1</v>
      </c>
      <c r="E9000" t="n">
        <v>3</v>
      </c>
      <c r="F9000">
        <f>HYPERLINK("https://www.reddit.com/r/cancer/comments/g97w3n/looking_for_someone_to_talk_to/")</f>
        <v/>
      </c>
      <c r="G9000" t="inlineStr">
        <is>
          <t>2020-04-27 12:46:54</t>
        </is>
      </c>
      <c r="H9000" t="inlineStr"/>
    </row>
    <row r="9001">
      <c r="A9001" t="inlineStr">
        <is>
          <t>g97xg4</t>
        </is>
      </c>
      <c r="B9001" t="inlineStr">
        <is>
          <t>Not finishing treatment</t>
        </is>
      </c>
      <c r="C9001" t="inlineStr">
        <is>
          <t>My dad feels he has been lead to not finish his last 4 radiation treatments. Family thinks he just doesn’t want to because it hurts for him to eat (tumor is close to his esophagus). We are not encouraging him one way or the other. We want it to be his decision. Have any of you felt that God is wanting you to stop treatment?  He passed out last night and hurt his back. He said he thinks it’s a sign.</t>
        </is>
      </c>
      <c r="D9001" t="n">
        <v>1</v>
      </c>
      <c r="E9001" t="n">
        <v>10</v>
      </c>
      <c r="F9001">
        <f>HYPERLINK("https://www.reddit.com/r/cancer/comments/g97xg4/not_finishing_treatment/")</f>
        <v/>
      </c>
      <c r="G9001" t="inlineStr">
        <is>
          <t>2020-04-27 12:49:06</t>
        </is>
      </c>
      <c r="H9001" t="inlineStr"/>
    </row>
    <row r="9002">
      <c r="A9002" t="inlineStr">
        <is>
          <t>g9a9ou</t>
        </is>
      </c>
      <c r="B9002" t="inlineStr">
        <is>
          <t>What are your chemo essentials?</t>
        </is>
      </c>
      <c r="C9002" t="inlineStr">
        <is>
          <t xml:space="preserve">
My mom was recently diagnosed with multiple myeloma and pancreatic cancer. She will be starting chemo next week and I wanted to put together a ‘chemo care package’ for her for her Mother’s Day gift. 
My question for you is - what are your chemo essentials? Are there any must haves that I should include? All suggestions are appreciated!! Thank you!</t>
        </is>
      </c>
      <c r="D9002" t="n">
        <v>3</v>
      </c>
      <c r="E9002" t="n">
        <v>50</v>
      </c>
      <c r="F9002">
        <f>HYPERLINK("https://www.reddit.com/r/cancer/comments/g9a9ou/what_are_your_chemo_essentials/")</f>
        <v/>
      </c>
      <c r="G9002" t="inlineStr">
        <is>
          <t>2020-04-27 14:49:42</t>
        </is>
      </c>
      <c r="H9002" t="inlineStr"/>
    </row>
    <row r="9003">
      <c r="A9003" t="inlineStr">
        <is>
          <t>g9bgif</t>
        </is>
      </c>
      <c r="B9003" t="inlineStr">
        <is>
          <t>Im Scared. [Talking about balls. Might be nsfw im not sure]</t>
        </is>
      </c>
      <c r="C9003" t="inlineStr">
        <is>
          <t>Uh ok. A hour ago, i noticed a small knob IN one of my balls. I searched on internet and saw it might be a testicular cancer. But sounds weird. Im 13 and i dont have any other symptoms. Could that be a cancer?</t>
        </is>
      </c>
      <c r="D9003" t="n">
        <v>1</v>
      </c>
      <c r="E9003" t="n">
        <v>16</v>
      </c>
      <c r="F9003">
        <f>HYPERLINK("https://www.reddit.com/r/cancer/comments/g9bgif/im_scared_talking_about_balls_might_be_nsfw_im/")</f>
        <v/>
      </c>
      <c r="G9003" t="inlineStr">
        <is>
          <t>2020-04-27 15:57:16</t>
        </is>
      </c>
      <c r="H9003" t="inlineStr"/>
    </row>
    <row r="9004">
      <c r="A9004" t="inlineStr">
        <is>
          <t>g9e9ux</t>
        </is>
      </c>
      <c r="B9004" t="inlineStr">
        <is>
          <t>Supporting cancer patient</t>
        </is>
      </c>
      <c r="C9004" t="inlineStr">
        <is>
          <t xml:space="preserve">
Hi all. I have a close family friend who is nearing the end of her battle with stage 4 breast cancer. She has stopped communicating with her family and friends and is seemingly pushing everyone out. I don’t want her to die alone. Is there anything I can do? Anything I can say? Literally anything at all. Any advice anyone can give would be extremely appreciated. Hope everyone is doing well. Thanks for reading</t>
        </is>
      </c>
      <c r="D9004" t="n">
        <v>1</v>
      </c>
      <c r="E9004" t="n">
        <v>3</v>
      </c>
      <c r="F9004">
        <f>HYPERLINK("https://www.reddit.com/r/cancer/comments/g9e9ux/supporting_cancer_patient/")</f>
        <v/>
      </c>
      <c r="G9004" t="inlineStr">
        <is>
          <t>2020-04-27 18:51:57</t>
        </is>
      </c>
      <c r="H9004" t="inlineStr"/>
    </row>
    <row r="9005">
      <c r="A9005" t="inlineStr">
        <is>
          <t>g9gi8c</t>
        </is>
      </c>
      <c r="B9005" t="inlineStr">
        <is>
          <t>Upcoming Birthday - on Chemo during Quarantine</t>
        </is>
      </c>
      <c r="C9005" t="inlineStr">
        <is>
          <t xml:space="preserve"> Hi Everyone,
My sister is on chemotherapy and her birthday is coming up. **Her 24th birthday is THURSDAY April 30, 2020.** My whole family is quarantined and staying inside to keep her safe. Her immune system is severely compromised and she is suffering the effects of her chemotherapy. We are trying to bring her some joy this birthday amongst the stress on her birthday as she will have no access to her friends or other family. Hoping to do something special for her birthday this year, she's been really down lately.
**If you could offer some words of support or encouragement I would really appreciate it. Please send your kinds words and support to** [**lindsayelliottis24@gmail.com**](mailto:lindsayelliottis24@gmail.com) **I will compile each email in an individual card to give her. Please say you are from reddit, and you may post your reddit id.**
Please share this with anyone who is a lymphoma or hodgkins survivor or suffering through hodgkins or lymphoma to let her know things will get better. This is a scary time for our family, but I really want to celebrate her birthday with positive messages.
**She also absolutely loves letters, and eagerly waits for the mail daily while she online shops. If you'd like to send a letter please PM me for address.**
Thank you so much</t>
        </is>
      </c>
      <c r="D9005" t="n">
        <v>1</v>
      </c>
      <c r="E9005" t="n">
        <v>1</v>
      </c>
      <c r="F9005">
        <f>HYPERLINK("https://www.reddit.com/r/cancer/comments/g9gi8c/upcoming_birthday_on_chemo_during_quarantine/")</f>
        <v/>
      </c>
      <c r="G9005" t="inlineStr">
        <is>
          <t>2020-04-27 21:25:37</t>
        </is>
      </c>
      <c r="H9005" t="inlineStr"/>
    </row>
    <row r="9006">
      <c r="A9006" t="inlineStr">
        <is>
          <t>g9hykl</t>
        </is>
      </c>
      <c r="B9006" t="inlineStr">
        <is>
          <t>Headaches after Chemo</t>
        </is>
      </c>
      <c r="C9006" t="inlineStr">
        <is>
          <t>Hey everyone. My mom is getting ready to go for her second treatment of chemo but she’s nervous after the terrible headaches she dealt with the first time. Her oncologist said not to take ibuprofen and keep away from Tylenol for as long as possible. Is there anyone here who has some advice to lessen the pain of headaches? Ice packs seemed to make her more uncomfortable (shivering and saying she was cold) than anything.</t>
        </is>
      </c>
      <c r="D9006" t="n">
        <v>1</v>
      </c>
      <c r="E9006" t="n">
        <v>11</v>
      </c>
      <c r="F9006">
        <f>HYPERLINK("https://www.reddit.com/r/cancer/comments/g9hykl/headaches_after_chemo/")</f>
        <v/>
      </c>
      <c r="G9006" t="inlineStr">
        <is>
          <t>2020-04-27 23:24:23</t>
        </is>
      </c>
      <c r="H9006" t="inlineStr"/>
    </row>
    <row r="9007">
      <c r="A9007" t="inlineStr">
        <is>
          <t>g9inai</t>
        </is>
      </c>
      <c r="B9007" t="inlineStr">
        <is>
          <t>Recovery Time - Colon Resection Surgery</t>
        </is>
      </c>
      <c r="C9007" t="inlineStr">
        <is>
          <t>Almost a month ago I had colon resection surgery it was done laparoscopically but it did take eight hours to complete. Seven days in the hospital total, mostly because of some bad GERD I was experiencing. It’s taking some time for my bowels to really start working again some Ilius. But I’m still in pain and tired still eating a soft diet. I don’t know really if I can exercise but I don’t have the energy. How long does it take you to heal up? What was your experience? Thank you so much, it means a lot to hear other peoples experiences. Still waiting to meet with the oncologist they had to send my tumor off to be analyzed, As I didn’t have common cancer it was a mucinous cancer.</t>
        </is>
      </c>
      <c r="D9007" t="n">
        <v>1</v>
      </c>
      <c r="E9007" t="n">
        <v>10</v>
      </c>
      <c r="F9007">
        <f>HYPERLINK("https://www.reddit.com/r/cancer/comments/g9inai/recovery_time_colon_resection_surgery/")</f>
        <v/>
      </c>
      <c r="G9007" t="inlineStr">
        <is>
          <t>2020-04-28 00:23:39</t>
        </is>
      </c>
      <c r="H9007" t="inlineStr"/>
    </row>
    <row r="9008">
      <c r="A9008" t="inlineStr">
        <is>
          <t>g9k2dm</t>
        </is>
      </c>
      <c r="B9008" t="inlineStr">
        <is>
          <t>I feel sick depressed and anxious is this okay to feel? Should I feel like not working?Mother diagnosed with stage 1 breast cancer</t>
        </is>
      </c>
      <c r="C9008" t="inlineStr">
        <is>
          <t>Hi all 
Thank you for taking time to read this. My mother called and told me she has stage 1 breast cancer a few days ago and that she is having an operation tomorrow. Considering I lost my aunt a few weeks ago to coronavirus I am fragile enough as it is. I feel so sick every day and cry at night and feel high anxiety and just dont want to work (I work from home in custoker services). Is it okay for me to feel this way as some may think it's only stage 1 they're sorting it early etc. But I still feel worry as I dont know how she will be tomorrow if it gets worse overnight or if they find something else during the operation or her recovery process in this cv19 world.
Work isn't helping as my job is generally dealing with people which can be difficult. Not sure what to do.</t>
        </is>
      </c>
      <c r="D9008" t="n">
        <v>1</v>
      </c>
      <c r="E9008" t="n">
        <v>6</v>
      </c>
      <c r="F9008">
        <f>HYPERLINK("https://www.reddit.com/r/cancer/comments/g9k2dm/i_feel_sick_depressed_and_anxious_is_this_okay_to/")</f>
        <v/>
      </c>
      <c r="G9008" t="inlineStr">
        <is>
          <t>2020-04-28 02:22:50</t>
        </is>
      </c>
      <c r="H9008" t="inlineStr"/>
    </row>
    <row r="9009">
      <c r="A9009" t="inlineStr">
        <is>
          <t>g9ljhl</t>
        </is>
      </c>
      <c r="B9009" t="inlineStr">
        <is>
          <t>Dad wants to pull the plug</t>
        </is>
      </c>
      <c r="C9009" t="inlineStr">
        <is>
          <t>He said he is in too much pain, he can’t breathe. Currently in ICU alone. I can’t let him die alone. I’m the most Selfish person ever. I can’t let my dad go. There’s no dad, there’s no me. Always been a daddy’s girl. Someone please save my dad from his pain. I can’t let him go, please I can’t. What should I do? I can’t let him, I can’t let my baba go</t>
        </is>
      </c>
      <c r="D9009" t="n">
        <v>1</v>
      </c>
      <c r="E9009" t="n">
        <v>18</v>
      </c>
      <c r="F9009">
        <f>HYPERLINK("https://www.reddit.com/r/cancer/comments/g9ljhl/dad_wants_to_pull_the_plug/")</f>
        <v/>
      </c>
      <c r="G9009" t="inlineStr">
        <is>
          <t>2020-04-28 04:30:32</t>
        </is>
      </c>
      <c r="H9009" t="inlineStr"/>
    </row>
    <row r="9010">
      <c r="A9010" t="inlineStr">
        <is>
          <t>g9pci0</t>
        </is>
      </c>
      <c r="B9010" t="inlineStr">
        <is>
          <t>Out of chemo options...</t>
        </is>
      </c>
      <c r="C9010" t="inlineStr">
        <is>
          <t>Today we got the news that my mom has exhausted her chemo options and the hospital will no longer treat her.  
I don't know what that means. I don't really want to know what that means because we're already frantically looking for other doctors and hospitals. Which is hard because of Corvid.
I have never felt a hatred towards a virus. I have never this much anger before either.
My ADHD is making me hyper focus on all the things I've done to make her upset throughout my life.  
I'm so deeply buried in the incessant question of - did my mom get to do everything she wanted?
We were going to spend my dads 60th in Hawaii and even if we decided to take the holiday now, we can't.
We didn't let her go see the cherry blossoms because of her immune system due to chemo.
I stopped kissing her hello when I see her in case I somehow carry the virus.
But I'm glad that can take out my anger on an intangible and invisible organism rather than falling into the very familiar rut of self destruction.
Thank you for listening
&amp;amp;#x200B;
PS. If there are indeed effective treatment that are not available in large hospitals please let me know. I need some bit of hope to grab on.</t>
        </is>
      </c>
      <c r="D9010" t="n">
        <v>0</v>
      </c>
      <c r="E9010" t="n">
        <v>7</v>
      </c>
      <c r="F9010">
        <f>HYPERLINK("https://www.reddit.com/r/cancer/comments/g9pci0/out_of_chemo_options/")</f>
        <v/>
      </c>
      <c r="G9010" t="inlineStr">
        <is>
          <t>2020-04-28 08:33:09</t>
        </is>
      </c>
      <c r="H9010" t="inlineStr"/>
    </row>
    <row r="9011">
      <c r="A9011" t="inlineStr">
        <is>
          <t>g9sspx</t>
        </is>
      </c>
      <c r="B9011" t="inlineStr">
        <is>
          <t>Mental State During Chemo</t>
        </is>
      </c>
      <c r="C9011" t="inlineStr">
        <is>
          <t>Hi all, I haven't been on this sub before but am looking for experience or input into what may be going on. My mother is going through chemo therapy, it seems to be stable  for now but I know that will change down the line. Her mental state is way off. She seems to be paranoid and isn't eating  and very emotional as she is constantly crying. Could this be a result of chemo brain or is she just extremely depressed by the therapy? Has anyone experienced this before?</t>
        </is>
      </c>
      <c r="D9011" t="n">
        <v>1</v>
      </c>
      <c r="E9011" t="n">
        <v>3</v>
      </c>
      <c r="F9011">
        <f>HYPERLINK("https://www.reddit.com/r/cancer/comments/g9sspx/mental_state_during_chemo/")</f>
        <v/>
      </c>
      <c r="G9011" t="inlineStr">
        <is>
          <t>2020-04-28 11:37:49</t>
        </is>
      </c>
      <c r="H9011" t="inlineStr"/>
    </row>
    <row r="9012">
      <c r="A9012" t="inlineStr">
        <is>
          <t>g9sv1v</t>
        </is>
      </c>
      <c r="B9012" t="inlineStr">
        <is>
          <t>Found out I have ovarian cancer yesterday. I’m 18 and haven’t heard any good news in months. I am torn apart and need advice.</t>
        </is>
      </c>
      <c r="C9012" t="inlineStr">
        <is>
          <t>For the past few weeks I have been dealing with the discovery of a giant, cantaloupe sized teratoma. It had all the signs of being benign up until it was removed. My laparoscopic surgery was last Tuesday and I’ve recovered alright so far. My OBGYN called me and my mom in yesterday at four to discuss the pathology results and then I heard that awful word: malignant. Apparently the type of Ovarian cancer I have is in the 1% so I literally feel like all the odds are against me. Luckily it is stage 1 and they are hoping I won’t have to undergo chemo, but I will have to go back in for surgery again to get my right ovary removed (which my doctor spend 3 hours trying to save). I’m just scared that it will escalate because so far, all of the things that I’ve been told are “unlikely”, “uncommon”, or  “1-5%” have all happened to me. So they are saying it’s unlikely I will have to go through chemo and all that but I’m an uncommon case. After I found out, I sat in my mom’s car and literally was waiting to wake up from a dream. Still waiting to wake up. It doesn’t feel real and I’ve been telling everyone about it and it almost feels like I’m lying because it’s so unreal. I’m terrified and I had a breakdown last night and I have been on the verge of tears for so long. Before all of this, my graduation, Prom, and Italy trip got cancelled. I haven’t seen a lot of my friends and people I love because of quarantine. I got accepted into NYU and Pratt, and want to go to Pratt but it’s in New York and don’t know if I will even be able to go on campus this year. I know everyone has to deal with this but it feels like there’s been so much bad news on top of bad news and I just need some good news. I am feeling so much and I don’t know what to do. I know a lot of people in this subreddit are going through similar things, so I am just reaching out in hopes for anything that can help. Thank you so much if you took the time to read that.</t>
        </is>
      </c>
      <c r="D9012" t="n">
        <v>1</v>
      </c>
      <c r="E9012" t="n">
        <v>49</v>
      </c>
      <c r="F9012">
        <f>HYPERLINK("https://www.reddit.com/r/cancer/comments/g9sv1v/found_out_i_have_ovarian_cancer_yesterday_im_18/")</f>
        <v/>
      </c>
      <c r="G9012" t="inlineStr">
        <is>
          <t>2020-04-28 11:41:22</t>
        </is>
      </c>
      <c r="H9012" t="inlineStr"/>
    </row>
    <row r="9013">
      <c r="A9013" t="inlineStr">
        <is>
          <t>g9tupr</t>
        </is>
      </c>
      <c r="B9013" t="inlineStr">
        <is>
          <t>Finally done with chemo now its off to radiation! The journey is almost over.</t>
        </is>
      </c>
      <c r="C9013" t="inlineStr">
        <is>
          <t>Tommorow we are going to fly to New Jersey to get my proton radiation therapy. Can anyone who've been through proton therapy to the brain can you tell me your experiences and what side effects did you have</t>
        </is>
      </c>
      <c r="D9013" t="n">
        <v>1</v>
      </c>
      <c r="E9013" t="n">
        <v>5</v>
      </c>
      <c r="F9013">
        <f>HYPERLINK("https://www.reddit.com/r/cancer/comments/g9tupr/finally_done_with_chemo_now_its_off_to_radiation/")</f>
        <v/>
      </c>
      <c r="G9013" t="inlineStr">
        <is>
          <t>2020-04-28 12:33:38</t>
        </is>
      </c>
      <c r="H9013" t="inlineStr"/>
    </row>
    <row r="9014">
      <c r="A9014" t="inlineStr">
        <is>
          <t>g9u5eo</t>
        </is>
      </c>
      <c r="B9014" t="inlineStr">
        <is>
          <t>Angry Mom w/ Stage 4 Breast Cancer</t>
        </is>
      </c>
      <c r="C9014" t="inlineStr">
        <is>
          <t>My mom is single and has always had issues controlling her anxiety and emotions. She often projects feelings onto me and my now almost 17yo brother. The stress of cancer has only amplified her existing issues. 
She was diagnosed w/ Stage 2 breast cancer April 19. She did 5mo chemo, lymph node removal surgery, and 3mo radiation. She finished all her treatments and had been NED since Oct 19. 
Then 2 weeks ago she went for an MRI bc of headaches and clumsiness. They found 3 tumors in her brain and admitted her to give Decadron steroid to reduce brain swelling. She was all alone in the hospital for 10 days bc of Covid. The 2 smaller ones they treated with gamma knife just 3 days later, then they did a craniotomy and removed the entire golf ball sized tumor from her cerebellum last Mon. She was in the hospital until Fri that same week for monitoring. 
She came home and immediately started emotionally abusing my brother and me. Screaming at the top of her lungs, saying she’s an awful mother, we would be happier with her dead so we can get her life ins, threatening suicide, etc. She woke up Sun evening with fluid leaking from her incision so was admitted again but being discharged tmw... she has even called me just to fight today while she is there and is now on DOUBLE the dose of steroids. 
I did call her nurse because she threatened to take all the pain pills in her bag and it’s probably the 10th time she has threatened suicide since the Stage 4 diagnosis. They are referring her to a psychiatrist and she texted me that now they can lock her up so we don’t have to deal with her anymore. 
I am already extremely stressed, 33 weeks pregnant and my husband and I drove 10 hrs from out of state to be here for her and my bro a week ago. My OB wants me home by Sat when I am 34 weeks, but I am scared to leave my brother here to deal with her wrath. He is too young to be a caretaker especially to someone who is emotionally abusive. She has also been physically abusive during the most stressful times of my childhood (throwing forks, pots, toys at me) but hasn’t been that way with my brother that I know of.
The only other person who may take care of her is her bf, but I don’t think he is going to stick around. He has made comments about a “possible” future with her and they have only been dating 6mo. Before this new diagnosis of brain mets she was essentially living at his house and my brother was home all alone neglecting his school work doing whatever he wanted. He could come live with my husband and me, but he doesn’t want to move to another state and then my mom would truly be here alone. 
I just don’t know what to do. My husband wants to leave before she is discharged tomorrow because he doesn’t want to give her the chance to go off on me yet again... I love my mom of course but this is a really hard situation to be in.</t>
        </is>
      </c>
      <c r="D9014" t="n">
        <v>1</v>
      </c>
      <c r="E9014" t="n">
        <v>8</v>
      </c>
      <c r="F9014">
        <f>HYPERLINK("https://www.reddit.com/r/cancer/comments/g9u5eo/angry_mom_w_stage_4_breast_cancer/")</f>
        <v/>
      </c>
      <c r="G9014" t="inlineStr">
        <is>
          <t>2020-04-28 12:49:14</t>
        </is>
      </c>
      <c r="H9014" t="inlineStr"/>
    </row>
    <row r="9015">
      <c r="A9015" t="inlineStr">
        <is>
          <t>g9x6x5</t>
        </is>
      </c>
      <c r="B9015" t="inlineStr">
        <is>
          <t>Looking for... advice? Stories?</t>
        </is>
      </c>
      <c r="C9015" t="inlineStr">
        <is>
          <t>Hope this is an okay post for this sub. We found out today that my fiancé’s dad has cancer, diagnosis was via a biopsy of a tumor. I guess it was fairly early in growth, but it’s an aggressive form. 
How can I support her? 
We’re both just kind of at a loss. I’ve been making sure she’s eating and drinking, but after that i’m not sure how to help ease the load emotionally. 
They live on the other side of the country, should we start planning the visit to family right now? I’m in healthcare so taking time off will be difficult with everything happening and needs to be planned sooner rather than later. I lost my grandmother
who raised me to cancer about five years ago and took her of her towards the end, I know what a beast this disease is, but I can’t remember what helped/didn’t help, as it’s mostly a sad blur. 
Also, what can I do for “my” dad? He’ll be starting radiation this week I believe.</t>
        </is>
      </c>
      <c r="D9015" t="n">
        <v>1</v>
      </c>
      <c r="E9015" t="n">
        <v>1</v>
      </c>
      <c r="F9015">
        <f>HYPERLINK("https://www.reddit.com/r/cancer/comments/g9x6x5/looking_for_advice_stories/")</f>
        <v/>
      </c>
      <c r="G9015" t="inlineStr">
        <is>
          <t>2020-04-28 15:30:25</t>
        </is>
      </c>
      <c r="H9015" t="inlineStr"/>
    </row>
    <row r="9016">
      <c r="A9016" t="inlineStr">
        <is>
          <t>ga2qrz</t>
        </is>
      </c>
      <c r="B9016" t="inlineStr">
        <is>
          <t>hodgkins 2b chemos</t>
        </is>
      </c>
      <c r="C9016" t="inlineStr">
        <is>
          <t>Hello everyone, I was diagnosed with early-stage 2b unfavourable non-bulky Hodgkins lymphoma. I just finished my 2nd cycle of ABVD yesterday and have my intermit PET scan in a week. I live in Canada and my oncologist hasn't really given me a treatment plan that is set in stone as he's waiting on the results from the PET scan. I had 3 enlarged lymph nodes on my left side that have gone away completely so I'm hoping that I only have to do 2 more cycles after my PET. My oncologist is leaning toward 4 more cycles with no radiation
I was wondering if anyone had the same diagnosis as me and how many cycles you did.</t>
        </is>
      </c>
      <c r="D9016" t="n">
        <v>1</v>
      </c>
      <c r="E9016" t="n">
        <v>13</v>
      </c>
      <c r="F9016">
        <f>HYPERLINK("https://www.reddit.com/r/cancer/comments/ga2qrz/hodgkins_2b_chemos/")</f>
        <v/>
      </c>
      <c r="G9016" t="inlineStr">
        <is>
          <t>2020-04-28 21:25:33</t>
        </is>
      </c>
      <c r="H9016" t="inlineStr"/>
    </row>
    <row r="9017">
      <c r="A9017" t="inlineStr">
        <is>
          <t>ga3jnn</t>
        </is>
      </c>
      <c r="B9017" t="inlineStr">
        <is>
          <t>After chemo problems</t>
        </is>
      </c>
      <c r="C9017" t="inlineStr">
        <is>
          <t>I also asked this in colon cancer since it's.... Well colon cancer related. Also tell me if this isn't the correct place because to me its cancer related but to many it might not be. 
My father is supposedly in remission from stage 3 sigmoid colon cancer. He had most of his colon removed before chemo, ended up in the hospital two weeks later for kidney failure due to dehydration because of lack of colon problems then started chemo a week after he got out. 
he had problems in the beginning, weighed 240lbs in August and now weighs 110lbs, couldn't finish chemo, had his last session in January, and still hasn't recovered. He's currently in the hospital because he literally couldn't eat or drink, he has a clog in his stomach which is now broken up. It solved the problem for a day before he was back to not being able to keep anything down. They are doing a colonoscopy on Friday to see if they can find anything. 
My question is, has anyone else experienced this and should I be preparing myself to say good bye or is there a chance?</t>
        </is>
      </c>
      <c r="D9017" t="n">
        <v>1</v>
      </c>
      <c r="E9017" t="n">
        <v>0</v>
      </c>
      <c r="F9017">
        <f>HYPERLINK("https://www.reddit.com/r/cancer/comments/ga3jnn/after_chemo_problems/")</f>
        <v/>
      </c>
      <c r="G9017" t="inlineStr">
        <is>
          <t>2020-04-28 22:26:38</t>
        </is>
      </c>
      <c r="H9017" t="inlineStr"/>
    </row>
    <row r="9018">
      <c r="A9018" t="inlineStr">
        <is>
          <t>ga4296</t>
        </is>
      </c>
      <c r="B9018" t="inlineStr">
        <is>
          <t>Spinal Chord Stimulator</t>
        </is>
      </c>
      <c r="C9018" t="inlineStr">
        <is>
          <t>So my pain management doctor told me he wanted to start the process of installing a spinal cord stimulator next month.
Honestly, I'm feeling a little weird about it. I have a million questions. What the recovery time, how intense? Do they just expect the SCS to be a total solution for pain? Long term effects? How active are you able to be after installation? Do you have any discomfort over time? 
Have any of you tried this? Are you still using other pain killers alongside it or has your need been reduced/eliminated? Side effects? How active can you be with it?</t>
        </is>
      </c>
      <c r="D9018" t="n">
        <v>1</v>
      </c>
      <c r="E9018" t="n">
        <v>0</v>
      </c>
      <c r="F9018">
        <f>HYPERLINK("https://www.reddit.com/r/cancer/comments/ga4296/spinal_chord_stimulator/")</f>
        <v/>
      </c>
      <c r="G9018" t="inlineStr">
        <is>
          <t>2020-04-28 23:08:20</t>
        </is>
      </c>
      <c r="H9018" t="inlineStr"/>
    </row>
    <row r="9019">
      <c r="A9019" t="inlineStr">
        <is>
          <t>ga42si</t>
        </is>
      </c>
      <c r="B9019" t="inlineStr">
        <is>
          <t>Spinal Cord Stimulator</t>
        </is>
      </c>
      <c r="C9019" t="inlineStr">
        <is>
          <t>So my pain management doctor told me he wanted to start the process of installing a spinal cord stimulator next month.
Honestly, I'm feeling a little weird about it. I have a million questions. What the recovery time, how intense? Do they just expect the SCS to be a total solution for pain? Long term effects? How active are you able to be after installation? Do you have any discomfort over time?
Have any of you tried this? Are you still using other pain killers alongside it or has your need been reduced/eliminated? Side effects? How active can you be with it?</t>
        </is>
      </c>
      <c r="D9019" t="n">
        <v>1</v>
      </c>
      <c r="E9019" t="n">
        <v>1</v>
      </c>
      <c r="F9019">
        <f>HYPERLINK("https://www.reddit.com/r/cancer/comments/ga42si/spinal_cord_stimulator/")</f>
        <v/>
      </c>
      <c r="G9019" t="inlineStr">
        <is>
          <t>2020-04-28 23:09:34</t>
        </is>
      </c>
      <c r="H9019" t="inlineStr"/>
    </row>
    <row r="9020">
      <c r="A9020" t="inlineStr">
        <is>
          <t>ga7yvr</t>
        </is>
      </c>
      <c r="B9020" t="inlineStr">
        <is>
          <t>Can Virchow's node mean something else than cancer?</t>
        </is>
      </c>
      <c r="C9020" t="inlineStr">
        <is>
          <t>Not diagnosed yet. I'm 24, male, 173cm, 83kg. About a week ago I felt a lump above my collarbone. I went to my GP, and she told me that it's a left supraclavicular node, which is never good to have enlarged. She referred me to an oncologist, and I have my visit on May 7th. I'm unable to eat and function properly due to all the stress. Does anyone know if the node might turn out to be benign? It's painless, a little moveable and about 1cm in size.  
Scans I had:  
abdominal MRI 04.2019 - clear  
chest CT, bronchoscopy, abdominal US 11.2019 - clear  
upper GI scope 12.2019 - clear  
Thank you</t>
        </is>
      </c>
      <c r="D9020" t="n">
        <v>1</v>
      </c>
      <c r="E9020" t="n">
        <v>8</v>
      </c>
      <c r="F9020">
        <f>HYPERLINK("https://www.reddit.com/r/cancer/comments/ga7yvr/can_virchows_node_mean_something_else_than_cancer/")</f>
        <v/>
      </c>
      <c r="G9020" t="inlineStr">
        <is>
          <t>2020-04-29 04:47:32</t>
        </is>
      </c>
      <c r="H9020" t="inlineStr"/>
    </row>
    <row r="9021">
      <c r="A9021" t="inlineStr">
        <is>
          <t>ga82v2</t>
        </is>
      </c>
      <c r="B9021" t="inlineStr">
        <is>
          <t>Ibrance CDK Inhibitor Side Affect Advice?</t>
        </is>
      </c>
      <c r="C9021" t="inlineStr">
        <is>
          <t>Hi there, this is my first ever post on Reddit so please be  kind. Short history for context:
* I was diagnosed with stage three breast cancer in 2013, had a mastectomy, chemotherapy, radiotherapy and 5 years of Tamoxifen
* Cancer metastasised to my spine, clavicle and sternum last year. I had a corpectomy to remove the completely disintegrated C7 vertebrae followed by a short course of radiotherapy
* I'm now having Goserelin and Denosumab injections every month and taking CDK Inhibitors, along with Letrosole.
Now, I am not a vain person and after severe scaring, wearing a prosthetic breast and loosing all of my hair to chemotherapy in 2013 I thought that, appearance wise, I would be able to cope with anything that came along with this round of treatment. However, my hair is beginning to thin very noticeably and I have virtually no eyebrows or eyelashes. It is massively impacting my self confidence. I am under quarantine by my oncology team (of course as they consider me to be high risk) and live on my own in a foreign country away from my family and friend support groups.
I feel like I have coped so well with everything, and going through all of this mostly on my own (except when my Mother flew out to look after me after my surgery) has not been a problem until now. Whenever I Zoom with my family or friends I turn off the video and make excuses about it being broken when anyone asks. I don't know how I am going to cope with seeing people in person again when all this is over and I'm getting really anxious about it. Not helped by the fact that as I have been limited to what exercise I can do, following my surgery last September, I have also gained quite a bit of weight.
I know it seems petty to be bothered about this so much, and the guilt about that makes me feel even worse but I can't seem to be able to pick myself up.
I have started trying to limit my calorie intake to curb the weight gain but does anyone have any advice at all about minimising the hair thinning?
All help very gratefully received.</t>
        </is>
      </c>
      <c r="D9021" t="n">
        <v>1</v>
      </c>
      <c r="E9021" t="n">
        <v>2</v>
      </c>
      <c r="F9021">
        <f>HYPERLINK("https://www.reddit.com/r/cancer/comments/ga82v2/ibrance_cdk_inhibitor_side_affect_advice/")</f>
        <v/>
      </c>
      <c r="G9021" t="inlineStr">
        <is>
          <t>2020-04-29 04:56:02</t>
        </is>
      </c>
      <c r="H9021" t="inlineStr"/>
    </row>
    <row r="9022">
      <c r="A9022" t="inlineStr">
        <is>
          <t>ga85ca</t>
        </is>
      </c>
      <c r="B9022" t="inlineStr">
        <is>
          <t>How to raise money for donations by shaving my head ?</t>
        </is>
      </c>
      <c r="C9022" t="inlineStr">
        <is>
          <t>Hi.
I don't know if this is the right sub to ask, but I have been wanting to shave my head for months, and make it even more meaningful by supporting cancer research and people who went through the illness more generally. I will buzz my head no matter what, but I'd also like it to serve a purpose that seems important to me.
I live in France, and I wish I could find a french association but unfortunately, I didn't. However, fundraising is really something I want to do when I commit to shaving my head.
Could anyone suggest a way for me to find a trustworthy fundraiser ? I already am in contact with one but I wish to see the different possibilities. Thanks in advance !</t>
        </is>
      </c>
      <c r="D9022" t="n">
        <v>1</v>
      </c>
      <c r="E9022" t="n">
        <v>0</v>
      </c>
      <c r="F9022">
        <f>HYPERLINK("https://www.reddit.com/r/cancer/comments/ga85ca/how_to_raise_money_for_donations_by_shaving_my/")</f>
        <v/>
      </c>
      <c r="G9022" t="inlineStr">
        <is>
          <t>2020-04-29 05:01:25</t>
        </is>
      </c>
      <c r="H9022" t="inlineStr"/>
    </row>
    <row r="9023">
      <c r="A9023" t="inlineStr">
        <is>
          <t>ga8skg</t>
        </is>
      </c>
      <c r="B9023" t="inlineStr">
        <is>
          <t>My husband (27M) was diagnosed with Synovial Sarcoma.</t>
        </is>
      </c>
      <c r="C9023" t="inlineStr">
        <is>
          <t>My husband has been dealing with a large tumor in his throat (a bit wider and a bit longer than an egg) for a while now and we finally got a the results of the biopsy yesterday. We are of course very shocked and scared and currently just trying to process...everything. The tumor board at his doctor’s office (Stephenson Cancer Center at OU) is meeting Friday to determine if they’ll do surgery first or start with radiation/chemo first. After they decide, they’ll call us with a treatment plan.
I guess my main reason for this post is just some general advice if you have any, especially for those dealing with Synovial sarcoma. How can I make this easier for him? Are there any steps that I can take to make radiation/chemo more comfortable? 
If you have any insight on the treatability/survivability please share! When we asked the doctor he was a bit vague, but he did indicate that it wasn’t great especially in young people. 
Thank you all for any insight!</t>
        </is>
      </c>
      <c r="D9023" t="n">
        <v>1</v>
      </c>
      <c r="E9023" t="n">
        <v>22</v>
      </c>
      <c r="F9023">
        <f>HYPERLINK("https://www.reddit.com/r/cancer/comments/ga8skg/my_husband_27m_was_diagnosed_with_synovial_sarcoma/")</f>
        <v/>
      </c>
      <c r="G9023" t="inlineStr">
        <is>
          <t>2020-04-29 05:47:07</t>
        </is>
      </c>
      <c r="H9023" t="inlineStr"/>
    </row>
    <row r="9024">
      <c r="A9024" t="inlineStr">
        <is>
          <t>ga9u4h</t>
        </is>
      </c>
      <c r="B9024" t="inlineStr">
        <is>
          <t>I am a 26yo Male with Peripheral T- Cell non Hodgkin’s lymphoma about to do my 5th chemo AMA</t>
        </is>
      </c>
      <c r="C9024" t="inlineStr">
        <is>
          <t>Any questions, concerns please feel free to ask and keep me company for the next few hours as I go through my 5th round of CHEOP.</t>
        </is>
      </c>
      <c r="D9024" t="n">
        <v>1</v>
      </c>
      <c r="E9024" t="n">
        <v>49</v>
      </c>
      <c r="F9024">
        <f>HYPERLINK("https://www.reddit.com/r/cancer/comments/ga9u4h/i_am_a_26yo_male_with_peripheral_t_cell_non/")</f>
        <v/>
      </c>
      <c r="G9024" t="inlineStr">
        <is>
          <t>2020-04-29 06:52:26</t>
        </is>
      </c>
      <c r="H9024" t="inlineStr"/>
    </row>
    <row r="9025">
      <c r="A9025" t="inlineStr">
        <is>
          <t>gaak2u</t>
        </is>
      </c>
      <c r="B9025" t="inlineStr">
        <is>
          <t>How to help my dad</t>
        </is>
      </c>
      <c r="C9025" t="inlineStr">
        <is>
          <t>My 60 year old dad got diagnosed with colon cancer 2 weeks ago. I’ve been away from home for the last 7 years, trying to “make it” in the world, and visa and travel restrictions prevent me from seeing him for another 6 months. I have a good 6 months now to figure out how I can make sure the rest of his life is the best it can be.
Is there anything that I can read or watch for people whose parents have cancer? It might helps me process everything that I’m feeling and I’ll post back to this community with what I’ve learnt to help others in the same boat.
He is an incredibly hard working human who worked hard all his life so that I went to a good school and could focus on my studies. I was hoping to have more time to help him enjoy life and travel the world. Please help me help him through this.</t>
        </is>
      </c>
      <c r="D9025" t="n">
        <v>1</v>
      </c>
      <c r="E9025" t="n">
        <v>2</v>
      </c>
      <c r="F9025">
        <f>HYPERLINK("https://www.reddit.com/r/cancer/comments/gaak2u/how_to_help_my_dad/")</f>
        <v/>
      </c>
      <c r="G9025" t="inlineStr">
        <is>
          <t>2020-04-29 07:33:12</t>
        </is>
      </c>
      <c r="H9025" t="inlineStr"/>
    </row>
    <row r="9026">
      <c r="A9026" t="inlineStr">
        <is>
          <t>gae43z</t>
        </is>
      </c>
      <c r="B9026" t="inlineStr">
        <is>
          <t>UNIFIED COVID-19 STUDY</t>
        </is>
      </c>
      <c r="C9026" t="inlineStr">
        <is>
          <t>Many people live with serious conditions that weaken their ability to fight infections, making them more vulnerable to COVID-19. These include individuals with cancer and those needing organ transplants. The COVID-19 pandemic has brought tremendous challenges for these individuals who need complex, continual care.
We invite you to participate in a study that is happening at UBC! We will survey and interview individuals with cancer to explore how they are receiving care during the pandemic, whether public responses to combat the pandemic have caused changes to their treatment, and how current circumstances have impacted their mental health. Understanding these challenges will help doctors and decision makers optimize care delivery to these vulnerable individuals during the COVID-19 pandemic and beyond.
Please click on the link below to take our survey and find out more about our study! [https://www.unifiedcovid.com/](https://www.unifiedcovid.com/)</t>
        </is>
      </c>
      <c r="D9026" t="n">
        <v>1</v>
      </c>
      <c r="E9026" t="n">
        <v>0</v>
      </c>
      <c r="F9026">
        <f>HYPERLINK("https://www.reddit.com/r/cancer/comments/gae43z/unified_covid19_study/")</f>
        <v/>
      </c>
      <c r="G9026" t="inlineStr">
        <is>
          <t>2020-04-29 10:58:04</t>
        </is>
      </c>
      <c r="H9026" t="inlineStr"/>
    </row>
    <row r="9027">
      <c r="A9027" t="inlineStr">
        <is>
          <t>gahlpy</t>
        </is>
      </c>
      <c r="B9027" t="inlineStr">
        <is>
          <t>Fatigue after immunizations</t>
        </is>
      </c>
      <c r="C9027" t="inlineStr">
        <is>
          <t>I’m over a year out from my bone marrow transplant and I’ve been getting all of my vaccinations done. I had 4 done last month, and 3 done yesterday. 
I just want to lay around in bed all day. I’m tired and sleepy but not enough to actually get asleep. Anyone else experience this? How long did it take to go away?</t>
        </is>
      </c>
      <c r="D9027" t="n">
        <v>1</v>
      </c>
      <c r="E9027" t="n">
        <v>7</v>
      </c>
      <c r="F9027">
        <f>HYPERLINK("https://www.reddit.com/r/cancer/comments/gahlpy/fatigue_after_immunizations/")</f>
        <v/>
      </c>
      <c r="G9027" t="inlineStr">
        <is>
          <t>2020-04-29 13:59:19</t>
        </is>
      </c>
      <c r="H9027" t="inlineStr"/>
    </row>
    <row r="9028">
      <c r="A9028" t="inlineStr">
        <is>
          <t>gaim7c</t>
        </is>
      </c>
      <c r="B9028" t="inlineStr">
        <is>
          <t>This might be a little silly, but if you have to create a digital avatar for yourself (like in Animal Crossing), so you make it as “you with cancer” or as “pre-cancer you”?</t>
        </is>
      </c>
      <c r="C9028" t="inlineStr">
        <is>
          <t>Only thinking about this because a friend sent me a copy of Animal Crossing as a gift, and now I have to figure out how I want to stylize my avatar. Do I want to be true to how I am now, or do I want to let the video game be an escape and allow a digital version of me express how I’d like to be seen?  
It’s a rather silly question for a serious sub, sorry if it doesn’t belong here.</t>
        </is>
      </c>
      <c r="D9028" t="n">
        <v>1</v>
      </c>
      <c r="E9028" t="n">
        <v>7</v>
      </c>
      <c r="F9028">
        <f>HYPERLINK("https://www.reddit.com/r/cancer/comments/gaim7c/this_might_be_a_little_silly_but_if_you_have_to/")</f>
        <v/>
      </c>
      <c r="G9028" t="inlineStr">
        <is>
          <t>2020-04-29 14:52:33</t>
        </is>
      </c>
      <c r="H9028" t="inlineStr"/>
    </row>
    <row r="9029">
      <c r="A9029" t="inlineStr">
        <is>
          <t>gajjtd</t>
        </is>
      </c>
      <c r="B9029" t="inlineStr">
        <is>
          <t>How to care for a stage IV patient?</t>
        </is>
      </c>
      <c r="C9029" t="inlineStr">
        <is>
          <t>Hi everyone. I'm looking for some guidance on what to do or what to get for this situation. My [20M] mother [62F] was diagnosed with stage IV pancreatic adenocarcinoma 2 months ago. She went through a few chemo treatments but chose to stop as the chemo was doing more damage to her than the cancer was. Now we are looking at palliative care and eventually hospice care. I have no training in anything so all I can do is whatever she asks of me. Sometimes she just needs care that I can't provide.
If you've been in a similar situation, what things did you buy or do that made things easier? Thanks!</t>
        </is>
      </c>
      <c r="D9029" t="n">
        <v>1</v>
      </c>
      <c r="E9029" t="n">
        <v>6</v>
      </c>
      <c r="F9029">
        <f>HYPERLINK("https://www.reddit.com/r/cancer/comments/gajjtd/how_to_care_for_a_stage_iv_patient/")</f>
        <v/>
      </c>
      <c r="G9029" t="inlineStr">
        <is>
          <t>2020-04-29 15:43:02</t>
        </is>
      </c>
      <c r="H9029" t="inlineStr"/>
    </row>
    <row r="9030">
      <c r="A9030" t="inlineStr">
        <is>
          <t>gajvby</t>
        </is>
      </c>
      <c r="B9030" t="inlineStr">
        <is>
          <t>My dad went from stage 1 to stage 4, moving to a hospice, weeks and days to live in 8 weeks</t>
        </is>
      </c>
      <c r="C9030" t="inlineStr">
        <is>
          <t>Always make sure to get the best possible treatment.</t>
        </is>
      </c>
      <c r="D9030" t="n">
        <v>1</v>
      </c>
      <c r="E9030" t="n">
        <v>10</v>
      </c>
      <c r="F9030">
        <f>HYPERLINK("https://www.reddit.com/r/cancer/comments/gajvby/my_dad_went_from_stage_1_to_stage_4_moving_to_a/")</f>
        <v/>
      </c>
      <c r="G9030" t="inlineStr">
        <is>
          <t>2020-04-29 16:01:10</t>
        </is>
      </c>
      <c r="H9030" t="inlineStr"/>
    </row>
    <row r="9031">
      <c r="A9031" t="inlineStr">
        <is>
          <t>gamcz3</t>
        </is>
      </c>
      <c r="B9031" t="inlineStr">
        <is>
          <t>Cancer sucks</t>
        </is>
      </c>
      <c r="C9031" t="inlineStr">
        <is>
          <t>This may be against the community guidelines but it is about cancer.
 My dog was just recently diagnosed with late stage lymphoma and I had just recently beat NLPHL ( a rare form of hodgkin's lymphoma) but I'd so much rather go through it all over again, I'd rather relive the hell that is beating cancer the watch my dog lose his battle. Unfortunately as of writing this tonight is hes last night. Hes a 12 year old bulldog so it would be a risky surgery bc of age and the fact that the tumor is closing off his intestine so he can't poop. I'd happily take the late stage lymphoma from him just so we don't have to put him down. It really sucks. Again I'm sorry if this broke any rules or guidelines but I needed to rant bc I'm balling my eyes out.</t>
        </is>
      </c>
      <c r="D9031" t="n">
        <v>1</v>
      </c>
      <c r="E9031" t="n">
        <v>5</v>
      </c>
      <c r="F9031">
        <f>HYPERLINK("https://www.reddit.com/r/cancer/comments/gamcz3/cancer_sucks/")</f>
        <v/>
      </c>
      <c r="G9031" t="inlineStr">
        <is>
          <t>2020-04-29 18:31:46</t>
        </is>
      </c>
      <c r="H9031" t="inlineStr"/>
    </row>
    <row r="9032">
      <c r="A9032" t="inlineStr">
        <is>
          <t>gaqxj6</t>
        </is>
      </c>
      <c r="B9032" t="inlineStr">
        <is>
          <t>Grandfather given 8 weeks, what can I do</t>
        </is>
      </c>
      <c r="C9032" t="inlineStr">
        <is>
          <t>My grandfather was given 8 weeks at most to live last night Im at a loss at what to do. 
I feel like a barely know him as we was never very close, only really saw him on birthdays or family meetups and  I can't see him due to being moved to a hospice plus I'm essential worker so have been adviced not to visit his home anyway.
I want to call him but with my asd  I don't know what to say</t>
        </is>
      </c>
      <c r="D9032" t="n">
        <v>1</v>
      </c>
      <c r="E9032" t="n">
        <v>1</v>
      </c>
      <c r="F9032">
        <f>HYPERLINK("https://www.reddit.com/r/cancer/comments/gaqxj6/grandfather_given_8_weeks_what_can_i_do/")</f>
        <v/>
      </c>
      <c r="G9032" t="inlineStr">
        <is>
          <t>2020-04-30 00:09:16</t>
        </is>
      </c>
      <c r="H9032" t="inlineStr"/>
    </row>
    <row r="9033">
      <c r="A9033" t="inlineStr">
        <is>
          <t>garfat</t>
        </is>
      </c>
      <c r="B9033" t="inlineStr">
        <is>
          <t>India lost it's two gems to cancer in two days</t>
        </is>
      </c>
      <c r="C9033" t="inlineStr">
        <is>
          <t>Irrfan Khan(53) and Rishi Kapoor(67) - Admired by the millions in the country for their acting in Bollywood, succumbed to cancer in two consecutive days.
Both of them were diagnosed with cancer in 2018. Irrfan with a Neuroendocrine tumor and Rishi with leukemia. They both lost their battle to cancer in 2 years. It sucks that even celebrities who have access to best healthcare in the world are not able to defy the odds. RIP.
[https://www.bbc.com/news/world-asia-india-52468343](https://www.bbc.com/news/world-asia-india-52468343)  
[https://www.bbc.com/news/world-asia-india-52482688](https://www.bbc.com/news/world-asia-india-52482688)</t>
        </is>
      </c>
      <c r="D9033" t="n">
        <v>1</v>
      </c>
      <c r="E9033" t="n">
        <v>5</v>
      </c>
      <c r="F9033">
        <f>HYPERLINK("https://www.reddit.com/r/cancer/comments/garfat/india_lost_its_two_gems_to_cancer_in_two_days/")</f>
        <v/>
      </c>
      <c r="G9033" t="inlineStr">
        <is>
          <t>2020-04-30 00:52:23</t>
        </is>
      </c>
      <c r="H9033" t="inlineStr"/>
    </row>
    <row r="9034">
      <c r="A9034" t="inlineStr">
        <is>
          <t>gas0v6</t>
        </is>
      </c>
      <c r="B9034" t="inlineStr">
        <is>
          <t>Former Patient Fundraises for St Jude Children's Research Hospital</t>
        </is>
      </c>
      <c r="C9034" t="inlineStr">
        <is>
          <t>I'm a childhood cancer survivor and I started streaming to raise funds for St. Jude Children's Research Hospital who gave me another chance at life. If you would like to support me by either donating/following this is the link to my channel. https://m.twitch.tv/hobosasquatchis/profile  I stream Valorant, Rocket League and Fortnite. I have many video recordings of my time in the hospital and I  plan on vlogging about them, so as to give you insight of what a cancer patient goes through and just how great this hospital treats its patients and why it means so much to me. We have successfully raised $225!</t>
        </is>
      </c>
      <c r="D9034" t="n">
        <v>1</v>
      </c>
      <c r="E9034" t="n">
        <v>0</v>
      </c>
      <c r="F9034">
        <f>HYPERLINK("https://www.reddit.com/r/cancer/comments/gas0v6/former_patient_fundraises_for_st_jude_childrens/")</f>
        <v/>
      </c>
      <c r="G9034" t="inlineStr">
        <is>
          <t>2020-04-30 01:46:42</t>
        </is>
      </c>
      <c r="H9034" t="inlineStr"/>
    </row>
    <row r="9035">
      <c r="A9035" t="inlineStr">
        <is>
          <t>gasnu4</t>
        </is>
      </c>
      <c r="B9035" t="inlineStr">
        <is>
          <t>Overcoming trauma</t>
        </is>
      </c>
      <c r="C9035" t="inlineStr">
        <is>
          <t>I've been cancer free for almost three years now. Due to the current pandemic we didn't have school for the last weeks (I'm still a student). Within the next weeks school will start again. We will only have a few lessons per day, like I had when I came back after my cancer treatment. Also we will have to wear face masks and use hand sanitizer. Both are major trigger points of me, I panic when I even think about putting on a face mask. I don't want to have flashbacks when I go to school again but with current safety measures I know that I will have them. Is there anyone who feels similar to me or maybe has some tips for me?</t>
        </is>
      </c>
      <c r="D9035" t="n">
        <v>1</v>
      </c>
      <c r="E9035" t="n">
        <v>1</v>
      </c>
      <c r="F9035">
        <f>HYPERLINK("https://www.reddit.com/r/cancer/comments/gasnu4/overcoming_trauma/")</f>
        <v/>
      </c>
      <c r="G9035" t="inlineStr">
        <is>
          <t>2020-04-30 02:43:40</t>
        </is>
      </c>
      <c r="H9035" t="inlineStr"/>
    </row>
    <row r="9036">
      <c r="A9036" t="inlineStr">
        <is>
          <t>gau1bc</t>
        </is>
      </c>
      <c r="B9036" t="inlineStr">
        <is>
          <t>Can Lymphoma or other Cancers come in episodes?</t>
        </is>
      </c>
      <c r="C9036" t="inlineStr">
        <is>
          <t>I have a few symptoms that worry me, though at the same time I'm not sure if they fit. I felt quite bad two years ago, feeling really weak for quite some time. That went away at some point, and then I was feeling ok again for a few months. Now I'm starting to feel pretty weak again.
I've also had a slightly swollen lymph node for &amp;gt; 3 years now, and I've recently noticed that I've lost quite a bit of weight (though I'm not sure in what time span). Bloodtest came back fine, lymphocytes were a little high, but my GP said there's nothing to worry about. My GP first thought it might be something rheumatic, since my joints were also hurting, but a rheumatologist couldn't confirm this. I don't have any fevers or night sweats.
Would it be very abnormal for blood cancers or other types of cancers to appear, then show no symptoms at all, and then come back?</t>
        </is>
      </c>
      <c r="D9036" t="n">
        <v>1</v>
      </c>
      <c r="E9036" t="n">
        <v>4</v>
      </c>
      <c r="F9036">
        <f>HYPERLINK("https://www.reddit.com/r/cancer/comments/gau1bc/can_lymphoma_or_other_cancers_come_in_episodes/")</f>
        <v/>
      </c>
      <c r="G9036" t="inlineStr">
        <is>
          <t>2020-04-30 04:38:32</t>
        </is>
      </c>
      <c r="H9036" t="inlineStr"/>
    </row>
    <row r="9037">
      <c r="A9037" t="inlineStr">
        <is>
          <t>gav2so</t>
        </is>
      </c>
      <c r="B9037" t="inlineStr">
        <is>
          <t>Is there even a chance I'll live a full life anymore?</t>
        </is>
      </c>
      <c r="C9037" t="inlineStr">
        <is>
          <t>22 Male here. Diagnosed with papillary/follicular thyroid cancer last month. Had two surgeries since then and will start radioactive iodine therapy within the following weeks. I feel like ive been through the initial stages of worry and am managing to continue my life despite the setbacks.
Ive been told numerous times by many doctors that im lucky, highly curable cancer. I accept that but i cant help but think about it recurring or spreading (not quite out of the woods yet). 
I want a career, a house, kids and to hopefully even grow old enough to see them have kids of their own.  Is there even a chance i'll live to see this?
Maybe ill get through this but maybe in 5 or 10 years time it will return and finish the job.</t>
        </is>
      </c>
      <c r="D9037" t="n">
        <v>1</v>
      </c>
      <c r="E9037" t="n">
        <v>30</v>
      </c>
      <c r="F9037">
        <f>HYPERLINK("https://www.reddit.com/r/cancer/comments/gav2so/is_there_even_a_chance_ill_live_a_full_life/")</f>
        <v/>
      </c>
      <c r="G9037" t="inlineStr">
        <is>
          <t>2020-04-30 05:51:16</t>
        </is>
      </c>
      <c r="H9037" t="inlineStr"/>
    </row>
    <row r="9038">
      <c r="A9038" t="inlineStr">
        <is>
          <t>gawgc1</t>
        </is>
      </c>
      <c r="B9038" t="inlineStr">
        <is>
          <t>Need some advice about stomach cancer</t>
        </is>
      </c>
      <c r="C9038" t="inlineStr">
        <is>
          <t>My brother in law was fit and healthy, 42 year old in November. At the start of April he was diagnosed with stomach cancer and this week has been told it is too aggressive to cut out, and he will live a couple of months without chemo, but he might live a little longer with intense chemo. 
He has three young children. 
Needless to say our whole community is shattered. 
He is seeing an oncologist tomorrow and hoping to start intense chemo ASAP. 
I’m after any advice from here. Stories? Anything that helped? 
I’m surprised at the lack of options we have. But I guess that’s what sucks about cancer. 
A few posts on this subreddit have mentioned stem cells. Is that an option here? None of the doctors have mentioned this but maybe we aren’t asking the right questions.
I’ve compiled a list of items to get him for chemo by reading through post on this subreddit which I’m very grateful for, it seems like a great community.</t>
        </is>
      </c>
      <c r="D9038" t="n">
        <v>1</v>
      </c>
      <c r="E9038" t="n">
        <v>6</v>
      </c>
      <c r="F9038">
        <f>HYPERLINK("https://www.reddit.com/r/cancer/comments/gawgc1/need_some_advice_about_stomach_cancer/")</f>
        <v/>
      </c>
      <c r="G9038" t="inlineStr">
        <is>
          <t>2020-04-30 07:15:32</t>
        </is>
      </c>
      <c r="H9038" t="inlineStr"/>
    </row>
    <row r="9039">
      <c r="A9039" t="inlineStr">
        <is>
          <t>gaynta</t>
        </is>
      </c>
      <c r="B9039" t="inlineStr">
        <is>
          <t>Lost</t>
        </is>
      </c>
      <c r="C9039" t="inlineStr">
        <is>
          <t>This is gonna be badly written I’m sorry. I have terminal cancer , my mom has said that I don’t have cancer , that I shouldn’t do chemo , she doesn’t respect my space , she goes through my things and rearranges , unpacked my suitcase from when I came back from treatment , which is not only an invasion of privacy but embarrassing as I’m a ( 34 year old !) adult. I had to move back in when I stopped being able to work. She doesn’t want to help me with my 2 year old when I’m too sick , but she does , she also complains about it to everyone though and looks for any excuse and reason not to watch him. Before I had moved back in she said she was more than willing to help with him. Now he often goes to a babysitter when I am too sick ( which is very expensive ) . She just doesn’t care ... she does what  she wants with no regard for how it effects anyone around her. She is Involved with a cult and has all these phone “ meetings “ and chanting that she does a a gets really upset if anything comes between her and her chantings even if it’s really important. She’s invasive and asks questions in a really uncomfortable way so I try to communicate with her as little as possible about what I’m going through. I had surgery that prolonged my life , she begged me not to have it. I had no idea my mom was like this ... I don’t know who she is anymore ? She won’t stop any of the behavior that upsets me , she will say she will , but the other things I have come to realize is that her words bear no weight , she just says what you what to hear with absolutely no follow through. I feel guilty because despite all of this my mom does help me in practical ways , with childcare in the morning when I’m really sick and making food for me and feeding my child. But I think I hate her, I had no idea how toxic she was. I hate that I have to rely on her. The cult has to do with why she didn’t want me to have treatment for cancer and why she thought I didn’t even have it , she accused me of “ buying into western medicine bullshit “ and that’s what she really believes. And she also can’t refrain from telling me that if she gets upset. The last thing she told me was not do the clinical trail I’m participating in. I feel lost , I have no idea how to have a relationship with her , I feel like she has no respect for me.</t>
        </is>
      </c>
      <c r="D9039" t="n">
        <v>1</v>
      </c>
      <c r="E9039" t="n">
        <v>13</v>
      </c>
      <c r="F9039">
        <f>HYPERLINK("https://www.reddit.com/r/cancer/comments/gaynta/lost/")</f>
        <v/>
      </c>
      <c r="G9039" t="inlineStr">
        <is>
          <t>2020-04-30 09:13:31</t>
        </is>
      </c>
      <c r="H9039" t="inlineStr"/>
    </row>
    <row r="9040">
      <c r="A9040" t="inlineStr">
        <is>
          <t>gayvr4</t>
        </is>
      </c>
      <c r="B9040" t="inlineStr">
        <is>
          <t>Aid for chemotherapy</t>
        </is>
      </c>
      <c r="C9040" t="inlineStr">
        <is>
          <t>My neighbor has breast cancer and is very needy, if someone with a good heart wants to donate to pay for her chemotherapies, she is very ill and actually needs that, I think many of the People here know the pain of losing a loved one after fighting to the end And I think nobody really wants to go through this situation so I decided to open a Paypal account in case they want to support with whatever
https://www.paypal.me/sebastiianC[sebastiian](https://www.paypal.me/sebastiianC)</t>
        </is>
      </c>
      <c r="D9040" t="n">
        <v>1</v>
      </c>
      <c r="E9040" t="n">
        <v>0</v>
      </c>
      <c r="F9040">
        <f>HYPERLINK("https://www.reddit.com/r/cancer/comments/gayvr4/aid_for_chemotherapy/")</f>
        <v/>
      </c>
      <c r="G9040" t="inlineStr">
        <is>
          <t>2020-04-30 09:24:52</t>
        </is>
      </c>
      <c r="H9040" t="inlineStr"/>
    </row>
    <row r="9041">
      <c r="A9041" t="inlineStr">
        <is>
          <t>gayxiu</t>
        </is>
      </c>
      <c r="B9041" t="inlineStr">
        <is>
          <t>Driving to/from treatments?</t>
        </is>
      </c>
      <c r="C9041" t="inlineStr">
        <is>
          <t>Hi,
I'll be starting radiation and chemo in the next week or two for squamous cell carcinoma(tumors on my tonsil, lower jaw, and back of tongue).   I'm still evaluating first and second opinions and one small factor is distance from my home to treatment.  One facility is about 10 minutes from my house and the other is about 45 minutes.  
Based on what I've read I know my body will be messed up and that everyone is different.  Having said that, what are the probabilities I'll be able to drive to my own appointments?  Ten minutes will be easier when I'm messed up than forty-five minutes.   
Thank-you.</t>
        </is>
      </c>
      <c r="D9041" t="n">
        <v>1</v>
      </c>
      <c r="E9041" t="n">
        <v>14</v>
      </c>
      <c r="F9041">
        <f>HYPERLINK("https://www.reddit.com/r/cancer/comments/gayxiu/driving_tofrom_treatments/")</f>
        <v/>
      </c>
      <c r="G9041" t="inlineStr">
        <is>
          <t>2020-04-30 09:27:30</t>
        </is>
      </c>
      <c r="H9041" t="inlineStr"/>
    </row>
    <row r="9042">
      <c r="A9042" t="inlineStr">
        <is>
          <t>gazfrz</t>
        </is>
      </c>
      <c r="B9042" t="inlineStr">
        <is>
          <t>I left my job due to covid fears</t>
        </is>
      </c>
      <c r="C9042" t="inlineStr">
        <is>
          <t>And I hate it. I lost my long time job this year after 12 years due to budget cuts, and I'm pretty sure it was due to my cancer hurting the health insurance. I got on at a new place in February. They've been ok, still missing my old job but gotta work. Not a bad gig until recently. They laid everyone off for 3 weeks at the beginning, got the small biz grant that says everyone has to come back so we all did full time. 30 people, they had me doing all the sanitizing including bathroom, doing bank runs, supply runs, nobody but me in masks, we ran out of soap and had to use bar soap until I went out, people bringing in food like cookies and candy and all touching it, using my desk when I'm up, just generally acting like this isn't happening. A few days ago I heard a higher up say that if you're weak enough to die from this then you need to just go ahead and get it and die and quit draining the economy. At that point I just said I was sick and left and crafted a nice email to my manager along with a doctor note asking to be furloughed or work remotely, but they if they are unable and need to let me go that is ok too. I don't think there's much I can do remotely. I'll get unemployment either way and be fine and I'm on husband's insurance. I just hate not working, and I keep going between thinking i overreacted and that when this is over I'll be unable to find a job, and thinking I'm not mad enough. Ugh. I hope y'all are staying safe and healthy.</t>
        </is>
      </c>
      <c r="D9042" t="n">
        <v>1</v>
      </c>
      <c r="E9042" t="n">
        <v>5</v>
      </c>
      <c r="F9042">
        <f>HYPERLINK("https://www.reddit.com/r/cancer/comments/gazfrz/i_left_my_job_due_to_covid_fears/")</f>
        <v/>
      </c>
      <c r="G9042" t="inlineStr">
        <is>
          <t>2020-04-30 09:53:40</t>
        </is>
      </c>
      <c r="H9042" t="inlineStr"/>
    </row>
    <row r="9043">
      <c r="A9043" t="inlineStr">
        <is>
          <t>gazlz6</t>
        </is>
      </c>
      <c r="B9043" t="inlineStr">
        <is>
          <t>All I want for Christmas is my two front teeth --&amp;gt; all I want for summer is to not feel sick</t>
        </is>
      </c>
      <c r="C9043" t="inlineStr">
        <is>
          <t>That is all.</t>
        </is>
      </c>
      <c r="D9043" t="n">
        <v>1</v>
      </c>
      <c r="E9043" t="n">
        <v>2</v>
      </c>
      <c r="F9043">
        <f>HYPERLINK("https://www.reddit.com/r/cancer/comments/gazlz6/all_i_want_for_christmas_is_my_two_front_teeth/")</f>
        <v/>
      </c>
      <c r="G9043" t="inlineStr">
        <is>
          <t>2020-04-30 10:02:16</t>
        </is>
      </c>
      <c r="H9043" t="inlineStr"/>
    </row>
    <row r="9044">
      <c r="A9044" t="inlineStr">
        <is>
          <t>gb0dyi</t>
        </is>
      </c>
      <c r="B9044" t="inlineStr">
        <is>
          <t>Worried that I might have Colon Cancer</t>
        </is>
      </c>
      <c r="C9044" t="inlineStr">
        <is>
          <t xml:space="preserve"> 
32M, 197lbs
For about three weeks to a month now, I’ve been having sharp prickly pains all over my stomach. Sometimes in front sometimes on the sides and even a little on the lower back. I would rate these pains as 2 out 10. Sometimes mild and sometimes sharp and surprising but still tolerable. Stomach also feels uncomfortable at night when I lay down. It also growls even though I have eaten dinner that night.
Also having mild diarrhea that sometimes has a lighter then usual color or mucous like consistency (not sure). Also i have been burping a lot and taste acid on the throat sometimes. There are times when I also spot specks of red blood on the feces. Which I also have experienced 1 or 2 times last year.
I have been burping a lot too. I had a mild fever once but never happened again. I’ve been drinking a lot of water because that’s the only good thing to do that i know. It’s very risky to go to the doctor these days because of Covid.
What would your analysis be? And what tests should I undergo. I'm a bit scared of a colonoscopy and may not be financially okay for me to do these days. I feel nervous and depressed about this because if the costliness if ever I do get CC.</t>
        </is>
      </c>
      <c r="D9044" t="n">
        <v>1</v>
      </c>
      <c r="E9044" t="n">
        <v>4</v>
      </c>
      <c r="F9044">
        <f>HYPERLINK("https://www.reddit.com/r/cancer/comments/gb0dyi/worried_that_i_might_have_colon_cancer/")</f>
        <v/>
      </c>
      <c r="G9044" t="inlineStr">
        <is>
          <t>2020-04-30 10:42:01</t>
        </is>
      </c>
      <c r="H9044" t="inlineStr"/>
    </row>
    <row r="9045">
      <c r="A9045" t="inlineStr">
        <is>
          <t>gb1p46</t>
        </is>
      </c>
      <c r="B9045" t="inlineStr">
        <is>
          <t>My doctor took a biopsy of my mole, and I'm hoping for some advice.</t>
        </is>
      </c>
      <c r="C9045" t="inlineStr">
        <is>
          <t>Hey guys, I'm not a regular at all on this sub, but I'm hoping I can get some advice from people who are more familiar than me.
I went to my general practitioner today after noticing a mole on my left arm on Saturday. It's small and not incredibly gnarly-looking, but it's slightly raised, has a red base, and somewhat irregular edges. She took one look at it and said "yeah, we should biopsy that," and 20 minutes later I was all set and told that I would get the results in about a week.
I have no idea whether the mere fact that she took a biopsy means I should be worried or scared, or if this is just a regular occurrence with a low chance of it actually being cancer. Does anyone have similar experience, or know whether or not this warrants great concern? I feel pretty rattled, and I just want to know how worried I should be.
Thank you in advance.</t>
        </is>
      </c>
      <c r="D9045" t="n">
        <v>1</v>
      </c>
      <c r="E9045" t="n">
        <v>2</v>
      </c>
      <c r="F9045">
        <f>HYPERLINK("https://www.reddit.com/r/cancer/comments/gb1p46/my_doctor_took_a_biopsy_of_my_mole_and_im_hoping/")</f>
        <v/>
      </c>
      <c r="G9045" t="inlineStr">
        <is>
          <t>2020-04-30 11:49:48</t>
        </is>
      </c>
      <c r="H9045" t="inlineStr"/>
    </row>
    <row r="9046">
      <c r="A9046" t="inlineStr">
        <is>
          <t>gb1sez</t>
        </is>
      </c>
      <c r="B9046" t="inlineStr">
        <is>
          <t>Agonising wait for colonoscopy</t>
        </is>
      </c>
      <c r="C9046" t="inlineStr">
        <is>
          <t>Hi all,
I'm due to have a colonoscopy on Sunday following some symptoms that managed to avoid my detection for months, if not longer.
I've had very flat stools for ages. They look a little thicker than a pencil, but as wide as a regular stool. They're more often than not soft and mushy too. Occasionally I'll get diarrhoea but never constipation. 
I've had mucus on the paper when wiping, mild left-sided discomfort and the thing that really set my mind racing was a significant amount of blood on my stool/toilet paper a couple of weeks ago.
I've had mild bleeding for a while, always on the toilet paper but I always put it down to hemorrhoids or a small tear.
I've also had awful reflux/indigestion/bloating on and off for over two years.
I'm 27/M and my anxiety is through the roof.
I don't really know what the aim of my post is. I'm just so scared.</t>
        </is>
      </c>
      <c r="D9046" t="n">
        <v>1</v>
      </c>
      <c r="E9046" t="n">
        <v>27</v>
      </c>
      <c r="F9046">
        <f>HYPERLINK("https://www.reddit.com/r/cancer/comments/gb1sez/agonising_wait_for_colonoscopy/")</f>
        <v/>
      </c>
      <c r="G9046" t="inlineStr">
        <is>
          <t>2020-04-30 11:54:35</t>
        </is>
      </c>
      <c r="H9046" t="inlineStr"/>
    </row>
    <row r="9047">
      <c r="A9047" t="inlineStr">
        <is>
          <t>gb2v9b</t>
        </is>
      </c>
      <c r="B9047" t="inlineStr">
        <is>
          <t>Stage 1 Esophageal Cancer</t>
        </is>
      </c>
      <c r="C9047" t="inlineStr">
        <is>
          <t>Hi all, my dad was diagnosed with stage 1 esophageal cancer as of early last week... he’s been admitted to the hospital (needed to be picked up by ambulance) and was supposed to start chemo on Monday but his stint in his throat clotted and also a stomach clot. Long story short it’s spread to his lungs and liver. I live in Israel and he has no relationship with his grand-daughter, he has no one. A love-less relationship with my mom, they’re simply room mates. Anyway, looking to pick your brain during this crazy scary time of COVID-19... do you think I should go home and with my daughter? Unfortunately English is my moms second language and she isn’t the brightest, her navigating this entire process has been extremely difficult and my poor dad has no energy to deal. Just wanted honest feedback as to what you’d do and what knowledge you have of stage 1 one week then having it spread to lungs and liver. Thanks</t>
        </is>
      </c>
      <c r="D9047" t="n">
        <v>1</v>
      </c>
      <c r="E9047" t="n">
        <v>4</v>
      </c>
      <c r="F9047">
        <f>HYPERLINK("https://www.reddit.com/r/cancer/comments/gb2v9b/stage_1_esophageal_cancer/")</f>
        <v/>
      </c>
      <c r="G9047" t="inlineStr">
        <is>
          <t>2020-04-30 12:51:44</t>
        </is>
      </c>
      <c r="H9047" t="inlineStr"/>
    </row>
    <row r="9048">
      <c r="A9048" t="inlineStr">
        <is>
          <t>gb4ixc</t>
        </is>
      </c>
      <c r="B9048" t="inlineStr">
        <is>
          <t>Cancer gave me a reminder that my life hasn’t been exactly a success story.</t>
        </is>
      </c>
      <c r="C9048" t="inlineStr">
        <is>
          <t>I’m 34 and I’m winning my battle with cancer. As far as I know from the last scans, all the tumours have gone. It’s melanoma so it has a habit of making another appearance.
But sometimes I get depressed as I’ve had a lot of time to think and reflect. I’ve never really been in love, and the relationships I’ve had have been shallow. I don’t really have many “real” friends. I also never been able ( I tried ) to reconcile with my father.
I feel alone at times, since my mum is an alcoholic and my brother lives thousands of miles away.
I spent part of my childhood in foster and children’s homes and wasted my twenties with alcoholism and being a very bitter and angry young man.
When I was first diagnosed with cancer 6 yrs ago and had the mole removed, I thought I dodged a bullet and it gave me a wake up call, I stopped drinking and managed to hold a job down and a permanent residence. 
Unfortunately my cancer metastasized 2 yrs ago and it’s spread everywhere. I felt comfort in a strange way that my life was coming to an end as I was and still am a unhappy person.
But I managed to come through and cancer free now, since I did everything I could to beat the cancer.
I probably sound like someone who feels sorry for themselves (I don’t) and lots of people including the doctors have told me I’m very brave and handled it very well. Not once have I broke down in tears “not saying that’s a good thing”.
I can be quite charismatic but I just find it very hard to connect with people on a deep level. 
Maybe I’m rambling but I just don’t want to waste the rest of my life of what’s left of it.</t>
        </is>
      </c>
      <c r="D9048" t="n">
        <v>1</v>
      </c>
      <c r="E9048" t="n">
        <v>0</v>
      </c>
      <c r="F9048">
        <f>HYPERLINK("https://www.reddit.com/r/cancer/comments/gb4ixc/cancer_gave_me_a_reminder_that_my_life_hasnt_been/")</f>
        <v/>
      </c>
      <c r="G9048" t="inlineStr">
        <is>
          <t>2020-04-30 14:19:02</t>
        </is>
      </c>
      <c r="H9048" t="inlineStr"/>
    </row>
    <row r="9049">
      <c r="A9049" t="inlineStr">
        <is>
          <t>gb4jfk</t>
        </is>
      </c>
      <c r="B9049" t="inlineStr">
        <is>
          <t>I am lost and tired!!</t>
        </is>
      </c>
      <c r="C9049" t="inlineStr">
        <is>
          <t>I was diagnosed with acute leukemia (ALL B-cell) about a year ago. After almost a year of chemo, 8 rounds, I relapsed a couple of days ago. Although they are still doing test, it is pretty obvious that it is for what course they want to take.
I am 27 year old male and just tired of it, I didn’t even get a few months of normal life before it came back. It just came back immediately as soon as the treatment ended. I think doctors are probably going to take the route of stem cell transplant. I am terrified of getting GVHD. I am thinking about not to get any treatment, because whats the point if it keeps coming back? I was looking into hospice care, can I opt out for that? If anyone has info please let me know. I am tired, I am so tired of this constant battle, I just want to go to sleep. I didn’t even get to live my peak age, wish there was a restart button like in video games!</t>
        </is>
      </c>
      <c r="D9049" t="n">
        <v>1</v>
      </c>
      <c r="E9049" t="n">
        <v>19</v>
      </c>
      <c r="F9049">
        <f>HYPERLINK("https://www.reddit.com/r/cancer/comments/gb4jfk/i_am_lost_and_tired/")</f>
        <v/>
      </c>
      <c r="G9049" t="inlineStr">
        <is>
          <t>2020-04-30 14:19:41</t>
        </is>
      </c>
      <c r="H9049" t="inlineStr"/>
    </row>
    <row r="9050">
      <c r="A9050" t="inlineStr">
        <is>
          <t>gb4m4h</t>
        </is>
      </c>
      <c r="B9050" t="inlineStr">
        <is>
          <t>starting our journey with keytruda</t>
        </is>
      </c>
      <c r="C9050" t="inlineStr">
        <is>
          <t>hi everyone, my dad has stage 4 nsclc with brain Mets diagnosed about 2 months ago. the brain Mets are dealt with and under control after a few radiations sessions. he tested positive for pdl1 with a 90+ percent so the oncologist recommended immunotherapy.
and so we embarked on our 5 session journey. he recieved his first dose 5 days ago and so far he is just having fever like symptoms (chills, loss of appetite, shortness of breath". does anyone have any experience to share with keytruda? I've read many things and it seems like the first dose is the worse? The nurses aren't helpful cause they say everyone reacts to it differently. I understand this drug is relatively new but I've also read good and hopeful things regarding it. the doctor said with such a high pdl1 that it is ok to be a bit more hopeful. I'm always keeping my expectations in check but I can't help but feel hopeful! 
Thank you all</t>
        </is>
      </c>
      <c r="D9050" t="n">
        <v>1</v>
      </c>
      <c r="E9050" t="n">
        <v>7</v>
      </c>
      <c r="F9050">
        <f>HYPERLINK("https://www.reddit.com/r/cancer/comments/gb4m4h/starting_our_journey_with_keytruda/")</f>
        <v/>
      </c>
      <c r="G9050" t="inlineStr">
        <is>
          <t>2020-04-30 14:23:34</t>
        </is>
      </c>
      <c r="H9050" t="inlineStr"/>
    </row>
    <row r="9051">
      <c r="A9051" t="inlineStr">
        <is>
          <t>gb665j</t>
        </is>
      </c>
      <c r="B9051" t="inlineStr">
        <is>
          <t>Colonoscopy biopsies.</t>
        </is>
      </c>
      <c r="C9051" t="inlineStr">
        <is>
          <t>So I had my first colonoscopy today, the clinic was fairly segregated due to the whole covid 19 thing. 
After waking up from the procedure the nurse told me they didn't find any polyps, but my chart indicated that multiple biopsies had been taken.
I asked what the biopsies were taken of, and she said she didn't know. 
I'm just curious if they would tell me immediately if they found a mass or not. Why would they take tissue samples if they didn't find any polyps? What would they take tissue samples of? My follow up is in 3-4 weeks and it's extremely frustrating that the doctor has given me zero information about my colonoscopy. 
Has anyone experienced anything similar?</t>
        </is>
      </c>
      <c r="D9051" t="n">
        <v>1</v>
      </c>
      <c r="E9051" t="n">
        <v>5</v>
      </c>
      <c r="F9051">
        <f>HYPERLINK("https://www.reddit.com/r/cancer/comments/gb665j/colonoscopy_biopsies/")</f>
        <v/>
      </c>
      <c r="G9051" t="inlineStr">
        <is>
          <t>2020-04-30 15:47:16</t>
        </is>
      </c>
      <c r="H9051" t="inlineStr"/>
    </row>
    <row r="9052">
      <c r="A9052" t="inlineStr">
        <is>
          <t>gb6b1n</t>
        </is>
      </c>
      <c r="B9052" t="inlineStr">
        <is>
          <t>How do you deal with the loss of a loved one?</t>
        </is>
      </c>
      <c r="C9052" t="inlineStr">
        <is>
          <t>Just lost my dad. He’s my best friend, my everything. I wanted him to see me graduate from college. I wanted to hug and kiss him every night even when I turn 40 years old. I wanted him to walk me down the isle during my wedding ceremony. I wanted him to win so badly against cancer. And you know what? Chemotherapy was working. His tumor in the lymph nodes (he had stage 4 lung cancer) went down 50 percent. But then he got pneumonia in both lungs and couldn’t fight it anymore. Today was his burial and it still feels unreal
However one thing that sets me free or makes me feel relieved is that my dad knew that out of everyone in this world I loved him the most. He knew I was crazy for him. And he was in so much pain before he passed away, but now he can sleep peacefully. I miss my dad so much. I’m also worried about my mom and brother especially mom. Mom can’t hear and all of her family members are far away. My dad was the only person she talked with really. She told me she won’t ever get adjusted to the loss of dad, how can I support her?</t>
        </is>
      </c>
      <c r="D9052" t="n">
        <v>1</v>
      </c>
      <c r="E9052" t="n">
        <v>4</v>
      </c>
      <c r="F9052">
        <f>HYPERLINK("https://www.reddit.com/r/cancer/comments/gb6b1n/how_do_you_deal_with_the_loss_of_a_loved_one/")</f>
        <v/>
      </c>
      <c r="G9052" t="inlineStr">
        <is>
          <t>2020-04-30 15:54:47</t>
        </is>
      </c>
      <c r="H9052" t="inlineStr"/>
    </row>
    <row r="9053">
      <c r="A9053" t="inlineStr">
        <is>
          <t>gb75kp</t>
        </is>
      </c>
      <c r="B9053" t="inlineStr">
        <is>
          <t>Signet Ring Cell Survivors Out There?</t>
        </is>
      </c>
      <c r="C9053" t="inlineStr">
        <is>
          <t>Anyone here survived any sort of Signet Ring Cell Cancer?</t>
        </is>
      </c>
      <c r="D9053" t="n">
        <v>1</v>
      </c>
      <c r="E9053" t="n">
        <v>5</v>
      </c>
      <c r="F9053">
        <f>HYPERLINK("https://www.reddit.com/r/cancer/comments/gb75kp/signet_ring_cell_survivors_out_there/")</f>
        <v/>
      </c>
      <c r="G9053" t="inlineStr">
        <is>
          <t>2020-04-30 16:42:10</t>
        </is>
      </c>
      <c r="H9053" t="inlineStr"/>
    </row>
    <row r="9054">
      <c r="A9054" t="inlineStr">
        <is>
          <t>gb8ang</t>
        </is>
      </c>
      <c r="B9054" t="inlineStr">
        <is>
          <t>Naming your Tumor</t>
        </is>
      </c>
      <c r="C9054" t="inlineStr">
        <is>
          <t>Recently discovered I have a benign bone tumor, and looking for ideas on what to name it. Anyone here name their tumor or got ideas for a name?</t>
        </is>
      </c>
      <c r="D9054" t="n">
        <v>1</v>
      </c>
      <c r="E9054" t="n">
        <v>13</v>
      </c>
      <c r="F9054">
        <f>HYPERLINK("https://www.reddit.com/r/cancer/comments/gb8ang/naming_your_tumor/")</f>
        <v/>
      </c>
      <c r="G9054" t="inlineStr">
        <is>
          <t>2020-04-30 17:48:17</t>
        </is>
      </c>
      <c r="H9054" t="inlineStr"/>
    </row>
    <row r="9055">
      <c r="A9055" t="inlineStr">
        <is>
          <t>gbg1r4</t>
        </is>
      </c>
      <c r="B9055" t="inlineStr">
        <is>
          <t>Not sure how to deal with these feelings and I’m a little worried.</t>
        </is>
      </c>
      <c r="C9055" t="inlineStr">
        <is>
          <t>My mom got diagnosed with pancreatic cancer close to a year ago and unfortunately it recently spread. I’ve never been the type of person to cry much but I have yet to cry just once over this. I’m almost certain she’s coming down to her last few months and it still hasn’t hit me. Should I be worried or is this common to deal with?</t>
        </is>
      </c>
      <c r="D9055" t="n">
        <v>1</v>
      </c>
      <c r="E9055" t="n">
        <v>11</v>
      </c>
      <c r="F9055">
        <f>HYPERLINK("https://www.reddit.com/r/cancer/comments/gbg1r4/not_sure_how_to_deal_with_these_feelings_and_im_a/")</f>
        <v/>
      </c>
      <c r="G9055" t="inlineStr">
        <is>
          <t>2020-05-01 04:01:15</t>
        </is>
      </c>
      <c r="H9055" t="inlineStr"/>
    </row>
    <row r="9056">
      <c r="A9056" t="inlineStr">
        <is>
          <t>gbjmov</t>
        </is>
      </c>
      <c r="B9056" t="inlineStr">
        <is>
          <t>Thank you gift ideas - boyfriend (31M) has been my rock and I want to show my thanks</t>
        </is>
      </c>
      <c r="C9056" t="inlineStr">
        <is>
          <t>30F have been fighting cancer and believe the worst is over (just finishing treatment). My bf 31M has been so supportive all along the way and I can tell it's wearing on him. I want to give back to show I appreciate his support but dont know how. I'm not an intuitive gift giver. Some people are naturally good at coming up with the sweetest gifts..I'm not. I should add that my boyfriend is also relatively well off and just buys whatever he needs, so this is where the creative department comes in. 
Ideas for a thank you gift would be appreciated, thanks!!</t>
        </is>
      </c>
      <c r="D9056" t="n">
        <v>1</v>
      </c>
      <c r="E9056" t="n">
        <v>7</v>
      </c>
      <c r="F9056">
        <f>HYPERLINK("https://www.reddit.com/r/cancer/comments/gbjmov/thank_you_gift_ideas_boyfriend_31m_has_been_my/")</f>
        <v/>
      </c>
      <c r="G9056" t="inlineStr">
        <is>
          <t>2020-05-01 07:58:34</t>
        </is>
      </c>
      <c r="H9056" t="inlineStr"/>
    </row>
    <row r="9057">
      <c r="A9057" t="inlineStr">
        <is>
          <t>gbl737</t>
        </is>
      </c>
      <c r="B9057" t="inlineStr">
        <is>
          <t>Elephant genetics</t>
        </is>
      </c>
      <c r="C9057" t="inlineStr">
        <is>
          <t>Due to the genetics of the elephants, they rarely develop any type of cancer. Would it be possible to use these genes to decrease the probability for humans to develop this disease?</t>
        </is>
      </c>
      <c r="D9057" t="n">
        <v>1</v>
      </c>
      <c r="E9057" t="n">
        <v>3</v>
      </c>
      <c r="F9057">
        <f>HYPERLINK("https://www.reddit.com/r/cancer/comments/gbl737/elephant_genetics/")</f>
        <v/>
      </c>
      <c r="G9057" t="inlineStr">
        <is>
          <t>2020-05-01 09:22:52</t>
        </is>
      </c>
      <c r="H9057" t="inlineStr"/>
    </row>
    <row r="9058">
      <c r="A9058" t="inlineStr">
        <is>
          <t>gblrdr</t>
        </is>
      </c>
      <c r="B9058" t="inlineStr">
        <is>
          <t>Zyceva 150</t>
        </is>
      </c>
      <c r="C9058" t="inlineStr">
        <is>
          <t>Does anyone know zyceva? Is this a good meds for stahe 4 lung cancer? And anyone knows how much it cost? 
We paid 500$ for a 1 bottle of 30 tabs. And a while ago, i saw online that its price just hovers around 100$. Idk if we got scammed or what. Anyway, thank you.</t>
        </is>
      </c>
      <c r="D9058" t="n">
        <v>1</v>
      </c>
      <c r="E9058" t="n">
        <v>0</v>
      </c>
      <c r="F9058">
        <f>HYPERLINK("https://www.reddit.com/r/cancer/comments/gblrdr/zyceva_150/")</f>
        <v/>
      </c>
      <c r="G9058" t="inlineStr">
        <is>
          <t>2020-05-01 09:53:50</t>
        </is>
      </c>
      <c r="H9058" t="inlineStr"/>
    </row>
    <row r="9059">
      <c r="A9059" t="inlineStr">
        <is>
          <t>gbmgpc</t>
        </is>
      </c>
      <c r="B9059" t="inlineStr">
        <is>
          <t>Chemo mouth</t>
        </is>
      </c>
      <c r="C9059" t="inlineStr">
        <is>
          <t>Would love some advice. A relation has been on a new stronger chemo for a few months now and is struggling to eat because of 'chemo mouth' everything to her is tasting odd. She can handle savoury more than she can sweet and it would be great to hear a few suggestions of what might be a good option for her. Unfortunately, she also is not allowed anything tart as the strength of medication she is on can cause ulcers (oral chemo) would love to hear some peoples experiences of food during this time</t>
        </is>
      </c>
      <c r="D9059" t="n">
        <v>1</v>
      </c>
      <c r="E9059" t="n">
        <v>10</v>
      </c>
      <c r="F9059">
        <f>HYPERLINK("https://www.reddit.com/r/cancer/comments/gbmgpc/chemo_mouth/")</f>
        <v/>
      </c>
      <c r="G9059" t="inlineStr">
        <is>
          <t>2020-05-01 10:31:24</t>
        </is>
      </c>
      <c r="H9059" t="inlineStr"/>
    </row>
    <row r="9060">
      <c r="A9060" t="inlineStr">
        <is>
          <t>gbmxvr</t>
        </is>
      </c>
      <c r="B9060" t="inlineStr">
        <is>
          <t>There's only one thing I can think about, and it's why my mother had to die</t>
        </is>
      </c>
      <c r="C9060" t="inlineStr">
        <is>
          <t>Its nearly a year since we lost her, and I still can't understand why it had to happen. She was 56. At 52 she had pancreatic cancer and barely survived surgery, and then we had a few years before a brain tumour hospitalised her and went from grade 1 to grade 4 within a few months.
 I feel inconsolably angry with the world at this. She was the only member of my family I felt I could count on. The doctors dont even know why she had this but dont think it's genetic. I hated seeing her suffer, and I still don't even really think Ive fully processed that she's gone.
She had her whole retirement ahead of her, seeing me move out (Im in my late 20's and only recently graduated), and seeing her kids get married and have grandchildren. She's been robbed of that and I feel cheated as well.</t>
        </is>
      </c>
      <c r="D9060" t="n">
        <v>1</v>
      </c>
      <c r="E9060" t="n">
        <v>2</v>
      </c>
      <c r="F9060">
        <f>HYPERLINK("https://www.reddit.com/r/cancer/comments/gbmxvr/theres_only_one_thing_i_can_think_about_and_its/")</f>
        <v/>
      </c>
      <c r="G9060" t="inlineStr">
        <is>
          <t>2020-05-01 10:57:24</t>
        </is>
      </c>
      <c r="H9060" t="inlineStr"/>
    </row>
    <row r="9061">
      <c r="A9061" t="inlineStr">
        <is>
          <t>gbocmn</t>
        </is>
      </c>
      <c r="B9061" t="inlineStr">
        <is>
          <t>Teen (13F) embarrassed of my cancer (33F).</t>
        </is>
      </c>
      <c r="C9061" t="inlineStr">
        <is>
          <t>I was diagnosed with leukemia Aug 2019 and had a BMT Dec 2019.  Spend a good 4 1/2 months in the hospital due to complications. 
During that time, my daughter refused to let any of her friends know what was happening at home, and when they found out, she was extremely embarrassed. She said she ‘didn’t want to be known as the girl who’s mom has cancer’. It was quite upsetting to her when the news circulated her school, even though the feedback was sympathetic and supportive.  
Now I’m home and doing well. My hair is just now growing back, and I have dar circles under my eyes, but i no longer scream’CANCER PATIENT!!’ When you look at me.   However, my daughter refuses to participate in any outside activities with me if it’s close to home (walking, riding bikes, etc).  She states it’s because she doesn’t want people to know the sad story of her mom having cancer and she’s embarrassed .  I’ve tried to reason with her by offering to wear a headscarf or a wig, but no luck. She doesn’t want to be seen in public with me. At home, indoors, she’s fine. If I drive 20/30 minutes away to go hiking or whatever with her, she’s fine as now one knows her’. 
She has been in therapy this whole time and her therapist just said to ‘give it time’, as she’s young. 
I know this whole thing has been hard on her and she’s only 13, but Jesus, it absolutely kills me my child feels this way. I don’t really know how to resolve the situation and now that it is getting nicer out, I’d like to be able to go do stuff with her without driving 30 minutes away. 
TL;DR: 13 year old is embarrassed I have cancer.</t>
        </is>
      </c>
      <c r="D9061" t="n">
        <v>1</v>
      </c>
      <c r="E9061" t="n">
        <v>29</v>
      </c>
      <c r="F9061">
        <f>HYPERLINK("https://www.reddit.com/r/cancer/comments/gbocmn/teen_13f_embarrassed_of_my_cancer_33f/")</f>
        <v/>
      </c>
      <c r="G9061" t="inlineStr">
        <is>
          <t>2020-05-01 12:13:44</t>
        </is>
      </c>
      <c r="H9061" t="inlineStr"/>
    </row>
    <row r="9062">
      <c r="A9062" t="inlineStr">
        <is>
          <t>gbp72y</t>
        </is>
      </c>
      <c r="B9062" t="inlineStr">
        <is>
          <t>CSCs</t>
        </is>
      </c>
      <c r="C9062" t="inlineStr">
        <is>
          <t>Hello, I'm actually a biology student and I read that cancer stem cells are more resistant for chemotherapy than others cells but didn't find any detailed explanations about it.
Can someone help me here?
Thanks</t>
        </is>
      </c>
      <c r="D9062" t="n">
        <v>1</v>
      </c>
      <c r="E9062" t="n">
        <v>4</v>
      </c>
      <c r="F9062">
        <f>HYPERLINK("https://www.reddit.com/r/cancer/comments/gbp72y/cscs/")</f>
        <v/>
      </c>
      <c r="G9062" t="inlineStr">
        <is>
          <t>2020-05-01 13:00:19</t>
        </is>
      </c>
      <c r="H9062" t="inlineStr"/>
    </row>
    <row r="9063">
      <c r="A9063" t="inlineStr">
        <is>
          <t>gbpyii</t>
        </is>
      </c>
      <c r="B9063" t="inlineStr">
        <is>
          <t>Lung cancer</t>
        </is>
      </c>
      <c r="C9063" t="inlineStr">
        <is>
          <t xml:space="preserve"> Hello, I am doing a project where I plan to develop a new metod to detect de lung cancer, using canine nouse as basis and because of that I am asking to you for some information you can give to me, everyting its welcome. Thx for reading.</t>
        </is>
      </c>
      <c r="D9063" t="n">
        <v>1</v>
      </c>
      <c r="E9063" t="n">
        <v>1</v>
      </c>
      <c r="F9063">
        <f>HYPERLINK("https://www.reddit.com/r/cancer/comments/gbpyii/lung_cancer/")</f>
        <v/>
      </c>
      <c r="G9063" t="inlineStr">
        <is>
          <t>2020-05-01 13:41:50</t>
        </is>
      </c>
      <c r="H9063" t="inlineStr"/>
    </row>
    <row r="9064">
      <c r="A9064" t="inlineStr">
        <is>
          <t>gbqseb</t>
        </is>
      </c>
      <c r="B9064" t="inlineStr">
        <is>
          <t>I’m looking for some one with a good understanding of oncology, I have questions regarding the nature of my former condition.</t>
        </is>
      </c>
      <c r="C9064" t="inlineStr">
        <is>
          <t>Hi, I am now in remission of pretty rare cancerous condition, I’ve had a lot of questions I haven’t really been to get clear answers to. So if there’s anyone out that there that could please help, reach out, or connect me to some one that could I would be very appreciative. Thank you and good vibes-</t>
        </is>
      </c>
      <c r="D9064" t="n">
        <v>1</v>
      </c>
      <c r="E9064" t="n">
        <v>2</v>
      </c>
      <c r="F9064">
        <f>HYPERLINK("https://www.reddit.com/r/cancer/comments/gbqseb/im_looking_for_some_one_with_a_good_understanding/")</f>
        <v/>
      </c>
      <c r="G9064" t="inlineStr">
        <is>
          <t>2020-05-01 14:26:28</t>
        </is>
      </c>
      <c r="H9064" t="inlineStr"/>
    </row>
    <row r="9065">
      <c r="A9065" t="inlineStr">
        <is>
          <t>gbqywf</t>
        </is>
      </c>
      <c r="B9065" t="inlineStr">
        <is>
          <t>Should I set him free?</t>
        </is>
      </c>
      <c r="C9065" t="inlineStr">
        <is>
          <t>I (36f) have been given 4-5 years to live if the cancer doesn't shrink enough for surgery. 
I have been with my partner (35m) for just under two years. The guilt is eating me alive, I love him so much but I don't want to put him through this. I want him to have a family and live a normal life I can no longer give that to him. 
I'm so stuck as to what to do, I know he'd never leave me so I feel like I have to make the decision. Would it be kinder to let him go? Has anyone else been in this situation, what did you do?</t>
        </is>
      </c>
      <c r="D9065" t="n">
        <v>1</v>
      </c>
      <c r="E9065" t="n">
        <v>24</v>
      </c>
      <c r="F9065">
        <f>HYPERLINK("https://www.reddit.com/r/cancer/comments/gbqywf/should_i_set_him_free/")</f>
        <v/>
      </c>
      <c r="G9065" t="inlineStr">
        <is>
          <t>2020-05-01 14:36:46</t>
        </is>
      </c>
      <c r="H9065" t="inlineStr"/>
    </row>
    <row r="9066">
      <c r="A9066" t="inlineStr">
        <is>
          <t>gbrsa9</t>
        </is>
      </c>
      <c r="B9066" t="inlineStr">
        <is>
          <t>Survivor’s guilty?</t>
        </is>
      </c>
      <c r="C9066" t="inlineStr">
        <is>
          <t>Hi all,
About two months ago I received the call I’ve been eager for since I got diagnosed. I’m free of cancer! Great news, and I am loving seeing my hair and beard grow back!
Though, a colleague of mine is also battling cancer. A completely different kind of cancer than mine. I had a non-Hodgkin Lymphoma (stage 4B), and he has colon and liver cancer (stage 4). He was diagnosed way before me, and now it seems things are not going that well for him. Not well at all. They are trying another treatment, after all the previous ones failed, and either that works or he should be prepared for the worse.
A few years ago another friend of mine passed away at a very young age also of cancer, and back then I knew all I could do was being there for her. Which I did. She passed away, I was obviously really sad, but I never felt guilty for not doing more. 
However now I feel guilty. I even felt embarrassed for sharing with him my good news. When I text him every now and then, I don’t dismiss any topic, if he wants to talk we talk. I am doing with him what I felt I needed the most during my treatments, someone checking on me every now and then and not being afraid of the word cancer and the possible outcomes. Just being there, that’s all I wanted back then, so I am trying to do the same without being too much. We were never close friends, but I have a lot of empathy for what’s happening with him.
The reason why I mentioned the other friend is that with her I was close with. And I never felt any kind of guilt. Now I do, even a bit of embarrassment for surviving my battle. I know this is normal, I am even being followed by a counselor who keeps telling me that this is absolutely normal. But it still bothers me a lot. I am aware of everything, even that this is a survivor’s guilt syndrome. And being so aware of this upsets me even more. Why am I letting this bother me so much?</t>
        </is>
      </c>
      <c r="D9066" t="n">
        <v>1</v>
      </c>
      <c r="E9066" t="n">
        <v>6</v>
      </c>
      <c r="F9066">
        <f>HYPERLINK("https://www.reddit.com/r/cancer/comments/gbrsa9/survivors_guilty/")</f>
        <v/>
      </c>
      <c r="G9066" t="inlineStr">
        <is>
          <t>2020-05-01 15:22:22</t>
        </is>
      </c>
      <c r="H9066" t="inlineStr"/>
    </row>
    <row r="9067">
      <c r="A9067" t="inlineStr">
        <is>
          <t>gbs0m0</t>
        </is>
      </c>
      <c r="B9067" t="inlineStr">
        <is>
          <t>Brain tumor or anxiety</t>
        </is>
      </c>
      <c r="C9067" t="inlineStr">
        <is>
          <t>Hi guys i’m 14 years old and ever since quarantine (which for me was march 13th) started my face had like a numb feeling when i touched it. i could feel it just it feels weird idk if that has anything to do with these but yeah. and so a couple weeks ago i developed anxiety i had two attacks within two days, i lost my appetite, and i didn’t feel normal at all i felt like something was wrong which i can’t explain so i took walks every day til i felt good which was about a week then i felt normal again. note that i never had anxiety before this it’s weird i suddenly developed it but i assume its from not being outside since i was so used to it. but i get better until two days ago it came back i had an attack i didn’t not as bad as it was though. and i didn’t feel myself at all i didn’t feel real and i felt like i was going to die. i’m starting to walk again but i’m scared this might be a brain tumor am i just overthinking or not i’m just really worried</t>
        </is>
      </c>
      <c r="D9067" t="n">
        <v>1</v>
      </c>
      <c r="E9067" t="n">
        <v>9</v>
      </c>
      <c r="F9067">
        <f>HYPERLINK("https://www.reddit.com/r/cancer/comments/gbs0m0/brain_tumor_or_anxiety/")</f>
        <v/>
      </c>
      <c r="G9067" t="inlineStr">
        <is>
          <t>2020-05-01 15:35:29</t>
        </is>
      </c>
      <c r="H9067" t="inlineStr"/>
    </row>
    <row r="9068">
      <c r="A9068" t="inlineStr">
        <is>
          <t>gbsdb3</t>
        </is>
      </c>
      <c r="B9068" t="inlineStr">
        <is>
          <t>How do I deal with my dad's Stage 4 cancer diagnosis?</t>
        </is>
      </c>
      <c r="C9068" t="inlineStr">
        <is>
          <t>Close to a year ago now, my dad was diagnosed with two different tumors, both Stage 1. He did several chemotherapy sessions, after which one of the tumors was removed by surgery, with the second one requiring more chemo before it could be removed (I think they used chemo to shrink it, making removal easier or something like that). So, he continued with chemo. Unfortunately, when he went back for surgery, they told him it had spread, that it was Stage 4, and that he could expect to live 3 months to 2 years if he did nothing. Obviously, the surgery did not happen. The doctors said there was nothing they could do.  During a later check-up, they told him that the cancer wasn't spreading and was under control, and that he did not have to do chemo. He is trying this dietary approach to somehow starve the cancer, but I don't know how medically credible this approach is. I don't know where we stand. My dad has become thin and I don't know whether it's the diet or the cancer continue to consume his body or both. I don't know what to expect. Nor do I know what to do. This feels like the toughest situation I have ever had to handle. How should I go about handling this? Is my dad doing the right thing?</t>
        </is>
      </c>
      <c r="D9068" t="n">
        <v>1</v>
      </c>
      <c r="E9068" t="n">
        <v>2</v>
      </c>
      <c r="F9068">
        <f>HYPERLINK("https://www.reddit.com/r/cancer/comments/gbsdb3/how_do_i_deal_with_my_dads_stage_4_cancer/")</f>
        <v/>
      </c>
      <c r="G9068" t="inlineStr">
        <is>
          <t>2020-05-01 15:56:11</t>
        </is>
      </c>
      <c r="H9068" t="inlineStr"/>
    </row>
    <row r="9069">
      <c r="A9069" t="inlineStr">
        <is>
          <t>gbshbo</t>
        </is>
      </c>
      <c r="B9069" t="inlineStr">
        <is>
          <t>Family members isolated along with chemo patients, what's your protocol?</t>
        </is>
      </c>
      <c r="C9069" t="inlineStr">
        <is>
          <t>I'm on day one of isolating along with partner starting 6 months of chemo. I was told late in the game that I cannot go out even for the basics like pharmacy or grocery even if taking scrub in/scrub out approach to being in the home and wear an n95 mask (I have a dozen from before this all started) . I can work from home but will be relying on the kindness of friends and family for things that I'd much rather be able to provide personally. My question is what is your family's approach? I was told if the "seal" is broken  I need to quarantine solo for 2 weeks before returning to the home. I'm weighing risk/reward of going for a road bike ride alone, or taking drives with my partner or alone to places we can certainly be alone. Like do I just wear gloves while pumping gas etc? Looking for practical advice. Thanks!</t>
        </is>
      </c>
      <c r="D9069" t="n">
        <v>1</v>
      </c>
      <c r="E9069" t="n">
        <v>12</v>
      </c>
      <c r="F9069">
        <f>HYPERLINK("https://www.reddit.com/r/cancer/comments/gbshbo/family_members_isolated_along_with_chemo_patients/")</f>
        <v/>
      </c>
      <c r="G9069" t="inlineStr">
        <is>
          <t>2020-05-01 16:02:44</t>
        </is>
      </c>
      <c r="H9069" t="inlineStr"/>
    </row>
    <row r="9070">
      <c r="A9070" t="inlineStr">
        <is>
          <t>gc3zkj</t>
        </is>
      </c>
      <c r="B9070" t="inlineStr">
        <is>
          <t>My (17) Dad (52) diagnosed with terminal Cardiac Angio Sarcoma.</t>
        </is>
      </c>
      <c r="C9070" t="inlineStr">
        <is>
          <t>My dad has just been diagnosed with cardiac Angio Sarcoma, unfortunately he is only aged 52 and I’m aged 17. His is stage 4 and unfortunately is inoperable. He has had 2 sessions of chemotherapy and seems to be reacting well. They have given him 9months if the chemo works but fingers crossed he will last longer than that. As I’m only 17 this will be the first death in my life as 3 of my grandparents died before I was born and the last one is still alive currently. I’m not sure how I’m going to cope losing my dad at this age and how things will change in the future from now on. The good thing we have is time, we can spend as much time together as possible and make the most of it while he is still here. Has anyone got any stories of surviving angio sarcoma when it has spread to the heart and lungs? I’ve heard the survival rate is almost 0% because of how rare the condition is. When he first was taken to hospital he was very very unwell after collapsing but now he’s started chemo he’s really strong and pretty much as strong as he was before he collapsed which seems quite odd as if he chemo has wiped the cancer out completely. He says he doesn’t feel ill at all. However I also don’t want this to give me false hope as the doctors are pretty sure there isn’t anything they can do for him. Does anyone have any advice, support or positive stories they could share? It would really be appreciated during this time.</t>
        </is>
      </c>
      <c r="D9070" t="n">
        <v>1</v>
      </c>
      <c r="E9070" t="n">
        <v>9</v>
      </c>
      <c r="F9070">
        <f>HYPERLINK("https://www.reddit.com/r/cancer/comments/gc3zkj/my_17_dad_52_diagnosed_with_terminal_cardiac/")</f>
        <v/>
      </c>
      <c r="G9070" t="inlineStr">
        <is>
          <t>2020-05-02 03:01:49</t>
        </is>
      </c>
      <c r="H9070" t="inlineStr"/>
    </row>
    <row r="9071">
      <c r="A9071" t="inlineStr">
        <is>
          <t>gc4uvm</t>
        </is>
      </c>
      <c r="B9071" t="inlineStr">
        <is>
          <t>Got some good news, and bad</t>
        </is>
      </c>
      <c r="C9071" t="inlineStr">
        <is>
          <t>I (32F) recently finished neoadjuvant chemotherapy for my breast cancer followed by a bilateral mastectomy. In the beginning my treatment response to the chemo was pretty strong. My first 3 series of chemo was a combination of epirubicin and cyclophosphamide, they made me feel incredibly shitty, but they worked. For my final 3 series they gave me paclitaxel, and unfortunately it wasn’t as effective. Because of the early successes I had my hopes up. They said that if the tumors (2 tumors, one triple negative and one HER2 positive) were gone after NACT, I wouldn’t need a second round of chemo. Otherwise I would need 8 more series of chemo. 
Yesterday I saw the results after my mastectomy, and both tumors, although definitely smaller, they’re still there. I’ll know more about what to expect after my appointment next week. I’m pretty sure my next round of chemo will be in pill form. My oncology nurse told me the side effects aren’t as bad, when it’s pills. So that’s some consolation, I guess. 
I’m really tired. I just wanted to get that off my chest. 
The good news is that there are no metastases in my lymph nodes. Thankfully. I was really worried there would be. At least now I’m pretty sure that once I finish the new chemo (and immunotherapy), that’s it. 
And a question: anyone tried chemo in pill form? How was it?</t>
        </is>
      </c>
      <c r="D9071" t="n">
        <v>1</v>
      </c>
      <c r="E9071" t="n">
        <v>7</v>
      </c>
      <c r="F9071">
        <f>HYPERLINK("https://www.reddit.com/r/cancer/comments/gc4uvm/got_some_good_news_and_bad/")</f>
        <v/>
      </c>
      <c r="G9071" t="inlineStr">
        <is>
          <t>2020-05-02 04:22:05</t>
        </is>
      </c>
      <c r="H9071" t="inlineStr"/>
    </row>
    <row r="9072">
      <c r="A9072" t="inlineStr">
        <is>
          <t>gc697z</t>
        </is>
      </c>
      <c r="B9072" t="inlineStr">
        <is>
          <t>Jaw numbness as a side effect - anyone dealt with it?</t>
        </is>
      </c>
      <c r="C9072" t="inlineStr">
        <is>
          <t>Hey all. Back in December, I was diagnosed with a grade 2 diffuse astrocytoma near my cerebellum. Since then, I've undergone a surgery to have a shunt installed, as well as concurrent radiotherapy and chemotherapy in January. However, after the concurrent therapies, the right side of my jaw has felt like it's been frozen by anesthesia. Has anyone else dealt with this?</t>
        </is>
      </c>
      <c r="D9072" t="n">
        <v>1</v>
      </c>
      <c r="E9072" t="n">
        <v>3</v>
      </c>
      <c r="F9072">
        <f>HYPERLINK("https://www.reddit.com/r/cancer/comments/gc697z/jaw_numbness_as_a_side_effect_anyone_dealt_with_it/")</f>
        <v/>
      </c>
      <c r="G9072" t="inlineStr">
        <is>
          <t>2020-05-02 06:13:34</t>
        </is>
      </c>
      <c r="H9072" t="inlineStr"/>
    </row>
    <row r="9073">
      <c r="A9073" t="inlineStr">
        <is>
          <t>gc6vio</t>
        </is>
      </c>
      <c r="B9073" t="inlineStr">
        <is>
          <t>Metastatic liver cancer (confirmed spread to spine and lungs)</t>
        </is>
      </c>
      <c r="C9073" t="inlineStr">
        <is>
          <t>Hello all, 
May I pick your brains for some answers or possibilities. My sister just had to go to hospital for the fourth time this week since the return of her cancer. This morning she lost the ability to speak and her left side if her body went numb and her head started to shake involuntarily. 
She hasn’t yet had her first round of chemo. 
Help please.</t>
        </is>
      </c>
      <c r="D9073" t="n">
        <v>1</v>
      </c>
      <c r="E9073" t="n">
        <v>7</v>
      </c>
      <c r="F9073">
        <f>HYPERLINK("https://www.reddit.com/r/cancer/comments/gc6vio/metastatic_liver_cancer_confirmed_spread_to_spine/")</f>
        <v/>
      </c>
      <c r="G9073" t="inlineStr">
        <is>
          <t>2020-05-02 06:56:44</t>
        </is>
      </c>
      <c r="H9073" t="inlineStr"/>
    </row>
    <row r="9074">
      <c r="A9074" t="inlineStr">
        <is>
          <t>gc7l0v</t>
        </is>
      </c>
      <c r="B9074" t="inlineStr">
        <is>
          <t>How do you deal with family members putting themselves at risk while you live with them?</t>
        </is>
      </c>
      <c r="C9074" t="inlineStr">
        <is>
          <t>So my dad has stage IV cancer and I am currently living at home.   My field is in healthcare, so I've studied disease transmission extensively and can't be blasé about his increased risk.  My parents have been working from home and washing their hands religiously basically since mid-March, but they frequently take actions that increase my dad's risk of catching covid.    
They have their friends over once or twice a week and often don't maintain 6 ft distance.   My dad still insists on going to crowded stores or getting our takeout instead of letting me go, and I've only just now convinced them to wear masks.   I've seen my stepmom come in from going to the store, wipe her face without washing her hands then touch a bunch of stuff at the house.   My cousin has been visiting for multiple hours at a time and he's currently living with someone who has treated a positive covid patient (with PPE).  We've been okay so far, but every couple weeks I reach a breaking point and need to talk about it.   
This post is definitely venting, and my friends have been very supportive through all of this.  It's just so hard to recognize that I have no control over their actions beyond trying to educate and the risk they want to take is ultimately up to them.   I'm sure my dad's prognosis has a role too, given that if he's currently dying it likely changes his perspective on risk of death.   Part of me feels selfish for being so strict about it but it feels like I'm the only one taking this seriously.  But also if these are his final months - years I want him to have fun and spend more time with loved ones.  Is anyone else dealing with something similar?</t>
        </is>
      </c>
      <c r="D9074" t="n">
        <v>1</v>
      </c>
      <c r="E9074" t="n">
        <v>5</v>
      </c>
      <c r="F9074">
        <f>HYPERLINK("https://www.reddit.com/r/cancer/comments/gc7l0v/how_do_you_deal_with_family_members_putting/")</f>
        <v/>
      </c>
      <c r="G9074" t="inlineStr">
        <is>
          <t>2020-05-02 07:43:32</t>
        </is>
      </c>
      <c r="H9074" t="inlineStr"/>
    </row>
    <row r="9075">
      <c r="A9075" t="inlineStr">
        <is>
          <t>gcabg0</t>
        </is>
      </c>
      <c r="B9075" t="inlineStr">
        <is>
          <t>How does cancer actually kill?</t>
        </is>
      </c>
      <c r="C9075" t="inlineStr">
        <is>
          <t>I'm in remission from stage 3 uterine cancer. I honestly felt fine except for the bleeding that prompted the diagnosis. I already was post menopausal, so now I'm honestly thinking so what if I had never gotten myself to a doctor. So what if I just let it go to "stage 4"? Then what? I don't need my reproductive organs. The tumor never physically bothered me, I almost regret getting diagnosed because a hysterectomy wasn't enough. I HAD to get chemo or the "cancer will come back". Really? I only ask because it's been 2 years now &amp;amp; I haven't had a decent day since. Always sick. Chemo ruined my stomach &amp;amp; I can't digest food properly now. I'm sorry friends but I am always angry about my neverending nausea. Forgive me if I don't respond promptly as I'm having another lousy day!</t>
        </is>
      </c>
      <c r="D9075" t="n">
        <v>1</v>
      </c>
      <c r="E9075" t="n">
        <v>40</v>
      </c>
      <c r="F9075">
        <f>HYPERLINK("https://www.reddit.com/r/cancer/comments/gcabg0/how_does_cancer_actually_kill/")</f>
        <v/>
      </c>
      <c r="G9075" t="inlineStr">
        <is>
          <t>2020-05-02 10:30:41</t>
        </is>
      </c>
      <c r="H9075" t="inlineStr"/>
    </row>
    <row r="9076">
      <c r="A9076" t="inlineStr">
        <is>
          <t>gccl7f</t>
        </is>
      </c>
      <c r="B9076" t="inlineStr">
        <is>
          <t>Terrified of losing my eye</t>
        </is>
      </c>
      <c r="C9076" t="inlineStr">
        <is>
          <t>I (26/f) have recently been diagnosed with ocular melanoma. I’ve had my first treatment but I can tell it hasn’t responded as I can still see the flashing indicating the tumour is still there. 
I’m very lucky in the sense that the tumour hasn’t yet spread. However, there’s a possibility that if the cancer fails to respond that I will have to have the eye removed. I’m already very insecure and suffer with depression. I feel as though if this were to happen, it’d just push me over the edge. I can’t sleep as I’m sick with worry. It seems so superficial and petty I know, but I don’t think my mental health could handle it. I can’t sleep and my check up for discussion of next options isn’t for weeks. I’m going insane</t>
        </is>
      </c>
      <c r="D9076" t="n">
        <v>3</v>
      </c>
      <c r="E9076" t="n">
        <v>31</v>
      </c>
      <c r="F9076">
        <f>HYPERLINK("https://www.reddit.com/r/cancer/comments/gccl7f/terrified_of_losing_my_eye/")</f>
        <v/>
      </c>
      <c r="G9076" t="inlineStr">
        <is>
          <t>2020-05-02 12:46:45</t>
        </is>
      </c>
      <c r="H9076" t="inlineStr"/>
    </row>
    <row r="9077">
      <c r="A9077" t="inlineStr">
        <is>
          <t>gcftcc</t>
        </is>
      </c>
      <c r="B9077" t="inlineStr">
        <is>
          <t>Choice in treatment</t>
        </is>
      </c>
      <c r="C9077" t="inlineStr">
        <is>
          <t>Hey all. 2 brief questions.
I was wondering when you're told that you'll be getting palliative chemo, if you had a choice or say in the matter; could you have chosen the curative type ?
My mother's doctor had said that that ship had sailed.
My mother has bowel cancer, stage iv. She has a colostomy bag now, is 6 weeks post op and had her first chemo session 4 days ago with minimal side effects so far. She has terrible pain in her shoulder/neck. Painkillers both prescribed and over the counter seem to offer little relief. Is this cancer related, or rather, can it be cancer related?
Thanks for any replies.</t>
        </is>
      </c>
      <c r="D9077" t="n">
        <v>1</v>
      </c>
      <c r="E9077" t="n">
        <v>6</v>
      </c>
      <c r="F9077">
        <f>HYPERLINK("https://www.reddit.com/r/cancer/comments/gcftcc/choice_in_treatment/")</f>
        <v/>
      </c>
      <c r="G9077" t="inlineStr">
        <is>
          <t>2020-05-02 16:01:39</t>
        </is>
      </c>
      <c r="H9077" t="inlineStr"/>
    </row>
    <row r="9078">
      <c r="A9078" t="inlineStr">
        <is>
          <t>gcg8mv</t>
        </is>
      </c>
      <c r="B9078" t="inlineStr">
        <is>
          <t>What does neuropathy feel like?</t>
        </is>
      </c>
      <c r="C9078" t="inlineStr">
        <is>
          <t>I’m currently on chemo treatments of gemzar and cisplatin. My doctor had mentioned that neuropathy can be a symptom. The problem is- I don’t know if I have it or if my fingers are just falling asleep. 
I’ve noticed more and more lately that my pinky and ring fingers on my left hand are getting tingly (it just feels like they’re falling asleep). It’s normally off and on in pretty quick bursts for a few days after chemo. 
Is this neuropathy?</t>
        </is>
      </c>
      <c r="D9078" t="n">
        <v>1</v>
      </c>
      <c r="E9078" t="n">
        <v>14</v>
      </c>
      <c r="F9078">
        <f>HYPERLINK("https://www.reddit.com/r/cancer/comments/gcg8mv/what_does_neuropathy_feel_like/")</f>
        <v/>
      </c>
      <c r="G9078" t="inlineStr">
        <is>
          <t>2020-05-02 16:28:51</t>
        </is>
      </c>
      <c r="H9078" t="inlineStr"/>
    </row>
    <row r="9079">
      <c r="A9079" t="inlineStr">
        <is>
          <t>gcike6</t>
        </is>
      </c>
      <c r="B9079" t="inlineStr">
        <is>
          <t>Is there a standard for life expectancy for treatment versus no treatment?</t>
        </is>
      </c>
      <c r="C9079" t="inlineStr">
        <is>
          <t>My mother told me that her doctor said she would have 3 months to live without treatment; however she will not give me a straight answer on how long they think she will live with treatment. She doesn’t want me to worry but not knowing is worse for me. I know it’s not exact on life expectancies but I need to figure out arrangements for my father since he isn’t self sufficient anymore.</t>
        </is>
      </c>
      <c r="D9079" t="n">
        <v>1</v>
      </c>
      <c r="E9079" t="n">
        <v>9</v>
      </c>
      <c r="F9079">
        <f>HYPERLINK("https://www.reddit.com/r/cancer/comments/gcike6/is_there_a_standard_for_life_expectancy_for/")</f>
        <v/>
      </c>
      <c r="G9079" t="inlineStr">
        <is>
          <t>2020-05-02 19:03:15</t>
        </is>
      </c>
      <c r="H9079" t="inlineStr"/>
    </row>
    <row r="9080">
      <c r="A9080" t="inlineStr">
        <is>
          <t>gck2xc</t>
        </is>
      </c>
      <c r="B9080" t="inlineStr">
        <is>
          <t>My father was just diagnosed with bone cancer at 46 years old.</t>
        </is>
      </c>
      <c r="C9080" t="inlineStr">
        <is>
          <t>He will be getting a checkup this week at a highly reccomended doctor so he can find out stage and treatments. 
I am not sure how to feel.</t>
        </is>
      </c>
      <c r="D9080" t="n">
        <v>1</v>
      </c>
      <c r="E9080" t="n">
        <v>1</v>
      </c>
      <c r="F9080">
        <f>HYPERLINK("https://www.reddit.com/r/cancer/comments/gck2xc/my_father_was_just_diagnosed_with_bone_cancer_at/")</f>
        <v/>
      </c>
      <c r="G9080" t="inlineStr">
        <is>
          <t>2020-05-02 20:52:11</t>
        </is>
      </c>
      <c r="H9080" t="inlineStr"/>
    </row>
    <row r="9081">
      <c r="A9081" t="inlineStr">
        <is>
          <t>gclhfu</t>
        </is>
      </c>
      <c r="B9081" t="inlineStr">
        <is>
          <t>Hodgkin's Lymphoma and Pregnancy</t>
        </is>
      </c>
      <c r="C9081" t="inlineStr">
        <is>
          <t>Hello.
My wife was recently diagnosed with Hodgkin's Lymphoma a week ago and is 35 weeks pregnant.  She has been experiencing itching since December due to the disease but it has been brushed off for months as hormones or PUBS.  Finally, about a month ago, lymph nodes in her neck began to swell, she met with a surgeon who ran a biopsy on one and it came back as Hodgkin's Lymphoma.
The surgeon recommended she ask her OB for early delivery so she can begin treatments.  After meeting with the OB later that day, she scheduled us an appointment with a high risk pregnancy doctor this last Friday.  The doctor told my wife that they want to wait until she is full term for delivery and scheduled another meeting in two weeks.
We're concerned about this and are eager to start treatment as soon as possible.  If anyone has experience with this disease we would be grateful to hear what we should do in this situation.  Is there anything we can do?  Is this actually not as dangerous as we think?  She is also experiencing severe itching as I mentioned and I am curious how long after treatments begin do people get relief?
**TL:DR**  Wife is 35 weeks pregnant and has recently been diagnosed with HL while experiencing symptoms for five months.  Doctor wants to wait three to five more weeks before considering induction or c-section.  Should we be concerned waiting that long to begin treatments?  Also, she has severe itching during this time, how long after treatment does the itching tend to subside?
Thank you for reading.</t>
        </is>
      </c>
      <c r="D9081" t="n">
        <v>1</v>
      </c>
      <c r="E9081" t="n">
        <v>14</v>
      </c>
      <c r="F9081">
        <f>HYPERLINK("https://www.reddit.com/r/cancer/comments/gclhfu/hodgkins_lymphoma_and_pregnancy/")</f>
        <v/>
      </c>
      <c r="G9081" t="inlineStr">
        <is>
          <t>2020-05-02 22:47:15</t>
        </is>
      </c>
      <c r="H9081" t="inlineStr"/>
    </row>
    <row r="9082">
      <c r="A9082" t="inlineStr">
        <is>
          <t>gcn7h3</t>
        </is>
      </c>
      <c r="B9082" t="inlineStr">
        <is>
          <t>To anyone having to go through battling cancer during this pandemic and all those around them who are affected by watching them suffer, your feelings are valid and you are loved.</t>
        </is>
      </c>
      <c r="C9082" t="inlineStr">
        <is>
          <t>I don't know who may need to hear this, but yeah as someone who could very well have lost their Granny to cancer 21 months ago if we had been living with the additional stress of the pandemic on health services etc., the fact that there will be people out there currently living my worst nightmare, feels like soneone is punching me in the gut over and over again and my heart is absolutely breaking for each and everyone one of you dealing with this evil monster right now 😢😢💔💔</t>
        </is>
      </c>
      <c r="D9082" t="n">
        <v>1</v>
      </c>
      <c r="E9082" t="n">
        <v>19</v>
      </c>
      <c r="F9082">
        <f>HYPERLINK("https://www.reddit.com/r/cancer/comments/gcn7h3/to_anyone_having_to_go_through_battling_cancer/")</f>
        <v/>
      </c>
      <c r="G9082" t="inlineStr">
        <is>
          <t>2020-05-03 01:34:04</t>
        </is>
      </c>
      <c r="H9082" t="inlineStr"/>
    </row>
    <row r="9083">
      <c r="A9083" t="inlineStr">
        <is>
          <t>gcp2xw</t>
        </is>
      </c>
      <c r="B9083" t="inlineStr">
        <is>
          <t>How long does it take for cancer to go from stage 2 to 4?</t>
        </is>
      </c>
      <c r="C9083" t="inlineStr">
        <is>
          <t>A friend passed away from stage 4 stomach cancer. She felt a mass in her abdomen 1 year before the diagnosis, then died 2 years after that.
 I know it probably varies but is there an approximate timeline?  What stage would it have been if they found it one year earlier?</t>
        </is>
      </c>
      <c r="D9083" t="n">
        <v>1</v>
      </c>
      <c r="E9083" t="n">
        <v>4</v>
      </c>
      <c r="F9083">
        <f>HYPERLINK("https://www.reddit.com/r/cancer/comments/gcp2xw/how_long_does_it_take_for_cancer_to_go_from_stage/")</f>
        <v/>
      </c>
      <c r="G9083" t="inlineStr">
        <is>
          <t>2020-05-03 04:30:24</t>
        </is>
      </c>
      <c r="H9083" t="inlineStr"/>
    </row>
    <row r="9084">
      <c r="A9084" t="inlineStr">
        <is>
          <t>gcumr8</t>
        </is>
      </c>
      <c r="B9084" t="inlineStr">
        <is>
          <t>Any other young adults (mid-/late-twenties) stepping up into a caregiver role for parent with cancer? Seeking support and advice.</t>
        </is>
      </c>
      <c r="C9084" t="inlineStr">
        <is>
          <t>My father was diagnosed with liver cancer in the midst of the current pandemic. My mother, who is an immigrant with limited English-speaking capability, is the only one who lives with him. She suffered her own medical emergency three years ago (traumatic brain injury from a fall) so she has yet to go back to driving, so essentially my dad was the one who drove them both.  
I am an only child who lives in a different timezone. Fortunately, I'm a grad student on a fully-supported fellowship plus living stipend. Because of the universities closing, I've been able to fly back to my parents' state to help them out with driving and doctor's appointments while TA'ing and working virtually.  
This is just a general support post, but if any other young "grown-up" children could chime in with their experiences, I would really appreciate it. If you lived in a different city before your parent's diagnosis, did you move back to his/her city on a more long-term basis? How did you handle the work/job aspect? Anything really.  
Thanks a lot. Just trying to suppress my emotions and help out in whatever ways I can right now.</t>
        </is>
      </c>
      <c r="D9084" t="n">
        <v>1</v>
      </c>
      <c r="E9084" t="n">
        <v>17</v>
      </c>
      <c r="F9084">
        <f>HYPERLINK("https://www.reddit.com/r/cancer/comments/gcumr8/any_other_young_adults_midlatetwenties_stepping/")</f>
        <v/>
      </c>
      <c r="G9084" t="inlineStr">
        <is>
          <t>2020-05-03 10:37:27</t>
        </is>
      </c>
      <c r="H9084" t="inlineStr"/>
    </row>
    <row r="9085">
      <c r="A9085" t="inlineStr">
        <is>
          <t>gcw5er</t>
        </is>
      </c>
      <c r="B9085" t="inlineStr">
        <is>
          <t>Is there any way to tell if someone once had cancer but are now cured or in remission?</t>
        </is>
      </c>
      <c r="C9085" t="inlineStr">
        <is>
          <t>So there’s this guy at my school who often mentions how he recovered from lung cancer but people are aware that he’s somewhat of a pathological liar.
We aren’t really sure if he’s being honest.
Is there any way we would be able to tell if someone once had (lung)cancer but no longer does? Short of directly asking him for medical bills or something.
Are there any signs or permanent side effects we can see in someone that’s fully recovered?</t>
        </is>
      </c>
      <c r="D9085" t="n">
        <v>1</v>
      </c>
      <c r="E9085" t="n">
        <v>9</v>
      </c>
      <c r="F9085">
        <f>HYPERLINK("https://www.reddit.com/r/cancer/comments/gcw5er/is_there_any_way_to_tell_if_someone_once_had/")</f>
        <v/>
      </c>
      <c r="G9085" t="inlineStr">
        <is>
          <t>2020-05-03 12:03:58</t>
        </is>
      </c>
      <c r="H9085" t="inlineStr"/>
    </row>
    <row r="9086">
      <c r="A9086" t="inlineStr">
        <is>
          <t>gcxkrs</t>
        </is>
      </c>
      <c r="B9086" t="inlineStr">
        <is>
          <t>I am writing this on a throwaway account for obvious reasons. So, I have been noticing that my penis kind of hurts in the last few days, and now there's a pretty decent, hard lump on my foreskin that hurts when I touch it, and I'm a bit worried.</t>
        </is>
      </c>
      <c r="C9086" t="inlineStr">
        <is>
          <t>It could be a pimple, although it really doesn't look or feel like it. What do you think I should do?
Ps.: I'm a virgin, so it can't be anything sexually transmitted.</t>
        </is>
      </c>
      <c r="D9086" t="n">
        <v>1</v>
      </c>
      <c r="E9086" t="n">
        <v>1</v>
      </c>
      <c r="F9086">
        <f>HYPERLINK("https://www.reddit.com/r/cancer/comments/gcxkrs/i_am_writing_this_on_a_throwaway_account_for/")</f>
        <v/>
      </c>
      <c r="G9086" t="inlineStr">
        <is>
          <t>2020-05-03 13:27:32</t>
        </is>
      </c>
      <c r="H9086" t="inlineStr"/>
    </row>
    <row r="9087">
      <c r="A9087" t="inlineStr">
        <is>
          <t>gd09s5</t>
        </is>
      </c>
      <c r="B9087" t="inlineStr">
        <is>
          <t>Tired of being exhausted.</t>
        </is>
      </c>
      <c r="C9087" t="inlineStr">
        <is>
          <t>I’m so tired of my body not being able to keep up with me. I know I’m sick, I know I need to rest, and I know I have cancer. 
But I also know that I love hanging out with my friends. I’m happiest when I’m around them, and I’m tired of being exhausted. 
It’s like some days I’m so over myself. Does this bitch really need to rest again ? 
I’ve been sleeping practically all day and I’m still So. Tired.</t>
        </is>
      </c>
      <c r="D9087" t="n">
        <v>1</v>
      </c>
      <c r="E9087" t="n">
        <v>14</v>
      </c>
      <c r="F9087">
        <f>HYPERLINK("https://www.reddit.com/r/cancer/comments/gd09s5/tired_of_being_exhausted/")</f>
        <v/>
      </c>
      <c r="G9087" t="inlineStr">
        <is>
          <t>2020-05-03 16:09:04</t>
        </is>
      </c>
      <c r="H9087" t="inlineStr"/>
    </row>
    <row r="9088">
      <c r="A9088" t="inlineStr">
        <is>
          <t>gd0ba4</t>
        </is>
      </c>
      <c r="B9088" t="inlineStr">
        <is>
          <t>Anyone here has or knows someone who has recovered from cancer after ascites?</t>
        </is>
      </c>
      <c r="C9088" t="inlineStr">
        <is>
          <t>My dad was diagnosed with stage IV signet ring cell cancer in his appendix April 6 of this year. His ascites was what caused them to find the cancer. I have read some quite depressing things online about ascites caused by GI cancer. I can’t find a single survivor. Anyone out there? His ascites was filling up at 1.8 liters per day and after only 2 rounds of FOLFOXIRI it’s down to 500 ml per day. I just want to know if someone has beat it. Thanks.</t>
        </is>
      </c>
      <c r="D9088" t="n">
        <v>1</v>
      </c>
      <c r="E9088" t="n">
        <v>5</v>
      </c>
      <c r="F9088">
        <f>HYPERLINK("https://www.reddit.com/r/cancer/comments/gd0ba4/anyone_here_has_or_knows_someone_who_has/")</f>
        <v/>
      </c>
      <c r="G9088" t="inlineStr">
        <is>
          <t>2020-05-03 16:11:48</t>
        </is>
      </c>
      <c r="H9088" t="inlineStr"/>
    </row>
    <row r="9089">
      <c r="A9089" t="inlineStr">
        <is>
          <t>gd2w7g</t>
        </is>
      </c>
      <c r="B9089" t="inlineStr">
        <is>
          <t>Looking back one year later.</t>
        </is>
      </c>
      <c r="C9089" t="inlineStr">
        <is>
          <t>One year ago today I was diagnosed with stage 4 colon cancer. I wasn't sure if I would last 6 months, but now I am here, at non detectable levels. I have a future to look forward to and life that wouldn't be possible without the hard work and dedication of the trained physicians and doctors. 
I had meant to write more about what it all means to me, but a part of me didnt want to acknowledge the journey I was embarking on. A lot of it is too hard to think about. I did my best to stay strong for my family, with only a handful of breakdowns. But through it all, I tried focusing on the future and trying creating the best memories possible.
I have a lot to celebrate on this day, but the current state of affairs has got me feeling very helpless and vulnerable. It seems the dam is about to break where I live and everyone fed up with the lockdown is defying stay at home and refusing to wear masks. I hope for nothing more than this crisis to pass, but I really hope people don't have to start losing their own loved ones before they start taking it serious.
To all the warriors out there, stay strong and stay safe.</t>
        </is>
      </c>
      <c r="D9089" t="n">
        <v>1</v>
      </c>
      <c r="E9089" t="n">
        <v>34</v>
      </c>
      <c r="F9089">
        <f>HYPERLINK("https://www.reddit.com/r/cancer/comments/gd2w7g/looking_back_one_year_later/")</f>
        <v/>
      </c>
      <c r="G9089" t="inlineStr">
        <is>
          <t>2020-05-03 19:03:56</t>
        </is>
      </c>
      <c r="H9089" t="inlineStr"/>
    </row>
    <row r="9090">
      <c r="A9090" t="inlineStr">
        <is>
          <t>gd40f2</t>
        </is>
      </c>
      <c r="B9090" t="inlineStr">
        <is>
          <t>Dad on hospice</t>
        </is>
      </c>
      <c r="C9090" t="inlineStr">
        <is>
          <t>My dad was put on home hospice a week ago for stage IV bladder cancer. He’s not doing well, he hasn’t really been eating and he’s out of it most of the time. I’m glad he’s not in pain anymore like he was before being put hospice and stating all the new medications. I’m having a hard time dealing with it. He’s 70, but he was always healthy before being diagnosed with cancer and I’m still struggling to come to terms with it. I’m angry that the doctor didn’t biopsy the area and said it was just bladder wall thickening when he first developed symptoms and had a cystoscopy. They told him he was fine and sent him home and his cancer grew for 3 months before his symptoms returned and he had another cystoscopy, at which time they did biopsy the area and it came back malignant. It’s so unfair that he has to go through this. Watching him suffer and die, knowing that it could have possibly been prevented makes it even worse.</t>
        </is>
      </c>
      <c r="D9090" t="n">
        <v>1</v>
      </c>
      <c r="E9090" t="n">
        <v>1</v>
      </c>
      <c r="F9090">
        <f>HYPERLINK("https://www.reddit.com/r/cancer/comments/gd40f2/dad_on_hospice/")</f>
        <v/>
      </c>
      <c r="G9090" t="inlineStr">
        <is>
          <t>2020-05-03 20:23:20</t>
        </is>
      </c>
      <c r="H9090" t="inlineStr"/>
    </row>
    <row r="9091">
      <c r="A9091" t="inlineStr">
        <is>
          <t>gd6h3p</t>
        </is>
      </c>
      <c r="B9091" t="inlineStr">
        <is>
          <t>My dad has cancer and I’m struggling</t>
        </is>
      </c>
      <c r="C9091" t="inlineStr">
        <is>
          <t>My dad got diagnosed over a year ago with cancer. He has a tumour on his stomach and is attached to artery’s hence why they can’t operate on it. He’s gone through radio therapy and is now up to his 4th type of chemo. A few weeks ago my dad has the big scan to tell us what the cancer was doing sadly the results weren’t good.... the cancer has spread to his lungs the doctor said its like salt and pepper in his lungs and that these are more fierce and will grow rapidly :( he now has to have 2 different types of cancer at once one being sitting in a chair for 2 hours and the other being a bottle dripping into him for 2 days. He had a biopsy last week so that they can send a sample to America to try and get a match to somehow help him but it’s so expensive and my family struggle with the money side of things... anyway I am 18 years old studying year 12 I have depression and anxiety and boy am I struggling. I can’t seem to wrap my head around I probably won’t have my dad to walk me down the aisle or have him there when I have children. How is this fair? He has always been the most kindest and helpful man I know it’s so mean. He is so so strong but I’m scared and my heart hurts.</t>
        </is>
      </c>
      <c r="D9091" t="n">
        <v>1</v>
      </c>
      <c r="E9091" t="n">
        <v>3</v>
      </c>
      <c r="F9091">
        <f>HYPERLINK("https://www.reddit.com/r/cancer/comments/gd6h3p/my_dad_has_cancer_and_im_struggling/")</f>
        <v/>
      </c>
      <c r="G9091" t="inlineStr">
        <is>
          <t>2020-05-03 23:39:09</t>
        </is>
      </c>
      <c r="H9091" t="inlineStr"/>
    </row>
    <row r="9092">
      <c r="A9092" t="inlineStr">
        <is>
          <t>gd7x9k</t>
        </is>
      </c>
      <c r="B9092" t="inlineStr">
        <is>
          <t>MD Anderson</t>
        </is>
      </c>
      <c r="C9092" t="inlineStr">
        <is>
          <t>Just a little random positive vibe to spread.  MD Anderson Cancer Center in Houston has taken great care of me.  I just finished my chemo🤣</t>
        </is>
      </c>
      <c r="D9092" t="n">
        <v>1</v>
      </c>
      <c r="E9092" t="n">
        <v>5</v>
      </c>
      <c r="F9092">
        <f>HYPERLINK("https://www.reddit.com/r/cancer/comments/gd7x9k/md_anderson/")</f>
        <v/>
      </c>
      <c r="G9092" t="inlineStr">
        <is>
          <t>2020-05-04 01:46:06</t>
        </is>
      </c>
      <c r="H9092" t="inlineStr"/>
    </row>
    <row r="9093">
      <c r="A9093" t="inlineStr">
        <is>
          <t>gdao0j</t>
        </is>
      </c>
      <c r="B9093" t="inlineStr">
        <is>
          <t>Why it feels odd for me browsing this sub</t>
        </is>
      </c>
      <c r="C9093" t="inlineStr">
        <is>
          <t>Hey everyone. Let me start by saying that this post is in no way a reflection on this community. I've just recently discovered it, and I love the shared positivity and support that I've seen on various posts and comments.
I'm 23 years old, and was diagnosed with a grade 2 astrocytoma back in December. I've had a shunt put in, and spent six weeks on radiotherapy and chemo in pill form. I'm now on a treatment where I'll be on chemo for a week for six months, with MRIs every few months to assess how the tumour is (hopefully) shrinking. I'm currently on dexamethasone, a steroid which has caused weight gain and sleep disruption. I've also developed a tremor in my right hand, and the right side of my jaw seems to have stiffened up, almost like local anesthesia has been permanently injected. My eyesight has also been affected, and I've spent a lot of time thinking about and discussing what physical impediments the future may hold.
I come onto this sub and I've seen a huge outpour of love and support. It's fantastic, and I've been poring over posts old and new. The "problem", that is so insignificant that I hesitate to even call it that, is that everything for me is so long term. My doctors can't tell me whether I have 20 years or 60 ahead of me. So when I see people posting about their diagnosis of a few months, or the sudden decline of their loved ones from healthy to dying in a shoort time span, I can't help but feel... inadequate? I don't mean to make it a competition, but my issues seem so removed from what I see on this sub. I mean, how can I complain when people are being faced with their own very real mortalities? When they're making memorial posts about their loved ones, while I'll be here for decades? I feel like I have a disconnect from most of the content here, especially when my current symptoms are so minor compared to what I see on here.
Anyways, this has become more of a rant than I meant it to be, and I apologize for that. If anyone has a similar experience, I would love to hear about it, and for anyone else, thanks for taking the time to read it. Shout out again to this great community.</t>
        </is>
      </c>
      <c r="D9093" t="n">
        <v>1</v>
      </c>
      <c r="E9093" t="n">
        <v>5</v>
      </c>
      <c r="F9093">
        <f>HYPERLINK("https://www.reddit.com/r/cancer/comments/gdao0j/why_it_feels_odd_for_me_browsing_this_sub/")</f>
        <v/>
      </c>
      <c r="G9093" t="inlineStr">
        <is>
          <t>2020-05-04 05:26:18</t>
        </is>
      </c>
      <c r="H9093" t="inlineStr"/>
    </row>
    <row r="9094">
      <c r="A9094" t="inlineStr">
        <is>
          <t>gdaztd</t>
        </is>
      </c>
      <c r="B9094" t="inlineStr">
        <is>
          <t>Best friend (15 f) passed away last night after a long fight against glioblastoma</t>
        </is>
      </c>
      <c r="C9094" t="inlineStr">
        <is>
          <t>Me and our other best friend were sitting by her side in the hospital bed they set up for her in their living room, reading to her, and holding her hand when she passed. Her breathing had been ragged and in gasps, and me and our other best friend were trading off reading every other page. Then, in the middle of a page, we both were there and kind of paused for a minute and made sure to tell her we love her one last time, and kept reading because we didn't know how long she would still have, but we knew it wasn't much. Then while we read a few minutes later, she took a breath in, then breathed out, and then her chest stopped rising. I know she passed peacefully, and this would have been exactly how she'd have wanted to go- right by her two best friends holding her hand, and us reading Harry Potter to her. I don't know what to do. Part of me was always scared to be there when she passed, but another part of me was scared I wouldn't be. I'm glad I was there for as long as I could but being honest I kind of feel like throwing up. I saw my best friend die. There was a few minutes we sat there with her body before her mom came back inside from a walk, and then she had us go outside and call our neighbor, who is a nurse, over to her house with a stethoscope to check for a pulse. At that point me and my other best friend knew in our hearts that it happened, even before the nurse came back out to tell us that her pulse was no longer there.</t>
        </is>
      </c>
      <c r="D9094" t="n">
        <v>1</v>
      </c>
      <c r="E9094" t="n">
        <v>17</v>
      </c>
      <c r="F9094">
        <f>HYPERLINK("https://www.reddit.com/r/cancer/comments/gdaztd/best_friend_15_f_passed_away_last_night_after_a/")</f>
        <v/>
      </c>
      <c r="G9094" t="inlineStr">
        <is>
          <t>2020-05-04 05:48:59</t>
        </is>
      </c>
      <c r="H9094" t="inlineStr"/>
    </row>
    <row r="9095">
      <c r="A9095" t="inlineStr">
        <is>
          <t>gdbsnd</t>
        </is>
      </c>
      <c r="B9095" t="inlineStr">
        <is>
          <t>Embarrassed / self conscious of hair loss</t>
        </is>
      </c>
      <c r="C9095" t="inlineStr">
        <is>
          <t>Hi all, 
I’m a 17 year old male and In January this year I was diagnosed with hodgkin’s lymphoma. As you all would know hair loss is a side effect of treatment. However as I started loosing my hair I became extremely self conscious of it and I feel I always have to be wearing headwear whether it be a beanie or hat and even my family (apart from my Mother as she sometimes is with me during treatment ) haven’t seen me without it nor have my closest friends when chatting with them online. Does anyone else feel the same or felt the same during their treatment and did you find any ways to help you gain confidence?</t>
        </is>
      </c>
      <c r="D9095" t="n">
        <v>1</v>
      </c>
      <c r="E9095" t="n">
        <v>5</v>
      </c>
      <c r="F9095">
        <f>HYPERLINK("https://www.reddit.com/r/cancer/comments/gdbsnd/embarrassed_self_conscious_of_hair_loss/")</f>
        <v/>
      </c>
      <c r="G9095" t="inlineStr">
        <is>
          <t>2020-05-04 06:39:58</t>
        </is>
      </c>
      <c r="H9095" t="inlineStr"/>
    </row>
    <row r="9096">
      <c r="A9096" t="inlineStr">
        <is>
          <t>gdez1i</t>
        </is>
      </c>
      <c r="B9096" t="inlineStr">
        <is>
          <t>Advanced cancer symptoms?</t>
        </is>
      </c>
      <c r="C9096" t="inlineStr">
        <is>
          <t xml:space="preserve">I've posted here a couple of times now and we have had help from the palliative care nurse coming to see us once a week. 
Dad has stage 4 pancreatic which has spread to his lungs, liver and bowel. It now seems to have spread further as his Lymph Nodes are swollen in his neck and are now rock hard. 
The last few weeks he has been eating alot less and 2 weeks of jaundice which has now worsened further. He's spending alot more time sleeping but up until today has been getting up on his own. He has also been getting confused and l his memory. And also been getting weaker. 
Now I ask - he seems to now have swelling in his ankles and hands? This has made him unsteady also which doesn't help when he is now feeling weaker.
His urine has also gone nearly black? 
Does anyone have any experiences with this? From what I've read online it just says about it being an advanced cancer symptom etc </t>
        </is>
      </c>
      <c r="D9096" t="n">
        <v>1</v>
      </c>
      <c r="E9096" t="n">
        <v>9</v>
      </c>
      <c r="F9096">
        <f>HYPERLINK("https://www.reddit.com/r/cancer/comments/gdez1i/advanced_cancer_symptoms/")</f>
        <v/>
      </c>
      <c r="G9096" t="inlineStr">
        <is>
          <t>2020-05-04 09:39:58</t>
        </is>
      </c>
      <c r="H9096" t="inlineStr"/>
    </row>
    <row r="9097">
      <c r="A9097" t="inlineStr">
        <is>
          <t>gdg8im</t>
        </is>
      </c>
      <c r="B9097" t="inlineStr">
        <is>
          <t>Lung issues with Nivolumab plus Ipilimumab for lung tumors.</t>
        </is>
      </c>
      <c r="C9097" t="inlineStr">
        <is>
          <t>I'm on the tail end of a 4 times infusion with one every four weeks.  For about half the time now I have had lung inflammation (with reduced capacity; shortness of breath) -- complicated and confused by -- a bout with pneumonia.  I also have some swallowing issues and it seems my mouth insides and throat are somewhat swollen.  No pain.  My oncologist is not that experienced with immunotherapy and hasn't seen this.  Prednisone helps.  I'm 61 and had great lungs going into all this.  Any help, advice?  I see a pulmonologist in 1.5 weeks for the first time.
By the way, my brain is being radio-treated and am having great results so far with both immunotherapy and radiation.</t>
        </is>
      </c>
      <c r="D9097" t="n">
        <v>1</v>
      </c>
      <c r="E9097" t="n">
        <v>12</v>
      </c>
      <c r="F9097">
        <f>HYPERLINK("https://www.reddit.com/r/cancer/comments/gdg8im/lung_issues_with_nivolumab_plus_ipilimumab_for/")</f>
        <v/>
      </c>
      <c r="G9097" t="inlineStr">
        <is>
          <t>2020-05-04 10:43:55</t>
        </is>
      </c>
      <c r="H9097" t="inlineStr"/>
    </row>
    <row r="9098">
      <c r="A9098" t="inlineStr">
        <is>
          <t>gdjk0a</t>
        </is>
      </c>
      <c r="B9098" t="inlineStr">
        <is>
          <t>My mom was recently diagnosed with stage 2B cervical cancer. What should I do to prepare?</t>
        </is>
      </c>
      <c r="C9098" t="inlineStr">
        <is>
          <t>I have so many questions. 
Honestly I'm a little in denial at the moment, every woman in my family gets cancer, and every woman I know of has beat it to live a long life, if not a super pleasant one. But I can't help think "what if?" and feel like I should prepare.
I have a half-brother with a POS dad, he was raised by my mom and step-dad...will he be sent to live with his bio dad if the worst comes to pass?
I've never dealt with this, I don't even know what hardships are coming.
I'm pretty lost</t>
        </is>
      </c>
      <c r="D9098" t="n">
        <v>1</v>
      </c>
      <c r="E9098" t="n">
        <v>7</v>
      </c>
      <c r="F9098">
        <f>HYPERLINK("https://www.reddit.com/r/cancer/comments/gdjk0a/my_mom_was_recently_diagnosed_with_stage_2b/")</f>
        <v/>
      </c>
      <c r="G9098" t="inlineStr">
        <is>
          <t>2020-05-04 13:34:03</t>
        </is>
      </c>
      <c r="H9098" t="inlineStr"/>
    </row>
    <row r="9099">
      <c r="A9099" t="inlineStr">
        <is>
          <t>gdkism</t>
        </is>
      </c>
      <c r="B9099" t="inlineStr">
        <is>
          <t>My mother's ovarian cancer has returned</t>
        </is>
      </c>
      <c r="C9099" t="inlineStr">
        <is>
          <t>She was diagnosed at Stage IIIb but after the operations they notices water at her lungs and declared her Stage IV. She took chemo and responded well, I believe since she was "recovered" for 9 [months. Now](https://months.Now) the cancer has returned and she is taking the same treatment again. The doctor told us since she was recovered for over 6 months she can take the same chemo except one part that they changed. I was always too afraid to ask the doctor even the first time the disease was around but how much can I expect her to live worst and best case szenario?
(sry for the bad english )</t>
        </is>
      </c>
      <c r="D9099" t="n">
        <v>1</v>
      </c>
      <c r="E9099" t="n">
        <v>3</v>
      </c>
      <c r="F9099">
        <f>HYPERLINK("https://www.reddit.com/r/cancer/comments/gdkism/my_mothers_ovarian_cancer_has_returned/")</f>
        <v/>
      </c>
      <c r="G9099" t="inlineStr">
        <is>
          <t>2020-05-04 14:25:16</t>
        </is>
      </c>
      <c r="H9099" t="inlineStr"/>
    </row>
    <row r="9100">
      <c r="A9100" t="inlineStr">
        <is>
          <t>gdlwoc</t>
        </is>
      </c>
      <c r="B9100" t="inlineStr">
        <is>
          <t>What are your experience with radiation side effects? Specifically to the brain</t>
        </is>
      </c>
      <c r="C9100" t="inlineStr">
        <is>
          <t>After 3 rounds of chemo to treat a pineal gland germinoma, I'm finally doing radiation. I'm on my second week of my five week radiation plan. My doctor told me the main side effect will just be general fatigue, which I'm feeling a lot of.
In your experience, what side effects did radiation give you? I'm getting the radiation to my brain, specifically the ventricles so anybody with similar experiences please let me know your story.
I feel like I've been having really vivid dreams personally, but I don't know if that's related or just me overthinking things.</t>
        </is>
      </c>
      <c r="D9100" t="n">
        <v>1</v>
      </c>
      <c r="E9100" t="n">
        <v>8</v>
      </c>
      <c r="F9100">
        <f>HYPERLINK("https://www.reddit.com/r/cancer/comments/gdlwoc/what_are_your_experience_with_radiation_side/")</f>
        <v/>
      </c>
      <c r="G9100" t="inlineStr">
        <is>
          <t>2020-05-04 15:44:52</t>
        </is>
      </c>
      <c r="H9100" t="inlineStr"/>
    </row>
    <row r="9101">
      <c r="A9101" t="inlineStr">
        <is>
          <t>gdnt0c</t>
        </is>
      </c>
      <c r="B9101" t="inlineStr">
        <is>
          <t>Need help with the help.</t>
        </is>
      </c>
      <c r="C9101" t="inlineStr">
        <is>
          <t>I have a problem I hope we all have one day, but I'd like your help on how to address this.
I've been cancer free for about 8 months, though I still have some rough times with pain from surgery recovery. 
Our friends (neighbors) have been a great help this past year with lawn care, help with snow removal and other little things that have lightened the load tremendously.   
I'm now starting to be strong enough to be able to do more of these things for myself, or hire out for them to be done. (I'm not 100% by any means, but hopefully the upward trend continues) 
I've said 'thanks and I've got it for now'  He insists that it's no problem, doesn't take long and that he needs the exercise anyway.
Both my wife and I are getting more uncomfortable with the amount of help as time goes on and don't know how to graciously change the situation.    We've often returned the favors with gifts and pet sitting, so we  reciprocate as we're able.
How did you start to take back your routine chores when others have taken it on themselves?</t>
        </is>
      </c>
      <c r="D9101" t="n">
        <v>1</v>
      </c>
      <c r="E9101" t="n">
        <v>4</v>
      </c>
      <c r="F9101">
        <f>HYPERLINK("https://www.reddit.com/r/cancer/comments/gdnt0c/need_help_with_the_help/")</f>
        <v/>
      </c>
      <c r="G9101" t="inlineStr">
        <is>
          <t>2020-05-04 17:40:26</t>
        </is>
      </c>
      <c r="H9101" t="inlineStr"/>
    </row>
    <row r="9102">
      <c r="A9102" t="inlineStr">
        <is>
          <t>gdo3k3</t>
        </is>
      </c>
      <c r="B9102" t="inlineStr">
        <is>
          <t>I (m,26) am one year out from HIPEC...</t>
        </is>
      </c>
      <c r="C9102" t="inlineStr">
        <is>
          <t>Hello all - first, want to say that I’m inspired by what many of you have shared here. 
Last year I was diagnosed with a low-grade appendiceal mucinous neoplasm. The survival rate is good but I had to have a HIPEC procedure and also my gallbladder (among other things) was removed. 
A year out I still have consistent abdominal pain and nausea. Have been back in the hospital once for ‘abdominal adhesions’ (not many ways to fix that.) 
Any suggestions from anyone who has been through this / HIPEC, regarding diet? Is this common or did you have a full recovery (GI-track-wise)?
Thank you.</t>
        </is>
      </c>
      <c r="D9102" t="n">
        <v>1</v>
      </c>
      <c r="E9102" t="n">
        <v>1</v>
      </c>
      <c r="F9102">
        <f>HYPERLINK("https://www.reddit.com/r/cancer/comments/gdo3k3/i_m26_am_one_year_out_from_hipec/")</f>
        <v/>
      </c>
      <c r="G9102" t="inlineStr">
        <is>
          <t>2020-05-04 17:59:22</t>
        </is>
      </c>
      <c r="H9102" t="inlineStr"/>
    </row>
    <row r="9103">
      <c r="A9103" t="inlineStr">
        <is>
          <t>gdodas</t>
        </is>
      </c>
      <c r="B9103" t="inlineStr">
        <is>
          <t>Trying to cope with my dad’s brain cancer diagnosis I feel has made me a worse person, and I don’t know what to do</t>
        </is>
      </c>
      <c r="C9103" t="inlineStr">
        <is>
          <t>In late 2018, after the sudden onset of aphasia and confusion, my dad was diagnosed with glioblastoma, one of the most aggressive and least survivable forms of brain cancer. Since then, my family and I have tried our best to adapt and support him as he undergoes treatment. I’m a college student, and before the quarantine began (I now live at home), I made a point to come home more often and help out around the house (despite my dad insisting that I “stay the course” with school and focus on my studies). My mom began working from home a lot more, my sister put her pursuit of a Master’s Degree on hold, her boyfriend lives with us so we have some more muscle around the house, etcetera.
But he’s not going to survive. Nobody talks about it, but everyone knows it. He’s 59, meaning he’s already in the minority for making 16 months since his diagnosis. But he also isn’t healthy to begin with. COVID risk aside, he’s been overweight/obese for most of his life, he’s a T2 diabetic, and before he stopped due to his illness, he was a pretty hefty drinker. He’s also degenerating at a moderately brisk speed. I was looking through my camera roll earlier, and grew despondent seeing how as recent as the new year, he was standing, walking, and smiling, even if he was still rather aphasic. Today, he can’t get out of chairs by himself, he needs help bathing, getting dressed, using the bathroom, *forming coherent thoughts* and more. My mom said something the other day that really upset me, about how “there aren’t any long conversations anymore”, and by god, you don’t know what I’d sacrifice to have him joke around with everyone again, barbecue all the great food he used to, anything, *anything* that would grant him back any portion of his sense of self, but the sickness robbed us of even that.
It’s hard for me to even reach out to forums like this. I see posts like how someone’s struggling with breast cancer, or feeling nervous before their orchidectomy, or I see commercials about cancer drugs with patients living their best lives and so on, and I grow irate about it. At least your loved one doesn’t need a walker to get around, doesn’t need to be constantly monitored in case they have another seizure that sends them back to square one on the recovery ladder, can actually form a sentence! And I HATE that. I hate what I’ve become. What sort of asshole tries to Oppression Olympics fucking *cancer*? What sort of son am I, thinking that my dad doesn’t want to get better just because he’s too tired to do his PT exercises, even though I know both the cancer and the treatment drain him a great deal?
The worst by far is this intrusive thought I have often and try to sequester in the deepest parts of my head, where I hope he dies soon, so this whole ordeal is over and he doesn’t suffer. It puts my heart in a vice and twists my stomach. Of course I don’t want him die! He’s been with me the entirety of of my 20-year life, and I can’t imagine a day without him. Personality-wise, I’m getting snippier, angrier more often, and just want to hole myself away in my room, even though I know it will fulfill nothing. And I’ve barely even described what the pandemic is doing to us. I’m floundering even trying to get professional help. I can barely find the time to do such a thing in the first place, and even when I’ve searched in earnest, the ones around me either aren’t accepting new patients or don’t specialize in both helping to cope with this situation AND other major life stressors that I need help with.
I’m absolutely sobbing typing this out so I don’t want to write any more. I hate how I feel, don’t know what to do, and am fearful for the future.</t>
        </is>
      </c>
      <c r="D9103" t="n">
        <v>1</v>
      </c>
      <c r="E9103" t="n">
        <v>11</v>
      </c>
      <c r="F9103">
        <f>HYPERLINK("https://www.reddit.com/r/cancer/comments/gdodas/trying_to_cope_with_my_dads_brain_cancer/")</f>
        <v/>
      </c>
      <c r="G9103" t="inlineStr">
        <is>
          <t>2020-05-04 18:17:09</t>
        </is>
      </c>
      <c r="H9103" t="inlineStr"/>
    </row>
    <row r="9104">
      <c r="A9104" t="inlineStr">
        <is>
          <t>gds1m7</t>
        </is>
      </c>
      <c r="B9104" t="inlineStr">
        <is>
          <t>So surreal...</t>
        </is>
      </c>
      <c r="C9104" t="inlineStr">
        <is>
          <t>...being told by my oncologist that I might have only 3 to 6 months to live yet I feel fairly healthy.  That number improves up to 24 months with chemo which I start in the morning.  Can't sleep tonight.
My doctors and I beat liver cancer last year.  Now we're up against stage 4 cholangiocarcinoma aka bile duct cancer.</t>
        </is>
      </c>
      <c r="D9104" t="n">
        <v>1</v>
      </c>
      <c r="E9104" t="n">
        <v>25</v>
      </c>
      <c r="F9104">
        <f>HYPERLINK("https://www.reddit.com/r/cancer/comments/gds1m7/so_surreal/")</f>
        <v/>
      </c>
      <c r="G9104" t="inlineStr">
        <is>
          <t>2020-05-04 22:43:45</t>
        </is>
      </c>
      <c r="H9104" t="inlineStr"/>
    </row>
    <row r="9105">
      <c r="A9105" t="inlineStr">
        <is>
          <t>gdsc2s</t>
        </is>
      </c>
      <c r="B9105" t="inlineStr">
        <is>
          <t>Scared to feel hopeful again</t>
        </is>
      </c>
      <c r="C9105" t="inlineStr">
        <is>
          <t>My (25F) mom (67F) has been receiving treatment for pancreatic cancer for the past 4 years. Two weeks ago she went into the hospital with trouble breathing and we found out she has congestive heart failure. She was released last Monday with oxygen and plans for some lifestyle changes. She told me she was feeling great and had been up cleaning, cooking, and was generally cheerful. I felt so relieved and happy that she was doing okay, and hopeful for her future treatment and outlook. But then today she couldn’t breathe and was rushed back to the hospital, now sedated and on a ventilator.
I feel like a fool for being hopeful at all. Her overall health has had a lot of ups and downs over the years since her diagnosis. Sometimes a scan will show the tumor has shrunk a tiny bit or stayed the same. But then it will have grown again. My dad and I have gotten through this time by being positive, especially since my mom tends to get down. But now I just feel like why be positive anymore? I already know that she’ll be on chemo the rest of her life, but I suppose it’s just now sinking in. She’s going to die from this or a related health condition. I have no idea how long we have left with her. It could be years or it could be days. Every time I feel hopeful and like she’ll get past this I am proven wrong and things get worse.
I’m sorry. This is basically just me venting. But what do you do when being positive doesn’t make sense anymore? It seems like I’m quickly approaching that point.</t>
        </is>
      </c>
      <c r="D9105" t="n">
        <v>1</v>
      </c>
      <c r="E9105" t="n">
        <v>5</v>
      </c>
      <c r="F9105">
        <f>HYPERLINK("https://www.reddit.com/r/cancer/comments/gdsc2s/scared_to_feel_hopeful_again/")</f>
        <v/>
      </c>
      <c r="G9105" t="inlineStr">
        <is>
          <t>2020-05-04 23:08:31</t>
        </is>
      </c>
      <c r="H9105" t="inlineStr"/>
    </row>
    <row r="9106">
      <c r="A9106" t="inlineStr">
        <is>
          <t>gdsr62</t>
        </is>
      </c>
      <c r="B9106" t="inlineStr">
        <is>
          <t>What is the purpose of cancer in regards to the natural world?</t>
        </is>
      </c>
      <c r="C9106" t="inlineStr">
        <is>
          <t>Back in the 1500's people rarely lived past 40. However, why does cancer even exist? Is cancer mother natures way of decreasing the population when the population gets too old. I have always thought that it is scary that at any moment cancer can pop up and kill you in 5 years. In my opinion we should create a crown corporation to study cancer and get rid of cancer charities which take money away from donations and into the executives and CEO pockets.</t>
        </is>
      </c>
      <c r="D9106" t="n">
        <v>1</v>
      </c>
      <c r="E9106" t="n">
        <v>5</v>
      </c>
      <c r="F9106">
        <f>HYPERLINK("https://www.reddit.com/r/cancer/comments/gdsr62/what_is_the_purpose_of_cancer_in_regards_to_the/")</f>
        <v/>
      </c>
      <c r="G9106" t="inlineStr">
        <is>
          <t>2020-05-04 23:47:00</t>
        </is>
      </c>
      <c r="H9106" t="inlineStr"/>
    </row>
    <row r="9107">
      <c r="A9107" t="inlineStr">
        <is>
          <t>gdv5ay</t>
        </is>
      </c>
      <c r="B9107" t="inlineStr">
        <is>
          <t>I might have cancer</t>
        </is>
      </c>
      <c r="C9107" t="inlineStr">
        <is>
          <t>Yes, I think I may have a tumor. I’m probably freaking out but I keep on thinking about it. I have a mole on top of my head and went to the doctors and said that it was bigger then normal moles and that’s it. He suggested me to a dermatologist but I’ve never made a appointment because I wanted to wait until summer. Also at the beginning of the school year I went to the doctors because I thought I might have anxiety and I started to take pills for it and I continue to and nothings different. My vision in my right eye has gotten a little blurry, a pain on top of my head, also the mole on the top of my head has grown, personality change in which I get mad over little things and sometimes sad out of no where, my balance has gotten horrible as in sometimes I’ll just fall and can’t walk straight sometimes, also my right eye is red due to veins which has lasted for awhile, and sometimes I’ll just forget what I’m talking about and can’t think of something to say when talking. It’s probably nothing but I’m worrying about it and wanna know if I should get it checked out or not.</t>
        </is>
      </c>
      <c r="D9107" t="n">
        <v>1</v>
      </c>
      <c r="E9107" t="n">
        <v>4</v>
      </c>
      <c r="F9107">
        <f>HYPERLINK("https://www.reddit.com/r/cancer/comments/gdv5ay/i_might_have_cancer/")</f>
        <v/>
      </c>
      <c r="G9107" t="inlineStr">
        <is>
          <t>2020-05-05 03:14:31</t>
        </is>
      </c>
      <c r="H9107" t="inlineStr"/>
    </row>
    <row r="9108">
      <c r="A9108" t="inlineStr">
        <is>
          <t>gdvzaa</t>
        </is>
      </c>
      <c r="B9108" t="inlineStr">
        <is>
          <t>Is ct scan the cause of my cancer, my father and me?</t>
        </is>
      </c>
      <c r="C9108" t="inlineStr">
        <is>
          <t>My father 1998 ..head ct scan 2007 ..head ct scan 2010....head ct scan 2015= gbm stage 3
My 7 years ..head ct scan 2012 ..head ct scan 2020 ..astrocytoma brain cancer
Is it a coincidence? I am devastated..I am very athletic and healthy..Why
How many ct scan had you before the diagnosis ?</t>
        </is>
      </c>
      <c r="D9108" t="n">
        <v>1</v>
      </c>
      <c r="E9108" t="n">
        <v>0</v>
      </c>
      <c r="F9108">
        <f>HYPERLINK("https://www.reddit.com/r/cancer/comments/gdvzaa/is_ct_scan_the_cause_of_my_cancer_my_father_and_me/")</f>
        <v/>
      </c>
      <c r="G9108" t="inlineStr">
        <is>
          <t>2020-05-05 04:23:22</t>
        </is>
      </c>
      <c r="H9108" t="inlineStr"/>
    </row>
    <row r="9109">
      <c r="A9109" t="inlineStr">
        <is>
          <t>gdywpo</t>
        </is>
      </c>
      <c r="B9109" t="inlineStr">
        <is>
          <t>Chemotherapy diet advice?</t>
        </is>
      </c>
      <c r="C9109" t="inlineStr">
        <is>
          <t>My mother was diagnosed with colon cancer in January. She had surgery to get a tumor removed from her colon, but there are 3 cancerous lymph nodes remaining, so she's starting chemotherapy tomorrow. Her diet really isn't great. She eats a lot of sugary high carb foods &amp;amp; yogurts that are almost a dessert in themselves with the amount of sugar in them. I don't know how aware she is of how important changing her diet will be in keeping her as healthy as possible throughout the next 6 months. I really want to minimize her symptoms as much as is possible, and it worries me that her diet might exacerbate her symptoms.
Does anyone have an advice or personal experience on what helped them through chemo diet wise?
Sending love to everyone!</t>
        </is>
      </c>
      <c r="D9109" t="n">
        <v>2</v>
      </c>
      <c r="E9109" t="n">
        <v>12</v>
      </c>
      <c r="F9109">
        <f>HYPERLINK("https://www.reddit.com/r/cancer/comments/gdywpo/chemotherapy_diet_advice/")</f>
        <v/>
      </c>
      <c r="G9109" t="inlineStr">
        <is>
          <t>2020-05-05 07:38:47</t>
        </is>
      </c>
      <c r="H9109" t="inlineStr"/>
    </row>
    <row r="9110">
      <c r="A9110" t="inlineStr">
        <is>
          <t>gdz6rd</t>
        </is>
      </c>
      <c r="B9110" t="inlineStr">
        <is>
          <t>Helping my mom find foods she can eat</t>
        </is>
      </c>
      <c r="C9110" t="inlineStr">
        <is>
          <t>Hi guys. My mom got diagnosed with cancer about a week ago and we found out today it was skin cancer. She told me that she has a lot of trouble eating because everything tastes horrible to her. This issue started a little before her diagnosis but its becoming increasingly worse. She told me today in near tears that she’s desperate to eat something that tastes good. It broke my heart. I’m a bit over my head and new to all of this stuff, so I thought I would come here for some advice. Is there anyone who’s gone through something similar and found foods that don’t taste horrible? I know it’s a small part of a much bigger issue, but I just want to help her in any way I can and give her a small piece of comfort.</t>
        </is>
      </c>
      <c r="D9110" t="n">
        <v>1</v>
      </c>
      <c r="E9110" t="n">
        <v>21</v>
      </c>
      <c r="F9110">
        <f>HYPERLINK("https://www.reddit.com/r/cancer/comments/gdz6rd/helping_my_mom_find_foods_she_can_eat/")</f>
        <v/>
      </c>
      <c r="G9110" t="inlineStr">
        <is>
          <t>2020-05-05 07:54:23</t>
        </is>
      </c>
      <c r="H9110" t="inlineStr"/>
    </row>
    <row r="9111">
      <c r="A9111" t="inlineStr">
        <is>
          <t>gdz9zx</t>
        </is>
      </c>
      <c r="B9111" t="inlineStr">
        <is>
          <t>My Aunt that battled cancer for 10 years passed away this morning. Here is a poem I wrote 3 days ago. The last time I saw her.</t>
        </is>
      </c>
      <c r="C9111" t="inlineStr">
        <is>
          <t>Angel with wings 
In my life I’ve seen so many things, but I have never seen 
An angel with wings
All growing up
I would think 
Wow! 
How is it possible? How could it be?
They say they’ll have wings
With halos for crowns and 
Shine brighter than any star that could ever be found!
So, through out my years,through decades and countless of tears
I have looked and still never have I seen. 
My angel
My angel with wings 
They say angels are guardians protecting through nightfall. 
They shield us from torment and guide us through pain.
They are warriors that battle till their last dying breath. 
They are a cosmic force, that can never be reached. 
So, I looked and looked for 
My angel with wings, till one day I said 
How could this be? 
How could I believe in something I can not see?
But today when I saw you with a shield in your hand.
A guardian guiding us through torment and pain. 
I saw the warrior you always have been   
And I knew I had found you 
That I have finally seen 
Our angel 
Angel with wings 
Because even though I do not know what can be for seen.
I do know that someday when this battle is through.
You will have a halo with wings 
 And shine brighter than any star that could ever be seen. 
Because that is who you are,
And who you have always been 
and were meant to be. 
Our sweet Esmeralda 
Our angel with wings</t>
        </is>
      </c>
      <c r="D9111" t="n">
        <v>3</v>
      </c>
      <c r="E9111" t="n">
        <v>1</v>
      </c>
      <c r="F9111">
        <f>HYPERLINK("https://www.reddit.com/r/cancer/comments/gdz9zx/my_aunt_that_battled_cancer_for_10_years_passed/")</f>
        <v/>
      </c>
      <c r="G9111" t="inlineStr">
        <is>
          <t>2020-05-05 07:59:27</t>
        </is>
      </c>
      <c r="H9111" t="inlineStr"/>
    </row>
    <row r="9112">
      <c r="A9112" t="inlineStr">
        <is>
          <t>gdzqw2</t>
        </is>
      </c>
      <c r="B9112" t="inlineStr">
        <is>
          <t>Insurance, fear of losing job and COVID</t>
        </is>
      </c>
      <c r="C9112" t="inlineStr">
        <is>
          <t>Hi all. I’m 24, diagnosed with stage 4 colon cancer. Currently out on SSDI. But I’m getting very nervous about my insurance— it’s through my dad, who is a commercial pilot. He hasn’t been laid off but the risk of the company going bankrupt is real. Has anyone else lost insurance during this pandemic? Been on Medicaid (which I have been told is awful)? I’m just getting so anxious about the whole thing.</t>
        </is>
      </c>
      <c r="D9112" t="n">
        <v>2</v>
      </c>
      <c r="E9112" t="n">
        <v>8</v>
      </c>
      <c r="F9112">
        <f>HYPERLINK("https://www.reddit.com/r/cancer/comments/gdzqw2/insurance_fear_of_losing_job_and_covid/")</f>
        <v/>
      </c>
      <c r="G9112" t="inlineStr">
        <is>
          <t>2020-05-05 08:24:24</t>
        </is>
      </c>
      <c r="H9112" t="inlineStr"/>
    </row>
    <row r="9113">
      <c r="A9113" t="inlineStr">
        <is>
          <t>ge26cv</t>
        </is>
      </c>
      <c r="B9113" t="inlineStr">
        <is>
          <t>Looking for research participants who receive blood/blood products in Canada</t>
        </is>
      </c>
      <c r="C9113" t="inlineStr">
        <is>
          <t>Hi, we're a team of researchers at the University of Victoria in British Columbia, Canada. We're working on a study looking at the current policies for blood donation in Canada (basically, who is allowed to donate), and we want to hear from folks who have received blood or blood products, including as part of cancer treatment, about their perspectives.
Interviews are done over the phone, so you can be anywhere in Canada. Happy to answer any questions here or via email: [blood\_donation\_study@uvic.ca](mailto:blood_donation_study@uvic.ca).
https://preview.redd.it/466aohh4fzw41.jpg?width=1275&amp;amp;format=pjpg&amp;amp;auto=webp&amp;amp;s=345f8773c3750d921136bafdb1c8d5f952723f27</t>
        </is>
      </c>
      <c r="D9113" t="n">
        <v>1</v>
      </c>
      <c r="E9113" t="n">
        <v>0</v>
      </c>
      <c r="F9113">
        <f>HYPERLINK("https://www.reddit.com/r/cancer/comments/ge26cv/looking_for_research_participants_who_receive/")</f>
        <v/>
      </c>
      <c r="G9113" t="inlineStr">
        <is>
          <t>2020-05-05 10:32:46</t>
        </is>
      </c>
      <c r="H9113" t="inlineStr"/>
    </row>
    <row r="9114">
      <c r="A9114" t="inlineStr">
        <is>
          <t>ge6ka5</t>
        </is>
      </c>
      <c r="B9114" t="inlineStr">
        <is>
          <t>Done with chemo and not feeling like celebrating</t>
        </is>
      </c>
      <c r="C9114" t="inlineStr">
        <is>
          <t>This is honestly just to vent because I can't say this stuff to my friends and family. I was diagnosed with rectal cancer about a month after the birth of my second daughter. Had a resection with temporary ileostomy, four rounds of capox and took my last pills this morning.
Everyone around me is so psyched that I'm done with treatment but man I just don't feel that way at all. I'm not relieved. I'm still fucking terrified that this is going to come back and kill me sooner rather than later. My prognosis is pretty good but who cares about numbers when you're already an outlier having been diagnosed at age 35? I know there are a lot of folks on here facing much more serious diagnoses and I do feel shitty about complaining. I just can't shake the feeling that I'm not going to get to see my girls grow up. I'm hoping this is just something that will get better with time? Fuck cancer you stupid fucking thief of joy.
Thanks for listening.</t>
        </is>
      </c>
      <c r="D9114" t="n">
        <v>4</v>
      </c>
      <c r="E9114" t="n">
        <v>32</v>
      </c>
      <c r="F9114">
        <f>HYPERLINK("https://www.reddit.com/r/cancer/comments/ge6ka5/done_with_chemo_and_not_feeling_like_celebrating/")</f>
        <v/>
      </c>
      <c r="G9114" t="inlineStr">
        <is>
          <t>2020-05-05 14:27:12</t>
        </is>
      </c>
      <c r="H9114" t="inlineStr"/>
    </row>
    <row r="9115">
      <c r="A9115" t="inlineStr">
        <is>
          <t>ge7ilq</t>
        </is>
      </c>
      <c r="B9115" t="inlineStr">
        <is>
          <t>Subungual melanoma??</t>
        </is>
      </c>
      <c r="C9115" t="inlineStr">
        <is>
          <t>https://imgur.com/a/WRHr4Zc
hi guys, a little backstory i took off my acrylic nails about a month and a half ago, a few days later i noticed this line going down my right thumb. i thought that maybe i had hurt my thumb trying to pull off my acrylic nail so i paid no mind to it. however fast forward to now and i still have the line. i decided to look it up and it turns out it may be cancer?? im freaking out and i am making an appt this week to see whats up. im just hoping to see if anyone else knows or has dealt with this before? does this look like a subungual melanoma? anything to ease my mind? i have anxiety and its real bad right now, cant think about anything else.</t>
        </is>
      </c>
      <c r="D9115" t="n">
        <v>1</v>
      </c>
      <c r="E9115" t="n">
        <v>4</v>
      </c>
      <c r="F9115">
        <f>HYPERLINK("https://www.reddit.com/r/cancer/comments/ge7ilq/subungual_melanoma/")</f>
        <v/>
      </c>
      <c r="G9115" t="inlineStr">
        <is>
          <t>2020-05-05 15:19:46</t>
        </is>
      </c>
      <c r="H9115" t="inlineStr"/>
    </row>
    <row r="9116">
      <c r="A9116" t="inlineStr">
        <is>
          <t>ge85yq</t>
        </is>
      </c>
      <c r="B9116" t="inlineStr">
        <is>
          <t>Tongue and mouth sores</t>
        </is>
      </c>
      <c r="C9116" t="inlineStr">
        <is>
          <t>Anyone have any suggestions on how to soothe this? Last chemo round I ended up with oral thrush and now I have mouth sores this time. What helps you?</t>
        </is>
      </c>
      <c r="D9116" t="n">
        <v>1</v>
      </c>
      <c r="E9116" t="n">
        <v>7</v>
      </c>
      <c r="F9116">
        <f>HYPERLINK("https://www.reddit.com/r/cancer/comments/ge85yq/tongue_and_mouth_sores/")</f>
        <v/>
      </c>
      <c r="G9116" t="inlineStr">
        <is>
          <t>2020-05-05 15:56:41</t>
        </is>
      </c>
      <c r="H9116" t="inlineStr"/>
    </row>
    <row r="9117">
      <c r="A9117" t="inlineStr">
        <is>
          <t>geafrh</t>
        </is>
      </c>
      <c r="B9117" t="inlineStr">
        <is>
          <t>Does anyone else cope like this?</t>
        </is>
      </c>
      <c r="C9117" t="inlineStr">
        <is>
          <t>My dad was diagnosed with cancer of the liver more specifically the bile ducts. He was diagnosed in July when I just turned 13. I just don’t have any emotion about it. I feel bad for not feeling bad. I watch my dad grow skinner and skinner he kinda looks dead. I’m definitely not happy though because I love my dad but i feel like it’s wrong that I’m not heart broken. It might be because my mom has taken it really bad but idk.I’m just wondering if anyone had this happen or if it’s just me.</t>
        </is>
      </c>
      <c r="D9117" t="n">
        <v>1</v>
      </c>
      <c r="E9117" t="n">
        <v>12</v>
      </c>
      <c r="F9117">
        <f>HYPERLINK("https://www.reddit.com/r/cancer/comments/geafrh/does_anyone_else_cope_like_this/")</f>
        <v/>
      </c>
      <c r="G9117" t="inlineStr">
        <is>
          <t>2020-05-05 18:13:53</t>
        </is>
      </c>
      <c r="H9117" t="inlineStr"/>
    </row>
    <row r="9118">
      <c r="A9118" t="inlineStr">
        <is>
          <t>gebf9j</t>
        </is>
      </c>
      <c r="B9118" t="inlineStr">
        <is>
          <t>Port placement question!!</t>
        </is>
      </c>
      <c r="C9118" t="inlineStr">
        <is>
          <t>Port placement question!
My mom just had her port placed this morning, and there’s some redness bellow it and the area of the port itself is palier than other parts of her skin in that location. I’m not sure if this is normal or not and,  I don’t know what to do. Any info you have to offer would be amazing. 
Thanks a million</t>
        </is>
      </c>
      <c r="D9118" t="n">
        <v>1</v>
      </c>
      <c r="E9118" t="n">
        <v>4</v>
      </c>
      <c r="F9118">
        <f>HYPERLINK("https://www.reddit.com/r/cancer/comments/gebf9j/port_placement_question/")</f>
        <v/>
      </c>
      <c r="G9118" t="inlineStr">
        <is>
          <t>2020-05-05 19:20:10</t>
        </is>
      </c>
      <c r="H9118" t="inlineStr"/>
    </row>
    <row r="9119">
      <c r="A9119" t="inlineStr">
        <is>
          <t>ged3w1</t>
        </is>
      </c>
      <c r="B9119" t="inlineStr">
        <is>
          <t>Need help with research report.</t>
        </is>
      </c>
      <c r="C9119" t="inlineStr">
        <is>
          <t>To start off, I don't know if this is the right place to ask this, but I am arguing that the best treatment for lung cancer patients is gene therapy. If anyone has any useful information that they can give me it would be much appreciated.
Thank you in advance to all!</t>
        </is>
      </c>
      <c r="D9119" t="n">
        <v>1</v>
      </c>
      <c r="E9119" t="n">
        <v>2</v>
      </c>
      <c r="F9119">
        <f>HYPERLINK("https://www.reddit.com/r/cancer/comments/ged3w1/need_help_with_research_report/")</f>
        <v/>
      </c>
      <c r="G9119" t="inlineStr">
        <is>
          <t>2020-05-05 21:16:36</t>
        </is>
      </c>
      <c r="H9119" t="inlineStr"/>
    </row>
    <row r="9120">
      <c r="A9120" t="inlineStr">
        <is>
          <t>geeu6y</t>
        </is>
      </c>
      <c r="B9120" t="inlineStr">
        <is>
          <t>It’s my dad’s second time dealing with cancer, but this time it’s terminal</t>
        </is>
      </c>
      <c r="C9120" t="inlineStr">
        <is>
          <t>I just received the news today that his cancer is terminal. I cried obviously, but I always knew deep down that this type of cancer (throat) would be difficult to beat because it’s so rare. My dad has already done radiation, chemotherapy tx, immunotherapy tx, and now is on combo for both. Since then he had a loss in his voice, eating ability, and has been having difficulty breathing. The chemo has caused him to break out in rashes/throw up, etc. All he has been doing throughout the day is lay on the couch to watch TV. It makes me really sad and depressed because I grew up with both my parents being the very serious conservative Asian type and it’s hard for me to show love and affection towards them. Actually, very rarely did my parents show any type of affection towards us. Anyway, idk how much time he has left.. does anyone else feel that despite how difficult it is dealing with a parent with this condition, that it’s hard to show emotional support? Furthermore, how do I change this mindset and what are some ways that I can emotionally support him or keep myself sane? I’ve been having mental breakdowns on top of trying to finish graduate school and keep up with working. I’ll take any words of affirmation/support. Thanks in advance.</t>
        </is>
      </c>
      <c r="D9120" t="n">
        <v>1</v>
      </c>
      <c r="E9120" t="n">
        <v>4</v>
      </c>
      <c r="F9120">
        <f>HYPERLINK("https://www.reddit.com/r/cancer/comments/geeu6y/its_my_dads_second_time_dealing_with_cancer_but/")</f>
        <v/>
      </c>
      <c r="G9120" t="inlineStr">
        <is>
          <t>2020-05-05 23:37:07</t>
        </is>
      </c>
      <c r="H9120" t="inlineStr"/>
    </row>
    <row r="9121">
      <c r="A9121" t="inlineStr">
        <is>
          <t>gefkv1</t>
        </is>
      </c>
      <c r="B9121" t="inlineStr">
        <is>
          <t>My mom (43) was diagnosed with stage 4 peritoneal cancer</t>
        </is>
      </c>
      <c r="C9121" t="inlineStr">
        <is>
          <t>I am having a hard time coping with her diagnosis. It is taking a toll on her and she has already started chemo and has her second session tomorrow. Anyone have any advice or feel comfortable sharing personal experiences! I am avoiding looking up specifics but would appreciate any information from anyone who has dealt with peritoneal cancer.</t>
        </is>
      </c>
      <c r="D9121" t="n">
        <v>1</v>
      </c>
      <c r="E9121" t="n">
        <v>9</v>
      </c>
      <c r="F9121">
        <f>HYPERLINK("https://www.reddit.com/r/cancer/comments/gefkv1/my_mom_43_was_diagnosed_with_stage_4_peritoneal/")</f>
        <v/>
      </c>
      <c r="G9121" t="inlineStr">
        <is>
          <t>2020-05-06 00:43:28</t>
        </is>
      </c>
      <c r="H9121" t="inlineStr"/>
    </row>
    <row r="9122">
      <c r="A9122" t="inlineStr">
        <is>
          <t>gejakw</t>
        </is>
      </c>
      <c r="B9122" t="inlineStr">
        <is>
          <t>My dad, gone in one week.</t>
        </is>
      </c>
      <c r="C9122" t="inlineStr">
        <is>
          <t>My dad had back pain, and an MRI showed cancer everywhere. We could not see him because of covid.
One week later, this morning, he passed away from a heart attack at 57 years old. He deserved so much more time. 
Prostate was the primary source, please everyone get checked.
I miss you dad, I will love you forever.</t>
        </is>
      </c>
      <c r="D9122" t="n">
        <v>1</v>
      </c>
      <c r="E9122" t="n">
        <v>19</v>
      </c>
      <c r="F9122">
        <f>HYPERLINK("https://www.reddit.com/r/cancer/comments/gejakw/my_dad_gone_in_one_week/")</f>
        <v/>
      </c>
      <c r="G9122" t="inlineStr">
        <is>
          <t>2020-05-06 05:43:51</t>
        </is>
      </c>
      <c r="H9122" t="inlineStr"/>
    </row>
    <row r="9123">
      <c r="A9123" t="inlineStr">
        <is>
          <t>gekgme</t>
        </is>
      </c>
      <c r="B9123" t="inlineStr">
        <is>
          <t>Question about first round of chemo effects</t>
        </is>
      </c>
      <c r="C9123" t="inlineStr">
        <is>
          <t>So I just finished my first round of chemo which was 2 days of infusion. I'm starting my next round in 2 weeks then some scans and hopefully no radiation. My question is did any of you who went through chemo not have many side effects? I havent lost my hair which is nice. Also I havent really felt sick. No vomiting fatigue etc and eating fine. I do feel ichty from time to time and get gassy. My infusions have only been 3 hrs which is nice. I think it might be due to a lower dosage of the chemo drugs? My cancer was found in my adenoids when they removed them and did a biopsy. Then they did the CT scans and didnt find it anywhere else which is all good news. Still went through with the chemo to make sure it dont come back. Im taking edibles and also still vaping tobacco which I know I shouldn't and also relasped 2 weeks after my first round of chemo and drank a whole bottle of red wine. Anyone have any suggestions like dont drink until this is all over? Thanks and hopefully you all are doing 👍</t>
        </is>
      </c>
      <c r="D9123" t="n">
        <v>1</v>
      </c>
      <c r="E9123" t="n">
        <v>9</v>
      </c>
      <c r="F9123">
        <f>HYPERLINK("https://www.reddit.com/r/cancer/comments/gekgme/question_about_first_round_of_chemo_effects/")</f>
        <v/>
      </c>
      <c r="G9123" t="inlineStr">
        <is>
          <t>2020-05-06 06:56:17</t>
        </is>
      </c>
      <c r="H9123" t="inlineStr"/>
    </row>
    <row r="9124">
      <c r="A9124" t="inlineStr">
        <is>
          <t>gel6dp</t>
        </is>
      </c>
      <c r="B9124" t="inlineStr">
        <is>
          <t>Mental health &amp;amp; financial resources for cancer patients?</t>
        </is>
      </c>
      <c r="C9124" t="inlineStr">
        <is>
          <t>My boyfriend was diagnosed with cancer in March and has been suffering from bouts of depression. Covering his medical bills is stretching him thin financially and he simply can't afford counseling on top of that. Are there any free or low cost options for cancer patients? I know there are help lines and support groups, but I'm looking for something more like traditional therapy (although phone/video sessions would be welcome under the current circumstances). I think his cancer diagnosis has exacerbated previously undiagnosed depression.
I've also looked into general financial help, but even though he's seriously struggling, his income is too high to qualify. Any guidance would be greatly appreciated.</t>
        </is>
      </c>
      <c r="D9124" t="n">
        <v>1</v>
      </c>
      <c r="E9124" t="n">
        <v>10</v>
      </c>
      <c r="F9124">
        <f>HYPERLINK("https://www.reddit.com/r/cancer/comments/gel6dp/mental_health_financial_resources_for_cancer/")</f>
        <v/>
      </c>
      <c r="G9124" t="inlineStr">
        <is>
          <t>2020-05-06 07:36:57</t>
        </is>
      </c>
      <c r="H9124" t="inlineStr"/>
    </row>
    <row r="9125">
      <c r="A9125" t="inlineStr">
        <is>
          <t>geofl5</t>
        </is>
      </c>
      <c r="B9125" t="inlineStr">
        <is>
          <t>i think im dying</t>
        </is>
      </c>
      <c r="C9125" t="inlineStr">
        <is>
          <t>i was constipated one day and then had Hemorrhoids. i do not eat green vegetables or a lot of fruit except oranges and if i eat oranges its only when i crave them . today my stool was normal and brown no blood or anything alarming . yesterday my stool was thinner and it scared me . last days prior ive had diarreah due to anxiety and laxitives cause if i dont use a laxitive i will be constipated for 3 days straight . may i also add i am a hypochondriac</t>
        </is>
      </c>
      <c r="D9125" t="n">
        <v>1</v>
      </c>
      <c r="E9125" t="n">
        <v>3</v>
      </c>
      <c r="F9125">
        <f>HYPERLINK("https://www.reddit.com/r/cancer/comments/geofl5/i_think_im_dying/")</f>
        <v/>
      </c>
      <c r="G9125" t="inlineStr">
        <is>
          <t>2020-05-06 10:29:46</t>
        </is>
      </c>
      <c r="H9125" t="inlineStr"/>
    </row>
    <row r="9126">
      <c r="A9126" t="inlineStr">
        <is>
          <t>gepd4j</t>
        </is>
      </c>
      <c r="B9126" t="inlineStr">
        <is>
          <t>Friends husband has cancer. how can I best support them?</t>
        </is>
      </c>
      <c r="C9126" t="inlineStr">
        <is>
          <t>Subject says it all.  I want to be supportive but don't want to overstep.  I have sent an occasional text of encouragement and suggested they setup a caringbridge account.  is there anything else I can do?  we are close work friends.  they just found out about 10 days ago so they are still in shock.  difficult time for them and I'm very sad.  how can I be a good friend for them?</t>
        </is>
      </c>
      <c r="D9126" t="n">
        <v>1</v>
      </c>
      <c r="E9126" t="n">
        <v>9</v>
      </c>
      <c r="F9126">
        <f>HYPERLINK("https://www.reddit.com/r/cancer/comments/gepd4j/friends_husband_has_cancer_how_can_i_best_support/")</f>
        <v/>
      </c>
      <c r="G9126" t="inlineStr">
        <is>
          <t>2020-05-06 11:18:31</t>
        </is>
      </c>
      <c r="H9126" t="inlineStr"/>
    </row>
    <row r="9127">
      <c r="A9127" t="inlineStr">
        <is>
          <t>geq4bg</t>
        </is>
      </c>
      <c r="B9127" t="inlineStr">
        <is>
          <t>RT scheduled for 10 weeks after grandpa's glioma surgery - is such a delay a reason for concern?</t>
        </is>
      </c>
      <c r="C9127" t="inlineStr">
        <is>
          <t>Short bio first:
    Age: 68
    Sex: male
    Height: 170cm
    Weight: 72kg
    Race: caucasian
    Duration of complaint: 39 days since tumor surgery
    Location (Geographic and on body): Poland, GBM
    Any existing relevant medical issues (if any): diabetes type 2, atherosclerosis; deep vein thrombosis two years ago
My grandpa (68) has undergone a brain tumor surgery exactly 39 days ago (either a grade III anaplastic oligodendroglioma or a grade IV glioblastoma, that's what the histopathology results read). During this time, we were doing all we could to arrange the start of his radiochemotherapy for as soon as possible. So we chose the hospital closest to home so that we could drive him for the RT every day without the need to stay at the hospital, we managed to do all the needed tests/prerequisites (like an MRI to check for the condition of his brain after surgery or the making of the mask used for RT) and today we went for the final appointment with the oncologist at the hospital to have the start of the RT appointed and he told us it was going to be *June 1st*.
This really baffled me cause I read all accounts about time being key here and we did not slack at any point, did everything right away and yet the start date is scheduled for almost _10 weeks_ since his surgery... I talked all about it both with the onco that we had an appointment with, and another one that talked to us about the logistics of starting the RT and they both told me that grandpa has to be in a hospital instead of being driven from home because of the risk of swelling and seizures that comes with radiochemotherapy and that they'll give him anti-seizure and anti-swelling drugs intravenously. Combining that need for a stationary therapy with the fact that the oncology ward is currently closed off at the hospital due to a quarantine because of corona, they had to push the admission back to the aforementioned June 1st instead of starting it sooner.
I'm really desperate right now cause I wouldn't want to have all these additional weeks we did not account for (nor brought upon us cause we're really doing everything ASAP) and a surgery which went really well (both according to the neurosurgeon that did it and the oncologist after seeing the MRI) to go to waste because of the delay... Is 10 weeks something we should be scared of? I just see no real ways of shortening that timeframe because the ward here can't open until the virus situation there is under control and switching hospitals at that stage is really unlikely to provide a shorter date and the additional wait driving me insane...</t>
        </is>
      </c>
      <c r="D9127" t="n">
        <v>1</v>
      </c>
      <c r="E9127" t="n">
        <v>0</v>
      </c>
      <c r="F9127">
        <f>HYPERLINK("https://www.reddit.com/r/cancer/comments/geq4bg/rt_scheduled_for_10_weeks_after_grandpas_glioma/")</f>
        <v/>
      </c>
      <c r="G9127" t="inlineStr">
        <is>
          <t>2020-05-06 11:58:14</t>
        </is>
      </c>
      <c r="H9127" t="inlineStr"/>
    </row>
    <row r="9128">
      <c r="A9128" t="inlineStr">
        <is>
          <t>geqeyx</t>
        </is>
      </c>
      <c r="B9128" t="inlineStr">
        <is>
          <t>Anyone here taking Vitamin C?</t>
        </is>
      </c>
      <c r="C9128" t="inlineStr">
        <is>
          <t>Do you guys take vitamins or anything like that to help with your treatment? If you take Vit C it has to be lipsomal vitamin C. Higher dose the better. the best one is in liquid form, you take a teaspoon and it has 1000mg of vit c which is readily absorbed by your cells without needing to be digested like regular vit c. it's expensive but worth it
Especially if you are on chemo, take lipsomal vit c to boost your immune system. Also black seed oil is great for cancer patients</t>
        </is>
      </c>
      <c r="D9128" t="n">
        <v>1</v>
      </c>
      <c r="E9128" t="n">
        <v>0</v>
      </c>
      <c r="F9128">
        <f>HYPERLINK("https://www.reddit.com/r/cancer/comments/geqeyx/anyone_here_taking_vitamin_c/")</f>
        <v/>
      </c>
      <c r="G9128" t="inlineStr">
        <is>
          <t>2020-05-06 12:13:31</t>
        </is>
      </c>
      <c r="H9128" t="inlineStr"/>
    </row>
    <row r="9129">
      <c r="A9129" t="inlineStr">
        <is>
          <t>gera4j</t>
        </is>
      </c>
      <c r="B9129" t="inlineStr">
        <is>
          <t>My mom has multiple myeloma and I don't know what to do.</t>
        </is>
      </c>
      <c r="C9129" t="inlineStr">
        <is>
          <t>Hi guys. 
So my mom has cancer. She has stage 1 multiple myeloma, which has no cure. My mom is 40. I don't know how to handle this. My mom is the only one left that has been with me since I was a baby. My father said I wasn't his, my grandparents who helped raise me are no longer here, my Grammy died of lung cancer in 2016 and my papa left. I have a stepdad and a younger brother but from the beginning it has always been me and my mom. She and I are best friends. I cant even comprehend this. Just the other day she ran a spontaneous half marathon around our neighborhood. Shes young, she takes care of her health in every way, and she shouldnt have this. The doctors think she has ms too and if she does she cant go on immediate treatment, meaning the cancer can progress faster. She also has a mutation in her 17th chromosome that causes it to produce plasma faster, which may make it progress faster. I dont know what to do. I cant lose my mom. I'm only 17 and my brother is only 11. I don't know what I'm trying to get from this post, I think im just venting. Please forgive any mistakes , I normally am more organized and proper but I'm crying right now.</t>
        </is>
      </c>
      <c r="D9129" t="n">
        <v>1</v>
      </c>
      <c r="E9129" t="n">
        <v>6</v>
      </c>
      <c r="F9129">
        <f>HYPERLINK("https://www.reddit.com/r/cancer/comments/gera4j/my_mom_has_multiple_myeloma_and_i_dont_know_what/")</f>
        <v/>
      </c>
      <c r="G9129" t="inlineStr">
        <is>
          <t>2020-05-06 12:58:46</t>
        </is>
      </c>
      <c r="H9129" t="inlineStr"/>
    </row>
    <row r="9130">
      <c r="A9130" t="inlineStr">
        <is>
          <t>gerhm8</t>
        </is>
      </c>
      <c r="B9130" t="inlineStr">
        <is>
          <t>COVID-19 Attitudes and Behaviors</t>
        </is>
      </c>
      <c r="C9130" t="inlineStr">
        <is>
          <t>Hi all,
I didn't see a message about moderator approval for surveys for academic research, but here is a descriptive paragraph about the research scope (more can be found on consent form). Please let me know if you have any additional questions. 
I’m a student at a US university studying psychology, specifically how psychological factors affect individuals’ health behaviors. If you have time to participate, the survey linked below asks about your attitudes and behaviors during the COVID-19 pandemic. It is a pretty comprehensive survey, taking about 20-40 minutes (time is a wide range because many questions are open-ended). As an undergrad, I wish I could compensate everyone for participation, but I'm only able to to a gift card raffle. If you complete the survey and choose to be entered, we will randomly select participants to win gift cards. You will submit any identifiable info (email address for a gift card) through a separate link that is not tied to your responses. **We're hoping to recruit a diverse and representative sample, so any help is greatly appreciated!**
Our IRB (a regulatory board that protects research participants) has required that I add the following:
A psychology research lab at Loyola University is conducting a study on adults’ **(over the age of 35 -** as we've reached our target sample size for younger adults**)** response to the COVID-19 pandemic. If you’re interested in participating, please click the link. Please do not comment on your participation in the study or lack thereof. Sharing of this study link is voluntary and any risks associated with the sharing of this link are assumed by the individuals who choose to do so.
[https://loyno.az1.qualtrics.com/jfe/form/SV\_9RVMmPu4NqAQWyx](https://loyno.az1.qualtrics.com/jfe/form/SV_9RVMmPu4NqAQWyx)
Thank you all!</t>
        </is>
      </c>
      <c r="D9130" t="n">
        <v>1</v>
      </c>
      <c r="E9130" t="n">
        <v>1</v>
      </c>
      <c r="F9130">
        <f>HYPERLINK("https://www.reddit.com/r/cancer/comments/gerhm8/covid19_attitudes_and_behaviors/")</f>
        <v/>
      </c>
      <c r="G9130" t="inlineStr">
        <is>
          <t>2020-05-06 13:09:22</t>
        </is>
      </c>
      <c r="H9130" t="inlineStr"/>
    </row>
    <row r="9131">
      <c r="A9131" t="inlineStr">
        <is>
          <t>ges4jg</t>
        </is>
      </c>
      <c r="B9131" t="inlineStr">
        <is>
          <t>Meals and radiation + chemo treatment</t>
        </is>
      </c>
      <c r="C9131" t="inlineStr">
        <is>
          <t>I'm asking on behalf of my brother, who has a rare form of sinus cancer. It's been a battle for 2.5 years. Surgeries, radiation, etc.
He's now undergoing chemo + radiation. He's in his early 40's, always been healthy, etc. This caught everyone by surprise. I am trying to give ideas for helping him eat to keep his weight up.
He's vegetarian and having a lot of aversions as of the past few days - eggs, fried foods, thick consistencies like smoothies. He's fairly thin normally, but with cancer, he loses a lot of weight quickly.
Do you have any ideas that I can pass onto him as far as nutrition goes? Please don't say becoming a meat-eater, I understand that might be the first reaction that some might have, but it's not going to happen and won't be helpful right now.  
Thank you so much!</t>
        </is>
      </c>
      <c r="D9131" t="n">
        <v>1</v>
      </c>
      <c r="E9131" t="n">
        <v>12</v>
      </c>
      <c r="F9131">
        <f>HYPERLINK("https://www.reddit.com/r/cancer/comments/ges4jg/meals_and_radiation_chemo_treatment/")</f>
        <v/>
      </c>
      <c r="G9131" t="inlineStr">
        <is>
          <t>2020-05-06 13:42:18</t>
        </is>
      </c>
      <c r="H9131" t="inlineStr"/>
    </row>
    <row r="9132">
      <c r="A9132" t="inlineStr">
        <is>
          <t>ges89w</t>
        </is>
      </c>
      <c r="B9132" t="inlineStr">
        <is>
          <t>Could really use a friend to talk to</t>
        </is>
      </c>
      <c r="C9132" t="inlineStr">
        <is>
          <t>Hello there, early this year I found out I had relapsed and the Hodgkins Lymphoma had returned. I just finished my finals and am now graduated, and while finishing my last semester of undergrad have been doing chemo treatments. I just had my 3rd and last chemo a couple weeks ago now, and I will now be preparing to go in for a stem cell transplant within the next month. 
These past few weeks I have had my good and bad days, but more and more I keep feeling really down, depressed and anxious about my situation. I have a great support system, friends and family I can talk to, but sometimes there are things on my mind that I can't bring myself to burden them with. I don't want to cause them any extra worry or stress. 
It would be nice to have a sort of "cancer buddy" that I could talk more freely with, someone that maybe can relate a little more. I want to have a friend to talk to that I won't feel like they pitty me. So anyways, I guess message me if you would like to vent about how much cancer sucks together.</t>
        </is>
      </c>
      <c r="D9132" t="n">
        <v>1</v>
      </c>
      <c r="E9132" t="n">
        <v>41</v>
      </c>
      <c r="F9132">
        <f>HYPERLINK("https://www.reddit.com/r/cancer/comments/ges89w/could_really_use_a_friend_to_talk_to/")</f>
        <v/>
      </c>
      <c r="G9132" t="inlineStr">
        <is>
          <t>2020-05-06 13:47:39</t>
        </is>
      </c>
      <c r="H9132" t="inlineStr"/>
    </row>
    <row r="9133">
      <c r="A9133" t="inlineStr">
        <is>
          <t>geu1cf</t>
        </is>
      </c>
      <c r="B9133" t="inlineStr">
        <is>
          <t>Pain when sitting</t>
        </is>
      </c>
      <c r="C9133" t="inlineStr">
        <is>
          <t>I feel like I have OC (ovarian cancer), there is pain in my lower abdomen if I sit forward (like when my body are a 90 degree angle to my thighs) idk how to describe this properly as englisg is not my first language. I have had severe bloating since seven years ago, and my tummy always looked big so I sucked it in all the time. I’m afraid I either have OC or my intestines or entire digestive system have slid down lower because of the habit of sucking my stomach in. The pain only started 2yrs ago and I never went to the doctor. I cant sit in an Indian squat position bc its uncomfortable for me. Could this be a symptom of OC? I also have constipation btw. No bleeding (as of now).</t>
        </is>
      </c>
      <c r="D9133" t="n">
        <v>1</v>
      </c>
      <c r="E9133" t="n">
        <v>6</v>
      </c>
      <c r="F9133">
        <f>HYPERLINK("https://www.reddit.com/r/cancer/comments/geu1cf/pain_when_sitting/")</f>
        <v/>
      </c>
      <c r="G9133" t="inlineStr">
        <is>
          <t>2020-05-06 15:24:16</t>
        </is>
      </c>
      <c r="H9133" t="inlineStr"/>
    </row>
    <row r="9134">
      <c r="A9134" t="inlineStr">
        <is>
          <t>gev6mk</t>
        </is>
      </c>
      <c r="B9134" t="inlineStr">
        <is>
          <t>My dad told me today he may have kidney cancer, what now</t>
        </is>
      </c>
      <c r="C9134" t="inlineStr">
        <is>
          <t>I am a bit of a mess right now, so I apologize for any errors. My dad just told me today that on Sunday he was in the hospital because he was peeing blood and had bad pains. They found a spot on one of his kidneys that seems to be a tumor. He is 72, and has had prostate cancer before that he beat about 15 years ago. He recently had a stroke and is not in the greatest health. I just need someone to tell me straight up, is his odds of survival low? I keep trying to convince myself he will be fine but I am having a hard time dealing with this</t>
        </is>
      </c>
      <c r="D9134" t="n">
        <v>1</v>
      </c>
      <c r="E9134" t="n">
        <v>3</v>
      </c>
      <c r="F9134">
        <f>HYPERLINK("https://www.reddit.com/r/cancer/comments/gev6mk/my_dad_told_me_today_he_may_have_kidney_cancer/")</f>
        <v/>
      </c>
      <c r="G9134" t="inlineStr">
        <is>
          <t>2020-05-06 16:29:30</t>
        </is>
      </c>
      <c r="H9134" t="inlineStr"/>
    </row>
    <row r="9135">
      <c r="A9135" t="inlineStr">
        <is>
          <t>gezq4n</t>
        </is>
      </c>
      <c r="B9135" t="inlineStr">
        <is>
          <t>My brother in law is in hospice</t>
        </is>
      </c>
      <c r="C9135" t="inlineStr">
        <is>
          <t>To anyone who has dealt with how did y’all cope?
My bro in law was diagnosed with stage 4 lung cancer. The man never smoked a day in his life and for a while he was getting better he was good but then his legs broke due to the cancer spreading and he went to a hospital that nearly killed him. Luckily his wife a.k.a my sister fought tooth and nail to transfer him to m.d Anderson cancer center. She is the strongest person I’ve ever seen she literally fasted when her husband couldn’t eat and stayed without eating just so she could stay in the hospital due to covid 19.
But now the cancer has spread everywhere and now my brother in law has stopped treatment and went home and I don’t know what to do. I saw him today I broke down the tears wouldn’t stop I told him I loved him like a father and that I hope he is feeling better. I’m sorry I’m rambling I’ve been drinking to cope but how have y’all dealt with cause I don’t know how too.</t>
        </is>
      </c>
      <c r="D9135" t="n">
        <v>1</v>
      </c>
      <c r="E9135" t="n">
        <v>3</v>
      </c>
      <c r="F9135">
        <f>HYPERLINK("https://www.reddit.com/r/cancer/comments/gezq4n/my_brother_in_law_is_in_hospice/")</f>
        <v/>
      </c>
      <c r="G9135" t="inlineStr">
        <is>
          <t>2020-05-06 21:21:42</t>
        </is>
      </c>
      <c r="H9135" t="inlineStr"/>
    </row>
    <row r="9136">
      <c r="A9136" t="inlineStr">
        <is>
          <t>gf0ka6</t>
        </is>
      </c>
      <c r="B9136" t="inlineStr">
        <is>
          <t>Sleeplessness (post-cancer)</t>
        </is>
      </c>
      <c r="C9136" t="inlineStr">
        <is>
          <t>I don't know if this is common but I'm just looking for some feedback from the community.
I finished chemo 18 months ago and had surgery 17 months ago to remove what was left of my cancer. Since then I've had some ups and downs, mentally and physically, which is rather normal I hear. Escitalopram was prescribed to help with the post-cancer depression and I'm glad to say that I'm able to start wraning off it now.
For a few months now I've been being restless at night, waking up several times most nights. I'm trying not to nap during the day so that I sleep better at night, but it doesn't seem to help me much. I'll be starting an internship next month, so I am trying to get on a schedule that works with what my work schedule will be.
Is this a common thing post-cancer? I've talked to my doctor about it but he's not sure, he says he thought that the escitalopram would help some but clearly it didn't.
Thanks in advance for your input!
Starkiller</t>
        </is>
      </c>
      <c r="D9136" t="n">
        <v>1</v>
      </c>
      <c r="E9136" t="n">
        <v>9</v>
      </c>
      <c r="F9136">
        <f>HYPERLINK("https://www.reddit.com/r/cancer/comments/gf0ka6/sleeplessness_postcancer/")</f>
        <v/>
      </c>
      <c r="G9136" t="inlineStr">
        <is>
          <t>2020-05-06 22:27:25</t>
        </is>
      </c>
      <c r="H9136" t="inlineStr"/>
    </row>
    <row r="9137">
      <c r="A9137" t="inlineStr">
        <is>
          <t>gf4uoy</t>
        </is>
      </c>
      <c r="B9137" t="inlineStr">
        <is>
          <t>Be your own proponemt</t>
        </is>
      </c>
      <c r="C9137" t="inlineStr">
        <is>
          <t>Something I (32M) have been learning on my cancer journey is to be actively involved in your treatments. That means following up on results, bringing up other treatments that are out there, and pushing to make sure things are done timely. Obviously the doctors are the experts but no one is more invested in your case than you are.
I'll share one example, partly to brag because it has been a long time since something has gone my way. I was stage 3 but had been given months to live and was told my tumors were inoperable. They had me waiting until chemo was finished to talk to a surgeon. I requested to talk to my surgeon immediately, main reason was to give me time to find a surgeon that would be willing to operate. 
My surgeon told me that my only chance was to operate now or it was "game over", so it was a good thing I didn't wait. My surgery was Tuesday and before the surgery they told me they were trying to resect 90% of the tumors and wouldn't even try on one that was too close to heart and artery. I let them know I would prefer they risk it and go for the full resection, as that was going to be my only chance for a long term cute.
The results were fantastic, they got 100% of tumors removed! I feel like I had to do a lot of pushing on my part to achieve these results. Basically just letting them know I was going for a cure still and not just prolonging my life. And willing to accept the risks.</t>
        </is>
      </c>
      <c r="D9137" t="n">
        <v>1</v>
      </c>
      <c r="E9137" t="n">
        <v>0</v>
      </c>
      <c r="F9137">
        <f>HYPERLINK("https://www.reddit.com/r/cancer/comments/gf4uoy/be_your_own_proponemt/")</f>
        <v/>
      </c>
      <c r="G9137" t="inlineStr">
        <is>
          <t>2020-05-07 04:34:16</t>
        </is>
      </c>
      <c r="H9137" t="inlineStr"/>
    </row>
    <row r="9138">
      <c r="A9138" t="inlineStr">
        <is>
          <t>gf7hl6</t>
        </is>
      </c>
      <c r="B9138" t="inlineStr">
        <is>
          <t>Advice on how to tell 14yo and 11yo their dad has CMML leukemia?</t>
        </is>
      </c>
      <c r="C9138" t="inlineStr">
        <is>
          <t>My ex-husband (40) was diagnosed with CMML 1 (chronic myleomonocytic leukemia) a few weeks ago. We are going to tell our sons today (our 19yo daughter already knows). Any advice on how to talk to them about this is appreciated. 18 months ago they had to deal with their dad and I separating and then divorcing and now this...</t>
        </is>
      </c>
      <c r="D9138" t="n">
        <v>4</v>
      </c>
      <c r="E9138" t="n">
        <v>17</v>
      </c>
      <c r="F9138">
        <f>HYPERLINK("https://www.reddit.com/r/cancer/comments/gf7hl6/advice_on_how_to_tell_14yo_and_11yo_their_dad_has/")</f>
        <v/>
      </c>
      <c r="G9138" t="inlineStr">
        <is>
          <t>2020-05-07 07:24:15</t>
        </is>
      </c>
      <c r="H9138" t="inlineStr"/>
    </row>
    <row r="9139">
      <c r="A9139" t="inlineStr">
        <is>
          <t>gf8e46</t>
        </is>
      </c>
      <c r="B9139" t="inlineStr">
        <is>
          <t>Just found out my dad may have pancreatic cancer. Not sure what to expect.</t>
        </is>
      </c>
      <c r="C9139" t="inlineStr">
        <is>
          <t>So I just got a call from my dad that he has been sick for a few months and went to his doctor and they discovered some "legions" on his pancreas (he is also diabetic).   They are bringing him in tomorrow for a cat scan with dye to get better images but obviously we are kinda terrified and was wondering if anybody here has personal experience of a family member they wouldnt mind sharing with me.  What they experienced before the diagnosis, treatment, survivability, etc.  I dont even really know what to ask but I'd like to be as prepared as possible in the event I'm needed and I want to make sure I know what to ask about and look for. 
Thank you.</t>
        </is>
      </c>
      <c r="D9139" t="n">
        <v>1</v>
      </c>
      <c r="E9139" t="n">
        <v>4</v>
      </c>
      <c r="F9139">
        <f>HYPERLINK("https://www.reddit.com/r/cancer/comments/gf8e46/just_found_out_my_dad_may_have_pancreatic_cancer/")</f>
        <v/>
      </c>
      <c r="G9139" t="inlineStr">
        <is>
          <t>2020-05-07 08:15:04</t>
        </is>
      </c>
      <c r="H9139" t="inlineStr"/>
    </row>
    <row r="9140">
      <c r="A9140" t="inlineStr">
        <is>
          <t>gf8w1w</t>
        </is>
      </c>
      <c r="B9140" t="inlineStr">
        <is>
          <t>Does Anyone Have Experience w/ Tamoxifen?</t>
        </is>
      </c>
      <c r="C9140" t="inlineStr">
        <is>
          <t>I'd really like to know about your experience. My now ex-girlfriend went on it. Our relationship has ended since. She basically disappeared. While we've occasionally seen and spoken to each other since, I don't know what to think or how to deal with this.</t>
        </is>
      </c>
      <c r="D9140" t="n">
        <v>1</v>
      </c>
      <c r="E9140" t="n">
        <v>10</v>
      </c>
      <c r="F9140">
        <f>HYPERLINK("https://www.reddit.com/r/cancer/comments/gf8w1w/does_anyone_have_experience_w_tamoxifen/")</f>
        <v/>
      </c>
      <c r="G9140" t="inlineStr">
        <is>
          <t>2020-05-07 08:41:59</t>
        </is>
      </c>
      <c r="H9140" t="inlineStr"/>
    </row>
    <row r="9141">
      <c r="A9141" t="inlineStr">
        <is>
          <t>gf9rfw</t>
        </is>
      </c>
      <c r="B9141" t="inlineStr">
        <is>
          <t>I’m off for my scans!</t>
        </is>
      </c>
      <c r="C9141" t="inlineStr">
        <is>
          <t>It’s a short post, just hoping for good luck :) I’m pretty scared for them, even though I’ve been NED for 2 years . Anyone else feel that way?</t>
        </is>
      </c>
      <c r="D9141" t="n">
        <v>3</v>
      </c>
      <c r="E9141" t="n">
        <v>15</v>
      </c>
      <c r="F9141">
        <f>HYPERLINK("https://www.reddit.com/r/cancer/comments/gf9rfw/im_off_for_my_scans/")</f>
        <v/>
      </c>
      <c r="G9141" t="inlineStr">
        <is>
          <t>2020-05-07 09:26:47</t>
        </is>
      </c>
      <c r="H9141" t="inlineStr"/>
    </row>
    <row r="9142">
      <c r="A9142" t="inlineStr">
        <is>
          <t>gfaiaq</t>
        </is>
      </c>
      <c r="B9142" t="inlineStr">
        <is>
          <t>Mom died to cancer a month ago and now my dad has a neck lump that is more than likely cancer</t>
        </is>
      </c>
      <c r="C9142" t="inlineStr">
        <is>
          <t>I don't even know what is going on in my life.
I'm only 20 years old, my mom just died to lung cancer and now my dad is gonna get checked in a week due to having a hard, immovable lump on the side of his neck, which the doctor believes to be nothing good.
What kind of cancer could cause a lump on the left side of the neck?
I'm really fucking done with life.</t>
        </is>
      </c>
      <c r="D9142" t="n">
        <v>2</v>
      </c>
      <c r="E9142" t="n">
        <v>8</v>
      </c>
      <c r="F9142">
        <f>HYPERLINK("https://www.reddit.com/r/cancer/comments/gfaiaq/mom_died_to_cancer_a_month_ago_and_now_my_dad_has/")</f>
        <v/>
      </c>
      <c r="G9142" t="inlineStr">
        <is>
          <t>2020-05-07 10:04:32</t>
        </is>
      </c>
      <c r="H9142" t="inlineStr"/>
    </row>
    <row r="9143">
      <c r="A9143" t="inlineStr">
        <is>
          <t>gfamss</t>
        </is>
      </c>
      <c r="B9143" t="inlineStr">
        <is>
          <t>Suggestions for a care package for my friend with lung cancer?</t>
        </is>
      </c>
      <c r="C9143" t="inlineStr">
        <is>
          <t>My friend recently got diagnosed with lung cancer — I don’t know much more detail than that but he is currently going through chemo. I want to make a care package to drop off for him, no contact of course because of COVID, and am looking for suggestions for things to put in it. He’s going to be 30 this year, likes making and listening to music, mexican food, movies, reading, and inadvertently killing every houseplant he has.</t>
        </is>
      </c>
      <c r="D9143" t="n">
        <v>1</v>
      </c>
      <c r="E9143" t="n">
        <v>5</v>
      </c>
      <c r="F9143">
        <f>HYPERLINK("https://www.reddit.com/r/cancer/comments/gfamss/suggestions_for_a_care_package_for_my_friend_with/")</f>
        <v/>
      </c>
      <c r="G9143" t="inlineStr">
        <is>
          <t>2020-05-07 10:10:35</t>
        </is>
      </c>
      <c r="H9143" t="inlineStr"/>
    </row>
    <row r="9144">
      <c r="A9144" t="inlineStr">
        <is>
          <t>gfel40</t>
        </is>
      </c>
      <c r="B9144" t="inlineStr">
        <is>
          <t>COVID19 and 'collateral damage'</t>
        </is>
      </c>
      <c r="C9144" t="inlineStr">
        <is>
          <t>Are any of you or your loved ones currently challenged with the fact that COVID19 has in many locations pushed aside other medical treatment including cancer? I am struggling with this and hope we all find relief soon.
Besides surgeries delayed, complementary therapies such as physio, RMT, lymphatic treatment, kineseology, myofascial treatment, gyms, pools, saunas, float rooms, are closed or looking to reopen with very limited hours and availability.
In Germany, 'Reha' was delayed for many. In British Columbia, the surgical delay list is two years (which includes things like reconstruction) In Ontario, the government referred to cardiac deaths due to no treatment due to COVID19 as collateral damage.
I've read so many posts here which see COVID19 as the primary threat to life, and so many posters who are scared to leave their homes until there is a vaccine. But the rest of us deal with the prospect of death daily, and now have an additional mental and physical burden as our care has been impacted.
While COVID19 is of course a critical topic right now, I'm saddened and frustrated that the rest of us are overlooked (along with cardiac patients and transplant patients and others in pain) Pointing out that the daily death rate from cancer is higher than the COVID19 death rate in many places just results in responses like 'cancer is not contagious'.
https://www.cbc.ca/radio/whitecoat/sidelined-patients-reject-being-collateral-damage-because-of-covid-19-1.5541895</t>
        </is>
      </c>
      <c r="D9144" t="n">
        <v>1</v>
      </c>
      <c r="E9144" t="n">
        <v>2</v>
      </c>
      <c r="F9144">
        <f>HYPERLINK("https://www.reddit.com/r/cancer/comments/gfel40/covid19_and_collateral_damage/")</f>
        <v/>
      </c>
      <c r="G9144" t="inlineStr">
        <is>
          <t>2020-05-07 13:32:50</t>
        </is>
      </c>
      <c r="H9144" t="inlineStr"/>
    </row>
    <row r="9145">
      <c r="A9145" t="inlineStr">
        <is>
          <t>gffvt4</t>
        </is>
      </c>
      <c r="B9145" t="inlineStr">
        <is>
          <t>Deciding between chemo and no chemo</t>
        </is>
      </c>
      <c r="C9145" t="inlineStr">
        <is>
          <t>Hey my dad was diagnosed with stage 4 upper tract uratherual cancer that has metastasized to his lymph nodes. He was given up to a year to live without chemo (on average) and 1.5-2 years with chemo. The cancer is not curable. 
The chemo would be a reduced amount (75%) of carboplatin and gemcitabine. He’s diabetic, had two minor heart attacks and his left kidney has died due to the tumor blocking it.
He’s on the fence about getting chemo. Obviously each person is different, but the fact that he may only live 6 months to 1 year longer - he’s unsure if it’s worth it. 
Looking to hear from anyone that turned down chemo or had a family member turn it down. How did you make that decision? What came of it? Any regret? Anything you would do differently next time? 
Also any resources would be appreciated.  Thank you!</t>
        </is>
      </c>
      <c r="D9145" t="n">
        <v>1</v>
      </c>
      <c r="E9145" t="n">
        <v>7</v>
      </c>
      <c r="F9145">
        <f>HYPERLINK("https://www.reddit.com/r/cancer/comments/gffvt4/deciding_between_chemo_and_no_chemo/")</f>
        <v/>
      </c>
      <c r="G9145" t="inlineStr">
        <is>
          <t>2020-05-07 14:41:38</t>
        </is>
      </c>
      <c r="H9145" t="inlineStr"/>
    </row>
    <row r="9146">
      <c r="A9146" t="inlineStr">
        <is>
          <t>gfgs61</t>
        </is>
      </c>
      <c r="B9146" t="inlineStr">
        <is>
          <t>College student feeling overwhelmed: MRI &amp;amp; midterm yesterday</t>
        </is>
      </c>
      <c r="C9146" t="inlineStr">
        <is>
          <t>(19f) Diagnosed w papillary thyroid cancer back in October last year, had my total thyroidectomy done in December. Was given an all-clear until a checkup in March where my dr found a new lump. Was a bummer bc I took fall &amp;amp; winter quarter off from college, thought spring quarter was my time to start "anew"...  
Another ultrasound --&amp;gt; biopsy last week --&amp;gt; MRI 
Been really down lately because I feel like I'm going through this process all over again. Grateful that I'm still able to receive care because I know others have had their thy-can treatment postponed bc of the pandemic but it's made my anxiety even worse. During my biopsy, they even jokingly told me I must be a "special case" because they aren't doing any thyroid biopsies rn. It's made me even more worried because ??Why am I an anomaly?!!?!? 
I've also been struggling with the transition to online school &amp;amp; feeling so overwhelmed by life. It's hard to focus on school at home &amp;amp; this looming over me but I'll be okay. I'm just exhausted at the moment.
Really praying this is just a scare &amp;amp; it comes back as scar tissue. RAI treatment's been postponed but I'll fret about that later, haha.
If you've read this far, thank you for letting me vent. 
Wishing you all the best, take care!</t>
        </is>
      </c>
      <c r="D9146" t="n">
        <v>1</v>
      </c>
      <c r="E9146" t="n">
        <v>13</v>
      </c>
      <c r="F9146">
        <f>HYPERLINK("https://www.reddit.com/r/cancer/comments/gfgs61/college_student_feeling_overwhelmed_mri_midterm/")</f>
        <v/>
      </c>
      <c r="G9146" t="inlineStr">
        <is>
          <t>2020-05-07 15:31:44</t>
        </is>
      </c>
      <c r="H9146" t="inlineStr"/>
    </row>
    <row r="9147">
      <c r="A9147" t="inlineStr">
        <is>
          <t>gfhzt4</t>
        </is>
      </c>
      <c r="B9147" t="inlineStr">
        <is>
          <t>My mum's fear of corona is freaking me out. I don't know how to help.</t>
        </is>
      </c>
      <c r="C9147" t="inlineStr">
        <is>
          <t>My mum survived non-hodgkins lymphoma in 2016, but the coronavirus has reignited her death anxiety and i don't know how to support her or even deal with the situation on my own. I wasn't particularly worried until she started freaking out about contracting the virus. How can i comfort her or at the very least find a way to manage the fear that she might get sick and be impacted by corona? I want to help but i don' t know how. I can't be the only one with a relative who's fear of corona is overwhelming. Any replies would be appreciated. Thanks guys.</t>
        </is>
      </c>
      <c r="D9147" t="n">
        <v>1</v>
      </c>
      <c r="E9147" t="n">
        <v>3</v>
      </c>
      <c r="F9147">
        <f>HYPERLINK("https://www.reddit.com/r/cancer/comments/gfhzt4/my_mums_fear_of_corona_is_freaking_me_out_i_dont/")</f>
        <v/>
      </c>
      <c r="G9147" t="inlineStr">
        <is>
          <t>2020-05-07 16:41:57</t>
        </is>
      </c>
      <c r="H9147" t="inlineStr"/>
    </row>
    <row r="9148">
      <c r="A9148" t="inlineStr">
        <is>
          <t>gfj4s0</t>
        </is>
      </c>
      <c r="B9148" t="inlineStr">
        <is>
          <t>Cancer discord for teens!</t>
        </is>
      </c>
      <c r="C9148" t="inlineStr">
        <is>
          <t>hey guys my name is Jack and I am teenager ALL( Acute Lymphoblastic Leukemia )I made a discord server for teens who have/had cancer! If you know someone has/had any form of cancer invite them or join yourself.
https://discord.gg/ra8dq2</t>
        </is>
      </c>
      <c r="D9148" t="n">
        <v>1</v>
      </c>
      <c r="E9148" t="n">
        <v>0</v>
      </c>
      <c r="F9148">
        <f>HYPERLINK("https://www.reddit.com/r/cancer/comments/gfj4s0/cancer_discord_for_teens/")</f>
        <v/>
      </c>
      <c r="G9148" t="inlineStr">
        <is>
          <t>2020-05-07 17:50:17</t>
        </is>
      </c>
      <c r="H9148" t="inlineStr"/>
    </row>
    <row r="9149">
      <c r="A9149" t="inlineStr">
        <is>
          <t>gfket7</t>
        </is>
      </c>
      <c r="B9149" t="inlineStr">
        <is>
          <t>Family history of breast cancer - am I too young for a mammogram?</t>
        </is>
      </c>
      <c r="C9149" t="inlineStr">
        <is>
          <t>Hi!
I’m 31 years old and currently living in the UK, originally from America.
On my mothers side of the family, every woman except my mother has had breast cancer - my great grandma, my grandma, and all 3 aunts. One of my aunts was diagnosed stage IV at age 42.
When I was living in America, my OBGYN suggested that because of family history, we should get genetic testing. I tested negative for BRCA (?) and so did everyone else.
Despite this, my OBGYN told me that I should start getting mammograms 10 years before the age my youngest relative was diagnosed. My youngest relative was diagnosed at age 36, so according to my doctor I should’ve started getting mammograms about 5 years ago. 
I moved to the UK when I was 25 and I’ve brought this up numerous times over the years to my GP, but have always been told there’s no reason for me to be concerned and they’ve flat out refused to refer me for mammograms, saying the earliest I can start is age 40. I did get a referral to a breast health clinic but they said the same thing.
I’m absolutely terrified of cancer or of being diagnosed at stage 4 from the get-go like my auntie was. 
I want to trust my doctors and I have no idea who’s right, my original OBGYN or my GP now. I’m just so scared something will be missed and I’ll be diagnosed too late, but I also suffer with anxiety and wonder if this is the main issue and I’m overblowing my risk.
Any thoughts would be appreciated, thank you!</t>
        </is>
      </c>
      <c r="D9149" t="n">
        <v>1</v>
      </c>
      <c r="E9149" t="n">
        <v>7</v>
      </c>
      <c r="F9149">
        <f>HYPERLINK("https://www.reddit.com/r/cancer/comments/gfket7/family_history_of_breast_cancer_am_i_too_young/")</f>
        <v/>
      </c>
      <c r="G9149" t="inlineStr">
        <is>
          <t>2020-05-07 19:13:20</t>
        </is>
      </c>
      <c r="H9149" t="inlineStr"/>
    </row>
    <row r="9150">
      <c r="A9150" t="inlineStr">
        <is>
          <t>gflpnr</t>
        </is>
      </c>
      <c r="B9150" t="inlineStr">
        <is>
          <t>Major Incontinence During Chemo for Stage 4 Cervical Cancer</t>
        </is>
      </c>
      <c r="C9150" t="inlineStr">
        <is>
          <t>My mom just had her 4th Chemo session for Stage 4 Cervical Cancer.  I noticed pretty bad smells in her room and noticed that is unable to control her bladder. She's been using regular maxipads, but i dont think those are enough...I a guy, so what do i know. My fear is that its not just urine, but blood as well.  Are there any over the counter meds to control the bladder or should I be getting diapers for her? I'm not even sure where to start.</t>
        </is>
      </c>
      <c r="D9150" t="n">
        <v>1</v>
      </c>
      <c r="E9150" t="n">
        <v>5</v>
      </c>
      <c r="F9150">
        <f>HYPERLINK("https://www.reddit.com/r/cancer/comments/gflpnr/major_incontinence_during_chemo_for_stage_4/")</f>
        <v/>
      </c>
      <c r="G9150" t="inlineStr">
        <is>
          <t>2020-05-07 20:42:04</t>
        </is>
      </c>
      <c r="H9150" t="inlineStr"/>
    </row>
    <row r="9151">
      <c r="A9151" t="inlineStr">
        <is>
          <t>gfm8ie</t>
        </is>
      </c>
      <c r="B9151" t="inlineStr">
        <is>
          <t>Any info on Issels Immuno-Oncology?</t>
        </is>
      </c>
      <c r="C9151" t="inlineStr">
        <is>
          <t>My mom has stage 3 Breast Cancer and she is considering using their services in opposition to Chemo. I was wondering if there is much info on reviews of the program, and if they are trustworthy.</t>
        </is>
      </c>
      <c r="D9151" t="n">
        <v>1</v>
      </c>
      <c r="E9151" t="n">
        <v>0</v>
      </c>
      <c r="F9151">
        <f>HYPERLINK("https://www.reddit.com/r/cancer/comments/gfm8ie/any_info_on_issels_immunooncology/")</f>
        <v/>
      </c>
      <c r="G9151" t="inlineStr">
        <is>
          <t>2020-05-07 21:21:03</t>
        </is>
      </c>
      <c r="H9151" t="inlineStr"/>
    </row>
    <row r="9152">
      <c r="A9152" t="inlineStr">
        <is>
          <t>gfmci7</t>
        </is>
      </c>
      <c r="B9152" t="inlineStr">
        <is>
          <t>One swollen lymph node</t>
        </is>
      </c>
      <c r="C9152" t="inlineStr">
        <is>
          <t>Last year I had a pretty bad bike accident and my handlebar got me right in the side of my neck. Since then (I think?) I have had ONE swollen lymph node on the side I got hurt on. I also touch it more than I should to check up on it. I stopped for a while and it went away. I told a doctor about it and they felt my neck and said I just was a little sick. It’s never fully gone away and it’s been a full year. I don’t want to go to the doctor right now because of COVID but what should I do?</t>
        </is>
      </c>
      <c r="D9152" t="n">
        <v>1</v>
      </c>
      <c r="E9152" t="n">
        <v>1</v>
      </c>
      <c r="F9152">
        <f>HYPERLINK("https://www.reddit.com/r/cancer/comments/gfmci7/one_swollen_lymph_node/")</f>
        <v/>
      </c>
      <c r="G9152" t="inlineStr">
        <is>
          <t>2020-05-07 21:30:00</t>
        </is>
      </c>
      <c r="H9152" t="inlineStr"/>
    </row>
    <row r="9153">
      <c r="A9153" t="inlineStr">
        <is>
          <t>gfmubz</t>
        </is>
      </c>
      <c r="B9153" t="inlineStr">
        <is>
          <t>Discord!</t>
        </is>
      </c>
      <c r="C9153" t="inlineStr">
        <is>
          <t>Feel free to join my discord for people who have/had cancer. Or just looking to support people going through this difficult process
https://discord.gg/wR2nMFu</t>
        </is>
      </c>
      <c r="D9153" t="n">
        <v>1</v>
      </c>
      <c r="E9153" t="n">
        <v>0</v>
      </c>
      <c r="F9153">
        <f>HYPERLINK("https://www.reddit.com/r/cancer/comments/gfmubz/discord/")</f>
        <v/>
      </c>
      <c r="G9153" t="inlineStr">
        <is>
          <t>2020-05-07 22:08:07</t>
        </is>
      </c>
      <c r="H9153" t="inlineStr"/>
    </row>
    <row r="9154">
      <c r="A9154" t="inlineStr">
        <is>
          <t>gfmuld</t>
        </is>
      </c>
      <c r="B9154" t="inlineStr">
        <is>
          <t>A positive update on my father (squamous cell carcinoma)</t>
        </is>
      </c>
      <c r="C9154" t="inlineStr">
        <is>
          <t>Hello all, Ive posted in the past asking strangers kindly of their opinions regarding Keytruda/Keytruda in combination with chemo.
I just thought I'd share my experience in hopes that it'll bring hope to those who have sick family members or are sick themselves.
My dad started Keytruda almost two months ago &amp;amp; unfortunately, it wasn't working. The tumor on his chest  wall did stop growing, but it didn't shrink, or at least it looked like it didnt. His oncologist then put him on chemo in combination with Keytruda and come two weeks later, his tumor on the chest wall has shrunk down by 60% percent, the lymph nodes have completely shrunk down to normal size. Despite this good news, the tumor on the left side of his neck has not gone down, but seeing he has another infusion next Monday, I'm nothing but hopefully, especially seeing how well he's responding to his treatments. 
I hope everyone going through these rough patches in life are doing okay &amp;amp; staying positive. Please stay safe, as those with cancer on this sub are very susceptible to succumbing to the virus, including my dad.
I'll post another updated in 2 weeks on my dad.
Hope everyone take cares and stays positive and never lose hope. Take care everyone.</t>
        </is>
      </c>
      <c r="D9154" t="n">
        <v>1</v>
      </c>
      <c r="E9154" t="n">
        <v>5</v>
      </c>
      <c r="F9154">
        <f>HYPERLINK("https://www.reddit.com/r/cancer/comments/gfmuld/a_positive_update_on_my_father_squamous_cell/")</f>
        <v/>
      </c>
      <c r="G9154" t="inlineStr">
        <is>
          <t>2020-05-07 22:08:43</t>
        </is>
      </c>
      <c r="H9154" t="inlineStr"/>
    </row>
    <row r="9155">
      <c r="A9155" t="inlineStr">
        <is>
          <t>gfndik</t>
        </is>
      </c>
      <c r="B9155" t="inlineStr">
        <is>
          <t>Relapsed follicular non-hodgkins lymphoma treatment question</t>
        </is>
      </c>
      <c r="C9155" t="inlineStr">
        <is>
          <t>Has anyone else had or going through Bendeka/Gazyva aka Bendamustine/Obinutuzumab chemo after a relapse of FNHL? I did 6 rounds of R-Chop in 2015 w/2 yrs maintenance of Rituxan. It came back along my spine w/pain in December and I just finished round 3 and waiting for my mid-point CT scan next week. This doesn't seem like a popular treatment nowadays, just curious about any other experiences out there.</t>
        </is>
      </c>
      <c r="D9155" t="n">
        <v>1</v>
      </c>
      <c r="E9155" t="n">
        <v>0</v>
      </c>
      <c r="F9155">
        <f>HYPERLINK("https://www.reddit.com/r/cancer/comments/gfndik/relapsed_follicular_nonhodgkins_lymphoma/")</f>
        <v/>
      </c>
      <c r="G9155" t="inlineStr">
        <is>
          <t>2020-05-07 22:51:01</t>
        </is>
      </c>
      <c r="H9155" t="inlineStr"/>
    </row>
    <row r="9156">
      <c r="A9156" t="inlineStr">
        <is>
          <t>gfqam6</t>
        </is>
      </c>
      <c r="B9156" t="inlineStr">
        <is>
          <t>Prayers for my dad and all others</t>
        </is>
      </c>
      <c r="C9156" t="inlineStr">
        <is>
          <t>My dad is on his way to have a drain put in to help with his Ascites. Fuck cancer and fuck any other illnesses that kills us.</t>
        </is>
      </c>
      <c r="D9156" t="n">
        <v>1</v>
      </c>
      <c r="E9156" t="n">
        <v>8</v>
      </c>
      <c r="F9156">
        <f>HYPERLINK("https://www.reddit.com/r/cancer/comments/gfqam6/prayers_for_my_dad_and_all_others/")</f>
        <v/>
      </c>
      <c r="G9156" t="inlineStr">
        <is>
          <t>2020-05-08 02:54:30</t>
        </is>
      </c>
      <c r="H9156" t="inlineStr"/>
    </row>
    <row r="9157">
      <c r="A9157" t="inlineStr">
        <is>
          <t>gfssuh</t>
        </is>
      </c>
      <c r="B9157" t="inlineStr">
        <is>
          <t>Fatigue after BEACOP treatment</t>
        </is>
      </c>
      <c r="C9157" t="inlineStr">
        <is>
          <t>Hey guys!
I finished the BEACOP chemo therapy last year in november.
Now i am still very tired and exhausted, especially if i am studying.
Do you have any tips to not be very exhausted all the day?</t>
        </is>
      </c>
      <c r="D9157" t="n">
        <v>1</v>
      </c>
      <c r="E9157" t="n">
        <v>2</v>
      </c>
      <c r="F9157">
        <f>HYPERLINK("https://www.reddit.com/r/cancer/comments/gfssuh/fatigue_after_beacop_treatment/")</f>
        <v/>
      </c>
      <c r="G9157" t="inlineStr">
        <is>
          <t>2020-05-08 06:01:46</t>
        </is>
      </c>
      <c r="H9157" t="inlineStr"/>
    </row>
    <row r="9158">
      <c r="A9158" t="inlineStr">
        <is>
          <t>gfu589</t>
        </is>
      </c>
      <c r="B9158" t="inlineStr">
        <is>
          <t>Cancer is a bitch</t>
        </is>
      </c>
      <c r="C9158" t="inlineStr">
        <is>
          <t>Guys i just want to say thank you for making the past year on reddit amazing for me. But cancer is a bitch, and i don't think I will be here for much longer. To e honest I am a bit scared. but thanks to u guys i have at least had some good laughs this past year. So thank you. For everything.</t>
        </is>
      </c>
      <c r="D9158" t="n">
        <v>4</v>
      </c>
      <c r="E9158" t="n">
        <v>11</v>
      </c>
      <c r="F9158">
        <f>HYPERLINK("https://www.reddit.com/r/cancer/comments/gfu589/cancer_is_a_bitch/")</f>
        <v/>
      </c>
      <c r="G9158" t="inlineStr">
        <is>
          <t>2020-05-08 07:23:49</t>
        </is>
      </c>
      <c r="H9158" t="inlineStr"/>
    </row>
    <row r="9159">
      <c r="A9159" t="inlineStr">
        <is>
          <t>gfx7af</t>
        </is>
      </c>
      <c r="B9159" t="inlineStr">
        <is>
          <t>Thank you everyone!</t>
        </is>
      </c>
      <c r="C9159" t="inlineStr">
        <is>
          <t>I posted yesterday about me going to my scans. The result we’re supposed to be here next Wednesday, but we just got a call this morning announcing that I’m NED! Thank you everyone for your kind words yesterday. It may have not been a good cause that we are brought together, but that doesn’t mean we can’t fight together!</t>
        </is>
      </c>
      <c r="D9159" t="n">
        <v>1</v>
      </c>
      <c r="E9159" t="n">
        <v>6</v>
      </c>
      <c r="F9159">
        <f>HYPERLINK("https://www.reddit.com/r/cancer/comments/gfx7af/thank_you_everyone/")</f>
        <v/>
      </c>
      <c r="G9159" t="inlineStr">
        <is>
          <t>2020-05-08 10:15:16</t>
        </is>
      </c>
      <c r="H9159" t="inlineStr"/>
    </row>
    <row r="9160">
      <c r="A9160" t="inlineStr">
        <is>
          <t>gfxham</t>
        </is>
      </c>
      <c r="B9160" t="inlineStr">
        <is>
          <t>Just found out my mum has cancer and I can’t go and hug her.</t>
        </is>
      </c>
      <c r="C9160" t="inlineStr">
        <is>
          <t>My mum found out on Tuesday that she has breast cancer and she has to go for surgery next week but because of the lockdown and us living in different towns I won’t be able to see her before she has it and all I want to do is hug my mum and tell her it will be okay and I can’t.
I lost my stepdad a couple of years ago and I’m so terrified of losing my mum as well but I can’t show her I’m afraid and I just don’t know what to do or how to handle this and I feel so scared and lost.
Any advice would be much appreciated, I’m just a bit out of my depth here.</t>
        </is>
      </c>
      <c r="D9160" t="n">
        <v>1</v>
      </c>
      <c r="E9160" t="n">
        <v>3</v>
      </c>
      <c r="F9160">
        <f>HYPERLINK("https://www.reddit.com/r/cancer/comments/gfxham/just_found_out_my_mum_has_cancer_and_i_cant_go/")</f>
        <v/>
      </c>
      <c r="G9160" t="inlineStr">
        <is>
          <t>2020-05-08 10:30:08</t>
        </is>
      </c>
      <c r="H9160" t="inlineStr"/>
    </row>
    <row r="9161">
      <c r="A9161" t="inlineStr">
        <is>
          <t>gfy1z7</t>
        </is>
      </c>
      <c r="B9161" t="inlineStr">
        <is>
          <t>My dad has bowel cancer</t>
        </is>
      </c>
      <c r="C9161" t="inlineStr">
        <is>
          <t>*I a am a 14yo boy.I am so fucking sad also my uncle and aunt died FROM THE SAME FUCKING CANCER.I feel so sad.And I don't know what I am gonna do(Mother is very far from here and can't live in the same house I live now because of money and rent)I will lose all my friends here which is the only thing I have so close to me.I will lose everything I love.(My mom isn't close to me as much as my friends and dad)Thanks for your time and hope you can help me.*</t>
        </is>
      </c>
      <c r="D9161" t="n">
        <v>1</v>
      </c>
      <c r="E9161" t="n">
        <v>3</v>
      </c>
      <c r="F9161">
        <f>HYPERLINK("https://www.reddit.com/r/cancer/comments/gfy1z7/my_dad_has_bowel_cancer/")</f>
        <v/>
      </c>
      <c r="G9161" t="inlineStr">
        <is>
          <t>2020-05-08 10:59:46</t>
        </is>
      </c>
      <c r="H9161" t="inlineStr"/>
    </row>
    <row r="9162">
      <c r="A9162" t="inlineStr">
        <is>
          <t>gfy49p</t>
        </is>
      </c>
      <c r="B9162" t="inlineStr">
        <is>
          <t>Goodbye Grandpa.</t>
        </is>
      </c>
      <c r="C9162" t="inlineStr">
        <is>
          <t>He had battled cancer for about 3 years. He didnt show any signs of optimism, and he kept telling us that he thinks he will die soon. (As to not give away any "false hope") That happened today. He was abruptly very sick with symptoms for a heart attack. My mom and my aunt was visiting him and his wife (my grandma) today. He said he had to go to the toilet and on his way there my mom helped him walk because he felt tired. At that moment, he opened his mouth and his eyes "turned to glass". He was dead. In my moms arms. They tried doing CPR until the ambulance arrived. They continued doing CPR but it didnt help.
I got to see him before he was transported by the funeral company. It was surreal. I couldnt believe that MY grandfather, before full of life, was now gone. His face was already bleak. Ive cried for hours on end now but now i dont feel anything. It feels so weird that hes not with us anymore.
Rest In Peace Grandpa🌹</t>
        </is>
      </c>
      <c r="D9162" t="n">
        <v>2</v>
      </c>
      <c r="E9162" t="n">
        <v>2</v>
      </c>
      <c r="F9162">
        <f>HYPERLINK("https://www.reddit.com/r/cancer/comments/gfy49p/goodbye_grandpa/")</f>
        <v/>
      </c>
      <c r="G9162" t="inlineStr">
        <is>
          <t>2020-05-08 11:03:03</t>
        </is>
      </c>
      <c r="H9162" t="inlineStr"/>
    </row>
    <row r="9163">
      <c r="A9163" t="inlineStr">
        <is>
          <t>gfzeqv</t>
        </is>
      </c>
      <c r="B9163" t="inlineStr">
        <is>
          <t>Cancer took my wife on Monday</t>
        </is>
      </c>
      <c r="C9163" t="inlineStr">
        <is>
          <t>&amp;amp;#x200B;
https://preview.redd.it/043uyqj9alx41.jpg?width=1000&amp;amp;format=pjpg&amp;amp;auto=webp&amp;amp;s=a11f05abbcded0fb17154dcb43abc9dca9cb03dd
&amp;amp;#x200B;
She was diagnosed with a Neuroendocrine tumor on her pancreas, two weeks after our wedding. The cancer would eventually spread to her liver, lymph nodes, bowel, and brain. She battled for three and a half years, and will always be my hero. I love you Mia.</t>
        </is>
      </c>
      <c r="D9163" t="n">
        <v>1</v>
      </c>
      <c r="E9163" t="n">
        <v>41</v>
      </c>
      <c r="F9163">
        <f>HYPERLINK("https://www.reddit.com/r/cancer/comments/gfzeqv/cancer_took_my_wife_on_monday/")</f>
        <v/>
      </c>
      <c r="G9163" t="inlineStr">
        <is>
          <t>2020-05-08 12:08:37</t>
        </is>
      </c>
      <c r="H9163" t="inlineStr"/>
    </row>
    <row r="9164">
      <c r="A9164" t="inlineStr">
        <is>
          <t>gfzqmr</t>
        </is>
      </c>
      <c r="B9164" t="inlineStr">
        <is>
          <t>How do I support a family member who was just diagnosed with cancer?</t>
        </is>
      </c>
      <c r="C9164" t="inlineStr">
        <is>
          <t>My mother had a biopsy on a mass. It turns out she has cancer. We don't know yet about staging and all, but she is very quickly starting all of the visits with surgeons and oncologists. How do I support my mother and make her feel more comfortable through cancer treatments?</t>
        </is>
      </c>
      <c r="D9164" t="n">
        <v>1</v>
      </c>
      <c r="E9164" t="n">
        <v>5</v>
      </c>
      <c r="F9164">
        <f>HYPERLINK("https://www.reddit.com/r/cancer/comments/gfzqmr/how_do_i_support_a_family_member_who_was_just/")</f>
        <v/>
      </c>
      <c r="G9164" t="inlineStr">
        <is>
          <t>2020-05-08 12:25:34</t>
        </is>
      </c>
      <c r="H9164" t="inlineStr"/>
    </row>
    <row r="9165">
      <c r="A9165" t="inlineStr">
        <is>
          <t>gfzqws</t>
        </is>
      </c>
      <c r="B9165" t="inlineStr">
        <is>
          <t>Stressed College Student</t>
        </is>
      </c>
      <c r="C9165" t="inlineStr">
        <is>
          <t>I (20F) was diagnosed with stage IV NHL lymphoma back in January. I've been on medical leave for since October. I just want things to go back to school and I'm tired of having to put my life on hold. I feel so inadequate and behind; I feel like I keep having to justify my bad grades and the fact that I'll probably not graduate in 4 years. Not to mention, I'll have this type of cancer for the rest of my life and this pandemic is flying around and there's idiots who won't stay home.</t>
        </is>
      </c>
      <c r="D9165" t="n">
        <v>1</v>
      </c>
      <c r="E9165" t="n">
        <v>5</v>
      </c>
      <c r="F9165">
        <f>HYPERLINK("https://www.reddit.com/r/cancer/comments/gfzqws/stressed_college_student/")</f>
        <v/>
      </c>
      <c r="G9165" t="inlineStr">
        <is>
          <t>2020-05-08 12:25:59</t>
        </is>
      </c>
      <c r="H9165" t="inlineStr"/>
    </row>
    <row r="9166">
      <c r="A9166" t="inlineStr">
        <is>
          <t>gg0bwx</t>
        </is>
      </c>
      <c r="B9166" t="inlineStr">
        <is>
          <t>Discord</t>
        </is>
      </c>
      <c r="C9166" t="inlineStr">
        <is>
          <t>Discord for teens and young adults with cancer!
https://discord.gg/ypJauaD</t>
        </is>
      </c>
      <c r="D9166" t="n">
        <v>1</v>
      </c>
      <c r="E9166" t="n">
        <v>0</v>
      </c>
      <c r="F9166">
        <f>HYPERLINK("https://www.reddit.com/r/cancer/comments/gg0bwx/discord/")</f>
        <v/>
      </c>
      <c r="G9166" t="inlineStr">
        <is>
          <t>2020-05-08 12:56:08</t>
        </is>
      </c>
      <c r="H9166" t="inlineStr"/>
    </row>
    <row r="9167">
      <c r="A9167" t="inlineStr">
        <is>
          <t>gg0q5n</t>
        </is>
      </c>
      <c r="B9167" t="inlineStr">
        <is>
          <t>Fasting for Chemo/Radiation Therapy to reduce side effects?</t>
        </is>
      </c>
      <c r="C9167" t="inlineStr">
        <is>
          <t>Hello, my mother has rectal cancer, possibly stage 3, and she will be doing radiation and chemo to shrink it before surgery. I've looked up research talking about fasting and only come up with papers like [THIS ONE](https://www.ncbi.nlm.nih.gov/pmc/articles/PMC5870384/), which seem to suggest anecdotal evidence at best.
I just want to know if anyone on here knows more about this than I do or can provide more concrete research one way or the other? Does fasting help reduce side effects of treatment, and if so, what is the best time-frame? Is the risk of malnutrition too great to provide benefit?
Any info is greatly appreciated!</t>
        </is>
      </c>
      <c r="D9167" t="n">
        <v>1</v>
      </c>
      <c r="E9167" t="n">
        <v>6</v>
      </c>
      <c r="F9167">
        <f>HYPERLINK("https://www.reddit.com/r/cancer/comments/gg0q5n/fasting_for_chemoradiation_therapy_to_reduce_side/")</f>
        <v/>
      </c>
      <c r="G9167" t="inlineStr">
        <is>
          <t>2020-05-08 13:16:27</t>
        </is>
      </c>
      <c r="H9167" t="inlineStr"/>
    </row>
    <row r="9168">
      <c r="A9168" t="inlineStr">
        <is>
          <t>gg34vg</t>
        </is>
      </c>
      <c r="B9168" t="inlineStr">
        <is>
          <t>My mom hates the Cbd drops I got her</t>
        </is>
      </c>
      <c r="C9168" t="inlineStr">
        <is>
          <t>She says it tastes awful and like Perfume :( 
Any suggestions how to disguise the taste? Thanks</t>
        </is>
      </c>
      <c r="D9168" t="n">
        <v>1</v>
      </c>
      <c r="E9168" t="n">
        <v>9</v>
      </c>
      <c r="F9168">
        <f>HYPERLINK("https://www.reddit.com/r/cancer/comments/gg34vg/my_mom_hates_the_cbd_drops_i_got_her/")</f>
        <v/>
      </c>
      <c r="G9168" t="inlineStr">
        <is>
          <t>2020-05-08 15:26:13</t>
        </is>
      </c>
      <c r="H9168" t="inlineStr"/>
    </row>
    <row r="9169">
      <c r="A9169" t="inlineStr">
        <is>
          <t>gg6sin</t>
        </is>
      </c>
      <c r="B9169" t="inlineStr">
        <is>
          <t>Today I found out my dad has cancer.</t>
        </is>
      </c>
      <c r="C9169" t="inlineStr">
        <is>
          <t xml:space="preserve"> I dont really know how to feel. I'm only 16 and I'm thinking about the worst which is death and misery for him. Ima keep it strong for him though, I'm going to try and act like hes not even sick and take these chances to become closer and make more memories. I want my dad to be able to walk me down the aisle at my wedding  and watch me succeed in life . My grandma , grandpa ,aunt, and 2 cousins died from cancer and now I'm scared its going to be my dad. This hurts way worse because ya know,,its my dad.  I dont know what to do. I feel so hurt.</t>
        </is>
      </c>
      <c r="D9169" t="n">
        <v>1</v>
      </c>
      <c r="E9169" t="n">
        <v>4</v>
      </c>
      <c r="F9169">
        <f>HYPERLINK("https://www.reddit.com/r/cancer/comments/gg6sin/today_i_found_out_my_dad_has_cancer/")</f>
        <v/>
      </c>
      <c r="G9169" t="inlineStr">
        <is>
          <t>2020-05-08 19:11:05</t>
        </is>
      </c>
      <c r="H9169" t="inlineStr"/>
    </row>
    <row r="9170">
      <c r="A9170" t="inlineStr">
        <is>
          <t>gg7atw</t>
        </is>
      </c>
      <c r="B9170" t="inlineStr">
        <is>
          <t>I’ve lived longer than I should, and I’ve experienced things I never should’ve experienced.</t>
        </is>
      </c>
      <c r="C9170" t="inlineStr">
        <is>
          <t>I know what it’s like to scream, but my lungs can’t keep up. I know what nails to flesh, or screws to bone, or saw through it all is like; I know what pain is, because pain is my life. 
My pain started a long time ago. I’ve lived a life as long as my first, but this time I wasn’t really there.
I’ve built friendships, I’ve experienced the world, I’ve taken part in everything that exists; but I can’t understand it. 
I’ve died, one too many times. I know what it’s like when the body stops. I know what it’s like when the last life within you leaves, and you’re too weak to fight back. I know what it’s like to sleep without expecting to wake up. I know what it’s like to wake up, but your body is forever changed. 
I know what chemo tastes like. I know what radiation therapy feels like. I know the pain that surgery brings, and I know what the world looks like after all of these things.
I enter rooms that turn silent. I kill conversation. I know what people see in their last moment, because in their last moment: they see me. I am death, and I have been death since I was 14 years old. 
It’s been 15 years since I last spent a day without pain. I’ve lost a lot of things. My hair, teeth and kidneys are permanentally damaged. My body is riddled with scars. One of my legs has been amputated. Cancer has changed my life; from a blank canvas for me to design, to an everlasting state of pain. 
I’ve lived longer than I should, and I’ve experienced things that make me wish I never survived.</t>
        </is>
      </c>
      <c r="D9170" t="n">
        <v>1</v>
      </c>
      <c r="E9170" t="n">
        <v>13</v>
      </c>
      <c r="F9170">
        <f>HYPERLINK("https://www.reddit.com/r/cancer/comments/gg7atw/ive_lived_longer_than_i_should_and_ive/")</f>
        <v/>
      </c>
      <c r="G9170" t="inlineStr">
        <is>
          <t>2020-05-08 19:46:13</t>
        </is>
      </c>
      <c r="H9170" t="inlineStr"/>
    </row>
    <row r="9171">
      <c r="A9171" t="inlineStr">
        <is>
          <t>gg7s8n</t>
        </is>
      </c>
      <c r="B9171" t="inlineStr">
        <is>
          <t>Im nervous and don't know who to turn to...</t>
        </is>
      </c>
      <c r="C9171" t="inlineStr">
        <is>
          <t>My father was diagnosed with stage 4 cancer and when through a whole year of chemo. He ended up "recovering". A few months passed where he refused to get a PET scan because of his fear of radiation. He recently had his blood tested and his CEA number was 16. I'm afraid his cancer is back again and he's planning to get a PET scan next week. Does CEA number definitely indicate whether my dad has terminal cancer?</t>
        </is>
      </c>
      <c r="D9171" t="n">
        <v>1</v>
      </c>
      <c r="E9171" t="n">
        <v>1</v>
      </c>
      <c r="F9171">
        <f>HYPERLINK("https://www.reddit.com/r/cancer/comments/gg7s8n/im_nervous_and_dont_know_who_to_turn_to/")</f>
        <v/>
      </c>
      <c r="G9171" t="inlineStr">
        <is>
          <t>2020-05-08 20:20:01</t>
        </is>
      </c>
      <c r="H9171" t="inlineStr"/>
    </row>
    <row r="9172">
      <c r="A9172" t="inlineStr">
        <is>
          <t>gg8k7s</t>
        </is>
      </c>
      <c r="B9172" t="inlineStr">
        <is>
          <t>Cancer, day 6/</t>
        </is>
      </c>
      <c r="C9172" t="inlineStr">
        <is>
          <t>\*post from 2015
&amp;amp;#x200B;
If you have a five year old in home you know you’ll be awoken before the ass of dawn. You also know that monkey is the best damn snuggler. Weighing in at 53 pounds, arms wrapped tight around around your neck; guaranteed to knock your ass back out. But see, they are sneaky, sneaky lil bastards. Cute as the may be, lulling you back into that false sleep, only to roll over and knock your forehead or some other torturous way of waking you up. Upon sitting up, I squeeze my monkey, whisper good morning to my husband and begin weeping.
See, cancer is a motherfucker. I know it is there. I feel it mocking me, trying to take my spirit and zest.
Bad, bad boob! Damn you. What a stupid stunt you pulled. Cancer? Fucking cancer? Couldn’t you have given my a gnarly ingrown nipple hair instead of cancer? Seriously?
I will go through my Sunday much as many of you will today. Prepping your home for the holidays. Getting your Elf on the Shelf dusted and dapper. I will share laughs with my boys. Will probably haggle with the Christmas tree guy. I will be hugged when I need it and cry, a lot.
This holiday season I will be preparing my mind for my loss of breasts. Not gonna lie, it’s s total mindfuck.
Cancer be gone, damn you!</t>
        </is>
      </c>
      <c r="D9172" t="n">
        <v>1</v>
      </c>
      <c r="E9172" t="n">
        <v>3</v>
      </c>
      <c r="F9172">
        <f>HYPERLINK("https://www.reddit.com/r/cancer/comments/gg8k7s/cancer_day_6/")</f>
        <v/>
      </c>
      <c r="G9172" t="inlineStr">
        <is>
          <t>2020-05-08 21:13:21</t>
        </is>
      </c>
      <c r="H9172" t="inlineStr"/>
    </row>
    <row r="9173">
      <c r="A9173" t="inlineStr">
        <is>
          <t>ggbswz</t>
        </is>
      </c>
      <c r="B9173" t="inlineStr">
        <is>
          <t>For the kids and young adults (under 25)here who have parents with terminal cancer</t>
        </is>
      </c>
      <c r="C9173" t="inlineStr">
        <is>
          <t>What do you wish your parent knew? What could they do that would make this all easier for YOU? I have terminal breast cancer and my kids are almost 10, almost 13 and almost 16. It breaks my heart to wonder how much my disease is affecting/has affected them since my diagnosis 8 months ago.</t>
        </is>
      </c>
      <c r="D9173" t="n">
        <v>1</v>
      </c>
      <c r="E9173" t="n">
        <v>6</v>
      </c>
      <c r="F9173">
        <f>HYPERLINK("https://www.reddit.com/r/cancer/comments/ggbswz/for_the_kids_and_young_adults_under_25here_who/")</f>
        <v/>
      </c>
      <c r="G9173" t="inlineStr">
        <is>
          <t>2020-05-09 01:33:38</t>
        </is>
      </c>
      <c r="H9173" t="inlineStr"/>
    </row>
    <row r="9174">
      <c r="A9174" t="inlineStr">
        <is>
          <t>gggphr</t>
        </is>
      </c>
      <c r="B9174" t="inlineStr">
        <is>
          <t>Helping your partner become a caretaker</t>
        </is>
      </c>
      <c r="C9174" t="inlineStr">
        <is>
          <t>My significant others father was recently diagnosed with Adenocarcinoma that they believe originated in his appendix and it spread to his peritoneum. We still don’t know much about this diagnosis or what the future holds but I want to do my part to help out. Does anyone have any advice or information about how to be a good supportive partner?</t>
        </is>
      </c>
      <c r="D9174" t="n">
        <v>1</v>
      </c>
      <c r="E9174" t="n">
        <v>1</v>
      </c>
      <c r="F9174">
        <f>HYPERLINK("https://www.reddit.com/r/cancer/comments/gggphr/helping_your_partner_become_a_caretaker/")</f>
        <v/>
      </c>
      <c r="G9174" t="inlineStr">
        <is>
          <t>2020-05-09 07:51:21</t>
        </is>
      </c>
      <c r="H9174" t="inlineStr"/>
    </row>
    <row r="9175">
      <c r="A9175" t="inlineStr">
        <is>
          <t>ggj7z7</t>
        </is>
      </c>
      <c r="B9175" t="inlineStr">
        <is>
          <t>Lost my [28m]fight with cancer</t>
        </is>
      </c>
      <c r="C9175" t="inlineStr">
        <is>
          <t>So I have Neurofibromatosis Type 1 from my mother’s side. This genetic disease causes growths all over the body and sometimes they turn malignant which in my case resulted in a Malignant Peripheral Nerve Sheath Tumour on my spine at around L1/2. I had a laparotomy to remove it followed by proton beam therapy for 3 months. 
6 months later it came back and metastasised into my leg. 9 round of chemotherapy later, no dice. Chemotherapy was a bust so I had another major laparoscopic surgery. All was looking well, the plan was to have more chemotherapy to keep the tumour at bay but it grew fast and aggressively. Chemo is off the table and I have no other options. 
I’m being told I have a week or so before the tumour envelops my spine totally and compresses the nerves, paralysing my from the waist down. My right leg has already almost completely gone.
I’m posting here for some catharsis and advice on where to go to discuss being bound to a wheelchair. I’d like to know what to expect and some tips and tricks to get by.
Thanks for reading my story and any help would be much appreciated.</t>
        </is>
      </c>
      <c r="D9175" t="n">
        <v>1</v>
      </c>
      <c r="E9175" t="n">
        <v>30</v>
      </c>
      <c r="F9175">
        <f>HYPERLINK("https://www.reddit.com/r/cancer/comments/ggj7z7/lost_my_28mfight_with_cancer/")</f>
        <v/>
      </c>
      <c r="G9175" t="inlineStr">
        <is>
          <t>2020-05-09 10:07:00</t>
        </is>
      </c>
      <c r="H9175" t="inlineStr"/>
    </row>
    <row r="9176">
      <c r="A9176" t="inlineStr">
        <is>
          <t>ggjb3q</t>
        </is>
      </c>
      <c r="B9176" t="inlineStr">
        <is>
          <t>How ARE you?</t>
        </is>
      </c>
      <c r="C9176" t="inlineStr">
        <is>
          <t>Yeah, I'm cured, and so are some of you. But even though we're cured, we see an oncologist every few months, we get labs, we take pills.   
I just feel like I'm trying to stay ahead of the grim reaper here in this time of Coronavirus or SER-CoV-2 or Covid 19, whatever we're calling it now.  Trying to enjoy the garden, the dog walks, and cooking my imperfect meals, all the day-to-day things that cancer threatened to steal away from me. I'm also applying for jobs, amid the millions of others who are vying for the same positions, and well, I'm missing people outside of my very small circle. Sometimes I wonder if we'll ever travel again.  
How about you?</t>
        </is>
      </c>
      <c r="D9176" t="n">
        <v>1</v>
      </c>
      <c r="E9176" t="n">
        <v>22</v>
      </c>
      <c r="F9176">
        <f>HYPERLINK("https://www.reddit.com/r/cancer/comments/ggjb3q/how_are_you/")</f>
        <v/>
      </c>
      <c r="G9176" t="inlineStr">
        <is>
          <t>2020-05-09 10:11:28</t>
        </is>
      </c>
      <c r="H9176" t="inlineStr"/>
    </row>
    <row r="9177">
      <c r="A9177" t="inlineStr">
        <is>
          <t>ggjzhv</t>
        </is>
      </c>
      <c r="B9177" t="inlineStr">
        <is>
          <t>Does anyone else have a “chemo smell”??</t>
        </is>
      </c>
      <c r="C9177" t="inlineStr">
        <is>
          <t>Totally random but ever since I started chemo I feel like my body produces more of an Aroma when I sweat. My wife thinks that it could be my body having more of a bacteria. Jokes aside, even though I could always use them, I do shower, lol. I just noticed even in my off weeks I’m told by my wife i have a musty smell. Anyone else have this issue. Judge free zone if you do.</t>
        </is>
      </c>
      <c r="D9177" t="n">
        <v>1</v>
      </c>
      <c r="E9177" t="n">
        <v>8</v>
      </c>
      <c r="F9177">
        <f>HYPERLINK("https://www.reddit.com/r/cancer/comments/ggjzhv/does_anyone_else_have_a_chemo_smell/")</f>
        <v/>
      </c>
      <c r="G9177" t="inlineStr">
        <is>
          <t>2020-05-09 10:47:53</t>
        </is>
      </c>
      <c r="H9177" t="inlineStr"/>
    </row>
    <row r="9178">
      <c r="A9178" t="inlineStr">
        <is>
          <t>ggkay9</t>
        </is>
      </c>
      <c r="B9178" t="inlineStr">
        <is>
          <t>Advice about travel</t>
        </is>
      </c>
      <c r="C9178" t="inlineStr">
        <is>
          <t>Hey friends,
I'm not the one with cancer (yet...). I have been following this sub since my boyfriend was diagnosed with stage 4 colorectal cancer that also spread to the liver. He was diagnosed in April and has since been through 3/12 rounds of chemo. So he should be done with chemo in September, hoping it all goes well.
I should post here more often but I'm getting a lot of great advice reading about how I can be supportive and all the ways we can try to get the best treatment for him so thank you all so much for that. Truly, it has helped so much.
What I want to ask is about travel after chemo. One of the biggest parts of his acceptance of his life maybe being shorter than hoped is that he has major regrets about never having traveled much. I was lucky to do a lot of traveling as a kid but I also haven't traveled in over 10 years. So we have started talking about planning an international trip in September/October (assuming COVID is not an issue).
Is this a good idea? I can tell it is giving him some excitement and hope for the future. My main concern is when he will feel healthy enough after the chemo to be able to travel and do everything he wants to do while traveling. He's already cancelled his idea of going on a road trip in between rounds because he realized he doesn't feel well enough for that and there's not much he can do due to COVID anyway. So I would really like to give him something to look forward to.
I can give more details if needed but that's the general question so I just wanted to get a general "yeah that could work!" or (the feared) "honey, you're out of your mind."
Thank you in advance. I am praying for you all (to whatever it is that we have no control over).</t>
        </is>
      </c>
      <c r="D9178" t="n">
        <v>1</v>
      </c>
      <c r="E9178" t="n">
        <v>12</v>
      </c>
      <c r="F9178">
        <f>HYPERLINK("https://www.reddit.com/r/cancer/comments/ggkay9/advice_about_travel/")</f>
        <v/>
      </c>
      <c r="G9178" t="inlineStr">
        <is>
          <t>2020-05-09 11:04:46</t>
        </is>
      </c>
      <c r="H9178" t="inlineStr"/>
    </row>
    <row r="9179">
      <c r="A9179" t="inlineStr">
        <is>
          <t>gglhcc</t>
        </is>
      </c>
      <c r="B9179" t="inlineStr">
        <is>
          <t>Pain in tumor</t>
        </is>
      </c>
      <c r="C9179" t="inlineStr">
        <is>
          <t>I'm currently undergoing chemo (Abraxane and Carboplatin: which I'll be stopping due to bad reaction) for S4 TNBC.
Is it normal to have pain in the tumor? I've noticed it worsens if I've eaten something sugary, is there a connection? 
Thanks</t>
        </is>
      </c>
      <c r="D9179" t="n">
        <v>1</v>
      </c>
      <c r="E9179" t="n">
        <v>10</v>
      </c>
      <c r="F9179">
        <f>HYPERLINK("https://www.reddit.com/r/cancer/comments/gglhcc/pain_in_tumor/")</f>
        <v/>
      </c>
      <c r="G9179" t="inlineStr">
        <is>
          <t>2020-05-09 12:06:28</t>
        </is>
      </c>
      <c r="H9179" t="inlineStr"/>
    </row>
    <row r="9180">
      <c r="A9180" t="inlineStr">
        <is>
          <t>ggm0mt</t>
        </is>
      </c>
      <c r="B9180" t="inlineStr">
        <is>
          <t>Discord for teens with cancer</t>
        </is>
      </c>
      <c r="C9180" t="inlineStr">
        <is>
          <t>https://discord.gg/wR2nMFu</t>
        </is>
      </c>
      <c r="D9180" t="n">
        <v>1</v>
      </c>
      <c r="E9180" t="n">
        <v>3</v>
      </c>
      <c r="F9180">
        <f>HYPERLINK("https://www.reddit.com/r/cancer/comments/ggm0mt/discord_for_teens_with_cancer/")</f>
        <v/>
      </c>
      <c r="G9180" t="inlineStr">
        <is>
          <t>2020-05-09 12:35:04</t>
        </is>
      </c>
      <c r="H9180" t="inlineStr"/>
    </row>
    <row r="9181">
      <c r="A9181" t="inlineStr">
        <is>
          <t>ggmn83</t>
        </is>
      </c>
      <c r="B9181" t="inlineStr">
        <is>
          <t>What do I need to wear a lace front wig?</t>
        </is>
      </c>
      <c r="C9181" t="inlineStr">
        <is>
          <t>I was looking at wigs because my hair has started falling out because of chemo.
So the more I look at it, there are wig caps, wig tape, adhesive, are all of these necessary for wearing a wig? I was about to buy this wig and what do you think I'll need?
https://articulo.mercadolibre.com.mx/MLM-555236709-peluca-lace-front-de-fibra-natural-22-pulgadas-_JM#position=7&amp;amp;type=item&amp;amp;tracking_id=0a2bb074-e2db-42c8-b5ee-19e880958654</t>
        </is>
      </c>
      <c r="D9181" t="n">
        <v>1</v>
      </c>
      <c r="E9181" t="n">
        <v>5</v>
      </c>
      <c r="F9181">
        <f>HYPERLINK("https://www.reddit.com/r/cancer/comments/ggmn83/what_do_i_need_to_wear_a_lace_front_wig/")</f>
        <v/>
      </c>
      <c r="G9181" t="inlineStr">
        <is>
          <t>2020-05-09 13:08:39</t>
        </is>
      </c>
      <c r="H9181" t="inlineStr"/>
    </row>
    <row r="9182">
      <c r="A9182" t="inlineStr">
        <is>
          <t>ggo7kc</t>
        </is>
      </c>
      <c r="B9182" t="inlineStr">
        <is>
          <t>Mom's diagnosis &amp;amp; how to handle it</t>
        </is>
      </c>
      <c r="C9182" t="inlineStr">
        <is>
          <t>Background: My mom went into the hospital on April 27 with severe stomach pain and unable to keep any food down. They mention an obstruction and that her gallbladder isn't functioning. 2 days later they remove it and another two days, she is released from the hospital. 2 days later, she is back in the hospital because she is experiencing severe chest pain. 
The first full day of her second stay at the hospital, doctors said they did biopsy of her gallbladder and discovered cancer cells that aren't typical of gallbladder. They agree to do PET scan while she is still in hospital. 
Turns out it is gastroesophgeal cancer and more specifically signet ring carcenoma. She has spoken to one oncologist so far and has a second opinion on Tuesday. 
Based on the information from the few studies I found online, research from my siblings, and thoughts from the one oncologist she has spoken to, this has very minimal chance of a happy ending.
I'm going to go see her tomorrow\* which is already going to be tough because it's Mother's Day. The news is still fresh for her and I'm not sure what I can do to help. For any fighters &amp;amp; survivors, is there anything you wish someone would have done for you (in the beginning or at any point)?
\* We've had contact before, and between hospital stays, in which she tested negative for COVID-19 during both stays. I have been quarantined since March 18th with minimal outside interaction, and same goes for my partner.</t>
        </is>
      </c>
      <c r="D9182" t="n">
        <v>1</v>
      </c>
      <c r="E9182" t="n">
        <v>0</v>
      </c>
      <c r="F9182">
        <f>HYPERLINK("https://www.reddit.com/r/cancer/comments/ggo7kc/moms_diagnosis_how_to_handle_it/")</f>
        <v/>
      </c>
      <c r="G9182" t="inlineStr">
        <is>
          <t>2020-05-09 14:34:21</t>
        </is>
      </c>
      <c r="H9182" t="inlineStr"/>
    </row>
    <row r="9183">
      <c r="A9183" t="inlineStr">
        <is>
          <t>ggp8mh</t>
        </is>
      </c>
      <c r="B9183" t="inlineStr">
        <is>
          <t>Friend supposedly Stage 4 w/1 yr prognosis just announced that he is NED. I'm super suspicious. Help.</t>
        </is>
      </c>
      <c r="C9183" t="inlineStr">
        <is>
          <t>Long story short. 18 months ago my 35M friend announced to the world that he had Stage 4 epithelioid sarcoma in his hand that had spread to his lungs. CAT scans showed "innumerable" nodules in his lungs, he said. Docs gave a 1yr prognosis, 2 if chemo was successful. 
His hand was amputated, a port was put in. &amp;lt;------this much I saw with my own eyes and knew to be true. He lived in another state though, so pretty much everything else, he told me over the phone.    
Now, here's the thing. When my friend first announced his illness he said he was deliberately avoiding researching it and he insisted that everyone else do the same. He said there was no point in him knowing because it wouldn't change anything. 
But I DID research it. I paid a lot of money over several weeks for articles in medical journals. I read everything there was to read about this kind of cancer-- and there wasn't a lot. It's SUPER rare. But what I did read was this-- metastatic cancer of this type is always fatal, usually within 6-12 months. Chemo is occasionally successful at keeping the cancer at bay for, at most, a year or 2. Amputation of the hand is not an option because metastasis has already occurred. 
I've spent the last year and a half watching my friend raise close to $100,000 in funds to cover his "treatment" and then take lavish trips to places around the U.S. I've watched him hold down a part-time job, date, do volunteer work, graduate with one degree, start another degree, write/direct/star in a play, sing in a band, apply for and receive a highly prestigious fellowship in another state and start the process of moving there....and that's just off the top of my head. All this while also claiming to be on chemo.
I've never once heard him cough or complain of fatigue or nausea. Even though he should be one of the most vulnerable people to COVID right now, he hasn't been sheltering in place or mentioning anything about needing to take extra precautions. 
Then, a few days ago, he posted on social media some document he supposedly received from his doctor saying there was "no evidence of metastatic disease". None. All the nodules just...vanished, I guess. 
If what I have read is true, then my friend is a medical marvel-- the only known case of a person beating this disease. The metastasis in his lungs simply disappearing should make him into a case study every cancer scientist in America would be leaping on, right? 
Yet there was no fanfare. No acknowledgement of the fact that his announcement was scientifically miraculous. He just posted the document very matter-of-factly, chalked the whole thing up to his faith in Jesus, and that was it. Crisis averted. 
All of this, coupled with the fact that he bragged about avoiding any research related to this rare, aggressive cancer, leads me to believe that he's full of shit. I know he had something, the hand surgery and port in his chest shows that much to be true. I even believe he probably had the cancer he said he did. 
But Stage IV? Extensively spread throughout his lungs? Had he done any research at all surely he would know that such a thing is statistically impossible to recover from, right? 
People I have talked to about this fall into two different camps. One side agrees with me that something very fishy is going on. The other thinks that I'm a horrible person for doubting my friend, and I just need to have "faith in miracles".   
I need to know the truth, but I don't know where to start. I thought maybe the folks on this sub might point me in the right direction. I need expert opinions, first-hand accounts of living with this disease, something. Anything. Help.</t>
        </is>
      </c>
      <c r="D9183" t="n">
        <v>1</v>
      </c>
      <c r="E9183" t="n">
        <v>5</v>
      </c>
      <c r="F9183">
        <f>HYPERLINK("https://www.reddit.com/r/cancer/comments/ggp8mh/friend_supposedly_stage_4_w1_yr_prognosis_just/")</f>
        <v/>
      </c>
      <c r="G9183" t="inlineStr">
        <is>
          <t>2020-05-09 15:31:47</t>
        </is>
      </c>
      <c r="H9183" t="inlineStr"/>
    </row>
    <row r="9184">
      <c r="A9184" t="inlineStr">
        <is>
          <t>ggqc8x</t>
        </is>
      </c>
      <c r="B9184" t="inlineStr">
        <is>
          <t>What was it like being diagnosed?</t>
        </is>
      </c>
      <c r="C9184" t="inlineStr">
        <is>
          <t>What was was it like when the doctor told you that you had cancer? What were your thoughts and feelings and how did you carry yourself going further? And for those who have recovered what was it like when the doctor told you that you were cancer free and how does that compare to your feelings when you were first diagnosed.</t>
        </is>
      </c>
      <c r="D9184" t="n">
        <v>1</v>
      </c>
      <c r="E9184" t="n">
        <v>10</v>
      </c>
      <c r="F9184">
        <f>HYPERLINK("https://www.reddit.com/r/cancer/comments/ggqc8x/what_was_it_like_being_diagnosed/")</f>
        <v/>
      </c>
      <c r="G9184" t="inlineStr">
        <is>
          <t>2020-05-09 16:35:53</t>
        </is>
      </c>
      <c r="H9184" t="inlineStr"/>
    </row>
    <row r="9185">
      <c r="A9185" t="inlineStr">
        <is>
          <t>ggz0ed</t>
        </is>
      </c>
      <c r="B9185" t="inlineStr">
        <is>
          <t>I think my dad is dying, and I am not ready.</t>
        </is>
      </c>
      <c r="C9185" t="inlineStr">
        <is>
          <t>My dad was diagnosed with an extremely rare and notoriously deadly type of cancer in March. It was caught early, but research seems to indicate that it doesn’t really matter. That was quickly followed up full body imaging and a diagnosis of a second primary cancer in a totally different part of his body. Even that cancer could kill him within 5 years, before considering the original issue. 
He does not know how dire his odds are. Neither does my mom. I am a medical student, and as a result I recognize how bad these diagnoses are. While dealing with class, I am trying to come to terms with the fact that my dad will likely not see me graduate medical school, walk me down the aisle, or meet his grandchildren. 
I feel broken. I am home, made possible only by remote schooling due to COVID. I am glad I can spend time with my family before they fully process what this all means. But I feel so guilty. Knowing about my father’s mortality and not telling him... I’m struggling to do anything. Even getting out of bed is hard. He’s too anxious to enjoy life with the threat of inevitable death hanging over his head, so I know it is better for him that I bear the burden of knowing. But I feel like I have this big secret that I can’t share. 
How do I make the last year or two of his life as good as possible? How do I not hate myself for lying to him every time I tell him things will be okay? How do I come to terms with losing one of the most important people in my life?</t>
        </is>
      </c>
      <c r="D9185" t="n">
        <v>1</v>
      </c>
      <c r="E9185" t="n">
        <v>13</v>
      </c>
      <c r="F9185">
        <f>HYPERLINK("https://www.reddit.com/r/cancer/comments/ggz0ed/i_think_my_dad_is_dying_and_i_am_not_ready/")</f>
        <v/>
      </c>
      <c r="G9185" t="inlineStr">
        <is>
          <t>2020-05-10 03:20:51</t>
        </is>
      </c>
      <c r="H9185" t="inlineStr"/>
    </row>
    <row r="9186">
      <c r="A9186" t="inlineStr">
        <is>
          <t>gh0bdz</t>
        </is>
      </c>
      <c r="B9186" t="inlineStr">
        <is>
          <t>My mum has CMML Chronic Myelomonocytic Leukemia...</t>
        </is>
      </c>
      <c r="C9186" t="inlineStr">
        <is>
          <t>... just found out from my dad and have no idea about it or what to do. All I know is that it is a cancer of the bone marrow. Does anybody have any experience with this and what the family needs to do to support her?</t>
        </is>
      </c>
      <c r="D9186" t="n">
        <v>1</v>
      </c>
      <c r="E9186" t="n">
        <v>3</v>
      </c>
      <c r="F9186">
        <f>HYPERLINK("https://www.reddit.com/r/cancer/comments/gh0bdz/my_mum_has_cmml_chronic_myelomonocytic_leukemia/")</f>
        <v/>
      </c>
      <c r="G9186" t="inlineStr">
        <is>
          <t>2020-05-10 05:04:29</t>
        </is>
      </c>
      <c r="H9186" t="inlineStr"/>
    </row>
    <row r="9187">
      <c r="A9187" t="inlineStr">
        <is>
          <t>gh1e95</t>
        </is>
      </c>
      <c r="B9187" t="inlineStr">
        <is>
          <t>Mother’s Day After Loss</t>
        </is>
      </c>
      <c r="C9187" t="inlineStr">
        <is>
          <t>I just wanted to offer a big hug to anyone who has lost a mother to cancer or is a mother and has lost a daughter. I lost my mom a little over a year ago, and I feel like Mother’s Day will always be a hard day. I wish so desperately that I could call my mom and tell her I love her, or send her flowers, or send her a funny card. I am no longer on social media, which sometimes is a pain, but today it’s a blessing because I don’t know if I could handle all the photos that friends post of their happy living mothers. Today is a hard day for a lot of us, and I want everyone to know they’re not alone if they feel shitty today. Sending hugs ❤️</t>
        </is>
      </c>
      <c r="D9187" t="n">
        <v>1</v>
      </c>
      <c r="E9187" t="n">
        <v>30</v>
      </c>
      <c r="F9187">
        <f>HYPERLINK("https://www.reddit.com/r/cancer/comments/gh1e95/mothers_day_after_loss/")</f>
        <v/>
      </c>
      <c r="G9187" t="inlineStr">
        <is>
          <t>2020-05-10 06:21:16</t>
        </is>
      </c>
      <c r="H9187" t="inlineStr"/>
    </row>
    <row r="9188">
      <c r="A9188" t="inlineStr">
        <is>
          <t>gh50y0</t>
        </is>
      </c>
      <c r="B9188" t="inlineStr">
        <is>
          <t>Diagnosed on Thursday. Start fluorouracil next week.</t>
        </is>
      </c>
      <c r="C9188" t="inlineStr">
        <is>
          <t>Melanoma survivor from 2016, stage III. Routine follow up Dr visit last week. Dermatologist prescribed fluorouracil creme for the crown on my head after finding a keratosis (kept the bald head after chemo, look far better without hair than I ever did with). Anyone ever have experience with this type of chemo treatment?</t>
        </is>
      </c>
      <c r="D9188" t="n">
        <v>1</v>
      </c>
      <c r="E9188" t="n">
        <v>3</v>
      </c>
      <c r="F9188">
        <f>HYPERLINK("https://www.reddit.com/r/cancer/comments/gh50y0/diagnosed_on_thursday_start_fluorouracil_next_week/")</f>
        <v/>
      </c>
      <c r="G9188" t="inlineStr">
        <is>
          <t>2020-05-10 09:56:14</t>
        </is>
      </c>
      <c r="H9188" t="inlineStr"/>
    </row>
    <row r="9189">
      <c r="A9189" t="inlineStr">
        <is>
          <t>gh5ynj</t>
        </is>
      </c>
      <c r="B9189" t="inlineStr">
        <is>
          <t>3 months</t>
        </is>
      </c>
      <c r="C9189" t="inlineStr">
        <is>
          <t>Wow, where do I even begin? I pretty much disappeared from this subreddit after my mum died, I’m not too sure if y’all will remember me but my mum battled stage 4 non small cell lung cancer for 4 an half months, you guys were our number 1 supporters when things got very hard and this subreddit was very supportive after I announced her passing, it’s been 3 months now and I decided to check in on everyone, this journey is so incredibly hard and heartbreaking and I’m so incredibly sorry for anyone who’s had to go through it, whether it’s themselves or a loved one, I’m just so incredibly sorry, my inbox will always be open for everyone here &amp;lt;3 I hope you’re all doing amazing and staying strong</t>
        </is>
      </c>
      <c r="D9189" t="n">
        <v>2</v>
      </c>
      <c r="E9189" t="n">
        <v>4</v>
      </c>
      <c r="F9189">
        <f>HYPERLINK("https://www.reddit.com/r/cancer/comments/gh5ynj/3_months/")</f>
        <v/>
      </c>
      <c r="G9189" t="inlineStr">
        <is>
          <t>2020-05-10 10:49:30</t>
        </is>
      </c>
      <c r="H9189" t="inlineStr"/>
    </row>
    <row r="9190">
      <c r="A9190" t="inlineStr">
        <is>
          <t>gh8xgf</t>
        </is>
      </c>
      <c r="B9190" t="inlineStr">
        <is>
          <t>pls help</t>
        </is>
      </c>
      <c r="C9190" t="inlineStr">
        <is>
          <t>my mum has lung cancer and is not eating enough calories but she doesn’t have an appetite. does anyone know of any flavorless calorie powders you can put into water or something of the sort?</t>
        </is>
      </c>
      <c r="D9190" t="n">
        <v>1</v>
      </c>
      <c r="E9190" t="n">
        <v>7</v>
      </c>
      <c r="F9190">
        <f>HYPERLINK("https://www.reddit.com/r/cancer/comments/gh8xgf/pls_help/")</f>
        <v/>
      </c>
      <c r="G9190" t="inlineStr">
        <is>
          <t>2020-05-10 13:30:19</t>
        </is>
      </c>
      <c r="H9190" t="inlineStr"/>
    </row>
    <row r="9191">
      <c r="A9191" t="inlineStr">
        <is>
          <t>ghajbf</t>
        </is>
      </c>
      <c r="B9191" t="inlineStr">
        <is>
          <t>I think I have cancer</t>
        </is>
      </c>
      <c r="C9191" t="inlineStr">
        <is>
          <t>Around a month ago when I was shaving my armpits I noticed I had a lump under both of my armpits, they were uncomfortable but they didn't hurt, I didn't really think much of it and I didn't notice them again until 2 weeks ago when the lump under my right armpit started to hurt a lot, the one under my left armpit had disappeared however both of them are back now and they are very painful. I had a doctors appointment over the phone and the doctor told me to just take ibuprofen for the pain and to do hot compresses on them but I'm worried it could be something very serious, my doctor surgery isn't really allowing anyone to come in due to covid19 and this wasn't considered an emergency either so they won't get me checked. I'm not sure what to do, I'm planning on calling them again tomorrow to see if anything can be done but I don't know how likely that is to work. Could the lumps potentially be cancerous?</t>
        </is>
      </c>
      <c r="D9191" t="n">
        <v>0</v>
      </c>
      <c r="E9191" t="n">
        <v>6</v>
      </c>
      <c r="F9191">
        <f>HYPERLINK("https://www.reddit.com/r/cancer/comments/ghajbf/i_think_i_have_cancer/")</f>
        <v/>
      </c>
      <c r="G9191" t="inlineStr">
        <is>
          <t>2020-05-10 14:58:23</t>
        </is>
      </c>
      <c r="H9191" t="inlineStr"/>
    </row>
    <row r="9192">
      <c r="A9192" t="inlineStr">
        <is>
          <t>gham2u</t>
        </is>
      </c>
      <c r="B9192" t="inlineStr">
        <is>
          <t>If our mothers can hear us today, what would you want to say to her?</t>
        </is>
      </c>
      <c r="C9192" t="inlineStr">
        <is>
          <t>I know today is especially hard for us, but what would you tell your mom if she can hear you?</t>
        </is>
      </c>
      <c r="D9192" t="n">
        <v>1</v>
      </c>
      <c r="E9192" t="n">
        <v>2</v>
      </c>
      <c r="F9192">
        <f>HYPERLINK("https://www.reddit.com/r/cancer/comments/gham2u/if_our_mothers_can_hear_us_today_what_would_you/")</f>
        <v/>
      </c>
      <c r="G9192" t="inlineStr">
        <is>
          <t>2020-05-10 15:02:44</t>
        </is>
      </c>
      <c r="H9192" t="inlineStr"/>
    </row>
    <row r="9193">
      <c r="A9193" t="inlineStr">
        <is>
          <t>ghbbxp</t>
        </is>
      </c>
      <c r="B9193" t="inlineStr">
        <is>
          <t>Dying from brain cancer at the age of 14</t>
        </is>
      </c>
      <c r="C9193" t="inlineStr">
        <is>
          <t>Was experiencing frequent headaches and when I threw up, my mom decided to take me to hospital where a tumor was found in my brain... I was told I could have 2 - 4 years left to live, maybe a little less, maybe a little more. I'm starting chemo, but this whole thing is just wow.</t>
        </is>
      </c>
      <c r="D9193" t="n">
        <v>3</v>
      </c>
      <c r="E9193" t="n">
        <v>30</v>
      </c>
      <c r="F9193">
        <f>HYPERLINK("https://www.reddit.com/r/cancer/comments/ghbbxp/dying_from_brain_cancer_at_the_age_of_14/")</f>
        <v/>
      </c>
      <c r="G9193" t="inlineStr">
        <is>
          <t>2020-05-10 15:44:03</t>
        </is>
      </c>
      <c r="H9193" t="inlineStr"/>
    </row>
    <row r="9194">
      <c r="A9194" t="inlineStr">
        <is>
          <t>ghc2cd</t>
        </is>
      </c>
      <c r="B9194" t="inlineStr">
        <is>
          <t>A note for anyone struggling today</t>
        </is>
      </c>
      <c r="C9194" t="inlineStr">
        <is>
          <t>Mother's Day is not easy. Whether you have lost your mother or are currently battling cancer with your mother, today is understandably challenging. I just wanted to share virtual hugs with everyone who needs them today. Tomorrow will be a new day, and it's okay to not be 100% into today. Sending the few positive bits of energy to all who need it today. We're in this together.
You're loved, valid, and valued.</t>
        </is>
      </c>
      <c r="D9194" t="n">
        <v>1</v>
      </c>
      <c r="E9194" t="n">
        <v>14</v>
      </c>
      <c r="F9194">
        <f>HYPERLINK("https://www.reddit.com/r/cancer/comments/ghc2cd/a_note_for_anyone_struggling_today/")</f>
        <v/>
      </c>
      <c r="G9194" t="inlineStr">
        <is>
          <t>2020-05-10 16:25:46</t>
        </is>
      </c>
      <c r="H9194" t="inlineStr"/>
    </row>
    <row r="9195">
      <c r="A9195" t="inlineStr">
        <is>
          <t>ghdk0f</t>
        </is>
      </c>
      <c r="B9195" t="inlineStr">
        <is>
          <t>Is this going to cause cancer in my mom or dog?</t>
        </is>
      </c>
      <c r="C9195" t="inlineStr">
        <is>
          <t>I use rogaine daily and i forgot to wash my hands after using it. I rubbed my moms back, loved on my dog, and touched all over my phone and in the house. and i’m scared those chemicals will cause cancer in my mom or dog. My mom has already had cancer once so it makes me nervous.</t>
        </is>
      </c>
      <c r="D9195" t="n">
        <v>1</v>
      </c>
      <c r="E9195" t="n">
        <v>2</v>
      </c>
      <c r="F9195">
        <f>HYPERLINK("https://www.reddit.com/r/cancer/comments/ghdk0f/is_this_going_to_cause_cancer_in_my_mom_or_dog/")</f>
        <v/>
      </c>
      <c r="G9195" t="inlineStr">
        <is>
          <t>2020-05-10 17:54:56</t>
        </is>
      </c>
      <c r="H9195" t="inlineStr"/>
    </row>
    <row r="9196">
      <c r="A9196" t="inlineStr">
        <is>
          <t>ghdusb</t>
        </is>
      </c>
      <c r="B9196" t="inlineStr">
        <is>
          <t>Next 6 weeks are shot to hell starting tomorrow</t>
        </is>
      </c>
      <c r="C9196" t="inlineStr">
        <is>
          <t>I finished chemo for my breast cancer on April 17th.
Now radiation begins this week.
Tomorrow is "checking" alignment for the tattoos they put on my chest.
Then mon-fri until June 19th it's radiation.
Seriously this better be the end of this fucking shit.
Oh and my chemo port still hasnt been taken out.
With the way work is working 40+ hours a week, and medical bullshit for the past 6 months (mastectomy, chemo, now radiation)... When I take my vacation in July I'm making sure no doctor appointments fall in the middle of it.
I want this fucking ride over!!!</t>
        </is>
      </c>
      <c r="D9196" t="n">
        <v>1</v>
      </c>
      <c r="E9196" t="n">
        <v>4</v>
      </c>
      <c r="F9196">
        <f>HYPERLINK("https://www.reddit.com/r/cancer/comments/ghdusb/next_6_weeks_are_shot_to_hell_starting_tomorrow/")</f>
        <v/>
      </c>
      <c r="G9196" t="inlineStr">
        <is>
          <t>2020-05-10 18:13:46</t>
        </is>
      </c>
      <c r="H9196" t="inlineStr"/>
    </row>
    <row r="9197">
      <c r="A9197" t="inlineStr">
        <is>
          <t>ghf8ki</t>
        </is>
      </c>
      <c r="B9197" t="inlineStr">
        <is>
          <t>My mom is a selfish caretaker</t>
        </is>
      </c>
      <c r="C9197" t="inlineStr">
        <is>
          <t>I’ve posted in this group before. About 3 weeks ago, I found out that my dad had brain cancer and wasn’t given a good prognosis. He was moved from the VA to be at home with us, which is hard, I won’t lie. My mom and I are his caretakers, on top of actual hospice care, but my mom is so SELFISH. Just tonight, she got an attitude with him because he wanted something to drink (he more or less lost use of his right side and can’t move on his own). And I sleep with my bedroom door open in case he needs something in the night. What does she do tonight? Closes herself in her office and is sleeping in there. I go to ask her what she’s doing and she starts complaining. I say that I guess I’m gonna pull an all nighter because I sleep heavy, so I don’t wake up easily, and she comes back with a snotty sounding “like I don’t every night?” She doesn’t, by the way. She says she’s tired but she sleeps all the time almost. She complains about all that she does to her sisters, but I’m doing most of the work for my dad, aside from a couple of days here and there when I get to go visit my boyfriend. 
I just don’t get it. And my dad told me this is how she is with him every night, and that he’s going to go back to the VA. I can’t let that happen, he’ll die there alone, and then what? It’s just so shocking, that when he was diagnosed and before he came home, my mom was so torn up and was saying that she’ll be there for him during all of this, and now this is the treatment he’s getting? It’s disgusting and grossly unfair.</t>
        </is>
      </c>
      <c r="D9197" t="n">
        <v>1</v>
      </c>
      <c r="E9197" t="n">
        <v>16</v>
      </c>
      <c r="F9197">
        <f>HYPERLINK("https://www.reddit.com/r/cancer/comments/ghf8ki/my_mom_is_a_selfish_caretaker/")</f>
        <v/>
      </c>
      <c r="G9197" t="inlineStr">
        <is>
          <t>2020-05-10 19:43:32</t>
        </is>
      </c>
      <c r="H9197" t="inlineStr"/>
    </row>
    <row r="9198">
      <c r="A9198" t="inlineStr">
        <is>
          <t>ghgfy4</t>
        </is>
      </c>
      <c r="B9198" t="inlineStr">
        <is>
          <t>My mums state has gotten worse and I don’t know what to do.</t>
        </is>
      </c>
      <c r="C9198" t="inlineStr">
        <is>
          <t>She had brain tumors and lung cancer. Things were looking up then they went down. Chest infection, lymph nodes, liver. Another round of chemo. 
My dad spoke to me the other day about spending time with her in case we don’t have a lot of it. 
I seriously don’t know how to handle this what do I do.</t>
        </is>
      </c>
      <c r="D9198" t="n">
        <v>1</v>
      </c>
      <c r="E9198" t="n">
        <v>3</v>
      </c>
      <c r="F9198">
        <f>HYPERLINK("https://www.reddit.com/r/cancer/comments/ghgfy4/my_mums_state_has_gotten_worse_and_i_dont_know/")</f>
        <v/>
      </c>
      <c r="G9198" t="inlineStr">
        <is>
          <t>2020-05-10 21:06:40</t>
        </is>
      </c>
      <c r="H9198" t="inlineStr"/>
    </row>
    <row r="9199">
      <c r="A9199" t="inlineStr">
        <is>
          <t>ghk9p7</t>
        </is>
      </c>
      <c r="B9199" t="inlineStr">
        <is>
          <t>Mom's Cancer Battle (Im losing hope)</t>
        </is>
      </c>
      <c r="C9199" t="inlineStr">
        <is>
          <t>My Mom (72yo) was diagnosed  with stage 3b colon cancer  last 2017. She did a few rounds of chemo and the doctor said she was fine. On follow up a few months after her tumor markers spiked and we found liver metastases as well aa questionable growth on both her lungs. She underwent a year of intravenous cetuximab and folfiri as well as a liver lobectomy.  Things were looking uo a few months ago with her tumor markers down to 3 but now its back up again to 64 even with oral chemo med(capecetabine). I keep trying to keep strong for my mom but this disease is proving just way too much for me to handle. My siblings all look up to me for medical support ( i work in the medical field ) but i cant tell them that im as helpless as they are. 
I dont know how long i can still hold out and the silver lining to this situation is she doesnt feel anything from cancer but rather she hates the side effects of the medications.</t>
        </is>
      </c>
      <c r="D9199" t="n">
        <v>1</v>
      </c>
      <c r="E9199" t="n">
        <v>3</v>
      </c>
      <c r="F9199">
        <f>HYPERLINK("https://www.reddit.com/r/cancer/comments/ghk9p7/moms_cancer_battle_im_losing_hope/")</f>
        <v/>
      </c>
      <c r="G9199" t="inlineStr">
        <is>
          <t>2020-05-11 02:18:38</t>
        </is>
      </c>
      <c r="H9199" t="inlineStr"/>
    </row>
    <row r="9200">
      <c r="A9200" t="inlineStr">
        <is>
          <t>ghl4jf</t>
        </is>
      </c>
      <c r="B9200" t="inlineStr">
        <is>
          <t>anxious 24 y.o female. need encouragement to visit GI for thin poop</t>
        </is>
      </c>
      <c r="C9200" t="inlineStr">
        <is>
          <t>hello! I came here for encouragement, or support, or i dont know really
I've been having thin poop in every BM for the last two weeks and this is very different from my usual BMs. sometimes it's just thinner than usual and other times it's pencil thin.
Sometimes I also had another symptom for a very short time which was a pain very deep up in the rectal area when i sit up, but it goes away very quickly, and now it doesnt happen anymore.
I already have IBS so I do get constipation/diarrhea/bloating very very often, but I've never had thin poops like this so im really scared. Also my IBS diagnosis was never made based on a colonoscopy, but rather because it's very common in my family and i have the same symptoms.
I know colorectal cancer isn't very common in young ages but my mother died of breast cancer at an age that was considered young for breast cancer.
I want to visit a GI because I'm terrified, but I'm also terrified of seeing a GI.
I would really appreciate it if someone would encourage me to see a GI :') I'm very terrified and I dont really have anyone I can share this with or ask to come with me to the GI, I've never had a colonoscopy and I'm terrified at the idea of possibly getting one because it seems both painful and extremely embarrassing (the latter is scaring me even more).
But i wanna get this off my mind once and for all.
I really hope I do not offend anyone with my post I'm just very scared and I dont know where else to go.</t>
        </is>
      </c>
      <c r="D9200" t="n">
        <v>1</v>
      </c>
      <c r="E9200" t="n">
        <v>6</v>
      </c>
      <c r="F9200">
        <f>HYPERLINK("https://www.reddit.com/r/cancer/comments/ghl4jf/anxious_24_yo_female_need_encouragement_to_visit/")</f>
        <v/>
      </c>
      <c r="G9200" t="inlineStr">
        <is>
          <t>2020-05-11 03:33:04</t>
        </is>
      </c>
      <c r="H9200" t="inlineStr"/>
    </row>
    <row r="9201">
      <c r="A9201" t="inlineStr">
        <is>
          <t>ghlyb5</t>
        </is>
      </c>
      <c r="B9201" t="inlineStr">
        <is>
          <t>is lymphedema common after surgery that removed lymph nodes?</t>
        </is>
      </c>
      <c r="C9201" t="inlineStr">
        <is>
          <t>had 9 lymph nodes removed during my surgery and am just wondering if the risk of developing lymphedema would be high. if it occurs, does it usually happen in the first 3 years?</t>
        </is>
      </c>
      <c r="D9201" t="n">
        <v>1</v>
      </c>
      <c r="E9201" t="n">
        <v>7</v>
      </c>
      <c r="F9201">
        <f>HYPERLINK("https://www.reddit.com/r/cancer/comments/ghlyb5/is_lymphedema_common_after_surgery_that_removed/")</f>
        <v/>
      </c>
      <c r="G9201" t="inlineStr">
        <is>
          <t>2020-05-11 04:41:09</t>
        </is>
      </c>
      <c r="H9201" t="inlineStr"/>
    </row>
    <row r="9202">
      <c r="A9202" t="inlineStr">
        <is>
          <t>ghmn2t</t>
        </is>
      </c>
      <c r="B9202" t="inlineStr">
        <is>
          <t>My grandma have lung cancer , they just found out it’s spreading. We tried almost everything, she is out of breath and we don’t want to do. Please can you give us some tips , alternative medicine or something that might work...</t>
        </is>
      </c>
      <c r="C9202" t="inlineStr">
        <is>
          <t>That’s the whole question, we are desperate and money obviously don’t help. My family is not poor, we can afford operations and all needed things. Can you suggest something? It’s sad to see my family desperate, sadly I can’t help , but i do believe I can get some help.
Today she was at the hospital and one doctor directly told her that her time is passing.
My other grandma had breast cancer , but she did had an operation and now she is doing good.</t>
        </is>
      </c>
      <c r="D9202" t="n">
        <v>1</v>
      </c>
      <c r="E9202" t="n">
        <v>1</v>
      </c>
      <c r="F9202">
        <f>HYPERLINK("https://www.reddit.com/r/cancer/comments/ghmn2t/my_grandma_have_lung_cancer_they_just_found_out/")</f>
        <v/>
      </c>
      <c r="G9202" t="inlineStr">
        <is>
          <t>2020-05-11 05:29:46</t>
        </is>
      </c>
      <c r="H9202" t="inlineStr"/>
    </row>
    <row r="9203">
      <c r="A9203" t="inlineStr">
        <is>
          <t>ghn2k0</t>
        </is>
      </c>
      <c r="B9203" t="inlineStr">
        <is>
          <t>If she dies I will follow her</t>
        </is>
      </c>
      <c r="C9203" t="inlineStr">
        <is>
          <t>My mother is my everything. And I mean everything. I have a father, a boyfriend, close friends and aunts and cousins and I would give them all up in a heartbeat if it could somehow cure my mother, horrible as it might sound. She was diagnosed with colon cancer a few weeks ago and just had surgery to remove the tumour. She will need chemo if it has spread to her lymph nodes. 
I’m paralysed with fear. I truly cannot live without her. She is my soulmate and the most beautiful, bravest, kindest person I have ever met. We look the same, speak the same, think the same. The only thought that comforts me right now is that if she dies I don’t have to live without her. That is my choice, the only thing I can control. 
No one I know seems to truly understand my complete and utter terror. If anyone experienced even close to what I’m describing I would love to hear your thoughts. I feel so alone.</t>
        </is>
      </c>
      <c r="D9203" t="n">
        <v>1</v>
      </c>
      <c r="E9203" t="n">
        <v>32</v>
      </c>
      <c r="F9203">
        <f>HYPERLINK("https://www.reddit.com/r/cancer/comments/ghn2k0/if_she_dies_i_will_follow_her/")</f>
        <v/>
      </c>
      <c r="G9203" t="inlineStr">
        <is>
          <t>2020-05-11 05:58:44</t>
        </is>
      </c>
      <c r="H9203" t="inlineStr"/>
    </row>
    <row r="9204">
      <c r="A9204" t="inlineStr">
        <is>
          <t>ghn3zf</t>
        </is>
      </c>
      <c r="B9204" t="inlineStr">
        <is>
          <t>is lymphedema common after lymph nodes removal?</t>
        </is>
      </c>
      <c r="C9204" t="inlineStr">
        <is>
          <t>had 9 lymph nodes removed during my surgery for cancer and am just wondering if the lifetime risk of developing lymphedema would be high. if it occurs, does it usually happen in the first 3 years?</t>
        </is>
      </c>
      <c r="D9204" t="n">
        <v>1</v>
      </c>
      <c r="E9204" t="n">
        <v>0</v>
      </c>
      <c r="F9204">
        <f>HYPERLINK("https://www.reddit.com/r/cancer/comments/ghn3zf/is_lymphedema_common_after_lymph_nodes_removal/")</f>
        <v/>
      </c>
      <c r="G9204" t="inlineStr">
        <is>
          <t>2020-05-11 06:01:19</t>
        </is>
      </c>
      <c r="H9204" t="inlineStr"/>
    </row>
    <row r="9205">
      <c r="A9205" t="inlineStr">
        <is>
          <t>ghqywh</t>
        </is>
      </c>
      <c r="B9205" t="inlineStr">
        <is>
          <t>Recommendations for financial support</t>
        </is>
      </c>
      <c r="C9205" t="inlineStr">
        <is>
          <t>Hi! I was wondering if anyone could recommend something I can do to have financial support. I haven't been able to work since November and now because of covid-19 I'm unable to return to work even though I just finished treatment. I was trying to look up filing for unemployment but from what I could tell, you still have to be actively looking for a job but I am unable to do that. I'm just at a loss and everything is very confusing to me. I am just barely scrapping by with what I have meanwhile people under unemployment will be getting $600 a week now and I feel like there's got to be something I can do. Thank you for any advice that can be provided!</t>
        </is>
      </c>
      <c r="D9205" t="n">
        <v>5</v>
      </c>
      <c r="E9205" t="n">
        <v>14</v>
      </c>
      <c r="F9205">
        <f>HYPERLINK("https://www.reddit.com/r/cancer/comments/ghqywh/recommendations_for_financial_support/")</f>
        <v/>
      </c>
      <c r="G9205" t="inlineStr">
        <is>
          <t>2020-05-11 09:34:15</t>
        </is>
      </c>
      <c r="H9205" t="inlineStr"/>
    </row>
    <row r="9206">
      <c r="A9206" t="inlineStr">
        <is>
          <t>ghsxk3</t>
        </is>
      </c>
      <c r="B9206" t="inlineStr">
        <is>
          <t>Question for Caregivers - how are you handling returning to work in the face of COVID?</t>
        </is>
      </c>
      <c r="C9206" t="inlineStr">
        <is>
          <t>Hi everyone, 
I will spare you the long story. Suffice it to say that after 8 weeks of working from home in a job that can be done remotely 95% of the time, my employer is now wanting me to return to work.  I have a three year old with Leukemia and I am terrified I am going to contract COVID at work and pass it to him without knowing I'm carrying it. 
&amp;amp;#x200B;
For reference I work for a large Fortune 100 company as an engineer mostly customer-facing. A lot of my day to day tasks I do not interface with people inside our plant. They have made some changes to the way we work, providing PPE (dust masks) and sanitizer as well as SAYING that social distancing is mandatory, but my understanding from people that have been in the plant is that compliance is about 50% at best. 
I have asked for flexibility and received a combination of lip service and thinly veiled threats that I "may no longer be needed if I cannot return to work full time long-term". I was asked to file for a "reasonable accommodation" through our third party company that deals with these claims (Sedgewick). I've done so, but I am not being accommodated in the meantime. My first day back since March 13th will be Wednesday.  
I am so frustrated by their lack of understanding and willingness to work with me. Looking for any advice or ways to cope. What has been everyone's experience? Is every employer just a dick for no reason?</t>
        </is>
      </c>
      <c r="D9206" t="n">
        <v>1</v>
      </c>
      <c r="E9206" t="n">
        <v>9</v>
      </c>
      <c r="F9206">
        <f>HYPERLINK("https://www.reddit.com/r/cancer/comments/ghsxk3/question_for_caregivers_how_are_you_handling/")</f>
        <v/>
      </c>
      <c r="G9206" t="inlineStr">
        <is>
          <t>2020-05-11 11:09:48</t>
        </is>
      </c>
      <c r="H9206" t="inlineStr"/>
    </row>
    <row r="9207">
      <c r="A9207" t="inlineStr">
        <is>
          <t>ghvf3w</t>
        </is>
      </c>
      <c r="B9207" t="inlineStr">
        <is>
          <t>My Husband (27M) Has Synovial Sarcoma - Update</t>
        </is>
      </c>
      <c r="C9207" t="inlineStr">
        <is>
          <t>I made a post a few weeks ago about this, and I wanted to provide an update/gain any insight! 
His sarcoma is currently not metastatic (not spreading), however the tumor in his throat is extremely large. It is so large that it is pushing on his hypoglosal canal and has encroached on the carotid artery and a bunch of important nerve bundles. Because of this, they are opting for AIM chemo first (it's a combination of three different medicines) before doing a surgery to see if they can shrink it down a bit to lessen the risks of having to slice through a bunch of things during surgery. 
I just dropped him off for his first chemo cycle. He's going to be in the hospital for a week while they administer it. Because of COVID, I cannot be there with him and this kills me but I understand it. He'll come home on Friday and go back for his next cycle in three weeks. They're wanting to complete 3 cycles total and then see about doing surgery. 
He's been in a lot of pain lately, will chemotherapy help lessen this? Has anyone had this type of chemotherapy before? I've gotten some great insight on my last post about things to do to make him comfortable but I'd love feedback from anyone who has had AIM chemotherapy before!</t>
        </is>
      </c>
      <c r="D9207" t="n">
        <v>5</v>
      </c>
      <c r="E9207" t="n">
        <v>11</v>
      </c>
      <c r="F9207">
        <f>HYPERLINK("https://www.reddit.com/r/cancer/comments/ghvf3w/my_husband_27m_has_synovial_sarcoma_update/")</f>
        <v/>
      </c>
      <c r="G9207" t="inlineStr">
        <is>
          <t>2020-05-11 13:08:22</t>
        </is>
      </c>
      <c r="H9207" t="inlineStr"/>
    </row>
    <row r="9208">
      <c r="A9208" t="inlineStr">
        <is>
          <t>ghvo18</t>
        </is>
      </c>
      <c r="B9208" t="inlineStr">
        <is>
          <t>Aweful smell in nose</t>
        </is>
      </c>
      <c r="C9208" t="inlineStr">
        <is>
          <t>This has been driving me mad. For months this weird random smell will just happen in my nose. There’s nothing I can think of that causes it. I’m currently on vincristine for leukemia, But the smell starts kind of in the back of the nose. And is extremely uncomfortable. Does anyone have anything similar??</t>
        </is>
      </c>
      <c r="D9208" t="n">
        <v>3</v>
      </c>
      <c r="E9208" t="n">
        <v>5</v>
      </c>
      <c r="F9208">
        <f>HYPERLINK("https://www.reddit.com/r/cancer/comments/ghvo18/aweful_smell_in_nose/")</f>
        <v/>
      </c>
      <c r="G9208" t="inlineStr">
        <is>
          <t>2020-05-11 13:21:11</t>
        </is>
      </c>
      <c r="H9208" t="inlineStr"/>
    </row>
    <row r="9209">
      <c r="A9209" t="inlineStr">
        <is>
          <t>ghvuxx</t>
        </is>
      </c>
      <c r="B9209" t="inlineStr">
        <is>
          <t>Im confused please help</t>
        </is>
      </c>
      <c r="C9209" t="inlineStr">
        <is>
          <t>My dad had cancer all of my life and when I was 12 he died of cancer. I honestly never really realized or noticed how severely sick he was. I do remember always being extremely angry though. There were times he would get so winded and could not breathe in public and I would get so embarrassed. I used to get so angry at him thinking that he had some sort of control over it. Sometimes he would throw up because of the queasiness he would get from his chemotherapy. I would get so angry at him that I would be so mean to him. If anyone else had a parent or someone they loved with cancer can you relate or understand why I would do this? Sometimes I remember all of those things that I would get angry at him for it and I am so scarred by it. Why would I be angry at him? It's not like he could control the symptoms he had.</t>
        </is>
      </c>
      <c r="D9209" t="n">
        <v>1</v>
      </c>
      <c r="E9209" t="n">
        <v>4</v>
      </c>
      <c r="F9209">
        <f>HYPERLINK("https://www.reddit.com/r/cancer/comments/ghvuxx/im_confused_please_help/")</f>
        <v/>
      </c>
      <c r="G9209" t="inlineStr">
        <is>
          <t>2020-05-11 13:31:31</t>
        </is>
      </c>
      <c r="H9209" t="inlineStr"/>
    </row>
    <row r="9210">
      <c r="A9210" t="inlineStr">
        <is>
          <t>ghx2nd</t>
        </is>
      </c>
      <c r="B9210" t="inlineStr">
        <is>
          <t>Newly diagnosed stage IV colon cancer</t>
        </is>
      </c>
      <c r="C9210" t="inlineStr">
        <is>
          <t>On the 24th of April I (39 f) was diagnosed with stage IV colon cancer. I was told it was rare for someone my age to have this type of cancer. Does anyone have any experience with this? I’m starting Folfox chemo soon. How terrible is it?
I haven’t been able to work and wasn’t sure if there are resources available for financial help. My friends started a GoFundMe. Any advise on getting more views to it?</t>
        </is>
      </c>
      <c r="D9210" t="n">
        <v>1</v>
      </c>
      <c r="E9210" t="n">
        <v>26</v>
      </c>
      <c r="F9210">
        <f>HYPERLINK("https://www.reddit.com/r/cancer/comments/ghx2nd/newly_diagnosed_stage_iv_colon_cancer/")</f>
        <v/>
      </c>
      <c r="G9210" t="inlineStr">
        <is>
          <t>2020-05-11 14:39:20</t>
        </is>
      </c>
      <c r="H9210" t="inlineStr"/>
    </row>
    <row r="9211">
      <c r="A9211" t="inlineStr">
        <is>
          <t>ghy9tn</t>
        </is>
      </c>
      <c r="B9211" t="inlineStr">
        <is>
          <t>Convincing sisters to get testing done</t>
        </is>
      </c>
      <c r="C9211" t="inlineStr">
        <is>
          <t>My mother died at the age of 33 from stage 3  breast cancer about 15  years ago. I have three sister (ages 28, 25, and 22), two who have never been tested for the BRCA 2 gene my mother carried. My eldest sister was tested and came back positive and had a double mastectomy as a precaution and then reconstruction surgery. My eldest sister told me that it cost her over $100,000 for both surgeries and recovery expenses. I've been tested and came back negative for the mutated gene so I don't have to fear for this in the near future. My other two sister are afraid of getting a result but I know itll be the best chance for them to go get tested sooner rather than later. I personally think that this should of happened years ago but they keep putting it off. Our mother died very young and she went through two rounds of chemo and radiation so we know it was really aggressive for her. One of my sisters, who hasn't been tested, has autism, is severely depressed, has ptsd, and has severe anxiety so I have no clue how to bring it up again without triggering something (she doesn't deal with death and problems well). My other sister, who hasn't been tested, has severe breathing  problems and is also depressed. They are both uninsured. Father is almost just as bad at avoiding this as they are. We all live in America.</t>
        </is>
      </c>
      <c r="D9211" t="n">
        <v>2</v>
      </c>
      <c r="E9211" t="n">
        <v>6</v>
      </c>
      <c r="F9211">
        <f>HYPERLINK("https://www.reddit.com/r/cancer/comments/ghy9tn/convincing_sisters_to_get_testing_done/")</f>
        <v/>
      </c>
      <c r="G9211" t="inlineStr">
        <is>
          <t>2020-05-11 15:43:10</t>
        </is>
      </c>
      <c r="H9211" t="inlineStr"/>
    </row>
    <row r="9212">
      <c r="A9212" t="inlineStr">
        <is>
          <t>ghzcza</t>
        </is>
      </c>
      <c r="B9212" t="inlineStr">
        <is>
          <t>Ideas for a friend celebrating their ‘cancerversary’.</t>
        </is>
      </c>
      <c r="C9212" t="inlineStr">
        <is>
          <t>Hi guys, I have a friend who will be celebrating their 7th year cancer free in a few weeks time. With the whole lockdown situation, I wanted to send her a present to let her know she’s in my thoughts.
Can anybody recommend any ideas? 
Thanks in advanced!</t>
        </is>
      </c>
      <c r="D9212" t="n">
        <v>1</v>
      </c>
      <c r="E9212" t="n">
        <v>3</v>
      </c>
      <c r="F9212">
        <f>HYPERLINK("https://www.reddit.com/r/cancer/comments/ghzcza/ideas_for_a_friend_celebrating_their_cancerversary/")</f>
        <v/>
      </c>
      <c r="G9212" t="inlineStr">
        <is>
          <t>2020-05-11 16:41:47</t>
        </is>
      </c>
      <c r="H9212" t="inlineStr"/>
    </row>
    <row r="9213">
      <c r="A9213" t="inlineStr">
        <is>
          <t>gi3crc</t>
        </is>
      </c>
      <c r="B9213" t="inlineStr">
        <is>
          <t>Should we consider Radiation therapy and risk the pain flare</t>
        </is>
      </c>
      <c r="C9213" t="inlineStr">
        <is>
          <t>I am sorry if I ramble a bit but I am in urgent need of advice from outside sources. My father was diagnosed with paraspinal stage 4 cancer recently. Before this, we had no idea that it was cancer. For the past 9 months he’s been having extreme pain. From the last month he’s been on very strong pain medications, since that’s all the doctors say we can do right now. In the past few days, the pain has grown so much so that he needs 1-2 hydromorphone hcl tablets every few hours. Along with this, he’s taking hydromorphone long acting tablets and a pain reliever called lyrica. All this to say that we are worried about our options. The doctors say that he will have a pain flare after the radiation therapy which will last for two weeks. In addition, he will need our help to go upstairs and downstairs each day for five days of consecutive therapy. We are wondering if we should consider therapy, and if it will actually help.</t>
        </is>
      </c>
      <c r="D9213" t="n">
        <v>1</v>
      </c>
      <c r="E9213" t="n">
        <v>2</v>
      </c>
      <c r="F9213">
        <f>HYPERLINK("https://www.reddit.com/r/cancer/comments/gi3crc/should_we_consider_radiation_therapy_and_risk_the/")</f>
        <v/>
      </c>
      <c r="G9213" t="inlineStr">
        <is>
          <t>2020-05-11 20:41:26</t>
        </is>
      </c>
      <c r="H9213" t="inlineStr"/>
    </row>
    <row r="9214">
      <c r="A9214" t="inlineStr">
        <is>
          <t>gi5tme</t>
        </is>
      </c>
      <c r="B9214" t="inlineStr">
        <is>
          <t>What is this? What do I do?</t>
        </is>
      </c>
      <c r="C9214" t="inlineStr">
        <is>
          <t>My mom hasn't been officially diagnosed yet, but her doctors are quite sure that it's a rare form of lung cancer, in which a tumor is growing inside her blood vessels at a very rapid rate. I tried doing some research but I can't find any info on tumors growing INSIDE a blood vessel in the lung. One of the doctors said there are only 400 cases of this around the world, and it's estimated that at most she'd have 2-3 years to live. But none of this is officially diagnosed because they refuse to perform a biopsy on her because they say her lungs and blood vessels are too delicate and there's a risk of heart failure if they perform it. What do I do? What other options are there?</t>
        </is>
      </c>
      <c r="D9214" t="n">
        <v>1</v>
      </c>
      <c r="E9214" t="n">
        <v>2</v>
      </c>
      <c r="F9214">
        <f>HYPERLINK("https://www.reddit.com/r/cancer/comments/gi5tme/what_is_this_what_do_i_do/")</f>
        <v/>
      </c>
      <c r="G9214" t="inlineStr">
        <is>
          <t>2020-05-11 23:40:11</t>
        </is>
      </c>
      <c r="H9214" t="inlineStr"/>
    </row>
    <row r="9215">
      <c r="A9215" t="inlineStr">
        <is>
          <t>gi682u</t>
        </is>
      </c>
      <c r="B9215" t="inlineStr">
        <is>
          <t>My mom is gone</t>
        </is>
      </c>
      <c r="C9215" t="inlineStr">
        <is>
          <t>It got her. I’m feeling numb right now. She was diagnosed last January, made it past what the doctor expected. It didn’t have to happen this way but it did. Not sure what to feel, will probably dive headfirst into my finals for the next couple of days to stay busy.  I love you mom and I miss you already.</t>
        </is>
      </c>
      <c r="D9215" t="n">
        <v>1</v>
      </c>
      <c r="E9215" t="n">
        <v>24</v>
      </c>
      <c r="F9215">
        <f>HYPERLINK("https://www.reddit.com/r/cancer/comments/gi682u/my_mom_is_gone/")</f>
        <v/>
      </c>
      <c r="G9215" t="inlineStr">
        <is>
          <t>2020-05-12 00:10:57</t>
        </is>
      </c>
      <c r="H9215" t="inlineStr"/>
    </row>
    <row r="9216">
      <c r="A9216" t="inlineStr">
        <is>
          <t>gi6c28</t>
        </is>
      </c>
      <c r="B9216" t="inlineStr">
        <is>
          <t>Those who had memory issues from chemo, long did it last?</t>
        </is>
      </c>
      <c r="C9216" t="inlineStr">
        <is>
          <t>Particularly if you were in your 30s or 40s. I'm almost a year out from chemo and am still pretty scatterbrained.</t>
        </is>
      </c>
      <c r="D9216" t="n">
        <v>1</v>
      </c>
      <c r="E9216" t="n">
        <v>1</v>
      </c>
      <c r="F9216">
        <f>HYPERLINK("https://www.reddit.com/r/cancer/comments/gi6c28/those_who_had_memory_issues_from_chemo_long_did/")</f>
        <v/>
      </c>
      <c r="G9216" t="inlineStr">
        <is>
          <t>2020-05-12 00:19:31</t>
        </is>
      </c>
      <c r="H9216" t="inlineStr"/>
    </row>
    <row r="9217">
      <c r="A9217" t="inlineStr">
        <is>
          <t>gi9sx0</t>
        </is>
      </c>
      <c r="B9217" t="inlineStr">
        <is>
          <t>What was the duration for which surgical drains were there?</t>
        </is>
      </c>
      <c r="C9217" t="inlineStr">
        <is>
          <t>It has been more than a month since my mother's groin node surgery (biopsy confirmed stage 4 adenocarcinoma) and the drain output is still around 400 ml each day. We are waiting for the output to decrease to 25 ml per day so we can carry on with further treatment. I want to know the general duration for the output to come through the drain so I can have some idea about the average wait time. Online studies say the average time for the drain to stick around is 1-5 weeks, and we are in the 5th week so I need to know how much more to expect
[View Poll](https://www.reddit.com/poll/gi9sx0)</t>
        </is>
      </c>
      <c r="D9217" t="n">
        <v>1</v>
      </c>
      <c r="E9217" t="n">
        <v>10</v>
      </c>
      <c r="F9217">
        <f>HYPERLINK("https://www.reddit.com/r/cancer/comments/gi9sx0/what_was_the_duration_for_which_surgical_drains/")</f>
        <v/>
      </c>
      <c r="G9217" t="inlineStr">
        <is>
          <t>2020-05-12 04:55:28</t>
        </is>
      </c>
      <c r="H9217" t="inlineStr"/>
    </row>
    <row r="9218">
      <c r="A9218" t="inlineStr">
        <is>
          <t>gibrt3</t>
        </is>
      </c>
      <c r="B9218" t="inlineStr">
        <is>
          <t>Why would a CA 27-29 tumor marker test result jump from 52 to 115 with 24 hours between tests?</t>
        </is>
      </c>
      <c r="C9218" t="inlineStr">
        <is>
          <t>Has anyone experienced anything like this? 
My mom (63) has been free of breast cancer for over five years, but went in this week for one of her annual check-ups.
CA 27-29 test came back abnormal at a **52.4** during her original test on Thursday (normal range is 0-38) -- she has always been between a 23-25 for this test every year since 2014.
Went back in for a second CA 27-29 test the following day (Friday), and that test result came back as **114.**
This is +63 from the first test just 24 hours before. She feels healthy and fine, is active, plays tennis multiple times a week, no issues.
She is scheduled for additional scans due to these abnormal results and I know it's a waiting game to know what's truly going on, but just curious if a jump in results of a CA 27-29 from a 52 to a 115 over a 24 hour period is typical, or if anyone else has experienced that? It doesn't seem like the results of that test would usually fluctuate in such a volatile manner and would instead gradually reduce/increase over time depending what's going on?
Test results: CA 27-29:
5/8/20: 115.3 (HIGH)
5/7/20: 52.4 (HIGH)
5/2019: 24.5
5/2018: 25.0
5/2017: 25.2
5/2016: 23.1
MEDICAL HISTORY:
Eye Cancer - Melanoma - treated with Brachytherapy
Breast Cancer - Invasive Ductal Carcinoma In Situ - Treated with Chemotherapy, Mastectomy of right breast, Radiation</t>
        </is>
      </c>
      <c r="D9218" t="n">
        <v>1</v>
      </c>
      <c r="E9218" t="n">
        <v>1</v>
      </c>
      <c r="F9218">
        <f>HYPERLINK("https://www.reddit.com/r/cancer/comments/gibrt3/why_would_a_ca_2729_tumor_marker_test_result_jump/")</f>
        <v/>
      </c>
      <c r="G9218" t="inlineStr">
        <is>
          <t>2020-05-12 07:01:26</t>
        </is>
      </c>
      <c r="H9218" t="inlineStr"/>
    </row>
    <row r="9219">
      <c r="A9219" t="inlineStr">
        <is>
          <t>gicmlr</t>
        </is>
      </c>
      <c r="B9219" t="inlineStr">
        <is>
          <t>do you think radiotherapy kills?</t>
        </is>
      </c>
      <c r="C9219" t="inlineStr">
        <is>
          <t>my mom weakened after 15 days of radiotherapy.</t>
        </is>
      </c>
      <c r="D9219" t="n">
        <v>1</v>
      </c>
      <c r="E9219" t="n">
        <v>0</v>
      </c>
      <c r="F9219">
        <f>HYPERLINK("https://www.reddit.com/r/cancer/comments/gicmlr/do_you_think_radiotherapy_kills/")</f>
        <v/>
      </c>
      <c r="G9219" t="inlineStr">
        <is>
          <t>2020-05-12 07:50:03</t>
        </is>
      </c>
      <c r="H9219" t="inlineStr"/>
    </row>
    <row r="9220">
      <c r="A9220" t="inlineStr">
        <is>
          <t>giexan</t>
        </is>
      </c>
      <c r="B9220" t="inlineStr">
        <is>
          <t>Journaling</t>
        </is>
      </c>
      <c r="C9220" t="inlineStr">
        <is>
          <t>Writing is a way for me to cope with my anxiety. 
Today, there was a lot of anxiety. The days are usually full of it when I have an oncology appointment.
I thought I’d share this part of a journal entry here. Maybe someone can relate. Maybe not. Everyone’s story is different.....
Keep fighting, keep surviving. 
Cheers.
May 12th, 2020.
Cancer is a son of a bitch.
I was diagnosed April 2, 2019 with Testicular Cancer. Surgery, BEP X3 and a few months I was “cured” in remission.
Today I came in for a surveillance checkup. 
I couldn’t help but overcome with guilt.
I’ve carried this guilt since my first admission into the oncology wing in the hospital.
I see the other patients... the ones who are sick. The ones who God willing are going to make it, but it just doesn’t look like God IS willing. Sick, frail, lost, scared. Some have the look in their eyes, the fierceness and determination to survive.... others, it seems like they’ve came to terms with their disease, and are simply just waiting. 
And here I am. Healthy, strong. The only evidence of my fight are two scars, one on my chest and another on my groin. A shaved head. A necklace I now wear saying that in an emergency to not give me pure oxygen, as I’ve received Bleomycin. Hands that shake, just slightly, when they get tired. 
It doesn’t seem right.
I’ve been called a survivor, a warrior, a hero, strong, tough, and a thesaurus full of other adjectives all attempting to describe the strength and tenacity that is required to overcome this monster. 
Bloodwork is all clear. Scans are normal. I’m still okay. Today, I get to leave the hospital once more and declare that I am still in remission to my family. I am one of the lucky ones. 
By God, I am lucky.</t>
        </is>
      </c>
      <c r="D9220" t="n">
        <v>1</v>
      </c>
      <c r="E9220" t="n">
        <v>4</v>
      </c>
      <c r="F9220">
        <f>HYPERLINK("https://www.reddit.com/r/cancer/comments/giexan/journaling/")</f>
        <v/>
      </c>
      <c r="G9220" t="inlineStr">
        <is>
          <t>2020-05-12 09:46:39</t>
        </is>
      </c>
      <c r="H9220" t="inlineStr"/>
    </row>
    <row r="9221">
      <c r="A9221" t="inlineStr">
        <is>
          <t>giiixn</t>
        </is>
      </c>
      <c r="B9221" t="inlineStr">
        <is>
          <t>He’s in so much pain</t>
        </is>
      </c>
      <c r="C9221" t="inlineStr">
        <is>
          <t>I just wish I was dead. No one should have to see their 28 year old partner in this much pain and no one should have to go through what he’s going through.</t>
        </is>
      </c>
      <c r="D9221" t="n">
        <v>1</v>
      </c>
      <c r="E9221" t="n">
        <v>13</v>
      </c>
      <c r="F9221">
        <f>HYPERLINK("https://www.reddit.com/r/cancer/comments/giiixn/hes_in_so_much_pain/")</f>
        <v/>
      </c>
      <c r="G9221" t="inlineStr">
        <is>
          <t>2020-05-12 12:32:37</t>
        </is>
      </c>
      <c r="H9221" t="inlineStr"/>
    </row>
    <row r="9222">
      <c r="A9222" t="inlineStr">
        <is>
          <t>giksh3</t>
        </is>
      </c>
      <c r="B9222" t="inlineStr">
        <is>
          <t>Feeling frustrated and depressed.</t>
        </is>
      </c>
      <c r="C9222" t="inlineStr">
        <is>
          <t>I finished my treatment seven weeks ago. I had seven weeks of daily radiation and four rounds of platinum-based chemo for head and neck cancer (tongue and lymph node on neck). I kind of thought that I would be slowly getting better, but each time I think I am turning a corner, there is some setback. Nausea, throat pain and fatigue just seem to reappear at random.  I was off all my pain meds, and then last night had severe ear pain. Just wondering when I can have some progress I can trust.</t>
        </is>
      </c>
      <c r="D9222" t="n">
        <v>1</v>
      </c>
      <c r="E9222" t="n">
        <v>6</v>
      </c>
      <c r="F9222">
        <f>HYPERLINK("https://www.reddit.com/r/cancer/comments/giksh3/feeling_frustrated_and_depressed/")</f>
        <v/>
      </c>
      <c r="G9222" t="inlineStr">
        <is>
          <t>2020-05-12 14:25:35</t>
        </is>
      </c>
      <c r="H9222" t="inlineStr"/>
    </row>
    <row r="9223">
      <c r="A9223" t="inlineStr">
        <is>
          <t>gim0c1</t>
        </is>
      </c>
      <c r="B9223" t="inlineStr">
        <is>
          <t>What can I eat with mouth sores</t>
        </is>
      </c>
      <c r="C9223" t="inlineStr">
        <is>
          <t>I recently got a bunch of mouth sores from not doing my salt+Soda and from methotrexate. I can’t really eat anything because it hurts a lot, I’ve had soups, bread, fresh veggies. Basically anything that has a high acidity. I was wondering what are foods I can eat or try to eat because damn. I’m hungry</t>
        </is>
      </c>
      <c r="D9223" t="n">
        <v>1</v>
      </c>
      <c r="E9223" t="n">
        <v>11</v>
      </c>
      <c r="F9223">
        <f>HYPERLINK("https://www.reddit.com/r/cancer/comments/gim0c1/what_can_i_eat_with_mouth_sores/")</f>
        <v/>
      </c>
      <c r="G9223" t="inlineStr">
        <is>
          <t>2020-05-12 15:31:03</t>
        </is>
      </c>
      <c r="H9223" t="inlineStr"/>
    </row>
    <row r="9224">
      <c r="A9224" t="inlineStr">
        <is>
          <t>gim76q</t>
        </is>
      </c>
      <c r="B9224" t="inlineStr">
        <is>
          <t>I think I might have a brain tumor</t>
        </is>
      </c>
      <c r="C9224" t="inlineStr">
        <is>
          <t>So about a month ago o started to feel sick. My body felt really weak for few days. I was having muscle spasms all over my body in the weirdest places I’ve never have spasms before. Over the days, it got worse. On day 4, I felt tingling in my hands and feet and felt really dizzy. Over the days I was still having weird spasms and twitches all over and I had slight tingling in my hands, but not as bad as the first time the tingling was happening. Then after about 3 weeks, all those weird symptoms went away. Felt normal for 2 weeks or so. But this week, I started to feel the weakness and heaviness in my arms and legs again... it only gets bad when I’m getting up and walking around and doing things but when I’m at rest I’m totally fine. Haven’t felt dizzy but when I first stand up I feel a little weird but after like 2 seconds i feel normal. It’s NOWHERE near as bad as I was when I was feeling horrible for three weeks tho so I guess that’s a good sign. Last night my left thumb index and middle finger had slight tingling at the tips of my fingers. Haven’t had any twitching or spasming really. I thought I had covid, so I got tested and it came back negative. Oh and also had crazy insane spasms in my mid to lower back. Got bloodwork done bc I thought I had anemia or diabetes and everything came back Normal. 
Now the reason I think I might have a brain tumor (or at least a problem in my brain) is because I looked up the symptoms.. and some of those symptoms I’ve been having for years. Forgetfulness... I work at a restaurant and sometimes I forget food that goes with the order and I get yelled at except it happens a little often. Confusion and inability to speak... sometimes I didn’t understand certain things at school that everyone else could understand and randomly one day, I find myself jumbling and mixing up my words and struggling to explain things... but most times I can explain things fine sometimes can’t. I can explain things fine through text tho. That has never happened to me before up until a couple years ago. I have ADHD so maybe it’s that getting bad and I need to get back on medication but I doubt it. Sometimes And randomly I would get up and like bump into a wall when turning a corner but that hasn’t happened in quite a few months, maybe over a year. And I’ve always thought that there’s just something wrong with my brain and I feel like this might be it. I’ve also had vision changes but the vision has been normal lately. Went to the eye doctor when I felt it was getting bad... the prescription was literally too small to get glasses...
The main symptoms I’m having right now are the weakness, fatigue, slight random headaches that aren’t bad at all but end up going away w medication or on its own, ad tingling in my fingers (that happened yesterday, first time since that 4th day I felt the tingling). Has anyone else had any symptoms like this that have a brain tumor? Should I get an MRI or brain scan or whatever it’s called?</t>
        </is>
      </c>
      <c r="D9224" t="n">
        <v>1</v>
      </c>
      <c r="E9224" t="n">
        <v>4</v>
      </c>
      <c r="F9224">
        <f>HYPERLINK("https://www.reddit.com/r/cancer/comments/gim76q/i_think_i_might_have_a_brain_tumor/")</f>
        <v/>
      </c>
      <c r="G9224" t="inlineStr">
        <is>
          <t>2020-05-12 15:41:28</t>
        </is>
      </c>
      <c r="H9224" t="inlineStr"/>
    </row>
    <row r="9225">
      <c r="A9225" t="inlineStr">
        <is>
          <t>gimrxh</t>
        </is>
      </c>
      <c r="B9225" t="inlineStr">
        <is>
          <t>A ray of light in dark times</t>
        </is>
      </c>
      <c r="C9225" t="inlineStr">
        <is>
          <t>I posted in here a while ago about my dad being diagnosed with colorectal cancer. It was stage 4 and metastasized to his liver and lymph nodes. 
He got his CT results back last week after a few months of his chemo treatment...
A lot of his tumors are undetectable and his biggest went from 11mm to 4mm. 
I get teary every time I write it because my dad is my hero and I am so unbelievably proud of him. The treatments have been especially rough on his hands and feet; peeling, cracking, numbness. And he is tired a lot and has trouble sleeping (which is both related and unrelated to the cancer treatment. He and I both struggle pretty heavily with insomnia)... 
But in these brutally harsh times, I thought I would share this good news with you all.
He has two more treatments before another CT. It’s likely his treatment will be extended to be a bit longer, but his dosages are lower and he’s starting to feel better. His hands aren’t as red/purple and he’s taking melatonin to try and help him sleep. 
Thank you to those who commented on my last post, too. Your support is so deeply appreciated and loved.</t>
        </is>
      </c>
      <c r="D9225" t="n">
        <v>1</v>
      </c>
      <c r="E9225" t="n">
        <v>9</v>
      </c>
      <c r="F9225">
        <f>HYPERLINK("https://www.reddit.com/r/cancer/comments/gimrxh/a_ray_of_light_in_dark_times/")</f>
        <v/>
      </c>
      <c r="G9225" t="inlineStr">
        <is>
          <t>2020-05-12 16:13:19</t>
        </is>
      </c>
      <c r="H9225" t="inlineStr"/>
    </row>
    <row r="9226">
      <c r="A9226" t="inlineStr">
        <is>
          <t>gin2ii</t>
        </is>
      </c>
      <c r="B9226" t="inlineStr">
        <is>
          <t>Free scarfs and head wraps for those going through chemo (I will cover everything including shipping)</t>
        </is>
      </c>
      <c r="C9226" t="inlineStr">
        <is>
          <t>Hello there,
My beautiful mom passed away from cancer a few months ago.
This sub truly helped me more than I could ever thought. Thank you.
I truly felt a sense of support and community. 
I actually started using reddit because of this sub. And it was one of best things I could of done mentally for myself. 
Sharing my own experiences and giving advice has also been a form of healing for myself. 
My siblings and I have started to slowly clean her room and donate things here and there.
I have a large bag of thin scarfs she used to wrap her head, and some loose fitting hats she wore during chemo. 
I wanted to offer these to those who truly need it on reddit as a thank you. 
I will be offering packages of 3 pieces per person. First come first serve. 
I will of course wash everything before sending as well, and I will cover the shipping. If someone can also let me know how I can cover everything? There have been times I have received a package from the states and I had to pay customs before receiving the package.
Thank you again and I look forward to sending these out!</t>
        </is>
      </c>
      <c r="D9226" t="n">
        <v>1</v>
      </c>
      <c r="E9226" t="n">
        <v>20</v>
      </c>
      <c r="F9226">
        <f>HYPERLINK("https://www.reddit.com/r/cancer/comments/gin2ii/free_scarfs_and_head_wraps_for_those_going/")</f>
        <v/>
      </c>
      <c r="G9226" t="inlineStr">
        <is>
          <t>2020-05-12 16:30:06</t>
        </is>
      </c>
      <c r="H9226" t="inlineStr"/>
    </row>
    <row r="9227">
      <c r="A9227" t="inlineStr">
        <is>
          <t>gineox</t>
        </is>
      </c>
      <c r="B9227" t="inlineStr">
        <is>
          <t>Vaping question post chemo</t>
        </is>
      </c>
      <c r="C9227" t="inlineStr">
        <is>
          <t>(no one is answering me in the vaping subreddit so I'm asking here)
For those who have chemotherapy AND radiation to the chest, question:
If you vape anything (flavor juice, nicotine, CBD, whatever), have you noticed you only get a "baby" cloud exhale?
I'm not looking for giant clouds but I've noticed my exhale is ALWAYS small-medium but most of the time small as hell (like imagine a baby dragon going "poof" when trying to learn to breathe fire)</t>
        </is>
      </c>
      <c r="D9227" t="n">
        <v>1</v>
      </c>
      <c r="E9227" t="n">
        <v>6</v>
      </c>
      <c r="F9227">
        <f>HYPERLINK("https://www.reddit.com/r/cancer/comments/gineox/vaping_question_post_chemo/")</f>
        <v/>
      </c>
      <c r="G9227" t="inlineStr">
        <is>
          <t>2020-05-12 16:48:51</t>
        </is>
      </c>
      <c r="H9227" t="inlineStr"/>
    </row>
    <row r="9228">
      <c r="A9228" t="inlineStr">
        <is>
          <t>giolt7</t>
        </is>
      </c>
      <c r="B9228" t="inlineStr">
        <is>
          <t>⚠️PLEASE READ: Worried About Potential Cancer</t>
        </is>
      </c>
      <c r="C9228" t="inlineStr">
        <is>
          <t>Hello all, 
I am 17 y/o and just like the title says, I am really worried that I have cancer or some other serious disease. Around October of 2019 at school, I would experience nausea that convinced me so well I was going to vomit. I had to excuse myself from class multiple times just to go to the bathroom for this (I never vomited by the way, but felt so close to.) Some nights I also started to feel bloated in my stomach and muscle spasms. I talked to my primary doctor about these experiences and he prescribed me nausea medicine. The nausea went away so I eventually stopped taking the medicine, but the bloatedness and muscle spasms remained. These all bothered me a great deal. 
Around December of 2019, I noticed I had lost 10 lbs.-initially I was 165 lbs., and I dropped down to 155. I had maintained roughly the same diet too.  However at the same time, I had lost appetite so I didn’t feel like eating anymore (I still ate though). My mom was concerned about this when I told her about this so I went to the ER. The ER people were also concerned about my losing weight, and told me to talk to my primary doctor. Around a few weeks later, I did this and my doctor was able to help me schedule an endoscopy. 
My endoscopy is still a month away (this June) and it’s already been such a long time since these symptoms first started. I still have bloatedness at night, muscle spasms that won’t stop, and no hunger, but I still eat and have maintained a weight of 155 lbs. I have just started experiencing persistent chest pains and tightness that feel like heartburn, which I haven’t told my doctor yet. Because of this, I’m so scared that whatever sickness I may have has spread. And amid the coronavirus epidemic, I’m so scared it might take even longer for scheduling future appointments to treat, or worse yet, still try to diagnose my potential disease.
Because my symptoms are kind of general, I feel like I need a CAT scan or something rather than a localized procedure like an endoscopy, which might not show anything and delay diagnosis. I’m sorry if I sound arrogant here. I don’t know what to do. I would truly appreciate it if you would help me and give me advice. Thank you.
In short, I have had and continue to have multiple symptoms of cancer or something else serious, but my latest appointment has been a long time since symptoms appeared and future appointments might be even farther away. I am scared of progression and late treatment and don’t know what to do. 
Kind regards, 
Alec</t>
        </is>
      </c>
      <c r="D9228" t="n">
        <v>1</v>
      </c>
      <c r="E9228" t="n">
        <v>3</v>
      </c>
      <c r="F9228">
        <f>HYPERLINK("https://www.reddit.com/r/cancer/comments/giolt7/please_read_worried_about_potential_cancer/")</f>
        <v/>
      </c>
      <c r="G9228" t="inlineStr">
        <is>
          <t>2020-05-12 17:58:55</t>
        </is>
      </c>
      <c r="H9228" t="inlineStr"/>
    </row>
    <row r="9229">
      <c r="A9229" t="inlineStr">
        <is>
          <t>gipaoc</t>
        </is>
      </c>
      <c r="B9229" t="inlineStr">
        <is>
          <t>Question about presentation</t>
        </is>
      </c>
      <c r="C9229" t="inlineStr">
        <is>
          <t>Is it possible for melanoma to present as a symptom of an underlying condition? how can I deduce if I am experiencing this?
I had a melanoma removed from my shin and am wondering if other things aren't related to it. I've had chronic joint pain that was analyzed to be psychogenic by an x-ray of my hands, but I feel it's inconclusive. If I'm wasting time, I would like to know right away, but if I could be on to a problem I have I would like to know ASAP. I don't believe I'm broken, but I believe I am damaged and seek a solution. 
My doctor very briefly examined my skin and many moles and considered them benign and irrelevant to melanoma; how possible and/or likely is it he could miss something?
I want to be speculative and honest with anyone and everyone who could ask me about this, yet at the same time I can't help but wonder if there's a missing piece. Any feedback is appreciated.</t>
        </is>
      </c>
      <c r="D9229" t="n">
        <v>1</v>
      </c>
      <c r="E9229" t="n">
        <v>0</v>
      </c>
      <c r="F9229">
        <f>HYPERLINK("https://www.reddit.com/r/cancer/comments/gipaoc/question_about_presentation/")</f>
        <v/>
      </c>
      <c r="G9229" t="inlineStr">
        <is>
          <t>2020-05-12 18:40:06</t>
        </is>
      </c>
      <c r="H9229" t="inlineStr"/>
    </row>
    <row r="9230">
      <c r="A9230" t="inlineStr">
        <is>
          <t>giq3xk</t>
        </is>
      </c>
      <c r="B9230" t="inlineStr">
        <is>
          <t>Husband recently diagnosed with stage 4 colorectal cancer--what is the best way for me to support him?</t>
        </is>
      </c>
      <c r="C9230" t="inlineStr">
        <is>
          <t>It's in the title. I just want to know how I can offer him the most comfort and support, no matter what happens. Of course we are seeking the best treatment we can, and I know it's going to be hard, but I would love some insight from folks going through a similar situation.
For example, is there anything I should avoid saying or doing, or anything I should try to do and say more? Anything I should know about treatment (likely chemo, radiation, and surgery) that will help me take care of him? Anything I should look into buying to make him feel better during treatment? I know treatment and symptoms are different for everyone, but I am looking for any reasonable advice that will help me be a better caregiver and partner. Thank you in advance for sharing your thoughts.</t>
        </is>
      </c>
      <c r="D9230" t="n">
        <v>1</v>
      </c>
      <c r="E9230" t="n">
        <v>8</v>
      </c>
      <c r="F9230">
        <f>HYPERLINK("https://www.reddit.com/r/cancer/comments/giq3xk/husband_recently_diagnosed_with_stage_4/")</f>
        <v/>
      </c>
      <c r="G9230" t="inlineStr">
        <is>
          <t>2020-05-12 19:31:11</t>
        </is>
      </c>
      <c r="H9230" t="inlineStr"/>
    </row>
    <row r="9231">
      <c r="A9231" t="inlineStr">
        <is>
          <t>giq812</t>
        </is>
      </c>
      <c r="B9231" t="inlineStr">
        <is>
          <t>Targeted Chemo Side Effects</t>
        </is>
      </c>
      <c r="C9231" t="inlineStr">
        <is>
          <t>After two years of my mother being on new breast cancer drugs (Talzenna, among others) and halting her metastatic breast cancer's spread, the drugs stopped working. Her doctor team put her on a drip chemo schedule, which is what Mom hated the most the first time she had breast cancer a decade ago.
They assured her that chemo had changed over the last ten years, that the side effects aren't that bad anymore.
My mom has had 2 treatments and each time the side effects have been just as bad as they were 10 years ago. Intense stomach problems, more than half of her hair falling out in 2 weeks.
It's just really frustrating, because the doctors told her it wouldn't be nearly as hard on her as it was last time.
They were so, so, so wrong. They gave her hope going in and they were dead wrong.
I'm so frustrated because her very worst fears about chemo came true.</t>
        </is>
      </c>
      <c r="D9231" t="n">
        <v>1</v>
      </c>
      <c r="E9231" t="n">
        <v>1</v>
      </c>
      <c r="F9231">
        <f>HYPERLINK("https://www.reddit.com/r/cancer/comments/giq812/targeted_chemo_side_effects/")</f>
        <v/>
      </c>
      <c r="G9231" t="inlineStr">
        <is>
          <t>2020-05-12 19:38:30</t>
        </is>
      </c>
      <c r="H9231" t="inlineStr"/>
    </row>
    <row r="9232">
      <c r="A9232" t="inlineStr">
        <is>
          <t>girfhl</t>
        </is>
      </c>
      <c r="B9232" t="inlineStr">
        <is>
          <t>Stage 4 cancer liver surgery question</t>
        </is>
      </c>
      <c r="C9232" t="inlineStr">
        <is>
          <t>Hey, I just had surgery that removed 60% of my liver due to tumors. Went well I was very lucky. Wondering if anyone has had a similar surgery and if so what recovery looks like and if you ever drank beer again after(obviously not rushing to do this just curious, I love craft beer and have worked for a craft brewery). Any advice? Stay strong out there</t>
        </is>
      </c>
      <c r="D9232" t="n">
        <v>1</v>
      </c>
      <c r="E9232" t="n">
        <v>4</v>
      </c>
      <c r="F9232">
        <f>HYPERLINK("https://www.reddit.com/r/cancer/comments/girfhl/stage_4_cancer_liver_surgery_question/")</f>
        <v/>
      </c>
      <c r="G9232" t="inlineStr">
        <is>
          <t>2020-05-12 20:57:20</t>
        </is>
      </c>
      <c r="H9232" t="inlineStr"/>
    </row>
    <row r="9233">
      <c r="A9233" t="inlineStr">
        <is>
          <t>gismzj</t>
        </is>
      </c>
      <c r="B9233" t="inlineStr">
        <is>
          <t>Should a kid (12) be told that they're dying?</t>
        </is>
      </c>
      <c r="C9233" t="inlineStr">
        <is>
          <t>Not my kid and I won't tell her, that's her parents' job. Just wondering what you guys think.
Stage 4, first round of chemo done. Idk if she's doing more chemo but she's home on hospice care. Morphine at the push of a button, lidoderm patches, and oxycontin every 8 hours. She can't walk and could barely hold up a half-sized Dasani water bottle.
With as weak as she is and the cancer being incurable (meaning she can only get worse, not better) I don't think she'll be around for years as I was hoping.
Wouldn't you want to know if you had months to live? I mean you can't do much at 12 like set up beneficiaries for your 401k, but maybe she can tell her friends and family anything she wanted to say.
BUT also once you tell her, she'll be worrying about it the whole time. If she didn't know she was dying, she'd love as normally as she could and then just go to sleep one day and never wake up.
What's the right thing to do?
(I had a lot more backstory but then I hit refresh by mistake on my phone and all the text got deleted and it's too much to write again)</t>
        </is>
      </c>
      <c r="D9233" t="n">
        <v>1</v>
      </c>
      <c r="E9233" t="n">
        <v>3</v>
      </c>
      <c r="F9233">
        <f>HYPERLINK("https://www.reddit.com/r/cancer/comments/gismzj/should_a_kid_12_be_told_that_theyre_dying/")</f>
        <v/>
      </c>
      <c r="G9233" t="inlineStr">
        <is>
          <t>2020-05-12 22:22:10</t>
        </is>
      </c>
      <c r="H9233" t="inlineStr"/>
    </row>
    <row r="9234">
      <c r="A9234" t="inlineStr">
        <is>
          <t>gisuzk</t>
        </is>
      </c>
      <c r="B9234" t="inlineStr">
        <is>
          <t>Quick question about hair post-chemo</t>
        </is>
      </c>
      <c r="C9234" t="inlineStr">
        <is>
          <t>So, it's been almost 2 years since I had cancer and chemotherapy, and I'm healthy and pretty much back to normal.
I've been growing my beard out to experiment with it and see what it will do. So far everything is going great. However, I've noticed a few things. My hair is a different texture, and it's curly now rather than mostly straight or wavy.
Blabbling a lil bit so I'll get down to the point. I've got a few hairs that are three or four times as thick as the rest of my hair, and they grow in one spot on the side of my chin. They are pretty painful, so I tend to pluck them out fairly often. I compared them to some other hairs from my face after shaving and these hairs are several times thicker than the "normal" hair, and they feel like steel wool. They look pretty similar to ingrown hairs, but they're not ingrown.
I don't remember my facial hair being like this before chemo so is it possible that this is just a weird result of chemo?
Tl;dr apparently my post-chemo superpower is growing steel wool out of my face</t>
        </is>
      </c>
      <c r="D9234" t="n">
        <v>1</v>
      </c>
      <c r="E9234" t="n">
        <v>6</v>
      </c>
      <c r="F9234">
        <f>HYPERLINK("https://www.reddit.com/r/cancer/comments/gisuzk/quick_question_about_hair_postchemo/")</f>
        <v/>
      </c>
      <c r="G9234" t="inlineStr">
        <is>
          <t>2020-05-12 22:38:37</t>
        </is>
      </c>
      <c r="H9234" t="inlineStr"/>
    </row>
    <row r="9235">
      <c r="A9235" t="inlineStr">
        <is>
          <t>givblo</t>
        </is>
      </c>
      <c r="B9235" t="inlineStr">
        <is>
          <t>It’s been two weeks since I lost my dad</t>
        </is>
      </c>
      <c r="C9235" t="inlineStr">
        <is>
          <t>Posted this in griefsupport too
On the 26th, my dad who had lung cancer, had to go to the hospital because he got pneumonia in both of his lungs. He was in a lot of pain and couldn’t breathe properly. He wanted to go but we were trying to convince him to stay. He decided to go under the machine that sedates him and gives him oxygen and antibiotic that way with the risk of knowing he might never wake up. Dad’s heart stopped working 3 time. He survived 2 times and wasn’t able to survive the third. My dad fought so hard. He’s been fighting so hard his whole life, immigrating to a different country, not being able to be a doctor like before, missing his home country every day. At the age of 67, he was still working hard to provide for us. I lost my best friend and a part of my soul. The pain hits the hardest at night time. I feel like I’m still waiting for him to come back from the hospital. Before he went under the machine, he told us he loves us. I want to hear that from him one more time</t>
        </is>
      </c>
      <c r="D9235" t="n">
        <v>1</v>
      </c>
      <c r="E9235" t="n">
        <v>2</v>
      </c>
      <c r="F9235">
        <f>HYPERLINK("https://www.reddit.com/r/cancer/comments/givblo/its_been_two_weeks_since_i_lost_my_dad/")</f>
        <v/>
      </c>
      <c r="G9235" t="inlineStr">
        <is>
          <t>2020-05-13 01:55:28</t>
        </is>
      </c>
      <c r="H9235" t="inlineStr"/>
    </row>
    <row r="9236">
      <c r="A9236" t="inlineStr">
        <is>
          <t>giviu0</t>
        </is>
      </c>
      <c r="B9236" t="inlineStr">
        <is>
          <t>Should I send a letter to a dying friend/ coworker?</t>
        </is>
      </c>
      <c r="C9236" t="inlineStr">
        <is>
          <t>A woman that I met at work 11 years ago (we’d still be working together now if not for her diagnosis) is the most full of life and light person I have ever met, she is also the wife of one of my bosses. In February she was diagnosed with cancer, treatment hasn’t been successful and she’s been told she might only have weeks to live. I am devastated for her husband, her daughters who are only early 20s, her parents, her sister &amp;amp; brother-in-law whom I also work with and get along fabulously with. I am devastated for anyone that has ever met her. 
The doctors aren’t sure whether she will be able to come home to live out her life in the comfort of her own home and with COVID there are restrictions on people visiting hospitals.
Should I write a letter to her to let her know how highly I think of her / care for her and keenly feel her absence?
#fuckcancer</t>
        </is>
      </c>
      <c r="D9236" t="n">
        <v>1</v>
      </c>
      <c r="E9236" t="n">
        <v>9</v>
      </c>
      <c r="F9236">
        <f>HYPERLINK("https://www.reddit.com/r/cancer/comments/giviu0/should_i_send_a_letter_to_a_dying_friend_coworker/")</f>
        <v/>
      </c>
      <c r="G9236" t="inlineStr">
        <is>
          <t>2020-05-13 02:12:09</t>
        </is>
      </c>
      <c r="H9236" t="inlineStr"/>
    </row>
    <row r="9237">
      <c r="A9237" t="inlineStr">
        <is>
          <t>gj02zc</t>
        </is>
      </c>
      <c r="B9237" t="inlineStr">
        <is>
          <t>Widow looking to be a support for those in need.</t>
        </is>
      </c>
      <c r="C9237" t="inlineStr">
        <is>
          <t>Hey all, 
My husband passed away from stage 3c mediastinal germ cell cancer at 33yoa a little over a year ago. We had a survivor reach out to give us both moral support and I can't tell you how much that helped both of us. If you need someone to listen, please feel free to reach out. I know this is so hard, but you'll both get through it. Try to enjoy moments as much as you can and keep fighting. Fuck cancer. 
- sammy</t>
        </is>
      </c>
      <c r="D9237" t="n">
        <v>2</v>
      </c>
      <c r="E9237" t="n">
        <v>5</v>
      </c>
      <c r="F9237">
        <f>HYPERLINK("https://www.reddit.com/r/cancer/comments/gj02zc/widow_looking_to_be_a_support_for_those_in_need/")</f>
        <v/>
      </c>
      <c r="G9237" t="inlineStr">
        <is>
          <t>2020-05-13 07:28:21</t>
        </is>
      </c>
      <c r="H9237" t="inlineStr"/>
    </row>
    <row r="9238">
      <c r="A9238" t="inlineStr">
        <is>
          <t>gj07ga</t>
        </is>
      </c>
      <c r="B9238" t="inlineStr">
        <is>
          <t>Making friends</t>
        </is>
      </c>
      <c r="C9238" t="inlineStr">
        <is>
          <t>Since being diagnosed last October, I've lost quite a few friends, mainly down to me having severe anxiety and not being able to go out. Since I've not been able to go out, I've started gaming more and now its a fulltime hobbie :) so if anyone if a gamer on here and would like to chat on discord.. let me know :D</t>
        </is>
      </c>
      <c r="D9238" t="n">
        <v>1</v>
      </c>
      <c r="E9238" t="n">
        <v>14</v>
      </c>
      <c r="F9238">
        <f>HYPERLINK("https://www.reddit.com/r/cancer/comments/gj07ga/making_friends/")</f>
        <v/>
      </c>
      <c r="G9238" t="inlineStr">
        <is>
          <t>2020-05-13 07:35:04</t>
        </is>
      </c>
      <c r="H9238" t="inlineStr"/>
    </row>
    <row r="9239">
      <c r="A9239" t="inlineStr">
        <is>
          <t>gj0im6</t>
        </is>
      </c>
      <c r="B9239" t="inlineStr">
        <is>
          <t>Neuropathy years after chemo</t>
        </is>
      </c>
      <c r="C9239" t="inlineStr">
        <is>
          <t>Hey friends, just a quick question. My mom had really aggressive Burketts(sp?) Lymphoma about 3-4 years ago, and they gave her an incredibly large amount of chemo (hooked up to the drip for multiple days at a time) which saved her life, but has lead to some side effects, including progressively worsening neuropathy that is starting to really suck the joy out of her life. Her nerves are just going haywire, she can't feel any touch on most of her limbs plus there's pain too (which seems so unfair, if things gotta go numb it at least shouldn't hurt for fucks sakes). 
My question is just if anyone else who has suffered from post chemo neuropathy has any advice for easing the discomfort. She's been on Gabapentin and just switched to Lyrica but so far no improvement. 
Thanks in advance.</t>
        </is>
      </c>
      <c r="D9239" t="n">
        <v>1</v>
      </c>
      <c r="E9239" t="n">
        <v>8</v>
      </c>
      <c r="F9239">
        <f>HYPERLINK("https://www.reddit.com/r/cancer/comments/gj0im6/neuropathy_years_after_chemo/")</f>
        <v/>
      </c>
      <c r="G9239" t="inlineStr">
        <is>
          <t>2020-05-13 07:51:50</t>
        </is>
      </c>
      <c r="H9239" t="inlineStr"/>
    </row>
    <row r="9240">
      <c r="A9240" t="inlineStr">
        <is>
          <t>gj0l4j</t>
        </is>
      </c>
      <c r="B9240" t="inlineStr">
        <is>
          <t>Myeloma</t>
        </is>
      </c>
      <c r="C9240" t="inlineStr">
        <is>
          <t>My Nan has recently been diagnosed with myeloma cancer and osteoporosis and I don’t know, I’m just crushed how is it fair for someone so caring and loving to be diagnosed with this fucking thing, I’m so angry at everything and the world, I didn’t believe in god before this but now I have completely lost any faith I had left of him being real, I hate him I hate this world I hate everything, it’s not fair!!! It’s really not fair!!! 
Why is this possible, I just feel numb but at the same time I feel like I’m going to crumble, she told us that it can be controlled by tablets but she looked so scared and my granddad looked like he was going to break any minute.
I just don’t know how to cope or what to do to help my family, I’m 16 y/o is there anything I can do??</t>
        </is>
      </c>
      <c r="D9240" t="n">
        <v>1</v>
      </c>
      <c r="E9240" t="n">
        <v>4</v>
      </c>
      <c r="F9240">
        <f>HYPERLINK("https://www.reddit.com/r/cancer/comments/gj0l4j/myeloma/")</f>
        <v/>
      </c>
      <c r="G9240" t="inlineStr">
        <is>
          <t>2020-05-13 07:55:29</t>
        </is>
      </c>
      <c r="H9240" t="inlineStr"/>
    </row>
    <row r="9241">
      <c r="A9241" t="inlineStr">
        <is>
          <t>gj1q02</t>
        </is>
      </c>
      <c r="B9241" t="inlineStr">
        <is>
          <t>Question about (possible?) lung melanoma</t>
        </is>
      </c>
      <c r="C9241" t="inlineStr">
        <is>
          <t>I'm trying to talk to my Dr but the office currently won't let me, and my next appointment with my doctor isn't until June.
&amp;amp;#x200B;
I got a CT scan done for lymphadenopathy and the test results said "LUNG: 0.3 cm pulmonary nodule in the left lower lobe" and also said "Abdomen radiograph 1 melanoma in size". Does that mean I have cancer or a tumor on my lung? I'm trying to get an answer from my Doctor or push up my appointment to sooner but I'm currently waiting. Any help someone else could give to clarify would be appreciated.</t>
        </is>
      </c>
      <c r="D9241" t="n">
        <v>1</v>
      </c>
      <c r="E9241" t="n">
        <v>0</v>
      </c>
      <c r="F9241">
        <f>HYPERLINK("https://www.reddit.com/r/cancer/comments/gj1q02/question_about_possible_lung_melanoma/")</f>
        <v/>
      </c>
      <c r="G9241" t="inlineStr">
        <is>
          <t>2020-05-13 08:56:52</t>
        </is>
      </c>
      <c r="H9241" t="inlineStr"/>
    </row>
    <row r="9242">
      <c r="A9242" t="inlineStr">
        <is>
          <t>gj2bj5</t>
        </is>
      </c>
      <c r="B9242" t="inlineStr">
        <is>
          <t>Chemo Chat</t>
        </is>
      </c>
      <c r="C9242" t="inlineStr">
        <is>
          <t>Hi all,
I had stage 3 Bowel Cancer in 2018 and had to have surgery followed by chemotherapy.  I made a video project at the time where I interviewed celebrities in my chemo ward.  Is it OK to share it here?
&amp;amp;#x200B;
The first one was with a TV Presenter here in the UK called Judge Rinder (Rob Rinder).  It's actually super fun and I thought might be good company for people here who are going through chemo.  We talk about all sorts of things like how to tell potential dates you're a cancer patient.
[https://www.youtube.com/watch?v=bEAhTTKaM3E&amp;amp;list=PLBssXr8F4now9S0fleFkHlLuiylciKPaq&amp;amp;index=4](https://www.youtube.com/watch?v=bEAhTTKaM3E&amp;amp;list=PLBssXr8F4now9S0fleFkHlLuiylciKPaq&amp;amp;index=4)
&amp;amp;#x200B;
Would love to know what you think?  There are other celebs on my channel too if you like this vid.
&amp;amp;#x200B;
All the best,
&amp;amp;#x200B;
Sarah</t>
        </is>
      </c>
      <c r="D9242" t="n">
        <v>1</v>
      </c>
      <c r="E9242" t="n">
        <v>0</v>
      </c>
      <c r="F9242">
        <f>HYPERLINK("https://www.reddit.com/r/cancer/comments/gj2bj5/chemo_chat/")</f>
        <v/>
      </c>
      <c r="G9242" t="inlineStr">
        <is>
          <t>2020-05-13 09:26:17</t>
        </is>
      </c>
      <c r="H9242" t="inlineStr"/>
    </row>
    <row r="9243">
      <c r="A9243" t="inlineStr">
        <is>
          <t>gj519m</t>
        </is>
      </c>
      <c r="B9243" t="inlineStr">
        <is>
          <t>Just finished my first Radiation Therapy treatment.</t>
        </is>
      </c>
      <c r="C9243" t="inlineStr">
        <is>
          <t>Hey guys this is my second time posting in here, just finished Radiation Therapy, I had 15 fractions I believe it called, over three weeks. I was diagnosed with B Cell Follicular Lymphoma in January but was lucky enough to find it very early myself and was diagnosed as a stage 1. There was a gold sized lump in my left armpit that I felt and it t it end out to be cancer. Luckily enough it had not spread to any other lymph nodes nor my bone marrow. Now that radiation treatment to the single left armpit is done, I did feel it go down to the size of skittle but slightly bigger by the end of week 3. However does anyone with this kind of experience know how long it usually take after radiation for the lymph node to complete go back to its original size or “unswell” I guess? I haven’t felt it change size in about a week so I guess I’m a tiny bit worried. Any thoughts would be greatly appreciated!</t>
        </is>
      </c>
      <c r="D9243" t="n">
        <v>1</v>
      </c>
      <c r="E9243" t="n">
        <v>0</v>
      </c>
      <c r="F9243">
        <f>HYPERLINK("https://www.reddit.com/r/cancer/comments/gj519m/just_finished_my_first_radiation_therapy_treatment/")</f>
        <v/>
      </c>
      <c r="G9243" t="inlineStr">
        <is>
          <t>2020-05-13 11:48:37</t>
        </is>
      </c>
      <c r="H9243" t="inlineStr"/>
    </row>
    <row r="9244">
      <c r="A9244" t="inlineStr">
        <is>
          <t>gj6m63</t>
        </is>
      </c>
      <c r="B9244" t="inlineStr">
        <is>
          <t>Recently diagnosed need help please</t>
        </is>
      </c>
      <c r="C9244" t="inlineStr">
        <is>
          <t>Hey guys I have a question. My mom is 68 years old and was recently diagnosed with liver cancer. They are talking about possible clinical trails if she qualifies  which they don't seem very optimistic about it. She has decided not to live the rest of her life sick because of medication or experimental treatment so she asked me to look into life insurance for her. I am having a lot of trouble finding anything for someone who isn't in remission. Especially a policy that doesn't have a 2 to 3 yr waiting period. Obviously we don't want a policy that is only going to refund what we've paid in for burial expenses and such. Can anyone please offer any suggestions as to what I should do next thanks so much</t>
        </is>
      </c>
      <c r="D9244" t="n">
        <v>1</v>
      </c>
      <c r="E9244" t="n">
        <v>1</v>
      </c>
      <c r="F9244">
        <f>HYPERLINK("https://www.reddit.com/r/cancer/comments/gj6m63/recently_diagnosed_need_help_please/")</f>
        <v/>
      </c>
      <c r="G9244" t="inlineStr">
        <is>
          <t>2020-05-13 13:07:09</t>
        </is>
      </c>
      <c r="H9244" t="inlineStr"/>
    </row>
    <row r="9245">
      <c r="A9245" t="inlineStr">
        <is>
          <t>gj7v8w</t>
        </is>
      </c>
      <c r="B9245" t="inlineStr">
        <is>
          <t>VERU IS ENROLLING PATIENTS To Evaluate the Safety and Tolerability of VERU-111 in Men with Advanced Metastatic Castration Resistant Prostate Cancer</t>
        </is>
      </c>
      <c r="C9245" t="inlineStr">
        <is>
          <t>VERU-111 is a novel oral selective antitubulin that targets alpha and beta tubulin of microtubules for advanced prostate cancer as well as for other forms of metastatic cancers.[verupharma](https://verupharma.com/pipeline/veru-111/)</t>
        </is>
      </c>
      <c r="D9245" t="n">
        <v>1</v>
      </c>
      <c r="E9245" t="n">
        <v>0</v>
      </c>
      <c r="F9245">
        <f>HYPERLINK("https://www.reddit.com/r/cancer/comments/gj7v8w/veru_is_enrolling_patients_to_evaluate_the_safety/")</f>
        <v/>
      </c>
      <c r="G9245" t="inlineStr">
        <is>
          <t>2020-05-13 14:10:44</t>
        </is>
      </c>
      <c r="H9245" t="inlineStr"/>
    </row>
    <row r="9246">
      <c r="A9246" t="inlineStr">
        <is>
          <t>gj8663</t>
        </is>
      </c>
      <c r="B9246" t="inlineStr">
        <is>
          <t>Halfway through Chemo.</t>
        </is>
      </c>
      <c r="C9246" t="inlineStr">
        <is>
          <t>That’s it that’s all there is. Just wanted to say it while doing a little dance.</t>
        </is>
      </c>
      <c r="D9246" t="n">
        <v>1</v>
      </c>
      <c r="E9246" t="n">
        <v>30</v>
      </c>
      <c r="F9246">
        <f>HYPERLINK("https://www.reddit.com/r/cancer/comments/gj8663/halfway_through_chemo/")</f>
        <v/>
      </c>
      <c r="G9246" t="inlineStr">
        <is>
          <t>2020-05-13 14:26:18</t>
        </is>
      </c>
      <c r="H9246" t="inlineStr"/>
    </row>
    <row r="9247">
      <c r="A9247" t="inlineStr">
        <is>
          <t>gj9oiw</t>
        </is>
      </c>
      <c r="B9247" t="inlineStr">
        <is>
          <t>Cancer took so much</t>
        </is>
      </c>
      <c r="C9247" t="inlineStr">
        <is>
          <t>(21 M) I have a bone marrow transplant coming up in about 2 months. I’m part of this group where they are doing 50% match(from my brother) and targeted radiation. I’ve never done radiation so I’m not sure what to expect. I’ve been in remission since January. Right now I’m just trying to enjoy my freedom, eating whatever hanging out with my family etc. This isn’t making me happy. I want my body back, I want my career back. I’m super grateful to be alive but this fucking disease took so much. I thought I would come out of treatment feeling wiser and happier to be out and doing what I want but I’m stuck living in the past. I’m constantly thinking about all the training I did for nothing (Military/Firefighter). I’ve been wanting to post this for a while but I know people have it so much worse than me. Sorry kind of just ranted it’s one of those days.</t>
        </is>
      </c>
      <c r="D9247" t="n">
        <v>1</v>
      </c>
      <c r="E9247" t="n">
        <v>7</v>
      </c>
      <c r="F9247">
        <f>HYPERLINK("https://www.reddit.com/r/cancer/comments/gj9oiw/cancer_took_so_much/")</f>
        <v/>
      </c>
      <c r="G9247" t="inlineStr">
        <is>
          <t>2020-05-13 15:45:03</t>
        </is>
      </c>
      <c r="H9247" t="inlineStr"/>
    </row>
    <row r="9248">
      <c r="A9248" t="inlineStr">
        <is>
          <t>gj9sep</t>
        </is>
      </c>
      <c r="B9248" t="inlineStr">
        <is>
          <t>Second month</t>
        </is>
      </c>
      <c r="C9248" t="inlineStr">
        <is>
          <t>Hi! So Im getting chemo for the second time tomorrow for around 5 days, ending Tuesday. 
I started one month ago when they diagnosed me with a lymphoma (a type of cancer) that affects the lymphatic system it seems.
Im 16 years old, and at first I was a bit nervous, after all the word "cancer" is pretty scary, but during the days I was receiving chemo, it wasn't that bad really, the "bad" things started when I got home.
I had this weird type of tummy-ache for a few days, I vomited once the day after I got home (and I felt a lot better after that) and I had a headache for like a week (caused because I also got chemotherapy to the bone marrow, just in case), which could be relieved a bit if I just laid on the bed.
I really hope it continues like this, as I can handle it perfectly, but even if it doesn't, I'll have to get over it anyways.
Thanks for reading this far, and I send support to anyone else who's also going through this.
(Sorry if there are any gramatical mistakes, Im from Spain).</t>
        </is>
      </c>
      <c r="D9248" t="n">
        <v>1</v>
      </c>
      <c r="E9248" t="n">
        <v>9</v>
      </c>
      <c r="F9248">
        <f>HYPERLINK("https://www.reddit.com/r/cancer/comments/gj9sep/second_month/")</f>
        <v/>
      </c>
      <c r="G9248" t="inlineStr">
        <is>
          <t>2020-05-13 15:51:01</t>
        </is>
      </c>
      <c r="H9248" t="inlineStr"/>
    </row>
    <row r="9249">
      <c r="A9249" t="inlineStr">
        <is>
          <t>gja6uf</t>
        </is>
      </c>
      <c r="B9249" t="inlineStr">
        <is>
          <t>6 months of Knee Pain and Rough Outlook [Support]</t>
        </is>
      </c>
      <c r="C9249" t="inlineStr">
        <is>
          <t>Little background: I \[37M\] was experiencing knee pain that started in December and got very painful in January this year. I went to Urgent Care, did X-Rays and was told it was Bursitis. It continued to comeback and I received a cortisol shot in March and it felt good for a few weeks but it came back. Finally I went back to urgent care 4 weeks ago and the discussion of cancer started coming up but some initial blood tests were fine with the exception of low hemoglobin. I was then referred to a Neurologist who ordered an MRI and additional blood work. He called last Friday with the results and said there look to be spots on my Pelvis and my LDH levels along with 2 other protein markers were elevated indicating I might be in an advanced stage of cancer. I have a contrast MRI test tomorrow morning and a CT Scan Friday night along with additional blood work next week.
Anyways no official diagnosis yet but there doesn't seem to be a positive outlook. It's surreal to me still that persistent knee pain could be heading towards this diagnosis and I'm still not experiencing other symptoms other then occasional night sweats. I had my first child last December and I sadly can't look at him without crying for the last week. The doctor prescribed me Lorazapam but it's not helping. After reading through this sub-reddit people seem very helpful and even writing my first reddit post has put my mind at some ease. I suspect I will be directed to counselling following the final results but any thoughts or comments well going through the waiting game will be greatly appreciated.</t>
        </is>
      </c>
      <c r="D9249" t="n">
        <v>1</v>
      </c>
      <c r="E9249" t="n">
        <v>8</v>
      </c>
      <c r="F9249">
        <f>HYPERLINK("https://www.reddit.com/r/cancer/comments/gja6uf/6_months_of_knee_pain_and_rough_outlook_support/")</f>
        <v/>
      </c>
      <c r="G9249" t="inlineStr">
        <is>
          <t>2020-05-13 16:12:48</t>
        </is>
      </c>
      <c r="H9249" t="inlineStr"/>
    </row>
    <row r="9250">
      <c r="A9250" t="inlineStr">
        <is>
          <t>gjbl40</t>
        </is>
      </c>
      <c r="B9250" t="inlineStr">
        <is>
          <t>Long term maintenance on immunotherapies Nivolumab plus Ipilimumab? Fatigue?</t>
        </is>
      </c>
      <c r="C9250" t="inlineStr">
        <is>
          <t>I'm finishing a four-session infusion over four months.  My oncologist mentioned long term maintenance, this was new to me.  I have horrible fatigue and lung issues that are (probably) from the treatment.  I'm very sad to hear this might continue, I thought the first four treatments would be the end of it.
Anybody gone through this and have insight/advice?  I see my oncologist again in two weeks but am looking for your experiences.  Did you do long term?  Did you have fatigue?</t>
        </is>
      </c>
      <c r="D9250" t="n">
        <v>1</v>
      </c>
      <c r="E9250" t="n">
        <v>2</v>
      </c>
      <c r="F9250">
        <f>HYPERLINK("https://www.reddit.com/r/cancer/comments/gjbl40/long_term_maintenance_on_immunotherapies/")</f>
        <v/>
      </c>
      <c r="G9250" t="inlineStr">
        <is>
          <t>2020-05-13 17:31:46</t>
        </is>
      </c>
      <c r="H9250" t="inlineStr"/>
    </row>
    <row r="9251">
      <c r="A9251" t="inlineStr">
        <is>
          <t>gjd128</t>
        </is>
      </c>
      <c r="B9251" t="inlineStr">
        <is>
          <t>My Dad was diagnosed with stage 4 rectal cancer today, and he doesn't want treatment.</t>
        </is>
      </c>
      <c r="C9251" t="inlineStr">
        <is>
          <t>Two weeks ago my dad went to the ER for pain in his tailbone region, and they found nodules in his lungs and tumors on his liver. Today, after a week of tests, his oncologist told him it was stage 4 rectal cancer. He then started to push chemo on him. My dad doesn't  want to do chemo because the doctor told him that there was only a 50% chance it would work, and he doesn't want to seek a second opinion. Surgery isn't an option. He just wants to live his life the way he has been for however much time he has. He is a huge outdoor type that cannot be laid up for any length of time without it driving him crazy.
I'm supporting his decision, but it hurts. I don't want his remaining time to be worried about me being angry at him. I know it's his body, his life, his pain, his choice. I don't know. 
Thank you if you read this far.</t>
        </is>
      </c>
      <c r="D9251" t="n">
        <v>1</v>
      </c>
      <c r="E9251" t="n">
        <v>13</v>
      </c>
      <c r="F9251">
        <f>HYPERLINK("https://www.reddit.com/r/cancer/comments/gjd128/my_dad_was_diagnosed_with_stage_4_rectal_cancer/")</f>
        <v/>
      </c>
      <c r="G9251" t="inlineStr">
        <is>
          <t>2020-05-13 18:59:38</t>
        </is>
      </c>
      <c r="H9251" t="inlineStr"/>
    </row>
    <row r="9252">
      <c r="A9252" t="inlineStr">
        <is>
          <t>gjdy68</t>
        </is>
      </c>
      <c r="B9252" t="inlineStr">
        <is>
          <t>How to support my mom virtually, who may be diagnosed with breast cancer?</t>
        </is>
      </c>
      <c r="C9252" t="inlineStr">
        <is>
          <t>Hi, my mom recently was diagnosed with possibly breast cancer. She and her doctors are not sure exactly what she has, how bad the cancer is, etc. The doctors are implying that she might need several surgeries and chemotherapy afterwards. She has been blaming herself for not doing mammogram more frequently, and is really worried. 
What makes matters worse is that I'm located in another country - I can't travel back to stay by her side for the foreseeing future due to travel restrictions in this pandemic. So the only form of communication we have now is through video-calling. Luckily we are very close and we communicate very openly.
Our extended family is not close, so she is basically going to go through the diagnosis and surgery mostly by herself without much family support around her.
I want to do everything I can to support her, but now it all has to be done virtually. What suggestions do you have for me? I have been worried as well, but I don't want to bring her any additional anxiety or negative energy. How should I communicate with her? What are the do's and don'ts? 
Also what resources do you recommend that I read and study in terms of caring for a patient? Even though I'm far away, at least I can do the study part on my mom's behalf and tell her how to best care for herself in these situations (eg. what to eat, exercise or not, get a cold cap for chemo, etc).
Thank you very much!</t>
        </is>
      </c>
      <c r="D9252" t="n">
        <v>1</v>
      </c>
      <c r="E9252" t="n">
        <v>2</v>
      </c>
      <c r="F9252">
        <f>HYPERLINK("https://www.reddit.com/r/cancer/comments/gjdy68/how_to_support_my_mom_virtually_who_may_be/")</f>
        <v/>
      </c>
      <c r="G9252" t="inlineStr">
        <is>
          <t>2020-05-13 19:58:35</t>
        </is>
      </c>
      <c r="H9252" t="inlineStr"/>
    </row>
    <row r="9253">
      <c r="A9253" t="inlineStr">
        <is>
          <t>gjlgcl</t>
        </is>
      </c>
      <c r="B9253" t="inlineStr">
        <is>
          <t>It’s been 4 years tomorrow since my Step Dad died from lung cancer</t>
        </is>
      </c>
      <c r="C9253" t="inlineStr">
        <is>
          <t>I was just about to lie down and try to sleep and I started thinking about it and how much I miss him. He was like an actual Dad to me and my siblings. I miss him so much. Every year since 2016, I’ve been partaking in cancer fundraisers for 2 different cancer charities in Australia and this year I had to cancel my event/fundraiser which was supposed to be on Saturday because of how the world is right now, and it sucks because it’s a way to help me cope and heal.
Sometimes I get flashbacks to seeing my Mum screaming and crying when the door closed on the hearse after his funeral to drive his coffin away for cremation and everyone rushing to just hug her or hold onto her and  it hurts. It’s the most painful thing I’ve had to witness. 
It’s only been 4 years but it feels so much longer since I’ve seen his face or heard his voice. 
Sorry guys, I just feel helpless right now and needed a bit of an outlet.</t>
        </is>
      </c>
      <c r="D9253" t="n">
        <v>1</v>
      </c>
      <c r="E9253" t="n">
        <v>3</v>
      </c>
      <c r="F9253">
        <f>HYPERLINK("https://www.reddit.com/r/cancer/comments/gjlgcl/its_been_4_years_tomorrow_since_my_step_dad_died/")</f>
        <v/>
      </c>
      <c r="G9253" t="inlineStr">
        <is>
          <t>2020-05-14 05:32:15</t>
        </is>
      </c>
      <c r="H9253" t="inlineStr"/>
    </row>
    <row r="9254">
      <c r="A9254" t="inlineStr">
        <is>
          <t>gjlmf4</t>
        </is>
      </c>
      <c r="B9254" t="inlineStr">
        <is>
          <t>2 sessions of radiation down 26 to go</t>
        </is>
      </c>
      <c r="C9254" t="inlineStr">
        <is>
          <t>Thank fuck this is the last bit of annoying shit I have to do that robs me of time. Every chemo robbed me off a good weekend. 
November 2019 was a mammogram, ultrasound, and a needle biopsy 
December I'm diagnosed at 32 years old with breast cancer, a rare condition for men. Grade 2 ep+ her2-
January was nothing but seeing doctors for preliminary shit for surgery (physical, genetics, pt/CT scan, etc) and recovery for my mastectomy.
February another surgery for my fucking chemo port which still hasn't been taken out.
Feb-April was 4 sessions of chemo
May - June fucking radiation 5 times a week... Seriously I just want to go home after fucking work, I don't want to go to another fucking place for a fucking hour after work. Yes the procedure itself is 20 minutes but holy fuck it's 40-60 mins total daily. I can't wait for the pain to show up /s. 
June-5 years from now estrogen blocking pill and occasional checkups. Honestly that's the best part a pill a day... Done!!! Go on with life, once every so often see oncologist.... Great make it on a Monday after work the shittiest day of the week...then fuck off doc!! 
Once July rolls around and I am done with radiation... AND I KNOW I HAVE NO MORE VISITS WITH DOCTORS!!!! I am taking a vacation and in doing Jack fucking shit... Seriously I'm sitting on my ass and watching TV, relaxing, being dead to the world... I will do what I want and only what I fucking want
Sorry for the fuck bombs... But I'm tired of this shit.</t>
        </is>
      </c>
      <c r="D9254" t="n">
        <v>1</v>
      </c>
      <c r="E9254" t="n">
        <v>27</v>
      </c>
      <c r="F9254">
        <f>HYPERLINK("https://www.reddit.com/r/cancer/comments/gjlmf4/2_sessions_of_radiation_down_26_to_go/")</f>
        <v/>
      </c>
      <c r="G9254" t="inlineStr">
        <is>
          <t>2020-05-14 05:43:27</t>
        </is>
      </c>
      <c r="H9254" t="inlineStr"/>
    </row>
    <row r="9255">
      <c r="A9255" t="inlineStr">
        <is>
          <t>gjlnnp</t>
        </is>
      </c>
      <c r="B9255" t="inlineStr">
        <is>
          <t>My mom starts chemo next week.</t>
        </is>
      </c>
      <c r="C9255" t="inlineStr">
        <is>
          <t>My boyfriend(21) and i(20) live with my mom(50) in a small 2b 1b apartment. My boyfriend is an essential worker and I am now staying home full time to care for my mom. She was recently diagnosed with breast cancer, went through with a double mastectomy and is now preparing for 6 months of chemotherapy. My biggest concern is keeping our home safe and as sterile as possible for my mother since my boyfriend works 5 days a week and I still must leave the house for errands. Cleaning supplies such as rubbing alcohol or just about anything disinfecting is hard to come by these days, as well as money is tight right now, and I've honestly been so scatterbrained lately I feel I'm not as prepared as I should be and I dont even know where to start with any of this. Any tips or advice would be greatly appreciated, thank you in advance</t>
        </is>
      </c>
      <c r="D9255" t="n">
        <v>1</v>
      </c>
      <c r="E9255" t="n">
        <v>2</v>
      </c>
      <c r="F9255">
        <f>HYPERLINK("https://www.reddit.com/r/cancer/comments/gjlnnp/my_mom_starts_chemo_next_week/")</f>
        <v/>
      </c>
      <c r="G9255" t="inlineStr">
        <is>
          <t>2020-05-14 05:45:49</t>
        </is>
      </c>
      <c r="H9255" t="inlineStr"/>
    </row>
    <row r="9256">
      <c r="A9256" t="inlineStr">
        <is>
          <t>gjmjzd</t>
        </is>
      </c>
      <c r="B9256" t="inlineStr">
        <is>
          <t>My sister is going through ROI treatment and is curious on how it is first hand.</t>
        </is>
      </c>
      <c r="C9256" t="inlineStr">
        <is>
          <t>My sister got diagnosed with thyroid cancer just about a month ago. She ended up getting surgery to remove her thyroid. When she was in op the surgeon found cancer in her lymph nodes and removed that section as well. But, to be safe she is going under ROI treatment to kill any remaining cancer cells in her body.   
She is curious about how the treatment is and what it will be like. From what I've heard she will have to be in a self-quarantine for about a week (ironic right) and the be reassessed afterwords. Anything's welcomed :)</t>
        </is>
      </c>
      <c r="D9256" t="n">
        <v>1</v>
      </c>
      <c r="E9256" t="n">
        <v>2</v>
      </c>
      <c r="F9256">
        <f>HYPERLINK("https://www.reddit.com/r/cancer/comments/gjmjzd/my_sister_is_going_through_roi_treatment_and_is/")</f>
        <v/>
      </c>
      <c r="G9256" t="inlineStr">
        <is>
          <t>2020-05-14 06:40:58</t>
        </is>
      </c>
      <c r="H9256" t="inlineStr"/>
    </row>
    <row r="9257">
      <c r="A9257" t="inlineStr">
        <is>
          <t>gjoc9t</t>
        </is>
      </c>
      <c r="B9257" t="inlineStr">
        <is>
          <t>Post Chemo Hiccups</t>
        </is>
      </c>
      <c r="C9257" t="inlineStr">
        <is>
          <t>Been almost 3 years since my last chemo session but I notice one thing that has lingered is pretty violent hiccups. While I was receiving treatment they told me hiccups would be a side effect but it seems I developed this reflex when I cough too much I get the hiccups. Just curious if anyone else has had this reaction?</t>
        </is>
      </c>
      <c r="D9257" t="n">
        <v>2</v>
      </c>
      <c r="E9257" t="n">
        <v>1</v>
      </c>
      <c r="F9257">
        <f>HYPERLINK("https://www.reddit.com/r/cancer/comments/gjoc9t/post_chemo_hiccups/")</f>
        <v/>
      </c>
      <c r="G9257" t="inlineStr">
        <is>
          <t>2020-05-14 08:18:55</t>
        </is>
      </c>
      <c r="H9257" t="inlineStr"/>
    </row>
    <row r="9258">
      <c r="A9258" t="inlineStr">
        <is>
          <t>gjp14d</t>
        </is>
      </c>
      <c r="B9258" t="inlineStr">
        <is>
          <t>Low grade brain tumor?</t>
        </is>
      </c>
      <c r="C9258" t="inlineStr">
        <is>
          <t>Hello everyone! I’m new here and still obviously dealing with what might be my new reality. In January, I had a brain MRI. They found a nodule. I have spoken with a neurosurgeon. I was told he has never seen anything like this, and neither has my neurologist or the radiologists. He said they were going to share the images with some coworkers. A few nights ago after sending him a follow up message in the patient portal, he wrote back saying that there is a new concern raised that it is a low grade brain tumor. 
I feel like there is a major lack of communication on their part. First of all, who sends that over the patient portal? This is very frustrating and my confidence in them is pretty much non-existent at this point. I am planning on getting a second opinion ASAP.</t>
        </is>
      </c>
      <c r="D9258" t="n">
        <v>1</v>
      </c>
      <c r="E9258" t="n">
        <v>11</v>
      </c>
      <c r="F9258">
        <f>HYPERLINK("https://www.reddit.com/r/cancer/comments/gjp14d/low_grade_brain_tumor/")</f>
        <v/>
      </c>
      <c r="G9258" t="inlineStr">
        <is>
          <t>2020-05-14 08:55:30</t>
        </is>
      </c>
      <c r="H9258" t="inlineStr"/>
    </row>
    <row r="9259">
      <c r="A9259" t="inlineStr">
        <is>
          <t>gjqj0r</t>
        </is>
      </c>
      <c r="B9259" t="inlineStr">
        <is>
          <t>Long lasting effects of Chemo</t>
        </is>
      </c>
      <c r="C9259" t="inlineStr">
        <is>
          <t>My dad was diagnosed with stage 2 non-Hodgkins Lymphoma (t-cell), which is typically more aggressive and rare than b-cell. He went through chemo drips for days at a time and then had to stay in the hospital for days at a time because he would develop infections from his severe neutropenia.  He would be in the 0.1 k/ul range for his white blood cell count and it was tough.  He battled through it and managed to have two pet scans show the lymphoma was not there. 
But those heavy duty rounds of chemo left him with heart problems.  He now gets fluid around his heart that lowers his heart function.  He has been to many specialists to no avail.  All I pray is he can recover slowly. 
On that note, when the pandemic started, I taught myself to crochet. I have been making beanies/chemo caps and picc line covers with the intention of giving them to knots of love or another similar group.  However, if you’re read this far and are in need of something, message me and I’ll show you the colors, designs, and sizes I have.  Blessings to all that are battling through and affected by cancer.</t>
        </is>
      </c>
      <c r="D9259" t="n">
        <v>1</v>
      </c>
      <c r="E9259" t="n">
        <v>5</v>
      </c>
      <c r="F9259">
        <f>HYPERLINK("https://www.reddit.com/r/cancer/comments/gjqj0r/long_lasting_effects_of_chemo/")</f>
        <v/>
      </c>
      <c r="G9259" t="inlineStr">
        <is>
          <t>2020-05-14 10:12:48</t>
        </is>
      </c>
      <c r="H9259" t="inlineStr"/>
    </row>
    <row r="9260">
      <c r="A9260" t="inlineStr">
        <is>
          <t>gjqlnb</t>
        </is>
      </c>
      <c r="B9260" t="inlineStr">
        <is>
          <t>Ways to recover from chemo?</t>
        </is>
      </c>
      <c r="C9260" t="inlineStr">
        <is>
          <t>My dad was diagnosed with stage 4 throat cancer in May 2016. I am very happy and thankful to say that after some very grueling radiation and chemo treatments he beat it and has been cancer free since November 2016. Usually my dad is the most optimistic and positive guy in the world, but he still complains about the lingering effects of his chemo and has even briefly hinted at times that he is ‘depressed’ (my dad pretty much has a picture perfect life). Does anyone that has been through anything similar have any experience as to any natural remedies/medicines/activities/foods/nutrition, etc that can help him fight off the lingering effects of the chemotherapy? He turns 62 this weekend. Any input would be greatly appreciated. Thanks and my best wishes to all</t>
        </is>
      </c>
      <c r="D9260" t="n">
        <v>1</v>
      </c>
      <c r="E9260" t="n">
        <v>13</v>
      </c>
      <c r="F9260">
        <f>HYPERLINK("https://www.reddit.com/r/cancer/comments/gjqlnb/ways_to_recover_from_chemo/")</f>
        <v/>
      </c>
      <c r="G9260" t="inlineStr">
        <is>
          <t>2020-05-14 10:16:38</t>
        </is>
      </c>
      <c r="H9260" t="inlineStr"/>
    </row>
    <row r="9261">
      <c r="A9261" t="inlineStr">
        <is>
          <t>gjr3n0</t>
        </is>
      </c>
      <c r="B9261" t="inlineStr">
        <is>
          <t>Stem Cell Transplant - Tips for Caregiving?</t>
        </is>
      </c>
      <c r="C9261" t="inlineStr">
        <is>
          <t>Hi all - my dad was diagnosed with multiple myeloma back in November and has been doing his initial cycles of treatment since then. It was initially delayed because of COVID, but now his doctors are ready to move ahead with the next step, high dose chemo, followed by a stem cell transplant.
They'll be using his own stem cells, but it obviously is going to be a rough ride, especially with the big hit of chemo at the beginning. My husband, toddler son, and I are currently living with my parents during the COVID shutdowns, so we're all kind of preparing for this together.
My questions are:
* What things would be best for him to have in the hospital? They're saying he'll only be in initially for about three days, but that will be completely alone (no visitors), and my dad does not take idleness well.
* What things are a good idea to have ready at home? Obviously whatever the health folks recommend, but any other hints or tips?
* Any good food suggestions to prepare in advance? It sounds like we'll be expecting mouth sores, general GI upset, etc.
* Any tips for ways to keep a stereotypical sixties-ish white dude busy for the next few months? Normally he's pretty active, working in his workshop, gardening, etc. but that's not going to be in the cards - any suggestions? New hobbies?
* Any suggestions on talking to him about this? He's pretty stoic and doesn't want to admit weakness or even admit he's having any symptoms. I don't want to press, but I also don't want him to downplay or hide when he's not feeling well.
Thanks for even reading this - I'd really appreciate any suggestions or thoughts.</t>
        </is>
      </c>
      <c r="D9261" t="n">
        <v>2</v>
      </c>
      <c r="E9261" t="n">
        <v>18</v>
      </c>
      <c r="F9261">
        <f>HYPERLINK("https://www.reddit.com/r/cancer/comments/gjr3n0/stem_cell_transplant_tips_for_caregiving/")</f>
        <v/>
      </c>
      <c r="G9261" t="inlineStr">
        <is>
          <t>2020-05-14 10:42:10</t>
        </is>
      </c>
      <c r="H9261" t="inlineStr"/>
    </row>
    <row r="9262">
      <c r="A9262" t="inlineStr">
        <is>
          <t>gjt1pv</t>
        </is>
      </c>
      <c r="B9262" t="inlineStr">
        <is>
          <t>Surgery anxiety</t>
        </is>
      </c>
      <c r="C9262" t="inlineStr">
        <is>
          <t>I am in my mid 30s and was diagnosed with lung cancer last month. My tumor is extremely rare and was a result of a genetic mutation - grew to about the size of a grapefruit possibly over many many years.My only symptom was a cough, pet scan cleared me everywhere else. The tumor isn't in my lung but right next to it. The surgeon has confirmed that they will be able to remove it in its entirety.
I found out yesterday that my surgery will be next week. I've been having serious anxiety all day and am just scared. My friends and family have been super supportive but I'm just having a tough time reconciling that I'll need to be the one who is taken care of and not be the care giver.
How do you mentally deal with the days leading up to a major surgery? I have Xanax prescribed but I'm hesitant to take it.</t>
        </is>
      </c>
      <c r="D9262" t="n">
        <v>1</v>
      </c>
      <c r="E9262" t="n">
        <v>18</v>
      </c>
      <c r="F9262">
        <f>HYPERLINK("https://www.reddit.com/r/cancer/comments/gjt1pv/surgery_anxiety/")</f>
        <v/>
      </c>
      <c r="G9262" t="inlineStr">
        <is>
          <t>2020-05-14 12:21:28</t>
        </is>
      </c>
      <c r="H9262" t="inlineStr"/>
    </row>
    <row r="9263">
      <c r="A9263" t="inlineStr">
        <is>
          <t>gjt6fx</t>
        </is>
      </c>
      <c r="B9263" t="inlineStr">
        <is>
          <t>Can someone please help me understand how COBRA insurance works. My mom has breast cancer, but says she has to pay $800 every week per treatment. They also charge her $4,000 every two months?</t>
        </is>
      </c>
      <c r="C9263" t="inlineStr">
        <is>
          <t>Is this correct? Idk if she has a hard time comprehending or being able to rationalize large amount of information, or if she just doesn’t care enough and just says “fuck it, I’ll pay it and just be broke”. She says her deductible has been met but she pays $800/treatment. I know some insurances cap after a certain amount. 
She has breast cancer that is supposedly responding to chemo, she’s only had one PET scan since she started treatment. But the doctors agreed there is no reason she shouldn’t survive this. 
She is living on less than 150K for the rest of her life from my stepdads life insurance. Who also died of terminal cancer. From my understanding, CIGNA paid everything. Including hospice. I’m not sure how correct that is but I don’t remember him ever saying he’s paying massive amounts of money. 
The insurance she has is supposed to be through his company Schlumberger who uses CIGNA, after he passed I guess it became COBRA, but she says the COBRA is Through CIGNA? Can anyone explain how their insurance works or if you have CIGNA/COBRA can you please explain the process of costs to me? 
I know there are people aren’t there can’t afford it all. Do they just turn away these patients and let them die? Or are there any programs we can apply to that give something like grants.</t>
        </is>
      </c>
      <c r="D9263" t="n">
        <v>2</v>
      </c>
      <c r="E9263" t="n">
        <v>7</v>
      </c>
      <c r="F9263">
        <f>HYPERLINK("https://www.reddit.com/r/cancer/comments/gjt6fx/can_someone_please_help_me_understand_how_cobra/")</f>
        <v/>
      </c>
      <c r="G9263" t="inlineStr">
        <is>
          <t>2020-05-14 12:28:08</t>
        </is>
      </c>
      <c r="H9263" t="inlineStr"/>
    </row>
    <row r="9264">
      <c r="A9264" t="inlineStr">
        <is>
          <t>gjtbsn</t>
        </is>
      </c>
      <c r="B9264" t="inlineStr">
        <is>
          <t>Just found out my mom has breast cancer</t>
        </is>
      </c>
      <c r="C9264" t="inlineStr">
        <is>
          <t>She felt weird lumps in late December and went for a biopsy recently (appointment was moved due to COVID). And she just came back with a positive, its cancer.
Its early stages and its two 2cm lumps (I think, I went a little deaf when she started saying she has cancer) and her specialist recommended chemo than straight to surgery to get them out. She's seeing an oncologist on Tuesday. 
I'm trying to stay super positive for her because at least she caught it very early.
What should I do next? Can someone tell me if they've gone through something like this with breast cancer?
Thank You.</t>
        </is>
      </c>
      <c r="D9264" t="n">
        <v>1</v>
      </c>
      <c r="E9264" t="n">
        <v>0</v>
      </c>
      <c r="F9264">
        <f>HYPERLINK("https://www.reddit.com/r/cancer/comments/gjtbsn/just_found_out_my_mom_has_breast_cancer/")</f>
        <v/>
      </c>
      <c r="G9264" t="inlineStr">
        <is>
          <t>2020-05-14 12:35:47</t>
        </is>
      </c>
      <c r="H9264" t="inlineStr"/>
    </row>
    <row r="9265">
      <c r="A9265" t="inlineStr">
        <is>
          <t>gjtw6m</t>
        </is>
      </c>
      <c r="B9265" t="inlineStr">
        <is>
          <t>Just advice and kind words</t>
        </is>
      </c>
      <c r="C9265" t="inlineStr">
        <is>
          <t>I am completely and utterly tired and frustrated. As said in a previous post, my boyfriend was diagnosed with stage 4 osteosarcoma. It devastated me when we were told, but I had all the hope in the world that he would beat it. He has undergone two major surgeries since March as the reconstructive surgery made the tissue around his knee die and he had to get a latissimus dorsi flap done. It was hard but after the second surgery medically they said he was doing great. But he couldn’t weight bear for six weeks on his leg or right arm. We’ve been home since April 22nd and everything has took a turn. He started getting sick, which he never did during chemo or after his surgery for the month we were in the hospital. He’s been sick on and off for the past month almost. We thought it was COVID-19. Nope. We thought it was anxiety. Nope. We thought it was an infection but there were no signs of one until yesterday. He has pseudomonas infection and yes we caught it in the early stage but from what I’ve been told it’s not that great. My heart breaks for my boyfriend as over the past week every single night he’s cried about it just wanting to end. I can tell that he’s almost ready to be done. He can’t handle much more. And then this? This is breaking him. It’s breaking me. We’re 19 years old and never did I imagine I would fear of losing the person I love most at this age. I’ve always had hope that we could get through this but everything keeps going wrong. The universe can’t give us a break. I’m beyond my point of sanity and know I cannot handle losing him. Has anyone ever gotten this infection? If so and if it was a positive outcome then I would love to hear about it. It probably seems so small to some people to worry about an infection that antibiotics could fix, but this could kill him. Mentally and physically. It’s killing me. I just want to see the smile on his face when he finally walks again. It would mean the world to me. I can’t handle the thought of him possibly leaving me.</t>
        </is>
      </c>
      <c r="D9265" t="n">
        <v>2</v>
      </c>
      <c r="E9265" t="n">
        <v>14</v>
      </c>
      <c r="F9265">
        <f>HYPERLINK("https://www.reddit.com/r/cancer/comments/gjtw6m/just_advice_and_kind_words/")</f>
        <v/>
      </c>
      <c r="G9265" t="inlineStr">
        <is>
          <t>2020-05-14 13:04:49</t>
        </is>
      </c>
      <c r="H9265" t="inlineStr"/>
    </row>
    <row r="9266">
      <c r="A9266" t="inlineStr">
        <is>
          <t>gjxd0z</t>
        </is>
      </c>
      <c r="B9266" t="inlineStr">
        <is>
          <t>This isn’t an “I’d this cancer post”. It’s a should I see a doctor kind of post.</t>
        </is>
      </c>
      <c r="C9266" t="inlineStr">
        <is>
          <t>I posted on r/askdocs (I’m 14 by the way) if I had a brain tumor. One guy (the only doctor that answered) told me there’s a chance I have a tumor, and I think he’s right. There’s this spot on my left frontal lobe that gives me a bad headache in that spot and surrounding areas. Had vertigo recently but not that bad. Been feeling nauseated and fatigued and just sick overall. Feel confused and dazed and pressure on my brain. Sleeping a little more than before. Should I go to a doctor, I don’t like talking health stuff with my parents especially as people we personally know have died of cancer.
Thanks and sorry if this indirectly breaks the rules, I don’t think it does though.</t>
        </is>
      </c>
      <c r="D9266" t="n">
        <v>1</v>
      </c>
      <c r="E9266" t="n">
        <v>7</v>
      </c>
      <c r="F9266">
        <f>HYPERLINK("https://www.reddit.com/r/cancer/comments/gjxd0z/this_isnt_an_id_this_cancer_post_its_a_should_i/")</f>
        <v/>
      </c>
      <c r="G9266" t="inlineStr">
        <is>
          <t>2020-05-14 16:09:08</t>
        </is>
      </c>
      <c r="H9266" t="inlineStr"/>
    </row>
    <row r="9267">
      <c r="A9267" t="inlineStr">
        <is>
          <t>gjy3yy</t>
        </is>
      </c>
      <c r="B9267" t="inlineStr">
        <is>
          <t>My Grandmother is in the Hospital</t>
        </is>
      </c>
      <c r="C9267" t="inlineStr">
        <is>
          <t>Two days ago, we thought we were going to have a good day. We went out for a coffee and a drive, somewhere along the way the tire popped. We got home, she called us. 
The doctors had been taking precautions when suddenly, a month or two ago she was diagnosed with type two diabetes. We thought it was just because she was getting older and there was no need to worry. She had been getting skinnier but we thought it had to do with that.
So anyways, we get a call from her. She sounds carefree, but in that nervous way when people are trying to pretend they’re not. She casually mentions that they called an ambulance to bring her to a bigger hospital. We thought it was nothing, an obstruction in the liver. 
I get the sickening feeling it’s something worse but I try to hold back. They find a lesion on her pancreas. The bad news keeps rolling in like I’m strapped onto a railroad track, seeing the steel beast clamor towards me.
They haven’t said it yet, the treacherous six letter word. They said there need to be more tests, but they called my mom in the morning. Something malignant. 
I’m glad I was asleep when she was called, I don’t know how I’d feel about her crying. I still see her cry about her brother, same villain. She watched her brother waste away into nothing, riddled like Swiss cheese with tumors and pain. 
My grandmother says that if it’s anything like that, she wouldn’t fight it. She saw how doctors tore apart her son, how her children weeped for their brother. 
The prognosis for pancreatic cancer is the same for surviving a piranha attack strapped with sausages and Christmas ham. I can’t really fathom it yet, mainly because I believe that perhaps it isn’t that.
But I know it is. 
I can’t even come to understand how a person like her, who did nothing for herself in her life, who went through all the hardships and pain that she did, ended up getting treated like this. Sometimes I can laugh and smile, I can even pretend to be a human but I catch myself crying a lot more. I catch myself remembering how we played when I was a child. 
You always hear that other people’s grandparents die, that the circle of life means that eventually everyone you love will perish. But when that reality comes and shakes up your life it’s earthshaking, completely unnerving. Next Thanksgiving, maybe my grandmother won’t be sitting at the table. Maybe next Christmas we won’t shop for a stylish yet understated scarf for her. 
I’m just at a loss of words.</t>
        </is>
      </c>
      <c r="D9267" t="n">
        <v>1</v>
      </c>
      <c r="E9267" t="n">
        <v>9</v>
      </c>
      <c r="F9267">
        <f>HYPERLINK("https://www.reddit.com/r/cancer/comments/gjy3yy/my_grandmother_is_in_the_hospital/")</f>
        <v/>
      </c>
      <c r="G9267" t="inlineStr">
        <is>
          <t>2020-05-14 16:49:28</t>
        </is>
      </c>
      <c r="H9267" t="inlineStr"/>
    </row>
    <row r="9268">
      <c r="A9268" t="inlineStr">
        <is>
          <t>gk18wv</t>
        </is>
      </c>
      <c r="B9268" t="inlineStr">
        <is>
          <t>Roommate recently diagnosed. Seeking advice.</t>
        </is>
      </c>
      <c r="C9268" t="inlineStr">
        <is>
          <t>So, to keep this short, what I'd like is a anything that anyone here has seems as a possible "go-bag" item. My roommate, recently diag osed with liver cancer, called me at around 3 Am local and told me he needed to go to the hospital for pain, I didn't know what to grab other than my keys and wallet and a bottle of water and some of his meds.hes a lot older than me (70's, I'm 28) but he's a good friend of mine and I care about him. If there are any recommendations for things I should have ready on standby just I case he needs to go to the hospital at an odd hours, please let me know. Feel free to message or comment, in any case, thank you. Hi early any advice is welcomed. Anything from diet (I cook) to good/bad activities that I can help him with or just do for him. Thanks in advance!</t>
        </is>
      </c>
      <c r="D9268" t="n">
        <v>1</v>
      </c>
      <c r="E9268" t="n">
        <v>10</v>
      </c>
      <c r="F9268">
        <f>HYPERLINK("https://www.reddit.com/r/cancer/comments/gk18wv/roommate_recently_diagnosed_seeking_advice/")</f>
        <v/>
      </c>
      <c r="G9268" t="inlineStr">
        <is>
          <t>2020-05-14 20:06:12</t>
        </is>
      </c>
      <c r="H9268" t="inlineStr"/>
    </row>
    <row r="9269">
      <c r="A9269" t="inlineStr">
        <is>
          <t>gk2f4a</t>
        </is>
      </c>
      <c r="B9269" t="inlineStr">
        <is>
          <t>terrified of having mouth cancer. please help !</t>
        </is>
      </c>
      <c r="C9269" t="inlineStr">
        <is>
          <t>so i was really worried about having lung cancer from smoking after having some chest pains (i’m 18 btw) but was told it was very rare which put my mind at rest. however, i read an article about a woman who got cancer at 21 after googling earlier on when the left side of my jaw hurt after having a cigarette and now i’m terrified that i’ve got this cancer as my pain was in the exact same place as hers. i can’t go and see a doctor because of the virus situation and i really don’t know what to do :(</t>
        </is>
      </c>
      <c r="D9269" t="n">
        <v>1</v>
      </c>
      <c r="E9269" t="n">
        <v>8</v>
      </c>
      <c r="F9269">
        <f>HYPERLINK("https://www.reddit.com/r/cancer/comments/gk2f4a/terrified_of_having_mouth_cancer_please_help/")</f>
        <v/>
      </c>
      <c r="G9269" t="inlineStr">
        <is>
          <t>2020-05-14 21:28:57</t>
        </is>
      </c>
      <c r="H9269" t="inlineStr"/>
    </row>
    <row r="9270">
      <c r="A9270" t="inlineStr">
        <is>
          <t>gk50dg</t>
        </is>
      </c>
      <c r="B9270" t="inlineStr">
        <is>
          <t>Up Hella Early</t>
        </is>
      </c>
      <c r="C9270" t="inlineStr">
        <is>
          <t>Anyone else wake up and cant fall back asleep so you say fuck it I have cancer may as well suck up as many waking hours as I can?</t>
        </is>
      </c>
      <c r="D9270" t="n">
        <v>1</v>
      </c>
      <c r="E9270" t="n">
        <v>20</v>
      </c>
      <c r="F9270">
        <f>HYPERLINK("https://www.reddit.com/r/cancer/comments/gk50dg/up_hella_early/")</f>
        <v/>
      </c>
      <c r="G9270" t="inlineStr">
        <is>
          <t>2020-05-15 01:04:28</t>
        </is>
      </c>
      <c r="H9270" t="inlineStr"/>
    </row>
    <row r="9271">
      <c r="A9271" t="inlineStr">
        <is>
          <t>gk8k1t</t>
        </is>
      </c>
      <c r="B9271" t="inlineStr">
        <is>
          <t>Cancer Immunothrapy</t>
        </is>
      </c>
      <c r="C9271" t="inlineStr">
        <is>
          <t>So far, there is a new approach of using your own immune system to treat cancer patients. However, there are different form of cancer immunotherapy, including the administration of  of exogenous cytokines or therapeutic vaccines to increase the frequency of tumor-specific T cells, adoptive transfer of tumor-specific immune effector cells, and, more recently, the application of a variety of immune checkpoint inhibitors and agonists of co-stimulatory receptors to overcome tumor-induced immune-suppressive mechanisms. For all the above methods, which one by far is the most common one in clinical practice and why? Which one is the most effective?</t>
        </is>
      </c>
      <c r="D9271" t="n">
        <v>1</v>
      </c>
      <c r="E9271" t="n">
        <v>40</v>
      </c>
      <c r="F9271">
        <f>HYPERLINK("https://www.reddit.com/r/cancer/comments/gk8k1t/cancer_immunothrapy/")</f>
        <v/>
      </c>
      <c r="G9271" t="inlineStr">
        <is>
          <t>2020-05-15 05:52:37</t>
        </is>
      </c>
      <c r="H9271" t="inlineStr"/>
    </row>
    <row r="9272">
      <c r="A9272" t="inlineStr">
        <is>
          <t>gk8ppv</t>
        </is>
      </c>
      <c r="B9272" t="inlineStr">
        <is>
          <t>Chemotherapy and testicles</t>
        </is>
      </c>
      <c r="C9272" t="inlineStr">
        <is>
          <t>Does chemotherapy causes atophic testicles?</t>
        </is>
      </c>
      <c r="D9272" t="n">
        <v>1</v>
      </c>
      <c r="E9272" t="n">
        <v>3</v>
      </c>
      <c r="F9272">
        <f>HYPERLINK("https://www.reddit.com/r/cancer/comments/gk8ppv/chemotherapy_and_testicles/")</f>
        <v/>
      </c>
      <c r="G9272" t="inlineStr">
        <is>
          <t>2020-05-15 06:02:50</t>
        </is>
      </c>
      <c r="H9272" t="inlineStr"/>
    </row>
    <row r="9273">
      <c r="A9273" t="inlineStr">
        <is>
          <t>gkai8u</t>
        </is>
      </c>
      <c r="B9273" t="inlineStr">
        <is>
          <t>Metastatic breast cancer. Please read</t>
        </is>
      </c>
      <c r="C9273" t="inlineStr">
        <is>
          <t>Hi all. A few years ago (maybe about 4-5 years) my grandma (70) had breast cancer, and then fought it. Well this week she was having really bad pain in her hips/ lower back area to the point where she had to go to the ER. They found out there was cancer in her spine, and that’s all they could see and then she made an appointment the next day and that’s when they said it was metastatic breast cancer. She hasn’t had her prognosis yet and it won’t be till the end of the month so were not really sure how bad it is. She is starting chemo/radiation though today. It’s really been taking a tool on me because i have had two family members recently pass away from leukemia and i know they are two way different cancers but my grandma is like my second mom and i just really really really need her here. I guess what I’m asking is what is everyone’s experience with this, i mean, if caught early, how bad can it still be? Or if caught late, what’s there left to do? Just wondering anyone who has had this, or you know a family member who has had/have this, what your experience is with it? I know everyone’s experience can be different but in a way i think it could help me. TYIA.</t>
        </is>
      </c>
      <c r="D9273" t="n">
        <v>2</v>
      </c>
      <c r="E9273" t="n">
        <v>11</v>
      </c>
      <c r="F9273">
        <f>HYPERLINK("https://www.reddit.com/r/cancer/comments/gkai8u/metastatic_breast_cancer_please_read/")</f>
        <v/>
      </c>
      <c r="G9273" t="inlineStr">
        <is>
          <t>2020-05-15 07:50:40</t>
        </is>
      </c>
      <c r="H9273" t="inlineStr"/>
    </row>
    <row r="9274">
      <c r="A9274" t="inlineStr">
        <is>
          <t>gkc2ly</t>
        </is>
      </c>
      <c r="B9274" t="inlineStr">
        <is>
          <t>Allogeneic stem cell transplant treatment overseas?</t>
        </is>
      </c>
      <c r="C9274" t="inlineStr">
        <is>
          <t>Hey all, I have a relative with mycosis fungoides a.k.a peripheral T cell lymphoma (Not Otherwise Specified). All forms of chemotherapy have not worked.
Based on my online research it seems like the way to go is to get an allogeneic stem cell transplant. The problem is that the local hospitals do not appear willing to enroll my relative on the program given his age (&amp;gt;65 years).
**Question 1:** So I was wondering whether there are institutions around the world that would allow you to go for such treatments as a medical tourist?
**Question 2:** If Reddit isn't the best place to seek such advice, can you please refer me to a better forum?
u/The_Karaethon_Cycle and  u/Hutchftw, I have read your comments on other threads where you discuss you treatment options. Wanted to hear if you have some inputs on this? Thank you.</t>
        </is>
      </c>
      <c r="D9274" t="n">
        <v>1</v>
      </c>
      <c r="E9274" t="n">
        <v>7</v>
      </c>
      <c r="F9274">
        <f>HYPERLINK("https://www.reddit.com/r/cancer/comments/gkc2ly/allogeneic_stem_cell_transplant_treatment_overseas/")</f>
        <v/>
      </c>
      <c r="G9274" t="inlineStr">
        <is>
          <t>2020-05-15 09:14:19</t>
        </is>
      </c>
      <c r="H9274" t="inlineStr"/>
    </row>
    <row r="9275">
      <c r="A9275" t="inlineStr">
        <is>
          <t>gkc8y8</t>
        </is>
      </c>
      <c r="B9275" t="inlineStr">
        <is>
          <t>Alternative medicine to feel better.</t>
        </is>
      </c>
      <c r="C9275" t="inlineStr">
        <is>
          <t>Hey guys, I'm from Mexico and my mom was recently diagnosted with lung cancer phase 4. I'm worried because my family is pushing her to try this alternative medicine called grupo LifEscozul it's a cuban remedy made with scorpion poison. Does any of you have tried this or do you know any information about this product?</t>
        </is>
      </c>
      <c r="D9275" t="n">
        <v>1</v>
      </c>
      <c r="E9275" t="n">
        <v>8</v>
      </c>
      <c r="F9275">
        <f>HYPERLINK("https://www.reddit.com/r/cancer/comments/gkc8y8/alternative_medicine_to_feel_better/")</f>
        <v/>
      </c>
      <c r="G9275" t="inlineStr">
        <is>
          <t>2020-05-15 09:23:39</t>
        </is>
      </c>
      <c r="H9275" t="inlineStr"/>
    </row>
    <row r="9276">
      <c r="A9276" t="inlineStr">
        <is>
          <t>gkgb2w</t>
        </is>
      </c>
      <c r="B9276" t="inlineStr">
        <is>
          <t>Signs that the cancer is about to win</t>
        </is>
      </c>
      <c r="C9276" t="inlineStr">
        <is>
          <t>Hello, my dad has had terminal cancer for a little over a year. It is basically everywhere in his body, but most is in his stomach area. He claims that everyday he can feel it inside of him growing and this is a somewhat new feeling to him, so I was wondering if this is a sign that it is going to take him soon and if not what are some signs so I can prepare myself? Thank you.</t>
        </is>
      </c>
      <c r="D9276" t="n">
        <v>1</v>
      </c>
      <c r="E9276" t="n">
        <v>20</v>
      </c>
      <c r="F9276">
        <f>HYPERLINK("https://www.reddit.com/r/cancer/comments/gkgb2w/signs_that_the_cancer_is_about_to_win/")</f>
        <v/>
      </c>
      <c r="G9276" t="inlineStr">
        <is>
          <t>2020-05-15 12:58:28</t>
        </is>
      </c>
      <c r="H9276" t="inlineStr"/>
    </row>
    <row r="9277">
      <c r="A9277" t="inlineStr">
        <is>
          <t>gkgn8e</t>
        </is>
      </c>
      <c r="B9277" t="inlineStr">
        <is>
          <t>Chronic Pain The Past 3 Days</t>
        </is>
      </c>
      <c r="C9277" t="inlineStr">
        <is>
          <t>I just finished my first round of Doxorubicin about 3 weeks ago. These past 3 days have been very annoying. I've been having terrible acid reflux, stomach pains below my sternum and above my abdomen, dull shooting pain in my shoulder blades, constipation, and pain behind my back rib cage.  I talked to my Dr and she thinks its gastrointestinal. I've been taking Tums, Tylenol, and edibles, but I cant even eat now due to the stomach pains. Its not excruciating, but its a constant dull pain and just lingers all day. When lay down it just makes it worse almost like a tightening in my sternum. Has anyone experienced this? I'm beginning to get angry cause Idk what to do to stop the pain my Dr hasn't prescribed me anything. I'm going to see her on Monday, but I spoke with her today and she said if it gets too bad to go to the ER. I feel like my Dr isn't taking me seriously.  Can anyone give me any advice? Thanks!</t>
        </is>
      </c>
      <c r="D9277" t="n">
        <v>1</v>
      </c>
      <c r="E9277" t="n">
        <v>6</v>
      </c>
      <c r="F9277">
        <f>HYPERLINK("https://www.reddit.com/r/cancer/comments/gkgn8e/chronic_pain_the_past_3_days/")</f>
        <v/>
      </c>
      <c r="G9277" t="inlineStr">
        <is>
          <t>2020-05-15 13:16:53</t>
        </is>
      </c>
      <c r="H9277" t="inlineStr"/>
    </row>
    <row r="9278">
      <c r="A9278" t="inlineStr">
        <is>
          <t>gki5d1</t>
        </is>
      </c>
      <c r="B9278" t="inlineStr">
        <is>
          <t>My dad just got the news that he has cancer. Why am I not upset like everyone else?</t>
        </is>
      </c>
      <c r="C9278" t="inlineStr">
        <is>
          <t>Everyone is crying. I looked at his results and, for his age, the prognosis isn’t bad. It’s low risk, non-aggressive prostate cancer in early stages.
Everyone is acting like he’s been handed a death sentence. Obviously my dad is upset, and to be honest I’m more worried about his mental health than his physical.
Everyone is saying I’m delaying being upset but I really just feel I’m being realistic. He’s in his late 60s, prostate cancer runs in the family, it’s early stages. I don’t feel like it’s a death sentence, just another kind of illness we all need to get or witness at some point in life.
Maybe I’m being heartless, but I just think keeping my dad positive is more important than me being upset about something that will likely get better.
Am I wrong?</t>
        </is>
      </c>
      <c r="D9278" t="n">
        <v>1</v>
      </c>
      <c r="E9278" t="n">
        <v>16</v>
      </c>
      <c r="F9278">
        <f>HYPERLINK("https://www.reddit.com/r/cancer/comments/gki5d1/my_dad_just_got_the_news_that_he_has_cancer_why/")</f>
        <v/>
      </c>
      <c r="G9278" t="inlineStr">
        <is>
          <t>2020-05-15 14:41:21</t>
        </is>
      </c>
      <c r="H9278" t="inlineStr"/>
    </row>
    <row r="9279">
      <c r="A9279" t="inlineStr">
        <is>
          <t>gkjo28</t>
        </is>
      </c>
      <c r="B9279" t="inlineStr">
        <is>
          <t>I’m not the way I used to be</t>
        </is>
      </c>
      <c r="C9279" t="inlineStr">
        <is>
          <t>And that’s really hard to come to terms with. I just turned 20 and it’s been 2 years since I’ve been done with follicular thyroid cancer treatment. I feel like I have aged 30 years. I feel like I lost a lot of my teenage/college experiences because I had to deal with this my senior year of high school. I couldn’t even tell my track &amp;amp; field coaches that I couldn’t come back because it turns out it the tumor in my neck was cancer. I was embarrassed, and at a young age going through these awful feelings while the people around me made me feel it was not a big deal. 
I lost all my confidence. I used to like having my picture taken and I took selfies like a lot of people my age, and I don’t do that anymore because I am ashamed of what I see. My weight is so hard to maintain so I restrict my eating because I have always been skinny, and my whole body has changed and I am struggling to accept the changes. I lost 11 pounds in a little over a week because I couldn’t accept what I looked like. And I have nothing but lost confidence, a big scar on my neck, and people who don’t understand that this cancer is not easy. I can’t even call myself a survivor because I don’t believe it, I don’t feel like I fought anything and I don’t earn that. 
Idk, if you have a loved one that is going through thyroid cancer treatment or has in the past, just tell them you see them and that you are there for them. It’s easy for us to feel forgotten too. Thank you</t>
        </is>
      </c>
      <c r="D9279" t="n">
        <v>1</v>
      </c>
      <c r="E9279" t="n">
        <v>1</v>
      </c>
      <c r="F9279">
        <f>HYPERLINK("https://www.reddit.com/r/cancer/comments/gkjo28/im_not_the_way_i_used_to_be/")</f>
        <v/>
      </c>
      <c r="G9279" t="inlineStr">
        <is>
          <t>2020-05-15 16:09:00</t>
        </is>
      </c>
      <c r="H9279" t="inlineStr"/>
    </row>
    <row r="9280">
      <c r="A9280" t="inlineStr">
        <is>
          <t>gkl9d9</t>
        </is>
      </c>
      <c r="B9280" t="inlineStr">
        <is>
          <t>Questions for those who have been admitted to City of Hope in Duarte, California</t>
        </is>
      </c>
      <c r="C9280" t="inlineStr">
        <is>
          <t>Hi all, my dad will be getting a stem cell transplant for AML at City of Hope in Duarte, California. We had some questions about the hospital and the area. We have been told that he will be admitted for \~4-6 weeks and then will have to stay near the hospital for \~2-3 months afterwards for frequent outpatient visits. 
1. For those who have lived around COH for a long period of time (with the patient), where did you all stay? There are some apartment complexes nearby (Paragon, Moda...); anyone have any experience with those/know if they are safe/clean/quiet?
2. How was the inpatient food at COH? My dad is vegan (with the exception of eating eggs); do they have a lot of options? We’re worried because of COVID, we won’t be allowed into the hospital. 
3. Anything else to know about COH/what to do?</t>
        </is>
      </c>
      <c r="D9280" t="n">
        <v>1</v>
      </c>
      <c r="E9280" t="n">
        <v>1</v>
      </c>
      <c r="F9280">
        <f>HYPERLINK("https://www.reddit.com/r/cancer/comments/gkl9d9/questions_for_those_who_have_been_admitted_to/")</f>
        <v/>
      </c>
      <c r="G9280" t="inlineStr">
        <is>
          <t>2020-05-15 17:44:04</t>
        </is>
      </c>
      <c r="H9280" t="inlineStr"/>
    </row>
    <row r="9281">
      <c r="A9281" t="inlineStr">
        <is>
          <t>gkmdjz</t>
        </is>
      </c>
      <c r="B9281" t="inlineStr">
        <is>
          <t>Just found out my cancer spread.</t>
        </is>
      </c>
      <c r="C9281" t="inlineStr">
        <is>
          <t>My current chemo treatment isn’t working, and I don’t really have a ton of options left. I have bile duct cancer which has a pretty shitty prognosis fo begin with- so I knew this would come one day. 
The main tumor in my liver has grown slightly and now there are 3 lymph nodes near my liver involved. My doctor mentioned today treatments that would “give me as long as possible”. 
For those of you who are in a similar situation how do you deal with it? All I want to do all day is cry. I take 25mg. Of Zoloft a day for anxiety. Do you think I should speak to my doctor about getting on a stronger medication? I’m just so lost. 
Thanks for any advice you might have!</t>
        </is>
      </c>
      <c r="D9281" t="n">
        <v>1</v>
      </c>
      <c r="E9281" t="n">
        <v>42</v>
      </c>
      <c r="F9281">
        <f>HYPERLINK("https://www.reddit.com/r/cancer/comments/gkmdjz/just_found_out_my_cancer_spread/")</f>
        <v/>
      </c>
      <c r="G9281" t="inlineStr">
        <is>
          <t>2020-05-15 18:54:31</t>
        </is>
      </c>
      <c r="H9281" t="inlineStr"/>
    </row>
    <row r="9282">
      <c r="A9282" t="inlineStr">
        <is>
          <t>gknd0j</t>
        </is>
      </c>
      <c r="B9282" t="inlineStr">
        <is>
          <t>Just a quick remission celebration!</t>
        </is>
      </c>
      <c r="C9282" t="inlineStr">
        <is>
          <t>Today marks six years of remission from AML.
In many ways, remission marked the beginning of another insanely difficult journey as I battled late-term side effects and PTSD etc.
But here I am, rebuilding a life that cancer tried to rob me of. 
Keep on loving, keep on fighting, and hold on. I love you all.</t>
        </is>
      </c>
      <c r="D9282" t="n">
        <v>1</v>
      </c>
      <c r="E9282" t="n">
        <v>6</v>
      </c>
      <c r="F9282">
        <f>HYPERLINK("https://www.reddit.com/r/cancer/comments/gknd0j/just_a_quick_remission_celebration/")</f>
        <v/>
      </c>
      <c r="G9282" t="inlineStr">
        <is>
          <t>2020-05-15 20:01:55</t>
        </is>
      </c>
      <c r="H9282" t="inlineStr"/>
    </row>
    <row r="9283">
      <c r="A9283" t="inlineStr">
        <is>
          <t>gkpdrc</t>
        </is>
      </c>
      <c r="B9283" t="inlineStr">
        <is>
          <t>Are lungs filled with water sign of cancer?</t>
        </is>
      </c>
      <c r="C9283" t="inlineStr">
        <is>
          <t>Both of my grandpas died from that condition, but the doctors wouldn't say anything about that.
So I was wondering, is that a sign of cancer?</t>
        </is>
      </c>
      <c r="D9283" t="n">
        <v>1</v>
      </c>
      <c r="E9283" t="n">
        <v>2</v>
      </c>
      <c r="F9283">
        <f>HYPERLINK("https://www.reddit.com/r/cancer/comments/gkpdrc/are_lungs_filled_with_water_sign_of_cancer/")</f>
        <v/>
      </c>
      <c r="G9283" t="inlineStr">
        <is>
          <t>2020-05-15 22:35:19</t>
        </is>
      </c>
      <c r="H9283" t="inlineStr"/>
    </row>
    <row r="9284">
      <c r="A9284" t="inlineStr">
        <is>
          <t>gkpivp</t>
        </is>
      </c>
      <c r="B9284" t="inlineStr">
        <is>
          <t>It's offical, probably 6 weeks</t>
        </is>
      </c>
      <c r="C9284" t="inlineStr">
        <is>
          <t>So my father was in remission from colon cancer. It didn't last very long. It's back &amp;amp; causing a major blockage that has him very weak. Every night he gets a bag of nutrients &amp;amp; a bag of lipids for 12 hrs to try &amp;amp; build up strength but it isn't working. He doesn't eat or drink &amp;amp; he is slowly dying infront of me. 
We are hopefully arranging hospice tomorrow. If I can get ahold of a hospice nurse. 
I hate cancer. My mother died from it in 2014, both grandfather's &amp;amp; my grandmother died from it, my other grandmother had Parkinsons so I'm just fucked. 
How do I tell my 9 month old when he's older that everyone in our family dies early of cancer? My mother was in her late 40s &amp;amp; my father his late 50s. We don't survive. 
Does anyone have any suggestions as to what I need to do first once he passes? He has a survivorship deed to the house so my name will go on the deed I guess. Who do I call first? Besides for friends &amp;amp; family, I'm talking life insurance, health insurance, etc. I don't know what to do but I feel like if I don't have a plan I will just ignore it. 
I'm so tired because my son is going through a sleep regression, I work for my fathers business &amp;amp; when he is gone I don't know what I'll do money wise. I'm scared &amp;amp; I fucking hate cancer.</t>
        </is>
      </c>
      <c r="D9284" t="n">
        <v>1</v>
      </c>
      <c r="E9284" t="n">
        <v>7</v>
      </c>
      <c r="F9284">
        <f>HYPERLINK("https://www.reddit.com/r/cancer/comments/gkpivp/its_offical_probably_6_weeks/")</f>
        <v/>
      </c>
      <c r="G9284" t="inlineStr">
        <is>
          <t>2020-05-15 22:47:28</t>
        </is>
      </c>
      <c r="H9284" t="inlineStr"/>
    </row>
    <row r="9285">
      <c r="A9285" t="inlineStr">
        <is>
          <t>gkpjks</t>
        </is>
      </c>
      <c r="B9285" t="inlineStr">
        <is>
          <t>moms cancer could be terminal?</t>
        </is>
      </c>
      <c r="C9285" t="inlineStr">
        <is>
          <t>we’re going through a second set of chemo since the first didn’t work and if this phase of chemo doesn’t work then there’s nothing we can do, and i just? want someone to talk to but i don’t wanna burden anyone with this. this fucking sucks</t>
        </is>
      </c>
      <c r="D9285" t="n">
        <v>1</v>
      </c>
      <c r="E9285" t="n">
        <v>9</v>
      </c>
      <c r="F9285">
        <f>HYPERLINK("https://www.reddit.com/r/cancer/comments/gkpjks/moms_cancer_could_be_terminal/")</f>
        <v/>
      </c>
      <c r="G9285" t="inlineStr">
        <is>
          <t>2020-05-15 22:49:12</t>
        </is>
      </c>
      <c r="H9285" t="inlineStr"/>
    </row>
    <row r="9286">
      <c r="A9286" t="inlineStr">
        <is>
          <t>gkqgnj</t>
        </is>
      </c>
      <c r="B9286" t="inlineStr">
        <is>
          <t>Book recommendations?</t>
        </is>
      </c>
      <c r="C9286" t="inlineStr">
        <is>
          <t>My dad is fighting cancer right now and is very into reading inspiring books. Anyone have some inspiring cancer books to recommend? I would probably read it first to make sure he would respond well.</t>
        </is>
      </c>
      <c r="D9286" t="n">
        <v>1</v>
      </c>
      <c r="E9286" t="n">
        <v>7</v>
      </c>
      <c r="F9286">
        <f>HYPERLINK("https://www.reddit.com/r/cancer/comments/gkqgnj/book_recommendations/")</f>
        <v/>
      </c>
      <c r="G9286" t="inlineStr">
        <is>
          <t>2020-05-16 00:11:03</t>
        </is>
      </c>
      <c r="H9286" t="inlineStr"/>
    </row>
    <row r="9287">
      <c r="A9287" t="inlineStr">
        <is>
          <t>gkqrvj</t>
        </is>
      </c>
      <c r="B9287" t="inlineStr">
        <is>
          <t>I just found out my Dad has Lung Cancer and has no insurance, what do I do?</t>
        </is>
      </c>
      <c r="C9287" t="inlineStr">
        <is>
          <t>This week has been a rough week as I have just found out that my Dad has Lung Cancer. He's been coughing heavily for over a year and I don't get to see him much. Luckily my girlfriend (works in the health care industry) insisted that he gets an x-ray and gets checked up. Upon the discovery, we find out that he has multiple metastasis masses growing in his lungs. All of which are 4-7cm in size. We currently do not know what stage he is as he is still getting multiple x-rays for doctors to analyze.
He is 55 years old, quit smoking 20 years ago, and does not have too much of a bad diet. He works construction and lives an average lifestyle. I am his only child and luckily I have the support of my girlfriend and many others working quickly to figure out solutions.
The biggest dilemma is that he does not have insurance nor is he a US Citizen. We're immigrants here and only I have a green card. My father does not make much as an independent contractor and it seems that we don't have many options when it comes to insurance. Money is tight and I wanted to see what other possibilities there are for getting insurance for Lung Cancer. If there are no other options, we will definitely take out loans and go to the private insurance method.
TLDR:
1)  How should I go about getting insurance for someone who is not a legal resident of the United States?
2) What are the best hospitals that treat Lung Cancer in the Bay Area (California)
3) What should I expect throughout this process of cancer?
4) How can I prepare myself and my Dad?
Thank you for taking the time to read this and I hope that your kind words can help during this time.</t>
        </is>
      </c>
      <c r="D9287" t="n">
        <v>1</v>
      </c>
      <c r="E9287" t="n">
        <v>3</v>
      </c>
      <c r="F9287">
        <f>HYPERLINK("https://www.reddit.com/r/cancer/comments/gkqrvj/i_just_found_out_my_dad_has_lung_cancer_and_has/")</f>
        <v/>
      </c>
      <c r="G9287" t="inlineStr">
        <is>
          <t>2020-05-16 00:40:11</t>
        </is>
      </c>
      <c r="H9287" t="inlineStr"/>
    </row>
    <row r="9288">
      <c r="A9288" t="inlineStr">
        <is>
          <t>gkrru0</t>
        </is>
      </c>
      <c r="B9288" t="inlineStr">
        <is>
          <t>Thyroid Cancer Screening on Tuesday... need support</t>
        </is>
      </c>
      <c r="C9288" t="inlineStr">
        <is>
          <t>Hello everyone!
To give some background information, I am 25 years old (male) and thyroid cancer runs on my mother’s side of the family - my grandma and mom both had it. Luckily, my mom’s case was not aggressive and after a successful thyroidectomy and radiation treatment, she has been cancer free for about 10 years now! My grandma’s cancer unfortunately spread and she died from lung cancer 16 years ago.
Well, about 3 or 4 years ago, I went to the doctor myself complaining of thyroid issues. I was on lithium which has caused my TSH levels to be slightly wonky. The doctor felt my neck and found something that didn’t feel quite right, so she ordered an ultrasound and a subsequent referral to an endocrinologist. The ultrasound in fact indicated a (very small) cold nodule.
The endocrinologist did not order a fine needle aspiration since it was too small to do so. Surprisingly, my levels were all in an acceptable range (TSH, free T3 and T4, and negative to antibodies). She put me on levothyroxine to see if that would shrink it. It did not and instead gave me horrible side effects, so she wanted to monitor it for a while.
Fast forward to now, 3-4 years later. Unfortunately, I stopped seeing the original endocrinologist because I moved (from NY to Iowa). The University of Iowa has an excellent hospital so I’ve made several appointments with the endocrinology department here but had to cancel. It’s impossible being a grad student and scheduling 6+ months in advance!
Now, because of covid related cancellations, I was finally able to get an appointment! It’s this Tuesday. Of course I’m worried because it’s been so long.
I know that most nodules are benign, but it freaks me out since it was cold, my levels were all normal, I didn’t respond well to levothyroxine therapy, and most importantly because it’s so prevalent genetically. I’ve been off lithium for a few months now so maybe that’ll help the doctor reach a decision.
Do you have any advice/similar stories? I’d appreciate any support I can get!
Stay safe everyone!!!</t>
        </is>
      </c>
      <c r="D9288" t="n">
        <v>1</v>
      </c>
      <c r="E9288" t="n">
        <v>3</v>
      </c>
      <c r="F9288">
        <f>HYPERLINK("https://www.reddit.com/r/cancer/comments/gkrru0/thyroid_cancer_screening_on_tuesday_need_support/")</f>
        <v/>
      </c>
      <c r="G9288" t="inlineStr">
        <is>
          <t>2020-05-16 02:17:58</t>
        </is>
      </c>
      <c r="H9288" t="inlineStr"/>
    </row>
    <row r="9289">
      <c r="A9289" t="inlineStr">
        <is>
          <t>gkrvt3</t>
        </is>
      </c>
      <c r="B9289" t="inlineStr">
        <is>
          <t>forget how to live</t>
        </is>
      </c>
      <c r="C9289" t="inlineStr">
        <is>
          <t>im 19 years old, completed 3 rounds of chemotherapy and there is 1 round left. have a risk of right leg lymphedema in the future due to my surgery. tinnitus and neuropathy’s getting worse with each round of chemo. i was supposed to be going to university this year and i always had high hopes for myself in life. i dont know if the tinnitus would ever fade away and i am struggling so much with it because i really love music and everything sounds different now. it doesn’t help that my dad passed away from pancreatic cancer 2 years ago and with everything thats happening i honestly feel so traumatised in life and i dont know how to carry on living after finishing my last chemotherapy. are there anyone who had their tinnitus go away after treatment or do anyone have tips on how to get back to society after cancer? i’m only 19 and i want to live my life well but right now the thought of everything scares me and i am so bothered by the tinnitus</t>
        </is>
      </c>
      <c r="D9289" t="n">
        <v>1</v>
      </c>
      <c r="E9289" t="n">
        <v>4</v>
      </c>
      <c r="F9289">
        <f>HYPERLINK("https://www.reddit.com/r/cancer/comments/gkrvt3/forget_how_to_live/")</f>
        <v/>
      </c>
      <c r="G9289" t="inlineStr">
        <is>
          <t>2020-05-16 02:28:47</t>
        </is>
      </c>
      <c r="H9289" t="inlineStr"/>
    </row>
    <row r="9290">
      <c r="A9290" t="inlineStr">
        <is>
          <t>gku49z</t>
        </is>
      </c>
      <c r="B9290" t="inlineStr">
        <is>
          <t>Trying to decide medication timing</t>
        </is>
      </c>
      <c r="C9290" t="inlineStr">
        <is>
          <t>My wife (newly diagnosed) is about to start taking Tagrisso, a targeted medication with side effects which include diarrhea.  She is going to take it once per day and we're trying to decide what time of the day to take it.  I'm thinking that she shouldn't take it in the afternoon/evening because that could make the side effects peak during the night.  
Do any of you have an insight on this?  As of now we think morning, or lunch time at the latest, is best.  Any advice will be greatly appreciated.</t>
        </is>
      </c>
      <c r="D9290" t="n">
        <v>1</v>
      </c>
      <c r="E9290" t="n">
        <v>5</v>
      </c>
      <c r="F9290">
        <f>HYPERLINK("https://www.reddit.com/r/cancer/comments/gku49z/trying_to_decide_medication_timing/")</f>
        <v/>
      </c>
      <c r="G9290" t="inlineStr">
        <is>
          <t>2020-05-16 05:48:33</t>
        </is>
      </c>
      <c r="H9290" t="inlineStr"/>
    </row>
    <row r="9291">
      <c r="A9291" t="inlineStr">
        <is>
          <t>gl0ztd</t>
        </is>
      </c>
      <c r="B9291" t="inlineStr">
        <is>
          <t>Could you guys please help me think of a bday gift for my friend</t>
        </is>
      </c>
      <c r="C9291" t="inlineStr">
        <is>
          <t>Hey guys
My friend got diagnosed with adrenal gland cancer begining of April. It has spread to his stomach, liver, spleen, lung and right shoulder. He just finished his second chemo round. His next will be in June
He turns 24 at the end of may and I just don't know what to get him. I'm a 22yo girl, I met him at school but we have no mutual friends. Obviously I could never understand what he's going through and I just want to give him a nice or useful gift. I was thinking of a tracksuit so he can be comfy during chemo and recovery. But his gf told me he's already got 4. She doesn't know what to get him either.
He likes taxidermy, especially butterflies. But he's already got a lot of that as well. Normally we would just go out for drinks and I'd pay. Or I could get him tickets for his fav soccer game or whatever. I can't think of anything that's appropriate rn.
Any insight from people that can relate to my friend more than I do, would be greatly appreciated. I'm sorry if this is a weird question. I'm just so scared of not being a good friend for him in these times.</t>
        </is>
      </c>
      <c r="D9291" t="n">
        <v>7</v>
      </c>
      <c r="E9291" t="n">
        <v>22</v>
      </c>
      <c r="F9291">
        <f>HYPERLINK("https://www.reddit.com/r/cancer/comments/gl0ztd/could_you_guys_please_help_me_think_of_a_bday/")</f>
        <v/>
      </c>
      <c r="G9291" t="inlineStr">
        <is>
          <t>2020-05-16 12:44:09</t>
        </is>
      </c>
      <c r="H9291" t="inlineStr"/>
    </row>
    <row r="9292">
      <c r="A9292" t="inlineStr">
        <is>
          <t>gl3am2</t>
        </is>
      </c>
      <c r="B9292" t="inlineStr">
        <is>
          <t>What to properly remember my dying dad?</t>
        </is>
      </c>
      <c r="C9292" t="inlineStr">
        <is>
          <t>My dad is dying, could be this year or next, no one really knows. I’m terrified that I won’t remember him or the great memories we’ve had. What things can I do or what can I ask to help preserve the memory of him? I’m already so terrified to lose him but I want to remember him. And I don’t want to regret anything when he dies. Any advice is greatly appreciated.</t>
        </is>
      </c>
      <c r="D9292" t="n">
        <v>4</v>
      </c>
      <c r="E9292" t="n">
        <v>9</v>
      </c>
      <c r="F9292">
        <f>HYPERLINK("https://www.reddit.com/r/cancer/comments/gl3am2/what_to_properly_remember_my_dying_dad/")</f>
        <v/>
      </c>
      <c r="G9292" t="inlineStr">
        <is>
          <t>2020-05-16 15:01:42</t>
        </is>
      </c>
      <c r="H9292" t="inlineStr"/>
    </row>
    <row r="9293">
      <c r="A9293" t="inlineStr">
        <is>
          <t>gl64ti</t>
        </is>
      </c>
      <c r="B9293" t="inlineStr">
        <is>
          <t>Check out this guy doing a 24 hour stream for cancer</t>
        </is>
      </c>
      <c r="C9293" t="inlineStr">
        <is>
          <t xml:space="preserve"> [https://www.youtube.com/watch?v=lzqJq4g80Ec](https://www.youtube.com/watch?v=lzqJq4g80Ec)</t>
        </is>
      </c>
      <c r="D9293" t="n">
        <v>2</v>
      </c>
      <c r="E9293" t="n">
        <v>0</v>
      </c>
      <c r="F9293">
        <f>HYPERLINK("https://www.reddit.com/r/cancer/comments/gl64ti/check_out_this_guy_doing_a_24_hour_stream_for/")</f>
        <v/>
      </c>
      <c r="G9293" t="inlineStr">
        <is>
          <t>2020-05-16 17:56:34</t>
        </is>
      </c>
      <c r="H9293" t="inlineStr"/>
    </row>
    <row r="9294">
      <c r="A9294" t="inlineStr">
        <is>
          <t>gl6g7h</t>
        </is>
      </c>
      <c r="B9294" t="inlineStr">
        <is>
          <t>Immunotherapy</t>
        </is>
      </c>
      <c r="C9294" t="inlineStr">
        <is>
          <t>Has anyone had or doing immunotherapy? I was diagnosed with melanoma and start immunotherapy in 2 weeks. I’ve gone over the reading material and videos they asked me to but I’m just wondering if anyone experienced the side effects, how they’ve felt in general, etc. 
Thanks so much!</t>
        </is>
      </c>
      <c r="D9294" t="n">
        <v>1</v>
      </c>
      <c r="E9294" t="n">
        <v>12</v>
      </c>
      <c r="F9294">
        <f>HYPERLINK("https://www.reddit.com/r/cancer/comments/gl6g7h/immunotherapy/")</f>
        <v/>
      </c>
      <c r="G9294" t="inlineStr">
        <is>
          <t>2020-05-16 18:17:02</t>
        </is>
      </c>
      <c r="H9294" t="inlineStr"/>
    </row>
    <row r="9295">
      <c r="A9295" t="inlineStr">
        <is>
          <t>gl7qpl</t>
        </is>
      </c>
      <c r="B9295" t="inlineStr">
        <is>
          <t>Here we go again. Just need to vent.</t>
        </is>
      </c>
      <c r="C9295" t="inlineStr">
        <is>
          <t>Hi, all. Diagnosed last May with triple-negative metaplastic breast cancer (57f). Went through 4 months of infusion chemotherapy, a mastectomy, six weeks of daily radiation treatments, and now I’m halfway through the final treatment, a 6-month regimen of chemo in pill form. Radiation burns healed, hair grown back and really starting to plan for and think in terms of my imminent return to normal life. And then ... 
Found out this week that the cancer has probably metastasized to my lung. PET scan and biopsy next week to verify, but my oncologist is fairly certain. And so the whole hateful circus begins again, only this time with much lower expectations, as this type of cancer has proven to be aggressive and chemo-resistant, and for a variety of reasons, surgery is not an option this time around. My doctor is already talking about clinical trials and “innovative” therapies, which I take as a bad sign.
Trying to stay positive and not feel sorry for myself, but I’m just so sad and disappointed and so PISSED! I knew there was a fairly high likelihood of recurrence, but I just thought I would have more time, some time to be normal again. It was so close...
I know I’m only one of thousands, probably millions, of people hearing the same news and facing the same prospects right at this very moment. I know I will have to re-evaluate and redefine and redirect attitudes and energies in order to live my best life through whatever comes next. For the most part, I think I’ll be able to do that. But tonight, I’m overwhelmed with loss and grief and just needed a safe place to express it. Thanks for reading.</t>
        </is>
      </c>
      <c r="D9295" t="n">
        <v>11</v>
      </c>
      <c r="E9295" t="n">
        <v>12</v>
      </c>
      <c r="F9295">
        <f>HYPERLINK("https://www.reddit.com/r/cancer/comments/gl7qpl/here_we_go_again_just_need_to_vent/")</f>
        <v/>
      </c>
      <c r="G9295" t="inlineStr">
        <is>
          <t>2020-05-16 19:42:37</t>
        </is>
      </c>
      <c r="H9295" t="inlineStr"/>
    </row>
    <row r="9296">
      <c r="A9296" t="inlineStr">
        <is>
          <t>gl864o</t>
        </is>
      </c>
      <c r="B9296" t="inlineStr">
        <is>
          <t>Is it normal to feel like this after the loss of my dad?</t>
        </is>
      </c>
      <c r="C9296" t="inlineStr">
        <is>
          <t>I’ve been having anxiety and panic attack constantly. Some days I’m okay. I can think about my dad and smile and be okay. Other days like today, I completely broke down. I just sobbed. My chest feel so tight it feels like I can’t breath. My dad passed away two weeks ago. It feels like I’m still waiting for him to come back from the hospital. I know he won’t, I’m in the midst of processing everything. But I feel guilty for not being able to think about him on some days. Will this feeling ever get better? My dad passed on April 28th so it’s still fresh. Will the anxiety and panic attacks get better? I don’t want to live like this being anxious all the time, the pain in my heart all the time. Will it ever get better? I also don’t want to depend on medicine because I cannot afford it right now and also because I’m scared of becoming dependent on it. I’m just tired of the pain 
Wrote this on griefsupport as well
I think I just need some supportive and encouragement words</t>
        </is>
      </c>
      <c r="D9296" t="n">
        <v>2</v>
      </c>
      <c r="E9296" t="n">
        <v>3</v>
      </c>
      <c r="F9296">
        <f>HYPERLINK("https://www.reddit.com/r/cancer/comments/gl864o/is_it_normal_to_feel_like_this_after_the_loss_of/")</f>
        <v/>
      </c>
      <c r="G9296" t="inlineStr">
        <is>
          <t>2020-05-16 20:13:04</t>
        </is>
      </c>
      <c r="H9296" t="inlineStr"/>
    </row>
    <row r="9297">
      <c r="A9297" t="inlineStr">
        <is>
          <t>gl94ed</t>
        </is>
      </c>
      <c r="B9297" t="inlineStr">
        <is>
          <t>Help with a cancer research fundraiser</t>
        </is>
      </c>
      <c r="C9297" t="inlineStr">
        <is>
          <t>Hey everyone. I'm new here, so I'm not sure how much my presence will be appreciated. 
Basically, next week im doing a 24 hour gaming marathon for Macmillan (cancer research). I know it's not exactly a big task but theres not much I can do with current pandemic.
Anyway, I've been really struggling to get sponsorships. If any of you could help, it would be amazing. It's all through their own website (link below) so you dont need to worry about scams or anything like that.
Please help if you can.
https://gameheroes.macmillan.org.uk/fundraising/james-baldam</t>
        </is>
      </c>
      <c r="D9297" t="n">
        <v>0</v>
      </c>
      <c r="E9297" t="n">
        <v>1</v>
      </c>
      <c r="F9297">
        <f>HYPERLINK("https://www.reddit.com/r/cancer/comments/gl94ed/help_with_a_cancer_research_fundraiser/")</f>
        <v/>
      </c>
      <c r="G9297" t="inlineStr">
        <is>
          <t>2020-05-16 21:22:41</t>
        </is>
      </c>
      <c r="H9297" t="inlineStr"/>
    </row>
    <row r="9298">
      <c r="A9298" t="inlineStr">
        <is>
          <t>gla5f9</t>
        </is>
      </c>
      <c r="B9298" t="inlineStr">
        <is>
          <t>What’s the point</t>
        </is>
      </c>
      <c r="C9298" t="inlineStr">
        <is>
          <t>What’s the point when you’re already depressed. Attempted suicide. It seems like a blessing.</t>
        </is>
      </c>
      <c r="D9298" t="n">
        <v>1</v>
      </c>
      <c r="E9298" t="n">
        <v>1</v>
      </c>
      <c r="F9298">
        <f>HYPERLINK("https://www.reddit.com/r/cancer/comments/gla5f9/whats_the_point/")</f>
        <v/>
      </c>
      <c r="G9298" t="inlineStr">
        <is>
          <t>2020-05-16 22:46:06</t>
        </is>
      </c>
      <c r="H9298" t="inlineStr"/>
    </row>
    <row r="9299">
      <c r="A9299" t="inlineStr">
        <is>
          <t>glbqzu</t>
        </is>
      </c>
      <c r="B9299" t="inlineStr">
        <is>
          <t>Watching my dad pass</t>
        </is>
      </c>
      <c r="C9299" t="inlineStr">
        <is>
          <t>Hardest thing I’ve ever done in my life...it’s been days and I feel like he’s just holding on</t>
        </is>
      </c>
      <c r="D9299" t="n">
        <v>1</v>
      </c>
      <c r="E9299" t="n">
        <v>2</v>
      </c>
      <c r="F9299">
        <f>HYPERLINK("https://www.reddit.com/r/cancer/comments/glbqzu/watching_my_dad_pass/")</f>
        <v/>
      </c>
      <c r="G9299" t="inlineStr">
        <is>
          <t>2020-05-17 01:10:45</t>
        </is>
      </c>
      <c r="H9299" t="inlineStr"/>
    </row>
    <row r="9300">
      <c r="A9300" t="inlineStr">
        <is>
          <t>gldb9p</t>
        </is>
      </c>
      <c r="B9300" t="inlineStr">
        <is>
          <t>The Chemo Chat Show</t>
        </is>
      </c>
      <c r="C9300" t="inlineStr">
        <is>
          <t>I realised I should probably include a picture of myself as that was the first time I was posting!  This is me out with friends recently.  Had to cut my hair short because the chemo dried it all out.  Would love it if you guys would give my 'comedy chemo' series a look:  [https://www.youtube.com/watch?v=bEAhTTKaM3E&amp;amp;list=PLBssXr8F4now9S0fleFkHlLuiylciKPaq&amp;amp;index=4](https://www.youtube.com/watch?v=bEAhTTKaM3E&amp;amp;list=PLBssXr8F4now9S0fleFkHlLuiylciKPaq&amp;amp;index=4).  Thank you xx</t>
        </is>
      </c>
      <c r="D9300" t="n">
        <v>1</v>
      </c>
      <c r="E9300" t="n">
        <v>2</v>
      </c>
      <c r="F9300">
        <f>HYPERLINK("https://www.reddit.com/r/cancer/comments/gldb9p/the_chemo_chat_show/")</f>
        <v/>
      </c>
      <c r="G9300" t="inlineStr">
        <is>
          <t>2020-05-17 03:38:28</t>
        </is>
      </c>
      <c r="H9300" t="inlineStr"/>
    </row>
    <row r="9301">
      <c r="A9301" t="inlineStr">
        <is>
          <t>gle4cv</t>
        </is>
      </c>
      <c r="B9301" t="inlineStr">
        <is>
          <t>I don’t want to lose my mom</t>
        </is>
      </c>
      <c r="C9301" t="inlineStr">
        <is>
          <t>My mom was diagnosed with small cell lung cancer in October 2019. She did several rounds of chemo and immunotherapy up until Feb 2020. Her doctors all said it was a miracle how well she responded and that her tumor was virtually gone so they stopped chemo but continued with the immunotherapy. She had a scan about 6 weeks ago and they said the cancer came back and she’s chosen not to move forward with additional treatment. I’m currently living in Australia so moving home in 2 weeks to be with her. I’ve never dealt with death or losing anyone close to me. I don’t know what to do or think. I feel like everyone just has pity for me. Am I ever going to be able to accept my new reality that my mom won’t be around? She’s only 60. I can’t deal with this. 😔😔😔😔</t>
        </is>
      </c>
      <c r="D9301" t="n">
        <v>1</v>
      </c>
      <c r="E9301" t="n">
        <v>18</v>
      </c>
      <c r="F9301">
        <f>HYPERLINK("https://www.reddit.com/r/cancer/comments/gle4cv/i_dont_want_to_lose_my_mom/")</f>
        <v/>
      </c>
      <c r="G9301" t="inlineStr">
        <is>
          <t>2020-05-17 04:51:47</t>
        </is>
      </c>
      <c r="H9301" t="inlineStr"/>
    </row>
    <row r="9302">
      <c r="A9302" t="inlineStr">
        <is>
          <t>glf7tu</t>
        </is>
      </c>
      <c r="B9302" t="inlineStr">
        <is>
          <t>Anyone else dealing with secondary cancer?</t>
        </is>
      </c>
      <c r="C9302" t="inlineStr">
        <is>
          <t>I had a stem cell transplant in 2008 to treat Hodgkins Lymphoma when I was 20.  I’m 12 years out with no issues...until I found a lump in my breast. I’ve just been diagnosed with Invasive Ductal Carcinoma (probably stage 1). After doing a TON of research I’m realizing that I’m in a “small” percent of people who get a secondary cancer later in life caused by the (likely ICE) chemotherapy I went through. 
Is there anyone else who is in this small percentage with me? How are you handling it? I am REALLY struggling with the idea of having to do chemo or radiation again. Do I really want to do more chemo and add on to my already unlucky chances of getting cancer again later? Or is removing the breast and living a super healthy lifestyle more risky than the chance of a third cancer? I’m not really looking for answers, just hoping someone else has gone through this and can help me process. Thanks for reading.</t>
        </is>
      </c>
      <c r="D9302" t="n">
        <v>1</v>
      </c>
      <c r="E9302" t="n">
        <v>4</v>
      </c>
      <c r="F9302">
        <f>HYPERLINK("https://www.reddit.com/r/cancer/comments/glf7tu/anyone_else_dealing_with_secondary_cancer/")</f>
        <v/>
      </c>
      <c r="G9302" t="inlineStr">
        <is>
          <t>2020-05-17 06:14:45</t>
        </is>
      </c>
      <c r="H9302" t="inlineStr"/>
    </row>
    <row r="9303">
      <c r="A9303" t="inlineStr">
        <is>
          <t>glg8h8</t>
        </is>
      </c>
      <c r="B9303" t="inlineStr">
        <is>
          <t>Question about Radiation Therapy</t>
        </is>
      </c>
      <c r="C9303" t="inlineStr">
        <is>
          <t>My mom has breast cancer that has spread to her lumbar spine and pelvis that we are targetting using radiation therapy. The doctor discussed with us possibility of paralysis if we don't take action ASAP and so we are on our 2nd day of 10 of radiation. I read something online once about tumors being inflamed the first few days of radiation and so I asked the doctor if it is possible for it to be inflamed enough to the point where it does cause paralysis right then and there and he said in theory it is possible, but he really did not seem worried about it. Anyone have any experience with this, what I should monitor with her legs? She already has hip pain so it's difficult to isolate what pain is that and what pain is from a potential nerve blocking inflamed tumor. Thanks.</t>
        </is>
      </c>
      <c r="D9303" t="n">
        <v>1</v>
      </c>
      <c r="E9303" t="n">
        <v>2</v>
      </c>
      <c r="F9303">
        <f>HYPERLINK("https://www.reddit.com/r/cancer/comments/glg8h8/question_about_radiation_therapy/")</f>
        <v/>
      </c>
      <c r="G9303" t="inlineStr">
        <is>
          <t>2020-05-17 07:25:01</t>
        </is>
      </c>
      <c r="H9303" t="inlineStr"/>
    </row>
    <row r="9304">
      <c r="A9304" t="inlineStr">
        <is>
          <t>glg8hz</t>
        </is>
      </c>
      <c r="B9304" t="inlineStr">
        <is>
          <t>How to speak to my dad?</t>
        </is>
      </c>
      <c r="C9304" t="inlineStr">
        <is>
          <t>My dad got diagnosed lung cancer at 59, we had about 10 months of a new trail treatment which helped but its efficacy has worn off. A week ago we got the devistating news that now our only options are chemo or palliative care. We have opted for chemo and told there is a 10 to 25% of it working, which as you can tell is not great. Mever thought i would be losing a parent before 30 bit here we are, i have a sister as well so know i need to stay atrong for them, but honestly i am not handling this news well, the only way i can carry on my regular day is if i don't think about it but his time could be coming soon so i dont have excuses for myself anymore
Im writing this post because its only now i have ever seen him cry, he is absolutely devastated and it breaks my heart. even back when things were fine he was always a quite, stoic man. Nowadays he is even more quiet but i can tell he iw down. I need advice on how to cheer him up and bring him out of it. 
We also have the issue of him telling his own family (my grandma and aunties) they live abroad and my dad cant tell them the news. Everytime i bring it up he goes quiet and i know its because he can't bring himaelf to tell them the news, and honestly i dont blame him. But i feel they must know at this point.
Do you have any advice,
 Thank you for your time</t>
        </is>
      </c>
      <c r="D9304" t="n">
        <v>1</v>
      </c>
      <c r="E9304" t="n">
        <v>8</v>
      </c>
      <c r="F9304">
        <f>HYPERLINK("https://www.reddit.com/r/cancer/comments/glg8hz/how_to_speak_to_my_dad/")</f>
        <v/>
      </c>
      <c r="G9304" t="inlineStr">
        <is>
          <t>2020-05-17 07:25:03</t>
        </is>
      </c>
      <c r="H9304" t="inlineStr"/>
    </row>
    <row r="9305">
      <c r="A9305" t="inlineStr">
        <is>
          <t>glgate</t>
        </is>
      </c>
      <c r="B9305" t="inlineStr">
        <is>
          <t>My 32 year old wife has triple negative breast cancer</t>
        </is>
      </c>
      <c r="C9305" t="inlineStr">
        <is>
          <t>We've been dating for 7 years, married for 1 year. She was diagnosed with triple negative, stage 2 breast cancer in April. She had a lumpectomy late April and is now looking at 8 rounds of chemotherapy and radiotherapy starting in June. She's doing one round of egg freezing prior to that. I really don't know what to expect. Is there anything I should be preparing to make her life easier? How do I be the best caretaker? I'm not sure I know where to start.</t>
        </is>
      </c>
      <c r="D9305" t="n">
        <v>1</v>
      </c>
      <c r="E9305" t="n">
        <v>20</v>
      </c>
      <c r="F9305">
        <f>HYPERLINK("https://www.reddit.com/r/cancer/comments/glgate/my_32_year_old_wife_has_triple_negative_breast/")</f>
        <v/>
      </c>
      <c r="G9305" t="inlineStr">
        <is>
          <t>2020-05-17 07:29:18</t>
        </is>
      </c>
      <c r="H9305" t="inlineStr"/>
    </row>
    <row r="9306">
      <c r="A9306" t="inlineStr">
        <is>
          <t>glgmjj</t>
        </is>
      </c>
      <c r="B9306" t="inlineStr">
        <is>
          <t>(Update) my brother is in hospice</t>
        </is>
      </c>
      <c r="C9306" t="inlineStr">
        <is>
          <t>I would link my other post but I don’t know how. I guess I’m posting this to let the kind people who replied what has happened......... my brother in law has passed away god called him home. I woke today this Sunday and it still don’t feel real I’m joking around with my sister telling stories about her husband and it just feels like he will walk out his bedroom and what’s up i know you were talking about me. But  I know deep down that he is gone and I wonder how is kids will be but before he went home i promised him that I would be there for my niece and nephew and treat them like they were my own. I’ll go to every baseball game and take them out to eat just cause , I will take them to Dave and busters cause I know they like that place. It feels like a bad dream and that I’m having some type of nightmare and hate it but the reality is god called my brother in law home and he is finally at peace and no longer in pain.</t>
        </is>
      </c>
      <c r="D9306" t="n">
        <v>1</v>
      </c>
      <c r="E9306" t="n">
        <v>3</v>
      </c>
      <c r="F9306">
        <f>HYPERLINK("https://www.reddit.com/r/cancer/comments/glgmjj/update_my_brother_is_in_hospice/")</f>
        <v/>
      </c>
      <c r="G9306" t="inlineStr">
        <is>
          <t>2020-05-17 07:49:31</t>
        </is>
      </c>
      <c r="H9306" t="inlineStr"/>
    </row>
    <row r="9307">
      <c r="A9307" t="inlineStr">
        <is>
          <t>glh8o7</t>
        </is>
      </c>
      <c r="B9307" t="inlineStr">
        <is>
          <t>A problem with excessive saliva</t>
        </is>
      </c>
      <c r="C9307" t="inlineStr">
        <is>
          <t>Hey all, Ewing’s Sarcoma patient here. I’ve been undergoing bi-monthly chemo infusions for the past 6 months. The treatment has mostly been going fine, except for the fact that after every infusion I have a problem with excessive saliva. It usually goes away after a few days, only to resurface after the next infusion. It seems to be the same problem every time;  I can’t swallow it because then I start to gag, if I try to down it with water, I find myself gagging as well, and occasionally when I try to spit it out I get a gag reaction. I have been able to put up with it by carrying a spit bucket with me, but now I feel as if I’m at a breaking point, as I feel it is at the worst it has ever been. 
Any advice would be much appreciated!</t>
        </is>
      </c>
      <c r="D9307" t="n">
        <v>1</v>
      </c>
      <c r="E9307" t="n">
        <v>8</v>
      </c>
      <c r="F9307">
        <f>HYPERLINK("https://www.reddit.com/r/cancer/comments/glh8o7/a_problem_with_excessive_saliva/")</f>
        <v/>
      </c>
      <c r="G9307" t="inlineStr">
        <is>
          <t>2020-05-17 08:26:22</t>
        </is>
      </c>
      <c r="H9307" t="inlineStr"/>
    </row>
    <row r="9308">
      <c r="A9308" t="inlineStr">
        <is>
          <t>glkhy8</t>
        </is>
      </c>
      <c r="B9308" t="inlineStr">
        <is>
          <t>Relationships During Cancer</t>
        </is>
      </c>
      <c r="C9308" t="inlineStr">
        <is>
          <t>Hey guys - sorry for any mistakes in advance; neuropathy is a bitch. I was curious if anyone else experienced a strain on their relationships with loved ones while undergoing treatment. Some background: I am a male in my late 20's and I was diagnosed with PMBL back in February. In many ways, I hit the lottery with cell types because the treatment is curative in nature. So I am fortunate and I do recognize it, but I still hate every second of it.   
With the end of my treatments predicted to be only a few months away, I've noticed a change in my relationships with my girlfriend, my parents, etc. I live nearly 600 miles from everyone due to my job, and the pandemic has placed a moratorium on seeing anyone because of my weakened immune system. Recently, I've noticed a change in part due to not having the opportunity to see them regularly, but also due to the rage I feel inside. A rage at my circumstances because I took care of myself in every way, lived a healthy lifestyle, got sick, and now I'm locked away because of this damn pandemic.   
I guess what I'm asking is how have you all coped? Is it simply therapy and time, or does there need to be more? And for anyone who is cured and on the better side of things, does this anger subside? I'm afraid of how numb I've become. I feel like I should feel differently and more appreciative of life, but I don't and I don't want that to be my future.</t>
        </is>
      </c>
      <c r="D9308" t="n">
        <v>1</v>
      </c>
      <c r="E9308" t="n">
        <v>9</v>
      </c>
      <c r="F9308">
        <f>HYPERLINK("https://www.reddit.com/r/cancer/comments/glkhy8/relationships_during_cancer/")</f>
        <v/>
      </c>
      <c r="G9308" t="inlineStr">
        <is>
          <t>2020-05-17 11:26:43</t>
        </is>
      </c>
      <c r="H9308" t="inlineStr"/>
    </row>
    <row r="9309">
      <c r="A9309" t="inlineStr">
        <is>
          <t>glmjy5</t>
        </is>
      </c>
      <c r="B9309" t="inlineStr">
        <is>
          <t>Isolated Limb Perfusion for Melanoma</t>
        </is>
      </c>
      <c r="C9309" t="inlineStr">
        <is>
          <t>Has anyone here ever had an isolated limb perfusion and had side effects from the chemo that went way above what you were told to expect? I went back to work today after being gone for over a month. I'm a caregiver and my job isn't super physical but the few tasks that I did complete aggravated the raw feeling on my feet from not enough skin growing back in and the underside of my foot just bruised so easily and my nerve pain flared up. I also fainted but I more attribute that to laying in bed all day  for 3 days and being sleep deprived. I want to know what to expect in terms of when I'll be healed to be able to tolerate being on my feet for that long. I'm afraid of the possibility of needing to get a sit down job temporarily in order to be able to baby it well enough for me to not be in a lot of pain as it's healing. My dr told me that sometimes takes up to 6 months but i have no clue if that is a very conservative estimate or a reasonable one.</t>
        </is>
      </c>
      <c r="D9309" t="n">
        <v>1</v>
      </c>
      <c r="E9309" t="n">
        <v>0</v>
      </c>
      <c r="F9309">
        <f>HYPERLINK("https://www.reddit.com/r/cancer/comments/glmjy5/isolated_limb_perfusion_for_melanoma/")</f>
        <v/>
      </c>
      <c r="G9309" t="inlineStr">
        <is>
          <t>2020-05-17 13:20:10</t>
        </is>
      </c>
      <c r="H9309" t="inlineStr"/>
    </row>
    <row r="9310">
      <c r="A9310" t="inlineStr">
        <is>
          <t>glmyaw</t>
        </is>
      </c>
      <c r="B9310" t="inlineStr">
        <is>
          <t>This is not my fight, is our fight</t>
        </is>
      </c>
      <c r="C9310" t="inlineStr">
        <is>
          <t>First of all, sorry for my english, its not my forte. I dont have the support of friends or family, a lot of people in my life rejected me when i was diagnosed recently, so i decided to make my problem only mine and carry on. Just speaking a little about my cancer and swallowing all my thougs for me. Today my gf sat next to me, hold my hand and asked me to explain it all. The good things and the bad things. I have fear because i thinked that If i explain all to her, she leaves me, but she was very comprensiva and wanted To share this wheigth with me. I was lost and determined to surrender, but today... Both of us are going to fight this till the end.</t>
        </is>
      </c>
      <c r="D9310" t="n">
        <v>1</v>
      </c>
      <c r="E9310" t="n">
        <v>6</v>
      </c>
      <c r="F9310">
        <f>HYPERLINK("https://www.reddit.com/r/cancer/comments/glmyaw/this_is_not_my_fight_is_our_fight/")</f>
        <v/>
      </c>
      <c r="G9310" t="inlineStr">
        <is>
          <t>2020-05-17 13:42:33</t>
        </is>
      </c>
      <c r="H9310" t="inlineStr"/>
    </row>
    <row r="9311">
      <c r="A9311" t="inlineStr">
        <is>
          <t>glnq7i</t>
        </is>
      </c>
      <c r="B9311" t="inlineStr">
        <is>
          <t>I mentally gave up, my mind isn't that strong to handle it.</t>
        </is>
      </c>
      <c r="C9311" t="inlineStr">
        <is>
          <t>So, cancer. Here we go again.. I'm 18 years old. By the time i was 9 i lost my 3 y/o brother due cancer (don't know where it started and never asked) but got in his whole body and died in my own arms. Didn't go to the funeral, never visited his grave (only one time). Till 2019 May, i couldn't get over. Not like i was depressed all the time, but everytime i was alone, in my thoughts all the time were filled with him. I was opened person, extroverted kiddo, now i have soical anxiety and can't overcome it since i started hanging out again. May 2k19 is the first time i bursted out with tears. 25th May at his bday, i was home alone. Got depression and felt it surround me. Went for a bottle of gin and little ammount of weed so i can sleep it. Well i was wrong. I got so drunk that i went to his grave and started screaming, crying, asking for apologise that i wasn't there to say one last good bye. Since then i felt like crying whenever i think about it and for first time shared with friends 1 by 1 and with each time it was easier to hold tears. I somehow kept all my feelings and emotions for him. Crying for days in bed wasn't giving me hopes to overcome it. I knew that he will always be part of me, and instead of focusing on what i lost, i started focusing on my 6/yo sister now (Godbless her and keep her away from that shit). Everything was alright. 15th May my sis had bday, i graduated everything was good, right? 16th may, mother called me and told me she has breast cancer. I felt so much anger and started crying. I couldn't believe it. Now i'm depersonalizated, brain fog. Like i lost control over mylife. I feel sober, but minutes after doing something i feel like i was high when i did it and feel it pointless. Perhaps i will think the same about this post. The funny thing is that i know that odds are in our favor with really good numbers, but.. I feel like i dont care, perhaps i love my mom, but like i dont care. Denial? Maybe. What worries me is that she told me that she was ready and waiting for it. She shared that when my brother passed away, she started crying and desperetly asking god to take her life, so she took an injection that was full with his blood that was supposed to be for tests and injected it in her arm. Is it possible that this could be it? My mother is 38 years old. Like develop it from his blood? I'm also scared for myself too. I'm active smoker for 5 years, pack daily. I know it's up to genes if you develop cancer or not. Genes ain't on my side, are they? Any chance that i'm the next one to fall from cancer? I'm smoking weed almost daily for the last year, let's hope it prevents cancer development. I feel like in state in awaiting. I know that mother will be alright, it's early stage, but she told me her plans before dying. It's all about us, me and my sister. I said i dont care and just wait. Wait till the worst happens, and then fully breakdown. I lost touch with reality for just day, even tho i dont even overthink it. She told me incase the good odds play us a joke to take care of sis, made me feel like i grow up mentally, but i know that i maybe there is a 2nd family member dying due cancer. Daughters have higher chance to develop breast cancer too if they mother had in genes. I await the lung cancer too probably. The worst scenario is that i and mom die by it, and that kiddo is left alone with aging grandparents that are close to the end most likely too.. Imaging your whole family dead by cancer. All you know is that it wont skip ya. This are things, emotions, feeling, fears that i never shared with anyone. Hope that Xanax can help, might give them chance..</t>
        </is>
      </c>
      <c r="D9311" t="n">
        <v>1</v>
      </c>
      <c r="E9311" t="n">
        <v>4</v>
      </c>
      <c r="F9311">
        <f>HYPERLINK("https://www.reddit.com/r/cancer/comments/glnq7i/i_mentally_gave_up_my_mind_isnt_that_strong_to/")</f>
        <v/>
      </c>
      <c r="G9311" t="inlineStr">
        <is>
          <t>2020-05-17 14:24:10</t>
        </is>
      </c>
      <c r="H9311" t="inlineStr"/>
    </row>
    <row r="9312">
      <c r="A9312" t="inlineStr">
        <is>
          <t>glp8os</t>
        </is>
      </c>
      <c r="B9312" t="inlineStr">
        <is>
          <t>Getting used to port/First Chemo</t>
        </is>
      </c>
      <c r="C9312" t="inlineStr">
        <is>
          <t>So I know i don't really belong in this subreddit as I don't have cancer but (at least one) bening tumor due to NF1.
But i hope i could also get help here. 
On Friday i got my port. In general i'm fine with the thought of something being in me but sometimes it gives me a weird feeling. 
How long did it take you to get used to it? 
Also i'm probably starting Chemo in a week. 
What should i bring? What should i prepare for? Any tipps for curing the boredom? Do you have your own Kind of "checklist"? 
Can I feel the liquid through the port?</t>
        </is>
      </c>
      <c r="D9312" t="n">
        <v>1</v>
      </c>
      <c r="E9312" t="n">
        <v>20</v>
      </c>
      <c r="F9312">
        <f>HYPERLINK("https://www.reddit.com/r/cancer/comments/glp8os/getting_used_to_portfirst_chemo/")</f>
        <v/>
      </c>
      <c r="G9312" t="inlineStr">
        <is>
          <t>2020-05-17 15:48:26</t>
        </is>
      </c>
      <c r="H9312" t="inlineStr"/>
    </row>
    <row r="9313">
      <c r="A9313" t="inlineStr">
        <is>
          <t>glpzm7</t>
        </is>
      </c>
      <c r="B9313" t="inlineStr">
        <is>
          <t>My Mom feels really well after almost dying, thanks to surgically removing the tumor, but now she is supposed to get WBRT (and chemotherapy after that), and I am just as worried about the treatment as the cancer.</t>
        </is>
      </c>
      <c r="C9313" t="inlineStr">
        <is>
          <t>My Mom (60) had a radical hysterectomy last year (endometrial cancer), which went well, and she was feeling really great.
However, it was suggested she receives radiation as well, because her cancer is said to be aggressive.
She completed about 3/4 of the radiation therapy, when she could no longer continue, because she got a fever, and she was getting weaker. At that time we didn't know the main reason she was getting weaker was secondary brain tumor.
The doctors said it was a wonder her symptoms were *relatively* mild for so long, considering how large hear brain tumor was.
The surgeon said to her, that she either goes through surgery, which isn't without risk, or she dies.
This wasn't a difficult choice to make.
The brain surgery went so well, that we could talk over the phone the next day (no visitors were allowed because of coronavirus). It was as though time got turned back. A got my Mom back just like that. Her speech got back to normal, she could use her phone again, she was doing everything on her own again.
It has been 2 weeks since her surgery, and she is still feeling really well.
She is supposed to start receiving WBRT one week from now. It is 10 treatments, and after that, she she is supposed to receive chemotherapy.
We already asked for a second opinion, and in both cases, they said the cancer is aggressive, and WBRT is the only viable choice. If I understand their reasoning, it is to destroy microscopic cancer cells that may be left behind.
I don't understand the reasoning though. Why can she not receive a more focused, less hazardous treatment than WBRT? Any ideas? Is it common to use WBRT on the grounds that the cancer is aggressive and that there might be something left behind after surgery? Or that if it comes back, it may not be be possible to remove it surgically?
Isn't there a better strategy, considering how well she is right now? Can't we do anything to make sure WBRT isn't a greater threat to her well being at the moment than the cancer?
I am afraid that even if all remaining cancer will be destroyed, the side effects of radiation might be detrimental to her quality of life and her cognitive abilities in particular.</t>
        </is>
      </c>
      <c r="D9313" t="n">
        <v>1</v>
      </c>
      <c r="E9313" t="n">
        <v>2</v>
      </c>
      <c r="F9313">
        <f>HYPERLINK("https://www.reddit.com/r/cancer/comments/glpzm7/my_mom_feels_really_well_after_almost_dying/")</f>
        <v/>
      </c>
      <c r="G9313" t="inlineStr">
        <is>
          <t>2020-05-17 16:31:32</t>
        </is>
      </c>
      <c r="H9313" t="inlineStr"/>
    </row>
    <row r="9314">
      <c r="A9314" t="inlineStr">
        <is>
          <t>glwbsg</t>
        </is>
      </c>
      <c r="B9314" t="inlineStr">
        <is>
          <t>Anyone else AYA fighter/survivor?</t>
        </is>
      </c>
      <c r="C9314" t="inlineStr">
        <is>
          <t>I am a 22 year old Adrenocortical carcinoma fighter. I was diagnosed in September with a stage 3 tumor that was 13*11cm and covered my left kidney and was pushing on my stomach,main bowel, spleen and surrounding organs. I had an adrenalectomy at the end of September and they removed the tumor and my left kidney. 
Anyone else a Young adult cancer fighter/survivor?</t>
        </is>
      </c>
      <c r="D9314" t="n">
        <v>1</v>
      </c>
      <c r="E9314" t="n">
        <v>38</v>
      </c>
      <c r="F9314">
        <f>HYPERLINK("https://www.reddit.com/r/cancer/comments/glwbsg/anyone_else_aya_fightersurvivor/")</f>
        <v/>
      </c>
      <c r="G9314" t="inlineStr">
        <is>
          <t>2020-05-17 23:43:51</t>
        </is>
      </c>
      <c r="H9314" t="inlineStr"/>
    </row>
    <row r="9315">
      <c r="A9315" t="inlineStr">
        <is>
          <t>gly5dk</t>
        </is>
      </c>
      <c r="B9315" t="inlineStr">
        <is>
          <t>Need help or advice in getting my affairs in order.</t>
        </is>
      </c>
      <c r="C9315" t="inlineStr">
        <is>
          <t>So hi everyone, I’m 28(M) Canadian. I was diagnosed with stage 4 colorectal cancer with mets in the liver and lungs. I’ve been fighting since 2018. Got married and have 1 child. My prognosis is not great and my oncologist said that I’ll be lucky to make it to Christmas this year. 
Does anyone have any advice as to where and what to start? Also I want to ask as to what should my wife expect after my passing in terms of life insurance like taxes and other legal and practical things that I can get ready so she does not to worry about those things. What should we prepare for and what should she expect essentially?</t>
        </is>
      </c>
      <c r="D9315" t="n">
        <v>1</v>
      </c>
      <c r="E9315" t="n">
        <v>22</v>
      </c>
      <c r="F9315">
        <f>HYPERLINK("https://www.reddit.com/r/cancer/comments/gly5dk/need_help_or_advice_in_getting_my_affairs_in_order/")</f>
        <v/>
      </c>
      <c r="G9315" t="inlineStr">
        <is>
          <t>2020-05-18 02:16:31</t>
        </is>
      </c>
      <c r="H9315" t="inlineStr"/>
    </row>
    <row r="9316">
      <c r="A9316" t="inlineStr">
        <is>
          <t>glyj0p</t>
        </is>
      </c>
      <c r="B9316" t="inlineStr">
        <is>
          <t>Colon cancer chemotherapy</t>
        </is>
      </c>
      <c r="C9316" t="inlineStr">
        <is>
          <t>So I was diagnosed with stage 2 colon cancer and it was removed by right hemicolectomy. The doctor said I need to do chemo to ensure that there are 0% of recurrence.
My oncologist said the treatment will be 6 sessions of XELOX (xeloda + eloxatin) is the best for me and I will be starting on tuesday. What are the common side effects I will experience? Will I lose all my hair with this treatment?</t>
        </is>
      </c>
      <c r="D9316" t="n">
        <v>1</v>
      </c>
      <c r="E9316" t="n">
        <v>12</v>
      </c>
      <c r="F9316">
        <f>HYPERLINK("https://www.reddit.com/r/cancer/comments/glyj0p/colon_cancer_chemotherapy/")</f>
        <v/>
      </c>
      <c r="G9316" t="inlineStr">
        <is>
          <t>2020-05-18 02:49:10</t>
        </is>
      </c>
      <c r="H9316" t="inlineStr"/>
    </row>
    <row r="9317">
      <c r="A9317" t="inlineStr">
        <is>
          <t>glzrbc</t>
        </is>
      </c>
      <c r="B9317" t="inlineStr">
        <is>
          <t>What can workplaces do to help employees with cancer? We're seeking help from cancer survivors to complete our research survey (20-30 mins).</t>
        </is>
      </c>
      <c r="C9317" t="inlineStr">
        <is>
          <t>As part of my Masters of Organisational Psychology in Melbourne Australia, my colleague and I are writing a research theses looking at the return to work process for cancer survivors and how different workplace factors can either facilitate or hinder this process.
We would love it if anyone reading this could hit like and share with your networks or someone you know who fits the eligibility criteria below.
Thank you so much!
[https://researchsurveys.deakin.edu.au/jfe/form/SV\_8eSbwLdIwHoYJNj](https://researchsurveys.deakin.edu.au/jfe/form/SV_8eSbwLdIwHoYJNj)\--------------------------------------------------------------
**Returning to work after cancer: what can employers do to help?**
How can workplaces help their employees return to work after cancer treatment? What are the key factors that help or hinder this process? 
Researchers at Deakin University are conducting a study that hopes to find answers to these questions, in order to help support survivors and workplaces with the return to work process.
The study involves completing an online survey asking about different work-related factors (e.g. HR policies, communication, colleague support) at the time of diagnosis and on returning to work. The survey should take about 20 minutes to complete.
**Who can take part?**
If you have been diagnosed with cancer in the past 5 years, were in paid employment when you were diagnosed, and are over the age of 18, you can take part in this study.
Whether you ended up changing jobs, retiring, or staying with the same employer, if you were working at the time of your cancer diagnosis, this survey is for you!
Participation is completely voluntary and your survey responses are completely anonymous. 
**Who is doing the research?**
The study is being conducted by a team of researchers at Deakin University which includes two Master of Organisational Psychology students. The students are undertaking this project as part of their studies. This study has received Deakin University ethics approval (ethics reference: HEAG-H 182\_2019). 
**How can I access the survey?**
If you would like to be involved, or would simply like to find out more, click on the link below to take you to the survey.
**How can I find out more information?**
A study information sheet is available through the survey link. You can read this information before deciding to take part in the survey or not.
Alternatively, if you would like more information about the project you can contact this Reddit account u/DeakinResearcher to find out more.
**Link to survey:**
[https://researchsurveys.deakin.edu.au/jfe/form/SV\_8eSbwLdIwHoYJNj](https://researchsurveys.deakin.edu.au/jfe/form/SV_8eSbwLdIwHoYJNj)</t>
        </is>
      </c>
      <c r="D9317" t="n">
        <v>1</v>
      </c>
      <c r="E9317" t="n">
        <v>0</v>
      </c>
      <c r="F9317">
        <f>HYPERLINK("https://www.reddit.com/r/cancer/comments/glzrbc/what_can_workplaces_do_to_help_employees_with/")</f>
        <v/>
      </c>
      <c r="G9317" t="inlineStr">
        <is>
          <t>2020-05-18 04:32:09</t>
        </is>
      </c>
      <c r="H9317" t="inlineStr"/>
    </row>
    <row r="9318">
      <c r="A9318" t="inlineStr">
        <is>
          <t>gm0t8w</t>
        </is>
      </c>
      <c r="B9318" t="inlineStr">
        <is>
          <t>Due to this pandemic, my friend stopped chemotherapy and has Hospice care at home. Would she have beat cancer (bile duct) if she stayed in chemo?</t>
        </is>
      </c>
      <c r="C9318" t="inlineStr">
        <is>
          <t>Not sure if this is the place to ask, but my friend was having chemo therapy alternating weeks between to recover, with times taken off if she was too weak.  She’d get a blood transfusion to boost her cell counts and she’d be vibrant and up for bother round of chemo. We were planning an international trip late summer this year.  Now she is on hospice care...    When she found out she had cancer, after many second, third, opinions, she was told it was inoperable, but she could live up to five years with chemo.  She did not need a shunt (I think that’s what it is), and it was smaller than before chemo.  It did get to her liver though, but she has no jaundice.  Speaking to her yesterday, she said that she has a drainage tube to remove fluid from her abdomen (!!!?)—and she said, “she’s lived a good life”.   But pre-pandemic she was so full of life and we were making plans.  And I cannot even comfort her in person.</t>
        </is>
      </c>
      <c r="D9318" t="n">
        <v>1</v>
      </c>
      <c r="E9318" t="n">
        <v>8</v>
      </c>
      <c r="F9318">
        <f>HYPERLINK("https://www.reddit.com/r/cancer/comments/gm0t8w/due_to_this_pandemic_my_friend_stopped/")</f>
        <v/>
      </c>
      <c r="G9318" t="inlineStr">
        <is>
          <t>2020-05-18 05:47:43</t>
        </is>
      </c>
      <c r="H9318" t="inlineStr"/>
    </row>
    <row r="9319">
      <c r="A9319" t="inlineStr">
        <is>
          <t>gm1sq5</t>
        </is>
      </c>
      <c r="B9319" t="inlineStr">
        <is>
          <t>Might have Mole cancer</t>
        </is>
      </c>
      <c r="C9319" t="inlineStr">
        <is>
          <t>I have this mole and I never thought of it but I think it could be cancerous. It is bigger than the dot moles I tend to get and a bit raised, but nothing showing signs (symmetrical, brown on color all that) but sometimes it raises more like a pimple and itll pop and bleed if I pick at it. Now I'm not too concerned because it always heals and looks like the same mole again but what do you think. It  popped like 2t times last year, once in January and once today. Should I be worried?</t>
        </is>
      </c>
      <c r="D9319" t="n">
        <v>1</v>
      </c>
      <c r="E9319" t="n">
        <v>3</v>
      </c>
      <c r="F9319">
        <f>HYPERLINK("https://www.reddit.com/r/cancer/comments/gm1sq5/might_have_mole_cancer/")</f>
        <v/>
      </c>
      <c r="G9319" t="inlineStr">
        <is>
          <t>2020-05-18 06:49:52</t>
        </is>
      </c>
      <c r="H9319" t="inlineStr"/>
    </row>
    <row r="9320">
      <c r="A9320" t="inlineStr">
        <is>
          <t>gm21nq</t>
        </is>
      </c>
      <c r="B9320" t="inlineStr">
        <is>
          <t>could we pin something up to remind people that “is this cancer” questions aren’t the point of this sub?</t>
        </is>
      </c>
      <c r="C9320" t="inlineStr">
        <is>
          <t>There has been an influx of people who are asking for feedback on what they think might be cancer symptoms (maybe something to do with quarantine?) and although I hope they get help soon, it’s not really to the point of this sub. I wonder if a pinned reminder could help with this? I know it is a sub rule but potentially people who post here to obtain a diagnosis are still unaware.
xxx</t>
        </is>
      </c>
      <c r="D9320" t="n">
        <v>1</v>
      </c>
      <c r="E9320" t="n">
        <v>36</v>
      </c>
      <c r="F9320">
        <f>HYPERLINK("https://www.reddit.com/r/cancer/comments/gm21nq/could_we_pin_something_up_to_remind_people_that/")</f>
        <v/>
      </c>
      <c r="G9320" t="inlineStr">
        <is>
          <t>2020-05-18 07:04:26</t>
        </is>
      </c>
      <c r="H9320" t="inlineStr"/>
    </row>
    <row r="9321">
      <c r="A9321" t="inlineStr">
        <is>
          <t>gm2kw9</t>
        </is>
      </c>
      <c r="B9321" t="inlineStr">
        <is>
          <t>How did you help your loved one come to terms with the fact that treatments have stopped working and they will die?</t>
        </is>
      </c>
      <c r="C9321" t="inlineStr">
        <is>
          <t>Hey all - need some help with this as I am not too sure how to handle it.
**Background**
My mum has an incurable form of cancer. We are on the last chemo drug with a low response rate. The oncologists has said that other options are unlikely to be effective. It is VERY obvious that the current one isn't working (visible tumors still growing). I heard my mum expressing to her friends that this is like issuing a death sentence to her and she is just waiting for death. She has some glimmer of hope that maybe if we see another oncologist for a second opinion, there could be a solution. I browsed the medical literature online - there is simply no cure for this so even if somehow another drug can be used, it will merely prolong her live (and not cure the cancer).
We discussed stem cell transplant with the oncologist who said that it would not work on my mum because the cancer is not even under control + the high mortality risk associated with such a procedure.
**Question**
At some point, whatever hope my mother has would disappear. Was wondering if you all have thoughts on how I can soften the blow?
I have read threads on this subreddit where upon being told that chemo no longer works, a patient just loses all hope and deteriorates rapidly (can't find that post but it will always stay at the back of my mind).
I have tried introducing the possibility that nothing will work by saying the following:
* "even if there are no treatment options, that will not be the end, they will continue to treat your symptoms to make sure you are well taken care of"
* I have also began introducing the term "palliative doctors" and encouraging her to think about what she wants "more chemo + poor quality of life or no further treatment + managing symptoms".
So far she seems to have taken them well but what just unsettles me is when she said "at least I am still undergoing chemo" which indicates to me that she is still clinging on to some hope that it may work.
Thank you for reading my post.</t>
        </is>
      </c>
      <c r="D9321" t="n">
        <v>1</v>
      </c>
      <c r="E9321" t="n">
        <v>13</v>
      </c>
      <c r="F9321">
        <f>HYPERLINK("https://www.reddit.com/r/cancer/comments/gm2kw9/how_did_you_help_your_loved_one_come_to_terms/")</f>
        <v/>
      </c>
      <c r="G9321" t="inlineStr">
        <is>
          <t>2020-05-18 07:35:49</t>
        </is>
      </c>
      <c r="H9321" t="inlineStr"/>
    </row>
    <row r="9322">
      <c r="A9322" t="inlineStr">
        <is>
          <t>gm4klw</t>
        </is>
      </c>
      <c r="B9322" t="inlineStr">
        <is>
          <t>Li-fraumeni syndrome support</t>
        </is>
      </c>
      <c r="C9322" t="inlineStr">
        <is>
          <t>Is anyone else familiar with LFS? My roommate has it, and she recently found a lump in her breast. I'm afraid for whats to come and want to help and support her to the best of my ability. I will never be able to understand what she is going through, so I thought maybe reaching out to people who can maybe understand and empathize better than I can may help. Even if you're not familiar with LFS but have any tips or advice, I'm appreciative of anything!
For those of you who don't know, li-fraumeni syndrome is a genetic mutation that makes you crazily predisposed to cancer. As in almost 100% guaranteed people with LFS will get some form(s) of cancer in their lifetime, and it will be more horrendous than for people without LFS. My roommate has lost her brother, her mom, and her grandmother to LFS (and coincidentally her dad to a heart attack), and we are, as you know, in the middle of a pandemic. As her only in-person support, what the fuck do I do? How am I supposed to be enough? She has a phone appointment in about 2 hours, which obviously isn't going to be helpful, but will hopefully enable her to see a doctor. Any ideas anyone can give me are welcomed :)</t>
        </is>
      </c>
      <c r="D9322" t="n">
        <v>1</v>
      </c>
      <c r="E9322" t="n">
        <v>9</v>
      </c>
      <c r="F9322">
        <f>HYPERLINK("https://www.reddit.com/r/cancer/comments/gm4klw/lifraumeni_syndrome_support/")</f>
        <v/>
      </c>
      <c r="G9322" t="inlineStr">
        <is>
          <t>2020-05-18 09:21:16</t>
        </is>
      </c>
      <c r="H9322" t="inlineStr"/>
    </row>
    <row r="9323">
      <c r="A9323" t="inlineStr">
        <is>
          <t>gm5x0s</t>
        </is>
      </c>
      <c r="B9323" t="inlineStr">
        <is>
          <t>Will post chemo hair ever stop being oily? Every time I wake up I look like I didn't shower for days</t>
        </is>
      </c>
      <c r="C9323" t="inlineStr">
        <is>
          <t>It's starting to be exhausting</t>
        </is>
      </c>
      <c r="D9323" t="n">
        <v>1</v>
      </c>
      <c r="E9323" t="n">
        <v>6</v>
      </c>
      <c r="F9323">
        <f>HYPERLINK("https://www.reddit.com/r/cancer/comments/gm5x0s/will_post_chemo_hair_ever_stop_being_oily_every/")</f>
        <v/>
      </c>
      <c r="G9323" t="inlineStr">
        <is>
          <t>2020-05-18 10:29:04</t>
        </is>
      </c>
      <c r="H9323" t="inlineStr"/>
    </row>
    <row r="9324">
      <c r="A9324" t="inlineStr">
        <is>
          <t>gm8yy8</t>
        </is>
      </c>
      <c r="B9324" t="inlineStr">
        <is>
          <t>Cancer pain (before treatment)?</t>
        </is>
      </c>
      <c r="C9324" t="inlineStr">
        <is>
          <t>Hi everyone, I hope someone can help me out. My mom (59) was diagnosed with stage IV lung cancer today which spread to some lymph nodes, namely the posterior abdominal wall and afaik some metastases in her neck and additional ones in her lungs. No other organs yet, it seems. We're waiting for a MRT scan of the brain and for a PET-CT to determine if her bones are also affected, so no idea yet if they are. (Hopefully not.) She'll be starting chemo and immunotherapy this week.
She has no typical symptoms of lung cancer, but she has been having back pain for \~1,5 years and has been experiencing extremely painful abdomen spasms for 3 months. Also a lot of vomitting and constipation since then (I guess the constipation is due to all the meds she is taking for the pain). And I'm talking about *extremely* painful. Those spams usually occur later in the day or at night, and she can't do anything but walk around in pain and cry. It's so painful to watch, and I keep worrying that she won't lose to cancer, but to the pain. Meds don't really work anymore. She has almost tried them all.
Could the cause of the pain be her metastases? Has anyone else experienced something similar? Is there a chance the pain will get more bearable as her metastases are affected by her therapy? Or is chemo and immunotherapy going to lead to even more pain?</t>
        </is>
      </c>
      <c r="D9324" t="n">
        <v>1</v>
      </c>
      <c r="E9324" t="n">
        <v>2</v>
      </c>
      <c r="F9324">
        <f>HYPERLINK("https://www.reddit.com/r/cancer/comments/gm8yy8/cancer_pain_before_treatment/")</f>
        <v/>
      </c>
      <c r="G9324" t="inlineStr">
        <is>
          <t>2020-05-18 13:03:15</t>
        </is>
      </c>
      <c r="H9324" t="inlineStr"/>
    </row>
    <row r="9325">
      <c r="A9325" t="inlineStr">
        <is>
          <t>gm9eho</t>
        </is>
      </c>
      <c r="B9325" t="inlineStr">
        <is>
          <t>Extra Chemo Drugs</t>
        </is>
      </c>
      <c r="C9325" t="inlineStr">
        <is>
          <t>I have a friend who was on Afinitor but recently switched to another drug as a result she has two unopened packages, worth a full retail $30k.  She says that prescription company won't take them back and the only option is to dispose of them.
Does anyone know if there's a **legal** way to get these pills to someone who could use them?  **Not looking to sell**, just give away to a needy person.  It just seems like a horrible waste.</t>
        </is>
      </c>
      <c r="D9325" t="n">
        <v>1</v>
      </c>
      <c r="E9325" t="n">
        <v>4</v>
      </c>
      <c r="F9325">
        <f>HYPERLINK("https://www.reddit.com/r/cancer/comments/gm9eho/extra_chemo_drugs/")</f>
        <v/>
      </c>
      <c r="G9325" t="inlineStr">
        <is>
          <t>2020-05-18 13:24:36</t>
        </is>
      </c>
      <c r="H9325" t="inlineStr"/>
    </row>
    <row r="9326">
      <c r="A9326" t="inlineStr">
        <is>
          <t>gma74p</t>
        </is>
      </c>
      <c r="B9326" t="inlineStr">
        <is>
          <t>I don't know what to do</t>
        </is>
      </c>
      <c r="C9326" t="inlineStr">
        <is>
          <t>I know that no "is this cancer" posts are allowed, but I'm really fucking scared.
My mom used to be a heavy smoker, as in she'd go and stand outside every hour or so to smoke a cigarette. She managed to stop and hasn't smoked in almost a year now, but recently she has been complaining a lot about a sore throat.
She asked me to look in her throat with a torch and I did, she had large lumps on her tonsils. She was complaining that she struggles to swallow and her throat has been hurting for a couple of weeks now. She asked me to look again in her throat just now and there's another lump on her opposite tonsil.
I know this probably sounds real fucking dumb but I'm so scared. I don't want to lose my mom. I've told her she should go to a doctor to get it checked out but she told me that because of quarantine there wasn't any point. This shit doesn't feel real, I'm so scared that if she goes to a doctor it'll end up being cancer and i could end up losing my mom. I'm fucking crying writing this shit right now. I don't know what to do. I can't convince her to go to a doctor, she won't listen.
I know it could end up just being a sore throat, but because she used to smoke so heavily for most of her life up until this point and because her sore throat hasn't gone away and there just seems to be more lumps appearing in her throat I can't shake that feeling in the back of my mind. I'm just so fucking scared and I don't know who to talk to or what to do.</t>
        </is>
      </c>
      <c r="D9326" t="n">
        <v>1</v>
      </c>
      <c r="E9326" t="n">
        <v>5</v>
      </c>
      <c r="F9326">
        <f>HYPERLINK("https://www.reddit.com/r/cancer/comments/gma74p/i_dont_know_what_to_do/")</f>
        <v/>
      </c>
      <c r="G9326" t="inlineStr">
        <is>
          <t>2020-05-18 14:04:20</t>
        </is>
      </c>
      <c r="H9326" t="inlineStr"/>
    </row>
    <row r="9327">
      <c r="A9327" t="inlineStr">
        <is>
          <t>gmc5ip</t>
        </is>
      </c>
      <c r="B9327" t="inlineStr">
        <is>
          <t>It feels like I’m still waiting for my dad to come back from the hospital</t>
        </is>
      </c>
      <c r="C9327" t="inlineStr">
        <is>
          <t>It’s been almost 3 weeks since he passed away, but sometimes I still look outside my window hoping to see him come back. Sometimes I’m waiting for him to open the door, call my name and smile at me happily as he brings me back a snack or two from work. Sometimes I stare at his room at night thinking he will be there, preparing myself to go give a goodnight hug and kiss. Sometimes I think about the last words he said to us, I love you, and how much he suffered up until that moment. Sometimes I’m relieved he’s no longer in pain, sometimes I’m having anxiety and panic attack, sometimes I feel so angry and confused. But overall, I love and miss him so much every day. I’m going to graduate from university soon and I really wish he was here to see me. I want to live my life in a way so my dad can always be proud of me. 
My happiest experience was being his daughter. There was nothing in this world that was better than being born as his daughter and if a reincarnation exists, I hope that in my next life I can come back as his daughter again. I hope he knew how much I love him, that I love him the most in this world 
I really miss my dad</t>
        </is>
      </c>
      <c r="D9327" t="n">
        <v>1</v>
      </c>
      <c r="E9327" t="n">
        <v>12</v>
      </c>
      <c r="F9327">
        <f>HYPERLINK("https://www.reddit.com/r/cancer/comments/gmc5ip/it_feels_like_im_still_waiting_for_my_dad_to_come/")</f>
        <v/>
      </c>
      <c r="G9327" t="inlineStr">
        <is>
          <t>2020-05-18 15:47:15</t>
        </is>
      </c>
      <c r="H9327" t="inlineStr"/>
    </row>
    <row r="9328">
      <c r="A9328" t="inlineStr">
        <is>
          <t>gmcybf</t>
        </is>
      </c>
      <c r="B9328" t="inlineStr">
        <is>
          <t>Pain in chest/lung area for weeks now</t>
        </is>
      </c>
      <c r="C9328" t="inlineStr">
        <is>
          <t>Hey, 
I've had a burning feeling in my lungs, upper chest by collar bone and sternum.  I've had this for three weeks now...I also have headaches and today I'm feeling very nauseous and dizzy...
I'm worried about lung cancer. Has anyone had it before and what are the symptoms? 
I have an appointment on Wednesday but how can they check for lung cancer?  Also I'm 30 year old female.</t>
        </is>
      </c>
      <c r="D9328" t="n">
        <v>1</v>
      </c>
      <c r="E9328" t="n">
        <v>3</v>
      </c>
      <c r="F9328">
        <f>HYPERLINK("https://www.reddit.com/r/cancer/comments/gmcybf/pain_in_chestlung_area_for_weeks_now/")</f>
        <v/>
      </c>
      <c r="G9328" t="inlineStr">
        <is>
          <t>2020-05-18 16:31:17</t>
        </is>
      </c>
      <c r="H9328" t="inlineStr"/>
    </row>
    <row r="9329">
      <c r="A9329" t="inlineStr">
        <is>
          <t>gmfksj</t>
        </is>
      </c>
      <c r="B9329" t="inlineStr">
        <is>
          <t>Do you read your tests online before talking to your doctor?</t>
        </is>
      </c>
      <c r="C9329" t="inlineStr">
        <is>
          <t>I had a CT scan of my lungs Friday. It popped up online Sunday morning. But my doctor only works tues-sat. I couldn’t wait to peek and seeing it’s not so good now I’m stuck sitting on that info for 2 days not knowing if it’s a little bad or I’m gonna die soon bad. 
For anyone curious here’s what it said. 
“PULMONARY PARENCHYMA, AIRWAYS, VESSELS, AND PLEURAL SPACES: There is increase in lung perihilar groundglass opacities and consolidation. Small nodular areas of groundglass opacity are seen in the right lung. There is basilar predominant septal thickening similar in appearance to the prior exam. Unchanged diffuse peribronchial thickening noted. Bilateral pleural effusions have increased in size and occupy one quarter of the hemithoraces. No air trapping seen on the expiratory CT.”</t>
        </is>
      </c>
      <c r="D9329" t="n">
        <v>1</v>
      </c>
      <c r="E9329" t="n">
        <v>23</v>
      </c>
      <c r="F9329">
        <f>HYPERLINK("https://www.reddit.com/r/cancer/comments/gmfksj/do_you_read_your_tests_online_before_talking_to/")</f>
        <v/>
      </c>
      <c r="G9329" t="inlineStr">
        <is>
          <t>2020-05-18 19:10:12</t>
        </is>
      </c>
      <c r="H9329" t="inlineStr"/>
    </row>
    <row r="9330">
      <c r="A9330" t="inlineStr">
        <is>
          <t>gmgavk</t>
        </is>
      </c>
      <c r="B9330" t="inlineStr">
        <is>
          <t>My mother is doing radiation for a brain tumor and experiencing loss of appetite. She can’t communicate well at the moment. Any tips? CBD or THC?</t>
        </is>
      </c>
      <c r="C9330" t="inlineStr">
        <is>
          <t>Title says it all. Recent surgery to remove an aggressive meningioma and the tumor is coming back strong. It’s substantially impacting her ability to communicate, so it’s tough to say exactly what symptom(s) are leading to the loss of appetite. My dad is curious about CBD and/or THC as an appetite stimulant, and so am I. But I’m also curious about any other tips or advice regarding this issue. Thank you for any help!</t>
        </is>
      </c>
      <c r="D9330" t="n">
        <v>1</v>
      </c>
      <c r="E9330" t="n">
        <v>2</v>
      </c>
      <c r="F9330">
        <f>HYPERLINK("https://www.reddit.com/r/cancer/comments/gmgavk/my_mother_is_doing_radiation_for_a_brain_tumor/")</f>
        <v/>
      </c>
      <c r="G9330" t="inlineStr">
        <is>
          <t>2020-05-18 19:56:35</t>
        </is>
      </c>
      <c r="H9330" t="inlineStr"/>
    </row>
    <row r="9331">
      <c r="A9331" t="inlineStr">
        <is>
          <t>gmju5l</t>
        </is>
      </c>
      <c r="B9331" t="inlineStr">
        <is>
          <t>Can osteosarcoma come back after 8 years?</t>
        </is>
      </c>
      <c r="C9331" t="inlineStr">
        <is>
          <t>Had it in leg when I was 12, amputated leg and did chemo. It came back in lungs when I was 14. They did surgery to remove it and more chemo. Now 8 years later, they found unknown legions in my liver on an ER ultrasound (couldnt wait till scheduled ultrasound) that was for something else. They said it could be possibly metastatic disease because of my history, but it's been so long since last diagnosis. If you're wondering what I went in for, it was for pain in upper left abdomen that shot to back. Now I have the pain on both sides. Really worried its you know what. Waiting to get an MRI done from my oncology team that I am following up with for further diagnosis.</t>
        </is>
      </c>
      <c r="D9331" t="n">
        <v>1</v>
      </c>
      <c r="E9331" t="n">
        <v>2</v>
      </c>
      <c r="F9331">
        <f>HYPERLINK("https://www.reddit.com/r/cancer/comments/gmju5l/can_osteosarcoma_come_back_after_8_years/")</f>
        <v/>
      </c>
      <c r="G9331" t="inlineStr">
        <is>
          <t>2020-05-19 00:22:00</t>
        </is>
      </c>
      <c r="H9331" t="inlineStr"/>
    </row>
    <row r="9332">
      <c r="A9332" t="inlineStr">
        <is>
          <t>gmjvc6</t>
        </is>
      </c>
      <c r="B9332" t="inlineStr">
        <is>
          <t>Boyfriend just had port for chemo put in - need some advice</t>
        </is>
      </c>
      <c r="C9332" t="inlineStr">
        <is>
          <t>My boyfriend has oral cancer and is beginning treatment. Earlier today he had a port for chemo put in. I still don't know much at all about how things work or what I should be doing. I helped him recover from a surgery on his neck to remove some lymph nodes to check if it spread (and it seems it did spread a little bit). Even though it was more painful than his current surgery, it was different to help him with that because it was all just regular wound treatment stuff (cleaning and applying ointment, as well as milking a drainage tube and emptying it, though that wasn't too hard).
Sorry for all the info, I guess my question is how can I help him with the healing for this procedure? He says he's really exhausted but thinks it's just from lack of sleep the night before surgery, the anesthesia and pain medication, which makes sense. But he's also saying really concerning things. He's telling me he loves me in case he passes in his sleep and then following that with saying he really doesn't think he'll die, it's just in case. I've got really bad anxiety so I don't know if I'm overthinking things and he really might die tonight or if he's also just really anxious right now.
Are there any signs of bad things to look for? How would we know if there's a clot or something gone wrong? 
I'm scared to sleep and I just keep watching him to make sure he's breathing.  I'm sorry if this is really messy or something but I'm just really anxious and I don't want to lose him, especially to complications from a surgery before he even has a chance at treatment.</t>
        </is>
      </c>
      <c r="D9332" t="n">
        <v>1</v>
      </c>
      <c r="E9332" t="n">
        <v>10</v>
      </c>
      <c r="F9332">
        <f>HYPERLINK("https://www.reddit.com/r/cancer/comments/gmjvc6/boyfriend_just_had_port_for_chemo_put_in_need/")</f>
        <v/>
      </c>
      <c r="G9332" t="inlineStr">
        <is>
          <t>2020-05-19 00:24:36</t>
        </is>
      </c>
      <c r="H9332" t="inlineStr"/>
    </row>
    <row r="9333">
      <c r="A9333" t="inlineStr">
        <is>
          <t>gmnrwr</t>
        </is>
      </c>
      <c r="B9333" t="inlineStr">
        <is>
          <t>Girlfriend was diagnosed with Hodgkin’s Lymphoma, would love to hear your stories</t>
        </is>
      </c>
      <c r="C9333" t="inlineStr">
        <is>
          <t>My girlfriend was diagnosed with Hodgkin’s Lymphoma last February, she’s midway through 4 cycles of ABVD and radiation therapy after. Would love to hear stories or tips from people who went through the same thing.</t>
        </is>
      </c>
      <c r="D9333" t="n">
        <v>1</v>
      </c>
      <c r="E9333" t="n">
        <v>3</v>
      </c>
      <c r="F9333">
        <f>HYPERLINK("https://www.reddit.com/r/cancer/comments/gmnrwr/girlfriend_was_diagnosed_with_hodgkins_lymphoma/")</f>
        <v/>
      </c>
      <c r="G9333" t="inlineStr">
        <is>
          <t>2020-05-19 05:40:19</t>
        </is>
      </c>
      <c r="H9333" t="inlineStr"/>
    </row>
    <row r="9334">
      <c r="A9334" t="inlineStr">
        <is>
          <t>gmolao</t>
        </is>
      </c>
      <c r="B9334" t="inlineStr">
        <is>
          <t>Cure</t>
        </is>
      </c>
      <c r="C9334" t="inlineStr">
        <is>
          <t>Hello everybody. They have had a cure for cancer for YEARS. Do your own research, guess who started the cancer foundation, yep you got it the Rockefeller’s. Guess what the treatments are based around petroleum products. The biggest oil family wants to keep pulling your money for themselves</t>
        </is>
      </c>
      <c r="D9334" t="n">
        <v>1</v>
      </c>
      <c r="E9334" t="n">
        <v>12</v>
      </c>
      <c r="F9334">
        <f>HYPERLINK("https://www.reddit.com/r/cancer/comments/gmolao/cure/")</f>
        <v/>
      </c>
      <c r="G9334" t="inlineStr">
        <is>
          <t>2020-05-19 06:30:38</t>
        </is>
      </c>
      <c r="H9334" t="inlineStr"/>
    </row>
    <row r="9335">
      <c r="A9335" t="inlineStr">
        <is>
          <t>gmp2ei</t>
        </is>
      </c>
      <c r="B9335" t="inlineStr">
        <is>
          <t>Wishing you all strength</t>
        </is>
      </c>
      <c r="C9335" t="inlineStr">
        <is>
          <t>I'm finally coming out of my 3-4 day fatigue slump after round 5, and starting to feel like a real person again. I'm wishing you all the energy and strength you need to get through this.</t>
        </is>
      </c>
      <c r="D9335" t="n">
        <v>2</v>
      </c>
      <c r="E9335" t="n">
        <v>14</v>
      </c>
      <c r="F9335">
        <f>HYPERLINK("https://www.reddit.com/r/cancer/comments/gmp2ei/wishing_you_all_strength/")</f>
        <v/>
      </c>
      <c r="G9335" t="inlineStr">
        <is>
          <t>2020-05-19 06:58:34</t>
        </is>
      </c>
      <c r="H9335" t="inlineStr"/>
    </row>
    <row r="9336">
      <c r="A9336" t="inlineStr">
        <is>
          <t>gmp4um</t>
        </is>
      </c>
      <c r="B9336" t="inlineStr">
        <is>
          <t>Radiation and Chemo getting to my dad</t>
        </is>
      </c>
      <c r="C9336" t="inlineStr">
        <is>
          <t>My dad was diagnosed a couple of months ago with stage 1 squamous cell carcinoma on his left tonsil. They gave him just about 2 months worth of treatment. He's about half way through doing 5 days radiation and 1 day chemo. He was doing pretty good in the beginning. Was surprised it was so easy, no changes other than having to spend all this time going to appts and whatnot. But Sunday he started losing his voice, is coughing ALOT, mainly uses his feeding tube now and he's noticed his goatee hair falling out too. He's already bald so there's that. 
He's supposed to be getting some viscous lidocaine through the mail but that hasn't come yet. So he's in pain. He also says he's not taking in enough water, but then also has this attitude like he doesn't care. I don't want to be mean, but at the same time I'm like. I just want to say. Oh well. Just do it and get through it. I know it sucks to be in pain. I was saying things yesterday like. Well it'll get better once you get through it. And he's just like. If I get through it. Not in the sarcastic way, but in a genuine way like he really doesn't know. I want him to be able to push through this last month. 
His last day of treatment is June 16th. I hate to see him like this and I want to do whatever to help him be on the upswing of things. He's someone who won't ask for help for anything unless it's an absolute last resort which is annoying because I can't read minds. I'm also don't live there, but I try to pop in a couple times a week to check up. 
Everything tastes like cardboard these days to him. He even mentioned looking into hypnotism. Like if he could just get A FEW of his favorite foods to taste how he remembers, he would be able to scarf them down. But since everything taste like shit, he doesn't care about eating. 
He's a very simple person and those few simple things have been taken away due to the cancer and covid. Like going to the bar and having a few beers, working, eating the few foods he loves (he's pretty picky. Lol), and just being around people in general (we have a big family and he hates being home all the time). So these last few days he's really went downhill with his mood. 
Is there any advice on keeping his spirits up, motivating him, having food high in calorie or protein that is also easy to get down. I thought about getting one of those water bottles that measure how many ounces you've taken in....maybe that would help motivate. I think being in less pain would help as well but that's just a waiting game right now.</t>
        </is>
      </c>
      <c r="D9336" t="n">
        <v>1</v>
      </c>
      <c r="E9336" t="n">
        <v>6</v>
      </c>
      <c r="F9336">
        <f>HYPERLINK("https://www.reddit.com/r/cancer/comments/gmp4um/radiation_and_chemo_getting_to_my_dad/")</f>
        <v/>
      </c>
      <c r="G9336" t="inlineStr">
        <is>
          <t>2020-05-19 07:02:13</t>
        </is>
      </c>
      <c r="H9336" t="inlineStr"/>
    </row>
    <row r="9337">
      <c r="A9337" t="inlineStr">
        <is>
          <t>gmqfsz</t>
        </is>
      </c>
      <c r="B9337" t="inlineStr">
        <is>
          <t>Any experiences with proton therapy??</t>
        </is>
      </c>
      <c r="C9337" t="inlineStr">
        <is>
          <t>Hey peeps. I (30F) have been diagnosed with cancer again. Two relatively small ependymoma's in my spinal canal at height L4-S1. 
15 years ago my first ependymoma was removed, this went pretty well. 2 years ago, a new tumor was removed. My bowel, bladder and leg nerve got damaged and i have chronic nerve pain since. 
Now there are 2 growing again. Fuck this. However, my surgeon told me that surgery is too risky because it would cause more nerve pain. He suggested proton therapy. He told mw that less healthy tissue gets affected by proton radiation. I have no idea what to expect. 
Does anyone has experience with proton radiation?
What are the side effects of radiation?
I am currently graduating, a few months to go. Is it realistic to expect to finish soon?
Thanks in advance</t>
        </is>
      </c>
      <c r="D9337" t="n">
        <v>1</v>
      </c>
      <c r="E9337" t="n">
        <v>8</v>
      </c>
      <c r="F9337">
        <f>HYPERLINK("https://www.reddit.com/r/cancer/comments/gmqfsz/any_experiences_with_proton_therapy/")</f>
        <v/>
      </c>
      <c r="G9337" t="inlineStr">
        <is>
          <t>2020-05-19 08:13:36</t>
        </is>
      </c>
      <c r="H9337" t="inlineStr"/>
    </row>
    <row r="9338">
      <c r="A9338" t="inlineStr">
        <is>
          <t>gmqql1</t>
        </is>
      </c>
      <c r="B9338" t="inlineStr">
        <is>
          <t>Scan day</t>
        </is>
      </c>
      <c r="C9338" t="inlineStr">
        <is>
          <t>Finished treatment for squamous cell cancer at the base of my tongue, essentially in my throat in June of last year. 
CT this afternoon with follow up appointments next week.
The sense of doom always comes back before scans.</t>
        </is>
      </c>
      <c r="D9338" t="n">
        <v>3</v>
      </c>
      <c r="E9338" t="n">
        <v>11</v>
      </c>
      <c r="F9338">
        <f>HYPERLINK("https://www.reddit.com/r/cancer/comments/gmqql1/scan_day/")</f>
        <v/>
      </c>
      <c r="G9338" t="inlineStr">
        <is>
          <t>2020-05-19 08:29:43</t>
        </is>
      </c>
      <c r="H9338" t="inlineStr"/>
    </row>
    <row r="9339">
      <c r="A9339" t="inlineStr">
        <is>
          <t>gmqxos</t>
        </is>
      </c>
      <c r="B9339" t="inlineStr">
        <is>
          <t>B cell lymphoma</t>
        </is>
      </c>
      <c r="C9339" t="inlineStr">
        <is>
          <t>found out today by dad has  B cell lymphoma, the stage and severity is still unknown because the oncologist is still doing tests (or something like that, doctor doesn't tell me enough info, esp talking thru phone bc of c0rona issue) 
however i know he said it's around his heart and lungs. he also mentioned something about chemotherapy... my dad is currently at jamaica hospital which is not a cancer centralized- so im wondering what my next steps are from here? any help or tips or info is greatly wanted thank you
also my dad is 58 M. (58 MALE) He weighs less than me and I am almost 130 pounds.</t>
        </is>
      </c>
      <c r="D9339" t="n">
        <v>1</v>
      </c>
      <c r="E9339" t="n">
        <v>1</v>
      </c>
      <c r="F9339">
        <f>HYPERLINK("https://www.reddit.com/r/cancer/comments/gmqxos/b_cell_lymphoma/")</f>
        <v/>
      </c>
      <c r="G9339" t="inlineStr">
        <is>
          <t>2020-05-19 08:40:00</t>
        </is>
      </c>
      <c r="H9339" t="inlineStr"/>
    </row>
    <row r="9340">
      <c r="A9340" t="inlineStr">
        <is>
          <t>gmraxf</t>
        </is>
      </c>
      <c r="B9340" t="inlineStr">
        <is>
          <t>My father has been diagnosed with lung cancer...</t>
        </is>
      </c>
      <c r="C9340" t="inlineStr">
        <is>
          <t>What are the survival rate of lung cancer using chemo? The cancer is completely localized</t>
        </is>
      </c>
      <c r="D9340" t="n">
        <v>1</v>
      </c>
      <c r="E9340" t="n">
        <v>1</v>
      </c>
      <c r="F9340">
        <f>HYPERLINK("https://www.reddit.com/r/cancer/comments/gmraxf/my_father_has_been_diagnosed_with_lung_cancer/")</f>
        <v/>
      </c>
      <c r="G9340" t="inlineStr">
        <is>
          <t>2020-05-19 08:59:03</t>
        </is>
      </c>
      <c r="H9340" t="inlineStr"/>
    </row>
    <row r="9341">
      <c r="A9341" t="inlineStr">
        <is>
          <t>gmrvnm</t>
        </is>
      </c>
      <c r="B9341" t="inlineStr">
        <is>
          <t>Is early detection possible under the age of 30?</t>
        </is>
      </c>
      <c r="C9341" t="inlineStr">
        <is>
          <t>I just got off of the phone with my primary care provider who told me there is nothing I can do to be screened for cancer at my age regardless of family history or current symptoms. How should I go about this? I am 29yo and have been experiencing gastrointestinal issues, back and groin pain for months. I discovered a lump on the right side of my pelvis that my doctor believes is a swollen lymph node. I’ve read that it’s common for colorectal cancer to spread to lymph glands. What are my options to be screened for cancer at my age?</t>
        </is>
      </c>
      <c r="D9341" t="n">
        <v>1</v>
      </c>
      <c r="E9341" t="n">
        <v>9</v>
      </c>
      <c r="F9341">
        <f>HYPERLINK("https://www.reddit.com/r/cancer/comments/gmrvnm/is_early_detection_possible_under_the_age_of_30/")</f>
        <v/>
      </c>
      <c r="G9341" t="inlineStr">
        <is>
          <t>2020-05-19 09:28:04</t>
        </is>
      </c>
      <c r="H9341" t="inlineStr"/>
    </row>
    <row r="9342">
      <c r="A9342" t="inlineStr">
        <is>
          <t>gms0hc</t>
        </is>
      </c>
      <c r="B9342" t="inlineStr">
        <is>
          <t>Terminally ill dad is saying he will die tonight...</t>
        </is>
      </c>
      <c r="C9342" t="inlineStr">
        <is>
          <t>Long story short, he has now been in hospice 2 weeks today. I'm 38 weeks pregnant and not allowed in to see him due to coronavirus. 
He called me yesterday telling me it was time for him to go and he was calling to say goodbye. It was awful. At the end of the conversation he said 'goodbye, I love you, see you on the other side' then hung up.. I had the worst panic attack of my life and couldn't breathe. 
He's awoken today and told the nurses he is embarrassed for saying goodbye to everyone even though he is still here - but told them, tonight he will die. 
He is obviously very weak and thin, on a morphine syringe driver and now can not move himself. He doesn't want to eat or drink either. 
Is this it? Does he really mean he is going? He is still talking slightly and is awake at points. 
I literally can not believe this is happening and keep thinking he'll feel better tomorrow and won't be talking like this.</t>
        </is>
      </c>
      <c r="D9342" t="n">
        <v>2</v>
      </c>
      <c r="E9342" t="n">
        <v>15</v>
      </c>
      <c r="F9342">
        <f>HYPERLINK("https://www.reddit.com/r/cancer/comments/gms0hc/terminally_ill_dad_is_saying_he_will_die_tonight/")</f>
        <v/>
      </c>
      <c r="G9342" t="inlineStr">
        <is>
          <t>2020-05-19 09:35:03</t>
        </is>
      </c>
      <c r="H9342" t="inlineStr"/>
    </row>
    <row r="9343">
      <c r="A9343" t="inlineStr">
        <is>
          <t>gmskp9</t>
        </is>
      </c>
      <c r="B9343" t="inlineStr">
        <is>
          <t>Frozen II is the last movie I watched with mom</t>
        </is>
      </c>
      <c r="C9343" t="inlineStr">
        <is>
          <t>My mom and I usually watched movies in cinemas. I am a Disney fan so usually we watch Disney Pixar and Marvel stuff together. The last movie we watched together was Frozen II. Please stop reading if you don't want to get spoiled. During 'Show Yourself' scene, I imagined myself as Elsa when she teared and saw her mother in Ahtohallan. I knew that sooner or later, my mom will die because the disease. I still can't move on since she passed away last March due to pneumonia complications. I still cry every time I rewatch Frozen 2. I miss her so much. 
Background: my mom was diagnosed with breast cancer last 2010. She had a series of chemotherapy + radiation. Long story short the breast cancer had metastases already and to make it worse she also had cancer in her thyroid not related to her initial breast cancer.</t>
        </is>
      </c>
      <c r="D9343" t="n">
        <v>1</v>
      </c>
      <c r="E9343" t="n">
        <v>13</v>
      </c>
      <c r="F9343">
        <f>HYPERLINK("https://www.reddit.com/r/cancer/comments/gmskp9/frozen_ii_is_the_last_movie_i_watched_with_mom/")</f>
        <v/>
      </c>
      <c r="G9343" t="inlineStr">
        <is>
          <t>2020-05-19 10:04:08</t>
        </is>
      </c>
      <c r="H9343" t="inlineStr"/>
    </row>
    <row r="9344">
      <c r="A9344" t="inlineStr">
        <is>
          <t>gmtcua</t>
        </is>
      </c>
      <c r="B9344" t="inlineStr">
        <is>
          <t>Testing during the covid, high anxiety</t>
        </is>
      </c>
      <c r="C9344" t="inlineStr">
        <is>
          <t>6 years remission... started having pain in the clavicle on the same side as the cancer and radiation. OTC pain med don't touch it.   Primary Doc ordered x-rays and bloodwork (lupus, RA and lymes)  everything came back normal, all done prior to the surge in covid and subsequent cancelation of non essential procedures.
Call the oncologist and he has ordered a bone scan and a cat scan......  again everything canceled... have my video call with the oncologist and he was pissed that the tests were canceled.  Within a day of that call I had someone from the hospital call and reschedule the tests along with my mammogram that was canceled also and should not have been with my history of breast cancer, again doc wasn't happy.  
So now I have anxiety from needing the scans, the nasty ideas in my head, the pain and from the covid situation....to the point of heart palpitations.
If I had to guess someone is in trouble for the cancelations and if this is something, I will have missed a month and a half of time for fixing  it.</t>
        </is>
      </c>
      <c r="D9344" t="n">
        <v>1</v>
      </c>
      <c r="E9344" t="n">
        <v>1</v>
      </c>
      <c r="F9344">
        <f>HYPERLINK("https://www.reddit.com/r/cancer/comments/gmtcua/testing_during_the_covid_high_anxiety/")</f>
        <v/>
      </c>
      <c r="G9344" t="inlineStr">
        <is>
          <t>2020-05-19 10:43:33</t>
        </is>
      </c>
      <c r="H9344" t="inlineStr"/>
    </row>
    <row r="9345">
      <c r="A9345" t="inlineStr">
        <is>
          <t>gmvopr</t>
        </is>
      </c>
      <c r="B9345" t="inlineStr">
        <is>
          <t>Can’t feel fingers and feet</t>
        </is>
      </c>
      <c r="C9345" t="inlineStr">
        <is>
          <t>Hey guys I don’t know if anyone here have felt a side affect from chemo where you can’t feel your fingers or feet where it feels as though they are asleep? They are always cold as well if you have any recommendations on how I can get rid of this please let me know thanks!</t>
        </is>
      </c>
      <c r="D9345" t="n">
        <v>3</v>
      </c>
      <c r="E9345" t="n">
        <v>11</v>
      </c>
      <c r="F9345">
        <f>HYPERLINK("https://www.reddit.com/r/cancer/comments/gmvopr/cant_feel_fingers_and_feet/")</f>
        <v/>
      </c>
      <c r="G9345" t="inlineStr">
        <is>
          <t>2020-05-19 12:42:22</t>
        </is>
      </c>
      <c r="H9345" t="inlineStr"/>
    </row>
    <row r="9346">
      <c r="A9346" t="inlineStr">
        <is>
          <t>gmvvwy</t>
        </is>
      </c>
      <c r="B9346" t="inlineStr">
        <is>
          <t>Father’s Day ideas</t>
        </is>
      </c>
      <c r="C9346" t="inlineStr">
        <is>
          <t>Hi all! I’m new to this sub, and please forgive me if this is the wrong place for this question, but my father in law (70) was recently diagnosed with stage 4 stomach cancer. We found out today that he will start chemo on June 1st, and that they’re hoping it will shrink the tumors, but they’re certain it won’t eliminate them.  The news is pretty much what we were expecting but it sucks so bad to hear it. I absolutely loathe this feeling of helplessness that I have now. I’m not sure how any of you deal with it. 
I was thinking that maybe we could do something special for him for an early Father’s Day before he starts the chemo. We’re not going to have a big party or anything because, even without a deadly virus going around, he’s definitely not up for it, but if we could get him a special gift or do something to make the day special, I’d really like to. 
About him: he loves boats and airplanes. He has three granddaughters (ages 4, 2, and 2) and one grandson (age 8 months) and he loves them all dearly. He and my mother in law watched all of them three days a week, so they’re very close. He has two daughters and a son (my husband) all in their 20s and 30s. He is NOT tech savvy at all. He doesn’t even text. 
I thought about having my husband stop by for an outside visit with my son, since my son can’t run up to him and jump all over him like the older ones can, so he’s a little easier to bring by. I know it’s probably a day by day thing, and we’d have to ask if he’d have the energy for it, but do you think that’s a safe option for him?  Do any of you have any suggestions for other things he might want?  For those of you who have been through chemo or know someone who has, is there anything that you found particularly helpful or comforting? 
Thanks in advance for any help, and, again, sorry if this is the wrong spot.</t>
        </is>
      </c>
      <c r="D9346" t="n">
        <v>1</v>
      </c>
      <c r="E9346" t="n">
        <v>4</v>
      </c>
      <c r="F9346">
        <f>HYPERLINK("https://www.reddit.com/r/cancer/comments/gmvvwy/fathers_day_ideas/")</f>
        <v/>
      </c>
      <c r="G9346" t="inlineStr">
        <is>
          <t>2020-05-19 12:52:40</t>
        </is>
      </c>
      <c r="H9346" t="inlineStr"/>
    </row>
    <row r="9347">
      <c r="A9347" t="inlineStr">
        <is>
          <t>gmxrn2</t>
        </is>
      </c>
      <c r="B9347" t="inlineStr">
        <is>
          <t>Some Insurance Advice for Synovial Sarcoma</t>
        </is>
      </c>
      <c r="C9347" t="inlineStr">
        <is>
          <t>Hi, all! I've posted on here before about my husband who was recently diagnosed with synovial sarcoma. Now we are being put through the ringer with disability paperwork. He has short-term disability through Mutual of Omaha that he is attempting to use. Mutual of Omaha's short-term disability does NOT cover pre-existing conditions. They're attempting to determine if it was a pre-existing condition by having us fill out a bunch of paperwork listing all doctor visits between Nov-Jan 31, 2020. His policy went into effect on February 1, 2020 so if they can prove that he had cancer before then, I think we're going to be denied. 
Here's the thing though: he wasn't officially diagnosed with cancer until about three weeks ago. He had one doctor's appointment with his primary care physician on January 12, 2020 but it was a consultation and in no way a diagnosis. Every other appointment and his official diagnosis came after February 1, 2020. Would Mutual of Omaha approve or reject based on the actual diagnosed date of three weeks ago, or would they consider this a pre-existing condition since he went to the doctor in January (although cancer wasn't even a thought in our minds in January)? When we went to the doctor in January, we were still thinking it was a cold or strep throat.
Any insight is greatly appreciated! If they reject his claim, I guess we're going to look into drawing state disability? We're in Oklahoma. Thank you all in advance!</t>
        </is>
      </c>
      <c r="D9347" t="n">
        <v>1</v>
      </c>
      <c r="E9347" t="n">
        <v>2</v>
      </c>
      <c r="F9347">
        <f>HYPERLINK("https://www.reddit.com/r/cancer/comments/gmxrn2/some_insurance_advice_for_synovial_sarcoma/")</f>
        <v/>
      </c>
      <c r="G9347" t="inlineStr">
        <is>
          <t>2020-05-19 14:31:20</t>
        </is>
      </c>
      <c r="H9347" t="inlineStr"/>
    </row>
    <row r="9348">
      <c r="A9348" t="inlineStr">
        <is>
          <t>gmyz25</t>
        </is>
      </c>
      <c r="B9348" t="inlineStr">
        <is>
          <t>Are there any ride share, ACCESS or hospital shuttles that can take someone to their chemo, blood work, doc appointments? Incase I'm not able to take them because of work?</t>
        </is>
      </c>
      <c r="C9348" t="inlineStr">
        <is>
          <t>We are just worried about keeping up with all her appointments and want to be ready incase we can't take her. Is there like a hospital shuttle or something similar? We don't really have anyone else to take her and she doesn't drive. Thank you, god bless.</t>
        </is>
      </c>
      <c r="D9348" t="n">
        <v>2</v>
      </c>
      <c r="E9348" t="n">
        <v>8</v>
      </c>
      <c r="F9348">
        <f>HYPERLINK("https://www.reddit.com/r/cancer/comments/gmyz25/are_there_any_ride_share_access_or_hospital/")</f>
        <v/>
      </c>
      <c r="G9348" t="inlineStr">
        <is>
          <t>2020-05-19 15:36:09</t>
        </is>
      </c>
      <c r="H9348" t="inlineStr"/>
    </row>
    <row r="9349">
      <c r="A9349" t="inlineStr">
        <is>
          <t>gn08dr</t>
        </is>
      </c>
      <c r="B9349" t="inlineStr">
        <is>
          <t>My dad just lost his battle</t>
        </is>
      </c>
      <c r="C9349" t="inlineStr">
        <is>
          <t>He's been battling for 20 months. Started as stage 4 colon cancer and it was already spread to the liver. 
He did get a check-up 9 months before diagnosis and it came out clear. I still can't believe it happened in just 9 months...
He refused chemo and we supported him. He hates hospitals. We did our best as we can to make sure he was comfortable at home. It was going relatively painless until edema started to creep in 3 months ago. 
I miss him but I'm also happy for him because he doesn't have to do feel that awful pain anymore.
Fuck cancer.</t>
        </is>
      </c>
      <c r="D9349" t="n">
        <v>1</v>
      </c>
      <c r="E9349" t="n">
        <v>8</v>
      </c>
      <c r="F9349">
        <f>HYPERLINK("https://www.reddit.com/r/cancer/comments/gn08dr/my_dad_just_lost_his_battle/")</f>
        <v/>
      </c>
      <c r="G9349" t="inlineStr">
        <is>
          <t>2020-05-19 16:46:34</t>
        </is>
      </c>
      <c r="H9349" t="inlineStr"/>
    </row>
    <row r="9350">
      <c r="A9350" t="inlineStr">
        <is>
          <t>gn0b06</t>
        </is>
      </c>
      <c r="B9350" t="inlineStr">
        <is>
          <t>Informing mom about the dad’s cancer stage</t>
        </is>
      </c>
      <c r="C9350" t="inlineStr">
        <is>
          <t>Hi,
Last year, my dad got partial hepatectomy done for hepatocellular carcinoma. He was doing well. But a week back, we found out that it has resurfaced and spread to lungs and vertebrae. 
When I asked the Doctor, he said my dad has 6-24 months to live. My parents know that it’s serious but they don’t know this.
My mom is a little fragile so I decided not to inform her about this and just said in general to keep dad happy. I always thought if she is depressed, my dad will also lose all hope..
But now it is bothering me. If I am in my mom’s place, I would want to know how much time I have with my spouse. So that I can spend it doing everything that we always wanted to do..
I am struggling with this decision now. Do I tell my mom or not..
I am posting it here just to get different perspective.
Thanks!</t>
        </is>
      </c>
      <c r="D9350" t="n">
        <v>1</v>
      </c>
      <c r="E9350" t="n">
        <v>0</v>
      </c>
      <c r="F9350">
        <f>HYPERLINK("https://www.reddit.com/r/cancer/comments/gn0b06/informing_mom_about_the_dads_cancer_stage/")</f>
        <v/>
      </c>
      <c r="G9350" t="inlineStr">
        <is>
          <t>2020-05-19 16:51:07</t>
        </is>
      </c>
      <c r="H9350" t="inlineStr"/>
    </row>
    <row r="9351">
      <c r="A9351" t="inlineStr">
        <is>
          <t>gn0f2w</t>
        </is>
      </c>
      <c r="B9351" t="inlineStr">
        <is>
          <t>Is anyone else having a hard time sympathizing with healthy adults who are complaining about quarantine?</t>
        </is>
      </c>
      <c r="C9351" t="inlineStr">
        <is>
          <t>Hi everyone! Hope you all are well and staying safe. I (19F) was diagnosed with NHL last summer and have taken this school year off. I see a lot of my peers posting about how terrible it is that they will have to be away from school for one semester and take it online. Or that they are spending their birthday in quarantine. Or that they can’t see their friends. Like most of you wonderful people, I experienced that for 6 months already. Not being able to really go out, have people over, travel, etc. I also spent my 19th birthday fresh out of the hospital, with my body beyond sore, and not being able to hold anything down. Am I an asshole for thinking “your life isn’t that bad?”</t>
        </is>
      </c>
      <c r="D9351" t="n">
        <v>1</v>
      </c>
      <c r="E9351" t="n">
        <v>29</v>
      </c>
      <c r="F9351">
        <f>HYPERLINK("https://www.reddit.com/r/cancer/comments/gn0f2w/is_anyone_else_having_a_hard_time_sympathizing/")</f>
        <v/>
      </c>
      <c r="G9351" t="inlineStr">
        <is>
          <t>2020-05-19 16:57:45</t>
        </is>
      </c>
      <c r="H9351" t="inlineStr"/>
    </row>
    <row r="9352">
      <c r="A9352" t="inlineStr">
        <is>
          <t>gn0pl4</t>
        </is>
      </c>
      <c r="B9352" t="inlineStr">
        <is>
          <t>Uterine Cancer?</t>
        </is>
      </c>
      <c r="C9352" t="inlineStr">
        <is>
          <t>I dont know where else to post this. I hope someone can offer insight. 
Background: got my period at 10, (29 now), never been pregnant, overall good health, fit, no pcos, no bc, periods slightly heavy but not something I ever thought too much of as I had no symptoms associated with them such as cramping.
2 months ago, I started to notice chance in my periods. I was under great deals of stress. My period 2 months ago began with thick, brown discharge. Thought nothing of it and it seemed to be normal from there on.
Next month , my period started with pink discharge, then bright red, then brown with an odor to it. I made an appt for a pap and they started out with an ultrasound. 
I have a 9mm uterine lining thickness. Cysts on my ovaries. The cysts weren't too concerning to the gyno. She said my thickness wasn't extremely concerning but that it wasn't within the normal range. She noticed my cervix also bleed a tiny but when she took the sample.
She took some swab samples and results of that will be in within a week. I'm deeply under the impression I could very well have uterine cancer and I don't think it can be diagnosed by ultrasound, but only by tissue samples? Since I'm young and generally healthy otherwise, I'm afraid I won't be taken seriously. 
I have no other symptoms present such as pain, but with the 9mm thickness and abnormal bleeding as well as cervical bleeding during the appt (for me, esp with an odor) I'm fearful. 
Any advice would be appreciated.</t>
        </is>
      </c>
      <c r="D9352" t="n">
        <v>1</v>
      </c>
      <c r="E9352" t="n">
        <v>2</v>
      </c>
      <c r="F9352">
        <f>HYPERLINK("https://www.reddit.com/r/cancer/comments/gn0pl4/uterine_cancer/")</f>
        <v/>
      </c>
      <c r="G9352" t="inlineStr">
        <is>
          <t>2020-05-19 17:15:07</t>
        </is>
      </c>
      <c r="H9352" t="inlineStr"/>
    </row>
    <row r="9353">
      <c r="A9353" t="inlineStr">
        <is>
          <t>gn261w</t>
        </is>
      </c>
      <c r="B9353" t="inlineStr">
        <is>
          <t>Has anyone here with autommunine diseases had experience with immunotherapy treatment?</t>
        </is>
      </c>
      <c r="C9353" t="inlineStr">
        <is>
          <t>I was diagnosed with non small cell lung cancer Stage IV - mets to brain 3 weeks ago. I have 90% PD-L1 in the lung tumor by biopsy. There are so far no identifiable mutations. I also have MS, Scleroderma and RA Factor (not presenting). My oncologist is not endorsing immunotherapy as an option, for fear of jump starting my messed up immune system; taking my other disease course to the next level. It's my understanding that immunotherapy is the best combative of the PD-L1. There haven't been many studies of autoimmune patients having immunotherapy for the reason above. I apologize if I'm getting anything wrong in the above - I'm seriously learning all I can as quickly as I can. If you have experience with this - I greatly appreciate hearing your story.</t>
        </is>
      </c>
      <c r="D9353" t="n">
        <v>1</v>
      </c>
      <c r="E9353" t="n">
        <v>3</v>
      </c>
      <c r="F9353">
        <f>HYPERLINK("https://www.reddit.com/r/cancer/comments/gn261w/has_anyone_here_with_autommunine_diseases_had/")</f>
        <v/>
      </c>
      <c r="G9353" t="inlineStr">
        <is>
          <t>2020-05-19 18:42:06</t>
        </is>
      </c>
      <c r="H9353" t="inlineStr"/>
    </row>
    <row r="9354">
      <c r="A9354" t="inlineStr">
        <is>
          <t>gn2k0t</t>
        </is>
      </c>
      <c r="B9354" t="inlineStr">
        <is>
          <t>I have a question</t>
        </is>
      </c>
      <c r="C9354" t="inlineStr">
        <is>
          <t>Hi everyone! My dad has stage 4 rectal cancer (the reason why I’m in this subreddit) but I have a question about a completely different kind of cancer and I’m hoping I can get some answers!
So, I was watching ‘The Resident’ on Hulu earlier today (I’m only on season two, no spoilers please) and one of the doctor’s friends got diagnosed with Triple Negative Breast Cancer. I was just wondering what that meant exactly? They didn’t say stage 1-4, only Triple Negative. Thank you guys! Hope you’re all staying healthy and safe during quarantine ♥️</t>
        </is>
      </c>
      <c r="D9354" t="n">
        <v>1</v>
      </c>
      <c r="E9354" t="n">
        <v>5</v>
      </c>
      <c r="F9354">
        <f>HYPERLINK("https://www.reddit.com/r/cancer/comments/gn2k0t/i_have_a_question/")</f>
        <v/>
      </c>
      <c r="G9354" t="inlineStr">
        <is>
          <t>2020-05-19 19:06:05</t>
        </is>
      </c>
      <c r="H9354" t="inlineStr"/>
    </row>
    <row r="9355">
      <c r="A9355" t="inlineStr">
        <is>
          <t>gn2nuz</t>
        </is>
      </c>
      <c r="B9355" t="inlineStr">
        <is>
          <t>Ever since my sister told me she has cancer, I have not been the same. Will this feeling last forever?</t>
        </is>
      </c>
      <c r="C9355" t="inlineStr">
        <is>
          <t>She (22F) was going to college, working, making everyone laugh,  just living.
About 2-3 months ago she got a lump on her back. It hurts, she goes to doctor. She has osteosarcoma. It has spread to her lungs. Apparently it is very treatable and she starts chemotherapy in 2 days. 
I feel like I'm going crazy. We don't live together, I live 45 mins away with my wife, she lives with my parents. She was living with her longtime boyfriend but my mom has to driver her to appointments so to make it easier she moved back with parents. 
Every day I cry thinking about what she's feeling, thinking. What my parents are thinking. What her boyfriend is thinking. And I get overwhelmed putting myself in each of their shoes. 
I am trying to remain strong around her when I am with her. I just can't believe this is happening. My family has no real history of cancer. I just can't accept it, my mind is refusing to. I don't know what to do. I believe she can beat this thing and one day in the future we can look back at this and be so grateful that she beat it. I can't control my thoughts.</t>
        </is>
      </c>
      <c r="D9355" t="n">
        <v>1</v>
      </c>
      <c r="E9355" t="n">
        <v>2</v>
      </c>
      <c r="F9355">
        <f>HYPERLINK("https://www.reddit.com/r/cancer/comments/gn2nuz/ever_since_my_sister_told_me_she_has_cancer_i/")</f>
        <v/>
      </c>
      <c r="G9355" t="inlineStr">
        <is>
          <t>2020-05-19 19:12:41</t>
        </is>
      </c>
      <c r="H9355" t="inlineStr"/>
    </row>
    <row r="9356">
      <c r="A9356" t="inlineStr">
        <is>
          <t>gn2q5w</t>
        </is>
      </c>
      <c r="B9356" t="inlineStr">
        <is>
          <t>Day 6 of watching my dad pass away...</t>
        </is>
      </c>
      <c r="C9356" t="inlineStr">
        <is>
          <t>I had a year to prepare and I thought I did..although I never planned for the way he would die. I thought he would just go to sleep..I didn’t think about him dying at home and being the caretaker..giving him morphine and keeping him comfortable watching him slowly fade out...this is by far more then I prepared myself for...I’m doing everything I possibly can but I’m dead inside. Please dad find peace.</t>
        </is>
      </c>
      <c r="D9356" t="n">
        <v>1</v>
      </c>
      <c r="E9356" t="n">
        <v>2</v>
      </c>
      <c r="F9356">
        <f>HYPERLINK("https://www.reddit.com/r/cancer/comments/gn2q5w/day_6_of_watching_my_dad_pass_away/")</f>
        <v/>
      </c>
      <c r="G9356" t="inlineStr">
        <is>
          <t>2020-05-19 19:16:39</t>
        </is>
      </c>
      <c r="H9356" t="inlineStr"/>
    </row>
    <row r="9357">
      <c r="A9357" t="inlineStr">
        <is>
          <t>gn4kmj</t>
        </is>
      </c>
      <c r="B9357" t="inlineStr">
        <is>
          <t>Just been told I’m in remission - yay! - but I feel guilty about it?</t>
        </is>
      </c>
      <c r="C9357" t="inlineStr">
        <is>
          <t>I’ve just finished treatment today - 6 cycles of R-CHOP for non-Hodgkin lymphoma - and have been told I’m in remission already! I’m actually feeling guilty about it though? I feel like I haven’t struggled enough and I’ve cheated the system somehow? Has anyone else felt like this after successful treatment? 
I still have heaps of physio ahead bcos I can’t walk (I had primary lymphoma of the bone) but still, it feels like it was too easy........I feel like a fraud. It’s very very weird, maybe I haven’t had time to process and I’m feeling a bit disconnected, I’m not sure.</t>
        </is>
      </c>
      <c r="D9357" t="n">
        <v>1</v>
      </c>
      <c r="E9357" t="n">
        <v>12</v>
      </c>
      <c r="F9357">
        <f>HYPERLINK("https://www.reddit.com/r/cancer/comments/gn4kmj/just_been_told_im_in_remission_yay_but_i_feel/")</f>
        <v/>
      </c>
      <c r="G9357" t="inlineStr">
        <is>
          <t>2020-05-19 21:23:21</t>
        </is>
      </c>
      <c r="H9357" t="inlineStr"/>
    </row>
    <row r="9358">
      <c r="A9358" t="inlineStr">
        <is>
          <t>gn4uoi</t>
        </is>
      </c>
      <c r="B9358" t="inlineStr">
        <is>
          <t>Soreness of testicles for multiple days after blue balls?</t>
        </is>
      </c>
      <c r="C9358" t="inlineStr">
        <is>
          <t>Hi, I am not sure if this is the right subreddit to post this, but if there is a better one than I should go to please let me know.
Sunday night I was hooking up with a girl and ultimately was left with blue balls. This has happened to me on several occasions and usually, it just goes away the next morning. It is now Tuesday night and the soreness has been the same since I woke up Monday morning. Its a mild soreness but is still an annoying soreness where if I sit in the wrong way they get soar, or like I was walking earlier today and it hurt to walk. I have checked for lumps and I have found none, there is no discoloration on my balls either. It's just soar. Occasionally my right testicle is more soar than the left. 
Also, I am not sure if this is helpful, but in the past 6 months or so, there are times in the day where I will be sitting (either at my desk or in the car) where the right side will feel soar. I was never worried about it because I had injured my groin and I assumed it was just my groin that was soar. 
Please if anyone can help me out with some advice or recommending me to someone or a page that knows more about this that would be so helpful.</t>
        </is>
      </c>
      <c r="D9358" t="n">
        <v>1</v>
      </c>
      <c r="E9358" t="n">
        <v>3</v>
      </c>
      <c r="F9358">
        <f>HYPERLINK("https://www.reddit.com/r/cancer/comments/gn4uoi/soreness_of_testicles_for_multiple_days_after/")</f>
        <v/>
      </c>
      <c r="G9358" t="inlineStr">
        <is>
          <t>2020-05-19 21:43:45</t>
        </is>
      </c>
      <c r="H9358" t="inlineStr"/>
    </row>
    <row r="9359">
      <c r="A9359" t="inlineStr">
        <is>
          <t>gn79uf</t>
        </is>
      </c>
      <c r="B9359" t="inlineStr">
        <is>
          <t>I just found out my dad has cancer</t>
        </is>
      </c>
      <c r="C9359" t="inlineStr">
        <is>
          <t>Hi, I'm new to all this and I just need to write some stuff.
I just found out today my dad has cancer of the small intestine. They found multiple tumors there during a laparoscopic surgery to address a bowel obstruction that was thought to be caused by some adhesions from previous surgeries (gall bladder removal and hernia). They resected about 6" of intestine but said they couldn't continue because to get everything would mean removing too much bowel. Apparently it started in the appendix and spread from there, causing the obstruction. They didn't catch it over a number of regular check-ups/colonoscopies and CT scans because I guess it looks very similar to the regular tissue and there's not much to differentiate. It's a carcinoma and that's not so good. We're waiting on more detailed test results but it's likely Stage III or IV which means months to....years, it depends on the type and the reaction to chemo. If he chooses to do it, he may not and I respect that but... I don't know. But, fuck you, world. Fuck you. We still have so many things to do together. I thought we had at least another 20 years.</t>
        </is>
      </c>
      <c r="D9359" t="n">
        <v>1</v>
      </c>
      <c r="E9359" t="n">
        <v>8</v>
      </c>
      <c r="F9359">
        <f>HYPERLINK("https://www.reddit.com/r/cancer/comments/gn79uf/i_just_found_out_my_dad_has_cancer/")</f>
        <v/>
      </c>
      <c r="G9359" t="inlineStr">
        <is>
          <t>2020-05-20 01:02:23</t>
        </is>
      </c>
      <c r="H9359" t="inlineStr"/>
    </row>
    <row r="9360">
      <c r="A9360" t="inlineStr">
        <is>
          <t>gn7gf3</t>
        </is>
      </c>
      <c r="B9360" t="inlineStr">
        <is>
          <t>Black spots on glans</t>
        </is>
      </c>
      <c r="C9360" t="inlineStr">
        <is>
          <t>Hi,
I am a 24-year-old man. I recently discovered 3-4 black spots on the glans of my penis. I am sure there are 3 spots. Not sure about the 4th one though.
So, I have multiple problems apart from the spots.
First, I am uncut. Also, my foreskin is a bit tight. It has always been tight, so I never pulled it back often. This has led to another problem of smegma accumulation.
Also, tight foreskin has led to very sensitive glans. On top of these problems, my flaccid penis size is barely 2 inches. This makes it extremely hard for me to pull back the foreskin completely.
So, here’s a list:
1. Black spots on glans: Don’t know the cause.
2. Tight foreskin: Causes problem no 3 and 4
3. Smegma accumulation: May cause problem 1 due to irritation.
4. Sensitive glans.
5. Flaccid size is 2 inch: Prevents me from solving problem 2.
Out of all these, my main concern is problem 1, those 3 black spots. After reading on the internet, I suspect I have either of the two cases:
A. Penile Melanosis.
B. Penile Melanoma.
If its case A then its nothing to worry about, I guess. When I checked for the symptoms for case B, I had none of the symptoms like swelling, bleeding etc.
However, what makes me a bit skeptical is that I read somewhere, having smegma built up overtime can cause irritation and can increase the risk of cancer (case B).
Also, regarding the spots, they are black in color, flat round shaped. No pain. No bleeding. No swelling. Out of the 3 confirmed spots, one was present from 3-4 years. The 2 new ones might have appeared recently.
Sorry for my bad English.
Would appreciate any help in this regard. Thanks a lot!</t>
        </is>
      </c>
      <c r="D9360" t="n">
        <v>1</v>
      </c>
      <c r="E9360" t="n">
        <v>0</v>
      </c>
      <c r="F9360">
        <f>HYPERLINK("https://www.reddit.com/r/cancer/comments/gn7gf3/black_spots_on_glans/")</f>
        <v/>
      </c>
      <c r="G9360" t="inlineStr">
        <is>
          <t>2020-05-20 01:18:35</t>
        </is>
      </c>
      <c r="H9360" t="inlineStr"/>
    </row>
    <row r="9361">
      <c r="A9361" t="inlineStr">
        <is>
          <t>gn9ex9</t>
        </is>
      </c>
      <c r="B9361" t="inlineStr">
        <is>
          <t>What is your preferred surveillance scan?</t>
        </is>
      </c>
      <c r="C9361" t="inlineStr">
        <is>
          <t>Thanks! Sending healing aloha!
[View Poll](https://www.reddit.com/poll/gn9ex9)</t>
        </is>
      </c>
      <c r="D9361" t="n">
        <v>1</v>
      </c>
      <c r="E9361" t="n">
        <v>4</v>
      </c>
      <c r="F9361">
        <f>HYPERLINK("https://www.reddit.com/r/cancer/comments/gn9ex9/what_is_your_preferred_surveillance_scan/")</f>
        <v/>
      </c>
      <c r="G9361" t="inlineStr">
        <is>
          <t>2020-05-20 04:08:29</t>
        </is>
      </c>
      <c r="H9361" t="inlineStr"/>
    </row>
    <row r="9362">
      <c r="A9362" t="inlineStr">
        <is>
          <t>gn9x1g</t>
        </is>
      </c>
      <c r="B9362" t="inlineStr">
        <is>
          <t>My dad (64) is scheduled for a partial cystectomy for urachal cancer on June 2. We can't be there because of COVID- ideas for care package?</t>
        </is>
      </c>
      <c r="C9362" t="inlineStr">
        <is>
          <t>I want to send some things with him to help him feel at least a little taken care of, since he'll be in the hospital for 3-5 days after the surgery. Bonus points if they're still useful for the rest of surgery recovery and beyond, but definitely not required!
I'm sending the first couple books of the Expanse series for once he gets lucid enough to read, and he has a tablet for video chats, but aside from this and a drawing from the grandkidlet I'm at sea as to what might be needed/useful/practical.
Thanks in advance, you wonderful humans.</t>
        </is>
      </c>
      <c r="D9362" t="n">
        <v>1</v>
      </c>
      <c r="E9362" t="n">
        <v>0</v>
      </c>
      <c r="F9362">
        <f>HYPERLINK("https://www.reddit.com/r/cancer/comments/gn9x1g/my_dad_64_is_scheduled_for_a_partial_cystectomy/")</f>
        <v/>
      </c>
      <c r="G9362" t="inlineStr">
        <is>
          <t>2020-05-20 04:49:20</t>
        </is>
      </c>
      <c r="H9362" t="inlineStr"/>
    </row>
    <row r="9363">
      <c r="A9363" t="inlineStr">
        <is>
          <t>gnaimj</t>
        </is>
      </c>
      <c r="B9363" t="inlineStr">
        <is>
          <t>Keytruda is working!!!</t>
        </is>
      </c>
      <c r="C9363" t="inlineStr">
        <is>
          <t>Dad diagnosed with NSCLC stage IV 2 months ago. Some radiotherapy for his bone mets, both main therapy is keytruda immunotherapy regularly. 
Today he had his first checkup since starting the therapy. Oncologist talk will be on Friday, but the radiologist said that compared to the last scan, the lesions in the lung went back by 40-50%!!! None of us dared to hope for such a great short-term result already, my family is super happy right now. :) It seems like such a dark time right now, both worldwide and personal, and this is such a magnificent ray of hope for me.</t>
        </is>
      </c>
      <c r="D9363" t="n">
        <v>1</v>
      </c>
      <c r="E9363" t="n">
        <v>20</v>
      </c>
      <c r="F9363">
        <f>HYPERLINK("https://www.reddit.com/r/cancer/comments/gnaimj/keytruda_is_working/")</f>
        <v/>
      </c>
      <c r="G9363" t="inlineStr">
        <is>
          <t>2020-05-20 05:33:15</t>
        </is>
      </c>
      <c r="H9363" t="inlineStr"/>
    </row>
    <row r="9364">
      <c r="A9364" t="inlineStr">
        <is>
          <t>gnclxu</t>
        </is>
      </c>
      <c r="B9364" t="inlineStr">
        <is>
          <t>waiting on biopsy results</t>
        </is>
      </c>
      <c r="C9364" t="inlineStr">
        <is>
          <t>i got a biopsy done on my lump on my inner cheek and i've been waiting on my biopsy results. they said i should call if i don't hear back in 2 weeks so i did. they said they will call me in one week (which will be tomorrow). this is all understandable due to current events (covid). my question is: will they prioritize biopsies that are likely to have unfavourable results? the waiting is killing me and i'm hoping that it is taking longer because it's nothing to worry about.</t>
        </is>
      </c>
      <c r="D9364" t="n">
        <v>1</v>
      </c>
      <c r="E9364" t="n">
        <v>0</v>
      </c>
      <c r="F9364">
        <f>HYPERLINK("https://www.reddit.com/r/cancer/comments/gnclxu/waiting_on_biopsy_results/")</f>
        <v/>
      </c>
      <c r="G9364" t="inlineStr">
        <is>
          <t>2020-05-20 07:44:42</t>
        </is>
      </c>
      <c r="H9364" t="inlineStr"/>
    </row>
    <row r="9365">
      <c r="A9365" t="inlineStr">
        <is>
          <t>gndr4c</t>
        </is>
      </c>
      <c r="B9365" t="inlineStr">
        <is>
          <t>My mom has stage 4 colon cancer that has spread</t>
        </is>
      </c>
      <c r="C9365" t="inlineStr">
        <is>
          <t>She was diagnosed over a year ago and given less than a year to live. She has the surgery for the chemo pump and the ileostomy bag done. Recently she has been going down hill and has developed blood clots that are so bad shes been taken off chemo and put on blood thinners. Which now she has to inject into her stomach. Also losing the ability to walk and her appetite. I'm really worried if she's nearing the end. Seeing the strongest most caring person in my life deteriorate to this has been really hard. I love her so much and I don't want to lose her.</t>
        </is>
      </c>
      <c r="D9365" t="n">
        <v>1</v>
      </c>
      <c r="E9365" t="n">
        <v>4</v>
      </c>
      <c r="F9365">
        <f>HYPERLINK("https://www.reddit.com/r/cancer/comments/gndr4c/my_mom_has_stage_4_colon_cancer_that_has_spread/")</f>
        <v/>
      </c>
      <c r="G9365" t="inlineStr">
        <is>
          <t>2020-05-20 08:47:07</t>
        </is>
      </c>
      <c r="H9365" t="inlineStr"/>
    </row>
    <row r="9366">
      <c r="A9366" t="inlineStr">
        <is>
          <t>gndsyb</t>
        </is>
      </c>
      <c r="B9366" t="inlineStr">
        <is>
          <t>Can inactivity cause cancer?</t>
        </is>
      </c>
      <c r="C9366" t="inlineStr">
        <is>
          <t xml:space="preserve"> Hi everyone, I am so confused by something i read today.The text i read was mentioning about relation between inactivity and cancer also there was a research given from cancer.org that's why it took my attention because I don’t have an active lifestyle as most of people and lost my relatives because of cancer. Here is the whole text for you to have a look and give an opinion. [https://mashable.com/shopping/may-20-moovbuddy-exercise-app-sale/](https://mashable.com/shopping/may-20-moovbuddy-exercise-app-sale/)</t>
        </is>
      </c>
      <c r="D9366" t="n">
        <v>1</v>
      </c>
      <c r="E9366" t="n">
        <v>3</v>
      </c>
      <c r="F9366">
        <f>HYPERLINK("https://www.reddit.com/r/cancer/comments/gndsyb/can_inactivity_cause_cancer/")</f>
        <v/>
      </c>
      <c r="G9366" t="inlineStr">
        <is>
          <t>2020-05-20 08:49:45</t>
        </is>
      </c>
      <c r="H9366" t="inlineStr"/>
    </row>
    <row r="9367">
      <c r="A9367" t="inlineStr">
        <is>
          <t>gne2c4</t>
        </is>
      </c>
      <c r="B9367" t="inlineStr">
        <is>
          <t>Semi-scan update</t>
        </is>
      </c>
      <c r="C9367" t="inlineStr">
        <is>
          <t>Had CT with contrast yesterday. Every time they give me contrast they warn I may feel burning in my arm or chest. That never happens but my balls and butthole catch fire. Guess all the blood goes to my groin :)
Anyway I’m on a work call and caller ID shows my oncologist office calling. Ditch work and answer with my heart in my throat. 
Nurse says Doc wants me to come in this week (appointment is Tuesday next week) and now I’m about to hyperventilate. Just want to do my labs early and asked if ok for the appointment next week to be telemedicine. 
I take that the mean all is good since she should have received the CT report last night based on past history. 
So for now I’m not sweating. Not even my balls since the contrast is out of my system.  :)</t>
        </is>
      </c>
      <c r="D9367" t="n">
        <v>1</v>
      </c>
      <c r="E9367" t="n">
        <v>0</v>
      </c>
      <c r="F9367">
        <f>HYPERLINK("https://www.reddit.com/r/cancer/comments/gne2c4/semiscan_update/")</f>
        <v/>
      </c>
      <c r="G9367" t="inlineStr">
        <is>
          <t>2020-05-20 09:03:20</t>
        </is>
      </c>
      <c r="H9367" t="inlineStr"/>
    </row>
    <row r="9368">
      <c r="A9368" t="inlineStr">
        <is>
          <t>gnexim</t>
        </is>
      </c>
      <c r="B9368" t="inlineStr">
        <is>
          <t>Should I tell my boss I'm going to an oncologist tomorrow?</t>
        </is>
      </c>
      <c r="C9368" t="inlineStr">
        <is>
          <t>I've been having weird symptoms for the past year. Recently my primary doctor referred me to an oncologist. My first appointment is tomorrow. I am very anxious, but haven't told anyone outside my immediate family because I don't want people to worry when I don't know anything for sure yet. On the other hand, I have a good relationship with my boss, and feel like I should give her a heads up that I'm not feeling well, and it could potentially affect work but I don't know yet. Hypothetically, wouldn't it be worse to suddenly tell her I have cancer when she had no idea I even had health issues? Is it bad that I just want to tell someone that I'm scared?</t>
        </is>
      </c>
      <c r="D9368" t="n">
        <v>1</v>
      </c>
      <c r="E9368" t="n">
        <v>1</v>
      </c>
      <c r="F9368">
        <f>HYPERLINK("https://www.reddit.com/r/cancer/comments/gnexim/should_i_tell_my_boss_im_going_to_an_oncologist/")</f>
        <v/>
      </c>
      <c r="G9368" t="inlineStr">
        <is>
          <t>2020-05-20 09:48:26</t>
        </is>
      </c>
      <c r="H9368" t="inlineStr"/>
    </row>
    <row r="9369">
      <c r="A9369" t="inlineStr">
        <is>
          <t>gnf0tk</t>
        </is>
      </c>
      <c r="B9369" t="inlineStr">
        <is>
          <t>My dad's cancer diagnosis is killing me.</t>
        </is>
      </c>
      <c r="C9369" t="inlineStr">
        <is>
          <t>A few weeks ago, just as my brother had recovered from COVID-19 and I was finally feeling like I was doing ok with the quarantine, focusing on planning my 2021 wedding, my parents Zoomed us to tell us that my dad has cancer in his lungs. He'd been getting tests done for what we thought was a lung infection from an old injury, but it turns out there was a tumor and it is cancer. 
I feel like my world cracked and I just can't relax. He's had a few CT and PET scans since then and we still don't have an official diagnosis or prognosis. It's not in his brain. But he does have cancer in his liver and I guess in multiple parts of the same lung? My parents are going in to meet with the oncologist and discuss it all in one week, and this is going to be the longest week of my life. 
And then it's not going to get better. It's probably going to get much worse, right?   
My dad is my favourite person on the planet. I say it all the time. I tease my fiance all the time that he and my best friend are just fighting for second, because my dad is the best. He is the best. He's 65. He's not old. He works hard and has lots of energy and is goofy and fun and cooks and entertains us all. Anytime anyone mentions my upcoming wedding, they always say they can't wait for my dad's speech. The idea that our family might not get that big wedding with his big antics is actually heartbreaking, as dumb as that sounds. 
Without a diagnosis, I feel paralyzed. I don't know what his odds are because I don't know what we're dealing with. Is it normal to have to wait this long?! I am lucky to be working from home because I burst into tears at random. So many of my close friends have lost a parent to cancer recently so I find it hard to stay positive. He's relatively healthy, but an incredibly functional alcohol which worries me. Was a pipe smoker but gave that up when I was born in the late 80's and hasn't smoked anything since. I just need hope. I can't face the idea that he might not be here. I need hope.</t>
        </is>
      </c>
      <c r="D9369" t="n">
        <v>1</v>
      </c>
      <c r="E9369" t="n">
        <v>0</v>
      </c>
      <c r="F9369">
        <f>HYPERLINK("https://www.reddit.com/r/cancer/comments/gnf0tk/my_dads_cancer_diagnosis_is_killing_me/")</f>
        <v/>
      </c>
      <c r="G9369" t="inlineStr">
        <is>
          <t>2020-05-20 09:53:16</t>
        </is>
      </c>
      <c r="H9369" t="inlineStr"/>
    </row>
    <row r="9370">
      <c r="A9370" t="inlineStr">
        <is>
          <t>gnf1iy</t>
        </is>
      </c>
      <c r="B9370" t="inlineStr">
        <is>
          <t>Help me cope with my dad having cancer.</t>
        </is>
      </c>
      <c r="C9370" t="inlineStr">
        <is>
          <t>A few weeks ago, just as my brother had recovered from COVID-19 and I was finally feeling like I was doing ok with the quarantine, focusing on planning my 2021 wedding, my parents Zoomed us to tell us that my dad has cancer in his lungs. He'd been getting tests done for what we thought was a lung infection from an old injury, but it turns out there was a tumor and it is cancer.
I feel like my world cracked and I just can't relax. He's had a few CT and PET scans since then and we still don't have an official diagnosis or prognosis. It's not in his brain. But he does have cancer in his liver and I guess in multiple parts of the same lung? My parents are going in to meet with the oncologist and discuss it all in one week, and this is going to be the longest week of my life.
And then it's not going to get better. It's probably going to get much worse, right?
My dad is my favourite person on the planet. I say it all the time. I tease my fiance all the time that he and my best friend are just fighting for second, because my dad is the best. He is the best. He's 65. He's not old. He works hard and has lots of energy and is goofy and fun and cooks and entertains us all. Anytime anyone mentions my upcoming wedding, they always say they can't wait for my dad's speech. The idea that our family might not get that big wedding with his big antics is actually heartbreaking, as dumb as that sounds.
Without a diagnosis, I feel paralyzed. I don't know what his odds are because I don't know what we're dealing with. Is it normal to have to wait this long?! I am lucky to be working from home because I burst into tears at random. So many of my close friends have lost a parent to cancer recently so I find it hard to stay positive. He's relatively healthy, but an incredibly functional alcohol which worries me. Was a pipe smoker but gave that up when I was born in the late 80's and hasn't smoked anything since. I just need hope. I can't face the idea that he might not be here. I need hope.</t>
        </is>
      </c>
      <c r="D9370" t="n">
        <v>1</v>
      </c>
      <c r="E9370" t="n">
        <v>3</v>
      </c>
      <c r="F9370">
        <f>HYPERLINK("https://www.reddit.com/r/cancer/comments/gnf1iy/help_me_cope_with_my_dad_having_cancer/")</f>
        <v/>
      </c>
      <c r="G9370" t="inlineStr">
        <is>
          <t>2020-05-20 09:54:14</t>
        </is>
      </c>
      <c r="H9370" t="inlineStr"/>
    </row>
    <row r="9371">
      <c r="A9371" t="inlineStr">
        <is>
          <t>gng620</t>
        </is>
      </c>
      <c r="B9371" t="inlineStr">
        <is>
          <t>Scared to death...</t>
        </is>
      </c>
      <c r="C9371" t="inlineStr">
        <is>
          <t>So i got a swollen something in the area of my lymph nodes on my throath, did the blood tests, they were okay. Monday i got a xray to see if its something bad. I have huge sleeping problems and when i sleep i wake up sweaty.. Im just really terrified i got that sort of cancer.. Anyone experienced something like that? I cried all day yesterday, and today for a hour too.. Im only 23</t>
        </is>
      </c>
      <c r="D9371" t="n">
        <v>1</v>
      </c>
      <c r="E9371" t="n">
        <v>2</v>
      </c>
      <c r="F9371">
        <f>HYPERLINK("https://www.reddit.com/r/cancer/comments/gng620/scared_to_death/")</f>
        <v/>
      </c>
      <c r="G9371" t="inlineStr">
        <is>
          <t>2020-05-20 10:52:28</t>
        </is>
      </c>
      <c r="H9371" t="inlineStr"/>
    </row>
    <row r="9372">
      <c r="A9372" t="inlineStr">
        <is>
          <t>gngabk</t>
        </is>
      </c>
      <c r="B9372" t="inlineStr">
        <is>
          <t>About Glioblastoma and Temozolomide's effects on the cellular level</t>
        </is>
      </c>
      <c r="C9372" t="inlineStr">
        <is>
          <t>Hi! I am currently struggling with a Bio paper on Glioblastoma, specifically on what parts of the cell cycle glioblastoma derails (like tumor suppressant p53), and what Temozolomide does to prevent Glioblastoma. I don't understand its effectiveness, although in this study I read apparently 80% of ppl on Temozolomide whose condition improved also had their MGMT gene (codes for cellular repair) either inactive or suppressed by the Temozolomide medication. Link to study - [http://genesdev.cshlp.org/content/21/21/2683.full.html](http://genesdev.cshlp.org/content/21/21/2683.full.html) Press command and f then type in temozolomide. one result will be in the actual study, the others in the bibliography.</t>
        </is>
      </c>
      <c r="D9372" t="n">
        <v>1</v>
      </c>
      <c r="E9372" t="n">
        <v>5</v>
      </c>
      <c r="F9372">
        <f>HYPERLINK("https://www.reddit.com/r/cancer/comments/gngabk/about_glioblastoma_and_temozolomides_effects_on/")</f>
        <v/>
      </c>
      <c r="G9372" t="inlineStr">
        <is>
          <t>2020-05-20 10:58:33</t>
        </is>
      </c>
      <c r="H9372" t="inlineStr"/>
    </row>
    <row r="9373">
      <c r="A9373" t="inlineStr">
        <is>
          <t>gngn8c</t>
        </is>
      </c>
      <c r="B9373" t="inlineStr">
        <is>
          <t>My (F23) Ex-girlfriend's (F24) new girlfriend (F35) might be lying about brain cancer.</t>
        </is>
      </c>
      <c r="C9373" t="inlineStr">
        <is>
          <t>So, I think my Ex-girlfriend's new girlfriend is lying about her brain cancer.
I am on relatively new terms with my ex, even though she left me for that woman. Yesterday, 6 months after the breakup, we talked again about what happened.
Apparently, her new girlfriend has a rare type of brain cancer and she's been telling people she was diagnosed 4 years ago, and the doctors had given her just a few months to live and she signed a document refusing treatment. Apparently the only treatment was available in one hospital in America (we're in Europe) and it costs millions.
That woman is in University and is getting excellent grades, she drives, works, and is social.
She said that one time her heart stopped and they took her to the hospital and brought her back to life.
My Ex-girlfriend told me that once, this woman collapsed in her arms.
When I asked her, why don't you guys live together? She said that the woman refuses to live with her because she doesn't want her to see her at her worst (implying she gets in a bad state when shes at home).
Btw: After they got in a relationship, a guy who's a friend of mine was talking with her sexually online, and I said it's none of my business and I don't think that would be the case anyways and said don't meddle with other people's lives. He sent me screenshots of the conversations and I was shocked... 
Of course I haven't told my ex about my doubts of her new gfs story, and I won't say anything of the sort because it's her life. While she opened up to me yesterday I was there and listened because I care about her and love her still. But I accept it's over. 
But I would like to ask you guys if you think the woman's story sounds real.
tl;dr: my ex's new gf might be lying about having a rare type of brain cancer that she's been surviving 4 years without any treatment, despite having an active lifestyle</t>
        </is>
      </c>
      <c r="D9373" t="n">
        <v>1</v>
      </c>
      <c r="E9373" t="n">
        <v>4</v>
      </c>
      <c r="F9373">
        <f>HYPERLINK("https://www.reddit.com/r/cancer/comments/gngn8c/my_f23_exgirlfriends_f24_new_girlfriend_f35_might/")</f>
        <v/>
      </c>
      <c r="G9373" t="inlineStr">
        <is>
          <t>2020-05-20 11:16:38</t>
        </is>
      </c>
      <c r="H9373" t="inlineStr"/>
    </row>
    <row r="9374">
      <c r="A9374" t="inlineStr">
        <is>
          <t>gngxgn</t>
        </is>
      </c>
      <c r="B9374" t="inlineStr">
        <is>
          <t>My coworker was just diagnosed with malignant melanoma. I am a knitter and want to make something for him but I have no idea where to start.</t>
        </is>
      </c>
      <c r="C9374" t="inlineStr">
        <is>
          <t>Is there something that is nice to have while undergoing treatments? Or a reminder that the office is thinking about him and is rooting for him?</t>
        </is>
      </c>
      <c r="D9374" t="n">
        <v>1</v>
      </c>
      <c r="E9374" t="n">
        <v>5</v>
      </c>
      <c r="F9374">
        <f>HYPERLINK("https://www.reddit.com/r/cancer/comments/gngxgn/my_coworker_was_just_diagnosed_with_malignant/")</f>
        <v/>
      </c>
      <c r="G9374" t="inlineStr">
        <is>
          <t>2020-05-20 11:30:58</t>
        </is>
      </c>
      <c r="H9374" t="inlineStr"/>
    </row>
    <row r="9375">
      <c r="A9375" t="inlineStr">
        <is>
          <t>gnh4nm</t>
        </is>
      </c>
      <c r="B9375" t="inlineStr">
        <is>
          <t>How do I break the news to my family that I might have cancer?</t>
        </is>
      </c>
      <c r="C9375" t="inlineStr">
        <is>
          <t>Last week I went to my doctors for a routine evaluation of a condition I was born with.  Those conditions are neurofibromatosis and osteocondroma.  After my visit everything was normal, until my doctor told that they had to reevaluate my MRI / CTScan / X-rays re-evaluated.  So they did, 3 days later I got an email from them, and saying that my scans show something around my back, and since mt condition , they fear its Malignant Peripheral Nerve Sheath Tumor (MPNST), and now they want to me to redo a test to really confirm if I have that or not.  
Now both are my parents have high blood pressure, one of them has hearth problems, and other health related conditions.  I don't want to put any strain on them cause of this, cause I don't want to feel guilty if I tell them the news, the stress and pressure of this is going to cause them health issues and such will cause them to fall ill or worsen their own conditions.    
I wont have the test redone again till next month, then I'll know for sure if I have cancer or not.  
So what should I do?   
:/</t>
        </is>
      </c>
      <c r="D9375" t="n">
        <v>1</v>
      </c>
      <c r="E9375" t="n">
        <v>4</v>
      </c>
      <c r="F9375">
        <f>HYPERLINK("https://www.reddit.com/r/cancer/comments/gnh4nm/how_do_i_break_the_news_to_my_family_that_i_might/")</f>
        <v/>
      </c>
      <c r="G9375" t="inlineStr">
        <is>
          <t>2020-05-20 11:40:58</t>
        </is>
      </c>
      <c r="H9375" t="inlineStr"/>
    </row>
    <row r="9376">
      <c r="A9376" t="inlineStr">
        <is>
          <t>gnio5y</t>
        </is>
      </c>
      <c r="B9376" t="inlineStr">
        <is>
          <t>Ok I’m gonna bitch now</t>
        </is>
      </c>
      <c r="C9376" t="inlineStr">
        <is>
          <t>This blows. It’s not bad enough to get diagnosed with cancer. It had to happen during a fucking pandemic. So I’m not allowed to bring a buddy to chemo and I have to manage my cold caps by myself. I’m not allowed to have an actual physical exam by my doc until halfway thru chemo. And now I’ve been informed I have to have a covid nasal test (aka torture) two days before every chemo session.  
I know I have a lot to be grateful for, like being employed, and my two happy healthy children. But this fucking sucks and I would like to stop continually finding out how my life could get any worse now please. End of rant. Thank you.</t>
        </is>
      </c>
      <c r="D9376" t="n">
        <v>1</v>
      </c>
      <c r="E9376" t="n">
        <v>39</v>
      </c>
      <c r="F9376">
        <f>HYPERLINK("https://www.reddit.com/r/cancer/comments/gnio5y/ok_im_gonna_bitch_now/")</f>
        <v/>
      </c>
      <c r="G9376" t="inlineStr">
        <is>
          <t>2020-05-20 13:00:19</t>
        </is>
      </c>
      <c r="H9376" t="inlineStr"/>
    </row>
    <row r="9377">
      <c r="A9377" t="inlineStr">
        <is>
          <t>gnjkxa</t>
        </is>
      </c>
      <c r="B9377" t="inlineStr">
        <is>
          <t>Terminal agitation/restlessness?</t>
        </is>
      </c>
      <c r="C9377" t="inlineStr">
        <is>
          <t>I posted I believe only yesterday explaining about my dad being in hospice and saying he was going to die overnight.
He's still with us but the hospice have said he is now experiencing terminal agitation..
Has anyone else had experience with this? How long does it usually last before the end? 
I've read online it can mean he is distressed or anxious and I hate that he may feel this way considering the last couple of weeks he has seemed some what comfortable.</t>
        </is>
      </c>
      <c r="D9377" t="n">
        <v>1</v>
      </c>
      <c r="E9377" t="n">
        <v>4</v>
      </c>
      <c r="F9377">
        <f>HYPERLINK("https://www.reddit.com/r/cancer/comments/gnjkxa/terminal_agitationrestlessness/")</f>
        <v/>
      </c>
      <c r="G9377" t="inlineStr">
        <is>
          <t>2020-05-20 13:48:36</t>
        </is>
      </c>
      <c r="H9377" t="inlineStr"/>
    </row>
    <row r="9378">
      <c r="A9378" t="inlineStr">
        <is>
          <t>gnjltc</t>
        </is>
      </c>
      <c r="B9378" t="inlineStr">
        <is>
          <t>Confused and Scared</t>
        </is>
      </c>
      <c r="C9378" t="inlineStr">
        <is>
          <t>So just to give a little background, I am 27, one child who is 6 and I am married. Back in March I had my PAP, which showed abnormal cells and I was called in for a Colposcopy. It had been about 5 years since I had a PAP, which I know, I messed up but hindsight is 20/20. Lesson learned. I didn't have a single issue so i thought it could wait. At my Colposcopy i had a LEEP done. Today i went back to review the biopsy and I was told they told me I have carcinoma in situ of end of cervix. I have been referred to a GYN Oncologist. My regular GYN said that the Oncologist will PROBABLY just want to do a hysterectomy, but he couldn't say for sure. I am completely confused, I had to go to the appointment by myself because of COVID, and I have literally never had medical issues so this is so foriegn and scary. What's next? What is going to happen to me? Had anybody else had a similar experience they mind sharing? I am so scared for my 6 year old to not have me here.</t>
        </is>
      </c>
      <c r="D9378" t="n">
        <v>1</v>
      </c>
      <c r="E9378" t="n">
        <v>15</v>
      </c>
      <c r="F9378">
        <f>HYPERLINK("https://www.reddit.com/r/cancer/comments/gnjltc/confused_and_scared/")</f>
        <v/>
      </c>
      <c r="G9378" t="inlineStr">
        <is>
          <t>2020-05-20 13:49:58</t>
        </is>
      </c>
      <c r="H9378" t="inlineStr"/>
    </row>
    <row r="9379">
      <c r="A9379" t="inlineStr">
        <is>
          <t>gnjlui</t>
        </is>
      </c>
      <c r="B9379" t="inlineStr">
        <is>
          <t>Just some good news- Full response halfway through Chemo!</t>
        </is>
      </c>
      <c r="C9379" t="inlineStr">
        <is>
          <t>Last time I only had a partial response with Rituxan, but with Bendeka &amp;amp; Gazyva it looks like the CT scan was clear. Now I just hope my Insurance pays for PET at the end of the Cycle!</t>
        </is>
      </c>
      <c r="D9379" t="n">
        <v>1</v>
      </c>
      <c r="E9379" t="n">
        <v>6</v>
      </c>
      <c r="F9379">
        <f>HYPERLINK("https://www.reddit.com/r/cancer/comments/gnjlui/just_some_good_news_full_response_halfway_through/")</f>
        <v/>
      </c>
      <c r="G9379" t="inlineStr">
        <is>
          <t>2020-05-20 13:50:03</t>
        </is>
      </c>
      <c r="H9379" t="inlineStr"/>
    </row>
    <row r="9380">
      <c r="A9380" t="inlineStr">
        <is>
          <t>gnjnpr</t>
        </is>
      </c>
      <c r="B9380" t="inlineStr">
        <is>
          <t>Men of this subreddit, please help a brother out:</t>
        </is>
      </c>
      <c r="C9380" t="inlineStr">
        <is>
          <t>So full disclaimer, I'm not even sure if this is an STD but I don't know where to ask so here it goes: I woke up 30 mins earlier with a full bladder, so I went to the toilet. While peeing, I accidentally pressed down hard on the head of my penis and noticed a very small lump in the center, on the lower part of the glans. It doesn't seem superficial. In fact I feel like it's in the urethra, but I'm not sure.
&amp;amp;#x200B;
Is this normal? Can you guys check for me? Lol. I'm kind of worried this could be an STD or a cancer thing. I saw an online post on Men's Health Forum from 2003 that says there is a small tag of tissue which forms inside the urethra which can rather feel as a small knot. But I'm not sure :/</t>
        </is>
      </c>
      <c r="D9380" t="n">
        <v>1</v>
      </c>
      <c r="E9380" t="n">
        <v>6</v>
      </c>
      <c r="F9380">
        <f>HYPERLINK("https://www.reddit.com/r/cancer/comments/gnjnpr/men_of_this_subreddit_please_help_a_brother_out/")</f>
        <v/>
      </c>
      <c r="G9380" t="inlineStr">
        <is>
          <t>2020-05-20 13:52:49</t>
        </is>
      </c>
      <c r="H9380" t="inlineStr"/>
    </row>
    <row r="9381">
      <c r="A9381" t="inlineStr">
        <is>
          <t>gnk80h</t>
        </is>
      </c>
      <c r="B9381" t="inlineStr">
        <is>
          <t>Immunotherapy and cannabis</t>
        </is>
      </c>
      <c r="C9381" t="inlineStr">
        <is>
          <t>Anyone here on immuno use weed? I have just read the study that shows it hinders the effect of immuno, however I've been doing it and my tumors have shrunk. I don't use a lot, a 10 mg gummy at night for sleep/anxiety and occasionally I'll smoke. I like it better than Ativan and Ambien. My doctor doesn't have a problem with it, but I'd hate to hinder my progress. Any personal insight? Thank you!</t>
        </is>
      </c>
      <c r="D9381" t="n">
        <v>1</v>
      </c>
      <c r="E9381" t="n">
        <v>11</v>
      </c>
      <c r="F9381">
        <f>HYPERLINK("https://www.reddit.com/r/cancer/comments/gnk80h/immunotherapy_and_cannabis/")</f>
        <v/>
      </c>
      <c r="G9381" t="inlineStr">
        <is>
          <t>2020-05-20 14:52:50</t>
        </is>
      </c>
      <c r="H9381" t="inlineStr"/>
    </row>
    <row r="9382">
      <c r="A9382" t="inlineStr">
        <is>
          <t>gnl79g</t>
        </is>
      </c>
      <c r="B9382" t="inlineStr">
        <is>
          <t>After a year long battle</t>
        </is>
      </c>
      <c r="C9382" t="inlineStr">
        <is>
          <t>My father passed away at 715 this morning.
I’ll miss him so. He was my best dad.</t>
        </is>
      </c>
      <c r="D9382" t="n">
        <v>1</v>
      </c>
      <c r="E9382" t="n">
        <v>16</v>
      </c>
      <c r="F9382">
        <f>HYPERLINK("https://www.reddit.com/r/cancer/comments/gnl79g/after_a_year_long_battle/")</f>
        <v/>
      </c>
      <c r="G9382" t="inlineStr">
        <is>
          <t>2020-05-20 16:06:17</t>
        </is>
      </c>
      <c r="H9382" t="inlineStr"/>
    </row>
    <row r="9383">
      <c r="A9383" t="inlineStr">
        <is>
          <t>gnldlh</t>
        </is>
      </c>
      <c r="B9383" t="inlineStr">
        <is>
          <t>Tumor marker, chemo, and stage 4 colon cancer</t>
        </is>
      </c>
      <c r="C9383" t="inlineStr">
        <is>
          <t>Hello all,
My dad was diagnosed with stage 4 colon cancer (liver metastases) in Aug/Sept 2019. He started receiving chemo (XELOX) in Oct, went through 3 rounds, stopped due to low platelet level in Dec, then had a proctosigmoidectomy right before new years day.
Stopped chemo for about two months as he recovers from the surgery, then two rounds of Capecitabine oral only, and started on XELOX (round 4) again in April, and just had XELOX round 5 recently (reduced dosage).
His initial pre-chemo PET-CT from Sept came back with SUV of 12-15 in liver and colon, and PET-CT in April (with capecitabine only) shows highest value around 4-5. The two scans are taken in different countries so the value will vary some, but we feel like it's an improvement.
He is not feeling worse than a few months ago, or maybe even a little better (less abdominal and liver pain, almost no bitterness in mouth) now, but the tumor markers from his recent blood test are not good.
CEA is around 80 (30% jump from April before restarting XELOX), and CA19-9 is over 5000 (not tested at current facility in April, was 1200ish back in March, again done in a different country but still a huge jump).
Spoke with the oncologist this week, she is going to order CT scan, and switch his IV med from  Oxaliplatin to Irinotecan for next chemo.
We want to see if anyone else have seen roller-coastering in tumor markers during chemo for colon cancer, we know the tumor markers alone are not the best indicators but before we get the CT done it the marker results are causing a lot of emotional stress.</t>
        </is>
      </c>
      <c r="D9383" t="n">
        <v>1</v>
      </c>
      <c r="E9383" t="n">
        <v>10</v>
      </c>
      <c r="F9383">
        <f>HYPERLINK("https://www.reddit.com/r/cancer/comments/gnldlh/tumor_marker_chemo_and_stage_4_colon_cancer/")</f>
        <v/>
      </c>
      <c r="G9383" t="inlineStr">
        <is>
          <t>2020-05-20 16:17:09</t>
        </is>
      </c>
      <c r="H9383" t="inlineStr"/>
    </row>
    <row r="9384">
      <c r="A9384" t="inlineStr">
        <is>
          <t>gnligy</t>
        </is>
      </c>
      <c r="B9384" t="inlineStr">
        <is>
          <t>Update: Ultrasound today (thyroid cancer) and I’m still nervous!!</t>
        </is>
      </c>
      <c r="C9384" t="inlineStr">
        <is>
          <t>Hello all,
Yesterday, I had an appointment at the endocrinologist’s office. It went well but when the doctor felt my neck, she told me that I still have a nodule. Granted, it’s still small apparently but the spot where she found it is where I have discomfort when swallowing.
She doesn’t seem concerned thankfully even if it is cancer since the type that my mom and grandma had is very non-aggressive. Still though, the whole thing is stressful.
I also had some labs done. My TSH and Free T4 came back normal this morning but I had to wait until today to do the ultrasound because it was too late in the day to do it yesterday.
It’s over now but I’m still so nervous. The ultrasound took an hour to complete which was suuuper long compared to the prior ones I had which only lasted no more than 10 or 15 minutes. I asked the technician in the beginning roughly how many pics she would take and she said about 6-10 total plus some more for anything suspicious. Needless to say, she took a TON of pictures in the area where my nodule is.
She then explained that she had to go get her supervisor to double check her pictures (not unusual though since this is a learning hospital and she told me she hadn’t been working there for too long). The supervisor came in and spent another 20 minutes on that same spot fussing with the pictures using the doppler radar. I heard her say something to the newer technician about if she took any pictures showing both loves of my thyroid (a midline picture I believe?) since, as she put it, “the doctor might find it useful to potentially use it to compare for hypervascularity in one of the lobes” (that word scares me since I know it’s not good news). 
I knew the technician wouldn’t be able to tell me anything right away since it’s against the rules, however I am so anxious to know if anything has changed in these past few years!</t>
        </is>
      </c>
      <c r="D9384" t="n">
        <v>1</v>
      </c>
      <c r="E9384" t="n">
        <v>3</v>
      </c>
      <c r="F9384">
        <f>HYPERLINK("https://www.reddit.com/r/cancer/comments/gnligy/update_ultrasound_today_thyroid_cancer_and_im/")</f>
        <v/>
      </c>
      <c r="G9384" t="inlineStr">
        <is>
          <t>2020-05-20 16:25:15</t>
        </is>
      </c>
      <c r="H9384" t="inlineStr"/>
    </row>
    <row r="9385">
      <c r="A9385" t="inlineStr">
        <is>
          <t>gnmai5</t>
        </is>
      </c>
      <c r="B9385" t="inlineStr">
        <is>
          <t>Im scared . Actually terriefied .</t>
        </is>
      </c>
      <c r="C9385" t="inlineStr">
        <is>
          <t>Hello wonderful people . I pray you're doing well and staying safe during these hard times .
Im 19 
Around 4months ago i noticed some brown freckles under my left armpit (the region between the armpit and the breast) over a few months they spread to my left boob's top , i also have a distinct single freckle at the bottom of my left breast that developed later on  . I had a dull continuous pain throughout the month in both breasts for around 5or6 months now . Some weeks its only soreness that i can feel when my boobs are touched . Around 1 month ago my left boob's nipple and aereola region started developing red regions that itch if i scratch them .
I NEVER had such a thing before . Now these , with the breast pain , and the breast freckle are freaking me out bc of how they resemble IBC signs  .
I cant seek help bc when i told my mom she dismissed it , assuring me the freckles were just some "wierd stretchmarks" . She's depressed now bc of what's happening and i cant open up this topic again .
I cant dare go to a hospital and get checked because were on FULL lockdown , and hospitals are packed with patients and workers who might carry COVID19 , and i know the journey to diagnosis is very long and invasive  
I cant risk getting the disease and spreading it to my younger siblings . 
Im so tired of feeling guilty that i might be delaying an early diagnosis but also too scared to go outside bc of the covid situation .
This whole thing is draining life out of me ....
I want to thank you from the bottom of my heart if you read all of this ❤
Please pray for me</t>
        </is>
      </c>
      <c r="D9385" t="n">
        <v>1</v>
      </c>
      <c r="E9385" t="n">
        <v>7</v>
      </c>
      <c r="F9385">
        <f>HYPERLINK("https://www.reddit.com/r/cancer/comments/gnmai5/im_scared_actually_terriefied/")</f>
        <v/>
      </c>
      <c r="G9385" t="inlineStr">
        <is>
          <t>2020-05-20 17:10:03</t>
        </is>
      </c>
      <c r="H9385" t="inlineStr"/>
    </row>
    <row r="9386">
      <c r="A9386" t="inlineStr">
        <is>
          <t>gnmbqk</t>
        </is>
      </c>
      <c r="B9386" t="inlineStr">
        <is>
          <t>Radiation and Chemo survivors what little things helped you get through treatment?</t>
        </is>
      </c>
      <c r="C9386" t="inlineStr">
        <is>
          <t>Context:
My father in law is currently undergoing radiation and chemo in his throat. It has been several weeks and he was strong at the start but I can tell it is really starting to wearnon him.
Neither of us is the kind of man to ask for help or talk about feelings etc.
I want to anonymously give him a care pack that will help make things easier on him.
I would appreciate any suggestions from members who have gone through treatment or family members who saw something that made a big impact.
Thank you in advance</t>
        </is>
      </c>
      <c r="D9386" t="n">
        <v>1</v>
      </c>
      <c r="E9386" t="n">
        <v>6</v>
      </c>
      <c r="F9386">
        <f>HYPERLINK("https://www.reddit.com/r/cancer/comments/gnmbqk/radiation_and_chemo_survivors_what_little_things/")</f>
        <v/>
      </c>
      <c r="G9386" t="inlineStr">
        <is>
          <t>2020-05-20 17:12:10</t>
        </is>
      </c>
      <c r="H9386" t="inlineStr"/>
    </row>
    <row r="9387">
      <c r="A9387" t="inlineStr">
        <is>
          <t>gnmmsn</t>
        </is>
      </c>
      <c r="B9387" t="inlineStr">
        <is>
          <t>Clear cell carcinoma ovarian cancer stage 3A</t>
        </is>
      </c>
      <c r="C9387" t="inlineStr">
        <is>
          <t>Good evening everyone,
My aunt was recently diagnosed with clear cell carcinoma at stage 3A. It was quite the shock since she was always a healthy person. Her CA125 was within the range but a UTI treatment led the doctor to discover the cancer. She also had a complete debunking surgery 3 weeks ago.
Are there any ladies in her who have been through this experience and was the chemo treatment helpful? I anticipate recurrence but is this a death sentence? I have been reading that the 5 year survival rate is 60%. Is there any hope?
We have an appointment with the oncologist next week. I  read that sometimes it is chemo resistant. Can anyone provide me with some insight please.</t>
        </is>
      </c>
      <c r="D9387" t="n">
        <v>1</v>
      </c>
      <c r="E9387" t="n">
        <v>0</v>
      </c>
      <c r="F9387">
        <f>HYPERLINK("https://www.reddit.com/r/cancer/comments/gnmmsn/clear_cell_carcinoma_ovarian_cancer_stage_3a/")</f>
        <v/>
      </c>
      <c r="G9387" t="inlineStr">
        <is>
          <t>2020-05-20 17:30:48</t>
        </is>
      </c>
      <c r="H9387" t="inlineStr"/>
    </row>
    <row r="9388">
      <c r="A9388" t="inlineStr">
        <is>
          <t>gnmx72</t>
        </is>
      </c>
      <c r="B9388" t="inlineStr">
        <is>
          <t>Any tips on how to stay calm after recently finding out that you (as of now) have some sort of lymphoma?</t>
        </is>
      </c>
      <c r="C9388" t="inlineStr">
        <is>
          <t>(M,15)Ive been having breathing problems since November of last year and I thought that I developed some exercise induced asthma. Due to covid-19 they couldn't give me an official asthma test for a month but told me to get a chest x ray and if everything's okay, I'd try out an inhaler. Then the x ray showed that a mass was pushing against my trachea (which explained the breathing problems). I then got a stat CT scan and after a few stressful hours, raidology called and said as of now, they're calling it lymphoma. I'll be getting a biopsy done tomorrow or Friday. After doing some research, most lymphomas are easily treatable. The doctor confirmed that and said we caught it early. I know I'll fight this and I know I'll beat this. But Im just scared to know how long this will take. I was expecting to leave the clinic with an inhaler to try out, not that I had enlarged lymph nodes and need to start treatment immediately. it feels like a weird dream that I'm having. my immune system has had no past issues. I'm scared for what the future lies ahead in terms of how long it will take to fully recover this. I want to have this fully gone as soon as possible but I'm scared of that uncertainty and I don't know how this will be done. Can anybody who has dealt or is currently dealing with cancer give me some advice and tips to keep my mind off of it? I just feel so lost</t>
        </is>
      </c>
      <c r="D9388" t="n">
        <v>1</v>
      </c>
      <c r="E9388" t="n">
        <v>16</v>
      </c>
      <c r="F9388">
        <f>HYPERLINK("https://www.reddit.com/r/cancer/comments/gnmx72/any_tips_on_how_to_stay_calm_after_recently/")</f>
        <v/>
      </c>
      <c r="G9388" t="inlineStr">
        <is>
          <t>2020-05-20 17:48:19</t>
        </is>
      </c>
      <c r="H9388" t="inlineStr"/>
    </row>
    <row r="9389">
      <c r="A9389" t="inlineStr">
        <is>
          <t>gnns21</t>
        </is>
      </c>
      <c r="B9389" t="inlineStr">
        <is>
          <t>How is benign cancer?</t>
        </is>
      </c>
      <c r="C9389" t="inlineStr">
        <is>
          <t>Hey all my mum has recently been diagnosed with benign cancer on her milk ducts on the 50 yo mammogram, she told me it will spread in about 9 years but for now it's no problem and shes getting an operation briefing in 2 days.
Sorry if this doesnt fit the subreddit but I'm still a bit concerned even if it is benign.
Anyone had family members or friends who went through benigh cancer how was it if you dont mind telling me?</t>
        </is>
      </c>
      <c r="D9389" t="n">
        <v>1</v>
      </c>
      <c r="E9389" t="n">
        <v>9</v>
      </c>
      <c r="F9389">
        <f>HYPERLINK("https://www.reddit.com/r/cancer/comments/gnns21/how_is_benign_cancer/")</f>
        <v/>
      </c>
      <c r="G9389" t="inlineStr">
        <is>
          <t>2020-05-20 18:42:14</t>
        </is>
      </c>
      <c r="H9389" t="inlineStr"/>
    </row>
    <row r="9390">
      <c r="A9390" t="inlineStr">
        <is>
          <t>gnrdyi</t>
        </is>
      </c>
      <c r="B9390" t="inlineStr">
        <is>
          <t>UNITED COVID-19 STUDY INVITATION</t>
        </is>
      </c>
      <c r="C9390" t="inlineStr">
        <is>
          <t xml:space="preserve"> 
Hello r/cancer community members!
Many people live with serious conditions that weaken their ability to fight infections, making them more vulnerable to COVID-19, these include individuals currently undergoing cancer treatment. The COVID-19 pandemic has brought tremendous challenges for these individuals who need complex, continual care.
If you are currently undergoing cancer treatment we invite you to participate in a study that is happening at UBC! We will survey and interview individuals with cancer to explore how they are receiving care during the pandemic. Please click on the link below to take our survey and find out more about our study! [https://www.unifiedcovid.com/](https://www.unifiedcovid.com/)
Our study aims to explore the following topics: whether public responses to combat the pandemic have caused changes to their treatment, and how current circumstances have impacted their mental health. As of now, 70.7% of our participants were women and 29.3% were men. I am specifically reaching out to this community as we would like to address this gender gap in male participants. Please help us spread the word!</t>
        </is>
      </c>
      <c r="D9390" t="n">
        <v>1</v>
      </c>
      <c r="E9390" t="n">
        <v>0</v>
      </c>
      <c r="F9390">
        <f>HYPERLINK("https://www.reddit.com/r/cancer/comments/gnrdyi/united_covid19_study_invitation/")</f>
        <v/>
      </c>
      <c r="G9390" t="inlineStr">
        <is>
          <t>2020-05-20 23:05:48</t>
        </is>
      </c>
      <c r="H9390" t="inlineStr"/>
    </row>
    <row r="9391">
      <c r="A9391" t="inlineStr">
        <is>
          <t>gns4rm</t>
        </is>
      </c>
      <c r="B9391" t="inlineStr">
        <is>
          <t>Questions for Cancer Survivors and therapists</t>
        </is>
      </c>
      <c r="C9391" t="inlineStr">
        <is>
          <t>Hello everyone! I’m here because well, I’ve been doing some self reflection about my mental health. And well, I need some insight and maybe some advice from other cancer survivors. 
So, heres some backstory before I get to the questions. I had testicular cancer during my junior year in college which at the time seemed super inconvenient at the time. I dont mean “inconvenient” in the traditional sense because there is no convenient time to get cancer but it’s the best way I can describe the feeling of it. After discovering the oversized testicle, I did my research and knew there was a 90% likelihood of it being testicular cancer. So it came to no surprise when I was told by my family practitioner, I needed to go to the hospital for surgery. 
(Ignore this part if you’re not curious about the process of being diagnosed) 
Now, to make things clear about the timetable of being diagnosed. The timeline begins with me detecting the testicle being oversized ( a Wednesday afternoon) to when I went to my practitioner (Thursday morning) to when I went to get an ultrasound of the area (Friday) and then finally getting told to go to the hospital for surgery (Monday afternoon). Now it might take a longer or shorter amount of time to detect it but it’s usually pretty straightforward. If it’s oversized and sensitive to touch (painful), it’s most likely an infection of some kind or a STD. Now if it’s oversized, not perfectly rounded and you don’t feel any pain at all, it most likely is testicular cancer. Don’t quote me but that’s what multiple physicians have repeated to me. I was admitted into the hospital (Monday afternoon) and had then to surgery 24 hrs later (a bunch of politics behind the delay). I was then out of the hospital  36 hrs after that. All of this brings us to being released Thursday morning and then being back to “normal” about a month later (couldnt run or workout for the first 30-45 days). Whoever is curious about the process then there you go! I know I was at the time and YT was big but they didn’t have many videos on the matter back then. I also made a video and posted it because I wanted to raise awareness.
Okay so now for the confusing stuff about me. Up until this point,  life was pretty much looking really good for me (more than I ever expected). I got admitted to my dream school (UC Berkeley) and I was on track to being an economist. Most Professors were very flexible with my assignments but my calculus professor didn’t care about what I was going through and made things kind of hard for me. I ended up going to the dean of the department and they switched me out of her class. Those are the logistics of everything that was happening at the time. 
I joked a lot about the situation with everyone around me (not sure why). I didnt cry or feel scared since I knew I had a high probability of fully recovering. I was willing to talk to anyone about the situation at any time but I only described the SITUATION, not about what I felt at the time. I felt numb at the time and still do to an extent. I don’t know if I’m bottling stuff up or not but what I do know is I never really felt as happy as I was before having cancer. Till this day, I dont know how I feel but I know something changed. I remember being on top of everything right up until that moment. My life seemed to be perfect until it wasn’t, after recovering from surgery. 
My focus wasn’t clear after cancer (career/major) I ended up going into molecular cell bio (premed) then finally graduating in computer science. Along with my academics being affected, my health took a big hit. I had loss 100 lbs 2 years prior to cancer, I had done a complete 360 and my confidence was at an all time high. I’m  into helping others lose weight, since it had changed me so much both physically and mentally. However, after cancer I lost my drive and I dont understand why. I kept going regardless of everything and graduated. But I ended up drinking after telling myself I would never do it. I was pretty much a really good kid before cancer then after I kind of went wild for a few years (drinking, partying, sex etc). I haven’t drank in a over a year now and I’m not doing any destructive behaviors anymore. I also gained weight after cancer and even though I never gained the whole 100 lbs back, I struggle with getting back to where I was, I feel exhausted emotionally, physically and definitely mentally. I’m laying everything out here so I can get some authentic and sincere answers. I would really appreciate any words from you. 
My questions 
Can you relate to anything I said? If so, what part? 
Do you notice something I don’t in what could be going on? 
I used to be really driven but after cancer happening, I feel unmotivated and I guess depressed (I never really looked into this). 
Did this happen to you as well? If so, did you ever recover your drive? 
I’m a pretty positive person but I dont feel as positive as I did before. Is this because of the cancer? 
I feel like my cancer wasn’t really ‘cancer’ since it had a high recovery rate and physically recovered 6 weeks later at most. 
Did you feel that way? I know I shouldnt feel that way because I wouldnt like others saying that but idk why I think I’m an exception. 
Also, is hormone therapy really needed? I keep getting conflicting answers. 
Anyone feel better or feel “normal” again mentally while using hormone therapy? 
My urologist said men tend to feel not as masculine after losing a testicle. I honestly don’t think it affected my masculinity but did it affect yours? And if so, why do you feel that way? I’m asking because if they feel a way I do then maybe I can attach some words onto how I feel. 
With writing all this, I can tell I’m probably depressed or have PTSD or something. Please don’t go easy on me and just tell me what you think. I really appreciate it!</t>
        </is>
      </c>
      <c r="D9391" t="n">
        <v>1</v>
      </c>
      <c r="E9391" t="n">
        <v>13</v>
      </c>
      <c r="F9391">
        <f>HYPERLINK("https://www.reddit.com/r/cancer/comments/gns4rm/questions_for_cancer_survivors_and_therapists/")</f>
        <v/>
      </c>
      <c r="G9391" t="inlineStr">
        <is>
          <t>2020-05-21 00:10:38</t>
        </is>
      </c>
      <c r="H9391" t="inlineStr"/>
    </row>
    <row r="9392">
      <c r="A9392" t="inlineStr">
        <is>
          <t>gnt99c</t>
        </is>
      </c>
      <c r="B9392" t="inlineStr">
        <is>
          <t>Does anyone have any experience camping/vandwelling with cancer?</t>
        </is>
      </c>
      <c r="C9392" t="inlineStr">
        <is>
          <t xml:space="preserve"> My brother was diagnosed with Ewing Sarcoma a couple years ago. Before he was diagnosed, he spent a lot of time working on our old family van, fixing it up to take it on some cross country road trips. He beat the cancer last year but it came back earlier this year. Unfortunately, due to Covid19, he was unable to get the operation he needs (we live in Los Angeles county) and is fighting for his life. We are hopeful but are not sure what's to come with the future and he wants to go camping.
I have absolutely no knowledge in this area. We have a 2003 Astro van. Our main concerns having enough power to supply an oxygen machine and some sort of water system. Are there any known people in the vandwelling people who have experience in this area? What are the options and capabilities in regards to power in a van (solar or what not).
Regarding our finances, we are working class but are determined to do whatever to make it safe and doable, we will happily take out loans. We have a gofundme set up for consultations and experimental treatment options we are testing out but if we get to a point where we have exhausted all options, we will access those funds. But regardless, finances are not a problem. Money does not really matter in this situation.
Any and all advice would be greatly appreciated. We aren't sure how much time we have so time is of the essence. Thank you so much for your time.
**0 Comments**</t>
        </is>
      </c>
      <c r="D9392" t="n">
        <v>1</v>
      </c>
      <c r="E9392" t="n">
        <v>6</v>
      </c>
      <c r="F9392">
        <f>HYPERLINK("https://www.reddit.com/r/cancer/comments/gnt99c/does_anyone_have_any_experience/")</f>
        <v/>
      </c>
      <c r="G9392" t="inlineStr">
        <is>
          <t>2020-05-21 01:52:28</t>
        </is>
      </c>
      <c r="H9392" t="inlineStr"/>
    </row>
    <row r="9393">
      <c r="A9393" t="inlineStr">
        <is>
          <t>gnuork</t>
        </is>
      </c>
      <c r="B9393" t="inlineStr">
        <is>
          <t>Testicular cancer</t>
        </is>
      </c>
      <c r="C9393" t="inlineStr">
        <is>
          <t>Hi, I just heard from my auntie that a close cousin of mine got seminoma testicular cancer but apparently it’s found in his lung. What she’s telling us is that it’s rare because it’s found in his lung instead of his testicle but correct me if I’m wrong but wouldn’t it be called lung cancer if it’s found in his lung? 
Not sure if he’s trying to not make us worry or something but that’s basically what we learned. :(</t>
        </is>
      </c>
      <c r="D9393" t="n">
        <v>1</v>
      </c>
      <c r="E9393" t="n">
        <v>5</v>
      </c>
      <c r="F9393">
        <f>HYPERLINK("https://www.reddit.com/r/cancer/comments/gnuork/testicular_cancer/")</f>
        <v/>
      </c>
      <c r="G9393" t="inlineStr">
        <is>
          <t>2020-05-21 03:53:41</t>
        </is>
      </c>
      <c r="H9393" t="inlineStr"/>
    </row>
    <row r="9394">
      <c r="A9394" t="inlineStr">
        <is>
          <t>gnvmfg</t>
        </is>
      </c>
      <c r="B9394" t="inlineStr">
        <is>
          <t>Confused on what survive rate means</t>
        </is>
      </c>
      <c r="C9394" t="inlineStr">
        <is>
          <t>My dad has diffuse large B cell lymphoma and I was looking up treatment, prognosis etc
And one of the texts said the 5 year survival rate is 70% and the 10 year survival rate is like 50%. Does that mean after getting treated (going into remission) or while having it left untreated or something? 
Sorry just very confused by what that means.</t>
        </is>
      </c>
      <c r="D9394" t="n">
        <v>1</v>
      </c>
      <c r="E9394" t="n">
        <v>8</v>
      </c>
      <c r="F9394">
        <f>HYPERLINK("https://www.reddit.com/r/cancer/comments/gnvmfg/confused_on_what_survive_rate_means/")</f>
        <v/>
      </c>
      <c r="G9394" t="inlineStr">
        <is>
          <t>2020-05-21 05:04:29</t>
        </is>
      </c>
      <c r="H9394" t="inlineStr"/>
    </row>
    <row r="9395">
      <c r="A9395" t="inlineStr">
        <is>
          <t>gnwe7q</t>
        </is>
      </c>
      <c r="B9395" t="inlineStr">
        <is>
          <t>Just depressed.</t>
        </is>
      </c>
      <c r="C9395" t="inlineStr">
        <is>
          <t>for the past few months I was taking a drug which essentially meant that I had no symptoms. I was put on it because it controlled fluid production which was a very horrible symptom I had, but it turned out to basically improve every aspect of my life. It was like I didn’t have cancer at all. Although granted, just not having to deal with fluid in my lungs and abdomen meant I had a massive increase in quality of life. 
But the meds have stopped working. The cancer figured out how to beat the drug in about three months. I am 24 and when I was diagnosed I was essentially terminal. I’m officially terminal now and I am likely gonna die soon. This drug didn’t even save my fucking life, it just made me more comfortable, and the cancer couldn’t let me have that. And now I feel shit and I look shit and I feel like I had utterly lost my dignity as a person. And it isn’t fair. I even paid for the drug too. It took ALL my cash but it was worth it! Why the fuck can’t the drug keep working again. My whole cancer journey feels like the universe is just insistent on killing me in the most cruel and humiliating way possible, and yet a small part of me feels like I should be grateful for the three months where the drug worked. Because nothing else has worked for me.</t>
        </is>
      </c>
      <c r="D9395" t="n">
        <v>1</v>
      </c>
      <c r="E9395" t="n">
        <v>12</v>
      </c>
      <c r="F9395">
        <f>HYPERLINK("https://www.reddit.com/r/cancer/comments/gnwe7q/just_depressed/")</f>
        <v/>
      </c>
      <c r="G9395" t="inlineStr">
        <is>
          <t>2020-05-21 05:59:20</t>
        </is>
      </c>
      <c r="H9395" t="inlineStr"/>
    </row>
    <row r="9396">
      <c r="A9396" t="inlineStr">
        <is>
          <t>gnwrjg</t>
        </is>
      </c>
      <c r="B9396" t="inlineStr">
        <is>
          <t>Stomach Cancer.</t>
        </is>
      </c>
      <c r="C9396" t="inlineStr">
        <is>
          <t>Hey all,
My dad was just diagnosed with stomach cancer. I, myself, am just under 3 months out from chemo for Hodgkin’s Lymphoma so unfortunately my family is familiar with the routine. 
I know that staying on top of my side effects and learning what medication helped with those was my saving grace. The problem is, I’m not sure what regimen my dad will be on or what his side effects will be. 
Has anyone on here had treatment for stomach cancer or know someone who has that can give me an idea of side effects or maybe even what worked for you/them? 
Also, fuck cancer!!</t>
        </is>
      </c>
      <c r="D9396" t="n">
        <v>1</v>
      </c>
      <c r="E9396" t="n">
        <v>5</v>
      </c>
      <c r="F9396">
        <f>HYPERLINK("https://www.reddit.com/r/cancer/comments/gnwrjg/stomach_cancer/")</f>
        <v/>
      </c>
      <c r="G9396" t="inlineStr">
        <is>
          <t>2020-05-21 06:23:04</t>
        </is>
      </c>
      <c r="H9396" t="inlineStr"/>
    </row>
    <row r="9397">
      <c r="A9397" t="inlineStr">
        <is>
          <t>gnwztc</t>
        </is>
      </c>
      <c r="B9397" t="inlineStr">
        <is>
          <t>You never stop worrying.</t>
        </is>
      </c>
      <c r="C9397" t="inlineStr">
        <is>
          <t>I'm 5 years out now, (almost 6,) after surgery and adjudicative chemo.  But I have some niggling symptoms that make me wonder if it's coming back.
I constantly tell myself that it's just my nerves, to stop worrying but I can't.
&amp;amp;#x200B;
This is the part of recovery/remission that no one tells you about.</t>
        </is>
      </c>
      <c r="D9397" t="n">
        <v>1</v>
      </c>
      <c r="E9397" t="n">
        <v>10</v>
      </c>
      <c r="F9397">
        <f>HYPERLINK("https://www.reddit.com/r/cancer/comments/gnwztc/you_never_stop_worrying/")</f>
        <v/>
      </c>
      <c r="G9397" t="inlineStr">
        <is>
          <t>2020-05-21 06:37:40</t>
        </is>
      </c>
      <c r="H9397" t="inlineStr"/>
    </row>
    <row r="9398">
      <c r="A9398" t="inlineStr">
        <is>
          <t>gnxlqj</t>
        </is>
      </c>
      <c r="B9398" t="inlineStr">
        <is>
          <t>I never know what to say when someone asks about the huge scar on my neck.</t>
        </is>
      </c>
      <c r="C9398" t="inlineStr">
        <is>
          <t>Being in my early 20s, melanoma is the last thing that people expect when asking about my scar. If I decide to tell them it’s a real conversation ruiner, so I’m wondering if anyone has some advice for this situation that I run into quite frequently. The scar starts at my front lymph node and zig zags back past my ear.</t>
        </is>
      </c>
      <c r="D9398" t="n">
        <v>6</v>
      </c>
      <c r="E9398" t="n">
        <v>49</v>
      </c>
      <c r="F9398">
        <f>HYPERLINK("https://www.reddit.com/r/cancer/comments/gnxlqj/i_never_know_what_to_say_when_someone_asks_about/")</f>
        <v/>
      </c>
      <c r="G9398" t="inlineStr">
        <is>
          <t>2020-05-21 07:14:30</t>
        </is>
      </c>
      <c r="H9398" t="inlineStr"/>
    </row>
    <row r="9399">
      <c r="A9399" t="inlineStr">
        <is>
          <t>gnyhr3</t>
        </is>
      </c>
      <c r="B9399" t="inlineStr">
        <is>
          <t>Anybody relate to these cancers?</t>
        </is>
      </c>
      <c r="C9399" t="inlineStr">
        <is>
          <t>My grandmother in-law (83) was just diagnosed with breast cancer, and her pet scan revealed cancer in the spine, back, and neck/chest. They also found an aneurysm in her heart. 
My father in law was just diagnosed with tonsil cancer, but he’s had the lump for over a year in his neck. 
Does anybody relate to any of these cancers? I have no idea what to expect, or how this process works or even how to support them. My grandmother in law is crushed, my usually optimistic father in law is upset. If anybody has any stories I’d love to hear them.</t>
        </is>
      </c>
      <c r="D9399" t="n">
        <v>1</v>
      </c>
      <c r="E9399" t="n">
        <v>5</v>
      </c>
      <c r="F9399">
        <f>HYPERLINK("https://www.reddit.com/r/cancer/comments/gnyhr3/anybody_relate_to_these_cancers/")</f>
        <v/>
      </c>
      <c r="G9399" t="inlineStr">
        <is>
          <t>2020-05-21 08:04:46</t>
        </is>
      </c>
      <c r="H9399" t="inlineStr"/>
    </row>
    <row r="9400">
      <c r="A9400" t="inlineStr">
        <is>
          <t>gnzaws</t>
        </is>
      </c>
      <c r="B9400" t="inlineStr">
        <is>
          <t>F*** CANCER</t>
        </is>
      </c>
      <c r="C9400" t="inlineStr">
        <is>
          <t>I really don't wanna share this rn but I cant handle my emotions. My aunt has been battling with lung cancer for about maybe 2 yeas now and yesterday, the doctors told her husband that her body can't handle chemo anymore and tumor on her lungs has grown. We've been talking to her the past few months and she seemed very ok and now the doctors saying that is...... I dont knowwwww. I feel bad for her cause she's really nice and she does'nt deserve this. God please help her.</t>
        </is>
      </c>
      <c r="D9400" t="n">
        <v>1</v>
      </c>
      <c r="E9400" t="n">
        <v>9</v>
      </c>
      <c r="F9400">
        <f>HYPERLINK("https://www.reddit.com/r/cancer/comments/gnzaws/f_cancer/")</f>
        <v/>
      </c>
      <c r="G9400" t="inlineStr">
        <is>
          <t>2020-05-21 08:49:16</t>
        </is>
      </c>
      <c r="H9400" t="inlineStr"/>
    </row>
    <row r="9401">
      <c r="A9401" t="inlineStr">
        <is>
          <t>go07t9</t>
        </is>
      </c>
      <c r="B9401" t="inlineStr">
        <is>
          <t>What's the next step after the ultrasound?</t>
        </is>
      </c>
      <c r="C9401" t="inlineStr">
        <is>
          <t>Got a diagnosis like 1.5 months ago, finally got the ultrasound. Now what? When will I hear back? Do you know what will happen, is the next thing the staging? Or does the ultrasound itself do the staging.</t>
        </is>
      </c>
      <c r="D9401" t="n">
        <v>1</v>
      </c>
      <c r="E9401" t="n">
        <v>4</v>
      </c>
      <c r="F9401">
        <f>HYPERLINK("https://www.reddit.com/r/cancer/comments/go07t9/whats_the_next_step_after_the_ultrasound/")</f>
        <v/>
      </c>
      <c r="G9401" t="inlineStr">
        <is>
          <t>2020-05-21 09:38:07</t>
        </is>
      </c>
      <c r="H9401" t="inlineStr"/>
    </row>
    <row r="9402">
      <c r="A9402" t="inlineStr">
        <is>
          <t>go0qzk</t>
        </is>
      </c>
      <c r="B9402" t="inlineStr">
        <is>
          <t>Pediatric Cancer Fundraiser</t>
        </is>
      </c>
      <c r="C9402" t="inlineStr">
        <is>
          <t>[Fundraiser Page](https://nyc20.enduretocure.org/nate-asefa)
As a member of Team E2C, I will be running with an equally dedicated group of individuals willing to go the distance for this cause. Each year in the U.S. alone, nearly 15,000 children will be diagnosed with cancer. Your contribution, no matter how big or small, will help ease the emotional and financial impacts of childhood cancer.
At the New York City Marathon, I will push my physical and mental endurance limits to reach the finish line, 26.2 miles from start. My inspiration will come from children who struggle with cancer each and every day and knowing that my effort will make a positive impact on them and their families.
Please help put a smile on some young faces and families in need of it most by making a contribution to this incredible cause--any size helps create impact. Thank you so much for your support and encouragement!</t>
        </is>
      </c>
      <c r="D9402" t="n">
        <v>1</v>
      </c>
      <c r="E9402" t="n">
        <v>1</v>
      </c>
      <c r="F9402">
        <f>HYPERLINK("https://www.reddit.com/r/cancer/comments/go0qzk/pediatric_cancer_fundraiser/")</f>
        <v/>
      </c>
      <c r="G9402" t="inlineStr">
        <is>
          <t>2020-05-21 10:06:35</t>
        </is>
      </c>
      <c r="H9402" t="inlineStr"/>
    </row>
    <row r="9403">
      <c r="A9403" t="inlineStr">
        <is>
          <t>go2w7a</t>
        </is>
      </c>
      <c r="B9403" t="inlineStr">
        <is>
          <t>Do I have melanoma?</t>
        </is>
      </c>
      <c r="C9403" t="inlineStr">
        <is>
          <t>Ok so,I picked off a mole from my chest on accident,it regrew bigger then it was,but one half of it is purple and the other is pinkish,the purple part is elevated.I have appointed a dermatologist exam,but I have to wait until tuesday,I am very worried.
I know I should not have asked this,but idk where else and im really worried,the websites i looked at give mixed answers.</t>
        </is>
      </c>
      <c r="D9403" t="n">
        <v>0</v>
      </c>
      <c r="E9403" t="n">
        <v>2</v>
      </c>
      <c r="F9403">
        <f>HYPERLINK("https://www.reddit.com/r/cancer/comments/go2w7a/do_i_have_melanoma/")</f>
        <v/>
      </c>
      <c r="G9403" t="inlineStr">
        <is>
          <t>2020-05-21 12:00:06</t>
        </is>
      </c>
      <c r="H9403" t="inlineStr"/>
    </row>
    <row r="9404">
      <c r="A9404" t="inlineStr">
        <is>
          <t>go3th4</t>
        </is>
      </c>
      <c r="B9404" t="inlineStr">
        <is>
          <t>How do you deal with this when you are alone?</t>
        </is>
      </c>
      <c r="C9404" t="inlineStr">
        <is>
          <t>Sorry for my English I’m not a native speaker:
About two months ago my mother got diagnosed with small cell lung cancer, at first we thought it was brain cancer and she had surgery on her brain, surgery was successful but the nerves in her right eye were left damaged and she can not open it up any more, she also can’t feel the right side of her face anymore, so eating is troubling because a lot of food just falls out of her mouth. As the doctors found out it’s was an metastasis they checked the rest of her body and multiple tumors in her body, the main tumor being in her lung. She was in great pain and had another emergency surgery at her spine, she is now is unable to stand or walk and been in hospital since. She really depressed because of all this shit, just like I am. It’s hard for me not to cry seeing her like this, she is greeting treatment ( chemotherapy radiation and immunetherapy) but the doctors already told me  that there is no way to cure her, just to slow it down. Even tho it’s an ongoing pandemic they allowed me to visit her, and I’m with her from 9 in the morning till she sleeps. 
My main problem is that I have to deal with this all by myself, I don’t have siblings my father got deported when I was a child. My moms brother only called once the whole time which makes her very sad. I’m really exhausted physically but I’m devastated mentally I’m so afraid of losing her. I don’t know what to do, she wanted to give up multiple times she mostly feels bad because of the therapy. She feels ugly because of face and eye and losing her hair just made it worse.
If I lose her I lose everything. No more family at 28
I’m not sure how if can take it anymore it’s hurts my heart so badly. I just want everything to like it was last year. All her live she worked hard and always had little money, now she just got into retirement and I was able to support her financially and than this happens, shit like that makes really think there no god this shit is not fair.... I just needed to get this of my chest I’m sick of this shit. I don’t know how much time I have left with her, and we cannot even enjoy it, we can’t have walks in the park or just little things. And thinking about taking care of her apartment when she’s gone take care of her funeral, I’m so dreadful of this shit</t>
        </is>
      </c>
      <c r="D9404" t="n">
        <v>3</v>
      </c>
      <c r="E9404" t="n">
        <v>10</v>
      </c>
      <c r="F9404">
        <f>HYPERLINK("https://www.reddit.com/r/cancer/comments/go3th4/how_do_you_deal_with_this_when_you_are_alone/")</f>
        <v/>
      </c>
      <c r="G9404" t="inlineStr">
        <is>
          <t>2020-05-21 12:48:13</t>
        </is>
      </c>
      <c r="H9404" t="inlineStr"/>
    </row>
    <row r="9405">
      <c r="A9405" t="inlineStr">
        <is>
          <t>go41sm</t>
        </is>
      </c>
      <c r="B9405" t="inlineStr">
        <is>
          <t>I'm need some advice. (Long Rant. Sorry)</t>
        </is>
      </c>
      <c r="C9405" t="inlineStr">
        <is>
          <t>My father was diagnosed with cancer about a year ago at 52. I'm 22 by the way. 
He went through surgery and chemo and is currently NED. However Ive read the stats and recurrence is quite common.
I read the stories of people on this subreddit everyday as a means to cope. To know that our family isn't alone and thousands suffer the same fate. 
I think it's starting to affect me now. I find myself almost obsessed with reading up on cancer all the time. Im growing more paranoid too. If anyone in my family complains of some pain or discomfort my brain goes straight to cancer. This extends to pets too. I read up not only on his cancer  but other cancers too. People's experiences of living with and dying from cancer. I've read enough on how people die of this disease to be able to project images of what it will look like if my dads cancer returns. And I know the reality will be much worse. Im scared stressed and i feel im getting depressed.
 I read because understanding more about this disease gives me a sense of control. I did have my shit together before , but now the fear is getting to me. 
Here's the sad part. My therapist is a very sweet woman who Ive been visiting for 3 years now. I have spoken to her about this before but I feel awkward doing so because she herself had breast cancer a few years ago. She still has checkups so she isnt out of the woods yet. I think it would be unfair to expect her to behave professionally in this regard when her fears are the same. 
I dunno man. Im just really fucking worn out here.
Thanks for reading.</t>
        </is>
      </c>
      <c r="D9405" t="n">
        <v>1</v>
      </c>
      <c r="E9405" t="n">
        <v>4</v>
      </c>
      <c r="F9405">
        <f>HYPERLINK("https://www.reddit.com/r/cancer/comments/go41sm/im_need_some_advice_long_rant_sorry/")</f>
        <v/>
      </c>
      <c r="G9405" t="inlineStr">
        <is>
          <t>2020-05-21 13:00:25</t>
        </is>
      </c>
      <c r="H9405" t="inlineStr"/>
    </row>
    <row r="9406">
      <c r="A9406" t="inlineStr">
        <is>
          <t>go7dac</t>
        </is>
      </c>
      <c r="B9406" t="inlineStr">
        <is>
          <t>How can I cope and be there for my dad?</t>
        </is>
      </c>
      <c r="C9406" t="inlineStr">
        <is>
          <t>My father has a stage IV colon cancer since 2016. He's been doing chemo ever since, alongside some radiation at times. His cancer metastasized to his lungs, in both lobes. Today we got the dreadful news that his mets have doubled in size. His last scan was in December. He has a persistent cough for like 2 months now.
I'm an only child and I'm terrified of losing him. My mom has some mental issues, so she depends on me. He's always been my rock. I'm married and have a baby who's 2 months old. I'm devastated at thinking my son won't know him. I'm devastated at thinking about a future without him in it. I'm devastated at the thought of never hearing his voice and his advice again. 
His oncologist says it's palliative care and extending time now. I feel guilty that I haven't been good enough, that I didn't give him more grandchildren, that I didn't have children soon enough, that I'm not smart enough, wise enough. I feel guilty I haven't spent every day with him.</t>
        </is>
      </c>
      <c r="D9406" t="n">
        <v>1</v>
      </c>
      <c r="E9406" t="n">
        <v>11</v>
      </c>
      <c r="F9406">
        <f>HYPERLINK("https://www.reddit.com/r/cancer/comments/go7dac/how_can_i_cope_and_be_there_for_my_dad/")</f>
        <v/>
      </c>
      <c r="G9406" t="inlineStr">
        <is>
          <t>2020-05-21 16:00:37</t>
        </is>
      </c>
      <c r="H9406" t="inlineStr"/>
    </row>
    <row r="9407">
      <c r="A9407" t="inlineStr">
        <is>
          <t>go8brm</t>
        </is>
      </c>
      <c r="B9407" t="inlineStr">
        <is>
          <t>My Cancer Story</t>
        </is>
      </c>
      <c r="C9407" t="inlineStr">
        <is>
          <t>In October of 2019 I left work and went to the ED because I was having extreme lower abdominal pain (46 yo f) During the triage intake the nurse asks a question every women is asked, "when was your last menstrual cycle?" I answered idk, been spotting for months, and she was like you know thats not normal. I explained my history to her and she replied that she was going to make that the chief complaint. Thankfully the ED was slow and I was called back right away. The gynecologist arrived and did a quick pelvic check. They stated for me to redress and that I would be moved to a room to await a ultrasound and CT scan. Both the ultrasound and the CT scans were indicative of cancer. They then did a uterine biopsy and then I was admitted to the cancer ward while we waited for the results. The next day they did another biopsy on a tumor in my omental layer. 3 days later they gave me the news, stage 4b endometrial cancer with metastasis to the omentum layer, my ovaries and my abdomen. I was not healthy enough for surgery so I was started on chemo right away. January 20th I had surgery to remove my uterus, ovaries, fallopian tube, cervix, and omentum layer. My spleen and the tip of my pancreas, as well as a tumor in my sigmoid colon were also removed. My oncologist said she removed all signs of the cancer but that I would resume chemo in 4 weeks to kill any microscopic cancer left. Jump ahead to 05/12 I went in for routine scan after 3 rounds of chemo. They found a blood clot in my right lung and a 2 inch tumor at the top of my vaginal canal and multiple deposits in abdomen. I was in the hospital from 05/12 to 05/16. I won't know what treatment I'll now start until Tuesday when.i see my oncologist again. This whole process has been one of the hardest things I have endured ever. Whether your starting this process or like me a seasoned cancer warrior, NEVER give up hope, have a good support system, and don't be afraid to let people know you need rest. I have a vlog, its how I work through my stress of chemo, course there was a lag in posting since surgery but I'm trying to post more.</t>
        </is>
      </c>
      <c r="D9407" t="n">
        <v>1</v>
      </c>
      <c r="E9407" t="n">
        <v>13</v>
      </c>
      <c r="F9407">
        <f>HYPERLINK("https://www.reddit.com/r/cancer/comments/go8brm/my_cancer_story/")</f>
        <v/>
      </c>
      <c r="G9407" t="inlineStr">
        <is>
          <t>2020-05-21 16:54:44</t>
        </is>
      </c>
      <c r="H9407" t="inlineStr"/>
    </row>
    <row r="9408">
      <c r="A9408" t="inlineStr">
        <is>
          <t>goa6t0</t>
        </is>
      </c>
      <c r="B9408" t="inlineStr">
        <is>
          <t>Does the hospital you go to for chemotherapy change your chances of improving prognosis?</t>
        </is>
      </c>
      <c r="C9408" t="inlineStr">
        <is>
          <t>For example if I got my chemo done at Mount Sinai hospital? would it be any different than getting it at memorial Sloan or Presbyterian hospital? Do doctors give different amount of chemo? I’m just scared I’m making a mistake for going to a bad hospital to start for chemo. Any advice is appreciated. 
(Speaking for my dad, Stage 2 diffuse large B cell lymphoma)</t>
        </is>
      </c>
      <c r="D9408" t="n">
        <v>1</v>
      </c>
      <c r="E9408" t="n">
        <v>26</v>
      </c>
      <c r="F9408">
        <f>HYPERLINK("https://www.reddit.com/r/cancer/comments/goa6t0/does_the_hospital_you_go_to_for_chemotherapy/")</f>
        <v/>
      </c>
      <c r="G9408" t="inlineStr">
        <is>
          <t>2020-05-21 18:47:48</t>
        </is>
      </c>
      <c r="H9408" t="inlineStr"/>
    </row>
    <row r="9409">
      <c r="A9409" t="inlineStr">
        <is>
          <t>goaqzm</t>
        </is>
      </c>
      <c r="B9409" t="inlineStr">
        <is>
          <t>I'm terrified I might have lung cancer.</t>
        </is>
      </c>
      <c r="C9409" t="inlineStr">
        <is>
          <t>I (m28) had a strange feeling for a month, like I need to caugh but when I do nothing happens, it's dry, no blood, no wheezing or fever, so yesterday I managed to get an appointment to my nearest clinic and get some x rays, the doctor told me that she saw what seems to be some kind of spot and said it might be pneumonia and prescribed me antibiotics but she'll have to wait 5 days for the antibiotics to do its work and show the x rays to a specialist for a second opinion. For more context I've been smoking for about 15 years now, hence my worries. Now I can stop thinking about it, imagining the worst scenario, trying to keep it together until next Monday. I'm scared, anxious and don't know how to deal with it in the meantime.</t>
        </is>
      </c>
      <c r="D9409" t="n">
        <v>1</v>
      </c>
      <c r="E9409" t="n">
        <v>5</v>
      </c>
      <c r="F9409">
        <f>HYPERLINK("https://www.reddit.com/r/cancer/comments/goaqzm/im_terrified_i_might_have_lung_cancer/")</f>
        <v/>
      </c>
      <c r="G9409" t="inlineStr">
        <is>
          <t>2020-05-21 19:24:51</t>
        </is>
      </c>
      <c r="H9409" t="inlineStr"/>
    </row>
    <row r="9410">
      <c r="A9410" t="inlineStr">
        <is>
          <t>gobbko</t>
        </is>
      </c>
      <c r="B9410" t="inlineStr">
        <is>
          <t>CIPN damage. Progressed to a walker rapidly. Doctors shocked. Advice? Anything we can do? Is there any hope?</t>
        </is>
      </c>
      <c r="C9410" t="inlineStr">
        <is>
          <t>After my mother finished chemo, she developed (we believe) chemotherapy (or radiation)-induced peripheral neuropathy. She also has back problems which RFA has helped her slightly with. 
They won’t give us a proper diagnoses and each Doctor tells us something different. Something which I have tried to get to get to the bottom of with little luck and frankly am quite angry with.
This wasn’t something the doctors told us to prepare for, or that was expected with her chemo dose / radiation dose. After her last chemo, she experienced slight tingling in her feet and hands, but the oncologist said that was fine (spoiler - it wasn't). Her hand tingling has gone but now she is coming to a stage where she cannot walk without a walker. 
Oncologists looked shocked when they realised how much she has deteriorated, and we have been told that this is not what happens. It just comes down to an “unfortunate side effect”
Within a few months she went from walking ‘normally’, doing gardening, to being in a walker and experiencing constant pain. She just spent 30 days in hospital and then rehab and while the doctors told us that she should be able to at least get off the walker, while her strength is up and pain a bit lower, her ability to walk has deteriorated. 
This is all very shocking news to someone who we told would be fine after chemo. 
The only positive thing is she has started moving her toes (left side freely) and right side very slightly after not been able to move them. 
Does that mean her nerves aren’t completely damaged or am I holding on to any shread of hope? 
Is there anything we can do to prevent her from deteriorating further? 
She goes to a pain specialist now - she is on lyrica, cymbalta and amitriptyline. Targin and Oxycodone. Morphine helps her a lot but they refuse to give it to her outside the hospital.</t>
        </is>
      </c>
      <c r="D9410" t="n">
        <v>1</v>
      </c>
      <c r="E9410" t="n">
        <v>6</v>
      </c>
      <c r="F9410">
        <f>HYPERLINK("https://www.reddit.com/r/cancer/comments/gobbko/cipn_damage_progressed_to_a_walker_rapidly/")</f>
        <v/>
      </c>
      <c r="G9410" t="inlineStr">
        <is>
          <t>2020-05-21 20:03:42</t>
        </is>
      </c>
      <c r="H9410" t="inlineStr"/>
    </row>
    <row r="9411">
      <c r="A9411" t="inlineStr">
        <is>
          <t>gobisj</t>
        </is>
      </c>
      <c r="B9411" t="inlineStr">
        <is>
          <t>How to encourage my wife.</t>
        </is>
      </c>
      <c r="C9411" t="inlineStr">
        <is>
          <t>My wife has a form of thyroid cancer that isn’t responding to the radioactive iodine but isn’t aggressive enough to use chemo or do a second surgery because of its proximity to her vocal cords.
For a season my wife had some deep connections with people she met through First Descents (amazing nonprofit!!). However several of her friends from the group have died and the group has fallen apart. She’s tried to connect with other cancer support groups but keeps being blown off because she has “the easy” cancer. She doesn’t have interest or energy to defend herself as being sick enough to fit in.
It really breaks my heart to see her rejected by the local cancer community. 
Do you know if any genuinely nonjudgmental groups I could tell her about?
Thanks friends</t>
        </is>
      </c>
      <c r="D9411" t="n">
        <v>1</v>
      </c>
      <c r="E9411" t="n">
        <v>7</v>
      </c>
      <c r="F9411">
        <f>HYPERLINK("https://www.reddit.com/r/cancer/comments/gobisj/how_to_encourage_my_wife/")</f>
        <v/>
      </c>
      <c r="G9411" t="inlineStr">
        <is>
          <t>2020-05-21 20:17:00</t>
        </is>
      </c>
      <c r="H9411" t="inlineStr"/>
    </row>
    <row r="9412">
      <c r="A9412" t="inlineStr">
        <is>
          <t>godeoe</t>
        </is>
      </c>
      <c r="B9412" t="inlineStr">
        <is>
          <t>Don’t know what to do</t>
        </is>
      </c>
      <c r="C9412" t="inlineStr">
        <is>
          <t>My mom (49 f) has renal cancer, she only has one kidney because she was born like that, and they see some more masses beside it and they found more masses in her lungs. This was all found this past week and I’m not in the same place she’s at, I’m with my husband at a different state.
She keeps telling me to stay here and I’ve been trying to get pregnant. She really wants to see me with my own child but idk I want to be there with her but I also want her to get to see a little kid from me...
Idk if I should go home to her or keep trying for a kid first..........</t>
        </is>
      </c>
      <c r="D9412" t="n">
        <v>1</v>
      </c>
      <c r="E9412" t="n">
        <v>0</v>
      </c>
      <c r="F9412">
        <f>HYPERLINK("https://www.reddit.com/r/cancer/comments/godeoe/dont_know_what_to_do/")</f>
        <v/>
      </c>
      <c r="G9412" t="inlineStr">
        <is>
          <t>2020-05-21 22:33:10</t>
        </is>
      </c>
      <c r="H9412" t="inlineStr"/>
    </row>
    <row r="9413">
      <c r="A9413" t="inlineStr">
        <is>
          <t>goe19b</t>
        </is>
      </c>
      <c r="B9413" t="inlineStr">
        <is>
          <t>Question for breast cancer survivors</t>
        </is>
      </c>
      <c r="C9413" t="inlineStr">
        <is>
          <t>What symptom did you notice first? Was it pain first or a lump? Or something else? I wanna hear your stories!</t>
        </is>
      </c>
      <c r="D9413" t="n">
        <v>1</v>
      </c>
      <c r="E9413" t="n">
        <v>12</v>
      </c>
      <c r="F9413">
        <f>HYPERLINK("https://www.reddit.com/r/cancer/comments/goe19b/question_for_breast_cancer_survivors/")</f>
        <v/>
      </c>
      <c r="G9413" t="inlineStr">
        <is>
          <t>2020-05-21 23:24:56</t>
        </is>
      </c>
      <c r="H9413" t="inlineStr"/>
    </row>
    <row r="9414">
      <c r="A9414" t="inlineStr">
        <is>
          <t>goei4o</t>
        </is>
      </c>
      <c r="B9414" t="inlineStr">
        <is>
          <t>Is it possible for cancer to go away after giving birth?</t>
        </is>
      </c>
      <c r="C9414" t="inlineStr">
        <is>
          <t>My sister once overheard my mom said that she had some form of cancer before she gave birth to us (we’re twins) but said that it went away afterwards. Recently I’ve been really worried about this lately and want to know if this is even possible! Can’t ask my mom because I don’t want to cause her any guilt or anything. Thank you so much! You all are amazing :)</t>
        </is>
      </c>
      <c r="D9414" t="n">
        <v>1</v>
      </c>
      <c r="E9414" t="n">
        <v>8</v>
      </c>
      <c r="F9414">
        <f>HYPERLINK("https://www.reddit.com/r/cancer/comments/goei4o/is_it_possible_for_cancer_to_go_away_after_giving/")</f>
        <v/>
      </c>
      <c r="G9414" t="inlineStr">
        <is>
          <t>2020-05-22 00:05:29</t>
        </is>
      </c>
      <c r="H9414" t="inlineStr"/>
    </row>
    <row r="9415">
      <c r="A9415" t="inlineStr">
        <is>
          <t>gog827</t>
        </is>
      </c>
      <c r="B9415" t="inlineStr">
        <is>
          <t>Keep ya head up</t>
        </is>
      </c>
      <c r="C9415" t="inlineStr">
        <is>
          <t>[caption](https://imgur.com/bVwSvm9.jpg)
I was diagnosed with non-hodgkins lymphoma with 3.5 years of chemo starting my sophomore year of high school. I missed all of my sophomore year of high school but my amazing friends, nurses, doctors, and family got me through it. 
I know its tough, but just keep your head up day to day. Things do get better. I ended up staying with my class and graduated on time, and ended up getting a degree in chemical engineering from UT. 
I always wondered when I was on chemo if anyone understood the pain of what was going on. There is though, never feel bad to reach out. Never forget those that love you. Always remember that people are there for you. 
Make yourself heard. Don't let the chemo silence you.</t>
        </is>
      </c>
      <c r="D9415" t="n">
        <v>1</v>
      </c>
      <c r="E9415" t="n">
        <v>2</v>
      </c>
      <c r="F9415">
        <f>HYPERLINK("https://www.reddit.com/r/cancer/comments/gog827/keep_ya_head_up/")</f>
        <v/>
      </c>
      <c r="G9415" t="inlineStr">
        <is>
          <t>2020-05-22 02:34:45</t>
        </is>
      </c>
      <c r="H9415" t="inlineStr"/>
    </row>
    <row r="9416">
      <c r="A9416" t="inlineStr">
        <is>
          <t>goh0kn</t>
        </is>
      </c>
      <c r="B9416" t="inlineStr">
        <is>
          <t>Question about chemo</t>
        </is>
      </c>
      <c r="C9416" t="inlineStr">
        <is>
          <t>I just wanna ask if what would happen if I stop my chemotherapy? Currently, I'm in my first cycle of chemo and I was quite relieved that I'm not experiencing any side effects. The CT scan of my chest and whole abdomen shows that I'm cleared. Should I continue my 2nd cycle of chemo?</t>
        </is>
      </c>
      <c r="D9416" t="n">
        <v>1</v>
      </c>
      <c r="E9416" t="n">
        <v>7</v>
      </c>
      <c r="F9416">
        <f>HYPERLINK("https://www.reddit.com/r/cancer/comments/goh0kn/question_about_chemo/")</f>
        <v/>
      </c>
      <c r="G9416" t="inlineStr">
        <is>
          <t>2020-05-22 03:41:13</t>
        </is>
      </c>
      <c r="H9416" t="inlineStr"/>
    </row>
    <row r="9417">
      <c r="A9417" t="inlineStr">
        <is>
          <t>goh8uu</t>
        </is>
      </c>
      <c r="B9417" t="inlineStr">
        <is>
          <t>Family members with cancer are not a burden.</t>
        </is>
      </c>
      <c r="C9417" t="inlineStr">
        <is>
          <t>When my dad was diagnosed with stage IV pancreatic cancer, I immediately packed my bags and moved back to my childhood home to help him and my mom. 
The next several weeks (and eventually months) I would spend about 20 hours a week with him in the hospital getting infusions, drainings, etc. I made him breakfast, and dinner and tried to keep a positive mindset and just do the happy stuff we always loved doing, jamming, joking, eating motha fuck’n waffles. You know. It may have seemed like I sacrificed a lot...
But, I was able to get a new job that changed my career path, which effectively tripled my salary. I met a lovely girl and we’ve been together for over a year now. Most importantly, I witnessed one of the most inspirational testaments to human character from watching my dad go toe-to-toe with true monster, and that has given incalculable value.
So dad, wherever you may be. You were not, and are not a burden. I am a much better man now because of all of this. You gave 100x what I did in those 12 months, and I received more from you than you did from me many times over.
Tons of love to all of you out there for how much you give.</t>
        </is>
      </c>
      <c r="D9417" t="n">
        <v>1</v>
      </c>
      <c r="E9417" t="n">
        <v>25</v>
      </c>
      <c r="F9417">
        <f>HYPERLINK("https://www.reddit.com/r/cancer/comments/goh8uu/family_members_with_cancer_are_not_a_burden/")</f>
        <v/>
      </c>
      <c r="G9417" t="inlineStr">
        <is>
          <t>2020-05-22 03:59:09</t>
        </is>
      </c>
      <c r="H9417" t="inlineStr"/>
    </row>
    <row r="9418">
      <c r="A9418" t="inlineStr">
        <is>
          <t>goho47</t>
        </is>
      </c>
      <c r="B9418" t="inlineStr">
        <is>
          <t>BRCA gene with no history of cancer in the family?</t>
        </is>
      </c>
      <c r="C9418" t="inlineStr">
        <is>
          <t>Anyone else have this occur or know of this occuring? Can BRCA genes mutate randomly in a family or are they always inherited?
I have a close family member who was diagnosed with the BRCA gene after being diagnosed with ovarian cancer. As far as anyone knows, she's the only one with any breast or ovarian cancer problem in several generations of the family. I assume she got it from her dad's side as her mother is healthy at 90+, but none of her several sisters or daughters have any issues. Isn't the risk of cancer over a lifetime 50%-80%, judging on which BRCA gene it is? Many are middle aged or outright seniors already. 
I asked about the family history and, as far as anyone knows, there's no history of breast, ovarian, or pancreatic cancer in my maternal family. Nothing that points towards BRCA genes.</t>
        </is>
      </c>
      <c r="D9418" t="n">
        <v>1</v>
      </c>
      <c r="E9418" t="n">
        <v>7</v>
      </c>
      <c r="F9418">
        <f>HYPERLINK("https://www.reddit.com/r/cancer/comments/goho47/brca_gene_with_no_history_of_cancer_in_the_family/")</f>
        <v/>
      </c>
      <c r="G9418" t="inlineStr">
        <is>
          <t>2020-05-22 04:31:44</t>
        </is>
      </c>
      <c r="H9418" t="inlineStr"/>
    </row>
    <row r="9419">
      <c r="A9419" t="inlineStr">
        <is>
          <t>golhch</t>
        </is>
      </c>
      <c r="B9419" t="inlineStr">
        <is>
          <t>Chemo 2 days in a row??</t>
        </is>
      </c>
      <c r="C9419" t="inlineStr">
        <is>
          <t>My dad got chemo yesterday. I don’t remember the name of the drugs but there were 3 of them. 
Today he is getting 2 more and maybe even tomorrow. I am unsure cus the doc doesn’t talk with me- or my dad bc he is weak. 
Is this normal? I’m assuming he is on R-CHOP because he has diffuse large B cell lymphoma. 
Before I heard he would get chemo every 3 weeks but now it seems like he just getting it whenever. I am so confused and upset. Never heard of anything like this but if any of you know. Gladly appreciate  it</t>
        </is>
      </c>
      <c r="D9419" t="n">
        <v>1</v>
      </c>
      <c r="E9419" t="n">
        <v>14</v>
      </c>
      <c r="F9419">
        <f>HYPERLINK("https://www.reddit.com/r/cancer/comments/golhch/chemo_2_days_in_a_row/")</f>
        <v/>
      </c>
      <c r="G9419" t="inlineStr">
        <is>
          <t>2020-05-22 08:32:12</t>
        </is>
      </c>
      <c r="H9419" t="inlineStr"/>
    </row>
    <row r="9420">
      <c r="A9420" t="inlineStr">
        <is>
          <t>gooh2z</t>
        </is>
      </c>
      <c r="B9420" t="inlineStr">
        <is>
          <t>Return to work</t>
        </is>
      </c>
      <c r="C9420" t="inlineStr">
        <is>
          <t>Just got motivation with this round of chemo. Im sure its weird psychology but i really want another 3 or 4 yr remission. Im stage 4 metastatic so it may not be realistic but im still gonna try. Now, who's willing to employ a one arm cancer survivor since 2012 and hasnt worked since 2017? Not many im guessing. Ill need to bo back to school or take some cert courses. I last did TV streaming over IP. TV everywhere kinda thing. Any advice appreciated.</t>
        </is>
      </c>
      <c r="D9420" t="n">
        <v>2</v>
      </c>
      <c r="E9420" t="n">
        <v>2</v>
      </c>
      <c r="F9420">
        <f>HYPERLINK("https://www.reddit.com/r/cancer/comments/gooh2z/return_to_work/")</f>
        <v/>
      </c>
      <c r="G9420" t="inlineStr">
        <is>
          <t>2020-05-22 11:05:48</t>
        </is>
      </c>
      <c r="H9420" t="inlineStr"/>
    </row>
    <row r="9421">
      <c r="A9421" t="inlineStr">
        <is>
          <t>gooh34</t>
        </is>
      </c>
      <c r="B9421" t="inlineStr">
        <is>
          <t>Return to work</t>
        </is>
      </c>
      <c r="C9421" t="inlineStr">
        <is>
          <t>Just got motivation with this round of chemo. Im sure its weird psychology but i really want another 3 or 4 yr remission. Im stage 4 metastatic so it may not be realistic but im still gonna try. Now, who's willing to employ a one arm cancer survivor since 2012 and hasnt worked since 2017? Not many im guessing. Ill need to bo back to school or take some cert courses. I last did TV streaming over IP. TV everywhere kinda thing. Any advice appreciated.</t>
        </is>
      </c>
      <c r="D9421" t="n">
        <v>2</v>
      </c>
      <c r="E9421" t="n">
        <v>3</v>
      </c>
      <c r="F9421">
        <f>HYPERLINK("https://www.reddit.com/r/cancer/comments/gooh34/return_to_work/")</f>
        <v/>
      </c>
      <c r="G9421" t="inlineStr">
        <is>
          <t>2020-05-22 11:05:48</t>
        </is>
      </c>
      <c r="H9421" t="inlineStr"/>
    </row>
    <row r="9422">
      <c r="A9422" t="inlineStr">
        <is>
          <t>goqerk</t>
        </is>
      </c>
      <c r="B9422" t="inlineStr">
        <is>
          <t>Gift for my brother?</t>
        </is>
      </c>
      <c r="C9422" t="inlineStr">
        <is>
          <t>My little brother (25m) is in quarantine at home for a couple weeks after his chemo treatment. Are there some good recommendations for something in the $30 range I can send him? 
Thank you!</t>
        </is>
      </c>
      <c r="D9422" t="n">
        <v>1</v>
      </c>
      <c r="E9422" t="n">
        <v>3</v>
      </c>
      <c r="F9422">
        <f>HYPERLINK("https://www.reddit.com/r/cancer/comments/goqerk/gift_for_my_brother/")</f>
        <v/>
      </c>
      <c r="G9422" t="inlineStr">
        <is>
          <t>2020-05-22 12:48:46</t>
        </is>
      </c>
      <c r="H9422" t="inlineStr"/>
    </row>
    <row r="9423">
      <c r="A9423" t="inlineStr">
        <is>
          <t>gor3j0</t>
        </is>
      </c>
      <c r="B9423" t="inlineStr">
        <is>
          <t>Scar face</t>
        </is>
      </c>
      <c r="C9423" t="inlineStr">
        <is>
          <t>When I was younger, I got so badly sunburnt that it left a small scar on my face. At the beginning of the year, I dropped out of uni and for once I was able to enjoy the outdoors more. This was evidently a mistake. The scar has somehow turned cancerous due to sun exposure. As a twenty year old girl, this is horrifying. I've always taken pride in my looks and make up usually covered up the scar. But now there's a protrusion sticking out of my face. I know this is so selfish. There are so many people battling with far worse. I have even had surgeries for abnormal growths multiple times throughout my life and yet this is the one thing that has gotten to me. It's also brought back my HPV warts which I thought had been eradicated. My lips, mouth and throat are starting to show the warts again due to my compromised immune system. I know I have a cancerous strain down there and there's nothing more that scares me than getting cancer in my mouth and throat too. I'm just so scared. I never thought it would happen to me. I can't stop staring in the mirror and just bawling my eyes out.</t>
        </is>
      </c>
      <c r="D9423" t="n">
        <v>2</v>
      </c>
      <c r="E9423" t="n">
        <v>2</v>
      </c>
      <c r="F9423">
        <f>HYPERLINK("https://www.reddit.com/r/cancer/comments/gor3j0/scar_face/")</f>
        <v/>
      </c>
      <c r="G9423" t="inlineStr">
        <is>
          <t>2020-05-22 13:25:37</t>
        </is>
      </c>
      <c r="H9423" t="inlineStr"/>
    </row>
    <row r="9424">
      <c r="A9424" t="inlineStr">
        <is>
          <t>gor8y5</t>
        </is>
      </c>
      <c r="B9424" t="inlineStr">
        <is>
          <t>My grandpa just got diagnosed with stage 4 lung cancer and I’m struggling to cope. Any success stories to share with me?</t>
        </is>
      </c>
      <c r="C9424" t="inlineStr">
        <is>
          <t>3 years ago, my grandpa had a huge tumour on one of his kidneys that had to be removed, along with his kidney. Last year, he got diagnosed with stage 2 lung cancer and they had done a partial lobectomy. He has been on a downward slope for the past few months (chemo treatment ended in October) and got diagnosed with obstructive pulmonary disease. He had a CT scan done last week. 
Today, we got the call from the hospital saying that his lung cancer is back and now it’s stage 4. It has also spread to his lymph nodes and liver... He’s been having bad chest pains yesterday and today and we had to call an ambulance because of a suspected pulmonary embolism. 
This is a lot to process, my grandmother is beside herself, worsened by the fact that she can’t come with him to the hospital because of the coronavirus. I could really use some encouraging words of hope!</t>
        </is>
      </c>
      <c r="D9424" t="n">
        <v>2</v>
      </c>
      <c r="E9424" t="n">
        <v>3</v>
      </c>
      <c r="F9424">
        <f>HYPERLINK("https://www.reddit.com/r/cancer/comments/gor8y5/my_grandpa_just_got_diagnosed_with_stage_4_lung/")</f>
        <v/>
      </c>
      <c r="G9424" t="inlineStr">
        <is>
          <t>2020-05-22 13:33:47</t>
        </is>
      </c>
      <c r="H9424" t="inlineStr"/>
    </row>
    <row r="9425">
      <c r="A9425" t="inlineStr">
        <is>
          <t>gosa48</t>
        </is>
      </c>
      <c r="B9425" t="inlineStr">
        <is>
          <t>High-grade endometrial stromal sarcoma</t>
        </is>
      </c>
      <c r="C9425" t="inlineStr">
        <is>
          <t>Hello,
My friend has been battling this for 2 years now. She first had a Hysterectomy, its been a year and they found lesions in her pelvis area and she has now been put on first round of chemo. Her dad has been persistent that she goes the "natural" route and not have chemo which sounds absolutely fucking crazy to me, or maybe not? I don't know... Does anyone here have any experience, advice or resources when it comes to this type of cancer? Will diet (eating clean, organic etc), supplementation or ANYTHING that could possible help, as crazy as it may be?</t>
        </is>
      </c>
      <c r="D9425" t="n">
        <v>1</v>
      </c>
      <c r="E9425" t="n">
        <v>6</v>
      </c>
      <c r="F9425">
        <f>HYPERLINK("https://www.reddit.com/r/cancer/comments/gosa48/highgrade_endometrial_stromal_sarcoma/")</f>
        <v/>
      </c>
      <c r="G9425" t="inlineStr">
        <is>
          <t>2020-05-22 14:31:02</t>
        </is>
      </c>
      <c r="H9425" t="inlineStr"/>
    </row>
    <row r="9426">
      <c r="A9426" t="inlineStr">
        <is>
          <t>goty0a</t>
        </is>
      </c>
      <c r="B9426" t="inlineStr">
        <is>
          <t>Is a Cancer diagnosis usually just given to someone on a paper to read or is it given via a phone call or in person?</t>
        </is>
      </c>
      <c r="C9426" t="inlineStr">
        <is>
          <t>My grandmother lives in Mexico...and idk how it works out there, but my uncle apparently was just given the results of my grandma's lab results on a printed out piece of paper.
Since he didn't know how to read lab results, he gave it to someone we know who just glanced at them for a second and said "oh yeah it's cancer"
Now my whole family is devastated and I am too, but I can't help but feel a certain way...I mean wouldn't doctors give options or ask to see the patient and tell them?</t>
        </is>
      </c>
      <c r="D9426" t="n">
        <v>1</v>
      </c>
      <c r="E9426" t="n">
        <v>3</v>
      </c>
      <c r="F9426">
        <f>HYPERLINK("https://www.reddit.com/r/cancer/comments/goty0a/is_a_cancer_diagnosis_usually_just_given_to/")</f>
        <v/>
      </c>
      <c r="G9426" t="inlineStr">
        <is>
          <t>2020-05-22 16:06:48</t>
        </is>
      </c>
      <c r="H9426" t="inlineStr"/>
    </row>
    <row r="9427">
      <c r="A9427" t="inlineStr">
        <is>
          <t>gouz85</t>
        </is>
      </c>
      <c r="B9427" t="inlineStr">
        <is>
          <t>Need Guidance</t>
        </is>
      </c>
      <c r="C9427" t="inlineStr">
        <is>
          <t>Hello, first off: I don't know much about cancers, so if I miscommunication something, I'm sorry.  I don't grasp medical stuff too well.
My friend's father (86) had bladder cancer in the past, but it went into remission. However, we have just found out after 2 weeks of him being in hospital, without them finding anything in tests, that it has come back. He has dementia and is probably going to die. He has no idea what's going on himself. It's my friend that needs help.
Due to covid, my friend can't see him. Does anyone know if there is any way he'd be able to see his dad during this time? We're in the UK if that matters. My friend is going to tear himself apart with the pain of not being able to see his dad and he won't be able to do this himself. Does anyone know what words I can say as a plea to the hospital to arrange this? Thank you.</t>
        </is>
      </c>
      <c r="D9427" t="n">
        <v>1</v>
      </c>
      <c r="E9427" t="n">
        <v>1</v>
      </c>
      <c r="F9427">
        <f>HYPERLINK("https://www.reddit.com/r/cancer/comments/gouz85/need_guidance/")</f>
        <v/>
      </c>
      <c r="G9427" t="inlineStr">
        <is>
          <t>2020-05-22 17:10:20</t>
        </is>
      </c>
      <c r="H9427" t="inlineStr"/>
    </row>
    <row r="9428">
      <c r="A9428" t="inlineStr">
        <is>
          <t>gowxlz</t>
        </is>
      </c>
      <c r="B9428" t="inlineStr">
        <is>
          <t>Conversation with the dying</t>
        </is>
      </c>
      <c r="C9428" t="inlineStr">
        <is>
          <t>I'm watching my father slowly die in front of me. I hate it. He is such a great man and cancer is killing him. He's going into home hospice tomorrow morning. 
What do you talk about with a dying man? I don't want to talk about him dying, I don't want to talk about life without him because he has said several times he doesn't want to die he wants to be in my 9 month olds life. He kept saying his new best friend was going to be my son and now that's not happening. What do i talk about? Not my son. Not work. Not the future?</t>
        </is>
      </c>
      <c r="D9428" t="n">
        <v>1</v>
      </c>
      <c r="E9428" t="n">
        <v>28</v>
      </c>
      <c r="F9428">
        <f>HYPERLINK("https://www.reddit.com/r/cancer/comments/gowxlz/conversation_with_the_dying/")</f>
        <v/>
      </c>
      <c r="G9428" t="inlineStr">
        <is>
          <t>2020-05-22 19:20:23</t>
        </is>
      </c>
      <c r="H9428" t="inlineStr"/>
    </row>
    <row r="9429">
      <c r="A9429" t="inlineStr">
        <is>
          <t>goxerj</t>
        </is>
      </c>
      <c r="B9429" t="inlineStr">
        <is>
          <t>Need advice for parent with cancer</t>
        </is>
      </c>
      <c r="C9429" t="inlineStr">
        <is>
          <t>Hopefully I’m posting in the right forum. I don’t know where else to post this.
My dad informed me a couple weeks ago that he had been diagnosed with prostate cancer and had known about it for over a year (this really upset me, that he didn’t tell me for so long and didnt take much action). Last week, he got surgery and found that the tumor had taken over 33% of the prostate, which was removed, but the tumor had also burst and had spread to seminal (is that spelled right?) vessels which were also removed. He is officially a Stage 3 cancer patient. We are waiting further results to see if it may have spread elsewhere. So far, the lymph nodes are fine.
My father lives across the US from me. With the global pandemic, I really want to see my parents now more than ever, because I don’t know what’s gonna happen to my dad. But because it’s also a pandemic, I worry about visiting them. They want me to visit a month from now, but I worry I am putting my father at risk by visiting him with the pandemic. But I don’t want to lose time with my father either. Visiting him would involve flying.
I’m mostly just venting but I’m scared and I don’t know if I should visit him so soon after his surgery with the pandemic and I don’t even think he’s told my grandparents... most of my family doesn’t even know about it and I don’t know who to talk to</t>
        </is>
      </c>
      <c r="D9429" t="n">
        <v>1</v>
      </c>
      <c r="E9429" t="n">
        <v>14</v>
      </c>
      <c r="F9429">
        <f>HYPERLINK("https://www.reddit.com/r/cancer/comments/goxerj/need_advice_for_parent_with_cancer/")</f>
        <v/>
      </c>
      <c r="G9429" t="inlineStr">
        <is>
          <t>2020-05-22 19:53:22</t>
        </is>
      </c>
      <c r="H9429" t="inlineStr"/>
    </row>
    <row r="9430">
      <c r="A9430" t="inlineStr">
        <is>
          <t>goy5vw</t>
        </is>
      </c>
      <c r="B9430" t="inlineStr">
        <is>
          <t>24 Hours Later</t>
        </is>
      </c>
      <c r="C9430" t="inlineStr">
        <is>
          <t>My father died yesterday at 8pm. I have survived the first 24 hours. 
I have no idea what comes next. How does life just keep going? Why do I go from feeling fine and bored to like I may never come out of whatever dark home I'm suddenly in? 
My employer has given me as much time as I need, paid, and all I want to do is focus enough to work. I want something to do, but can't imagine the point of doing anything when he's laying in a morgue. 
I was able to say goodbye, and that I love him. I know he loved me. That's good and important. 
But every time I close my eyes I see his eyes panicked as he struggled to breathe, him begging me to help him get out of the hospital, upset with me for not letting him try to get out of bed and walk out of the ICU. He was so scared. Why doesn't anyone warn you how scared people can be right at the end? Why do we pretend everyone accepts it? 
It's 24 hours later and nothing feels real.</t>
        </is>
      </c>
      <c r="D9430" t="n">
        <v>1</v>
      </c>
      <c r="E9430" t="n">
        <v>5</v>
      </c>
      <c r="F9430">
        <f>HYPERLINK("https://www.reddit.com/r/cancer/comments/goy5vw/24_hours_later/")</f>
        <v/>
      </c>
      <c r="G9430" t="inlineStr">
        <is>
          <t>2020-05-22 20:46:47</t>
        </is>
      </c>
      <c r="H9430" t="inlineStr"/>
    </row>
    <row r="9431">
      <c r="A9431" t="inlineStr">
        <is>
          <t>goz0ez</t>
        </is>
      </c>
      <c r="B9431" t="inlineStr">
        <is>
          <t>Is there any increased risk for siblings where there is a history of this type of cancer?</t>
        </is>
      </c>
      <c r="C9431" t="inlineStr">
        <is>
          <t xml:space="preserve">
I have a brother who developed a testicular cancer (died in his 20 years) 
How approximately would I get this disease? Should I take care on this case or the cancer isnt that genetic disease?</t>
        </is>
      </c>
      <c r="D9431" t="n">
        <v>1</v>
      </c>
      <c r="E9431" t="n">
        <v>0</v>
      </c>
      <c r="F9431">
        <f>HYPERLINK("https://www.reddit.com/r/cancer/comments/goz0ez/is_there_any_increased_risk_for_siblings_where/")</f>
        <v/>
      </c>
      <c r="G9431" t="inlineStr">
        <is>
          <t>2020-05-22 21:49:41</t>
        </is>
      </c>
      <c r="H9431" t="inlineStr"/>
    </row>
    <row r="9432">
      <c r="A9432" t="inlineStr">
        <is>
          <t>gp3zde</t>
        </is>
      </c>
      <c r="B9432" t="inlineStr">
        <is>
          <t>Cancer taught me I have people that care about me but not that many friends</t>
        </is>
      </c>
      <c r="C9432" t="inlineStr">
        <is>
          <t>Battling and winning against stage 4 melanoma made me realise people do care about me, but most of my “friends” were fair weather friends. Maybe that’s the same for everybody I guess.
I’ve done most of the hard work on my own. I had my mum my best friend and my brother and aunties cousins be there for me and work colleagues etc 
But some friends that I’ve been there for them for example if they had depression and one friend I put him up cos his gf threw him out. Nothing. Deathly silence.
I even kept a diary of my cancer treatments on fb and noticed several people blocked or removed me. My diary was upbeat and people have complimented how strong I am and I never complain etc Maybe some shit is too real for people.
I usually keep negative thoughts to myself or close friends and family. 
It’s just i am worried I’m 34 single and becoming a loner. My libido has took a hit. Last year i had several one night stands as my sex drive was too high. As soon as any of them found out I had cancer, radio silence lol
I’m rambling but I just needed to write down my thoughts and share with people who understand. I know cancer is far worse than social status etc and I probably sound vain. It’s just one of several side effects</t>
        </is>
      </c>
      <c r="D9432" t="n">
        <v>1</v>
      </c>
      <c r="E9432" t="n">
        <v>37</v>
      </c>
      <c r="F9432">
        <f>HYPERLINK("https://www.reddit.com/r/cancer/comments/gp3zde/cancer_taught_me_i_have_people_that_care_about_me/")</f>
        <v/>
      </c>
      <c r="G9432" t="inlineStr">
        <is>
          <t>2020-05-23 05:19:49</t>
        </is>
      </c>
      <c r="H9432" t="inlineStr"/>
    </row>
    <row r="9433">
      <c r="A9433" t="inlineStr">
        <is>
          <t>gp43ry</t>
        </is>
      </c>
      <c r="B9433" t="inlineStr">
        <is>
          <t>Brain cancer -- seizures and driving</t>
        </is>
      </c>
      <c r="C9433" t="inlineStr">
        <is>
          <t>I'm four months out of "laser knife" treatment; tumors have responded very well; all inflammation is gone.  Dr. has forbidden driving because of seizure risk; my research shows this is very real and common, though many seizures are super minor.  I've had nothing.  
Anybody out there have experience with this?  I'm a very careful and considerate guy and don't want to hurt anybody, but even the ability for short trips would really change my life now.</t>
        </is>
      </c>
      <c r="D9433" t="n">
        <v>1</v>
      </c>
      <c r="E9433" t="n">
        <v>8</v>
      </c>
      <c r="F9433">
        <f>HYPERLINK("https://www.reddit.com/r/cancer/comments/gp43ry/brain_cancer_seizures_and_driving/")</f>
        <v/>
      </c>
      <c r="G9433" t="inlineStr">
        <is>
          <t>2020-05-23 05:29:11</t>
        </is>
      </c>
      <c r="H9433" t="inlineStr"/>
    </row>
    <row r="9434">
      <c r="A9434" t="inlineStr">
        <is>
          <t>gp9zbf</t>
        </is>
      </c>
      <c r="B9434" t="inlineStr">
        <is>
          <t>Throat Cancer- Two descriptions I give when asked “how do you feel” and I know them well enough to know that they want an honest answer.</t>
        </is>
      </c>
      <c r="C9434" t="inlineStr">
        <is>
          <t>Friends and family ask me how I’m doing and “what is chemo like”. When I’m asked for specifics I have to assume that the person wants a full and honest answer so I do my best to provide one. These are two of my better responses. What do you all think?
1-
Radiation is a painful and daily ordeal. Imagine being marched barefoot out to the desert, every day, with a sunburn that just gets worse. That’s what was being done to the inside of my mouth and throat for 7 weeks. No gain without pain? But now, take away the added radiation, (the last two or three weeks of radiation are still active and working so getting symptomatically better is a trick of sorts) throw the recent chemo on top and it’s a whole new place. No longer a desert but now a State Fair on a humid day and you have the flu and a stomach filled with roasted “exotic” meat that you are questioning whether it was fully cooked. You don’t know what pineapple frog-i-gator squid should actually taste like to begin with so you don’t know what “properly cooked” would be. Chemo is GROSS. So I’m trying to figure out what’s “normal” and it changes daily and throughout the day. 
2-
Can’t sleep. Can’t swallow. Can’t talk. Spit is really thick and I can’t swallow it so I gag on it. Things have gotten bad and I’m not even bothering with being valiant anymore. My. Throat. Fucking. Hurts. The taste of everything is ocean water but with rotting bodies and dead fish in the surf. My spit is as thick as egg whites and I wake up retching.</t>
        </is>
      </c>
      <c r="D9434" t="n">
        <v>1</v>
      </c>
      <c r="E9434" t="n">
        <v>8</v>
      </c>
      <c r="F9434">
        <f>HYPERLINK("https://www.reddit.com/r/cancer/comments/gp9zbf/throat_cancer_two_descriptions_i_give_when_asked/")</f>
        <v/>
      </c>
      <c r="G9434" t="inlineStr">
        <is>
          <t>2020-05-23 11:31:41</t>
        </is>
      </c>
      <c r="H9434" t="inlineStr"/>
    </row>
    <row r="9435">
      <c r="A9435" t="inlineStr">
        <is>
          <t>gpa93y</t>
        </is>
      </c>
      <c r="B9435" t="inlineStr">
        <is>
          <t>Just found out</t>
        </is>
      </c>
      <c r="C9435" t="inlineStr">
        <is>
          <t>This morning I found out the news my dad has a year to two left depending on if he wants treatment. How do you watch a hero getting eaten alive from the inside out. The man that made me believe that anything is possible with hard work, I have to watch him succumb to something no amount of work can change. But I know he will because he knows no other way to live but to fight</t>
        </is>
      </c>
      <c r="D9435" t="n">
        <v>1</v>
      </c>
      <c r="E9435" t="n">
        <v>3</v>
      </c>
      <c r="F9435">
        <f>HYPERLINK("https://www.reddit.com/r/cancer/comments/gpa93y/just_found_out/")</f>
        <v/>
      </c>
      <c r="G9435" t="inlineStr">
        <is>
          <t>2020-05-23 11:47:26</t>
        </is>
      </c>
      <c r="H9435" t="inlineStr"/>
    </row>
    <row r="9436">
      <c r="A9436" t="inlineStr">
        <is>
          <t>gpbl93</t>
        </is>
      </c>
      <c r="B9436" t="inlineStr">
        <is>
          <t>Can regular cleaning/anti bacterial/bleach containing chemicals cause skin cancer?</t>
        </is>
      </c>
      <c r="C9436" t="inlineStr">
        <is>
          <t xml:space="preserve"> I mean if they regularly get on your skin and you are not bothering with rinsing?</t>
        </is>
      </c>
      <c r="D9436" t="n">
        <v>1</v>
      </c>
      <c r="E9436" t="n">
        <v>1</v>
      </c>
      <c r="F9436">
        <f>HYPERLINK("https://www.reddit.com/r/cancer/comments/gpbl93/can_regular_cleaninganti_bacterialbleach/")</f>
        <v/>
      </c>
      <c r="G9436" t="inlineStr">
        <is>
          <t>2020-05-23 13:04:17</t>
        </is>
      </c>
      <c r="H9436" t="inlineStr"/>
    </row>
    <row r="9437">
      <c r="A9437" t="inlineStr">
        <is>
          <t>gpe62y</t>
        </is>
      </c>
      <c r="B9437" t="inlineStr">
        <is>
          <t>Stage IV cancer...PET scans?</t>
        </is>
      </c>
      <c r="C9437" t="inlineStr">
        <is>
          <t>My partner has stage IV colon cancer and his oncologist has said he won't do a PET scan. He gets chest and neck scans done and the oncologist says that those are the only areas needed to be scanned, and a PET scan wouldn't give any useful information. As far as we know the cancer has only spread through the lymphatic system and not to any organs.
Is this normal to not ever get a PET scan with stage IV?</t>
        </is>
      </c>
      <c r="D9437" t="n">
        <v>1</v>
      </c>
      <c r="E9437" t="n">
        <v>24</v>
      </c>
      <c r="F9437">
        <f>HYPERLINK("https://www.reddit.com/r/cancer/comments/gpe62y/stage_iv_cancerpet_scans/")</f>
        <v/>
      </c>
      <c r="G9437" t="inlineStr">
        <is>
          <t>2020-05-23 15:35:32</t>
        </is>
      </c>
      <c r="H9437" t="inlineStr"/>
    </row>
    <row r="9438">
      <c r="A9438" t="inlineStr">
        <is>
          <t>gpg1b5</t>
        </is>
      </c>
      <c r="B9438" t="inlineStr">
        <is>
          <t>About telling my Friends of my mom's situation</t>
        </is>
      </c>
      <c r="C9438" t="inlineStr">
        <is>
          <t>So... my and my little sister were told today by my mom (who has been battleing since 2017) that the illness has not been reduced enough. The doctor said it's gonna be useless to continue treatment by this point, so it's only matter of time that she will pass away. It hurts a lot. We don't know if it's gonna be months, a year or more. But we know that it is inevitable.
My question is: How do I tell my friends and loved ones about this?? I feel I should, but I don't know how. And with qurantine still going on in my country for a long time I think I'll only be only to tell them by videocall, but I don't know if it's gonna be the best, cause they can't contain me and it's gonna be awkward to start to cry in front of them alone in my room while they stare in the camera. But I think it well help me a lot if they know.
So, what should I do? I know you don't have much context and each situation is different, but leaving tips or your own experiences with it will  help
Thanks for reading, answering and giving me this platform to help me
Thank you, and I hope you'll doing the best you can💖💖</t>
        </is>
      </c>
      <c r="D9438" t="n">
        <v>1</v>
      </c>
      <c r="E9438" t="n">
        <v>6</v>
      </c>
      <c r="F9438">
        <f>HYPERLINK("https://www.reddit.com/r/cancer/comments/gpg1b5/about_telling_my_friends_of_my_moms_situation/")</f>
        <v/>
      </c>
      <c r="G9438" t="inlineStr">
        <is>
          <t>2020-05-23 17:30:48</t>
        </is>
      </c>
      <c r="H9438" t="inlineStr"/>
    </row>
    <row r="9439">
      <c r="A9439" t="inlineStr">
        <is>
          <t>gpg2bm</t>
        </is>
      </c>
      <c r="B9439" t="inlineStr">
        <is>
          <t>Feet swelling before and after chemo?</t>
        </is>
      </c>
      <c r="C9439" t="inlineStr">
        <is>
          <t>Has anyone experienced this? 
My dad has extreme water swelling in his feet that now went to his thighs. The doctors said it wasn’t the most serious situation right now compared to the cancer but he just called my crying that it hurts- and he barely ever cries ;n; just want to know if this is normal and / or curable?! Thank you</t>
        </is>
      </c>
      <c r="D9439" t="n">
        <v>1</v>
      </c>
      <c r="E9439" t="n">
        <v>7</v>
      </c>
      <c r="F9439">
        <f>HYPERLINK("https://www.reddit.com/r/cancer/comments/gpg2bm/feet_swelling_before_and_after_chemo/")</f>
        <v/>
      </c>
      <c r="G9439" t="inlineStr">
        <is>
          <t>2020-05-23 17:32:34</t>
        </is>
      </c>
      <c r="H9439" t="inlineStr"/>
    </row>
    <row r="9440">
      <c r="A9440" t="inlineStr">
        <is>
          <t>gpgeo8</t>
        </is>
      </c>
      <c r="B9440" t="inlineStr">
        <is>
          <t>Please Help - Just learned I (33M) still have rectal cancer after first surgery + news of Lynch syndrome, have a big decision to make, looking for perspective and experience and help</t>
        </is>
      </c>
      <c r="C9440" t="inlineStr">
        <is>
          <t>Initially diagnosed with very early stage mid-rectal cancer, one polyp, some tests (internal ultrasound with colonoscopy, scans, etc..) made it seem probable stage 1, other tests (3 biopsies all showed high-dysplasia, not hyper-dysplasia) made it seem possible for still being pre-cancer.  Based on this we decided to just have polyp and surrounding tissue removed - it was the recommended surgery and was given 75% that's all I would need.  Also had sent in a saliva sample to the lab to see if I had any generic cancer issues.  This surgery happened May 4th.
Got bad news last night - double whammy - genetic test showed I have Lynch Syndrome (MSH2) and pathology shows the cancer was deeper into muscular wall so it is still there.  
My options are **A:** remove most of the rectum, attach colon to remaining rectum or **B:** (recommended by surgeon) remove most of the rectum and all the colon, attach small intestine to remaining rectum, turn part of the small intestine into a  J pouch.  
B was recommended because of my age (33) and that I have Lynch syndrome.  If we leave the colon in (option A), I have about 50% of getting new colon cancer there sometime in my life, and even with annual screening, people with Lynch usually have more cancer that is more aggressive which could get bad even within the annual screening windows.  If we take my colon out too (option B) then I remove that risk of future cancer, but have to live without a colon.  Does anyone have experience with what that's like?  I'm expecting high BM frequency, including once a night, and worried about nutrition issues (heard of some treatments like vit B12 shots to help)... and wondering what other health risks are associated with this.
Since I already have so many other increased chances of different cancers with Lynch (ie: 30% prostate is next worse), and I have 2 small kids who need me to be there for them, I'm leaning towards reducing my risk of future cancers and biting the bullet with the larger surgery (I think its called total proctal colectomy with ileo J-pouch).  Please help me with any information or shared experiences to help me understand what I'm looking at.  thanks.</t>
        </is>
      </c>
      <c r="D9440" t="n">
        <v>1</v>
      </c>
      <c r="E9440" t="n">
        <v>30</v>
      </c>
      <c r="F9440">
        <f>HYPERLINK("https://www.reddit.com/r/cancer/comments/gpgeo8/please_help_just_learned_i_33m_still_have_rectal/")</f>
        <v/>
      </c>
      <c r="G9440" t="inlineStr">
        <is>
          <t>2020-05-23 17:54:47</t>
        </is>
      </c>
      <c r="H9440" t="inlineStr"/>
    </row>
    <row r="9441">
      <c r="A9441" t="inlineStr">
        <is>
          <t>gpguta</t>
        </is>
      </c>
      <c r="B9441" t="inlineStr">
        <is>
          <t>Most useful gifts for friend about to start chemo?</t>
        </is>
      </c>
      <c r="C9441" t="inlineStr">
        <is>
          <t>My best friend is about to start an intensive chemo like treatment. Due to covid I havent been able to see her anyway and now she will have to isolate for a further 3 months during her treatment. 
I want to put a care package together for her to make things easier, as she doesnt have any family around here other than her son. 
So far I have ordered 
- a large power bank for her phone
- unscented hand cream
- lip balm 
- face masks (handmade by me)
- eye mask for sleeping 
- microwave heat pack (would a hot water bottle be better?)
I've also printed a load of colouring pages of our favourite tv shows, some crossword and sudoku puzzles. I have sewn a pencil case and included colouring pencils and pens for her to use. I'm going to try and get her some hard soled slippers for walking in the hospital with as I've read that her feet might get cold.
What's the most practical / thoughtful gift you recieved?</t>
        </is>
      </c>
      <c r="D9441" t="n">
        <v>1</v>
      </c>
      <c r="E9441" t="n">
        <v>22</v>
      </c>
      <c r="F9441">
        <f>HYPERLINK("https://www.reddit.com/r/cancer/comments/gpguta/most_useful_gifts_for_friend_about_to_start_chemo/")</f>
        <v/>
      </c>
      <c r="G9441" t="inlineStr">
        <is>
          <t>2020-05-23 18:24:25</t>
        </is>
      </c>
      <c r="H9441" t="inlineStr"/>
    </row>
    <row r="9442">
      <c r="A9442" t="inlineStr">
        <is>
          <t>gpmno9</t>
        </is>
      </c>
      <c r="B9442" t="inlineStr">
        <is>
          <t>MY FATHER HAS RETRACTED LUNG CANCER, PLEASE HELP:</t>
        </is>
      </c>
      <c r="C9442" t="inlineStr">
        <is>
          <t xml:space="preserve"> Hello ya'll. My name's Jahmani and I'm a struggling freelancer. My father recently was diagnosed with lung cancer, and it's getting worse day by day. I can't pay for his medical bills, because COVID-19 messed every up so I lost my job, forcing me to be an online freelancer. That's not working out, so my father is literally fighting for his life right now with the care I could afford. My father also has no source of income, due to him being retired. My mom sadly left us when I was 13 years of age, and I can't stand to lose my father as well. Please help. Even a dollar would be appreciated. I don't have a personal paypal account, so all donations will go to my best friend, Akash Wilmot. Donate here: [https://paypal.me/accountsellssssss?locale.x=en\_US](https://paypal.me/accountsellssssss?locale.x=en_US)</t>
        </is>
      </c>
      <c r="D9442" t="n">
        <v>1</v>
      </c>
      <c r="E9442" t="n">
        <v>2</v>
      </c>
      <c r="F9442">
        <f>HYPERLINK("https://www.reddit.com/r/cancer/comments/gpmno9/my_father_has_retracted_lung_cancer_please_help/")</f>
        <v/>
      </c>
      <c r="G9442" t="inlineStr">
        <is>
          <t>2020-05-24 02:15:04</t>
        </is>
      </c>
      <c r="H9442" t="inlineStr"/>
    </row>
    <row r="9443">
      <c r="A9443" t="inlineStr">
        <is>
          <t>gpnpgi</t>
        </is>
      </c>
      <c r="B9443" t="inlineStr">
        <is>
          <t>Thank you!</t>
        </is>
      </c>
      <c r="C9443" t="inlineStr">
        <is>
          <t>Might be a long read sorry! 
About a month ago I posted that mum had been diagnosed with stage 2 metastatic cancer. I just wanted to say THANK YOU! to every single person who commented (I bought her everything, she thought I was mad haha!). And THANKYOU to everyone else because I read you posts daily so I didn't feel so alone.
Little update.
We have always known mum's secondary cancer is stomach. The day she went in for her first chemo it got postponed for a few hours because a professor had looked at her charts. He found the primary was ovarian. Her whole treatment got changed (because she only has one kidney, donated the other to her brother, his second donated kidney, 13 years ago). 
She is doing amazingly! Doesn't feel sick, lost her hair though. 
During mum's first chemo session, she did have to tell me that it is highly likely it is genetic, currently in the middle of genetic testing!
Xx</t>
        </is>
      </c>
      <c r="D9443" t="n">
        <v>1</v>
      </c>
      <c r="E9443" t="n">
        <v>0</v>
      </c>
      <c r="F9443">
        <f>HYPERLINK("https://www.reddit.com/r/cancer/comments/gpnpgi/thank_you/")</f>
        <v/>
      </c>
      <c r="G9443" t="inlineStr">
        <is>
          <t>2020-05-24 03:50:25</t>
        </is>
      </c>
      <c r="H9443" t="inlineStr"/>
    </row>
    <row r="9444">
      <c r="A9444" t="inlineStr">
        <is>
          <t>gppbix</t>
        </is>
      </c>
      <c r="B9444" t="inlineStr">
        <is>
          <t>I don't understand immunotherapy for lung cancer.</t>
        </is>
      </c>
      <c r="C9444" t="inlineStr">
        <is>
          <t>How does the immunotherapy know to go to the lung that had cancer?  6 months in, my imaging shows a lot of inflammation in the lung that had cancer, but the other lung looks perfect. Is this an indication the cancer is still present?  I'm waiting for my pet scan appointment which will be definitive. I just don't understand why both lungs aren't inflamed.</t>
        </is>
      </c>
      <c r="D9444" t="n">
        <v>1</v>
      </c>
      <c r="E9444" t="n">
        <v>9</v>
      </c>
      <c r="F9444">
        <f>HYPERLINK("https://www.reddit.com/r/cancer/comments/gppbix/i_dont_understand_immunotherapy_for_lung_cancer/")</f>
        <v/>
      </c>
      <c r="G9444" t="inlineStr">
        <is>
          <t>2020-05-24 06:01:03</t>
        </is>
      </c>
      <c r="H9444" t="inlineStr"/>
    </row>
    <row r="9445">
      <c r="A9445" t="inlineStr">
        <is>
          <t>gprpe1</t>
        </is>
      </c>
      <c r="B9445" t="inlineStr">
        <is>
          <t>Pushing a friend to talk</t>
        </is>
      </c>
      <c r="C9445" t="inlineStr">
        <is>
          <t>My best friend (28) was diagnosed with an aggressive cancer in the beginning of April, knowing it was inoperable and terminal within a year. 2 months later hospice has begun, and its clearly the beginning of the end. 
I dropped everything to come be with her for a few days. Her mom is her primary caregiver, but they've never been super close, mom and brother let me know that she hasn't really expressed feelings about a lot of this... she's also the most kind and selfless person ever, would never burden others with her feelings. 
I was encouraged to try to bring some of it up with her. I'm a blunt person and she knows she doesn't have to be someone else, or hide from me. 
Should I continue to be my blunt self and try to talk to her, process some of this out? What should I ask her?</t>
        </is>
      </c>
      <c r="D9445" t="n">
        <v>1</v>
      </c>
      <c r="E9445" t="n">
        <v>8</v>
      </c>
      <c r="F9445">
        <f>HYPERLINK("https://www.reddit.com/r/cancer/comments/gprpe1/pushing_a_friend_to_talk/")</f>
        <v/>
      </c>
      <c r="G9445" t="inlineStr">
        <is>
          <t>2020-05-24 08:36:55</t>
        </is>
      </c>
      <c r="H9445" t="inlineStr"/>
    </row>
    <row r="9446">
      <c r="A9446" t="inlineStr">
        <is>
          <t>gps49c</t>
        </is>
      </c>
      <c r="B9446" t="inlineStr">
        <is>
          <t>Prostate Gone</t>
        </is>
      </c>
      <c r="C9446" t="inlineStr">
        <is>
          <t>Anyone else out there with prostate cancer? HD mine removed this past November, all went well and recovery from surgery was good. Doc thinks there's still a little that he couldn't get and is one who recommends aggressive treatment. This means radiation and I'm not thrilled with that.</t>
        </is>
      </c>
      <c r="D9446" t="n">
        <v>1</v>
      </c>
      <c r="E9446" t="n">
        <v>12</v>
      </c>
      <c r="F9446">
        <f>HYPERLINK("https://www.reddit.com/r/cancer/comments/gps49c/prostate_gone/")</f>
        <v/>
      </c>
      <c r="G9446" t="inlineStr">
        <is>
          <t>2020-05-24 08:59:56</t>
        </is>
      </c>
      <c r="H9446" t="inlineStr"/>
    </row>
    <row r="9447">
      <c r="A9447" t="inlineStr">
        <is>
          <t>gpse2a</t>
        </is>
      </c>
      <c r="B9447" t="inlineStr">
        <is>
          <t>Saving Sarah Wright from Breast Cancer: My Interview</t>
        </is>
      </c>
      <c r="C9447" t="inlineStr">
        <is>
          <t>Hello all-
I am a physician and a few weeks ago I got involved with Sarah Wright and her husband, Adam, desperate plea to get an experimental drug called leronlimab to treat Sarah.  Sarah has triple negative breast cancer and was initially denied it by her oncologist in the UK.  They contacted me seeing if I could help and this is their story.  It is a powerful testament to human love and doing anything possible to save a loved one.   
[https://www.youtube.com/watch?v=ehIoPMmOJd4](https://www.youtube.com/watch?v=ehIoPMmOJd4)</t>
        </is>
      </c>
      <c r="D9447" t="n">
        <v>1</v>
      </c>
      <c r="E9447" t="n">
        <v>11</v>
      </c>
      <c r="F9447">
        <f>HYPERLINK("https://www.reddit.com/r/cancer/comments/gpse2a/saving_sarah_wright_from_breast_cancer_my/")</f>
        <v/>
      </c>
      <c r="G9447" t="inlineStr">
        <is>
          <t>2020-05-24 09:16:03</t>
        </is>
      </c>
      <c r="H9447" t="inlineStr"/>
    </row>
    <row r="9448">
      <c r="A9448" t="inlineStr">
        <is>
          <t>gpwd9q</t>
        </is>
      </c>
      <c r="B9448" t="inlineStr">
        <is>
          <t>How long would you say my niece has?</t>
        </is>
      </c>
      <c r="C9448" t="inlineStr">
        <is>
          <t>She has stage 4 osteosarcoma that started in her knee. It has spread pretty much everywhere. Her wrist is super swollen now from a tumor that grew there. I didn't notice anything wrong with her wrist 2 weeks ago... If it's this aggressive, how long would you say she has?</t>
        </is>
      </c>
      <c r="D9448" t="n">
        <v>1</v>
      </c>
      <c r="E9448" t="n">
        <v>3</v>
      </c>
      <c r="F9448">
        <f>HYPERLINK("https://www.reddit.com/r/cancer/comments/gpwd9q/how_long_would_you_say_my_niece_has/")</f>
        <v/>
      </c>
      <c r="G9448" t="inlineStr">
        <is>
          <t>2020-05-24 13:05:40</t>
        </is>
      </c>
      <c r="H9448" t="inlineStr"/>
    </row>
    <row r="9449">
      <c r="A9449" t="inlineStr">
        <is>
          <t>gpxsgc</t>
        </is>
      </c>
      <c r="B9449" t="inlineStr">
        <is>
          <t>My family plans to ask my grandmother to stop Chemotherapy</t>
        </is>
      </c>
      <c r="C9449" t="inlineStr">
        <is>
          <t xml:space="preserve"> **I come in this subreddit in a time of need.**
 Due to a urinal infection, my grandmother (**age 71**), accidentally discovered she had bladder cancer after taking a test.  The cancer is at an early and undeveloped stage, so doctors recommended that she had a few chemotherapy sessions, followed by a surgery, in order to minimise the risk of that cancer growing.
 It's normal to say that she was loved by many family members, and her condition worried us greatly.
Allegedly, the doctor had told her that she **won't experience any side effects** throughout her sessions, and that everything would go off without a scratch.  
 During her first session she didn't experience any side effects and we were all happy for her progress.  
But. She **did** during the second. The second session takes place in two appointments, and after having done the first, she started experiencing a **3-day constipation and some hair loss**.
 Before I get to the point, some words about my family.  Throughout my life I've tried to distinguish false medical practices from true ones, mischievous alternative medicine from the scientific method, applying healthy amounds critisism without rejecting outright everything. But I can't say the same for my parents.  My dad believes that big pharmaceutical companies invented cancer for money, and that they're holding the cure to benefit from making people pay for "bad chemicals". My mother is on the same track.
 Today while I was out the house, my uncle (my mother's brother) came over for a "closed door" meeting to "discuss" if they **should tell my grandma to stop chemo treatment** because they believe it'll kill her or turn her into a zombie for the rest of her life. I put discuss in "" because as far as I know, everyone in my family is onboard with this already.
 I found this outragious, and started a big arguement on why chemo is her only current option for survival, and that it provides an opportunity for her to live more instead of waiting for canser to win her over.  My father argues that the cancer won't spread, or that it'll spread **slowly** because she's old, he argues that every person he has seen going through chemo has died because of it, and that "if you ask a doctor to sign that by doing chemo you'll live, he won't do it".  I explained that those are just anecdotal experiences and that chemo isn't always succesful but still can treat you.
This argument went for hours, where I kept my temper in check, but resulted nowhere.  As far as I know, the decision is final and they're planning on confronting her soon about stopping her sessions.  As I see it, she's at a weakened state right now, and probably highly susceptible to ideas from people close to her.
 **I'm afraid she'll die because of an uninformed decision, and I cannot do anything about it.**  
 And that's why I came here.  What can I do to atleast try to help her?  Is stopping chemo a wise choice or will it result to something worse?  Are the symptoms signs that she can't handle the chemo?  How do I convince my conspiracy loving family members?
I know little about cancer and cancer treatments, and any useful information would be **greately** appreciated.  Thank you for taking the time to read this, as it's something trully concerning and upsetting to me  &amp;lt;3</t>
        </is>
      </c>
      <c r="D9449" t="n">
        <v>1</v>
      </c>
      <c r="E9449" t="n">
        <v>36</v>
      </c>
      <c r="F9449">
        <f>HYPERLINK("https://www.reddit.com/r/cancer/comments/gpxsgc/my_family_plans_to_ask_my_grandmother_to_stop/")</f>
        <v/>
      </c>
      <c r="G9449" t="inlineStr">
        <is>
          <t>2020-05-24 14:28:04</t>
        </is>
      </c>
      <c r="H9449" t="inlineStr"/>
    </row>
    <row r="9450">
      <c r="A9450" t="inlineStr">
        <is>
          <t>gq0yd6</t>
        </is>
      </c>
      <c r="B9450" t="inlineStr">
        <is>
          <t>Can you return unused capecitabine or is there an organization they can be given to? My husband received a full order right before they changed his treatment plan.</t>
        </is>
      </c>
      <c r="C9450" t="inlineStr">
        <is>
          <t>It seems like such a waste to have this full prescription sitting here when it is so expensive.  I didn't know if chemo pills followed the same rules as general prescriptions.  My apologies if this is an ignorant question.  I couldn't find anything specific.</t>
        </is>
      </c>
      <c r="D9450" t="n">
        <v>1</v>
      </c>
      <c r="E9450" t="n">
        <v>6</v>
      </c>
      <c r="F9450">
        <f>HYPERLINK("https://www.reddit.com/r/cancer/comments/gq0yd6/can_you_return_unused_capecitabine_or_is_there_an/")</f>
        <v/>
      </c>
      <c r="G9450" t="inlineStr">
        <is>
          <t>2020-05-24 17:37:00</t>
        </is>
      </c>
      <c r="H9450" t="inlineStr"/>
    </row>
    <row r="9451">
      <c r="A9451" t="inlineStr">
        <is>
          <t>gq2i93</t>
        </is>
      </c>
      <c r="B9451" t="inlineStr">
        <is>
          <t>Post chemo periods.</t>
        </is>
      </c>
      <c r="C9451" t="inlineStr">
        <is>
          <t>Hi, 
Sorry if this isn't allowed here, i couldnt really find anywhere else to post. 
I had a autologous stem cell transplant last year (not cancer related) but included high dose chemotherapy. My periods stopped during transplant and in the 14ish months since i have had my period twice, after being told i was in chemically induced menopause (im 31). 
Has this happened to anyone else? I will be seeing a doc about it but am curious about others experience.</t>
        </is>
      </c>
      <c r="D9451" t="n">
        <v>1</v>
      </c>
      <c r="E9451" t="n">
        <v>5</v>
      </c>
      <c r="F9451">
        <f>HYPERLINK("https://www.reddit.com/r/cancer/comments/gq2i93/post_chemo_periods/")</f>
        <v/>
      </c>
      <c r="G9451" t="inlineStr">
        <is>
          <t>2020-05-24 19:17:54</t>
        </is>
      </c>
      <c r="H9451" t="inlineStr"/>
    </row>
    <row r="9452">
      <c r="A9452" t="inlineStr">
        <is>
          <t>gq3v6f</t>
        </is>
      </c>
      <c r="B9452" t="inlineStr">
        <is>
          <t>New to this and need encouragement</t>
        </is>
      </c>
      <c r="C9452" t="inlineStr">
        <is>
          <t>Hi there. My husband's father was diagnosed with stage 4 liver and kidney cancer about 2 months ago. He is 78 and they found it during surgery to repair a broken hip. We haven't had a ton of experience with cancer and so this has been quite a shock to process. He was given 3-6 months no treatment and up to two years with treatment. He started radiation and immunotherapy and has had quite a reaction to both. No longer eating and cannot control bowels.
I am currently 34 weeks pregnant and we have two children under 4. We live about 3.5 hours from my husband's dad and with the pandemic I have a lot of guilt being so far let alone being pregnant and not being able to go see him because of the risk of exposure. 
I encouraged my husband to go even against recommendations to visit his dad a few weeks ago to spend as much time with him as he can which he did. And we are choosing this weekend to visit him as a family but just stay at the beach instead of with him. I'm also encouraging my husband to go see him at least one more time before I hit 38 weeks to spend time with his dad 1:1.
At this point it just worth the risk even given the pandemic because we don't know how much time is left. I just wondered if any of you have advice on how to handle the guilt I feel as a helpless pregnant spouse. I have to rely on my husband to help me with the kids since we are restricted to home still with covid-19 and I  am starting to worry his dad will go downhill right before or after I give birth. He likely won't even be able to meet his grandchild for a while even if this isn't the end.
Thank you for reading. I know this is a long post!</t>
        </is>
      </c>
      <c r="D9452" t="n">
        <v>1</v>
      </c>
      <c r="E9452" t="n">
        <v>2</v>
      </c>
      <c r="F9452">
        <f>HYPERLINK("https://www.reddit.com/r/cancer/comments/gq3v6f/new_to_this_and_need_encouragement/")</f>
        <v/>
      </c>
      <c r="G9452" t="inlineStr">
        <is>
          <t>2020-05-24 20:51:23</t>
        </is>
      </c>
      <c r="H9452" t="inlineStr"/>
    </row>
    <row r="9453">
      <c r="A9453" t="inlineStr">
        <is>
          <t>gq79ez</t>
        </is>
      </c>
      <c r="B9453" t="inlineStr">
        <is>
          <t>Blast cells found in one bloodwork but not found in another for person 7 years in remission, 5 years from last chemo treatment - ALL (Acute Lymphoblastic Leukemia)</t>
        </is>
      </c>
      <c r="C9453" t="inlineStr">
        <is>
          <t>My girlfriend had Acute Lymphoblastic Leukemia. She has been in remission for 7.5 years and her last chemo treatment was 5 years ago. As far as I know, she is considered “cured” in the medical community. 
She’s been feeling really fatigued lately, feeling chills, slightly feverish, and has a slightly swollen lymph node. So we went to a regular urgent care facility where they did some blood work. The results showed that she had “2 H of blast cells” found, her hemoglobin was normal, but her white blood count was low. The recommended number for blast cells is 0, but we aren’t sure if 2H is low, high, or how to determine that value. 
We then went to Moffit Cancer Center urgent care to get more bloodwork done and they found no blast cells in their bloodwork. They took some extra blood to do a more specialized screening under a microscope to see if there is anything they can visibly see. 
We are pretty confused at the moment with the differences in bloodwork results and trying to not freak out. 
Has anyone ever had blast cells show in their bloodwork, only for it to not be cancer,  but something viral? The doctor at Moffit Cancer Center said that this is nothing to worry about, but since both tests can indicate something different, we are currently stuck in limbo. Any info helps, just trying to make sense of it all.</t>
        </is>
      </c>
      <c r="D9453" t="n">
        <v>1</v>
      </c>
      <c r="E9453" t="n">
        <v>7</v>
      </c>
      <c r="F9453">
        <f>HYPERLINK("https://www.reddit.com/r/cancer/comments/gq79ez/blast_cells_found_in_one_bloodwork_but_not_found/")</f>
        <v/>
      </c>
      <c r="G9453" t="inlineStr">
        <is>
          <t>2020-05-25 01:26:03</t>
        </is>
      </c>
      <c r="H9453" t="inlineStr"/>
    </row>
    <row r="9454">
      <c r="A9454" t="inlineStr">
        <is>
          <t>gqa5u6</t>
        </is>
      </c>
      <c r="B9454" t="inlineStr">
        <is>
          <t>Has anyone here had CIC-DUX4 (Ewing’s like) sarcoma?</t>
        </is>
      </c>
      <c r="C9454" t="inlineStr">
        <is>
          <t>My husband has this. I’m looking for someone to share what treatments did work for them?</t>
        </is>
      </c>
      <c r="D9454" t="n">
        <v>1</v>
      </c>
      <c r="E9454" t="n">
        <v>10</v>
      </c>
      <c r="F9454">
        <f>HYPERLINK("https://www.reddit.com/r/cancer/comments/gqa5u6/has_anyone_here_had_cicdux4_ewings_like_sarcoma/")</f>
        <v/>
      </c>
      <c r="G9454" t="inlineStr">
        <is>
          <t>2020-05-25 05:30:58</t>
        </is>
      </c>
      <c r="H9454" t="inlineStr"/>
    </row>
    <row r="9455">
      <c r="A9455" t="inlineStr">
        <is>
          <t>gqbc0b</t>
        </is>
      </c>
      <c r="B9455" t="inlineStr">
        <is>
          <t>I need some advice on how to handle my girlfriend.</t>
        </is>
      </c>
      <c r="C9455" t="inlineStr">
        <is>
          <t>Hey.
So I'm in the waiting for further results and I'm a bit lost and sort of going about everything as normal, but I've decided to tell my partner.
I waited maybe a bit too long because I was really worried and didn't want to upset her since she can be... difficult. I've explained as best as I could. How do I help her understand that her Googling and telling me how much she's worried about me is *not* helping and is actually putting more stress on me? I'm literally more stressed at the idea of causing her stress than I was when my doctor said depending on the biopsy I could literally lose my bladder.
She won't listen to me and just gets offended and says things like "I'm sorry for being upset." or "I'm sorry that I'm worried you'll die and won't be in my life." - completely glossing over the fact that with the latter... I won't have any life at all cause in that situation, I'll be dead. I've told her to stop Googling and to just read the information my doctors have provided, and I've relayed as much as I can to her - But she's become exceptionally clingy and says I'm pushing her away and I am... because being around her is exhausting.
It's getting to the point that I don't want her around... and I really don't want to have to handle that as well. My doctor has referred me to a therapist, but that isn't until next week and I cannot take this any longer.
What do I say to her? Are there any resources that I can show her? We're both under 30, and it's our first experience with anything like this.</t>
        </is>
      </c>
      <c r="D9455" t="n">
        <v>1</v>
      </c>
      <c r="E9455" t="n">
        <v>23</v>
      </c>
      <c r="F9455">
        <f>HYPERLINK("https://www.reddit.com/r/cancer/comments/gqbc0b/i_need_some_advice_on_how_to_handle_my_girlfriend/")</f>
        <v/>
      </c>
      <c r="G9455" t="inlineStr">
        <is>
          <t>2020-05-25 06:54:04</t>
        </is>
      </c>
      <c r="H9455" t="inlineStr"/>
    </row>
    <row r="9456">
      <c r="A9456" t="inlineStr">
        <is>
          <t>gqcwz9</t>
        </is>
      </c>
      <c r="B9456" t="inlineStr">
        <is>
          <t>At one point do we give up?</t>
        </is>
      </c>
      <c r="C9456" t="inlineStr">
        <is>
          <t>My grandma has been fighting cancer for 20 years and in the past few years, it’s been particularly awful. In and out of the hospitals, treatments, treatments not working anymore, hope lost, hope gained. I can’t count the number of times a doctor has told us that she “has x amount of days to live”. but she is truly a fighter. 
but right now, it really is the end for her i believe. she’s at home right now. she hasn’t left the bed for days, she hasn’t eaten or drinkin in about 2 days. i looked up that death rattle thing and she seems to be doing it and has been for around 24 hours. 
my mom has been her caregiver throughout all of this. they’re immigrants so they both have lived together their whole lives. they are VERY close. every once in a while my grandmother will answer yes or no questions with a slight head nod or shake. and my mom will be so happy. she’ll say “she hears us!” my mom will bring in my little brother in to say hi and say i love you, and my grandma will give a big deep breathe, and my mom will look at me in shock. it’s heart breaking. sometimes i’ll hear my mom whisper to my grandma “keep fighting” “we’ll get through this” while my grandma just lays there, eyes closed, and moaning and groaning. my mom has literally given up the past year of her life to stay at home and care for my grandma ever since our doctors had given up. then my mom told me about a story of this guy who had cancer, drank only water for a month, and all of his cancer disappeared. and she asked me “do you think grandma has a chance doing that?” i didn’t even know what to say... i feel so pained to see my mom like this. 
it is kind of surprising that my grandma has stayed alive through not eating or drinking for this long, basically just consuming liquid morphine and anxiety meds and occasional drips of water. our visiting nurse also said that her heart is very healthy despite her blood pressure lowering. the nurse basically said though yesterday that her body will be slowly shutting down til death within the day. and she said that 24 hours ago. my mom will feel her heart and it will be beating super hard. my mom has gone through immense amount of stress and has cried more than she has over the course of her whole life. my grandma is just skin and bones right now
what are your thoughts?</t>
        </is>
      </c>
      <c r="D9456" t="n">
        <v>1</v>
      </c>
      <c r="E9456" t="n">
        <v>4</v>
      </c>
      <c r="F9456">
        <f>HYPERLINK("https://www.reddit.com/r/cancer/comments/gqcwz9/at_one_point_do_we_give_up/")</f>
        <v/>
      </c>
      <c r="G9456" t="inlineStr">
        <is>
          <t>2020-05-25 08:26:18</t>
        </is>
      </c>
      <c r="H9456" t="inlineStr"/>
    </row>
    <row r="9457">
      <c r="A9457" t="inlineStr">
        <is>
          <t>gqdyxn</t>
        </is>
      </c>
      <c r="B9457" t="inlineStr">
        <is>
          <t>My (F25) mother (53) has breast cancer and my brother (23) has just been diagnosed with brain cancer.</t>
        </is>
      </c>
      <c r="C9457" t="inlineStr">
        <is>
          <t>Hi all. My mother (53) was diagnosed with breast cancer in October 2019, she's had two surgeries and is currently undergoing chemo.
My brother (23) was diagnosed with stage 4 brain cancer last week. It's incurable but they are operating on Wednesday to try and prevent any further spread.
I guess I'm partly reaching out here for support, but also some advice.
My mum was hospitalised with a blood clot in her lungs the day we got my brothers diagnosis, and she has been quite unwell and I'm not sure how to best care for both of them following his surgery. Covid is making it impossible for other people to visit and help, I can't support them in their hospital visits and it's breaking my heart. 
A few questions:
How can I make my brother comfortable after his surgery? 
Is there anything specific he may need for his recovery? 
How can I make sure my mum continues her treatment? She currently wants to quit to focus on my brother. 
Thanks!</t>
        </is>
      </c>
      <c r="D9457" t="n">
        <v>1</v>
      </c>
      <c r="E9457" t="n">
        <v>28</v>
      </c>
      <c r="F9457">
        <f>HYPERLINK("https://www.reddit.com/r/cancer/comments/gqdyxn/my_f25_mother_53_has_breast_cancer_and_my_brother/")</f>
        <v/>
      </c>
      <c r="G9457" t="inlineStr">
        <is>
          <t>2020-05-25 09:23:08</t>
        </is>
      </c>
      <c r="H9457" t="inlineStr"/>
    </row>
    <row r="9458">
      <c r="A9458" t="inlineStr">
        <is>
          <t>gqetcs</t>
        </is>
      </c>
      <c r="B9458" t="inlineStr">
        <is>
          <t>Just something I want to have off my chest.</t>
        </is>
      </c>
      <c r="C9458" t="inlineStr">
        <is>
          <t>So 5 years ago my mother was diagnosed with stage 4 lung cancer, A year later she passed away. Now I am pretty sure that my father has delusions from dementia so I am now back to reddit again, this time r/dementia. 
Coming back to reddit like this has brought back memories. It's a thought I wanted to share here but I think I never did. You don't win against dementia but you can against cancer. So when you do, come here and announce it from rooftops, give updates. Caretakers also read these reddits. Reading these stories were the highlight of my day. They would give me power and will to carry on. People need these posts (I think). I know I did.
Stay strong.</t>
        </is>
      </c>
      <c r="D9458" t="n">
        <v>1</v>
      </c>
      <c r="E9458" t="n">
        <v>1</v>
      </c>
      <c r="F9458">
        <f>HYPERLINK("https://www.reddit.com/r/cancer/comments/gqetcs/just_something_i_want_to_have_off_my_chest/")</f>
        <v/>
      </c>
      <c r="G9458" t="inlineStr">
        <is>
          <t>2020-05-25 10:08:06</t>
        </is>
      </c>
      <c r="H9458" t="inlineStr"/>
    </row>
    <row r="9459">
      <c r="A9459" t="inlineStr">
        <is>
          <t>gqh567</t>
        </is>
      </c>
      <c r="B9459" t="inlineStr">
        <is>
          <t>Kid wants to shave her head to show support to her 5th grade friend who has cancer and is at the stage where she’d have to lose her hair</t>
        </is>
      </c>
      <c r="C9459" t="inlineStr">
        <is>
          <t>My boyfriend’s daughter who I’m close with and who we share a group text chat on our phones with, text us today that her friend who had cancer in the 3rd grade but recovered now has cancer again, they’re in 5th grade. She said her friend will have to lose her hair and to show support she is thinking of shaving her head. 
Now this is partially very likely influenced by the show Alexa and Katie in which teen girl in high school gets cancer and her best friend shaved her own head so her friend didn’t have to go to school feeling uncomfortable and alone.
Her dad says that the gesture is not as impactful as it would be now that neither of the girls are in school, which raises a good point. 
No matter who it is, someone who shaves their head as a gesture of support for someone else with cancer has my support. Logically I also realize it’ll grow back anyway , it’s going to get hotter soon so it’s a decent time to cut her hair even more and generally I am a “live and let live” type of person. But I also think that many “traditional” parents would find this act extreme and ridiculous. She’s not my child so my opinion is low on the totem pole.
Now with that said, I was wondering, aside from this gesture, what other ways would be a good way to show support to her friend? Especially given the social distancing orders.
I would like to give her some realistic and just as thoughtful options to show support, in the case that she can’t go through with it because the powers that be would not let that happen or in case she ends up feeling she can’t go through with it after all.</t>
        </is>
      </c>
      <c r="D9459" t="n">
        <v>1</v>
      </c>
      <c r="E9459" t="n">
        <v>17</v>
      </c>
      <c r="F9459">
        <f>HYPERLINK("https://www.reddit.com/r/cancer/comments/gqh567/kid_wants_to_shave_her_head_to_show_support_to/")</f>
        <v/>
      </c>
      <c r="G9459" t="inlineStr">
        <is>
          <t>2020-05-25 12:09:26</t>
        </is>
      </c>
      <c r="H9459" t="inlineStr"/>
    </row>
    <row r="9460">
      <c r="A9460" t="inlineStr">
        <is>
          <t>gqhv4d</t>
        </is>
      </c>
      <c r="B9460" t="inlineStr">
        <is>
          <t>Does liver cancer cause pain in more than one area?</t>
        </is>
      </c>
      <c r="C9460" t="inlineStr">
        <is>
          <t>Not talking about if it has spread to other organs. Just if it is in the liver.</t>
        </is>
      </c>
      <c r="D9460" t="n">
        <v>1</v>
      </c>
      <c r="E9460" t="n">
        <v>3</v>
      </c>
      <c r="F9460">
        <f>HYPERLINK("https://www.reddit.com/r/cancer/comments/gqhv4d/does_liver_cancer_cause_pain_in_more_than_one_area/")</f>
        <v/>
      </c>
      <c r="G9460" t="inlineStr">
        <is>
          <t>2020-05-25 12:46:48</t>
        </is>
      </c>
      <c r="H9460" t="inlineStr"/>
    </row>
    <row r="9461">
      <c r="A9461" t="inlineStr">
        <is>
          <t>gqio20</t>
        </is>
      </c>
      <c r="B9461" t="inlineStr">
        <is>
          <t>So nervous waiting for the results of my first PET.. tonsils glowing like crazy... Just need to vent..</t>
        </is>
      </c>
      <c r="C9461" t="inlineStr">
        <is>
          <t>I want to preface this by saying I feel selfish for taking up space here without even having a diagnosis, but I am struggling with the uncertainty of all these random abnormal test results that give so many answers that never lead in one direction.. I feel like a pile of puzzle pieces that sometimes lock together but never reveal a bigger picture. 
August 2018 was the start of my decline in health and this journey has worn me down so much.. I'm just ready for it to end and have actual answers so I can fight whatever this is and get back to living my life.
After 3 long months of waiting because of Corona, I finally received my PET-CT today. I was sat in a waiting room full of children and was told there would be a delay as all of these poor little souls were waiting for the same test. 
I live in a country where I don't have any family, so I had a lot of time to think while my body was marinating in its radioactive sugar juice. The last 3 months have been packed full of these overdramatic anxiety spirals but seeing these children in various stages of treatment and diagnoses was too much for me and I had to force myself to sleep until it was time for me to be called back. I guess the preparation process wasn't so bad. 14 hours fasting, two big cups of contrast and an auto injector of the fdg. The worst part was the IVs as I have no veins left after the last two years of hell. 
I received the disc with my imaging and I told myself I shouldn't look but I did, of course. My tonsils and adenoids were glowing like crazy. I had some other spots elsewhere but none nearly so bright. 
I checked the SUV and the left tonsil is just under 6.00 and the right is 5.65. I know it's normal for the tonsils to have an elevated uptake but I'm not sure how much is average so I guess I'll have to wait and see if it's anything to be worried about. Not sure how tonsils could cause neutropenia/leukopenia, hematuria, FUO and night sweats but there's so much I don't know and won't let myself research.. 
I spent months dreading today and now that it's passed i just feel numb.. I'm not even sure if this post has a point I guess I just wanted to talk to the void because I don't have anyone in my life who can relate..  If anyone has experience with glowing tonsils or understanding SUV numbers I'd be so grateful to receive some information if you have the inclination..
Thanks to anyone who took the time to read this. I hope to have an update soon.</t>
        </is>
      </c>
      <c r="D9461" t="n">
        <v>1</v>
      </c>
      <c r="E9461" t="n">
        <v>1</v>
      </c>
      <c r="F9461">
        <f>HYPERLINK("https://www.reddit.com/r/cancer/comments/gqio20/so_nervous_waiting_for_the_results_of_my_first/")</f>
        <v/>
      </c>
      <c r="G9461" t="inlineStr">
        <is>
          <t>2020-05-25 13:28:57</t>
        </is>
      </c>
      <c r="H9461" t="inlineStr"/>
    </row>
    <row r="9462">
      <c r="A9462" t="inlineStr">
        <is>
          <t>gqiux5</t>
        </is>
      </c>
      <c r="B9462" t="inlineStr">
        <is>
          <t>2 Surprising Cancer Symptoms You Shouldn’t Ignore</t>
        </is>
      </c>
      <c r="C9462" t="inlineStr">
        <is>
          <t xml:space="preserve"> Nearly    1.7 million new cases of cancer are diagnosed each year in the United    States alone. And while many people follow basic healthy living    protocols that minimize their risks, such as getting enough exercise,    eating a balanced diet and not smoking, there are countless forms of    cancer that cannot be easily avoided by lifestyle change alone.
Even    more frighteningly, many of the symptoms of cancer go unnoticed until    they have spread throughout the body. What you assume is an    exercise-related injury, symptom of a cold or a minor dermatological    problem can be something more serious that lurks beneath the surface.    The good news? When you know you need to pay attention to these amazing    cancer symptoms, you increase your chances of living long and healthy    lives.
# 1 Unexplained Weight Loss
If    many people think that an easy weight loss is a good thing, in many    cases it is a sign of something more serious. Unexplained weight loss,    especially in the double digits, can be an early sign of some types of    cancer. Cancers of the esophagus, throat and stomach can have  difficulty   swallowing or fullness, often resulting in significant and    unintentional weight loss. Colon cancer is also a common factor in    involuntary weight loss, thanks to the changes it can cause in your    digestive habits.
# 2 Excessive Fatigue
Between    work, social commitments, running and going out to the gym, your    average daily activities are enough to make everyone feel exhausted.    However, if you feel like you can't get out of bed or need a significant    extra rest, this can be a sign of something more serious.
While    some cancers, such as lymphoma, leukemia and thyroid cancer, are  known   to be energy-intensive, virtually all types of cancer can wipe  out a   person. If you feel much more tired than usual, consult your  doctor to   make sure that a serious problem is not causing your  symptoms.
&amp;amp;#x200B;
 **source:** [20 Surprising Cancer Symptoms You Shouldn’t Ignore](https://www.omario.online/?p=262)</t>
        </is>
      </c>
      <c r="D9462" t="n">
        <v>1</v>
      </c>
      <c r="E9462" t="n">
        <v>0</v>
      </c>
      <c r="F9462">
        <f>HYPERLINK("https://www.reddit.com/r/cancer/comments/gqiux5/2_surprising_cancer_symptoms_you_shouldnt_ignore/")</f>
        <v/>
      </c>
      <c r="G9462" t="inlineStr">
        <is>
          <t>2020-05-25 13:39:05</t>
        </is>
      </c>
      <c r="H9462" t="inlineStr"/>
    </row>
    <row r="9463">
      <c r="A9463" t="inlineStr">
        <is>
          <t>gqjf3i</t>
        </is>
      </c>
      <c r="B9463" t="inlineStr">
        <is>
          <t>I don’t know what to do about schooling</t>
        </is>
      </c>
      <c r="C9463" t="inlineStr">
        <is>
          <t>My dad has brain cancer and since last night, has been almost comatose and is unresponsive. He’s breathing so heavy and it’s raspy sounding and I’m so scared. I’m currently finishing up a medical assisting program in college and am on externship at a clinic, but I don’t know what to do. I don’t want to go this week because I’m so scared that...IT will happen while I’m gone. And I’m not holding up very well, either, and don’t know if I could handle being there right now. I know I need to finish my schooling, but I just don’t think I can right now. I’m set to graduate in June, and I’m not dropping out of school. I just can’t go this week.</t>
        </is>
      </c>
      <c r="D9463" t="n">
        <v>1</v>
      </c>
      <c r="E9463" t="n">
        <v>9</v>
      </c>
      <c r="F9463">
        <f>HYPERLINK("https://www.reddit.com/r/cancer/comments/gqjf3i/i_dont_know_what_to_do_about_schooling/")</f>
        <v/>
      </c>
      <c r="G9463" t="inlineStr">
        <is>
          <t>2020-05-25 14:10:10</t>
        </is>
      </c>
      <c r="H9463" t="inlineStr"/>
    </row>
    <row r="9464">
      <c r="A9464" t="inlineStr">
        <is>
          <t>gqk1gb</t>
        </is>
      </c>
      <c r="B9464" t="inlineStr">
        <is>
          <t>Potential Polycythemia Vera</t>
        </is>
      </c>
      <c r="C9464" t="inlineStr">
        <is>
          <t xml:space="preserve">
Hi, I’m a 20M and I’ve been having joint and bone pain, as well as fatigue, itching after shower, and malaise since Nov 2018. I was tested for JAK2 but was negative, however, all the causes of secondary polycythemia were also negative. I have elevated RBC, Hemoglobin and Hematocrit, and low-normal, to normal EPO. Here are my lab results: WBC=10.5, RBC=5.90, Hemoglobin=18, Hematocrit=52.7, EPO= 4.5, Ferritin=95, and low iron saturation. I have additional labs if that might be helpful. 
Since this was first identified, I have undergone 5-6 phlebotomies that have slowed down the rate of the hemoglobin rising but I still continue to have high lab results. I don’t live at a high altitude, I don’t smoke or use testosterone enhancement, or have sleep apnea. Prior medical history is asthma and CVID. No history of blood issues in my family. Past symptoms before treatment were: extreme fatigue and drowsiness, night sweats, dizziness, bone pain and heat flashes. Since phlebotomy, most symptoms have improved, along with daily aspirin therapy. However, bone pain and fatigue still remain. 
I had a bone marrow biopsy done in Jan of last year that was mostly normal, except for slight neutrophilia and a slight but not significant left shift. 
I have also tested negative for any rheumatoid conditions. I feel like this is PV but I’m not sure.</t>
        </is>
      </c>
      <c r="D9464" t="n">
        <v>1</v>
      </c>
      <c r="E9464" t="n">
        <v>1</v>
      </c>
      <c r="F9464">
        <f>HYPERLINK("https://www.reddit.com/r/cancer/comments/gqk1gb/potential_polycythemia_vera/")</f>
        <v/>
      </c>
      <c r="G9464" t="inlineStr">
        <is>
          <t>2020-05-25 14:46:05</t>
        </is>
      </c>
      <c r="H9464" t="inlineStr"/>
    </row>
    <row r="9465">
      <c r="A9465" t="inlineStr">
        <is>
          <t>gqkba4</t>
        </is>
      </c>
      <c r="B9465" t="inlineStr">
        <is>
          <t>Mom says she might not need chemo?</t>
        </is>
      </c>
      <c r="C9465" t="inlineStr">
        <is>
          <t>Hi, my mom recently had a hysterectomy and they looked for cancer before they took it out. The doctor didn't find anything but then after they brought in a specialist who said that there was a tiny bit of cancer like not even stage one. My mom says that they also said it was aggressive so the surgeon told her she needed chemo. Well, now she just told me she read something online that said that chemo doesn't help if you have a certain gene or something. She told me it was a huge weight off her shoulders because she really didn't want to do chemo again (she survived breast cancer). I'm extremely skeptical of this and basically told her it's probably bullsh*t. I'm worried that if the doctor tells her to do chemo she is going to fish around for a doctor that tells her what she wants. Any advice?</t>
        </is>
      </c>
      <c r="D9465" t="n">
        <v>1</v>
      </c>
      <c r="E9465" t="n">
        <v>9</v>
      </c>
      <c r="F9465">
        <f>HYPERLINK("https://www.reddit.com/r/cancer/comments/gqkba4/mom_says_she_might_not_need_chemo/")</f>
        <v/>
      </c>
      <c r="G9465" t="inlineStr">
        <is>
          <t>2020-05-25 15:01:44</t>
        </is>
      </c>
      <c r="H9465" t="inlineStr"/>
    </row>
    <row r="9466">
      <c r="A9466" t="inlineStr">
        <is>
          <t>gqp7s1</t>
        </is>
      </c>
      <c r="B9466" t="inlineStr">
        <is>
          <t>How to show support for my dad??</t>
        </is>
      </c>
      <c r="C9466" t="inlineStr">
        <is>
          <t>My dad told me in Jan that he has stage 3 colorectal cancer. He lives alone on the west coast while the rest of my immediate family lives on the east coast. My mom and I have been taking turns flying out there for his infusion/radiation treatments but my mom got stuck there for the last 2 months bc of COVID. 
He’s typically a super active, super healthy guy (think 15 mile hikes &amp;amp; no processed food at 64 yrs old) and the chemo drugs have made it really hard for him to exercise more than 10-20min a day. He never talks about his feelings and is all about self-sufficiency. 
Basically I want to show my support for him and help him feel like he can depend on me. I can’t visit now bc of covid. Do you have any recommendations for ways to show support? I was thinking of buying him a funny beanie bc he gets so cold or a new game for us to play over FaceTime.</t>
        </is>
      </c>
      <c r="D9466" t="n">
        <v>1</v>
      </c>
      <c r="E9466" t="n">
        <v>7</v>
      </c>
      <c r="F9466">
        <f>HYPERLINK("https://www.reddit.com/r/cancer/comments/gqp7s1/how_to_show_support_for_my_dad/")</f>
        <v/>
      </c>
      <c r="G9466" t="inlineStr">
        <is>
          <t>2020-05-25 20:15:04</t>
        </is>
      </c>
      <c r="H9466" t="inlineStr"/>
    </row>
    <row r="9467">
      <c r="A9467" t="inlineStr">
        <is>
          <t>gqpfgy</t>
        </is>
      </c>
      <c r="B9467" t="inlineStr">
        <is>
          <t>Mom stopped eating</t>
        </is>
      </c>
      <c r="C9467" t="inlineStr">
        <is>
          <t>Today she ate half a popsicle. Yesterday I think she had half a spoonful of jello. If it's not the taste, it's the texture. My sister and I have tried the blandest, coldest, smoothest foods and shakes we can think of. What do I do?? She has to have some source of nutrition! She's already lost probably 50 lbs. Should I start coaching her to eat even if she doesn't want to? Should I start adding some sugar to her water? 😓</t>
        </is>
      </c>
      <c r="D9467" t="n">
        <v>1</v>
      </c>
      <c r="E9467" t="n">
        <v>13</v>
      </c>
      <c r="F9467">
        <f>HYPERLINK("https://www.reddit.com/r/cancer/comments/gqpfgy/mom_stopped_eating/")</f>
        <v/>
      </c>
      <c r="G9467" t="inlineStr">
        <is>
          <t>2020-05-25 20:30:26</t>
        </is>
      </c>
      <c r="H9467" t="inlineStr"/>
    </row>
    <row r="9468">
      <c r="A9468" t="inlineStr">
        <is>
          <t>gqq5u2</t>
        </is>
      </c>
      <c r="B9468" t="inlineStr">
        <is>
          <t>Just an update :)</t>
        </is>
      </c>
      <c r="C9468" t="inlineStr">
        <is>
          <t>Hello everyone, I posted here once or twice and I figured it was only fair to update because I posted during chemo. I received a bone marrow transplant in December and I have been recovering very well. The doctor said it went as well as he hoped and that was very reassuring. After having to stay in the medical center for so long, I finally got to go home mid March right before COVID. I had my 100 day post transplant biopsy and everything came back great! I just wanted to share and thank everyone here for helping me during a rough time in my life. Still have to go to weekly appointments in my hometown and appointments once a month in a different city (I absolutely hate flying right now)
Also to those in the hospital right now I just wanted to say that I’ve been thinking about you. I’ve been incredibly fortunate to have finished my treatment and recovery before the virus hit the US.</t>
        </is>
      </c>
      <c r="D9468" t="n">
        <v>1</v>
      </c>
      <c r="E9468" t="n">
        <v>7</v>
      </c>
      <c r="F9468">
        <f>HYPERLINK("https://www.reddit.com/r/cancer/comments/gqq5u2/just_an_update/")</f>
        <v/>
      </c>
      <c r="G9468" t="inlineStr">
        <is>
          <t>2020-05-25 21:23:08</t>
        </is>
      </c>
      <c r="H9468" t="inlineStr"/>
    </row>
    <row r="9469">
      <c r="A9469" t="inlineStr">
        <is>
          <t>gqulpb</t>
        </is>
      </c>
      <c r="B9469" t="inlineStr">
        <is>
          <t>I just need to get some thing off my chest about my mom</t>
        </is>
      </c>
      <c r="C9469" t="inlineStr">
        <is>
          <t>In December, my mom got diagnosed with aggressive stage 4 brain cancer after a unexpected epileptic seizure and we were told early on that she will never recover from it. Since then, she had surgery to remove the tumor and it went better than expected and the surgeon removed all of it. She started chemo and radiation therapy after that, and has been surprisingly healthy and active. Fast forward to two days ago, she had an epileptic seizure. We were told it was caused by the swelling around the area where she had her surgery and it was perfectly normal and nothing to be too worried about. She is currently in the hospital until the swelling goes down. However, just a few minutes ago I got a call from my dad that he got a text from my mother where she said she was stressed because alarms were going off, nurses running everywhere and plates being thrown across the halls, which obviously was not true. But it was to her. She suddenly started having very bad hallucinations and I am so incredibly scared, it came out of nowhere and the doctors don’t know what is causing it. I am only 17 years old and my biggest fear is losing my mother. I have no idea what to do, all I can do is sit here and cry...
To top it all off, I don’t live with my family since I go to school far from home, and it makes it even worse. I just hope she won’t die</t>
        </is>
      </c>
      <c r="D9469" t="n">
        <v>1</v>
      </c>
      <c r="E9469" t="n">
        <v>12</v>
      </c>
      <c r="F9469">
        <f>HYPERLINK("https://www.reddit.com/r/cancer/comments/gqulpb/i_just_need_to_get_some_thing_off_my_chest_about/")</f>
        <v/>
      </c>
      <c r="G9469" t="inlineStr">
        <is>
          <t>2020-05-26 03:35:42</t>
        </is>
      </c>
      <c r="H9469" t="inlineStr"/>
    </row>
    <row r="9470">
      <c r="A9470" t="inlineStr">
        <is>
          <t>gqv0hb</t>
        </is>
      </c>
      <c r="B9470" t="inlineStr">
        <is>
          <t>Celebrating five years and finishing latest chemo</t>
        </is>
      </c>
      <c r="C9470" t="inlineStr">
        <is>
          <t>In the spirit of the earlier post about sharing good news, I’d like to share the good news that I am still on the planet 5 years after my initial diagnosis in May 2015.
I also took my last xeloda tablet tonight. Very bittersweet. It often felt like this day would never come. But still I am so maimed and broken. It is hard to imagine I will ever feel normal again.
I’ve jettisoned a few organs, lots of flesh, covered in scars, boobs they’d show on botched, no fingerprints, very thin hair, two working brain cells, the stamina of a sloth. 
I am technically incurable, though oligometastatic so maybe I can be cured. Just a few pesky spots on my ribs which ain’t doing nothing.
But I’m here goddammit.
Entering into unchartered waters beyond the 5 year charts. 
It’s interesting times people.</t>
        </is>
      </c>
      <c r="D9470" t="n">
        <v>1</v>
      </c>
      <c r="E9470" t="n">
        <v>3</v>
      </c>
      <c r="F9470">
        <f>HYPERLINK("https://www.reddit.com/r/cancer/comments/gqv0hb/celebrating_five_years_and_finishing_latest_chemo/")</f>
        <v/>
      </c>
      <c r="G9470" t="inlineStr">
        <is>
          <t>2020-05-26 04:09:23</t>
        </is>
      </c>
      <c r="H9470" t="inlineStr"/>
    </row>
    <row r="9471">
      <c r="A9471" t="inlineStr">
        <is>
          <t>gqyc8b</t>
        </is>
      </c>
      <c r="B9471" t="inlineStr">
        <is>
          <t>Pain in groin for quite awhile now.</t>
        </is>
      </c>
      <c r="C9471" t="inlineStr">
        <is>
          <t>I'd say for about 4-6 months I have had pain in the inside of my groin area. Usually my right side. The past 2 days has been the left side. I remember when I first initially noticed was one morning in the shower. I was washing and on the right side of my groin was a lump. This frightened me and I went to the doctor. They did an ultrasound and when I asked about cancer the doctor just brushed me off and said well it's probably not due to your age. I'm 25. They prescribed me antibiotics and said it's likely an infection. I took those antibiotics and the lump went away, but the pain didnt so i went back to the health department and told them and they did another round of antibiotics. It still isn't resolved. I've noticed no more swelling or lumps just pain. It's not constant it doesn't seem to be because of movement. It's just random. I have a desk job and so i dont do too much activity, but i have been wandering if it is the way i sit, but it dont seem to be. I'm worried about lymphoma as it seems that the swelling was in my lymphnode and nothing has helped the pain so far. I have no health insurance, located in the US, and I dont really have any options to get help. This is just really bothering me. What else could this be? Anyone have any input? Thank you so much.</t>
        </is>
      </c>
      <c r="D9471" t="n">
        <v>1</v>
      </c>
      <c r="E9471" t="n">
        <v>1</v>
      </c>
      <c r="F9471">
        <f>HYPERLINK("https://www.reddit.com/r/cancer/comments/gqyc8b/pain_in_groin_for_quite_awhile_now/")</f>
        <v/>
      </c>
      <c r="G9471" t="inlineStr">
        <is>
          <t>2020-05-26 07:44:29</t>
        </is>
      </c>
      <c r="H9471" t="inlineStr"/>
    </row>
    <row r="9472">
      <c r="A9472" t="inlineStr">
        <is>
          <t>gqzacx</t>
        </is>
      </c>
      <c r="B9472" t="inlineStr">
        <is>
          <t>Skincare/sunblock tips during chemo</t>
        </is>
      </c>
      <c r="C9472" t="inlineStr">
        <is>
          <t>Hi! I have a cancer of unknown origin suspected to be non hpv cervical cancer. I just started chemo a few weeks ago and haven’t had terrible side effects (yet?), but one that I do have is EXTREME sun sensitivity. 
I, like a dummy, didn’t realize this might happen and ended up with a full body rash that’s taken a steroid cream and steroid pack to fully treat. So clearly don’t want to do that again. 
Any sunscreens that you like that are powerful but not super greasy? Any light roby things or flowy cool pants or protective hats you love? I’m 29(femme/nb) and still want to look...29....as possible.</t>
        </is>
      </c>
      <c r="D9472" t="n">
        <v>1</v>
      </c>
      <c r="E9472" t="n">
        <v>4</v>
      </c>
      <c r="F9472">
        <f>HYPERLINK("https://www.reddit.com/r/cancer/comments/gqzacx/skincaresunblock_tips_during_chemo/")</f>
        <v/>
      </c>
      <c r="G9472" t="inlineStr">
        <is>
          <t>2020-05-26 08:36:00</t>
        </is>
      </c>
      <c r="H9472" t="inlineStr"/>
    </row>
    <row r="9473">
      <c r="A9473" t="inlineStr">
        <is>
          <t>gqzl1d</t>
        </is>
      </c>
      <c r="B9473" t="inlineStr">
        <is>
          <t>Need some advice about cancer!</t>
        </is>
      </c>
      <c r="C9473" t="inlineStr">
        <is>
          <t>My Girlfriend and I are both 16. She was diagnosed with hodgkin’s lymphoma earlier this year. She’s been doing treatment for months and a couple weeks ago her treatment ended. She’s going in for a scan in a week or two to see if the cancer is gone or if it’s stopped growing. I asked her what happens if it’s not gone and she just sort of said “Well that would suck, because they can’t remove it.” And since then I’ve been really scared for her. I don’t know if that means she’d die, or can she continue to get treatment?
Another thing, a few nights ago we were talking about the same thing and she said she could still sort of feel the cancer even though her treatment was over. I don’t know if she meant she felt sick, she felt her mass still, etc. but she said she still felt something. If anybody knows, is that a bad sign? 
I don’t want to lose my Girlfriend and I know her family doesn’t wanna lose her either. She’s far too young. Anything helps! Thank you!!</t>
        </is>
      </c>
      <c r="D9473" t="n">
        <v>1</v>
      </c>
      <c r="E9473" t="n">
        <v>5</v>
      </c>
      <c r="F9473">
        <f>HYPERLINK("https://www.reddit.com/r/cancer/comments/gqzl1d/need_some_advice_about_cancer/")</f>
        <v/>
      </c>
      <c r="G9473" t="inlineStr">
        <is>
          <t>2020-05-26 08:52:08</t>
        </is>
      </c>
      <c r="H9473" t="inlineStr"/>
    </row>
    <row r="9474">
      <c r="A9474" t="inlineStr">
        <is>
          <t>gr2r70</t>
        </is>
      </c>
      <c r="B9474" t="inlineStr">
        <is>
          <t>Can a 15 year old boy get testicular cancer?</t>
        </is>
      </c>
      <c r="C9474" t="inlineStr">
        <is>
          <t xml:space="preserve">
[View Poll](https://www.reddit.com/poll/gr2r70)</t>
        </is>
      </c>
      <c r="D9474" t="n">
        <v>1</v>
      </c>
      <c r="E9474" t="n">
        <v>0</v>
      </c>
      <c r="F9474">
        <f>HYPERLINK("https://www.reddit.com/r/cancer/comments/gr2r70/can_a_15_year_old_boy_get_testicular_cancer/")</f>
        <v/>
      </c>
      <c r="G9474" t="inlineStr">
        <is>
          <t>2020-05-26 11:36:33</t>
        </is>
      </c>
      <c r="H9474" t="inlineStr"/>
    </row>
    <row r="9475">
      <c r="A9475" t="inlineStr">
        <is>
          <t>gr3mcd</t>
        </is>
      </c>
      <c r="B9475" t="inlineStr">
        <is>
          <t>Writer in NYC hopeful for interviewees for article about testicular cancer recovery and life afterward</t>
        </is>
      </c>
      <c r="C9475" t="inlineStr">
        <is>
          <t>Good day, My name is Michael Stahl \[[www.michaelstahlwrites.com](https://www.michaelstahlwrites.com)\] and I'm a journalist writing a story for MEL Magazine \[[www.melmagazine.com](https://www.melmagazine.com)\] about life after testicular cancer. I've already spoken to comedian Jeff Simmermon on this topic, for the article, but am hopeful for maybe two or more gentlemen to tell me about their experience. I'm particularly interested to learn about treatments and the long lasting impact on things like physical fitness, sexual performance, and general thoughts on masculinity. If you'd like we can keep your identity anonymous. Please reach out to me here or via my website if you'd like to chat with me for about 15 minutes over the phone, preferably, or if I can send you questions via email. Let me know as soon as you can. Thanks so much, gents! My best to you, Michael</t>
        </is>
      </c>
      <c r="D9475" t="n">
        <v>1</v>
      </c>
      <c r="E9475" t="n">
        <v>0</v>
      </c>
      <c r="F9475">
        <f>HYPERLINK("https://www.reddit.com/r/cancer/comments/gr3mcd/writer_in_nyc_hopeful_for_interviewees_for/")</f>
        <v/>
      </c>
      <c r="G9475" t="inlineStr">
        <is>
          <t>2020-05-26 12:20:10</t>
        </is>
      </c>
      <c r="H9475" t="inlineStr"/>
    </row>
    <row r="9476">
      <c r="A9476" t="inlineStr">
        <is>
          <t>gr447l</t>
        </is>
      </c>
      <c r="B9476" t="inlineStr">
        <is>
          <t>We rang the bell today!</t>
        </is>
      </c>
      <c r="C9476" t="inlineStr">
        <is>
          <t>Mom has officially completed her chemo and radiation treatments! I know this is nowhere near then end but damn it, I am welcoming the good news. Gotta bask in the good stuff when it comes so that bad goes down easier, right? 
I hope good news is on the horizon for you all too.</t>
        </is>
      </c>
      <c r="D9476" t="n">
        <v>1</v>
      </c>
      <c r="E9476" t="n">
        <v>11</v>
      </c>
      <c r="F9476">
        <f>HYPERLINK("https://www.reddit.com/r/cancer/comments/gr447l/we_rang_the_bell_today/")</f>
        <v/>
      </c>
      <c r="G9476" t="inlineStr">
        <is>
          <t>2020-05-26 12:44:43</t>
        </is>
      </c>
      <c r="H9476" t="inlineStr"/>
    </row>
    <row r="9477">
      <c r="A9477" t="inlineStr">
        <is>
          <t>gr8qke</t>
        </is>
      </c>
      <c r="B9477" t="inlineStr">
        <is>
          <t>Has anyone else developed a gag reflex when they take tablets?</t>
        </is>
      </c>
      <c r="C9477" t="inlineStr">
        <is>
          <t>Not sure how normal this is but I’ve taken so many tablets since December 30th that I’m sometimes sick when I take tablets or I gag loads. Has anyone else experienced this and how do you deal with it?</t>
        </is>
      </c>
      <c r="D9477" t="n">
        <v>1</v>
      </c>
      <c r="E9477" t="n">
        <v>3</v>
      </c>
      <c r="F9477">
        <f>HYPERLINK("https://www.reddit.com/r/cancer/comments/gr8qke/has_anyone_else_developed_a_gag_reflex_when_they/")</f>
        <v/>
      </c>
      <c r="G9477" t="inlineStr">
        <is>
          <t>2020-05-26 17:00:46</t>
        </is>
      </c>
      <c r="H9477" t="inlineStr"/>
    </row>
    <row r="9478">
      <c r="A9478" t="inlineStr">
        <is>
          <t>gr8zg9</t>
        </is>
      </c>
      <c r="B9478" t="inlineStr">
        <is>
          <t>Father to three girls under 9 yo</t>
        </is>
      </c>
      <c r="C9478" t="inlineStr">
        <is>
          <t>My sweet hubby, married for 24 years, we have 3 girls - 9 yo, 5 yo, 1 yo. October 2018 we heard the awful news he had stage 4 colon cancer. I was 6 mths preggo at the time. He did 10 months biweekly chemo and got - 9 mth break!! But then
Recent scan shows growth and needs to start chemo again. I am so upset. I love him so much. He is an awesome hubby and an amazing daddy. I cannot picture life without him. These girls really need their daddy. Why on earth did this happen?!?! I am devastated. Meanwhile, I am grateful for these three girls that are so like him! 
After hubby asked prognosis... His doc said 5 years past diagnosis is optimistic. I’m only 44. He is my everything. I do not have much if any support from family. He is my BFF. I really pictured getting grey together. Now what?! Am I strong enough to go through this? What will it do to my sweet baby girls?! What can I do to help hubby during this journey?!?! I feel scared and lost. And alone.</t>
        </is>
      </c>
      <c r="D9478" t="n">
        <v>1</v>
      </c>
      <c r="E9478" t="n">
        <v>3</v>
      </c>
      <c r="F9478">
        <f>HYPERLINK("https://www.reddit.com/r/cancer/comments/gr8zg9/father_to_three_girls_under_9_yo/")</f>
        <v/>
      </c>
      <c r="G9478" t="inlineStr">
        <is>
          <t>2020-05-26 17:15:51</t>
        </is>
      </c>
      <c r="H9478" t="inlineStr"/>
    </row>
    <row r="9479">
      <c r="A9479" t="inlineStr">
        <is>
          <t>gr9l46</t>
        </is>
      </c>
      <c r="B9479" t="inlineStr">
        <is>
          <t>Should i be worried? Possibly cancer</t>
        </is>
      </c>
      <c r="C9479" t="inlineStr">
        <is>
          <t>I had testicular cancer about 4 years ago. Doctors did a removal and had no chemotherapy was in early stages, i got really lucky. But recent ct scan shows my left para-aortic node grew in size since last scan 6 months ago. Went from 5mm to 12mm. Should i be worried? It got flag on the ct scan.  I have a follow up june 4th with oncologist. I feel i am over reacting being worried currently im drowning in emotions and i don't know what to do.</t>
        </is>
      </c>
      <c r="D9479" t="n">
        <v>1</v>
      </c>
      <c r="E9479" t="n">
        <v>3</v>
      </c>
      <c r="F9479">
        <f>HYPERLINK("https://www.reddit.com/r/cancer/comments/gr9l46/should_i_be_worried_possibly_cancer/")</f>
        <v/>
      </c>
      <c r="G9479" t="inlineStr">
        <is>
          <t>2020-05-26 17:53:56</t>
        </is>
      </c>
      <c r="H9479" t="inlineStr"/>
    </row>
    <row r="9480">
      <c r="A9480" t="inlineStr">
        <is>
          <t>gr9xqx</t>
        </is>
      </c>
      <c r="B9480" t="inlineStr">
        <is>
          <t>HIPEC</t>
        </is>
      </c>
      <c r="C9480" t="inlineStr">
        <is>
          <t>Anyone on here been through HIPEC? Hoping for my dad’s cancer to shrink enough for HIPEC this October-ish. If you have been through it, what’s recovery like?</t>
        </is>
      </c>
      <c r="D9480" t="n">
        <v>1</v>
      </c>
      <c r="E9480" t="n">
        <v>0</v>
      </c>
      <c r="F9480">
        <f>HYPERLINK("https://www.reddit.com/r/cancer/comments/gr9xqx/hipec/")</f>
        <v/>
      </c>
      <c r="G9480" t="inlineStr">
        <is>
          <t>2020-05-26 18:16:20</t>
        </is>
      </c>
      <c r="H9480" t="inlineStr"/>
    </row>
    <row r="9481">
      <c r="A9481" t="inlineStr">
        <is>
          <t>gra8lq</t>
        </is>
      </c>
      <c r="B9481" t="inlineStr">
        <is>
          <t>What to do as a Survivor!?</t>
        </is>
      </c>
      <c r="C9481" t="inlineStr">
        <is>
          <t>Hello everybody!
This spring marks 10 years since my cancer was removed and I started my life again. I have always been removed from my cancer and what happened to me as a teenager, I can't remember most of my experience. But a few months ago I started a job in the Operating Room where I see a lot of people having cancers removed and it started to weigh on me that I should do something. My wife which is crazy to even think is a thing right now has been encouraging me to give back in whatever way I'm comfortable with. She's a third-year medical student and has been talking to me about how important it is especially in these strange times that people have hope. 
So if anyone has any good ideas about how you would have liked during and currently to be helped or things to get involved in please share them!!</t>
        </is>
      </c>
      <c r="D9481" t="n">
        <v>1</v>
      </c>
      <c r="E9481" t="n">
        <v>1</v>
      </c>
      <c r="F9481">
        <f>HYPERLINK("https://www.reddit.com/r/cancer/comments/gra8lq/what_to_do_as_a_survivor/")</f>
        <v/>
      </c>
      <c r="G9481" t="inlineStr">
        <is>
          <t>2020-05-26 18:35:59</t>
        </is>
      </c>
      <c r="H9481" t="inlineStr"/>
    </row>
    <row r="9482">
      <c r="A9482" t="inlineStr">
        <is>
          <t>graoye</t>
        </is>
      </c>
      <c r="B9482" t="inlineStr">
        <is>
          <t>How to tell my parents about my cancer</t>
        </is>
      </c>
      <c r="C9482" t="inlineStr">
        <is>
          <t>Im 21. I just got the call today after months and months of tests and switching providers to find out what was wrong with me. Its colon cancer.
Im not sure how to tell my parents. I basically hid from them this entire time that I've been being tested, because doctors kept telling me it was anxiety or IBS, but deep down I knew something was off. I also didnt want them to worry about me while I was away for school.
And then with the mess of the covid situation (which also pushed back a lot of my appointments and my colonoscopy), my mom lost her job. I dont know what to do. Im gonna have to switch providers (lease at my school is ending soon, and i will travel statewide back to my home), and i dont even want to begin that headache. Specifically bc my home is also in a coronavirus hotspot. 
Im worried about the cost. Im currently on my schools insurance, but tbh i have no idea how good that is. Im worried about my parents worrying about me. Should i tell them before or after i get home? How should i let them know? I dont want to hear them cry..
I have $10k in student loans. Im supposed to graduate next year, i dont even know if i can continue school; do patients usually still go to school while being treated? Even if i do, i have no idea how the job market will be and with my loans and then medical costs... I want to fight this because I know CC is one of the more treatable ones, but the future is so scary to me.</t>
        </is>
      </c>
      <c r="D9482" t="n">
        <v>1</v>
      </c>
      <c r="E9482" t="n">
        <v>9</v>
      </c>
      <c r="F9482">
        <f>HYPERLINK("https://www.reddit.com/r/cancer/comments/graoye/how_to_tell_my_parents_about_my_cancer/")</f>
        <v/>
      </c>
      <c r="G9482" t="inlineStr">
        <is>
          <t>2020-05-26 19:05:04</t>
        </is>
      </c>
      <c r="H9482" t="inlineStr"/>
    </row>
    <row r="9483">
      <c r="A9483" t="inlineStr">
        <is>
          <t>grawoi</t>
        </is>
      </c>
      <c r="B9483" t="inlineStr">
        <is>
          <t>I think my Uncle has cancer. I need advice to help him.</t>
        </is>
      </c>
      <c r="C9483" t="inlineStr">
        <is>
          <t>I'll try my best to keep this as short as possible but this is coming from someone who does not have any knowledge or support related to this issue and therefore want to provide as much information as possible.
&amp;amp;#x200B;
My uncle has been showing signs of significant weight loss to the point I can see his cheekbones, eye sockets, and his legs and neck have become extremely thin. Prior to these changes, he has always been physically fit with big muscles by going to the gym daily, golfing with his buddies every weekend, and occasionally riding his Harley Davidson. But recently in the past seven months or so, some of us have noticed that he has become very thin and no longer does any of the activities I just listed (also prior to lock down). His diet is not the best as it consists of fast food and sugar foods almost on a daily basis which makes me assumes this is a possibility of why his weight loss has become so drastic.
&amp;amp;#x200B;
I noticed a few things that have drastically changed in his behavior: he doesn't have a lot of energy to work or even spend time with my family and I in the living room, he doesn't eat as often as he used to as I only see him eat lunch for the entire day, and he rarely leaves his bedroom unless he eats lunch or use the restroom.
&amp;amp;#x200B;
He has been approached many times concerning his health by numerous people but he seems to be stubborn and reply with "I'm fine", "Don't worry I feel good" which is something I cannot buy anymore. My cousin and I are the only ones that can't let this issue be ignored any longer while everyone else in our family has bought into thinking that its due to his age (49) or simply just taking his word that he is okay.
&amp;amp;#x200B;
He is not the type of person who is open to talk and is very private. Since he doesn't leave his room, I also can't find the opportunity to talk to him seriously about this issue. However, my cousin has attempted to try to get information out of him twice and he keeps telling her that there is nothing to worry about. He really is trying to tell us he is fine but I just can't because of his drastic weight loss in such a short amount of time.
&amp;amp;#x200B;
I don't know what to do here. I wish I could say I am overthinking and a panicking but  at the very least I want to him to see a doctor to get checked. But if I can't get him do so, which is most likely going to happen, I cannot just ignore this issue anymore and pretend that he is fine. It will continue to eat me alive until something bad happens which I don't want to face.
&amp;amp;#x200B;
What are some ways I can reach him? How do you talk to someone who doesn't want to seek help? If he refuses to get help, what are my options from there? Does this sound like cancer or something else?
&amp;amp;#x200B;
Thank you for taking the time to read. Any help is appreciated.</t>
        </is>
      </c>
      <c r="D9483" t="n">
        <v>1</v>
      </c>
      <c r="E9483" t="n">
        <v>1</v>
      </c>
      <c r="F9483">
        <f>HYPERLINK("https://www.reddit.com/r/cancer/comments/grawoi/i_think_my_uncle_has_cancer_i_need_advice_to_help/")</f>
        <v/>
      </c>
      <c r="G9483" t="inlineStr">
        <is>
          <t>2020-05-26 19:19:07</t>
        </is>
      </c>
      <c r="H9483" t="inlineStr"/>
    </row>
    <row r="9484">
      <c r="A9484" t="inlineStr">
        <is>
          <t>grc0cu</t>
        </is>
      </c>
      <c r="B9484" t="inlineStr">
        <is>
          <t>My father was suddenly diagnosed with gastric cancer during a surgery and got stomach removed</t>
        </is>
      </c>
      <c r="C9484" t="inlineStr">
        <is>
          <t>My father has had a blockage in the duodenum, the small intestine immediately beyond the stomach and has had an endoscopy as well as 3 biopsies in the stomach testing for cancer. The doctor said that there was no hint of cancer and that it would be a simple 2 hour surgery to remove the blockage in the intestine so that food could go through. However, at the end of the 2 hours, we suddenly received news that there were cancerous tissues found in the stomach and that she must cut off part of the stomach to remove the infected areas.
After waiting at the hospital for the results of the surgery, the doctor came out and said that she cut off 75 percent of the stomach. 
Is this the correct procedure? Without even doing further tests to find the extend of the cancer cells, she decided to just guess the area to cut off with her bare eyes. She is not specialized in cancer. My family is in disbelief and is starting to regret even trusting American healthcare, as we are Korean. She also stated that she believes it is stage 1 cancer but said it was found to have signet ring carcinoma, which is a an aggressive type of cancer, which worries me. 
Has anyone else had experience in gastric cancer?</t>
        </is>
      </c>
      <c r="D9484" t="n">
        <v>1</v>
      </c>
      <c r="E9484" t="n">
        <v>11</v>
      </c>
      <c r="F9484">
        <f>HYPERLINK("https://www.reddit.com/r/cancer/comments/grc0cu/my_father_was_suddenly_diagnosed_with_gastric/")</f>
        <v/>
      </c>
      <c r="G9484" t="inlineStr">
        <is>
          <t>2020-05-26 20:33:46</t>
        </is>
      </c>
      <c r="H9484" t="inlineStr"/>
    </row>
    <row r="9485">
      <c r="A9485" t="inlineStr">
        <is>
          <t>grdavf</t>
        </is>
      </c>
      <c r="B9485" t="inlineStr">
        <is>
          <t>Just found out my dad has lung cancer</t>
        </is>
      </c>
      <c r="C9485" t="inlineStr">
        <is>
          <t>My dad told me this evening that he has been diagnosed with lung cancer. He has squamous cell carcinoma and will find out next week if it is stage III or stage IV. He’s 62, has a thirty year long history of heart problems, and is a previous smoker.
We haven’t always been close and kind of drifted apart. I have always loved him though.
I’m keep jumping from in shock to sad.
It’s made worse for me because next month makes three years since my brother passed away from brain cancer (GBM). My brother and I are my dad’s only children and it’s just me left now. My brother’s death was heartbreaking and none of us have really recovered. So to get this news....
It just sucks.</t>
        </is>
      </c>
      <c r="D9485" t="n">
        <v>1</v>
      </c>
      <c r="E9485" t="n">
        <v>8</v>
      </c>
      <c r="F9485">
        <f>HYPERLINK("https://www.reddit.com/r/cancer/comments/grdavf/just_found_out_my_dad_has_lung_cancer/")</f>
        <v/>
      </c>
      <c r="G9485" t="inlineStr">
        <is>
          <t>2020-05-26 22:07:17</t>
        </is>
      </c>
      <c r="H9485" t="inlineStr"/>
    </row>
    <row r="9486">
      <c r="A9486" t="inlineStr">
        <is>
          <t>grdi81</t>
        </is>
      </c>
      <c r="B9486" t="inlineStr">
        <is>
          <t>AML leukemia came back</t>
        </is>
      </c>
      <c r="C9486" t="inlineStr">
        <is>
          <t>I was diagnosed August 2019 and went into remission January 2020. I was told I didn’t need a transplant because I am young (21 M) and healthy. My doctor told me in March I should get a transplant. I was scheduled to have it in weeks but today my doctor said they found the cancer in 9% of my bone marrow and I will have to do chemo all over again to put it into remission. He was surprised it came back so fast but said it was still in the early stages. I know it’s going to suck especially since I can’t have visitors. I’m hoping it will be in remission after this first session.</t>
        </is>
      </c>
      <c r="D9486" t="n">
        <v>1</v>
      </c>
      <c r="E9486" t="n">
        <v>5</v>
      </c>
      <c r="F9486">
        <f>HYPERLINK("https://www.reddit.com/r/cancer/comments/grdi81/aml_leukemia_came_back/")</f>
        <v/>
      </c>
      <c r="G9486" t="inlineStr">
        <is>
          <t>2020-05-26 22:22:40</t>
        </is>
      </c>
      <c r="H9486" t="inlineStr"/>
    </row>
    <row r="9487">
      <c r="A9487" t="inlineStr">
        <is>
          <t>greckm</t>
        </is>
      </c>
      <c r="B9487" t="inlineStr">
        <is>
          <t>#TerryFoxTrek2020, #SGcancersociety, #CancerResearch. Climb Stairs to raise awarenes!</t>
        </is>
      </c>
      <c r="C9487" t="inlineStr">
        <is>
          <t>Join the Terry Fox Trek to raise money for cancer research!</t>
        </is>
      </c>
      <c r="D9487" t="n">
        <v>1</v>
      </c>
      <c r="E9487" t="n">
        <v>0</v>
      </c>
      <c r="F9487">
        <f>HYPERLINK("https://www.reddit.com/r/cancer/comments/greckm/terryfoxtrek2020_sgcancersociety_cancerresearch/")</f>
        <v/>
      </c>
      <c r="G9487" t="inlineStr">
        <is>
          <t>2020-05-26 23:30:52</t>
        </is>
      </c>
      <c r="H9487" t="inlineStr"/>
    </row>
    <row r="9488">
      <c r="A9488" t="inlineStr">
        <is>
          <t>grediv</t>
        </is>
      </c>
      <c r="B9488" t="inlineStr">
        <is>
          <t>How to say no to people when they turn up to your home?</t>
        </is>
      </c>
      <c r="C9488" t="inlineStr">
        <is>
          <t>I’m caring for my mum (75 years old) who has a variety of cancers. She’s in the palliative stage but is still very mobile and appears really good for her age. We’re anticipating a few months until she dies, with a rapid decline at a random point.
People have gotten wind of this and naturally, want to come and visit. Mum has said she doesn’t want many visitors. However, people have started dropping in unannounced. Unfortunately, mum is the kind of person that won’t say no, so she will spend time with them. 
If her guests can’t see her when they drop in, I say “I’ll go check on her” and can easily run interference and tell them she is sleeping, no problems. The problem we’re finding is when people see her through the window and see she is awake, and then she kind of falls into the old routine of engaging in conversation etc.
My question is, what are some ways of basically saying to people “I know mum looks good, but these visits are waring her out and even though she looks like she’s enjoying it, she needs to conserve her energy Because she will be exhausted later. Thanks for coming by, it’s great you did that, but if you could give us a call first next time, it will help us make sure she’s up for it, or find a time that’s best.”
I know this sounds silly; she’s dying so she doesn’t have to do anything for anyone and she/we don’t have to apologise, but I really need help properly phrasing this, because I’m aware cancer affects more than the person and their direct family, and I don’t want to make other people feel bad on top of their own grief...I just don’t want them to visit and burden mum.
Thank you,much love and support to you all. 💓</t>
        </is>
      </c>
      <c r="D9488" t="n">
        <v>1</v>
      </c>
      <c r="E9488" t="n">
        <v>4</v>
      </c>
      <c r="F9488">
        <f>HYPERLINK("https://www.reddit.com/r/cancer/comments/grediv/how_to_say_no_to_people_when_they_turn_up_to_your/")</f>
        <v/>
      </c>
      <c r="G9488" t="inlineStr">
        <is>
          <t>2020-05-26 23:32:55</t>
        </is>
      </c>
      <c r="H9488" t="inlineStr"/>
    </row>
    <row r="9489">
      <c r="A9489" t="inlineStr">
        <is>
          <t>grgzq9</t>
        </is>
      </c>
      <c r="B9489" t="inlineStr">
        <is>
          <t>(20M) Boyfriend lost his dad (56M)</t>
        </is>
      </c>
      <c r="C9489" t="inlineStr">
        <is>
          <t>On Sunday, we had to say goodbye to an incredibly smart man. My boyfriends dad had surgery to remove cancer from (I never asked where) his organs before we had met 2 years ago, but last year he had a persistent cough that turned out to be lung cancer. I never asked for the details, as it was incredibly hard for my boyfriend to talk about and come to terms with. I remember when my boyfriend told me that his dad had lung cancer... It's so hard to write this post. I don't even expect anyone to read it, I just wish no one had to go through with this kind of pain. I google his name just to see his LinkedIn profile, facebook, twitter, even the obituary site for his First Visitation on Sunday. He loved astronomy. Math. He always cooked the best, savoury food. There was always a home cooked meal with his family, every day. All these memories are just flashing by right now... I wish I could spend forever in those days. 
He's not in pain anymore, not limited to a bed, that beautiful mind is now in the direct presence of God. His faith was strong, so in my own small faith I know that if Heaven is real then he would be there. 
I just wish he was here with us instead... 
Cancer sucks. You fought hard. RIP. &amp;lt;/3</t>
        </is>
      </c>
      <c r="D9489" t="n">
        <v>1</v>
      </c>
      <c r="E9489" t="n">
        <v>0</v>
      </c>
      <c r="F9489">
        <f>HYPERLINK("https://www.reddit.com/r/cancer/comments/grgzq9/20m_boyfriend_lost_his_dad_56m/")</f>
        <v/>
      </c>
      <c r="G9489" t="inlineStr">
        <is>
          <t>2020-05-27 03:08:31</t>
        </is>
      </c>
      <c r="H9489" t="inlineStr"/>
    </row>
    <row r="9490">
      <c r="A9490" t="inlineStr">
        <is>
          <t>gria3d</t>
        </is>
      </c>
      <c r="B9490" t="inlineStr">
        <is>
          <t>Dad diagnosed with rare cancer</t>
        </is>
      </c>
      <c r="C9490" t="inlineStr">
        <is>
          <t>Hi, Just need to process this. 
Last week, we found out that my dad had water in his lungs. After removal of fluid, it was sent for further check followed by a biopsy to be finally diagnosed with a rare form of cancer today. It is a synovial sarcoma in lung, which is found in 1 in 2-3 million people from what a quick internet search tells me. He is 68 years old and otherwise healthy guy. He has never smoked or had a drop of alcohol in his life. 
I am not very close to him but I love and respect him for all that he has taught me in life. I live in a different continent and my country has closed borders for a couple of months due to the ongoing pandemic and it doesn’t look like it will open anytime soon, it is actually just starting to gain momentum there. The doctors have mentioned poorer prognosis, which are on top of the generally poor statistics for this type of cancer due to his age, advanced stage of cancer and other factors. And they still don’t know if it has spread to other vital organs. That will be done after some more tests. 
At the moment, I am not sure what to feel, how to deal with this. I may never see him again based on what the doctors are saying. Later today he will decide whether to go for surgery or not as it involves some risks. 
I am totally blank and at shock!
Thanks for reading through a stranger who just needed to speak.</t>
        </is>
      </c>
      <c r="D9490" t="n">
        <v>1</v>
      </c>
      <c r="E9490" t="n">
        <v>0</v>
      </c>
      <c r="F9490">
        <f>HYPERLINK("https://www.reddit.com/r/cancer/comments/gria3d/dad_diagnosed_with_rare_cancer/")</f>
        <v/>
      </c>
      <c r="G9490" t="inlineStr">
        <is>
          <t>2020-05-27 04:50:28</t>
        </is>
      </c>
      <c r="H9490" t="inlineStr"/>
    </row>
    <row r="9491">
      <c r="A9491" t="inlineStr">
        <is>
          <t>grjnz0</t>
        </is>
      </c>
      <c r="B9491" t="inlineStr">
        <is>
          <t>My disabled grandma has lung cancer.</t>
        </is>
      </c>
      <c r="C9491" t="inlineStr">
        <is>
          <t>She is in her 60s and has a hard time walking let alone going to radiation and chemo treatment s everyday. I (18m) have went with her and just waited in the car because I can't go with her because of everything going on in the pandemic. She fell in the front yard a couple months ago and it turns out she had lung cancer and double pneumonia. Somehow she is still kicking. She got a break from chemo for about a week and was doing amazing. She could almost go to the bathroom my herself and get out of the wheelchair and everything. Her break ended and she went to her last chemo treatment, after that last treatment she has went downhill so much she can't even go to her radiation anymore. I've never helped someone through something like this before. Is it normal to do this poorly after your last chemo treatment. She has 9 radiation left and I'm getting worried she won't be able to go to them.</t>
        </is>
      </c>
      <c r="D9491" t="n">
        <v>1</v>
      </c>
      <c r="E9491" t="n">
        <v>0</v>
      </c>
      <c r="F9491">
        <f>HYPERLINK("https://www.reddit.com/r/cancer/comments/grjnz0/my_disabled_grandma_has_lung_cancer/")</f>
        <v/>
      </c>
      <c r="G9491" t="inlineStr">
        <is>
          <t>2020-05-27 06:24:49</t>
        </is>
      </c>
      <c r="H9491" t="inlineStr"/>
    </row>
    <row r="9492">
      <c r="A9492" t="inlineStr">
        <is>
          <t>grjv8j</t>
        </is>
      </c>
      <c r="B9492" t="inlineStr">
        <is>
          <t>Ascites ? Help please!</t>
        </is>
      </c>
      <c r="C9492" t="inlineStr">
        <is>
          <t>My mom had ascites built up in her abdomen and when she was in the hospital they drained, but it came back so the next time she was at the hospital they put a peritoneal drain. It drained for about 2 weeks and since it hasnt drained anything at all. It has been 3 months so far. Her belly is getting very large and she is in pain.  The doctor who is knowledgable and gave permission the hospital can do the drain, believes the drain isnt the issue and it's something else.  Idk why he wont liste to me it's like no one cares!  I think its clogged.  And her oncologist basically dropped her because she wont do chemo with her.  I asked if she can get a ct scan done so we can see if its fluid, and she said basically there isn't any point. 
Please help.. to those who experienced this.... do we need a ct scan done before?? Do we go to a gastroenterologist??  We never did this in outpatient setting so idk what to do. Thank you</t>
        </is>
      </c>
      <c r="D9492" t="n">
        <v>1</v>
      </c>
      <c r="E9492" t="n">
        <v>9</v>
      </c>
      <c r="F9492">
        <f>HYPERLINK("https://www.reddit.com/r/cancer/comments/grjv8j/ascites_help_please/")</f>
        <v/>
      </c>
      <c r="G9492" t="inlineStr">
        <is>
          <t>2020-05-27 06:37:06</t>
        </is>
      </c>
      <c r="H9492" t="inlineStr"/>
    </row>
    <row r="9493">
      <c r="A9493" t="inlineStr">
        <is>
          <t>grk42m</t>
        </is>
      </c>
      <c r="B9493" t="inlineStr">
        <is>
          <t>Cancer has taken everything from me and my life hasn't even started yet</t>
        </is>
      </c>
      <c r="C9493" t="inlineStr">
        <is>
          <t>I don't know if this is the correct place for this, or what the rules for this sub even are. But I am about to be diagnosed with an incurable form of blood cancer. I just have one test left, the genetic test to confirm, which I've been told is "only a formality." Meaning, doctors are sure I have it and are just doing this test to solidify the diagnosis.
With this diagnosis, I won't be able to have children. The one thing I wanted most in life. I just got married. I'm only 28. I'm letting my husband down. My parents. His family. We can't afford the nearly $100k surrogacy would cost.
My husband has dealt with a mom with cancer, a dad who died of Alzheimer's. And now a cancerous wife who can't bear him children.
I have nearly $60k in student loans. I feel like I'm nothing but a drain on my husband on my family who can contribute nothing. Literally the only thing preventing me from taking my own life is the fact that my student loan debt would then be left to my family, making me a burden in life and in death.</t>
        </is>
      </c>
      <c r="D9493" t="n">
        <v>1</v>
      </c>
      <c r="E9493" t="n">
        <v>37</v>
      </c>
      <c r="F9493">
        <f>HYPERLINK("https://www.reddit.com/r/cancer/comments/grk42m/cancer_has_taken_everything_from_me_and_my_life/")</f>
        <v/>
      </c>
      <c r="G9493" t="inlineStr">
        <is>
          <t>2020-05-27 06:52:07</t>
        </is>
      </c>
      <c r="H9493" t="inlineStr"/>
    </row>
    <row r="9494">
      <c r="A9494" t="inlineStr">
        <is>
          <t>grkmji</t>
        </is>
      </c>
      <c r="B9494" t="inlineStr">
        <is>
          <t>Need suggestion to help myself and people find hope battling against cancer</t>
        </is>
      </c>
      <c r="C9494" t="inlineStr">
        <is>
          <t>I recently received a diagnosis of cancer stage 4 and hearing the news was really hard, I am 28 years old and I felt like my life was falling to pieces. So instead of going into depression I need it to find a little bit of hope to help me get through this. This is why I came up with the idea of starting a business of candles to help other people that are going through the same situation or any other difficult situation find a little hope. A part of the profits of the sales would be donated towards cancer research. Do you have any suggestion to make it work?
Thanks!</t>
        </is>
      </c>
      <c r="D9494" t="n">
        <v>1</v>
      </c>
      <c r="E9494" t="n">
        <v>5</v>
      </c>
      <c r="F9494">
        <f>HYPERLINK("https://www.reddit.com/r/cancer/comments/grkmji/need_suggestion_to_help_myself_and_people_find/")</f>
        <v/>
      </c>
      <c r="G9494" t="inlineStr">
        <is>
          <t>2020-05-27 07:22:06</t>
        </is>
      </c>
      <c r="H9494" t="inlineStr"/>
    </row>
    <row r="9495">
      <c r="A9495" t="inlineStr">
        <is>
          <t>grkvri</t>
        </is>
      </c>
      <c r="B9495" t="inlineStr">
        <is>
          <t>LUMP inside my anus</t>
        </is>
      </c>
      <c r="C9495" t="inlineStr">
        <is>
          <t>31 Male Asian
Good day. Can someone tell me what this could be,i have an schedule with my GI this friday, but i cannot help my self to look and find out what this could be. Im very sorry for my english but i will do my best to make you guys to understand. 
Last march 19 i decided to quit smoking because i wanted to start a healthy living for my daughter. But instead having it my whole life has change.. with my first 2 week quit i suddenly experience UTI, followed by nicotine withdrawal syndromes.. while having UTI i notice that i feel constipated and i ignored it because nicotine withdrawal has a constipation effect.. 
Fast forward : 
After 1 month im getting more worried because the constioation doesnt wear off and i notice late that im having constipation while having diarhea, it will took me 2 days to pass a stool but when i do its watery and liquid sometimes with chunk and mucus. Its was a brown watery stool, with little smell. 
After a week, my stool suddenly change color and this time its lighter now ( watery yellow ) being so worried i decided to give myself a self examination on whats going on, i tried to insert my finger inside my anus to examine it, i felt a lump that is blocking my anus hole and think that this might be the reason why i cant poop. The lump is no pain when it touch, i cant tell if it is soft or hard, but i think its rubbery soft.. it is making stool way narrower. I have no blood coming out when pooping so i guess this is not a hemorrhoids, 
I made a FOBT test and it says positive
Losing weight
Very stress
Lower back pain
Not anemic base on my cbc test
Having a hard time to sleep in the afternoon waking up every 1hr
No problem sleeping in night time
does someone has this kind of symptoms before? Can you please let me know what is this before attending my GI visit on friday. Please i cant sleep for months now,</t>
        </is>
      </c>
      <c r="D9495" t="n">
        <v>1</v>
      </c>
      <c r="E9495" t="n">
        <v>5</v>
      </c>
      <c r="F9495">
        <f>HYPERLINK("https://www.reddit.com/r/cancer/comments/grkvri/lump_inside_my_anus/")</f>
        <v/>
      </c>
      <c r="G9495" t="inlineStr">
        <is>
          <t>2020-05-27 07:37:28</t>
        </is>
      </c>
      <c r="H9495" t="inlineStr"/>
    </row>
    <row r="9496">
      <c r="A9496" t="inlineStr">
        <is>
          <t>grm1v8</t>
        </is>
      </c>
      <c r="B9496" t="inlineStr">
        <is>
          <t>I need a device that allows someone to press a button that then sends an alarm to another location. Similar to a baby monitor?</t>
        </is>
      </c>
      <c r="C9496" t="inlineStr">
        <is>
          <t>My mom just got home from the hospital, she's got stage 4 pancreatic and needs a lot of help. She's setup in a hospital bed downstairs as she can't make it up to her bedroom. My dad is still sleeping upstairs, but wants something so that she can just press a button and it will ring an alarm next to his bed so that it'll wake him up in the middle of the night if she needs something.
She has a phone but she's not really with it enough to use it right now, especially in the middle of the night.
Any suggestions?</t>
        </is>
      </c>
      <c r="D9496" t="n">
        <v>1</v>
      </c>
      <c r="E9496" t="n">
        <v>0</v>
      </c>
      <c r="F9496">
        <f>HYPERLINK("https://www.reddit.com/r/cancer/comments/grm1v8/i_need_a_device_that_allows_someone_to_press_a/")</f>
        <v/>
      </c>
      <c r="G9496" t="inlineStr">
        <is>
          <t>2020-05-27 08:43:19</t>
        </is>
      </c>
      <c r="H9496" t="inlineStr"/>
    </row>
    <row r="9497">
      <c r="A9497" t="inlineStr">
        <is>
          <t>grm345</t>
        </is>
      </c>
      <c r="B9497" t="inlineStr">
        <is>
          <t>Could I have lung cancer??</t>
        </is>
      </c>
      <c r="C9497" t="inlineStr">
        <is>
          <t>I have had small amount of blood in my phlegm off and on for a while now but my doctor thinks it’s probably post nasal. I had a chest X-ray that came back normal, they also did a Lordic view. Today me phlegm had bright pinkish (blood?) in it . I’m 24 years male, never smoked</t>
        </is>
      </c>
      <c r="D9497" t="n">
        <v>1</v>
      </c>
      <c r="E9497" t="n">
        <v>5</v>
      </c>
      <c r="F9497">
        <f>HYPERLINK("https://www.reddit.com/r/cancer/comments/grm345/could_i_have_lung_cancer/")</f>
        <v/>
      </c>
      <c r="G9497" t="inlineStr">
        <is>
          <t>2020-05-27 08:45:07</t>
        </is>
      </c>
      <c r="H9497" t="inlineStr"/>
    </row>
    <row r="9498">
      <c r="A9498" t="inlineStr">
        <is>
          <t>grmlk2</t>
        </is>
      </c>
      <c r="B9498" t="inlineStr">
        <is>
          <t>Do hospitals in the US do consultation over the phone?</t>
        </is>
      </c>
      <c r="C9498" t="inlineStr">
        <is>
          <t>Uncle has mycosis fungoides. Given all the travel restrictions in place it probably doesn't make sense to fly him over to the US to get a second opinion.
Would it be possible to do a consultation by phone?
I know it would be better to call hospitals directly to ask but I am waiting for my mobile phone company to activate my overseas plan so can't call in the meantime to find out.
Any advice you have for me would be useful too :) for example, documents to prepare etc.
Thanks.</t>
        </is>
      </c>
      <c r="D9498" t="n">
        <v>1</v>
      </c>
      <c r="E9498" t="n">
        <v>13</v>
      </c>
      <c r="F9498">
        <f>HYPERLINK("https://www.reddit.com/r/cancer/comments/grmlk2/do_hospitals_in_the_us_do_consultation_over_the/")</f>
        <v/>
      </c>
      <c r="G9498" t="inlineStr">
        <is>
          <t>2020-05-27 09:11:46</t>
        </is>
      </c>
      <c r="H9498" t="inlineStr"/>
    </row>
    <row r="9499">
      <c r="A9499" t="inlineStr">
        <is>
          <t>grtn0r</t>
        </is>
      </c>
      <c r="B9499" t="inlineStr">
        <is>
          <t>I know I have cancer but I don't know what to do next</t>
        </is>
      </c>
      <c r="C9499" t="inlineStr">
        <is>
          <t>I'm 19 with no money of my own still living with my parents. 
With everything going on I can't even get a dentist or doctor appointment. 
I have obvious signs of oral cancer as well as throat cancer. I can't remember the last time I was able to feel my throat or what water tastes like in the left side of my throat.
I haven't told my parents my fears. I don't know what to do next.</t>
        </is>
      </c>
      <c r="D9499" t="n">
        <v>1</v>
      </c>
      <c r="E9499" t="n">
        <v>5</v>
      </c>
      <c r="F9499">
        <f>HYPERLINK("https://www.reddit.com/r/cancer/comments/grtn0r/i_know_i_have_cancer_but_i_dont_know_what_to_do/")</f>
        <v/>
      </c>
      <c r="G9499" t="inlineStr">
        <is>
          <t>2020-05-27 15:16:39</t>
        </is>
      </c>
      <c r="H9499" t="inlineStr"/>
    </row>
    <row r="9500">
      <c r="A9500" t="inlineStr">
        <is>
          <t>grufoc</t>
        </is>
      </c>
      <c r="B9500" t="inlineStr">
        <is>
          <t>Why do I get so frustrated with my dad?</t>
        </is>
      </c>
      <c r="C9500" t="inlineStr">
        <is>
          <t>My dad has liver cancer.  He feels like crap.  He’s also extremely depressed and challenging emotionally.
I’m one of his caregivers and I find myself getting so angry and frustrated some times.  I don’t know why.  
Is there something I should do differently?  I don’t know how to do this.  Thanks :)</t>
        </is>
      </c>
      <c r="D9500" t="n">
        <v>1</v>
      </c>
      <c r="E9500" t="n">
        <v>10</v>
      </c>
      <c r="F9500">
        <f>HYPERLINK("https://www.reddit.com/r/cancer/comments/grufoc/why_do_i_get_so_frustrated_with_my_dad/")</f>
        <v/>
      </c>
      <c r="G9500" t="inlineStr">
        <is>
          <t>2020-05-27 16:03:26</t>
        </is>
      </c>
      <c r="H9500" t="inlineStr"/>
    </row>
    <row r="9501">
      <c r="A9501" t="inlineStr">
        <is>
          <t>grw658</t>
        </is>
      </c>
      <c r="B9501" t="inlineStr">
        <is>
          <t>Mom diagnosed with Stage IV sarcoma. Would love some advice about how to proceed with my life.</t>
        </is>
      </c>
      <c r="C9501" t="inlineStr">
        <is>
          <t>This is a little long and I'm really sorry. I'm really just looking for any guidance anyone might have for my situation. 
My mom was diagnosed with stage IV high-grade endometrial stromal sarcoma about a week ago. Needless to say, we were devastated. We haven't asked her doctor about her particular prognosis yet, but judging by what I've found on the Internet, it's not looking good. Our entire family lives in a different country, and it's basically been just the both of us for most of my life. I moved away for college about 8 years ago and we've been living separately since then, but typically talking on the phone every day and me visiting her for holidays, etc. 
Before my mom's diagnosis, I was admitted to a great law school in a different state and I committed to attending. I signed a lease with my partner in that state and we were planning to move this summer. 
I've been staying with my mom for about a month at this point to help her recover from her hysterectomy and was very shocked by the diagnosis because although she was warned beforehand that it might be cancer, she never told me. Instead, I found out that she had cancer from her surgeon who called me after her surgery and was caught very off-guard. To add a little more to the mix, I am gay and not out to my mother because she is proudly homophobic. 
So here I am in City A where my mom lives, while my partner of 2 years is in City B where I live and have a steady job, and planning to move to City C for law school with my partner. I am the only person in our family who can be my mom's caregiver. 
So, naturally, I have thought of two possibilities if I am to be her caregiver: 
1. Leave my job in City B to live in City A , take care of my mom and defer law school for a year. This would mean that I would need to find a job in City A, find someone to sublease my apartment in City C or pay that rent as well as expenses in City A, and my partner would probably also need to move to City A as we are very against having a long-distance relationship and she is a huge part of my support system. This would obviously entail coming out to my mom. 
2. Move to City C with my partner as planned, come out to my mother, and have her move in with us to City C. My mom is not exactly financially stable in City A, so her not working or working remotely from City C would make money tight but not impossible. It would entail her selling her house, which might be a blessing in disguise to help with her finances. I would either choose to go to law school (and therefore have income in the form of scholarships and financial aid, but also potentially have a hard time in school) or still defer for a year and find a job in City C instead. 
This whole situation is making me really anxious because I don't know what to expect. I don't even know if my mom will want me to be her caregiver after I come out to her. There's a good possibility she might not want to talk to me anymore (hence the amount of time it's taken to come out). 
I'm heartbroken about her diagnosis and the thought of her not being around anymore. I'm terrified about coming out to her and being willing to change my whole life just to potentially be rejected by her. I am also afraid of her agreeing to move in with my partner and I and her being rude or nasty to my partner (who has been incredibly supportive and is willing to change her life too) because she really is hateful toward gay people. I feel a lot of guilt about our limited time together and the fact that no matter what I do, I might not be enough for her. I don't know what to do.   Literally any advice is appreciated.</t>
        </is>
      </c>
      <c r="D9501" t="n">
        <v>1</v>
      </c>
      <c r="E9501" t="n">
        <v>7</v>
      </c>
      <c r="F9501">
        <f>HYPERLINK("https://www.reddit.com/r/cancer/comments/grw658/mom_diagnosed_with_stage_iv_sarcoma_would_love/")</f>
        <v/>
      </c>
      <c r="G9501" t="inlineStr">
        <is>
          <t>2020-05-27 17:49:50</t>
        </is>
      </c>
      <c r="H9501" t="inlineStr"/>
    </row>
    <row r="9502">
      <c r="A9502" t="inlineStr">
        <is>
          <t>grww9j</t>
        </is>
      </c>
      <c r="B9502" t="inlineStr">
        <is>
          <t>Docs fighting over diagnosis and I’m stuck in limbo</t>
        </is>
      </c>
      <c r="C9502" t="inlineStr">
        <is>
          <t>Hi there. Hope everyone is staying safe out there. I guess I just need to rant, any stories or advice is appreciated. In summer of 2017 I started having violent vomiting episodes and was diagnosed with Crohn’s. Turns out, I didn’t have Crohn’s at all...they missed my colon cancer in my colonoscopy. At my year follow up (2018) they found stage 3C colon cancer. I had a section of my colon removed and was declared free of disease. Did 6 months of chemo as a cautionary measure for the first half of 2019 and all follow up tests, scans and colonoscopy had been clear through January of this year. January’s CT showed a small ovarian cyst, which the docs were not concerned about. In late March my periods started getting very brief and I felt constant pressure in my abdomen. If I pressed on it my pelvic region was tender. I also felt a strange cramp when I would urinate and developed a deep ridge in one of my fingernails. My oncologist was not worried about these symptoms and suggested I seek treatment for a possible UTI. Went to the OBGYN last week and wasn’t seen by the doctor, rather a PA did a pelvic exam and felt a mass in my abdomen. An ultrasound revealed masses in both ovaries, which are over double the average size. They also found a fibroid and elevated testosterone in my blood. Radiologist reported that the masses are likely more cancer, PA from the OBGYN agreed. Then my oncologist looked at the report and said the likelihood of cancer in my ovaries is slim to none and spoke to the PA. Suddenly the PA is leaning toward PCOS and sending me to an endocrinologist (no appointments for several months). I also have a consult with a gynecological oncologist, which was her suggestion before my oncologist talked to her. I feel like we are wasting time (just like last time)  and this is going to spread. I don’t want kids and this is causing me physical pain. Whatever it is, it needs removed, NOW. Am I crazy for thinking this way?</t>
        </is>
      </c>
      <c r="D9502" t="n">
        <v>1</v>
      </c>
      <c r="E9502" t="n">
        <v>23</v>
      </c>
      <c r="F9502">
        <f>HYPERLINK("https://www.reddit.com/r/cancer/comments/grww9j/docs_fighting_over_diagnosis_and_im_stuck_in_limbo/")</f>
        <v/>
      </c>
      <c r="G9502" t="inlineStr">
        <is>
          <t>2020-05-27 18:36:18</t>
        </is>
      </c>
      <c r="H9502" t="inlineStr"/>
    </row>
    <row r="9503">
      <c r="A9503" t="inlineStr">
        <is>
          <t>grxr2d</t>
        </is>
      </c>
      <c r="B9503" t="inlineStr">
        <is>
          <t>25yr male</t>
        </is>
      </c>
      <c r="C9503" t="inlineStr">
        <is>
          <t>Honestly really worried I might have cancer, lung cancer. Lost 20+lbs since feb to now in may, quit drinking and smoking tho and changed some things in my diet. Suffer from anxiety and depression. These last few months have been hell trying to figure what’s been going on with me.
- Suffered from  headaches in the past figured they were tension headaches.
- have extreme brain fog
- coughing up brown mucus daily since quitting, no visible blood happened one time right when I quite smoking.
- have been experiencing shortness of breath, getting winded very easy
-muscle weakness 
-daily fatigue
-have had cbc and just about every blood test ran and nothing has came back out of the ordinary.
-no anemia 
-thyroid tested 
- suffer from very low testosterone
- a lot of mucus built up in throat constantly, always spitting. 
-head 2 X-rays done of chest, both normal 
Not sure what else could be causing this extreme weight loss.</t>
        </is>
      </c>
      <c r="D9503" t="n">
        <v>1</v>
      </c>
      <c r="E9503" t="n">
        <v>0</v>
      </c>
      <c r="F9503">
        <f>HYPERLINK("https://www.reddit.com/r/cancer/comments/grxr2d/25yr_male/")</f>
        <v/>
      </c>
      <c r="G9503" t="inlineStr">
        <is>
          <t>2020-05-27 19:32:47</t>
        </is>
      </c>
      <c r="H9503" t="inlineStr"/>
    </row>
    <row r="9504">
      <c r="A9504" t="inlineStr">
        <is>
          <t>gs1bbl</t>
        </is>
      </c>
      <c r="B9504" t="inlineStr">
        <is>
          <t>19 yo with concerns...</t>
        </is>
      </c>
      <c r="C9504" t="inlineStr">
        <is>
          <t>I have been seeing blood in the stool, been having intensive abdominal pain, urinating frequently, and feeling nauseous.... I am worried that it may be something related to my colon... Should I be concerned? What are the chances? Can some people share their own experience/symptoms with Colon cancer?</t>
        </is>
      </c>
      <c r="D9504" t="n">
        <v>1</v>
      </c>
      <c r="E9504" t="n">
        <v>3</v>
      </c>
      <c r="F9504">
        <f>HYPERLINK("https://www.reddit.com/r/cancer/comments/gs1bbl/19_yo_with_concerns/")</f>
        <v/>
      </c>
      <c r="G9504" t="inlineStr">
        <is>
          <t>2020-05-28 00:01:03</t>
        </is>
      </c>
      <c r="H9504" t="inlineStr"/>
    </row>
    <row r="9505">
      <c r="A9505" t="inlineStr">
        <is>
          <t>gs3do3</t>
        </is>
      </c>
      <c r="B9505" t="inlineStr">
        <is>
          <t>Mum going downhill, advice on how to handle this crippling anxiety about losing her.</t>
        </is>
      </c>
      <c r="C9505" t="inlineStr">
        <is>
          <t>Hi guys, 
My mum was diagnosed with Metastasized (KRASS variant ?) brain cancer that has started in her lung. Immunotherapy made the cancer worse, chemo has just recently stopped working, and now we’re doing full brain radiation everyday for the next two weeks,
Then full chest radiation afterwards.
She’s been traveling well since diagnosis after a seizure in May 2019, but recently She hasn’t had an appetite, can’t keep any kind of food down. she’s now weighing 55kgs which is almost my (23F) weight. I visited her today at home and she was so weak I had to help her back to bed after she attempted to make a smoothie for herself.
I’m having a really hard time sleeping and feeling relief from this constant weight in my chest, my mum is my best friend. I’m petrified but I want to do everything in my power to help her. 
I know it’s a hard question to ask, but what can I expect over the next few months/weeks? I don’t know what the final stages of this cancer looks like, and I want to be prepared to help in any way possible. 
Sending all my love and support to everyone on this sub, fuck cancer. 
Xx</t>
        </is>
      </c>
      <c r="D9505" t="n">
        <v>1</v>
      </c>
      <c r="E9505" t="n">
        <v>6</v>
      </c>
      <c r="F9505">
        <f>HYPERLINK("https://www.reddit.com/r/cancer/comments/gs3do3/mum_going_downhill_advice_on_how_to_handle_this/")</f>
        <v/>
      </c>
      <c r="G9505" t="inlineStr">
        <is>
          <t>2020-05-28 02:57:29</t>
        </is>
      </c>
      <c r="H9505" t="inlineStr"/>
    </row>
    <row r="9506">
      <c r="A9506" t="inlineStr">
        <is>
          <t>gs40og</t>
        </is>
      </c>
      <c r="B9506" t="inlineStr">
        <is>
          <t>Would you share your story with me?</t>
        </is>
      </c>
      <c r="C9506" t="inlineStr">
        <is>
          <t>Hey everyone, 
I’m a volunteer for Cancer Education UK and we’re looking for survivors, patients and friends alike to share some stories about their experience that we can feature in a positive post to uplift and educate. 
If anyone would be happy to share, please comment or send me a message. ❤️ I hope you all have a lovely day, sending my love to you
If this post is inappropriate please remove, I messaged the admins but got no response</t>
        </is>
      </c>
      <c r="D9506" t="n">
        <v>1</v>
      </c>
      <c r="E9506" t="n">
        <v>4</v>
      </c>
      <c r="F9506">
        <f>HYPERLINK("https://www.reddit.com/r/cancer/comments/gs40og/would_you_share_your_story_with_me/")</f>
        <v/>
      </c>
      <c r="G9506" t="inlineStr">
        <is>
          <t>2020-05-28 03:48:50</t>
        </is>
      </c>
      <c r="H9506" t="inlineStr"/>
    </row>
    <row r="9507">
      <c r="A9507" t="inlineStr">
        <is>
          <t>gs5uhw</t>
        </is>
      </c>
      <c r="B9507" t="inlineStr">
        <is>
          <t>Could you give me names of Sarcoma specialists?</t>
        </is>
      </c>
      <c r="C9507" t="inlineStr">
        <is>
          <t>I have a very rare type of sarcoma and I wish to seek potential advise from other Sarcoma specialists, wherever they are from. Thanks!</t>
        </is>
      </c>
      <c r="D9507" t="n">
        <v>1</v>
      </c>
      <c r="E9507" t="n">
        <v>10</v>
      </c>
      <c r="F9507">
        <f>HYPERLINK("https://www.reddit.com/r/cancer/comments/gs5uhw/could_you_give_me_names_of_sarcoma_specialists/")</f>
        <v/>
      </c>
      <c r="G9507" t="inlineStr">
        <is>
          <t>2020-05-28 06:01:04</t>
        </is>
      </c>
      <c r="H9507" t="inlineStr"/>
    </row>
    <row r="9508">
      <c r="A9508" t="inlineStr">
        <is>
          <t>gs7zdg</t>
        </is>
      </c>
      <c r="B9508" t="inlineStr">
        <is>
          <t>Is it “a glioblastoma” or just “glioblastoma”?</t>
        </is>
      </c>
      <c r="C9508" t="inlineStr">
        <is>
          <t>I had an older sister who lost her battle with GBM a number of years ago. It’s something I’m including in my personal statement as I apply to grad schools and I want to be sure I get the terminology correct. I instinctively want to use “a” because it’s one singular unit like a sarcoma rather than a whole body cancer like leukemia but I’m unsure. Would I say “lost her battle with glioblastoma” or “with a glioblastoma”?
Thanks.</t>
        </is>
      </c>
      <c r="D9508" t="n">
        <v>1</v>
      </c>
      <c r="E9508" t="n">
        <v>3</v>
      </c>
      <c r="F9508">
        <f>HYPERLINK("https://www.reddit.com/r/cancer/comments/gs7zdg/is_it_a_glioblastoma_or_just_glioblastoma/")</f>
        <v/>
      </c>
      <c r="G9508" t="inlineStr">
        <is>
          <t>2020-05-28 08:09:34</t>
        </is>
      </c>
      <c r="H9508" t="inlineStr"/>
    </row>
    <row r="9509">
      <c r="A9509" t="inlineStr">
        <is>
          <t>gs8wbg</t>
        </is>
      </c>
      <c r="B9509" t="inlineStr">
        <is>
          <t>Ocular Melanoma- eye removed 5 days after diagnosis</t>
        </is>
      </c>
      <c r="C9509" t="inlineStr">
        <is>
          <t>Hello all. I am hoping someone can offer me some resources/advice.
Last Monday, my mom lost half of her vision in one eye. After visiting Wills Eye Hospital in Philadelphia that same day, they found a tumor in her eye and stated she may have ocular melanoma. The next day, her retina detached and she lost her vision. By Wednesday, her eye began to hemorrhage, and by Friday, she underwent surgery to remove her eye.
This all happened so fast! Now, we are told she needs to see an Ocular Oncologist for a systematic evaluation to determine if the cancer spread. General Oncologists are refusing to see her because the cancer started in her eye; she must see an Ocular Oncologist. However, we cannot find any Ocular Oncologists in my mother's network. Apparently there is only one Ocular Oncologist in our state of New Jersey, 3 hours north. Wills Eye Hospital is close to us, but doesn't accept her insurance.
Does anyone have experience with getting diagnosed with ocular melanoma and the process that happened from that point on? All the doctor's we've spoken to are all telling her different things that should occur from here on out (needs an abdominal scan, not worth doing an abdominal scan, the cancer is most likely gone because the eye is gone, the cancer may have spread, etc.). We are confused. Also, does anyone have experience with finding treatment when their health insurance (NJ Medicaid) doesn't have their type of specialist in the network?
Anything would be helpful. Thanks so much.</t>
        </is>
      </c>
      <c r="D9509" t="n">
        <v>1</v>
      </c>
      <c r="E9509" t="n">
        <v>2</v>
      </c>
      <c r="F9509">
        <f>HYPERLINK("https://www.reddit.com/r/cancer/comments/gs8wbg/ocular_melanoma_eye_removed_5_days_after_diagnosis/")</f>
        <v/>
      </c>
      <c r="G9509" t="inlineStr">
        <is>
          <t>2020-05-28 08:59:35</t>
        </is>
      </c>
      <c r="H9509" t="inlineStr"/>
    </row>
    <row r="9510">
      <c r="A9510" t="inlineStr">
        <is>
          <t>gs90u8</t>
        </is>
      </c>
      <c r="B9510" t="inlineStr">
        <is>
          <t>My dad has stage 4 pancreatic cancer</t>
        </is>
      </c>
      <c r="C9510" t="inlineStr">
        <is>
          <t>Title says it all. Last year my dad was diagnosed with stage 1 pancreatic cancer and had his pancreas removed. Everything was going well 6 months of chemo later, all the scans came back clear. Time progresses and He's trying to get used to living as a diabetic. Maintaining weight was a challenge but no unexpected. But the weight loss just continued and he started aching everywhere...  The scans came back yesterday and its spread to his liver and his lymph nodes. I know what this means long term, a death sentence. What I don't know is how to help him/my family/me. 
&amp;amp;#x200B;
I guess that's why I'm posting this, I could use some support and advice on what to do with the time I have left with him. I want to make as many memories as possible but I don't know what to do. We used to hike all the time but he's too weak now for anything more than the bare minimum, and I know he hates feeling incapable. His hobbies include his singing group (cancelled due to corona), and flying but I don't know how to involve him in those now. 
I just keep thinking about all the things he's going to miss and it hurts so much.</t>
        </is>
      </c>
      <c r="D9510" t="n">
        <v>2</v>
      </c>
      <c r="E9510" t="n">
        <v>7</v>
      </c>
      <c r="F9510">
        <f>HYPERLINK("https://www.reddit.com/r/cancer/comments/gs90u8/my_dad_has_stage_4_pancreatic_cancer/")</f>
        <v/>
      </c>
      <c r="G9510" t="inlineStr">
        <is>
          <t>2020-05-28 09:05:56</t>
        </is>
      </c>
      <c r="H9510" t="inlineStr"/>
    </row>
    <row r="9511">
      <c r="A9511" t="inlineStr">
        <is>
          <t>gsadyq</t>
        </is>
      </c>
      <c r="B9511" t="inlineStr">
        <is>
          <t>How do you deal with your partner having stage 4 cancer?</t>
        </is>
      </c>
      <c r="C9511" t="inlineStr">
        <is>
          <t>My now husband was diagnosed with cancer in September. His cancer is very rare and hard to treat. We are only 25 and 26, and have been together for over 10 years. I was telling my therapist recently that HE is my best friend and HE has been the one supporting me throughout his own diagnosis (I support him too but I’ve found it hard to turn to others). 
Today we got some not great news. I can’t even fathom the thought of losing my best friend, the only person I tell everything to.</t>
        </is>
      </c>
      <c r="D9511" t="n">
        <v>1</v>
      </c>
      <c r="E9511" t="n">
        <v>4</v>
      </c>
      <c r="F9511">
        <f>HYPERLINK("https://www.reddit.com/r/cancer/comments/gsadyq/how_do_you_deal_with_your_partner_having_stage_4/")</f>
        <v/>
      </c>
      <c r="G9511" t="inlineStr">
        <is>
          <t>2020-05-28 10:18:10</t>
        </is>
      </c>
      <c r="H9511" t="inlineStr"/>
    </row>
    <row r="9512">
      <c r="A9512" t="inlineStr">
        <is>
          <t>gsaurk</t>
        </is>
      </c>
      <c r="B9512" t="inlineStr">
        <is>
          <t>My initial prognosis was, "a few months". I recently celebrated my 3rd post diagnosis birthday!</t>
        </is>
      </c>
      <c r="C9512" t="inlineStr">
        <is>
          <t>NEVER give up hope.  Doctors can tell you what happened to a thousand other people in your situation, but none of those people were you.</t>
        </is>
      </c>
      <c r="D9512" t="n">
        <v>1</v>
      </c>
      <c r="E9512" t="n">
        <v>17</v>
      </c>
      <c r="F9512">
        <f>HYPERLINK("https://www.reddit.com/r/cancer/comments/gsaurk/my_initial_prognosis_was_a_few_months_i_recently/")</f>
        <v/>
      </c>
      <c r="G9512" t="inlineStr">
        <is>
          <t>2020-05-28 10:43:07</t>
        </is>
      </c>
      <c r="H9512" t="inlineStr"/>
    </row>
    <row r="9513">
      <c r="A9513" t="inlineStr">
        <is>
          <t>gsb1j9</t>
        </is>
      </c>
      <c r="B9513" t="inlineStr">
        <is>
          <t>Help me make it bearable</t>
        </is>
      </c>
      <c r="C9513" t="inlineStr">
        <is>
          <t>Hello all, english isn't my first language so sorry about that, i'll try to be undersandable. My father was diagnosed with esophageal cancer a month ago. At first it looked like it wasn't a bad case, and his survival chances were 50-70%. The tumour is quiet big, but he could eat many things blended and had a tube like thing inserted in his esophagus to make it wider. He started chemotherapy last week, but he had a stoke on wednesday, most likely because of the chemo. The stroke wasn't strong, no paralysis but it isn't easy for him to talk, he understands everything tough. The worst thing is he was mistreated in the hospital, and things worsened, and the doctors told us to prepare for the worst, as the cancer had spread, but they didn't tell us how much time there is left for him. I'm completely heartbroken. They let him come today, he was fine until a few hours ago. He started vomiting and feels sick, typical side effect of chemo, i know, but he only had 2 treatments, on monday and tuesday last week. How long do these side effects last? Can i help to stop it or at least ease these side effects? I have to accept that i'm going to lose him, but i can't bear watching him suffer. The healthcare is terrible in my country and the doctors won't tell us anything. I'm sorry if this is the wrong sub, but i don't know where else to seek help.</t>
        </is>
      </c>
      <c r="D9513" t="n">
        <v>1</v>
      </c>
      <c r="E9513" t="n">
        <v>5</v>
      </c>
      <c r="F9513">
        <f>HYPERLINK("https://www.reddit.com/r/cancer/comments/gsb1j9/help_me_make_it_bearable/")</f>
        <v/>
      </c>
      <c r="G9513" t="inlineStr">
        <is>
          <t>2020-05-28 10:52:48</t>
        </is>
      </c>
      <c r="H9513" t="inlineStr"/>
    </row>
    <row r="9514">
      <c r="A9514" t="inlineStr">
        <is>
          <t>gsbaxl</t>
        </is>
      </c>
      <c r="B9514" t="inlineStr">
        <is>
          <t>Relief</t>
        </is>
      </c>
      <c r="C9514" t="inlineStr">
        <is>
          <t>Have any of you tried CBD or medical marijuana as a stress relief?</t>
        </is>
      </c>
      <c r="D9514" t="n">
        <v>1</v>
      </c>
      <c r="E9514" t="n">
        <v>2</v>
      </c>
      <c r="F9514">
        <f>HYPERLINK("https://www.reddit.com/r/cancer/comments/gsbaxl/relief/")</f>
        <v/>
      </c>
      <c r="G9514" t="inlineStr">
        <is>
          <t>2020-05-28 11:06:13</t>
        </is>
      </c>
      <c r="H9514" t="inlineStr"/>
    </row>
    <row r="9515">
      <c r="A9515" t="inlineStr">
        <is>
          <t>gsbm7j</t>
        </is>
      </c>
      <c r="B9515" t="inlineStr">
        <is>
          <t>Contaminated blood transfer leads to dad's cancer diagnosis</t>
        </is>
      </c>
      <c r="C9515" t="inlineStr">
        <is>
          <t>I would love advice, words of encourage or just a comment that you read the story. I'll try to explain further below but I think my dad would really appreciate you taking the time to read this. Even just one person to know HIS story. 
So dad (61) has Hemophilia which means he's missing the clotting factor in his blood. This causes him to bleed, mostly internally into joints such as elbows and knees, over time causing severe arthritis. For the past 30 years or so, he has self administered intravenously a man made clotting factor to stop the bleeds. 
It's a tough disease with most people suffering from chronic pain their whole lives and often sitting on the sideline, as life passes them by.
But if you ask him, he doesn't feel he missed out by spending countless hours in hospital as a child from minor falls and normal rough and tumble of just being a kid, because his brother was there by his side - haemophilia is passed on from the mother (named a carrier) to the son and in this case, my dad's mum passed it on to two of her 3 sons. 
If you ask him, he doesn't feel like he missed out by not being able to play his favourite sport Rugby League, because instead he coached. From 5 year olds to 50 year olds, he taught them the art of 'they can't run without legs' and volunteered countless hours to a sport he loves.
If you ask him, he doesn't feel like he missed out when at a very young age lost one eye and started to get nobbly knees and elbows all before his 15th birthday, because that same year he met the love of his life. We'll call her mum.
If you ask him, he doesn't feel like her missed out at all.
But that's not to say things weren't hard. Its 1985 and Dad's now in his mid twenties. Life is tough but hes thankful for what he has. Being a self employed painter, getting up and down on ladders/roofs was tough on the body. But being self employed was his only choice. You couldn't expect a boss to understand you needed 6 weeks off of work to recover because your knee was the size of a soccer ball from a small slip on wet grass. 
As dad waved goodbye to his mid twenties, engaged to mum and looking to all the great things ahead, bad news was delivered that would follow him like a dark cloud throughout his life. The hospital informed him that he'd contracted Hepatitis C from a contaminated blood transfer.
The man made product he now self administrators wasn't always man made. It was once made from human plasma. This is where things get.. messy. 
The world needed blood - for woman who'd lost blood during child birth or others who'd lost blood from tragic accidents AND heamophiliacs. The problem was many of the paid donors were men in US prisons and people who engaged in high risk lifestyle choices such as injecting illegal substances. 
It only took 1 infected donor from a batch containing 60,000 donations to contaminate the blood. This blood was then shipped to countries such as France, Japan, Italy, Iran, the UK and Australia, just to name a few.
Unless you know someone directly affected by the contaminated blood scandal, you may not be aware. I won't go into too much detail about the negligence and complete disregard for human lives that was committed by pharmaceutical companies such as Bayer who continued to distribute an unsafe product when new, safer options were available but I will say this:
Japan - 1400 heamophiliacs were infected with HIV or Hepatitis, 500 of which died by 2001. Compensation was eventually paid and 3 former drug company executives were jailed. 
France -  4,000 people, many hemophiliacs, were given blood infected with HIV. A health minister and 2 government officials were jailed. 
Canada - 2,000 people were infected with HIV and up to 60,000 with Hepatitis C by 1985. In 2001, the Supreme Court found the Canadian Red Cross guilty of negligence. 
UK - at least 3,891 people, most of whom suffered from haemophilia became infected with Hepatitis C of whom 1,243 were also infected with HIV. As of 2012, over 1200 people have died as a result however, it is suspected that this number is more likely double. A senate enquiry is currently underway. 
Devastated doesn't even begin to describe how he felt. All he ever wanted was a family. He didn't want money or fancy things. He wanted love, he wanted mum and he wanted a family. He already feared passing hemophilia onto his daughter (who would be a carrier like his mum) but he now had to live with the fear of passing Hepatitis C onto his wife and future children. 
A few years later, mum fell pregnant. First with a son in 1989 and a daughter in 1992. Yes, the daughter is what they call a symptomatic carrier but she's strong and I have a funny feeling she's going to be fine. 
Not long before their daughter was born, they bought a house with a Government approved home loan. You see, the same mortgage rates that were accessible to others, weren't accessible to dad as no one would provide work cover or life insurance to someone with his conditions and his income was irregular because of the recovery time he needed when he suffered a bleed. The interest rate of this loan was 14%, double that of a normal home loan. By the late nineties, Dad struggled with mobility and other health related issues. They relied heavily on the disability pension to survive but they were drowning. They were going to lose the house.
With 2 young kids, they decided to sell everything and go traveling around Australia in a 12ft caravan. At the time, the kids felt ready for an adventure, not realising that they were essentially homeless. But this trip had been a dream of mum and dad's so what better time to go. What did they have to lose. 
Australia is BIG. I mean, really big. It's harsh and baron and takes no prisoners. With a Landcruiser and tinny on top, towing the caravan, they set off.
10 months later, 1 state, 1 territory, a cyclone, a flood and numerous encounters with crocodiles that would make the hairs on the back on your neck instantly stand up, the trip was over and it was back to reality.
It's now 2003 and dad has started his first treatment for the Hepatitis C. Dad describes it as being in a heavy weight boxing match every week for 12 months. The treatment was unsuccessful.
Mum and dad are good. They go camping and fishing. They hug and kiss in the middle of the kitchen like love sick teenagers and their kids pretend to throw up in their mouths at the sight of their affection. They love nothing more than sitting on the couch together, drinking their 10th cup of tea for the day.
It's now 2005 and dad has started his second treatment for the Hepatitis C. About 2 months before the end of the treatment, dad pulled out. The affect the treatment was having on his mental health and the relationships with the people closest to him wasn't worth it. 
Throughout these years, dad shared stories of the shame and fear he had while coaching football teams. How would parents feel if they knew that someone infected with Hepatitis C was looking after their child.
He shared the judgement he felt at various hospital appointments from uninformed medical practitioners who assumed he contracted Hepatitis C through engaging in drug use or homosexuality. 
There are also memories of dad trying for hours to get a needle into his veins to give himself a shot and eventually having to use a vein in his ankle. Or the memories of him having a bleed and mum chasing him around the house with bleach to ensure it didn't get on anything so we wouldn't get infected. 
It's now late 2015 and dad is undergoing his third treatment for Hepatitis C. This time it's successful. 
I always wondered if it was weird for dad. Identifying with something for such a long time and then not having it anymore. I should ask.
Mum and dad are good. They still go camping and fishing. They still hug and kiss in the middle of the kitchen like love sick teenagers and their kids still pretend to throw up in their mouths at the sight of their affection. They love nothing more than sitting on the couch together, drinking their 10th cup of tea for the day.
It's now 2017 and because of the Hepatitis C, dad has regular CT scans of his liver. Hepatitis C causes scarring of the liver which can turn into cancer and although he doesn't have Hepatitis C anymore, the damage has been done. 
I remember the day like it was yesterday. Mum calls. The news isn't good. They've found something. The dreaded C word. While waiting for mum and his son to get home, dad goes into delayed shocked when a dog is hit by a car outside our house. He clutches his chest in the middle of the road and I call the ambulance. 'Are you under a lot of stress' the paramedics ask. 'Yeah' he replies. I'm sure telling the kids was hard but they would get through this as a family and they did. One ablation procedure and the cancers were gone. 
Nearly one year later to the day of being cancer free and mum calls. There's bad news, again. The C word is back.
The world is a scary and uncertain place with many countries in lockdown due to Covid 19 and as dad now falls into the high risk category, he self isoltes. But as the tests begins, he's at the hospital multiple times a week and it all feels so rushed. 
The hospital says he needs a transplant but before that, they want to inspect every inch of your body to ensure there's nothing else wrong. Nothing that will prevent the transplant from saving your life. There's a trip to a dietician and a dentist. There's a trip to the gastroenterologist and hepatologist. They find out he has osteoporosis but that's not enough to be taken off the transplant list. Next is the TAST procedure where they inject a highly potent chemo directly into the cancers to buy you more time.  
Not only is this a trautimatic experience in itself, the procedure is being done in the same hospital where his journey started. The same hospital he spent years as a kid and adult, nursing various injuries. The same hospital who administered the contaminated blood transfer. Dad suffers an anxiety/panic attack and the procedure doesn't go ahead.
He tries again a few days later and the procedure goes well. But the after affect of it is devasting and I fear it's a taste of what's to come. (Pun intended and he'd think it was funny) 
Hes weak and tired. He's nauseous and cannot eat. He has a fever and is in excruciating pain in his arm. Due to not being able to move during the surgery, this caused a bleed.
Mum and dad are good. They don't go camping and fishing right now but they still hug and kiss in the middle of the kitchen like love sick teenagers and their kids still pretend to throw up in their mouths at the sight of their affection. They love nothing more than sitting on the couch together, drinking their 10th cup of tea for the day.
Yesterday was a trip to the hospital to have an endoscopy and a colonoscopy. Fun, right?
I wake up this morning feeling like something is wrong. I cry the entire way to work. I stop to buy dad a creme brulee croissant as he needs to put on weight and I call to check in with mum. 
There's more bad news. They've found something else. WHAT NOW!? 
I sit in the car and ask God, who I'm not even sure I believe in 'why him?. Hasn't he suffered enough?'
They found something in his bowels. Results are pending.
But dad's strong. The strongest man I know. He'll get through this with the love of his family. He showed his daughter how she deserves to be loved and showed his son how to love, all by loving their mother. Now to show him that same love. 
He shows us that each day you go to work. Rain, hail or shine (well not rain, he was a painter after all). He shows us that a good work ethic is a great quality but so is cooking the perfect fried egg on the bbq. He shows us that you don't need to know the lyrics to a song, as long as it sounds good. He shows us that sausages with mash and tomatoes can be like 'a cruiser on the red sea' if you use a little imagination and he shows us love. Pure, unconditional, love - the most important thing of all.
Now this is dad's story but mum IS dad. They don't know anything else but each other so this story wouldn't be complete without a mention of mum. What a woman. She's caring and loving. She's beautiful and smart. She's engaging and sensitive. She's an amazing cook and an expert cup of tea maker. She's a carer and a wife. She's a daughter and a sister. But she's also the light in our lives. 
Being sick is hard. Being married to someone who is sick is also hard. And she does an amazing job. Every. Damn. Day.
Side note: dad's brother has done all of this too. He was born with hemophilia, was infected with Hepatitis C, cured of Hepatitis C, developed liver cancer from the scarring caused by the Hepatitis C and succesfully received a liver transplant. Not to mention the two knee reconstructions along the way.. dad only needed one knee replaced. Lucky, right!?
The purpose of this story is 1. For me to write down my feelings so I don't explode, 2. Tell dad's story because with all the ups and downs, it's still pretty great and 3. Give you a reason to care about the UK enquiry and encourage Australia to do the same.
You've probably never heard a story from someone directly affected by the contaminated blood scandal but now you have. 
I'm not saying dad's life would have been easy anyway but a hell of a lot easier without this injustice.
The Red Cross has never apologised. The recommendations from the Australian enquiry were never executed and no support has ever been provided to dad. No compensation. No admission of negligence nor has any government agency or body admitted they did the wrong thing. Dad still has health records missing from crucial years, as do many people in the U.K.
When I think of injustices and shameful times in our history, I think of 100 plus years ago. I naively think that with modern medicine and technology and accountability, innocent people aren't wronged by the same individuals we elect and trust to protect us. But this happened a mere 35 years ago all over the world.
Those who do not remember their past are condemned to repeat their mistakes.
Thank you for reading.
If you would like anymore info, or just want to chat I'd love to hear from you. 
I have sources and documentaries I can recommend but its 4am in Australia and I feel like I can finally sleep.</t>
        </is>
      </c>
      <c r="D9515" t="n">
        <v>1</v>
      </c>
      <c r="E9515" t="n">
        <v>10</v>
      </c>
      <c r="F9515">
        <f>HYPERLINK("https://www.reddit.com/r/cancer/comments/gsbm7j/contaminated_blood_transfer_leads_to_dads_cancer/")</f>
        <v/>
      </c>
      <c r="G9515" t="inlineStr">
        <is>
          <t>2020-05-28 11:22:17</t>
        </is>
      </c>
      <c r="H9515" t="inlineStr"/>
    </row>
    <row r="9516">
      <c r="A9516" t="inlineStr">
        <is>
          <t>gsbpbj</t>
        </is>
      </c>
      <c r="B9516" t="inlineStr">
        <is>
          <t>Death</t>
        </is>
      </c>
      <c r="C9516" t="inlineStr">
        <is>
          <t>My dad has glioblastoma. brain cancer that is terminal. He found out last September 2019 and he passed away last night. We didn’t expect him to pass so soon. He walked in the hospital with a few blood clots and chest pains and didn’t wake up. I’m devastated.</t>
        </is>
      </c>
      <c r="D9516" t="n">
        <v>1</v>
      </c>
      <c r="E9516" t="n">
        <v>10</v>
      </c>
      <c r="F9516">
        <f>HYPERLINK("https://www.reddit.com/r/cancer/comments/gsbpbj/death/")</f>
        <v/>
      </c>
      <c r="G9516" t="inlineStr">
        <is>
          <t>2020-05-28 11:26:31</t>
        </is>
      </c>
      <c r="H9516" t="inlineStr"/>
    </row>
    <row r="9517">
      <c r="A9517" t="inlineStr">
        <is>
          <t>gsccqx</t>
        </is>
      </c>
      <c r="B9517" t="inlineStr">
        <is>
          <t>A survey for my anthropology class</t>
        </is>
      </c>
      <c r="C9517" t="inlineStr">
        <is>
          <t>I hope this doesn't go against community rules but I'm recently in remission from Hodgkin's, and I'm finally back in school taking an anthropology class. I'm doing my final project on the affects of the pandemic on cancer patients, specifically relating to economic class. If you have time, I have a couple questions kinda like a survey:
1. Have you every worried about how you will afford your cancer treatment?
2. How would you describe your economic class? (Lower middle, middle, upper middle, etc)
3. How has the pandemic affected your cancer treatment?
4. What measures are you taking to protect yourself from the virus?
5. Does your community have good access to healthcare in your opinion? ( Good oncologist, hospitals, clinics, etc.)
6. Are you currently working outside your home?
Answer as many questions as you want in the comments or you could email me your answers at miettemeow@gmail.com 
By commenting you give me permission to quote you for my essay ( only my instructor will read it)</t>
        </is>
      </c>
      <c r="D9517" t="n">
        <v>1</v>
      </c>
      <c r="E9517" t="n">
        <v>0</v>
      </c>
      <c r="F9517">
        <f>HYPERLINK("https://www.reddit.com/r/cancer/comments/gsccqx/a_survey_for_my_anthropology_class/")</f>
        <v/>
      </c>
      <c r="G9517" t="inlineStr">
        <is>
          <t>2020-05-28 11:59:41</t>
        </is>
      </c>
      <c r="H9517" t="inlineStr"/>
    </row>
    <row r="9518">
      <c r="A9518" t="inlineStr">
        <is>
          <t>gsd212</t>
        </is>
      </c>
      <c r="B9518" t="inlineStr">
        <is>
          <t>Has anybody heard of the Maruyama Vaccine?</t>
        </is>
      </c>
      <c r="C9518" t="inlineStr">
        <is>
          <t>Has anyone come across this before? Apparently it's a vaccine based on the use of TB as an immunotherapy agent. It was invented in Japan by Dr Chisato Maruyama at the Nippon Medical School Hospital in Tokyo. 
I heard about it because my mum has lung cancer which has now spread, and we met someone who purchased this vaccine (multiple vials) from Japan and shipped it to Greece for his mother who had cancer. Apparently his mother's cancer had also spread and this vaccine really helped her even with the cancer spread to the liver and pancreas....
I don't know how much of this is true but I was wondering if anyone else has come across it. I got in touch with the Japanese Embassy who re-directed me to the Nippon Medical School Hospital in Tokyo, but the info in English is very limited. 
I would really appreciate any info.</t>
        </is>
      </c>
      <c r="D9518" t="n">
        <v>1</v>
      </c>
      <c r="E9518" t="n">
        <v>6</v>
      </c>
      <c r="F9518">
        <f>HYPERLINK("https://www.reddit.com/r/cancer/comments/gsd212/has_anybody_heard_of_the_maruyama_vaccine/")</f>
        <v/>
      </c>
      <c r="G9518" t="inlineStr">
        <is>
          <t>2020-05-28 12:34:32</t>
        </is>
      </c>
      <c r="H9518" t="inlineStr"/>
    </row>
    <row r="9519">
      <c r="A9519" t="inlineStr">
        <is>
          <t>gsdp4e</t>
        </is>
      </c>
      <c r="B9519" t="inlineStr">
        <is>
          <t>Welcome to /R/Cancer, sorry you're here. Please read our sidebar before submitting any posts!</t>
        </is>
      </c>
      <c r="C9519" t="inlineStr">
        <is>
          <t>Hey all, please take a second to read our rules before making any post here. Specifically please don't ask us if you have cancer. We're not doctors and we can't diagnose you. This is a place for people who have already been diagnosed to find support and camaraderie. Thanks!</t>
        </is>
      </c>
      <c r="D9519" t="n">
        <v>1</v>
      </c>
      <c r="E9519" t="n">
        <v>2</v>
      </c>
      <c r="F9519">
        <f>HYPERLINK("https://www.reddit.com/r/cancer/comments/gsdp4e/welcome_to_rcancer_sorry_youre_here_please_read/")</f>
        <v/>
      </c>
      <c r="G9519" t="inlineStr">
        <is>
          <t>2020-05-28 13:06:33</t>
        </is>
      </c>
      <c r="H9519" t="inlineStr"/>
    </row>
    <row r="9520">
      <c r="A9520" t="inlineStr">
        <is>
          <t>gshzyx</t>
        </is>
      </c>
      <c r="B9520" t="inlineStr">
        <is>
          <t>My hair is finally coming back!!/mini vent.</t>
        </is>
      </c>
      <c r="C9520" t="inlineStr">
        <is>
          <t>Not to brag but I just had to share some good news FINALLY!! MY HAIR IS COMING BACK!!!!
&amp;amp;#x200B;
I finished chemo last month and have been eagerly awaiting for my hair to come back. I was bald for 2 months, I never noticed how much heat is lost through the head. It started out very thin...I honestly thought there is no way that is going to get thicker. But a little over a month and its a very short buzzcut. I just need to get through this radiation - it ends on June 22nd.
&amp;amp;#x200B;
Once radiation is over, AND my chemo port is removed \[UGHH I WANT THIS THING OUT OF ME!! I will fight to get this removed as soon as possible! - even if I have to sign a waver for the doctor to do it, and go against their orders\] - I WILL GO ON A 2 WEEK VACATION - MAKING SURE NO HOSPITAL VISITS ARE NEEDED WITHIN THE TIME RANGE!!!!! I do not want to go for a checkup, I don't want any tests, I don't even want a phonecall from the doctor. I want to sit on my ass, watch TV, and enjoy my beer or two (oncologist said its okay to drink beer), eating pizza and wings, doing whatever my cold, selfish, dark heart desires....I "might" be seen as a jerk for how selfish I plan on being....but honestly I will do ONLY what I want....not what family or friends want - I did enough of what they want which was to seek treatment....NOW it is my turn!!!
&amp;amp;#x200B;
32 years old, and fighting male breast cancer....I NEED ME TIME!!!!! I need to be a selfish asshole!!!!! ME ME ME!!!!!!</t>
        </is>
      </c>
      <c r="D9520" t="n">
        <v>1</v>
      </c>
      <c r="E9520" t="n">
        <v>5</v>
      </c>
      <c r="F9520">
        <f>HYPERLINK("https://www.reddit.com/r/cancer/comments/gshzyx/my_hair_is_finally_coming_backmini_vent/")</f>
        <v/>
      </c>
      <c r="G9520" t="inlineStr">
        <is>
          <t>2020-05-28 17:04:57</t>
        </is>
      </c>
      <c r="H9520" t="inlineStr"/>
    </row>
    <row r="9521">
      <c r="A9521" t="inlineStr">
        <is>
          <t>gsi928</t>
        </is>
      </c>
      <c r="B9521" t="inlineStr">
        <is>
          <t>Keytruda + Yervoy for stage IV cervical cancer??</t>
        </is>
      </c>
      <c r="C9521" t="inlineStr">
        <is>
          <t>Hey y’all 👋 
First time poster, long time lurker. So my mom was diagnosed back in October with metastatic cervical cancer (Mets to lungs) after an almost 2 year long misdiagnosis (they didn’t recommend a Pap smear when she initially had symptoms since she did one the year before and just diagnosed her as premenopausal - gave her hormones). She’s an Asian Muslim woman so I’m not surprised that they kept brushing her symptoms off, but can’t help but be annoyed at our broken system... She went through a pretty intense chemo regimen with cisplatin, taxol, etoposide, and carboplatin and unfortunately after 19 treatments it didn’t seem to be working. Small tumors in her lungs and new tumors on her liver. She also did 25 rounds of radiation and that seemed to have shrunk the mass in her cervix. 
She just finished her 3rd keytruda treatment and 2nd with Yervoy today. I haven’t seen much information/experiences of people who have done this treatment so I’m just wondering if anyone has anything to share. 
So far she does not have any side effects other than chronic neuropathy (probably from cisplatin) and fatigue. But other than that she’s been feeling way better than when she was on chemo. She has progress scans in a few weeks so I’ll definitely update if anyone is interested. I’m trying not to get my hopes up because of where it has spread but seeing her be almost just as active as she was before chemo just brings so much joy to our family and definitely has improved her quality of life. Please tell me your stories!! 
BTW she makes YouTube vlogs of all her treatments so if you want to check it out YouTube Yuyun’s Journey.</t>
        </is>
      </c>
      <c r="D9521" t="n">
        <v>1</v>
      </c>
      <c r="E9521" t="n">
        <v>2</v>
      </c>
      <c r="F9521">
        <f>HYPERLINK("https://www.reddit.com/r/cancer/comments/gsi928/keytruda_yervoy_for_stage_iv_cervical_cancer/")</f>
        <v/>
      </c>
      <c r="G9521" t="inlineStr">
        <is>
          <t>2020-05-28 17:20:08</t>
        </is>
      </c>
      <c r="H9521" t="inlineStr"/>
    </row>
    <row r="9522">
      <c r="A9522" t="inlineStr">
        <is>
          <t>gsjem2</t>
        </is>
      </c>
      <c r="B9522" t="inlineStr">
        <is>
          <t>Mtscc (kidney cancer) diagnosis</t>
        </is>
      </c>
      <c r="C9522" t="inlineStr">
        <is>
          <t>My saint of a grandmother was recently diagnosed with this mf. 
I am heartbroken, I feel perpetually like I got the air knocked out of me. How can I make these last days the best days?</t>
        </is>
      </c>
      <c r="D9522" t="n">
        <v>1</v>
      </c>
      <c r="E9522" t="n">
        <v>5</v>
      </c>
      <c r="F9522">
        <f>HYPERLINK("https://www.reddit.com/r/cancer/comments/gsjem2/mtscc_kidney_cancer_diagnosis/")</f>
        <v/>
      </c>
      <c r="G9522" t="inlineStr">
        <is>
          <t>2020-05-28 18:33:25</t>
        </is>
      </c>
      <c r="H9522" t="inlineStr"/>
    </row>
    <row r="9523">
      <c r="A9523" t="inlineStr">
        <is>
          <t>gskgsm</t>
        </is>
      </c>
      <c r="B9523" t="inlineStr">
        <is>
          <t>Does anyone know of any online community of cancer researchers?</t>
        </is>
      </c>
      <c r="C9523" t="inlineStr">
        <is>
          <t>Hi!
I'm a grad student at MIT, and I do scientific research on a daily basis, related to many fields of study. I've just had a family member diagnosed with a rare form of cancer (which to me sounds like "poorly studied due to there being bigger fish to fry") and I was wondering if there were any research communities I could speak with where I could find resources related to this form of cancer, and begin investigating the details of it and see if there might be some sort of vulnerability. I'm going to call the doctor tomorrow and ask if I can have copies of every test result to start determining things like cell details and study up on chemical compositions to determine whether I can find a remedy. I realize it's unlikely I'll be able to do something that specialized doctors can't, but I feel like it's worth a shot. At the very least, maybe I'll find something that can help someone else.
If someone knows of any discussion groups or something that I could integrate with, that would be great to have people to consult with.
Thank you!</t>
        </is>
      </c>
      <c r="D9523" t="n">
        <v>1</v>
      </c>
      <c r="E9523" t="n">
        <v>1</v>
      </c>
      <c r="F9523">
        <f>HYPERLINK("https://www.reddit.com/r/cancer/comments/gskgsm/does_anyone_know_of_any_online_community_of/")</f>
        <v/>
      </c>
      <c r="G9523" t="inlineStr">
        <is>
          <t>2020-05-28 19:44:30</t>
        </is>
      </c>
      <c r="H9523" t="inlineStr"/>
    </row>
    <row r="9524">
      <c r="A9524" t="inlineStr">
        <is>
          <t>gsknz0</t>
        </is>
      </c>
      <c r="B9524" t="inlineStr">
        <is>
          <t>All Clear, And mildly guilty.</t>
        </is>
      </c>
      <c r="C9524" t="inlineStr">
        <is>
          <t>So I posted about a month ago that I had a check up coming up. It’s been two years since my diagnosis. Well I met with my Oncologist this week, and all my scans came back clear. No more cancer. While My family and I are ecstatic, I can’t help but feel a bit guilty. 
I never had this big cancer scare people talk about. I went into the doctor, and was having surgery to remove it before we even knew it was cancer for sure. Yeah we had our suspicions, and even the doctor said it probably was before the surgery. But we didn’t know until a week after the surgery. And by then, then tumor was already removed. 
Now I’m sitting here feeling guilty because I was able to beat my cancer with minimal effort on my part. I know people and have watched family members suffer and fight for years. Some have beat it, others like my grandma lost their fight. 
So why was it so simple for me? Someone who is younger (35M) and stronger, I would have rather had the fight, than watching my grandma suffer and fight for years.</t>
        </is>
      </c>
      <c r="D9524" t="n">
        <v>1</v>
      </c>
      <c r="E9524" t="n">
        <v>4</v>
      </c>
      <c r="F9524">
        <f>HYPERLINK("https://www.reddit.com/r/cancer/comments/gsknz0/all_clear_and_mildly_guilty/")</f>
        <v/>
      </c>
      <c r="G9524" t="inlineStr">
        <is>
          <t>2020-05-28 19:58:11</t>
        </is>
      </c>
      <c r="H9524" t="inlineStr"/>
    </row>
    <row r="9525">
      <c r="A9525" t="inlineStr">
        <is>
          <t>gskoh9</t>
        </is>
      </c>
      <c r="B9525" t="inlineStr">
        <is>
          <t>My mom got ovary cancer and i cannot be with her</t>
        </is>
      </c>
      <c r="C9525" t="inlineStr">
        <is>
          <t>Hi guys,
Just this weekend I came to know that my mom got ovary cancer. She got fluid in abdomen. She didn't have any pre-existing conditions. She was just feeling uneasy in stomach so went to doctor and they discovered fluid and ovary cancer.
I don't know what to do? How bad is it?
I am not able to think anything other than the worst</t>
        </is>
      </c>
      <c r="D9525" t="n">
        <v>1</v>
      </c>
      <c r="E9525" t="n">
        <v>3</v>
      </c>
      <c r="F9525">
        <f>HYPERLINK("https://www.reddit.com/r/cancer/comments/gskoh9/my_mom_got_ovary_cancer_and_i_cannot_be_with_her/")</f>
        <v/>
      </c>
      <c r="G9525" t="inlineStr">
        <is>
          <t>2020-05-28 19:59:11</t>
        </is>
      </c>
      <c r="H9525" t="inlineStr"/>
    </row>
    <row r="9526">
      <c r="A9526" t="inlineStr">
        <is>
          <t>gsl623</t>
        </is>
      </c>
      <c r="B9526" t="inlineStr">
        <is>
          <t>Survived my first round of chemo</t>
        </is>
      </c>
      <c r="C9526" t="inlineStr">
        <is>
          <t>Had my first round of chemo (Folfox) last week and oh boy it was a doozy. Almost immediately I got the neuropathy. What surprised me was not being able to drink cold water. The second and third day I slept and had terrible nausea. By the time I was unhooked I couldn’t keep anything down. Anti nausea meds helped a little. Another thing that was surprising was how exhausted I was. I would just sleep most of the day and night. The doctors said this specific chemo would spare my hair but I have noticed after showers a lot of hair loss, like more than usual. Is it possible that this is from the chemo?
Also I was wondering if anyone had advice on how to get my GoFundMe more traffic. I don’t have enough comment karma to post it here. A friend tried to post it to help me out without letting me know. At the same time I posted it (before I realized it was comment karma not total karma). I guess it looked suspicious so now I am banned from the groups. 😭 
If it weren’t for bad luck I wouldn’t have any luck at all.</t>
        </is>
      </c>
      <c r="D9526" t="n">
        <v>1</v>
      </c>
      <c r="E9526" t="n">
        <v>5</v>
      </c>
      <c r="F9526">
        <f>HYPERLINK("https://www.reddit.com/r/cancer/comments/gsl623/survived_my_first_round_of_chemo/")</f>
        <v/>
      </c>
      <c r="G9526" t="inlineStr">
        <is>
          <t>2020-05-28 20:33:10</t>
        </is>
      </c>
      <c r="H9526" t="inlineStr"/>
    </row>
    <row r="9527">
      <c r="A9527" t="inlineStr">
        <is>
          <t>gslz5e</t>
        </is>
      </c>
      <c r="B9527" t="inlineStr">
        <is>
          <t>Questions about donating hair.</t>
        </is>
      </c>
      <c r="C9527" t="inlineStr">
        <is>
          <t>Hey reddit,
I’ve been growing my hair out for a few years with the hopes of donating it to an individual undergoing chemotherapy. I was curious if there was any consensus in the community about what organizations / methods are the best for donating. (I live in Utah, in the United States)
Thanks!</t>
        </is>
      </c>
      <c r="D9527" t="n">
        <v>1</v>
      </c>
      <c r="E9527" t="n">
        <v>0</v>
      </c>
      <c r="F9527">
        <f>HYPERLINK("https://www.reddit.com/r/cancer/comments/gslz5e/questions_about_donating_hair/")</f>
        <v/>
      </c>
      <c r="G9527" t="inlineStr">
        <is>
          <t>2020-05-28 21:29:50</t>
        </is>
      </c>
      <c r="H9527" t="inlineStr"/>
    </row>
    <row r="9528">
      <c r="A9528" t="inlineStr">
        <is>
          <t>gsm95i</t>
        </is>
      </c>
      <c r="B9528" t="inlineStr">
        <is>
          <t>I have a quick question</t>
        </is>
      </c>
      <c r="C9528" t="inlineStr">
        <is>
          <t>Sorry if this is the wrong sub to be asking this question but I was just wondering when I should be screened for cancer or go to a geneticist. I'm 18 right now and probably worrying about this too early but my dad died at 44 of colon cancer that spread (he didn't tell anyone and we think he hid it for years), he smoked, took bad drugs and such. My mother had thyroid cancer too. Thanks for your time!</t>
        </is>
      </c>
      <c r="D9528" t="n">
        <v>1</v>
      </c>
      <c r="E9528" t="n">
        <v>0</v>
      </c>
      <c r="F9528">
        <f>HYPERLINK("https://www.reddit.com/r/cancer/comments/gsm95i/i_have_a_quick_question/")</f>
        <v/>
      </c>
      <c r="G9528" t="inlineStr">
        <is>
          <t>2020-05-28 21:50:34</t>
        </is>
      </c>
      <c r="H9528" t="inlineStr"/>
    </row>
    <row r="9529">
      <c r="A9529" t="inlineStr">
        <is>
          <t>gsmzuw</t>
        </is>
      </c>
      <c r="B9529" t="inlineStr">
        <is>
          <t>In need of some advice to navigate through chaos.</t>
        </is>
      </c>
      <c r="C9529" t="inlineStr">
        <is>
          <t>Hi. 
So both of my parents are hospitalized. My mom was hospitalized for Covid and she has been in the hospital for about four weeks. She will have to undergo rehabilitation for 4-6 weeks before she returns home. 
Meanwhile, my dad also suffered from Covid and now has been diagnosed with stage 4 head and neck cancer. 
I am in my early twenties away at college. I am now planning on moving back home to help my dad navigate with her cancer treatment when he is discharged from the hospital. Can anyone give me any sort of advice in moving forward with my well being while I am seeing my parents experience this severe suffering?</t>
        </is>
      </c>
      <c r="D9529" t="n">
        <v>1</v>
      </c>
      <c r="E9529" t="n">
        <v>1</v>
      </c>
      <c r="F9529">
        <f>HYPERLINK("https://www.reddit.com/r/cancer/comments/gsmzuw/in_need_of_some_advice_to_navigate_through_chaos/")</f>
        <v/>
      </c>
      <c r="G9529" t="inlineStr">
        <is>
          <t>2020-05-28 22:47:20</t>
        </is>
      </c>
      <c r="H9529" t="inlineStr"/>
    </row>
    <row r="9530">
      <c r="A9530" t="inlineStr">
        <is>
          <t>gsojv9</t>
        </is>
      </c>
      <c r="B9530" t="inlineStr">
        <is>
          <t>About to start radiation on my spinal cord</t>
        </is>
      </c>
      <c r="C9530" t="inlineStr">
        <is>
          <t>I have a rare CNS cancer on my spinal cord. Two years ago they did a partial resection hoping they got enough to alleviate the symptoms and hope it would not continue to grow. I just had a child and had a 1 Year MRI and it showed growth. Is there anybody out there who has had radiation on their spinal cord that can tell me your experience?</t>
        </is>
      </c>
      <c r="D9530" t="n">
        <v>1</v>
      </c>
      <c r="E9530" t="n">
        <v>3</v>
      </c>
      <c r="F9530">
        <f>HYPERLINK("https://www.reddit.com/r/cancer/comments/gsojv9/about_to_start_radiation_on_my_spinal_cord/")</f>
        <v/>
      </c>
      <c r="G9530" t="inlineStr">
        <is>
          <t>2020-05-29 00:52:10</t>
        </is>
      </c>
      <c r="H9530" t="inlineStr"/>
    </row>
    <row r="9531">
      <c r="A9531" t="inlineStr">
        <is>
          <t>gsp4vf</t>
        </is>
      </c>
      <c r="B9531" t="inlineStr">
        <is>
          <t>Censoring risk?</t>
        </is>
      </c>
      <c r="C9531" t="inlineStr">
        <is>
          <t>Posted an article about covid risks for cancer patients based on two studies. Unless those studies were faulty in some way I don’t see why you would take down information that’s very important for us to know.</t>
        </is>
      </c>
      <c r="D9531" t="n">
        <v>1</v>
      </c>
      <c r="E9531" t="n">
        <v>17</v>
      </c>
      <c r="F9531">
        <f>HYPERLINK("https://www.reddit.com/r/cancer/comments/gsp4vf/censoring_risk/")</f>
        <v/>
      </c>
      <c r="G9531" t="inlineStr">
        <is>
          <t>2020-05-29 01:40:49</t>
        </is>
      </c>
      <c r="H9531" t="inlineStr"/>
    </row>
    <row r="9532">
      <c r="A9532" t="inlineStr">
        <is>
          <t>gsrgx4</t>
        </is>
      </c>
      <c r="B9532" t="inlineStr">
        <is>
          <t>Really nervous.</t>
        </is>
      </c>
      <c r="C9532" t="inlineStr">
        <is>
          <t>Hey folks, hope everyone is doing well.  I have a CT scan tomorrow and then a meeting with the doctor this coming Tuesday. I'm pretty nervous because I've been having pain and a number of other weird symptoms.  I don't know if I could do it again as far as chemo.  Please pray for me.</t>
        </is>
      </c>
      <c r="D9532" t="n">
        <v>1</v>
      </c>
      <c r="E9532" t="n">
        <v>2</v>
      </c>
      <c r="F9532">
        <f>HYPERLINK("https://www.reddit.com/r/cancer/comments/gsrgx4/really_nervous/")</f>
        <v/>
      </c>
      <c r="G9532" t="inlineStr">
        <is>
          <t>2020-05-29 04:45:45</t>
        </is>
      </c>
      <c r="H9532" t="inlineStr"/>
    </row>
    <row r="9533">
      <c r="A9533" t="inlineStr">
        <is>
          <t>gssgp4</t>
        </is>
      </c>
      <c r="B9533" t="inlineStr">
        <is>
          <t>Confused about how to proceed with second opinion?</t>
        </is>
      </c>
      <c r="C9533" t="inlineStr">
        <is>
          <t>Background: uncle has incurable form of cancer. Local physicians have ran out of options. Just treating symptoms. We are based in Asia. I suggested to my uncle's wife (my aunt) we get a second opinion from a cancer hospital in the US.
Issue: my aunt says the following
1) there isn't a point of getting a second opinion in the US because (a) my uncle won't have the energy to head over for treatment even if it were available. (b) the covid-19 situation means that even if there is a treatment available and we go over, we may not be able to return
2) the same doctor has been treating my uncle over the past few years. If we bring up the idea of a second opinion, it might piss off the doctor and the last thing we want is to have to deal with a pissed off doctor or even worst, a new one.
I see things differently:
1) I want to know that we tried exploring alternatives. If it turns out the second opinion doesn't bring up any new exciting options. So be it. At least we can live with the fact that we tried our best.
2) Instead of the US, what about a major cancer centre in the region?
My question
1) how would you approach this?
Thanks.</t>
        </is>
      </c>
      <c r="D9533" t="n">
        <v>1</v>
      </c>
      <c r="E9533" t="n">
        <v>17</v>
      </c>
      <c r="F9533">
        <f>HYPERLINK("https://www.reddit.com/r/cancer/comments/gssgp4/confused_about_how_to_proceed_with_second_opinion/")</f>
        <v/>
      </c>
      <c r="G9533" t="inlineStr">
        <is>
          <t>2020-05-29 05:53:06</t>
        </is>
      </c>
      <c r="H9533" t="inlineStr"/>
    </row>
    <row r="9534">
      <c r="A9534" t="inlineStr">
        <is>
          <t>gsu02i</t>
        </is>
      </c>
      <c r="B9534" t="inlineStr">
        <is>
          <t>Please help</t>
        </is>
      </c>
      <c r="C9534" t="inlineStr">
        <is>
          <t>I have 3 lump looking things near my groin and lower stomach I’m 15 year old and I’m not sure wether it’s cancerous or if it’s a cyst anyone able to give advice I feel completely fine and have no symptoms but you never know and I have been stressing a lot</t>
        </is>
      </c>
      <c r="D9534" t="n">
        <v>1</v>
      </c>
      <c r="E9534" t="n">
        <v>1</v>
      </c>
      <c r="F9534">
        <f>HYPERLINK("https://www.reddit.com/r/cancer/comments/gsu02i/please_help/")</f>
        <v/>
      </c>
      <c r="G9534" t="inlineStr">
        <is>
          <t>2020-05-29 07:29:09</t>
        </is>
      </c>
      <c r="H9534" t="inlineStr"/>
    </row>
    <row r="9535">
      <c r="A9535" t="inlineStr">
        <is>
          <t>gsutga</t>
        </is>
      </c>
      <c r="B9535" t="inlineStr">
        <is>
          <t>Anyone here taking Immunotherapy?? Small Question</t>
        </is>
      </c>
      <c r="C9535" t="inlineStr">
        <is>
          <t>Hey all,
Just recently began immunotherapy, I’ve had chemoradiotherapy in the past, pretty heavy doses of chemo, cisplatin + gemcetabine, I’m just curious I was told the immunotherapy is a lot more tolerable than chemo and for the most part it is but this fatigue is crippling, I’m on day 3 after taking it for the first time and I’ve been sleeping 90% of the day and in bed all day, with chemo I found by day 3 my fatigue starts to get better and I can slowly resume normal activities, does anyone know what’s the rough time frame on immunotherapy?? The drug  I’m taking is Avelumab to be exact,
Thanks,</t>
        </is>
      </c>
      <c r="D9535" t="n">
        <v>1</v>
      </c>
      <c r="E9535" t="n">
        <v>5</v>
      </c>
      <c r="F9535">
        <f>HYPERLINK("https://www.reddit.com/r/cancer/comments/gsutga/anyone_here_taking_immunotherapy_small_question/")</f>
        <v/>
      </c>
      <c r="G9535" t="inlineStr">
        <is>
          <t>2020-05-29 08:15:42</t>
        </is>
      </c>
      <c r="H9535" t="inlineStr"/>
    </row>
    <row r="9536">
      <c r="A9536" t="inlineStr">
        <is>
          <t>gsvyyg</t>
        </is>
      </c>
      <c r="B9536" t="inlineStr">
        <is>
          <t>I’m nervous</t>
        </is>
      </c>
      <c r="C9536" t="inlineStr">
        <is>
          <t>So I finally went to the doctors yesterday. A few months ago I found a lump on my forehead and didn’t really think much of it. I started noticing recently that I’ve been experiencing more headaches, my vision is getting worse, and my hearing isn’t very good. I ignored them because 1) I’ve always gotten headaches 2) I wear glasses 3) hearing loss runs in my family. I noticed they seemed to be getting worse in the past few months, but I didn’t think anything of it because I didn’t want to overreact. I then realized I was experiencing short term memory loss. I would have a conversation with someone and then try to tell someone else about the conversation and I couldn’t remember anything that was said. I would keep saying “I forget, but the conversation went well”. I would forget what was said within minutes of a conversation happening. This is a new sensation for me because I’ve always had an incredible memory, almost to the point it’s a personality trait. So I finally went to the doctors and we were discussing everything. Towards the end of the appointment I asked him if he needed to feel the bumps and he said no because he could see them. I don’t know if this is concerning or not. I just don’t know. I’m getting an MRI of the brain. I can’t imagine having cancer. I don’t know what I would do. I keep thinking to myself there is no way I have it and the chances of me having it are so small. I’m nervous about the MRI and what my results will be.</t>
        </is>
      </c>
      <c r="D9536" t="n">
        <v>2</v>
      </c>
      <c r="E9536" t="n">
        <v>5</v>
      </c>
      <c r="F9536">
        <f>HYPERLINK("https://www.reddit.com/r/cancer/comments/gsvyyg/im_nervous/")</f>
        <v/>
      </c>
      <c r="G9536" t="inlineStr">
        <is>
          <t>2020-05-29 09:19:35</t>
        </is>
      </c>
      <c r="H9536" t="inlineStr"/>
    </row>
    <row r="9537">
      <c r="A9537" t="inlineStr">
        <is>
          <t>gsxpbs</t>
        </is>
      </c>
      <c r="B9537" t="inlineStr">
        <is>
          <t>Platelet Count Down</t>
        </is>
      </c>
      <c r="C9537" t="inlineStr">
        <is>
          <t>My dad couldn't do his chemo treatment this past Tuesday due to his platelet count being too low. So they just tacked it on the end and now his treatment will obviously be extended a week. The platelets.....is this bad? Good? Normal? He does chemo once a week, radiation 5 days a week. 62yrs old. 
Other than this, he seems to be doing alright other than just being annoyed about this. Still tries to be active. Still trying to eat normal food and not using his feeding tube the entire time. But just wanted to ask about this.</t>
        </is>
      </c>
      <c r="D9537" t="n">
        <v>1</v>
      </c>
      <c r="E9537" t="n">
        <v>4</v>
      </c>
      <c r="F9537">
        <f>HYPERLINK("https://www.reddit.com/r/cancer/comments/gsxpbs/platelet_count_down/")</f>
        <v/>
      </c>
      <c r="G9537" t="inlineStr">
        <is>
          <t>2020-05-29 10:52:43</t>
        </is>
      </c>
      <c r="H9537" t="inlineStr"/>
    </row>
    <row r="9538">
      <c r="A9538" t="inlineStr">
        <is>
          <t>gsyav2</t>
        </is>
      </c>
      <c r="B9538" t="inlineStr">
        <is>
          <t>What were/are your chemotherapy sensory perceptions?</t>
        </is>
      </c>
      <c r="C9538" t="inlineStr">
        <is>
          <t>Please share what senses you experience during chemotherapy. These can be sights, sounds, smells, tastes, temperatures, and texture/touch sensations. What stood out to you during your experience?</t>
        </is>
      </c>
      <c r="D9538" t="n">
        <v>1</v>
      </c>
      <c r="E9538" t="n">
        <v>4</v>
      </c>
      <c r="F9538">
        <f>HYPERLINK("https://www.reddit.com/r/cancer/comments/gsyav2/what_wereare_your_chemotherapy_sensory_perceptions/")</f>
        <v/>
      </c>
      <c r="G9538" t="inlineStr">
        <is>
          <t>2020-05-29 11:24:24</t>
        </is>
      </c>
      <c r="H9538" t="inlineStr"/>
    </row>
    <row r="9539">
      <c r="A9539" t="inlineStr">
        <is>
          <t>gsyx7v</t>
        </is>
      </c>
      <c r="B9539" t="inlineStr">
        <is>
          <t>Help with a website</t>
        </is>
      </c>
      <c r="C9539" t="inlineStr">
        <is>
          <t>I can’t think of the name of the website. It’s designed to be used to schedule meals for a month or two for someone whom is going through treatments. I’ve seen it before and I can’t remember it. Not sure if this allowed but any help is appreciated!!!! Best of luck everyone❤️</t>
        </is>
      </c>
      <c r="D9539" t="n">
        <v>1</v>
      </c>
      <c r="E9539" t="n">
        <v>2</v>
      </c>
      <c r="F9539">
        <f>HYPERLINK("https://www.reddit.com/r/cancer/comments/gsyx7v/help_with_a_website/")</f>
        <v/>
      </c>
      <c r="G9539" t="inlineStr">
        <is>
          <t>2020-05-29 11:57:47</t>
        </is>
      </c>
      <c r="H9539" t="inlineStr"/>
    </row>
    <row r="9540">
      <c r="A9540" t="inlineStr">
        <is>
          <t>gt02ot</t>
        </is>
      </c>
      <c r="B9540" t="inlineStr">
        <is>
          <t>How do you handle that sense of impending doom</t>
        </is>
      </c>
      <c r="C9540" t="inlineStr">
        <is>
          <t>I was diagnosed with pancreatic cancer last week and I’m so worried and depressed and I can’t even comprehend it. I’m almost 18 but I feel like I haven’t lived my life at all and I feel like I’m never going to. It’s regional so I have a chance but I don’t want to get my hopes up. I don’t want to give up completely either and it’s only been a week but it’s so hard and confusing and I am probably over reacting but I’m finding out about it all so fast. I’ve never had any issues with depression in the past but I’ve been experiencing this feeling that I can only describe as a sense of doom, I feel so anxious about so many things and all around sad. I plan on telling my doctor about this at my next appointment but I feel hopeless and like there’s nothing that can help.</t>
        </is>
      </c>
      <c r="D9540" t="n">
        <v>1</v>
      </c>
      <c r="E9540" t="n">
        <v>6</v>
      </c>
      <c r="F9540">
        <f>HYPERLINK("https://www.reddit.com/r/cancer/comments/gt02ot/how_do_you_handle_that_sense_of_impending_doom/")</f>
        <v/>
      </c>
      <c r="G9540" t="inlineStr">
        <is>
          <t>2020-05-29 12:58:08</t>
        </is>
      </c>
      <c r="H9540" t="inlineStr"/>
    </row>
    <row r="9541">
      <c r="A9541" t="inlineStr">
        <is>
          <t>gt2uvs</t>
        </is>
      </c>
      <c r="B9541" t="inlineStr">
        <is>
          <t>No.... I don't want a warm blanket</t>
        </is>
      </c>
      <c r="C9541" t="inlineStr">
        <is>
          <t>Seriously it's summer... It's hot out... I don't need a warm blanket for radiation.</t>
        </is>
      </c>
      <c r="D9541" t="n">
        <v>1</v>
      </c>
      <c r="E9541" t="n">
        <v>4</v>
      </c>
      <c r="F9541">
        <f>HYPERLINK("https://www.reddit.com/r/cancer/comments/gt2uvs/no_i_dont_want_a_warm_blanket/")</f>
        <v/>
      </c>
      <c r="G9541" t="inlineStr">
        <is>
          <t>2020-05-29 15:35:20</t>
        </is>
      </c>
      <c r="H9541" t="inlineStr"/>
    </row>
    <row r="9542">
      <c r="A9542" t="inlineStr">
        <is>
          <t>gt2weg</t>
        </is>
      </c>
      <c r="B9542" t="inlineStr">
        <is>
          <t>I feel so alone with this rare cancer</t>
        </is>
      </c>
      <c r="C9542" t="inlineStr">
        <is>
          <t>I have Granulosa Cell Carcinoma. It’s a rare ovarian cancer that usually affects women post menopause. I’m 34. I was 29 when I was first diagnosed and now, years later am experiencing a reoccurrence. 
I just got married last August and we were looking forward to having kids some day (soon). Our plans were derailed when a chance CT scan showed a cyst/tumor on my remaining ovary—the one I was promised would keep my fertility in tact when I lost the first one the first round. 
We were lucky to be able to do a few rounds of ovarian stimulation and got five embryos into the freezer before doing the second surgery, so I have five little chances of maybe having kids. It’s hopeful, but it’s not a lot of chances given low success rates 30%. 
But I feel alone. 
All the women I’ve connected with who have this type of cancer are older and not wanting kids or have had their babies. The few in their 30s have already have had kids and went with the full hysterectomy. 
It’s a blow. It makes me wish I had found my husband sooner—as if I had a choice in that. It makes me doubt everything I’ve done and shadows everything I want to do.</t>
        </is>
      </c>
      <c r="D9542" t="n">
        <v>1</v>
      </c>
      <c r="E9542" t="n">
        <v>8</v>
      </c>
      <c r="F9542">
        <f>HYPERLINK("https://www.reddit.com/r/cancer/comments/gt2weg/i_feel_so_alone_with_this_rare_cancer/")</f>
        <v/>
      </c>
      <c r="G9542" t="inlineStr">
        <is>
          <t>2020-05-29 15:37:50</t>
        </is>
      </c>
      <c r="H9542" t="inlineStr"/>
    </row>
    <row r="9543">
      <c r="A9543" t="inlineStr">
        <is>
          <t>gt30p5</t>
        </is>
      </c>
      <c r="B9543" t="inlineStr">
        <is>
          <t>On Wednesday, my girlfriend was diagnosed with her third cancer since 2018, she’s only 29.</t>
        </is>
      </c>
      <c r="C9543" t="inlineStr">
        <is>
          <t>I’ve been lurking here trying to find resources and answers, I reached out to someone from here via PM, but I decided to make a post. I thought about making a throwaway, but I’ll forget the password and frankly right now I don’t care if I post on my main account. I don’t know what to do, I’ve felt dread, worry, and depression in waves since Wednesday.
In 2018, she went to go get a lump on her left breast checked out. Turns out, it was a rare phyllodes tumor that they thought was benign, and it was removed. Turns out they got it wrong, it was the rarer malignant form. Pretty scary but no problem, they’ll go back and remove the margins and it should be gone.
Fast forward a few months and she complains of pain, turns out it came back already. She got it removed again and also received radiation treatment. We thought that would be the end of it. Seemingly unrelated, she fell and hit her right shoulder just before the radiation started. She was in a lot of pain, and we figured it was either a broken bone or an infection or something.
Problem is a lump grew and the pain never went away. Urgent care clinics ran x-rays and saw nothing wrong. Finally she was referred to an orthopedic and after a COVID delay ran an MRI and found a lesion by the collarbone, ran a biopsy and it turns out that, somehow, it’s spindle cell sarcoma.
I lost it. Every time it seems like it’s gone, it keeps coming back, and now it’s a whole new cancer. On Wednesday, the doctor said it looked unrelated to the breast cancer, but now today the nurse called and said they’re still trying to figure out if it’s related or not. I’ve been searching for and reading medical journal articles about both forms of cancer, and it always seems like it’s a poor outlook. If it’s the breast cancer, I’m assuming that means it’s an even poorer outlook because that means it’s spread somewhere else.
She’s starting chemo for the first time next week after a televisit with the doctor on Monday, then after three months the current plan is to remove the collarbone. That’s if it’s the sarcoma, if it’s the breast cancer I don’t know what happens next, they said the treatment may change.
I’m don’t want to lose her, it’s all I think about now. I wanted kids with her, we have a house meant to hold a family, I don’t want to keep living on this planet completely alone. I don’t want her to go. Everyone including the doctor says not to think about that, that the current plan is to treat the cancer and get rid of it, but after three times it’s all I can think about. I wanted to grow old together, and now it just keeps looking bleak.</t>
        </is>
      </c>
      <c r="D9543" t="n">
        <v>1</v>
      </c>
      <c r="E9543" t="n">
        <v>13</v>
      </c>
      <c r="F9543">
        <f>HYPERLINK("https://www.reddit.com/r/cancer/comments/gt30p5/on_wednesday_my_girlfriend_was_diagnosed_with_her/")</f>
        <v/>
      </c>
      <c r="G9543" t="inlineStr">
        <is>
          <t>2020-05-29 15:45:04</t>
        </is>
      </c>
      <c r="H9543" t="inlineStr"/>
    </row>
    <row r="9544">
      <c r="A9544" t="inlineStr">
        <is>
          <t>gt39lf</t>
        </is>
      </c>
      <c r="B9544" t="inlineStr">
        <is>
          <t>I am so scared. Family member with T1hg BC</t>
        </is>
      </c>
      <c r="C9544" t="inlineStr">
        <is>
          <t>Dr. Seems confident in treatment, but this goes in contrast with what I've read online. It is apparently in "one area" of bladder. Is treatment with gemcitabine enough after initial removal ? I am terrified at the idea of it progressing or metastesizing. I want him to do whatever is needed to prevent that completely. Is the only option radical cystectomy? I am so afraid because he may not be willing to do that if he thinks it can be treated conservatively. I have never been so afraid in my life, I feel completely alone and lost.</t>
        </is>
      </c>
      <c r="D9544" t="n">
        <v>1</v>
      </c>
      <c r="E9544" t="n">
        <v>2</v>
      </c>
      <c r="F9544">
        <f>HYPERLINK("https://www.reddit.com/r/cancer/comments/gt39lf/i_am_so_scared_family_member_with_t1hg_bc/")</f>
        <v/>
      </c>
      <c r="G9544" t="inlineStr">
        <is>
          <t>2020-05-29 16:00:36</t>
        </is>
      </c>
      <c r="H9544" t="inlineStr"/>
    </row>
    <row r="9545">
      <c r="A9545" t="inlineStr">
        <is>
          <t>gt5jtc</t>
        </is>
      </c>
      <c r="B9545" t="inlineStr">
        <is>
          <t>Does anyone have experience with CBD or THC products ?</t>
        </is>
      </c>
      <c r="C9545" t="inlineStr">
        <is>
          <t>Hi guys,
My Dad has stage 4 Colon cancer and is experiencing pretty severe nausea and loss of appetite. He’s currently taking on ondansetron 8 mg for nausea but isn’t really helping.
I’m pretty hesitate seeking outside products  that aren’t recommended by his oncologist since I’m not too familiar with the affects CBD or THC can have but curious as to if anyone in a similar situation has tried it and helped. 
Any advice is appreciated</t>
        </is>
      </c>
      <c r="D9545" t="n">
        <v>1</v>
      </c>
      <c r="E9545" t="n">
        <v>9</v>
      </c>
      <c r="F9545">
        <f>HYPERLINK("https://www.reddit.com/r/cancer/comments/gt5jtc/does_anyone_have_experience_with_cbd_or_thc/")</f>
        <v/>
      </c>
      <c r="G9545" t="inlineStr">
        <is>
          <t>2020-05-29 18:29:16</t>
        </is>
      </c>
      <c r="H9545" t="inlineStr"/>
    </row>
    <row r="9546">
      <c r="A9546" t="inlineStr">
        <is>
          <t>gt7bx7</t>
        </is>
      </c>
      <c r="B9546" t="inlineStr">
        <is>
          <t>How I healed from cancer naturally</t>
        </is>
      </c>
      <c r="C9546" t="inlineStr">
        <is>
          <t>Hi guys, been wanting to make this post for a while about some natural medicines that helped me heal from cancer. I have been researching for a while, I won't get into how it works, I'll just keep the list nice and short. You can PM me or comment If you want more info
1. Vitamin C: natural vitamin c is best. Camu camu berries, Amla, acerola Cherries, gubinge. They come in a powder which is nice and easy and you just mix a TSP with water and drink. If you can't find natural, use synthetic vitamin C. Sodium ascorbate works best. You don't produce your own and all cancer patients are deficient
2. Turmeric/Ginger/Black Pepper Tea: Take twice a day. You will feel amazing after having this tea
3. Black seed oil: Buy a bottle and have 2 tablespoons a day
4. Fasting: Especially if you are chemotherapy, fasting has been proven to reduce the harmful effects. Have 2 meals a day, breakfast and dinner, skip lunch and have a 6-8 hour break between meals. No in between snacking
5. Cannabis: If you are open to the idea, use cannabis as part of your treatment. Buy a vaporizer or use cannabis oil, it works by regulating your endocannabanoid system
6. Plant based diet: One of the most important things that healed me, animal protein and diary contain IGF-1 which is basically growth hormone for your tumors
7. Low carb diet: Limit sugar intake, even bread and rice can fuel cancer cells
8. Garlic: in the morning on an empty stomach, eat a clove of garlic. Peel and cut it, but let it sit for 15 minutes which increases the anti cancer effects. Or take a garlic supplement like I did if you can't handle the breath
9. Morniga and wheatgrass: Take Moringa and wheatgrass everyday
All the best guys.</t>
        </is>
      </c>
      <c r="D9546" t="n">
        <v>1</v>
      </c>
      <c r="E9546" t="n">
        <v>2</v>
      </c>
      <c r="F9546">
        <f>HYPERLINK("https://www.reddit.com/r/cancer/comments/gt7bx7/how_i_healed_from_cancer_naturally/")</f>
        <v/>
      </c>
      <c r="G9546" t="inlineStr">
        <is>
          <t>2020-05-29 20:34:06</t>
        </is>
      </c>
      <c r="H9546" t="inlineStr"/>
    </row>
    <row r="9547">
      <c r="A9547" t="inlineStr">
        <is>
          <t>gt7rh6</t>
        </is>
      </c>
      <c r="B9547" t="inlineStr">
        <is>
          <t>Post chemo hair care and style advice request</t>
        </is>
      </c>
      <c r="C9547" t="inlineStr">
        <is>
          <t>I finished chemo (AC+T) at the beginning of March. Just in the last week or so I reached the point where I have pretty full coverage, though it is still very short, maybe 1 cm. I am mid-30s, female, and single, so I want to figure out some ways to still look cute and have a bit of a social life (while also taking every Covid safety precaution). 
Does anyone have any suggestions for post chemo hair products? So far I am just using the tiniest bit of my old shampoo and conditioner every few days. I used to have waist length curly, but fine and leaning towards greasy hair. Now it is very course feeling and dry and it sticks straight up.
Does anyone have ideas for styling it as it gets a little longer? My city is still pretty shut down, so haircuts will be limited to what I can do at home myself.</t>
        </is>
      </c>
      <c r="D9547" t="n">
        <v>1</v>
      </c>
      <c r="E9547" t="n">
        <v>3</v>
      </c>
      <c r="F9547">
        <f>HYPERLINK("https://www.reddit.com/r/cancer/comments/gt7rh6/post_chemo_hair_care_and_style_advice_request/")</f>
        <v/>
      </c>
      <c r="G9547" t="inlineStr">
        <is>
          <t>2020-05-29 21:07:18</t>
        </is>
      </c>
      <c r="H9547" t="inlineStr"/>
    </row>
    <row r="9548">
      <c r="A9548" t="inlineStr">
        <is>
          <t>gta13q</t>
        </is>
      </c>
      <c r="B9548" t="inlineStr">
        <is>
          <t>5/29/20</t>
        </is>
      </c>
      <c r="C9548" t="inlineStr">
        <is>
          <t>I lost my daddy this morning. Cancer took over his whole body, it came aggressive and strong. To think that I only knew a part of what he was going through because he asked my mom to not let us see him in so much pain breaks my heart. To me, everything I saw was already so heartbreaking and painful to watch, my mom told me it was so hard for her to make excuses to get us out of the room for him to let his body just tense up in pain. At times he would tell me “hey mama can you step out of the room, I have to go potty” in reality his pain was coming in and it was so strong he couldn’t bear have us watch him go through it. His last two days he was gone and he was agonizing in pain but he was not all there and he could no longer talk to ask us to go outside for a bit, watching him was the hardest thing I’ll ever go through in my life. I am at peace knowing that during his last few hours he seemed so peaceful and I did not see his body tense up in pain any longer. He went so fast, I saw him take his last breath but he wasn’t gasping for air, he just gave one last breath and he was gone so peacefully. I love him so much, I told him so many times “I’m so happy you’re my dad, I love you and I know you love me too even if you can’t say it back anymore.” I am thankful for this page because although I never posted I read through everything hoping to be more prepared for this journey with my dad and everything that came along with it. My best wishes to everyone here, cancer is just fucken shitty. Please whatever part of the journey you are in never leave your loved ones, love them, love them so much and give thanks for every new day that you get with them even if it’s a shitty day. Soak in every single day you get with them, when the time comes let them go, let them be at peace and free from this horrible illness.</t>
        </is>
      </c>
      <c r="D9548" t="n">
        <v>1</v>
      </c>
      <c r="E9548" t="n">
        <v>9</v>
      </c>
      <c r="F9548">
        <f>HYPERLINK("https://www.reddit.com/r/cancer/comments/gta13q/52920/")</f>
        <v/>
      </c>
      <c r="G9548" t="inlineStr">
        <is>
          <t>2020-05-30 00:12:26</t>
        </is>
      </c>
      <c r="H9548" t="inlineStr"/>
    </row>
    <row r="9549">
      <c r="A9549" t="inlineStr">
        <is>
          <t>gtdif4</t>
        </is>
      </c>
      <c r="B9549" t="inlineStr">
        <is>
          <t>My Mother</t>
        </is>
      </c>
      <c r="C9549" t="inlineStr">
        <is>
          <t>!!!WARNING THIS STORY IS LONG AND SAD!!!
This is the story of my mother, Brenda Louise Syme, born on May 30th 1976 in Forth Parks Hospital, met my father at the age of 19 and she married him on the 14th of December 1996 at 20. She gave birth to her first born son(me) on May 27th 1997 and would give birth to another 4 boys through-out the years . 
My mother was a very kind hearted soul, she would give me and my brothers everything she could but she was no pushover, many times I’ve had my ass beat for stepping out of line(it was acceptable at the time) and at times pretty crazy. I can recall one particular Christmas Day when she threw a screwdriver at the TV during an argument with my father, apart from that she was basically your stereotypical Scottish housewife and mother. I have many fond memories with her though. There was a period of time when my mother and father were separated, it was a tough time for everyone involved but for those 2 and a bit years she did an amazing job as a single mum keeping me and my, at the time, 2 younger siblings fed and safe. I can remember one summer I had caught a vomiting bug and could barely move without throwing up, she stayed by my side whenever she could. During this time my mother, myself and my brothers would stay over at my Aunties house every weekend where I became more friendly with 2 of my cousins. We would watch horror movies almost every night, I loved watching horror movies with my cousins. We also played with Beyblades a lot as well because that was the popular thing at the time. I’m glad we spent that time together as we all became good friends and have remained so ever since.
I can also recall one very rainy day when she went out to get shopping and had my Auntie look after me and my siblings back at our house, she came home not only with shopping but with dvds and board games to play during the bad weather, we would play a lot of different games throughout that summer from Monopoly to Mouse Trap. After a while my mum and dad started seeing each other again and eventually my father moved back in with us and within the next 9 months my third sibling was born. Skip ahead 5 years and my youngest sibling was brought into the world. I was working in London at the time with my Uncle as I needed a job to fill up my time during summer holiday from school and to say I was excited to meet him was an understatement. My mother wasn’t just a mother though, she was a dedicated Auntie to my several cousins, she would bake cakes for my cousins birthdays and special occasions, she loved all the children in the family from both her side and my fathers. She even helped deliver one of my younger cousins while at home before the ambulance arrived, she made the local paper for it!
In 2015 my mother was diagnosed with cervical cancer, I found that out while having an argument with her. She just blurted it out but I can imagine she must have been waiting to tell me for a while and just wanted the argument to stop. When she uttered the words “I have been diagnosed with cancer” I felt my heart and stomach sink and I burst into tears. She didn’t let that stop her though as she was determined to live her life to the full with her beloved children. Everyday we would do something, activities and days out. Baking cakes and pies to walks out on the beach and picnics on good days. 
My mother was a fighter and she fought hard. Fast forward to 2017, the cancer had spread and she had underwent chemotherapy, I met my, now, fiancé in the February of that year, who met my mother before and after the chemotherapy. My mother was moved to a hospice in April that year. I am thankful that they both got on very well and my mother liked her a lot, which I was pleasantly surprised about because she didn’t like the girl I was with before I met my current partner. 
After being in the hospice from April to August she was allowed to go back home, however, she needed round the clock care and couldn’t leave her bed, she found that frustrating as she loved being out about. After being at home for a couple months her health started to decline to the point where she would just sleep for hours and hours and could barely speak. She was on a lot of medication as well which only made her more drowsy until one October day, she had slept the entire day and only opened her eyes a few times that day. Come nightfall we began to become more and more concerned until my father eventually phoned a doctor to come over. The doctor wasn’t there for long but what he said when asked about how my mother was feeling was “it’s going to happen sooner rather than later” and advised that she should be back at the hospice and with that the decision was made to have her taken to the hospice again. The next day my partner and i were out on a drive during the night because I felt like I needed to clear my mind a bit after everything that happened the day before. All was going fine until I got a call from my Auntie later in the evening, “you need to come to the hospice we think this is it” and as soon as I had informed my partner the racer in her kicked in and she sped to the hospice, even crossing a few red lights. When we arrived at the hospice the whole family was there in the waiting room, we sat and waited for a while until a nurse asked if me and my brothers wanted to come in and see her, I went in with 2 of my brothers while the younger ones waited with my father in the waiting room, we took our seats beside her and I held her hand, “Don’t worry mum” I said, “I’ll make sure to take care of the boys and dad” I told her I was sorry I wasn’t the best son in the world with tears streaming down from my eyes, I turned to my brothers to see if they had anything to say, Louis, the brother just after me, said that he loved her and will never forget her and promised he would make her proud, then Josh, who was after Louis had his head buried in his knees, he couldn’t say a single word. After the visit me, my partner and my cousin had a drink at my house, we got pretty drunk and, to be honest, I felt like I needed that drink so I didn’t lose the plot. There were so many thoughts and emotions going through me that I didn’t know what else to do. I woke the next morning with a killer hangover, then I got a call from my father who was at the hospice, “Your mum has passed over son” he says with a tired voice. I got my brothers and cousin together, and told them that that was it, she was gone, I felt like my world had crumbled right in front of me after my father spoke those words. I felt sad but at the same time I was happy, happy that her suffering was over, that she didn’t have to fight anymore, she could be at peace. 
Brenda Louise Syme passed on the 29th of October 2017, I’m not entirely sure if I believe there is a heaven but if there was my mother would definitely be there with her Father, and my Great Uncle, who passed the same year. 
Her funeral was held on the 13th of November 2017 at Kirkcaldy Crematorium, she had a beautiful send off and I know she would have been so proud to see her 5 boys be so strong through it all. After the funeral me and my partner decided to go and visit her grandparents memory stone and talk for a bit, when we turned to leave we saw 2 deers, they were staring at us and we stared back, to anyone else this may seem like normal behaviour for such an animal but to me it was like a sign that she and my Uncle were watching over me and my family. 
This story was made in loving memory of Brenda Louise Syme, Daughter, Sister, Wife, Mother, Auntie and Fighter, may you forever be at peace.</t>
        </is>
      </c>
      <c r="D9549" t="n">
        <v>1</v>
      </c>
      <c r="E9549" t="n">
        <v>9</v>
      </c>
      <c r="F9549">
        <f>HYPERLINK("https://www.reddit.com/r/cancer/comments/gtdif4/my_mother/")</f>
        <v/>
      </c>
      <c r="G9549" t="inlineStr">
        <is>
          <t>2020-05-30 05:28:53</t>
        </is>
      </c>
      <c r="H9549" t="inlineStr"/>
    </row>
    <row r="9550">
      <c r="A9550" t="inlineStr">
        <is>
          <t>gtfpzy</t>
        </is>
      </c>
      <c r="B9550" t="inlineStr">
        <is>
          <t>Lost my dad to cancer</t>
        </is>
      </c>
      <c r="C9550" t="inlineStr">
        <is>
          <t>I lost my dad to cancer yesterday night (05/29/2020). He was the best dad anyone could ever ask for. I don't know what I'm trying to get at here but I just needed to let it out somewhere. He did everything for his children and wife. We love him and miss him dearly. I'll be crying for you everyday dad. We love you.</t>
        </is>
      </c>
      <c r="D9550" t="n">
        <v>1</v>
      </c>
      <c r="E9550" t="n">
        <v>14</v>
      </c>
      <c r="F9550">
        <f>HYPERLINK("https://www.reddit.com/r/cancer/comments/gtfpzy/lost_my_dad_to_cancer/")</f>
        <v/>
      </c>
      <c r="G9550" t="inlineStr">
        <is>
          <t>2020-05-30 08:04:54</t>
        </is>
      </c>
      <c r="H9550" t="inlineStr"/>
    </row>
    <row r="9551">
      <c r="A9551" t="inlineStr">
        <is>
          <t>gtgld8</t>
        </is>
      </c>
      <c r="B9551" t="inlineStr">
        <is>
          <t>My friend's mother just got the news that she has breast cancer.</t>
        </is>
      </c>
      <c r="C9551" t="inlineStr">
        <is>
          <t>My best friend's mother just got the news that she has breast cancer and I was just wondering how I could help her to get through this a little easier? Personally, I have only met her mum once however, my friend is not in the best state, what are some things I could do her to support her. Also, are gifts for her mother a good idea? If so, what would be appropriate?</t>
        </is>
      </c>
      <c r="D9551" t="n">
        <v>1</v>
      </c>
      <c r="E9551" t="n">
        <v>1</v>
      </c>
      <c r="F9551">
        <f>HYPERLINK("https://www.reddit.com/r/cancer/comments/gtgld8/my_friends_mother_just_got_the_news_that_she_has/")</f>
        <v/>
      </c>
      <c r="G9551" t="inlineStr">
        <is>
          <t>2020-05-30 09:06:07</t>
        </is>
      </c>
      <c r="H9551" t="inlineStr"/>
    </row>
    <row r="9552">
      <c r="A9552" t="inlineStr">
        <is>
          <t>gtgo4b</t>
        </is>
      </c>
      <c r="B9552" t="inlineStr">
        <is>
          <t>Did someone got fever?</t>
        </is>
      </c>
      <c r="C9552" t="inlineStr">
        <is>
          <t>My sister got cervical cancer, we received the notice today. 
Since Last year she's been having a random fever, specially on her period. Is that "normal"? some of you had fever too?</t>
        </is>
      </c>
      <c r="D9552" t="n">
        <v>1</v>
      </c>
      <c r="E9552" t="n">
        <v>2</v>
      </c>
      <c r="F9552">
        <f>HYPERLINK("https://www.reddit.com/r/cancer/comments/gtgo4b/did_someone_got_fever/")</f>
        <v/>
      </c>
      <c r="G9552" t="inlineStr">
        <is>
          <t>2020-05-30 09:10:43</t>
        </is>
      </c>
      <c r="H9552" t="inlineStr"/>
    </row>
    <row r="9553">
      <c r="A9553" t="inlineStr">
        <is>
          <t>gti9yn</t>
        </is>
      </c>
      <c r="B9553" t="inlineStr">
        <is>
          <t>How to offer support right now?</t>
        </is>
      </c>
      <c r="C9553" t="inlineStr">
        <is>
          <t>My husband's mother was recently diagnosed with AML leukemia and is in the hospital receiving chemotherapy. It's especially difficult with COVID because we can't visit, and feel more disconnected than normal. My husband tends to shut down when things are difficult, he's not one to talk about his emotions. I don't want to force him to either if that's not his way of coping. Does anybody have any advice for how I can be supporting him right now without crossing boundaries?
Actually, his whole family aren't really ones to talk through grief and haven't been communicating much right now. I'm wondering if it would be appropriate to reach out to his father in law to check in and just offer my support? I already dropped off a care package and texted his mother. Obviously a priority right now is being there for her as well.
Thanks everyone.</t>
        </is>
      </c>
      <c r="D9553" t="n">
        <v>1</v>
      </c>
      <c r="E9553" t="n">
        <v>0</v>
      </c>
      <c r="F9553">
        <f>HYPERLINK("https://www.reddit.com/r/cancer/comments/gti9yn/how_to_offer_support_right_now/")</f>
        <v/>
      </c>
      <c r="G9553" t="inlineStr">
        <is>
          <t>2020-05-30 10:44:42</t>
        </is>
      </c>
      <c r="H9553" t="inlineStr"/>
    </row>
    <row r="9554">
      <c r="A9554" t="inlineStr">
        <is>
          <t>gtjlpw</t>
        </is>
      </c>
      <c r="B9554" t="inlineStr">
        <is>
          <t>I am just venting...</t>
        </is>
      </c>
      <c r="C9554" t="inlineStr">
        <is>
          <t>Hi everyone - 
My mom was diagnosed with Multiple Myeloma about six years ago. 
About three months ago, she noticed a lump on her head. She brought it to her oncologists attention and it was dismissed as "just the myeloma". At this point, my mom decided to get a second opinion and "fired" her oncologist. Unfortunately, this was just around the time when COVID broke out and our local doctors started canceling and rescheduling appointments.  
We were finally able to see a new oncologist about two weeks ago. He immediately scheduled mom to see a radiology oncologist which we see early next week. The mass on my moms head is bigger than a golf ball but not quite baseball sized now.
Over the past three months, my moms health has declined. She has been admitted to hospital around two times a month (lately) for dehydration and electrolyte imbalances. She is bedridden because she is very, very weak. 
Last night, my mom was admitted to the hospital again. Her doctor called me this morning and updated me on her condition though the conversation mainly centered on him wanting her to go into hospice.
He basically stated that he would only release her to go home if she agrees to hospice otherwise he wants her to go into a skilled nursing facility (nursing home).
My mom has been very adamant about her wishes to continue treatment and I explained that to her primary doctor. The reality is that her body may not be able to take radiation or chemo but she wants to try. Unless my mom says otherwise, we are going to the radiologist appointment next week.
Anyways, her doctor said he was going to keep her at the hospital over the weekend after that I have no idea what the hell is going to happen.</t>
        </is>
      </c>
      <c r="D9554" t="n">
        <v>1</v>
      </c>
      <c r="E9554" t="n">
        <v>1</v>
      </c>
      <c r="F9554">
        <f>HYPERLINK("https://www.reddit.com/r/cancer/comments/gtjlpw/i_am_just_venting/")</f>
        <v/>
      </c>
      <c r="G9554" t="inlineStr">
        <is>
          <t>2020-05-30 11:57:18</t>
        </is>
      </c>
      <c r="H9554" t="inlineStr"/>
    </row>
    <row r="9555">
      <c r="A9555" t="inlineStr">
        <is>
          <t>gtk1mv</t>
        </is>
      </c>
      <c r="B9555" t="inlineStr">
        <is>
          <t>Looking for others to talk to in similar situations.</t>
        </is>
      </c>
      <c r="C9555" t="inlineStr">
        <is>
          <t>Please remove if not allowed. I’m looking for people to chat with who are in a similar situation or are empathic to my situation. I’m (29F) living with my family right now due to covid-19 and my father (M59) has stage 4 prostate cancer. He’s deteriorated in a matter of one month, even though doctors stated his cancer markers are going down. He went from walking on his own, to a cane, to a walker in less than a month, and is now not able to toilet on his own. This is having a huge impact on all of our mental health and the family. It’s happening so fast, I don’t even know how to feel. I have so many emotions. I’m also devastated that he likely won’t make it to my wedding. Unfortunately, my family doesn’t want to talk about what’s going on, or his inevitable death. I do and will continue to respect that. However, I know for my well-being I need to talk about it. So I’m looking for individuals to talk with, to empathize with, to just talk you know? I feel so isolated, sad, and scared. I am a good listener and would love to lend an ear and supportive shoulder to someone else as well. Thank you for reading.</t>
        </is>
      </c>
      <c r="D9555" t="n">
        <v>1</v>
      </c>
      <c r="E9555" t="n">
        <v>5</v>
      </c>
      <c r="F9555">
        <f>HYPERLINK("https://www.reddit.com/r/cancer/comments/gtk1mv/looking_for_others_to_talk_to_in_similar/")</f>
        <v/>
      </c>
      <c r="G9555" t="inlineStr">
        <is>
          <t>2020-05-30 12:21:56</t>
        </is>
      </c>
      <c r="H9555" t="inlineStr"/>
    </row>
    <row r="9556">
      <c r="A9556" t="inlineStr">
        <is>
          <t>gtklz4</t>
        </is>
      </c>
      <c r="B9556" t="inlineStr">
        <is>
          <t>My Girlfriend is nearing the end of her battle with terminal lung cancer. I don't know what to do.</t>
        </is>
      </c>
      <c r="C9556" t="inlineStr">
        <is>
          <t>Hello everyone. Posting this here as well, as suggested by someone on my post in r/griefsupport.
My girlfriend was diagnosed with terminal lung cancer about a month ago, and her condition is declining.
Shes my best friend, we had a future planned, talked about everything, i just love her so so much. Her nurses are saying that her time is very very limited.
I dont know how long she has. But I need to make sure I'm prepared. Any help would be appreciated.</t>
        </is>
      </c>
      <c r="D9556" t="n">
        <v>1</v>
      </c>
      <c r="E9556" t="n">
        <v>20</v>
      </c>
      <c r="F9556">
        <f>HYPERLINK("https://www.reddit.com/r/cancer/comments/gtklz4/my_girlfriend_is_nearing_the_end_of_her_battle/")</f>
        <v/>
      </c>
      <c r="G9556" t="inlineStr">
        <is>
          <t>2020-05-30 12:55:24</t>
        </is>
      </c>
      <c r="H9556" t="inlineStr"/>
    </row>
    <row r="9557">
      <c r="A9557" t="inlineStr">
        <is>
          <t>gtkpp0</t>
        </is>
      </c>
      <c r="B9557" t="inlineStr">
        <is>
          <t>Can someone with bladder cancer tests/turbt experience help me out?</t>
        </is>
      </c>
      <c r="C9557" t="inlineStr">
        <is>
          <t>Can someone explain something yo me.
I had a rigid cystoscopy. They did a biopsy. They rang me yesterday evening and I have cancer confirmed with no doubt. I am seeing my doctor for treatment and explaining my cancer to me tomorrow.
Why didn't they remove anything when they did the cystoscopy? Why did they just do a biopsy? I hate unnecessary surgeries and this is really giving me anxiety.
Does this mean it's worse than stage 1? Does this mean im likely to be told its in the muscular? Is this just nothing to be concerned about?
I feel like I'm not absorbing as much information from my doctor as I should be.
I also had a kidney biopsy also in the past couple of weeks, but that was fine. Should I be looking at my bladder biopsy the same? (They didnt find anything in my kidneys via ultrasound, but I had a gross haematuria and back pain that wasn't a UTI and they detected things in my urine) as in it was done to confirm and diagnose... not done with the idea of treating it?</t>
        </is>
      </c>
      <c r="D9557" t="n">
        <v>1</v>
      </c>
      <c r="E9557" t="n">
        <v>5</v>
      </c>
      <c r="F9557">
        <f>HYPERLINK("https://www.reddit.com/r/cancer/comments/gtkpp0/can_someone_with_bladder_cancer_teststurbt/")</f>
        <v/>
      </c>
      <c r="G9557" t="inlineStr">
        <is>
          <t>2020-05-30 13:01:37</t>
        </is>
      </c>
      <c r="H9557" t="inlineStr"/>
    </row>
    <row r="9558">
      <c r="A9558" t="inlineStr">
        <is>
          <t>gtlasb</t>
        </is>
      </c>
      <c r="B9558" t="inlineStr">
        <is>
          <t>Preventable Death</t>
        </is>
      </c>
      <c r="C9558" t="inlineStr">
        <is>
          <t>My father passed away from colon cancer three weeks ago at the age of 64. He was only diagnosed a month before he passed after a routine blood test showed weird liver counts which led to a discovery of tumors in his liver, lungs, adrenal glands, and brain. 
What I can’t get over is that he never got screenings for colon cancer which would certainly have prevented this death. He is robbed of 20 years of his life because he never got screened, his only symptoms were gas and some weight loss for about six months and then suddenly the cancer was everywhere. He had brain surgery for the tumor which was successful but was then too weak for chemo, and passed in early May. I am angry that the doctors chose to do surgery and not chemotherapy which would have helped his liver which was the worst affected. 
I am finding my grief unbearable thinking about how he should have had the screenings (my dad was always very anti-doctor, never went for anything). How this could have been avoided. It wasn’t like many cancers where they’re just bad luck or there are no screening tests. The worst day of my life and the destruction of my life and his could have been prevented. 
I don’t know how to go the next 20 years of my life without him knowing that his choice led to the loss of his life and everything he will miss from my life. I have resolved to never do anything exciting so he won’t miss anything, but he still misses out on gardening, on politics, on family holidays. All because he never got screened. One oncologist said it seemed the cancer was aggressive so maybe it wouldn’t matter but I have to live my life not knowing.</t>
        </is>
      </c>
      <c r="D9558" t="n">
        <v>1</v>
      </c>
      <c r="E9558" t="n">
        <v>5</v>
      </c>
      <c r="F9558">
        <f>HYPERLINK("https://www.reddit.com/r/cancer/comments/gtlasb/preventable_death/")</f>
        <v/>
      </c>
      <c r="G9558" t="inlineStr">
        <is>
          <t>2020-05-30 13:35:57</t>
        </is>
      </c>
      <c r="H9558" t="inlineStr"/>
    </row>
    <row r="9559">
      <c r="A9559" t="inlineStr">
        <is>
          <t>gtmqlf</t>
        </is>
      </c>
      <c r="B9559" t="inlineStr">
        <is>
          <t>Why does no one talk about the bad side of cancer?</t>
        </is>
      </c>
      <c r="C9559" t="inlineStr">
        <is>
          <t>My dad is going through his second round of cancer. And hes been so angry and taking it out on me and the rest of the family. I'm trying not to take it personally, but its really wearing down on me. I'm not working to be available to take him to all his appointments, and help my mom care for him as he has lost mobility. Everything I do is for him, and he's being so rude and ungrateful. Does anyone have advice on how to deal with this?</t>
        </is>
      </c>
      <c r="D9559" t="n">
        <v>1</v>
      </c>
      <c r="E9559" t="n">
        <v>37</v>
      </c>
      <c r="F9559">
        <f>HYPERLINK("https://www.reddit.com/r/cancer/comments/gtmqlf/why_does_no_one_talk_about_the_bad_side_of_cancer/")</f>
        <v/>
      </c>
      <c r="G9559" t="inlineStr">
        <is>
          <t>2020-05-30 14:56:37</t>
        </is>
      </c>
      <c r="H9559" t="inlineStr"/>
    </row>
    <row r="9560">
      <c r="A9560" t="inlineStr">
        <is>
          <t>gtndmu</t>
        </is>
      </c>
      <c r="B9560" t="inlineStr">
        <is>
          <t>I Dont have cancer but these post make me sad</t>
        </is>
      </c>
      <c r="C9560" t="inlineStr">
        <is>
          <t>Ever since covid i have had major death anxiety, the biggest thing is cancer. After reading  post on here with alot of depressing news, i really want our country to take both mental and physical health seriously. We worry about terrorism, yet the biggest terrorist are diseases in this country. I think once  start making money i  to start putting help into making  more research  can be done to save people and hopefully  the near future cancer  and other fatal diseasea wont be fatal. I hope  country realises this during covid.</t>
        </is>
      </c>
      <c r="D9560" t="n">
        <v>1</v>
      </c>
      <c r="E9560" t="n">
        <v>0</v>
      </c>
      <c r="F9560">
        <f>HYPERLINK("https://www.reddit.com/r/cancer/comments/gtndmu/i_dont_have_cancer_but_these_post_make_me_sad/")</f>
        <v/>
      </c>
      <c r="G9560" t="inlineStr">
        <is>
          <t>2020-05-30 15:34:25</t>
        </is>
      </c>
      <c r="H9560" t="inlineStr"/>
    </row>
    <row r="9561">
      <c r="A9561" t="inlineStr">
        <is>
          <t>gto5lr</t>
        </is>
      </c>
      <c r="B9561" t="inlineStr">
        <is>
          <t>Getting back to normal...how did you get over your diagnosis?</t>
        </is>
      </c>
      <c r="C9561" t="inlineStr">
        <is>
          <t>Male...32 years old - Invasive ductal carcinoma....breast cancer
Stage 2B, EP+, HER2-, Non genetic. Tumor was 5 cm.
Cancer spread to a lymphnode.
Long story short I had my mastectomy in January of this year, finished chemo in April, and am doing radiation (mon-fri) until June 22nd (unless the equipment breaks down again :-/) .
&amp;amp;#x200B;
I have not been myself recently, on one hand I've turned to anger/sulking.....while on the other hand I can't stop thinking of myself as "the rare cancer guy"....seeing myself as "special" (I hear the narcissism too). 
&amp;amp;#x200B;
I accept - once every so often once this is over I will need to have checkups and take a pill for 5 years...I know "normal" will never be what it was pre november of 2019 when all this shit began.....but I want to have somewhat a normal life where I can just get over this diagnosis. I'm not sure how to phrase it but I'd love to just "forget" all this and live as if it never happened.
&amp;amp;#x200B;
Looking for advice to not be the new "asshole" that I've become, I have become self destructive, and angry....pushing people away, almost a "fuck it" attitude. I want to keep fighting to live - its not a "I give up" attitude....but I just wish I could have been (and I hate saying this) NORMAL!!!!! but no, I got slapped in the face with cancer. My mother who was a nurse when I told her I was going through this stuff in November of last year said she never once saw a man with breast cancer before - and when I told her I just said "TA DA You finally saw a man with breast cancer" 
&amp;amp;#x200B;
WHY WHY WHY!!!!!!? DID I HAVE TO HAVE IT!!!!!! IT PISSES ME OFF!!!!</t>
        </is>
      </c>
      <c r="D9561" t="n">
        <v>1</v>
      </c>
      <c r="E9561" t="n">
        <v>18</v>
      </c>
      <c r="F9561">
        <f>HYPERLINK("https://www.reddit.com/r/cancer/comments/gto5lr/getting_back_to_normalhow_did_you_get_over_your/")</f>
        <v/>
      </c>
      <c r="G9561" t="inlineStr">
        <is>
          <t>2020-05-30 16:20:03</t>
        </is>
      </c>
      <c r="H9561" t="inlineStr"/>
    </row>
    <row r="9562">
      <c r="A9562" t="inlineStr">
        <is>
          <t>gtsmpv</t>
        </is>
      </c>
      <c r="B9562" t="inlineStr">
        <is>
          <t>Success stories with PMBCL</t>
        </is>
      </c>
      <c r="C9562" t="inlineStr">
        <is>
          <t>So someone very close to me finished up chemo on stage 3 PMBCL. She goes early next week to find out how she took the chemo after she did her six treatments and the chemo has left her body. I’m nervous for her, obviously God has made his hate, but I pray for her that the news she gets is the news she wants to receive. Has anyone in here had PMBCL and been put into remission or cured of it?</t>
        </is>
      </c>
      <c r="D9562" t="n">
        <v>1</v>
      </c>
      <c r="E9562" t="n">
        <v>1</v>
      </c>
      <c r="F9562">
        <f>HYPERLINK("https://www.reddit.com/r/cancer/comments/gtsmpv/success_stories_with_pmbcl/")</f>
        <v/>
      </c>
      <c r="G9562" t="inlineStr">
        <is>
          <t>2020-05-30 21:33:13</t>
        </is>
      </c>
      <c r="H9562" t="inlineStr"/>
    </row>
    <row r="9563">
      <c r="A9563" t="inlineStr">
        <is>
          <t>gtsoaf</t>
        </is>
      </c>
      <c r="B9563" t="inlineStr">
        <is>
          <t>Ear Cancer..</t>
        </is>
      </c>
      <c r="C9563" t="inlineStr">
        <is>
          <t>I’m a 16 year old girl and i’m really worried that I have an outer ear cancer. I have a semi-small lump behind my ear, a scab not in my ear canal but like in my ear(My sister says it looks like a blackhead or a pimple?),and i’ve also had a mouth ulcer for almost three months now? I’m honestly really scared and paranoid, can anyone who has/had cancer help me out?</t>
        </is>
      </c>
      <c r="D9563" t="n">
        <v>1</v>
      </c>
      <c r="E9563" t="n">
        <v>2</v>
      </c>
      <c r="F9563">
        <f>HYPERLINK("https://www.reddit.com/r/cancer/comments/gtsoaf/ear_cancer/")</f>
        <v/>
      </c>
      <c r="G9563" t="inlineStr">
        <is>
          <t>2020-05-30 21:36:38</t>
        </is>
      </c>
      <c r="H9563" t="inlineStr"/>
    </row>
    <row r="9564">
      <c r="A9564" t="inlineStr">
        <is>
          <t>gtsss9</t>
        </is>
      </c>
      <c r="B9564" t="inlineStr">
        <is>
          <t>My 63 year-old dad has end stage liver cancer and suffered several pneumothoraces. When is he going to die?</t>
        </is>
      </c>
      <c r="C9564" t="inlineStr">
        <is>
          <t>I understand that it’s not entirely accurate to predict when a patient will die but I researched online regarding some of the symptoms of cancer patients nearing the end. And he’s displaying most symptoms except delirium.
For the past 4 nights, he has had intractable hiccups, worsening bowel movement(black), coughing and puking black phlegm, and the inability to stand or sit up. I read somewhere that the “death rattle” may last 24-48 hours until death usually takes place after. I think he has been making this sound when he’s asleep. 
Based on these symptoms, would anyone be able to share their experiences and say if he is even closer to the end? Or are these “normal cancer patient symptoms” that people can live through?
Just want to better prepare myself and my family.
Thank you in advance.</t>
        </is>
      </c>
      <c r="D9564" t="n">
        <v>1</v>
      </c>
      <c r="E9564" t="n">
        <v>0</v>
      </c>
      <c r="F9564">
        <f>HYPERLINK("https://www.reddit.com/r/cancer/comments/gtsss9/my_63_yearold_dad_has_end_stage_liver_cancer_and/")</f>
        <v/>
      </c>
      <c r="G9564" t="inlineStr">
        <is>
          <t>2020-05-30 21:46:24</t>
        </is>
      </c>
      <c r="H9564" t="inlineStr"/>
    </row>
    <row r="9565">
      <c r="A9565" t="inlineStr">
        <is>
          <t>gtu4lz</t>
        </is>
      </c>
      <c r="B9565" t="inlineStr">
        <is>
          <t>Muscle loss/grip strength?</t>
        </is>
      </c>
      <c r="C9565" t="inlineStr">
        <is>
          <t>Hi, I am wondering if anyone has experienced this or knows what causes it. My mom has lung cancer and is going through chemo and has started noticing some weakness and less muscle in her hands. I know she has lost some weight but generally she eats pretty well, but it does vary week to week. 
I don’t know if doing any exercises would help or things like you’d do with physical therapy? She isn’t too bothered but I hope if we can fix it she will be able to keep doing things she enjoys and feel more independent if she can handle most tasks</t>
        </is>
      </c>
      <c r="D9565" t="n">
        <v>1</v>
      </c>
      <c r="E9565" t="n">
        <v>6</v>
      </c>
      <c r="F9565">
        <f>HYPERLINK("https://www.reddit.com/r/cancer/comments/gtu4lz/muscle_lossgrip_strength/")</f>
        <v/>
      </c>
      <c r="G9565" t="inlineStr">
        <is>
          <t>2020-05-30 23:39:04</t>
        </is>
      </c>
      <c r="H9565" t="inlineStr"/>
    </row>
    <row r="9566">
      <c r="A9566" t="inlineStr">
        <is>
          <t>gtuc38</t>
        </is>
      </c>
      <c r="B9566" t="inlineStr">
        <is>
          <t>This sucks</t>
        </is>
      </c>
      <c r="C9566" t="inlineStr">
        <is>
          <t>I have cancer again right at the end of a year from my last chemo. This is different, you know it’s back so harder chemo and bone marrow transfer. Anyway I am very nauseous. Weed was helping me fight that but my wife is not wanting me to smoke cause of the bone marrow. I get it I’m not wanting to die or make it harder, I just want to feel better and sleep. Any ideas</t>
        </is>
      </c>
      <c r="D9566" t="n">
        <v>1</v>
      </c>
      <c r="E9566" t="n">
        <v>10</v>
      </c>
      <c r="F9566">
        <f>HYPERLINK("https://www.reddit.com/r/cancer/comments/gtuc38/this_sucks/")</f>
        <v/>
      </c>
      <c r="G9566" t="inlineStr">
        <is>
          <t>2020-05-30 23:57:54</t>
        </is>
      </c>
      <c r="H9566" t="inlineStr"/>
    </row>
    <row r="9567">
      <c r="A9567" t="inlineStr">
        <is>
          <t>gtvlyo</t>
        </is>
      </c>
      <c r="B9567" t="inlineStr">
        <is>
          <t>Dad's bladder cancer is back</t>
        </is>
      </c>
      <c r="C9567" t="inlineStr">
        <is>
          <t>Last year, after a bladder surgery in November, we found that Dad has bladder cancer. He went through chemo and had six sessions which were completed just before lockdown by end of March 2020. The chemo was not an easy thing for him to handle but he got through it. Last Friday before his doctor's appointment he had an Echography and there was a lump in his bladder.
Doctor's advice was to go through surgery again on Tuesday to remove the lump. He also advised for chemo and radiotherapy. Dad is very depressed and is afraid to go through the surgery and chemo again. I am very sad for him, that he will have to suffer again. The issue is that bladder cancer recurrence is 50% and each time he will have to go through all this. I don't know how to help him..</t>
        </is>
      </c>
      <c r="D9567" t="n">
        <v>1</v>
      </c>
      <c r="E9567" t="n">
        <v>4</v>
      </c>
      <c r="F9567">
        <f>HYPERLINK("https://www.reddit.com/r/cancer/comments/gtvlyo/dads_bladder_cancer_is_back/")</f>
        <v/>
      </c>
      <c r="G9567" t="inlineStr">
        <is>
          <t>2020-05-31 01:49:38</t>
        </is>
      </c>
      <c r="H9567" t="inlineStr"/>
    </row>
    <row r="9568">
      <c r="A9568" t="inlineStr">
        <is>
          <t>gty7h3</t>
        </is>
      </c>
      <c r="B9568" t="inlineStr">
        <is>
          <t>Feeding tube dilema</t>
        </is>
      </c>
      <c r="C9568" t="inlineStr">
        <is>
          <t>Has anyone had head and neck cancer and been advised to get a feeding tube inserted before beginning treatments.  I really don't want the feeding tube, but from experience, can anyone advise for or against this feeding tube?</t>
        </is>
      </c>
      <c r="D9568" t="n">
        <v>1</v>
      </c>
      <c r="E9568" t="n">
        <v>0</v>
      </c>
      <c r="F9568">
        <f>HYPERLINK("https://www.reddit.com/r/cancer/comments/gty7h3/feeding_tube_dilema/")</f>
        <v/>
      </c>
      <c r="G9568" t="inlineStr">
        <is>
          <t>2020-05-31 05:26:45</t>
        </is>
      </c>
      <c r="H9568" t="inlineStr"/>
    </row>
    <row r="9569">
      <c r="A9569" t="inlineStr">
        <is>
          <t>gtzhg0</t>
        </is>
      </c>
      <c r="B9569" t="inlineStr">
        <is>
          <t>Feeding tube dilemma</t>
        </is>
      </c>
      <c r="C9569" t="inlineStr">
        <is>
          <t>Can anyone offer any advice about getting a feeding tube placed before I start radiation and chemotherapy treatments?  I do not want to get the feeding tube.  Are there any cases of success without getting the feeding tube? Please advise. Thanks!</t>
        </is>
      </c>
      <c r="D9569" t="n">
        <v>1</v>
      </c>
      <c r="E9569" t="n">
        <v>0</v>
      </c>
      <c r="F9569">
        <f>HYPERLINK("https://www.reddit.com/r/cancer/comments/gtzhg0/feeding_tube_dilemma/")</f>
        <v/>
      </c>
      <c r="G9569" t="inlineStr">
        <is>
          <t>2020-05-31 07:01:27</t>
        </is>
      </c>
      <c r="H9569" t="inlineStr"/>
    </row>
    <row r="9570">
      <c r="A9570" t="inlineStr">
        <is>
          <t>gu12q4</t>
        </is>
      </c>
      <c r="B9570" t="inlineStr">
        <is>
          <t>Does it matter whether chemotherapy is started alongside RT or afterwards?</t>
        </is>
      </c>
      <c r="C9570" t="inlineStr">
        <is>
          <t>Some bio of grandpa first:
    Age: 68
    Sex: male
    Height: 170cm
    Weight: 72kg
    Race: caucasian
    Duration of complaint: surgery in late March
    Location (Geographic and on body): Poland, GBM
    Any existing relevant medical issues (if any): diabetes type 2, atherosclerosis; deep vein thrombosis two years ago
My grandpa is currently undergoing radiation therapy for his glioblastoma for which he'd undergone surgery in late March. Firstly, we were informed that he's going to be taking chemo alongside RT while he's in the hospital but recently, the doc there (a different one than those who were doing the planning) told us that because RT alone may cause white blood cells parameters to fall down, which is later problematic to bring back to normal levels, they're not going to start chemo right now after all and will think about whether to start it at all before he finishes his RT (6 weeks). They already did two blood tests (one week apart) and they were fine but no changes on starting the chemo.
Is this a reason for concern? Does it matter when you start chemo in such a case? Does it worsen the prognosis if you start it after you're done with your radiotherapy? I'm growing a bit paranoid cause I remember everyone saying that starting RT ASAP is crucial but don't know if the same holds true for chemo or if there's no reason to panic.</t>
        </is>
      </c>
      <c r="D9570" t="n">
        <v>2</v>
      </c>
      <c r="E9570" t="n">
        <v>2</v>
      </c>
      <c r="F9570">
        <f>HYPERLINK("https://www.reddit.com/r/cancer/comments/gu12q4/does_it_matter_whether_chemotherapy_is_started/")</f>
        <v/>
      </c>
      <c r="G9570" t="inlineStr">
        <is>
          <t>2020-05-31 08:31:25</t>
        </is>
      </c>
      <c r="H9570" t="inlineStr"/>
    </row>
    <row r="9571">
      <c r="A9571" t="inlineStr">
        <is>
          <t>gu1rvf</t>
        </is>
      </c>
      <c r="B9571" t="inlineStr">
        <is>
          <t>Post chemo hair advice for my 76 y/o mom!!</t>
        </is>
      </c>
      <c r="C9571" t="inlineStr">
        <is>
          <t>Hello everyone. I am submitting on behalf of my mom. She is 76years old and completed DA R-EPOCH with IT chemo last August for DLBCL (diffuse large B cell lymphoma). She is doing remarkably well and is remission. Her concern is her hair. Prior to chemo she had a full, thick head of hair, with good body. During chemo it fell out. About 4 months after her last chemo it seemed to have grown back, albeit curlier and maybe a little finer, however still a full head of hair. Now 9 months post chemo she just called and says she feels as if it is becoming thinned out and is seeing more areas of her scalp. 
So basically she feels as if her once full post chemo hair is starting to thin/fall out again 9 months post chemo. 
Is this "normal"? She didn't say anything regarding her eyebrows or eyelashes so I am thinking those are still ok.
On average how long, post chemo, does it seem to take for hair to get to it's "new normal"?
TIA Anything you can provide would be so helpful. I am planning to consolidate your responses for her to help her feel better.</t>
        </is>
      </c>
      <c r="D9571" t="n">
        <v>13</v>
      </c>
      <c r="E9571" t="n">
        <v>25</v>
      </c>
      <c r="F9571">
        <f>HYPERLINK("https://www.reddit.com/r/cancer/comments/gu1rvf/post_chemo_hair_advice_for_my_76_yo_mom/")</f>
        <v/>
      </c>
      <c r="G9571" t="inlineStr">
        <is>
          <t>2020-05-31 09:12:41</t>
        </is>
      </c>
      <c r="H9571" t="inlineStr"/>
    </row>
    <row r="9572">
      <c r="A9572" t="inlineStr">
        <is>
          <t>gu4xg9</t>
        </is>
      </c>
      <c r="B9572" t="inlineStr">
        <is>
          <t>Father hid cancer (Pancreatic)</t>
        </is>
      </c>
      <c r="C9572" t="inlineStr">
        <is>
          <t>Back on Jabuary 27th 2018 my father passed away at 68 years old. He was retired and had been living in northern Thailand for several years. We only learned about the cancer upon his death and were all shocked that he never talked to any of us about it. 
We had heard that he fell several times and. He never correcred us about it so we all assumed/thought he had been drinking again and got on his case abput that. 
I felt conflicted. I am sad that he kept it to himself so that none of us would suffer knowing, but I suppose I also underatand why he did it. I just feel so guilty that we all accused him of falling off the wagon...</t>
        </is>
      </c>
      <c r="D9572" t="n">
        <v>8</v>
      </c>
      <c r="E9572" t="n">
        <v>3</v>
      </c>
      <c r="F9572">
        <f>HYPERLINK("https://www.reddit.com/r/cancer/comments/gu4xg9/father_hid_cancer_pancreatic/")</f>
        <v/>
      </c>
      <c r="G9572" t="inlineStr">
        <is>
          <t>2020-05-31 12:11:28</t>
        </is>
      </c>
      <c r="H9572" t="inlineStr"/>
    </row>
    <row r="9573">
      <c r="A9573" t="inlineStr">
        <is>
          <t>gu5tj0</t>
        </is>
      </c>
      <c r="B9573" t="inlineStr">
        <is>
          <t>Dear Leukemia</t>
        </is>
      </c>
      <c r="C9573" t="inlineStr">
        <is>
          <t>This is my essay I wrote for the ‘Dear Cancer It’s Me’ Essay Competition. I won first place with it and would like to further share my experiences with those who may be going through the same or trying to understand how real PTSD is. I have struggled with it so long without even knowing what it was that was making me feel that way. I appreciate any readers and if you would like to comment and share please go right ahead!
Kailee Waggoner, Age 18
Acute Lymphoblastic Leukemia Survivor
                        Dear Leukemia
    Dear Cancer, It’s me… Our battle ended long ago, but you still manage to find ways to hurt and control me. You are now in my head, controlling how I think and react. It’s constant. Watching a movie, you’re there. In class, you’re there. Even when I’m my happiest with family and friends, you’re still there in the back of my mind, gripping the wheel. I fought you when I was young and now I must continue to fight you everyday. I want you gone for good, but maybe your consistent presence is the cost of surviving you. 
    Dear Cancer, why are you doing this to me? I was four and a half years old when you introduced yourself as leukemia. Weren’t the two years of my childhood you ripped away enough? Apparently not, since you’re still here making me suffer. You cause me to bite my nails to a stump. You make me faint. You bring me to tears. You make me hate hospitals who want to help me. After beating you, your ghost hid, dormant, waiting to creep out, just when I thought you were completely gone. When I see children around the age I was when you shoved your way into my life, it makes me feel jealous of their innocence and lack of pain. I wish they would know just how lucky they are not to have to go through something as I did. No child should ever have to even have to think about the possibility that they could die. I should have never had to think about that. Sometimes, when you bring me to a deep low, I think it may have just been better off or easier if you won the fight. 
    Dear Cancer, even though I was young, I still remember most of the pain. I remember being taken from my parents to go into surgery. I remember being so scared that the amount of my fear overruled the anesthesia they had given me. I remember the nurses didn't know what to do since the nurses could not give me more because I was so young and small. I remained awake for ten minutes or so until I couldn’t fight it any longer. I remember waking up from anesthesia screaming because I was cornered in the small hospital bed by masked nurses. I was so young I didn’t understand what I was feeling. I remember the pain. I can feel it as if it was still happening to me this second. Phantom pains of your ghost that still haunt me. I cannot have my blood drawn without all of the traumatic memories flooding back in and overwhelming me. Crying like that makes me feel childish and even some nurses who don’t understand judge me. I understand seeing a teenager having a panic attack from a small needle drawing blood seems childlike, but if only they would realize I must have gone through something tough to be reacting as such. I didn’t like the way I looked for many years after you were gone. I shouldn’t have been worrying about looks at that age. You had taken my hair, puffed out my cheeks, and made me exhausted. The trauma lingers. For years through elementary and middle school I acted that everything was okay. I seemed confident, but that was not the case. 
    Dear Cancer, you affected me emotionally as well as physically. Although I was already cured, your stain remained present. Throughout elementary school, I thought I was not as good as everyone else. I thought something was wrong with me. I was different, but in my eyes not in a positive way. This insecurity lasted for years into middle school as well. I felt I would never be seen as attractive as others. You steered by mind to comparing myself to others instead of seeing the truth. You blinded me from seeing my strength, my beauty, and worthiness then and now.  
    Dear Cancer, even when at times you try to bring me down, I bring myself back up. I replace negative thoughts and what if’s with positive ones. I now see my body as strong, powerful, and beautiful. I don’t deserve to feel the way you made me feel. I triumph over the fact that I beat you, I beat you. I am strong, I am brave. Even though you brought out negatives in me, you also brought out positives. I am caring. I am compassionate. I am grateful. You put up a fight, but my will to win is stronger. I will keep fighting you as long as you are still here. I have found help and all the scars you left are beginning to fade. I will continue to be strong. I will continue to be brave. I will eventually beat you again.</t>
        </is>
      </c>
      <c r="D9573" t="n">
        <v>10</v>
      </c>
      <c r="E9573" t="n">
        <v>1</v>
      </c>
      <c r="F9573">
        <f>HYPERLINK("https://www.reddit.com/r/cancer/comments/gu5tj0/dear_leukemia/")</f>
        <v/>
      </c>
      <c r="G9573" t="inlineStr">
        <is>
          <t>2020-05-31 13:00:51</t>
        </is>
      </c>
      <c r="H9573" t="inlineStr"/>
    </row>
    <row r="9574">
      <c r="A9574" t="inlineStr">
        <is>
          <t>gu5vfu</t>
        </is>
      </c>
      <c r="B9574" t="inlineStr">
        <is>
          <t>Grief Quicksand</t>
        </is>
      </c>
      <c r="C9574" t="inlineStr">
        <is>
          <t xml:space="preserve"> Today I learned that to run an obituary in our regional paper with a photo, it will cost $1300. 
Small local papers? $450. 
Running obituaries for my father is going to cost more than the cremation, urn, and burial combined. I don't know why, but this revelation has punched me in the grief guts and I'm drowning. It isn't that we won't be able to afford it, we are privileged to have been able to set aside money for this. I don't even know what it is exactly that is flipping me out. I'm just so tired of all the things. I want to go to bed. I don't want to eat. I don't want to talk to anyone. I don't even want to see my family. I have pets and I'm resenting the care they need to survive because I just cannot human right now. I've cried myself to sleep every night since he died and it feels like every moment of the day is spent thinking about him or attending to something. I have a support system and friends and I'm grateful for that, but I'm too tired to even tell people what I need because I don't know what I need. I want to not be grieving. I want to not be in pain. We don't even have our family service for another three weeks, and then we have to plan a public memorial to take place when restrictions are lifted enough to give him the memorial service he wanted. Just the knowledge that this is going to go on for months, the planning and actively dealing with arrangements related to his death makes me nauseous.</t>
        </is>
      </c>
      <c r="D9574" t="n">
        <v>5</v>
      </c>
      <c r="E9574" t="n">
        <v>6</v>
      </c>
      <c r="F9574">
        <f>HYPERLINK("https://www.reddit.com/r/cancer/comments/gu5vfu/grief_quicksand/")</f>
        <v/>
      </c>
      <c r="G9574" t="inlineStr">
        <is>
          <t>2020-05-31 13:03:47</t>
        </is>
      </c>
      <c r="H9574" t="inlineStr"/>
    </row>
    <row r="9575">
      <c r="A9575" t="inlineStr">
        <is>
          <t>gu7kuz</t>
        </is>
      </c>
      <c r="B9575" t="inlineStr">
        <is>
          <t>Cancer can go ahead and eat fucking shit</t>
        </is>
      </c>
      <c r="C9575" t="inlineStr">
        <is>
          <t>God fucking dammit cancer can go fuck himself</t>
        </is>
      </c>
      <c r="D9575" t="n">
        <v>36</v>
      </c>
      <c r="E9575" t="n">
        <v>31</v>
      </c>
      <c r="F9575">
        <f>HYPERLINK("https://www.reddit.com/r/cancer/comments/gu7kuz/cancer_can_go_ahead_and_eat_fucking_shit/")</f>
        <v/>
      </c>
      <c r="G9575" t="inlineStr">
        <is>
          <t>2020-05-31 14:39:54</t>
        </is>
      </c>
      <c r="H9575" t="inlineStr"/>
    </row>
    <row r="9576">
      <c r="A9576" t="inlineStr">
        <is>
          <t>gu9iao</t>
        </is>
      </c>
      <c r="B9576" t="inlineStr">
        <is>
          <t>PET scan panic</t>
        </is>
      </c>
      <c r="C9576" t="inlineStr">
        <is>
          <t>I had my routine scan Friday. My last scan showed one tumor grew 1 cm, while my lymph nodes all shrank and are all under 1 cm. My doc called it a mixed bag but overall positive, and that this scan would see what direction we needed to go in although in her opinion Opdivo is still doing the trick. She thought the growth could be dead cells. As the tech was getting me all ready to leave, she had me hang out so she could "take a look at your pictures." I do have a small pericardial effusion and a small lung collapse, so I'm hoping she just saw those and was double checking the notes. She popped out and told me that she checks her pictures for all patients before they leave, and to please go and enjoy the weekend. It just didn't feel right to me. I know techs have a good idea of what they're looking at, I wish they could just give us a general idea.</t>
        </is>
      </c>
      <c r="D9576" t="n">
        <v>1</v>
      </c>
      <c r="E9576" t="n">
        <v>3</v>
      </c>
      <c r="F9576">
        <f>HYPERLINK("https://www.reddit.com/r/cancer/comments/gu9iao/pet_scan_panic/")</f>
        <v/>
      </c>
      <c r="G9576" t="inlineStr">
        <is>
          <t>2020-05-31 16:33:21</t>
        </is>
      </c>
      <c r="H9576" t="inlineStr"/>
    </row>
    <row r="9577">
      <c r="A9577" t="inlineStr">
        <is>
          <t>gubtuh</t>
        </is>
      </c>
      <c r="B9577" t="inlineStr">
        <is>
          <t>Burkitt’s Lymphoma</t>
        </is>
      </c>
      <c r="C9577" t="inlineStr">
        <is>
          <t>My fiancé was recently diagnosed with stage IV Burkitt’s lymphoma. Without going into too much detail, we discovered a mass on his right shoulder and it grew to the size of a baseball. He also has large masses on his adrenal glands, and it is beginning to spread to other areas. This coming week he will start chemo treatments, 5 days inpatient on R-EPOCH. I would love to hear other’s experiences and any answers to the following questions...
1. What should we expect during chemo? 
2. What should he have with him in the hospital and at home afterwards?
For those going through the same thing,
-did you apply for disability? If so, what was the process like?
-did you use a sperm bank? What was that process like? 
Thank you💜</t>
        </is>
      </c>
      <c r="D9577" t="n">
        <v>1</v>
      </c>
      <c r="E9577" t="n">
        <v>3</v>
      </c>
      <c r="F9577">
        <f>HYPERLINK("https://www.reddit.com/r/cancer/comments/gubtuh/burkitts_lymphoma/")</f>
        <v/>
      </c>
      <c r="G9577" t="inlineStr">
        <is>
          <t>2020-05-31 19:00:44</t>
        </is>
      </c>
      <c r="H9577" t="inlineStr"/>
    </row>
    <row r="9578">
      <c r="A9578" t="inlineStr">
        <is>
          <t>gubwo4</t>
        </is>
      </c>
      <c r="B9578" t="inlineStr">
        <is>
          <t>Taking my mom to radiotherapy later today</t>
        </is>
      </c>
      <c r="C9578" t="inlineStr">
        <is>
          <t>Any advice on what to expect? How does it feel during and after?</t>
        </is>
      </c>
      <c r="D9578" t="n">
        <v>1</v>
      </c>
      <c r="E9578" t="n">
        <v>2</v>
      </c>
      <c r="F9578">
        <f>HYPERLINK("https://www.reddit.com/r/cancer/comments/gubwo4/taking_my_mom_to_radiotherapy_later_today/")</f>
        <v/>
      </c>
      <c r="G9578" t="inlineStr">
        <is>
          <t>2020-05-31 19:05:54</t>
        </is>
      </c>
      <c r="H9578" t="inlineStr"/>
    </row>
    <row r="9579">
      <c r="A9579" t="inlineStr">
        <is>
          <t>gucjz7</t>
        </is>
      </c>
      <c r="B9579" t="inlineStr">
        <is>
          <t>Canada Cancer Society Fundraiser ❤️</t>
        </is>
      </c>
      <c r="C9579" t="inlineStr">
        <is>
          <t>https://support.cancer.ca/site/TR/RelayForLife/RFL_NW_odd_?px=13420666&amp;amp;pg=personal&amp;amp;fr_id=27316&amp;amp;s_locale=en_CA
Hello all, I’m a cofounder for an non-profit organization named Your Hand in Mine and this is my first fundraiser. I’m determined to make a difference by participating in the Canadian Cancer Society Relay For Life. This is a nationwide event that brings people together to celebrate survivors including my mother, honour those we’ve lost and show that no one has to face cancer alone. By making a donation, you can help fund Canada’s most promising research, vital support services for patients and their families, and other important work that could change the future of cancer.</t>
        </is>
      </c>
      <c r="D9579" t="n">
        <v>1</v>
      </c>
      <c r="E9579" t="n">
        <v>3</v>
      </c>
      <c r="F9579">
        <f>HYPERLINK("https://www.reddit.com/r/cancer/comments/gucjz7/canada_cancer_society_fundraiser/")</f>
        <v/>
      </c>
      <c r="G9579" t="inlineStr">
        <is>
          <t>2020-05-31 19:51:13</t>
        </is>
      </c>
      <c r="H9579" t="inlineStr"/>
    </row>
    <row r="9580">
      <c r="A9580" t="inlineStr">
        <is>
          <t>gude8z</t>
        </is>
      </c>
      <c r="B9580" t="inlineStr">
        <is>
          <t>Mom Diagnosed with Stage 4 colon cancer which spread to several sites on the liver.</t>
        </is>
      </c>
      <c r="C9580" t="inlineStr">
        <is>
          <t>She had surgery to remove a mass in the colon and since has had a colostomy put in. I'm curious how much success others have had with other healing modalities, either in conjunction with chemo/radiation or without. Also any recommended dietary changes to increase changes of remission? My mom will be 60 in july.</t>
        </is>
      </c>
      <c r="D9580" t="n">
        <v>1</v>
      </c>
      <c r="E9580" t="n">
        <v>6</v>
      </c>
      <c r="F9580">
        <f>HYPERLINK("https://www.reddit.com/r/cancer/comments/gude8z/mom_diagnosed_with_stage_4_colon_cancer_which/")</f>
        <v/>
      </c>
      <c r="G9580" t="inlineStr">
        <is>
          <t>2020-05-31 20:51:26</t>
        </is>
      </c>
      <c r="H9580" t="inlineStr"/>
    </row>
    <row r="9581">
      <c r="A9581" t="inlineStr">
        <is>
          <t>gue1or</t>
        </is>
      </c>
      <c r="B9581" t="inlineStr">
        <is>
          <t>I begin my treatment tomorrow.</t>
        </is>
      </c>
      <c r="C9581" t="inlineStr">
        <is>
          <t>This is a lot to unleash and I'm devastated.
My baby sister means the world to me. I have four surviving younger siblings, having lost two of my younger sisters (ages ages 14 and 17) and my older brother (age 19) in late 2016 in a fatal car accident. My sister and her twin brother are seven, and then we have identical twin brothers who are 12. Biologically, she is my cousin and because at the time, I was living with this aunt, I was in the delivery room and not only got to name her, but was also able to hold her within minutes of her birth, so of course, she holds a special place in my heart. Don't get me wrong - all of my siblings are incredibly important to me and I would do anything for each and every one of them, but my sister somehow chose me back. She and her brother were adopted by my stepmother when they were around three months old because my aunt ended up passing away due to complications from labor and the nursery was also the spare room. I didn't even mind sharing a room with the twins up until I left for college (15 year age difference!) and I feel like I played a huge part in raising my baby sister and brother. Leaving them was one of the hardest things I had ever done and I still regret choosing a school that required me to move 2 hours away. I didn't go far, and we facetimed daily and I visited almost every month.
On May 1st, the day after I found out that my own cancer had relapsed and before I was able to notify my stepmom, my family discovered that she had a rare brain cancer with no cure; it is called DIPG. My stomach dropped and I realized that I couldn't tell my family about my relapse yet. Also, having met and loved many other kids with DIPG, I knew the prognosis and begged my stepmom to do radiation and steroids, everything possible to save her or at least prolong her life. We realized that radiation wasn't an option during the first round, and I was devastated. That night, at home, my stepmom offered me an enormously precious gift - she asked if I would be the one holding her at the very end as she left, because I had held her as she entered into this world.
I cried so hard when she asked me because I had been thinking about it and I had wanted to ask, but I didn't feel like I had the right to do so. When I was younger, I was a really terrible step-daughter. I met her when I was ten years old, distrusting and emotionally damaged by my biological parents and experiences in foster care, and so I was such a nightmare, biting and punching and just hurting her and she just put on her long-sleeves to cover the welts, repeat that I was safe and loved and that the spare bedroom was always open for me, and pour so much time and money into therapy and psychiatric in-patient facilities for a kid that wasn't even hers. And at the time, she had five kids, two of whom had just been born. I was so angry that this woman had taken my dad and that her five kids hadn't gone through what I had gone through but through it all, she was there, even driving five hours away to visit me for an hour, and then driving five hours back. My sister is her daughter, and I didn't want to take anything away from that.
Because my sister was declining so quickly, I decided to postpone my treatment (the pandemic makes it pretty difficult anyway) so that I wouldn't be too sick to be there. It was extremely difficult realizing that the sooner I could begin treatment, the better my chances would be, but then the shorter my sister's life would be. And the decline was so fast. It was too fast. Amidst all of this, two of my brothers turned 12 on the 18th and it was so incredibly hard.
And finally, earlier today, at 1:24pm on 5/31/2020, surrounded by five of the people who loved her the most, my wonderful, adorable, spunky, quirky, loving baby sister painlessly gained her angel wings and joined three of my best friends, my sisters and brother, after a short but fierce 30 day fight with DIPG.
Tomorrow, I return to my apartment and have a call scheduled with my oncologists so we can discuss what the plan is now moving forward. I'm so exhausted from what has happened this month and I'm hurting for my brothers but especially for my stepmom.</t>
        </is>
      </c>
      <c r="D9581" t="n">
        <v>0</v>
      </c>
      <c r="E9581" t="n">
        <v>2</v>
      </c>
      <c r="F9581">
        <f>HYPERLINK("https://www.reddit.com/r/cancer/comments/gue1or/i_begin_my_treatment_tomorrow/")</f>
        <v/>
      </c>
      <c r="G9581" t="inlineStr">
        <is>
          <t>2020-05-31 21:40:10</t>
        </is>
      </c>
      <c r="H9581" t="inlineStr"/>
    </row>
    <row r="9582">
      <c r="A9582" t="inlineStr">
        <is>
          <t>guhfj2</t>
        </is>
      </c>
      <c r="B9582" t="inlineStr">
        <is>
          <t>How long does it take for women’s hair to grow back after chemo?</t>
        </is>
      </c>
      <c r="C9582" t="inlineStr">
        <is>
          <t>My last chemo appointment is next week and I am super excited! I’ve lost 70% of my hair and I can’t bare myself to cut off the little piece I have left and I’m struggling to decide if I should cut it off now or wait until my hair grows back and then cut the hair?  I’m extremely insecure about my balding head and I don’t know where to buy proper wigs or where I can get it installed. Does anyone know how long it takes to grow your hair back to atleast shoulder length??</t>
        </is>
      </c>
      <c r="D9582" t="n">
        <v>1</v>
      </c>
      <c r="E9582" t="n">
        <v>13</v>
      </c>
      <c r="F9582">
        <f>HYPERLINK("https://www.reddit.com/r/cancer/comments/guhfj2/how_long_does_it_take_for_womens_hair_to_grow/")</f>
        <v/>
      </c>
      <c r="G9582" t="inlineStr">
        <is>
          <t>2020-06-01 02:24:11</t>
        </is>
      </c>
      <c r="H9582" t="inlineStr"/>
    </row>
    <row r="9583">
      <c r="A9583" t="inlineStr">
        <is>
          <t>guhnho</t>
        </is>
      </c>
      <c r="B9583" t="inlineStr">
        <is>
          <t>Dad and the post-cancer blues</t>
        </is>
      </c>
      <c r="C9583" t="inlineStr">
        <is>
          <t>Hi all, have also posted in other locations, hope that is alright. 
The good: My dad successfully beat bladder cancer :D! Diagnosed in the fall, chemo in the winter, bladder removed in the spring, fully recovered from surgery and no signs of cancer anywhere else. 
The worrying: Talking to him, I worry that he has turned this victory into a defeat. There is a 50% chance of the cancer recurring somewhere else in the next five years, and with nothing else to do in the time of Covid it seems like he is in a period of deep rumination on his own mortality, talking about how he doesn't think he'd want to go through all that a second time. I'm totally accepting of people's right to things like a DNR and not to suffer unnecessarily, but I worry that there is nothing he seems to want to live for, nothing pulling him to life and not much to look forward to besides decades of slow, potentially painful aging. 
He was also on opiates recovering from the surgery, and has been cutting back (withdrawal irritation?). Now mostly tylenol and CBD for sleep.
My parents are retired in their 60s, don't have many friends, and the things that brought him joy (swimming, volunteering) are currently off-limits. Hopefully that changes sooner than later. My sister lives across the country, and I live across an ocean so it's not possible for us to see him more than a few times a year, but I have been stepping up with more phone calls, sharing photos, getting them little gifts etc.
Cancer survivors, patients, and concerned offspring - I'd love to hear how you overcame this sort of depression and what has brought meaning to you in life. 
Everyone here dealing with cancer yourself - I wish you all the best, and hope you are able to find the love and support you are looking for.</t>
        </is>
      </c>
      <c r="D9583" t="n">
        <v>1</v>
      </c>
      <c r="E9583" t="n">
        <v>0</v>
      </c>
      <c r="F9583">
        <f>HYPERLINK("https://www.reddit.com/r/cancer/comments/guhnho/dad_and_the_postcancer_blues/")</f>
        <v/>
      </c>
      <c r="G9583" t="inlineStr">
        <is>
          <t>2020-06-01 02:43:28</t>
        </is>
      </c>
      <c r="H9583" t="inlineStr"/>
    </row>
    <row r="9584">
      <c r="A9584" t="inlineStr">
        <is>
          <t>guiiqm</t>
        </is>
      </c>
      <c r="B9584" t="inlineStr">
        <is>
          <t>it's getting hard to visit my cousin</t>
        </is>
      </c>
      <c r="C9584" t="inlineStr">
        <is>
          <t>Stage 4 B osteosarcoma. She went from limping, to only being able to walk with strong support, to unable to stand in a month. Every weekend I go see her the tumors I can see from the outside of her body (knee, wrist, shoulder, neck) just get bigger. The one on her wrist is on her dominant hand so she has reduced function there. I worry what the tumors inside her, that I can't see, are doing. 
The amount of pain she experiences must be insane. The body isn't made to accommodate such large areas of bone. I'm afraid the bone tumors get so big they cause fractures in the bone. 
She just turned 12 and yesterday she had an outburst of how she wish she didn't have cancer, she used to have a good life, and she can't even stand now. It's heartbreaking to hear that from someone so young. 
Her mom doesn't want to put her through more chemo (bad side effects) or radiation therapy. I think it's the right call. Just sad to know I'll have to watch her get worse and worse until she's gone.</t>
        </is>
      </c>
      <c r="D9584" t="n">
        <v>1</v>
      </c>
      <c r="E9584" t="n">
        <v>8</v>
      </c>
      <c r="F9584">
        <f>HYPERLINK("https://www.reddit.com/r/cancer/comments/guiiqm/its_getting_hard_to_visit_my_cousin/")</f>
        <v/>
      </c>
      <c r="G9584" t="inlineStr">
        <is>
          <t>2020-06-01 03:56:13</t>
        </is>
      </c>
      <c r="H9584" t="inlineStr"/>
    </row>
    <row r="9585">
      <c r="A9585" t="inlineStr">
        <is>
          <t>gukgw5</t>
        </is>
      </c>
      <c r="B9585" t="inlineStr">
        <is>
          <t>Recommended foods for nausea? Mushy food recipes please</t>
        </is>
      </c>
      <c r="C9585" t="inlineStr">
        <is>
          <t>My mom is in the middle of chemo and radiation treatments. She’s having trouble keeping food down and eating anything at all. Mushy plain foods seem to be okay in small quantities. Any suggestions on what I can make her? 
She’s starting to get sick of mushy carrots and rice</t>
        </is>
      </c>
      <c r="D9585" t="n">
        <v>1</v>
      </c>
      <c r="E9585" t="n">
        <v>23</v>
      </c>
      <c r="F9585">
        <f>HYPERLINK("https://www.reddit.com/r/cancer/comments/gukgw5/recommended_foods_for_nausea_mushy_food_recipes/")</f>
        <v/>
      </c>
      <c r="G9585" t="inlineStr">
        <is>
          <t>2020-06-01 06:16:59</t>
        </is>
      </c>
      <c r="H9585" t="inlineStr"/>
    </row>
    <row r="9586">
      <c r="A9586" t="inlineStr">
        <is>
          <t>guls93</t>
        </is>
      </c>
      <c r="B9586" t="inlineStr">
        <is>
          <t>New here. Just need to share to find some peace of mind.</t>
        </is>
      </c>
      <c r="C9586" t="inlineStr">
        <is>
          <t>My grandfather is 70. For all my life, I’ve known him as an independent, hard working, no shit taking, amazing man. He has always been Bob the Builder to me and my family. He could make or fix anything. And I mean, anything. If he didn’t know how, he would figure it out. He owned a business with his friend and they did awesome Baltimore row home restorations and other renovations. He was my grandmothers keeper and our strength and shoulder to lean on when she was sick for many years and then again when she was passing. 
He’s been living alone in a camper in a small little campground in PA during the warmer months. He is head of the campground, he finalizes deals on lots and takes care of all the upkeep. In March, we found out he has lung cancer. Shortly after, he began having severe back pain and we found out the cancer spread to his spine and he developed bone cancer. He started needing to walk with a walking stick to get places, and then went to needing it just when he was standing. The back pain intensified and he was hospitalized because of how bad his pain level was. He went through some treatments, all to which had no positive outcome. After these treatments, the spots of cancer had basically all doubled in size. About a week and a half ago while my mom and dad were up at the campground in their own trailer, he called my mom in the middle of the night telling her he couldn’t breathe. He had developed pneumonia in his lung and his oxygen level was at 60% when he arrived at the hospital. He was in there a few days, put on steroids and other medications and he said he actually felt great when they were ready to discharge him. I did forget to mention that when he was in the hospital for his back pain they discovered that the pain was so intense because the cancer is separating the vertebra of his spine and causing tissue to fill into these spaces. So they scheduled him to have a procedure where they would fill in these spaces with a resin. In the meantime they loaded him up with pain killers to help manage the pain and provide him some relief. 
Well, fast forward to last night. I’m here with my mom and kids. My mom has been cooking his meals and checking on him the last week or so. Going back and forth from here to home and back. Yesterday was a decent day. He even felt good enough to go for a golf cart ride around the campground yesterday morning. After the day was done, my mom and I relaxed by the fire and talked about all the craziness going on right now. The boys were put to bed and my mom hopped in the shower. After a few minutes of her in the shower her phone rings. She asked me to look and see who it was, in case it was my grandfather. It was a bel air number and didn’t come up with a name. It was after 10pm and we were very confused and she told me not to answer it. Well it called again immediately after and she told me to answer it and it’s my grandfather in hysterics telling us to call 911. So Now we’re freaking out and my mom is naked with soap in her hair and I’m like GTFO OF THE SHOWER LETS GO IM CALLING 911! And I was getting really impatient with all the questions being asked in light of how terrible he sounded and how I didn’t know what was actually going on. She flies up to his camper in the golf cart and got there before me. Shes standing in the doorway sobbing and he’s yelling and I’m like what the fuck is happening right now?! She says he hurt his neck, he fell. And I’m like Jesus...imagining him lying there unable to move and in terrible pain. I didn’t want to see him like that. I call 911 back to give them an update on what we were dealing with and ask how long they will be to which they give me no ETA. That pissed me off because now my anxiety was going into full gear and I’m starting to sob and hyperventilate and shake from hearing HIM, my grown ass grandfather, crying uncontrollably and yelling and I’m just like I can’t do this. I decided to walk down to the road to wait for the ambulance. 10 minutes goes by, I can hear him yelling from where I am and I’m getting really agitated. I’m yelling now and cussing out EMS and willing this ambulance to be here already. I called 911 back AGAIN and I could tell she was frustrated by I put her in her place and told her I hope she would be doing the same thing for her grandfather if she was in my shoes. This is getting long so...the ambulance arrives and I walk back to the trailer. He’s sitting in his chair unable to move his neck, holding onto his sticks and shaking. My mom is a mess. I still don’t know what happened at this point exactly. But I know it’s bad. They tell me to go back with the boys now that help is here. An hour and a half later I was still having an anxiety attack and unable to sleep when my mom finally returns. 
My grandfather had just been washing his head, and his neck snapped. No lie, he said he felt a snap or a pop and was overwhelmed with pain. He has been on morphine and oxycodone and the pain was still unexplainable. My mom said at one point she thought he might pass out from it. He told her he felt like his head was going to fall off. 
The left side of his neck was where the issue was and he said he couldn’t straighten it or move it at all. He literally broke his neck. The C2 Vertebra is fractured. She said he was yelling and crying for the Lord to take him because of the pain he was in. I am just beside myself right now. I am scarred from last night. I keep hearing his cries in my head. My agile, healthy, strong, do-it-all grandfather is dying and it’s not pretty or graceful. He is suffering through every bit of it and there’s not much any of us can do. He is under a DNR. He doesn’t want to be brought back to this world of hurt if he starts to go to the light. Cancer is a bitch.
EDIT: His cancer is stage 4 and has progressed this drastically only since the end of March.</t>
        </is>
      </c>
      <c r="D9586" t="n">
        <v>1</v>
      </c>
      <c r="E9586" t="n">
        <v>3</v>
      </c>
      <c r="F9586">
        <f>HYPERLINK("https://www.reddit.com/r/cancer/comments/guls93/new_here_just_need_to_share_to_find_some_peace_of/")</f>
        <v/>
      </c>
      <c r="G9586" t="inlineStr">
        <is>
          <t>2020-06-01 07:39:35</t>
        </is>
      </c>
      <c r="H9586" t="inlineStr"/>
    </row>
    <row r="9587">
      <c r="A9587" t="inlineStr">
        <is>
          <t>guo1lo</t>
        </is>
      </c>
      <c r="B9587" t="inlineStr">
        <is>
          <t>How do you manage your Li Fraumeni or FAP condition? Looking for feedback</t>
        </is>
      </c>
      <c r="C9587" t="inlineStr">
        <is>
          <t>Hi Reddit,
I am a student at university working on a tool to help people with Li Fraumeni or FAP syndromes manage their condition. I am looking for people who'd be willing to have a phone/video interview for 20 to 30 mins and talk about your experience (or simply post below if you are shy!). I want to know what you have gone through, the goods, the bads, and how you keep up with your recurring scans. Your feedback will guide how this tool will look like and hopefully help other people who are going through or will go through what you already have.
You can PM me or comment on the post. Would appreciate other tips or communities I could reach out to if you know of any. Thanks a lot!</t>
        </is>
      </c>
      <c r="D9587" t="n">
        <v>0</v>
      </c>
      <c r="E9587" t="n">
        <v>0</v>
      </c>
      <c r="F9587">
        <f>HYPERLINK("https://www.reddit.com/r/cancer/comments/guo1lo/how_do_you_manage_your_li_fraumeni_or_fap/")</f>
        <v/>
      </c>
      <c r="G9587" t="inlineStr">
        <is>
          <t>2020-06-01 09:47:45</t>
        </is>
      </c>
      <c r="H9587" t="inlineStr"/>
    </row>
    <row r="9588">
      <c r="A9588" t="inlineStr">
        <is>
          <t>guo9kg</t>
        </is>
      </c>
      <c r="B9588" t="inlineStr">
        <is>
          <t>If You're A Cancer Patient, Your Insights Could Help Make Cancer Research Patient-Centric. Understanding The Challenges You're Facing During The COVID-19 Pandemic (And In General) Is Important To Upcoming Research. Help Us To Champion The Patient Voice And Make Positive Change.</t>
        </is>
      </c>
      <c r="C9588" t="inlineStr">
        <is>
          <t>Hi all,
Leapcure are looking for insights from cancer patient communities, to inform and potentially improve what patients experience when participating in research/clinical trials; we want to ensure the research world is as patient-centric as possible. The insights you provide will be used only to support and inform the safety and comfort of participants in upcoming clinical trials for different forms of cancer. 
In this COVID-19 pandemic especially, we're trying to get an understanding of the changes and difficulties you are facing i.e. reduced access to your usual treatment plan/physician. The more we can understand the challenges you are facing, the more we can try to adjust the way we work.
**Please spare 20 minutes to share any views you feel comfortable with sharing:** [**https://www.surveygizmo.com/s3/5623309/Insights-for-Patient-Centered-Cancer-Research**](https://www.surveygizmo.com/s3/5623309/Insights-for-Patient-Centered-Cancer-Research)
If you are interested in hearing about the clinical trial opportunities, the survey will give you the option of submitting your preferred contact details so we can get in touch when they begin enrolling. 
Thank you!</t>
        </is>
      </c>
      <c r="D9588" t="n">
        <v>2</v>
      </c>
      <c r="E9588" t="n">
        <v>0</v>
      </c>
      <c r="F9588">
        <f>HYPERLINK("https://www.reddit.com/r/cancer/comments/guo9kg/if_youre_a_cancer_patient_your_insights_could/")</f>
        <v/>
      </c>
      <c r="G9588" t="inlineStr">
        <is>
          <t>2020-06-01 09:59:29</t>
        </is>
      </c>
      <c r="H9588" t="inlineStr"/>
    </row>
    <row r="9589">
      <c r="A9589" t="inlineStr">
        <is>
          <t>gupad9</t>
        </is>
      </c>
      <c r="B9589" t="inlineStr">
        <is>
          <t>If You're A Cancer Patient, Your Insights Could Help Make Cancer Research Patient-Centric. Understanding The Challenges You're Facing During The COVID-19 Pandemic (And In General) Is Important To Upcoming Research. Help Us To Champion The Patient Voice And Make Positive Change.</t>
        </is>
      </c>
      <c r="C9589" t="inlineStr">
        <is>
          <t>Hi all,
Leapcure are looking for insights from cancer patient communities, to inform and potentially improve what patients experience when participating in research/clinical trials; we want to ensure the research world is as patient-centric as possible. The insights you provide will be used only to support and inform the safety and comfort of participants in upcoming clinical trials for different forms of cancer.
In this COVID-19 pandemic especially, we're trying to get an understanding of the changes and difficulties you are facing i.e. reduced access to your usual treatment plan/physician. The more we can understand the challenges you are facing, the more we can try to adjust the way we work.
**Please spare 20 minutes to share any views you feel comfortable with sharing:** [**https://lpcu.re/PatientCentricCancerResearch**](http://lpcu.re/PatientCentricCancerResearch)
If you are interested in hearing about the clinical trial opportunities, the survey will give you the option of submitting your preferred contact details so we can get in touch when they begin enrolling.
Thank you from the Leapcure team.  
www.leapcure.com</t>
        </is>
      </c>
      <c r="D9589" t="n">
        <v>2</v>
      </c>
      <c r="E9589" t="n">
        <v>2</v>
      </c>
      <c r="F9589">
        <f>HYPERLINK("https://www.reddit.com/r/cancer/comments/gupad9/if_youre_a_cancer_patient_your_insights_could/")</f>
        <v/>
      </c>
      <c r="G9589" t="inlineStr">
        <is>
          <t>2020-06-01 10:53:15</t>
        </is>
      </c>
      <c r="H9589" t="inlineStr"/>
    </row>
    <row r="9590">
      <c r="A9590" t="inlineStr">
        <is>
          <t>gupr4u</t>
        </is>
      </c>
      <c r="B9590" t="inlineStr">
        <is>
          <t>Why can’t you just go away.</t>
        </is>
      </c>
      <c r="C9590" t="inlineStr">
        <is>
          <t>My sister had Aplastic anemia when she was 9 years old.  Fought it and won now she is 35 with stage 2 esophageal cancer.  She is unable to have surgery so her treatment will be chemotherapy and radiation.  It’s heart wrenching to see her go through chemo/radiation therapy all over again.  We’re only 11 months apart so she’s been my best friend all my life and I’m devastated.  Even as I type this the tears won’t stop rolling down my face.  The hardest part was she waited to tell me until I finished my second semester of nursing school so now I feel like I lost some precious time with her.  Even with schooling I’m at a loss of what to do and don’t know how to help.  I just love her so much and I’m so scared of losing her.</t>
        </is>
      </c>
      <c r="D9590" t="n">
        <v>2</v>
      </c>
      <c r="E9590" t="n">
        <v>11</v>
      </c>
      <c r="F9590">
        <f>HYPERLINK("https://www.reddit.com/r/cancer/comments/gupr4u/why_cant_you_just_go_away/")</f>
        <v/>
      </c>
      <c r="G9590" t="inlineStr">
        <is>
          <t>2020-06-01 11:17:05</t>
        </is>
      </c>
      <c r="H9590" t="inlineStr"/>
    </row>
    <row r="9591">
      <c r="A9591" t="inlineStr">
        <is>
          <t>gupuc8</t>
        </is>
      </c>
      <c r="B9591" t="inlineStr">
        <is>
          <t>Help with a doubt about phosphoethanolamine</t>
        </is>
      </c>
      <c r="C9591" t="inlineStr">
        <is>
          <t>Hello guys, I don't know if this break the 5th rule, but I'll explain the situation. My grandma have lung cancer and she is 74 yo. The doctors said they would treat her with radiation therapy because she wouldn't resist chemo. My mom is desperate and she trying everything she knows to keep my grandma alive. So she knew about the phosphoethanolamine and now that my grandma has cancer she is searching to see if this chemical can help. Have you heard about it? I really know nothing I'm trying to help my mom
Edit: any information is appreciated and I don't know how famous this chemical is, so if most of you don't know about it, I can edit and explain in the text</t>
        </is>
      </c>
      <c r="D9591" t="n">
        <v>1</v>
      </c>
      <c r="E9591" t="n">
        <v>0</v>
      </c>
      <c r="F9591">
        <f>HYPERLINK("https://www.reddit.com/r/cancer/comments/gupuc8/help_with_a_doubt_about_phosphoethanolamine/")</f>
        <v/>
      </c>
      <c r="G9591" t="inlineStr">
        <is>
          <t>2020-06-01 11:21:49</t>
        </is>
      </c>
      <c r="H9591" t="inlineStr"/>
    </row>
    <row r="9592">
      <c r="A9592" t="inlineStr">
        <is>
          <t>guqfij</t>
        </is>
      </c>
      <c r="B9592" t="inlineStr">
        <is>
          <t>Father 53 year old was diagnosed with buccal carcinoma in March 2019. Surgery and radiation done. Doctor said that he is 80% cancer free after 1 year. How good is this stat? What does this mean?</t>
        </is>
      </c>
      <c r="C9592" t="inlineStr">
        <is>
          <t>He also said that my father is affected by radiation for which they will give laser therapy. What does this mean? Do you know of anyone who had this stat and how are they doing now? He had stage 2 malignant tumor when diagnosed. A lot of lymph nodes have been taken out.
Father hides these things from us. I read this on his whatsapp. What do I say? I am devastated. Why do we have to see this day. I cannot believe that this is happening to us. My brother is a teenager. I am early 20s. Sometimes I want to end it all. I have never been so depressed before. I have faced a lot of problems with strength but now I want to end it all. I want to get rid of this perpetual pain. Nothing ever gets better inmy life. One after the other. We have seeen unbearable days. I have survived brutal beatings , the same father had tried to kill me by suffocating when i was toddler but i am so sorry this is what he is going through . a lot of it is my fault. please tell me what does this mean? 80%? how good is this data? pleae don't lie. i have no one to talk to. i don't know his doctor. he doesn't tell me the truth. please tell me honestly if you know. we are not american. I want to be happy and I want him to be happy. how good is 80% after one year?</t>
        </is>
      </c>
      <c r="D9592" t="n">
        <v>3</v>
      </c>
      <c r="E9592" t="n">
        <v>0</v>
      </c>
      <c r="F9592">
        <f>HYPERLINK("https://www.reddit.com/r/cancer/comments/guqfij/father_53_year_old_was_diagnosed_with_buccal/")</f>
        <v/>
      </c>
      <c r="G9592" t="inlineStr">
        <is>
          <t>2020-06-01 11:52:08</t>
        </is>
      </c>
      <c r="H9592" t="inlineStr"/>
    </row>
    <row r="9593">
      <c r="A9593" t="inlineStr">
        <is>
          <t>guqqtr</t>
        </is>
      </c>
      <c r="B9593" t="inlineStr">
        <is>
          <t>Should my immediate family and I get checked?</t>
        </is>
      </c>
      <c r="C9593" t="inlineStr">
        <is>
          <t>My family is no stranger to two things: Cancer, and Diabetes. 
A bit of family history in point form:
• One of my uncle's on my mom's side passed in his early 30's to cancer (unknown what type).
• One of my youngest cousins on my mom's side was diagnosed with cancer at 5 years old in his spinal cord (just below his brain). He is almost 9 now and in and out of remission, but doing ok from the last time I checked in.
• Uncle (1) on my dad's side passed from a very fast moving cancer 2 years ago (unknown type, as we didn't know he had it until after he passed)
• Uncle (2) on my dad's side is T1D
• Grandma on my dad's side is T2D. March 2020 she is diagnosed with breast cancer, May 2020 she has a full mastectomy.
• Sister (1) diagnosed with T1D 3 years ago
• My 2 other sisters and I got checked for diabetes after sister 1 was diagnosed, everyone is fine, I have Hypoglycemia but it's manageable
• November 2019 Sister (2) started developing a mass on her shoulder blade (in the bone). January 2020 she began getting it checked by doctors. May 2020 she had the mass removed and had a biopsy done. Today (June 1) she got the results of her biopsy back, she has Carcinosarcoma and will need to go for further testing.
With all of the history of cancer in my family especially with the most recent one being from my sister, should the rest of my immediate family and I be checked? Is there anything we can do for her, but also for us?  I'm completely at a loss.</t>
        </is>
      </c>
      <c r="D9593" t="n">
        <v>1</v>
      </c>
      <c r="E9593" t="n">
        <v>7</v>
      </c>
      <c r="F9593">
        <f>HYPERLINK("https://www.reddit.com/r/cancer/comments/guqqtr/should_my_immediate_family_and_i_get_checked/")</f>
        <v/>
      </c>
      <c r="G9593" t="inlineStr">
        <is>
          <t>2020-06-01 12:07:42</t>
        </is>
      </c>
      <c r="H9593" t="inlineStr"/>
    </row>
    <row r="9594">
      <c r="A9594" t="inlineStr">
        <is>
          <t>gurka6</t>
        </is>
      </c>
      <c r="B9594" t="inlineStr">
        <is>
          <t>My grandma has cancer</t>
        </is>
      </c>
      <c r="C9594" t="inlineStr">
        <is>
          <t>hi guys. my grandma, who’s in her 70s, got the news she had breast cancer about a year and a half ago. it wasn’t too aggressive, and she got a mastectomy. but ever since she got her breasts out, and got implants, she’s been in constant pain, all day every day. she had the implants removed two weeks ago, but she’s still hurting and the doctors say she doesn’t have any infections or anything so it’s most likely something psychological. i was just wondering if any of you guys have any advice that relates to alternative medicine that may help her, in addition to her traditional medicine treatment, that may help her w the pain, whether that’s meditation, herbal drinks or anything that may get her spirits back up. thanks!</t>
        </is>
      </c>
      <c r="D9594" t="n">
        <v>1</v>
      </c>
      <c r="E9594" t="n">
        <v>1</v>
      </c>
      <c r="F9594">
        <f>HYPERLINK("https://www.reddit.com/r/cancer/comments/gurka6/my_grandma_has_cancer/")</f>
        <v/>
      </c>
      <c r="G9594" t="inlineStr">
        <is>
          <t>2020-06-01 12:49:22</t>
        </is>
      </c>
      <c r="H9594" t="inlineStr"/>
    </row>
    <row r="9595">
      <c r="A9595" t="inlineStr">
        <is>
          <t>guyejz</t>
        </is>
      </c>
      <c r="B9595" t="inlineStr">
        <is>
          <t>Just found out my grandfather has cancer.</t>
        </is>
      </c>
      <c r="C9595" t="inlineStr">
        <is>
          <t>Hi guys, so my family just found out my grandpa has cancer. This came as a huge shock to all of us because he’s always been super healthy and my grandpa’s side has never had a history of cancer. Honestly, we think it may have something to do with him being a welder for 40 years and when he started, there wasn’t any PPE for them. We’re still waiting to figure out what stage it’s in. Me and my godmother are taking it the hardest. Honestly, I’m not even sure how to mentally cope with it.</t>
        </is>
      </c>
      <c r="D9595" t="n">
        <v>1</v>
      </c>
      <c r="E9595" t="n">
        <v>0</v>
      </c>
      <c r="F9595">
        <f>HYPERLINK("https://www.reddit.com/r/cancer/comments/guyejz/just_found_out_my_grandfather_has_cancer/")</f>
        <v/>
      </c>
      <c r="G9595" t="inlineStr">
        <is>
          <t>2020-06-01 19:09:40</t>
        </is>
      </c>
      <c r="H9595" t="inlineStr"/>
    </row>
    <row r="9596">
      <c r="A9596" t="inlineStr">
        <is>
          <t>guyq97</t>
        </is>
      </c>
      <c r="B9596" t="inlineStr">
        <is>
          <t>I’m losing my wife, my best friend and it’s killing me inside</t>
        </is>
      </c>
      <c r="C9596" t="inlineStr">
        <is>
          <t>As I write this I’m laying next to my wife. She doesn’t have many days left. And I’m taking her home tomorrow to be around friends and family. There’s nothing else they can do and her condition has just rapidly declined so fast the past few days. It fucking kills me seeing how bad things have gotten. It kills me when her parents see her. I’ve always been the “strong one” having a pretty rough background I’ve been able to mentally handle whatever life brought my way. But this is eating me from the inside out. Everything hurts so bad. I have a teledoc appointment made for tomorrow in hopes my DR will have pity on me and prescribe something for the nonstop headaches and bottled up depression. I’ve never been good at opening up or therapy despite how well that’s helped people. I think they’re fortunate therapy works for them. I guess I’m just writing this knowing someone will read it. This just sucks so fucking bad. We’re both early 30s and I’m so mad at life for robbing her of so much time. She’s such an amazing person with so many people who love her. Truly a selfless person. Even after she passes she wanted to donate her body to science. She’s my best friend, my forever number 1, my wife. I love her so much and i don’t know what else to say or do at this point. Fuck cancer</t>
        </is>
      </c>
      <c r="D9596" t="n">
        <v>1</v>
      </c>
      <c r="E9596" t="n">
        <v>31</v>
      </c>
      <c r="F9596">
        <f>HYPERLINK("https://www.reddit.com/r/cancer/comments/guyq97/im_losing_my_wife_my_best_friend_and_its_killing/")</f>
        <v/>
      </c>
      <c r="G9596" t="inlineStr">
        <is>
          <t>2020-06-01 19:29:56</t>
        </is>
      </c>
      <c r="H9596" t="inlineStr"/>
    </row>
    <row r="9597">
      <c r="A9597" t="inlineStr">
        <is>
          <t>guywee</t>
        </is>
      </c>
      <c r="B9597" t="inlineStr">
        <is>
          <t>Endometrial Cancer</t>
        </is>
      </c>
      <c r="C9597" t="inlineStr">
        <is>
          <t>I will apologize in advance...this is long.
This is my first time posting or talking about this outside of my friends and family, but I wanted some insight from the community. I know that there are many cancers worse than what I have and that I have it better than most, but I'm feeling a little lost and could use some advice.
 I first got my period when I was around 11? and then did not get it again until I was 19. It came hard and fast and clots were just flowing out. (Sorry for the imagery) I thought I was dying. I went to the doctor and he said he thought I had Polycystic Ovarian Syndrome (PCOS). I had cysts on my ovaries (went through several doctors to find out where they were) and that they weren't cancerous. I continued having irregular periods and pain for a while and found out that one day while trying to donate blood that I was severely anemic. The doctor said they were too small to remove and just put me on birth control.
 Fast forward four years, I had moved to a different state and went to the GYN after not going for a while due to bad experiences and thankfully she decided to do a biopsy instead of just giving me more meds as my other doctors did. The biopsy came back abnormal showing pre-cancerous and she sent me to a gynecologic oncologist in the fall of 2017. He decided to do a dilation and curettage (D&amp;amp;C) procedure. A few months later, I got a hormonal IUD implant to help it not grow back. Fast forward 6 months and I had a checkup biopsy and this time the results were cancer. I was diagnosed with endometrial cancer in the fall of 2018. I was scared but being 24, he thought I was too young to have a hysterectomy and decided to do hormone treatment. Ever since then my biopsies have been negative and he tried to take me off of the hormones last year but I had a violent reaction and when I called the office they told me to start taking them again immediately. It is now 2020 and I have been on this hormone therapy for almost 2 years and he decided that I can stop again at the end of Feb 2020. Mid-March, I started having bleeding and intense pain like last year and the bleeding lasted off and on for more than one month. 
I met with him this Thursday and had another biopsy and he would like to schedule another MRI to see what is going on. He said I may need another D&amp;amp;C and that the biopsies are not always completely accurate. He said biopsies can tell about 75% of the time since they are taking tissue from one area not all over. He also said it is hard to get a biopsy around my IUD. Honestly, I'm scared. I'm now almost 26 and have been stressing about this issue and have been in pain for many years and I'm just exhausted. These biopsies are painful and I am in pain for hours after. I usually have to take the day off of work. I have honestly been thinking about calling him and telling him I no longer wish to preserve fertility to just be done. I keep thinking of the "best-case scenario" and that is that the biopsy is negative, the MRI shows good results and I just need to go back on hormones and continually get biopsies regularly for the next few years and then yearly after that. 
Is it outrageous to be sick and tired of this? I know my biopsies have been negative, but what if one day they won't be anymore? I called my doctor to see what the next step would be if I decided to not preserve fertility and I haven't heard back yet. Is it selfish of me to do that? Am I making too big of a deal out of it? On the other hand, I'm also a little scared of having major surgery like a hysterectomy. I live with roommates and I have friends here but my closest family lives states away. I would also need to take weeks off of work. I am just looking for support and any advice you can give. 
&amp;amp;#x200B;
Thank you so much. I'm sorry this is so long.</t>
        </is>
      </c>
      <c r="D9597" t="n">
        <v>1</v>
      </c>
      <c r="E9597" t="n">
        <v>10</v>
      </c>
      <c r="F9597">
        <f>HYPERLINK("https://www.reddit.com/r/cancer/comments/guywee/endometrial_cancer/")</f>
        <v/>
      </c>
      <c r="G9597" t="inlineStr">
        <is>
          <t>2020-06-01 19:40:51</t>
        </is>
      </c>
      <c r="H9597" t="inlineStr"/>
    </row>
    <row r="9598">
      <c r="A9598" t="inlineStr">
        <is>
          <t>guznvh</t>
        </is>
      </c>
      <c r="B9598" t="inlineStr">
        <is>
          <t>THC/CBD in China?</t>
        </is>
      </c>
      <c r="C9598" t="inlineStr">
        <is>
          <t>Hi all,
This is new to me. My uncle (youngest brother of my mom, but i grew up with him and basically see him as my older brother) is diagnosed with liver cancer and just had radiation. He can’t hold up his food and by looking thru some threads here I see CBD/THC could help a lot. The problem is that he is in a hospital in Shanghai and I think it’s very hard to get CBD/THC in china.
Are there any other things that can help against the pain, nausea and vomiting? 
His liver cancer has spread to his lungs and places near his heart as well.
I’m based in the Netherlands and don’t know what i can exactly do. Should do. 
If you have any suggestions on what I can do from afar. Anything, please let me know.
Afraid and sad Dutchie</t>
        </is>
      </c>
      <c r="D9598" t="n">
        <v>1</v>
      </c>
      <c r="E9598" t="n">
        <v>0</v>
      </c>
      <c r="F9598">
        <f>HYPERLINK("https://www.reddit.com/r/cancer/comments/guznvh/thccbd_in_china/")</f>
        <v/>
      </c>
      <c r="G9598" t="inlineStr">
        <is>
          <t>2020-06-01 20:32:23</t>
        </is>
      </c>
      <c r="H9598" t="inlineStr"/>
    </row>
    <row r="9599">
      <c r="A9599" t="inlineStr">
        <is>
          <t>guzz4o</t>
        </is>
      </c>
      <c r="B9599" t="inlineStr">
        <is>
          <t>Weirdly Excited</t>
        </is>
      </c>
      <c r="C9599" t="inlineStr">
        <is>
          <t>So this is a little late but my cake day was yesterday and last year I missed it because of surgery, and this year I’m looking at the end of chemotherapy. It just feels like further confirmation of my progress.</t>
        </is>
      </c>
      <c r="D9599" t="n">
        <v>1</v>
      </c>
      <c r="E9599" t="n">
        <v>2</v>
      </c>
      <c r="F9599">
        <f>HYPERLINK("https://www.reddit.com/r/cancer/comments/guzz4o/weirdly_excited/")</f>
        <v/>
      </c>
      <c r="G9599" t="inlineStr">
        <is>
          <t>2020-06-01 20:53:35</t>
        </is>
      </c>
      <c r="H9599" t="inlineStr"/>
    </row>
    <row r="9600">
      <c r="A9600" t="inlineStr">
        <is>
          <t>gv0f0d</t>
        </is>
      </c>
      <c r="B9600" t="inlineStr">
        <is>
          <t>It's possible to recover from cachexia, right?</t>
        </is>
      </c>
      <c r="C9600" t="inlineStr">
        <is>
          <t>My doctor didn't really say much, and everything I've found about it is basically saying it's a death sentence. I've been in remission since January, but I'm still losing weight. I'm scared and I don't know what to do. Anyone have any experience with this?</t>
        </is>
      </c>
      <c r="D9600" t="n">
        <v>1</v>
      </c>
      <c r="E9600" t="n">
        <v>0</v>
      </c>
      <c r="F9600">
        <f>HYPERLINK("https://www.reddit.com/r/cancer/comments/gv0f0d/its_possible_to_recover_from_cachexia_right/")</f>
        <v/>
      </c>
      <c r="G9600" t="inlineStr">
        <is>
          <t>2020-06-01 21:24:39</t>
        </is>
      </c>
      <c r="H9600" t="inlineStr"/>
    </row>
    <row r="9601">
      <c r="A9601" t="inlineStr">
        <is>
          <t>gv2h0c</t>
        </is>
      </c>
      <c r="B9601" t="inlineStr">
        <is>
          <t>Help getting a mammogram</t>
        </is>
      </c>
      <c r="C9601" t="inlineStr">
        <is>
          <t>Hello, I hope this is the right subreddit for this question. 
My wife found a lump in her breast about 2 months ago. It has not changed in size, it is tender to touch. She had an appointment tomorrow, but due to COVID it was canceled. Where can she go to get a mammogram. We live in central Indiana. Any help would help!</t>
        </is>
      </c>
      <c r="D9601" t="n">
        <v>1</v>
      </c>
      <c r="E9601" t="n">
        <v>0</v>
      </c>
      <c r="F9601">
        <f>HYPERLINK("https://www.reddit.com/r/cancer/comments/gv2h0c/help_getting_a_mammogram/")</f>
        <v/>
      </c>
      <c r="G9601" t="inlineStr">
        <is>
          <t>2020-06-02 00:03:39</t>
        </is>
      </c>
      <c r="H9601" t="inlineStr"/>
    </row>
    <row r="9602">
      <c r="A9602" t="inlineStr">
        <is>
          <t>gv2un9</t>
        </is>
      </c>
      <c r="B9602" t="inlineStr">
        <is>
          <t>I found a hard, immovable, pea-sized lump near the inside of my elbow. Trying not to overthink but um. I’m scared.</t>
        </is>
      </c>
      <c r="C9602" t="inlineStr">
        <is>
          <t>I have a history of lumps and bumps. Some permanently swollen lymph nodes on my neck and behind my ears, lumps in the breast that were just deemed Fibroadenomas, and a few more. 
But I accidentally noticed a small, pea-sized lump near the inside of my elbow about an inch down on my forearm today. It’s hard and doesn’t move. All I’ve seen is that lipomas should be soft and squishy and hard = not good. Im going to call my doctor first thing in the morning but honestly, I’m scared and can’t sleep. Has anyone else had solid lipomas?</t>
        </is>
      </c>
      <c r="D9602" t="n">
        <v>1</v>
      </c>
      <c r="E9602" t="n">
        <v>1</v>
      </c>
      <c r="F9602">
        <f>HYPERLINK("https://www.reddit.com/r/cancer/comments/gv2un9/i_found_a_hard_immovable_peasized_lump_near_the/")</f>
        <v/>
      </c>
      <c r="G9602" t="inlineStr">
        <is>
          <t>2020-06-02 00:34:19</t>
        </is>
      </c>
      <c r="H9602" t="inlineStr"/>
    </row>
    <row r="9603">
      <c r="A9603" t="inlineStr">
        <is>
          <t>gv3v09</t>
        </is>
      </c>
      <c r="B9603" t="inlineStr">
        <is>
          <t>My daughter was born on Monday. My Dad lost his fight on Wednesday.</t>
        </is>
      </c>
      <c r="C9603" t="inlineStr">
        <is>
          <t>I posted here regularly mainly asking for help with what the end looked like for my Dad. He had stage 4 pancreatic cancer which has spread to his lungs, liver and bowel. He was diagnosed in October 2018. 
Sadly, my Dad passed away, in hospice, on Wednessay 27th May, early in the morning. 
On Monday 25th May, he slipped into a coma. I was in hospital about the be induced to have my baby so had asked for no updates that day to get me through the birth. The hospital had agreed to let her come early so my Dad could meet her. The hospice did update my sister and she travelled down to be with him. 
My beautiful ray of sunshine, Amelia, was born on Monday 25th May 2020, as soon as she was born we notified the hospice. A hospice nurse told my Dad she was here and to squeeze her hand if he understood, which he ever so slightly did. After that, he didn't respond to anyone and never woke up. 
He held on til the very end to know she was born safely and I truly believe she is the reason he fought for so long. 
I'm heartbroken and I miss him so much, it's not truly sunk in. But I'm so grateful for my baby girl, she is here for a reason and will be my sunshine through this storm. I truly don't know how to feel and breakdown at points. My husband has been incredible and so supportive, I wouldn't have got through this week without him.</t>
        </is>
      </c>
      <c r="D9603" t="n">
        <v>1</v>
      </c>
      <c r="E9603" t="n">
        <v>6</v>
      </c>
      <c r="F9603">
        <f>HYPERLINK("https://www.reddit.com/r/cancer/comments/gv3v09/my_daughter_was_born_on_monday_my_dad_lost_his/")</f>
        <v/>
      </c>
      <c r="G9603" t="inlineStr">
        <is>
          <t>2020-06-02 02:04:27</t>
        </is>
      </c>
      <c r="H9603" t="inlineStr"/>
    </row>
    <row r="9604">
      <c r="A9604" t="inlineStr">
        <is>
          <t>gv47v5</t>
        </is>
      </c>
      <c r="B9604" t="inlineStr">
        <is>
          <t>Colon cancer: Flat polyps</t>
        </is>
      </c>
      <c r="C9604" t="inlineStr">
        <is>
          <t>Hi all,
My dad had a Colonoscopy in August 2019 and they found a flat polyp which they removed and found to be clear of cancer. He was due to return for a checkup six months later but we just got an appointment for him now, 10 months later. Although we know it's important to return for another scope dad is a blood cancer patient here in Ireland and we want to make sure that his potential COVID-19 exposure is minimal, would it be safe to delay this appointment and for how long?
&amp;amp;#x200B;
Any advice would be so appreciated!
&amp;amp;#x200B;
All the best,
&amp;amp;#x200B;
Tranadex</t>
        </is>
      </c>
      <c r="D9604" t="n">
        <v>1</v>
      </c>
      <c r="E9604" t="n">
        <v>3</v>
      </c>
      <c r="F9604">
        <f>HYPERLINK("https://www.reddit.com/r/cancer/comments/gv47v5/colon_cancer_flat_polyps/")</f>
        <v/>
      </c>
      <c r="G9604" t="inlineStr">
        <is>
          <t>2020-06-02 02:35:18</t>
        </is>
      </c>
      <c r="H9604" t="inlineStr"/>
    </row>
    <row r="9605">
      <c r="A9605" t="inlineStr">
        <is>
          <t>gv5miq</t>
        </is>
      </c>
      <c r="B9605" t="inlineStr">
        <is>
          <t>How to help male / female that are too weak to bathe?</t>
        </is>
      </c>
      <c r="C9605" t="inlineStr">
        <is>
          <t>My uncle has cancer and is getting weaker. At some point someone would need to bathe him. How to prepare for this?
My friends mum is likewise in a similar situation so would like to know for females too.
For guys I think it is simple - get my uncle to wear an underwear so that he doesn't feel awkward.
But what about females? Get them to wear a swim suit?
What have your experiences been?
Thanks!</t>
        </is>
      </c>
      <c r="D9605" t="n">
        <v>1</v>
      </c>
      <c r="E9605" t="n">
        <v>12</v>
      </c>
      <c r="F9605">
        <f>HYPERLINK("https://www.reddit.com/r/cancer/comments/gv5miq/how_to_help_male_female_that_are_too_weak_to_bathe/")</f>
        <v/>
      </c>
      <c r="G9605" t="inlineStr">
        <is>
          <t>2020-06-02 04:29:41</t>
        </is>
      </c>
      <c r="H9605" t="inlineStr"/>
    </row>
    <row r="9606">
      <c r="A9606" t="inlineStr">
        <is>
          <t>gv7nyn</t>
        </is>
      </c>
      <c r="B9606" t="inlineStr">
        <is>
          <t>Fuck Ewing's sarcoma</t>
        </is>
      </c>
      <c r="C9606" t="inlineStr">
        <is>
          <t>Last night Melissa Tirrell was put under sedation, she feels no more pain. She fought and won every minute of the last 3 years of her life. She got to see Miles go to school. She got to meet her nephew. She accomplished everything she set out to do. She is an inspiration and I miss her horribly but I know she will always be with us. I love you.
On Reddit she was known as /u/XenusMom</t>
        </is>
      </c>
      <c r="D9606" t="n">
        <v>1</v>
      </c>
      <c r="E9606" t="n">
        <v>3</v>
      </c>
      <c r="F9606">
        <f>HYPERLINK("https://www.reddit.com/r/cancer/comments/gv7nyn/fuck_ewings_sarcoma/")</f>
        <v/>
      </c>
      <c r="G9606" t="inlineStr">
        <is>
          <t>2020-06-02 06:49:05</t>
        </is>
      </c>
      <c r="H9606" t="inlineStr"/>
    </row>
    <row r="9607">
      <c r="A9607" t="inlineStr">
        <is>
          <t>gv9se4</t>
        </is>
      </c>
      <c r="B9607" t="inlineStr">
        <is>
          <t>My mom (51) was recently diagnosed with Acute lymphoblastic leukemia. Someone tell me it's going to be okay</t>
        </is>
      </c>
      <c r="C9607" t="inlineStr">
        <is>
          <t>My mom started feeling sick one day on her way to work in March. She was worried it was the corona virus and because she was working in a healthcare facility they tested her right away. She tested negative, but still was not feeling well. A month later they tested her again because apparently some Covid 19 tests were giving false negatives, but she still tested negative. She went to see multiple doctors and was tested for strep throat, and mono.. All negative. Dr's kept pushing her off saying that she will eventually get better and to just stay home. I think with covid19 Dr's were too afraid for her to come in...
Anyways eventually she found one Dr who took her seriously and decided to run some blood tests.. In this blood test he said that the results came back but he needed a second opinion because they looked strange to him. This led to her getting a bone marrow biopsy done and the discovery of her ALL. She goes in to the hospital on Thrusday for her treatment and will be there for at least a month. 
I'm just so mad about it... I'm mad because my daughter was just born March 3rd and I want her to remember my mom. I'm mad because with Covid 19 we can't do all the things we want to do before she goes in. I'm mad because with the Covid 19 she can't have any visitors for the whole month. I'm mad because I've pushed my mom away for previous issues we've had and I wish we spent more time together. I'm mad because the prognosis for someone her age isn't good. 
I just wish things were different.. I'm trying to be positive about things but all I find are things that make me more frustrated and sad...</t>
        </is>
      </c>
      <c r="D9607" t="n">
        <v>6</v>
      </c>
      <c r="E9607" t="n">
        <v>14</v>
      </c>
      <c r="F9607">
        <f>HYPERLINK("https://www.reddit.com/r/cancer/comments/gv9se4/my_mom_51_was_recently_diagnosed_with_acute/")</f>
        <v/>
      </c>
      <c r="G9607" t="inlineStr">
        <is>
          <t>2020-06-02 08:52:44</t>
        </is>
      </c>
      <c r="H9607" t="inlineStr"/>
    </row>
    <row r="9608">
      <c r="A9608" t="inlineStr">
        <is>
          <t>gvaug8</t>
        </is>
      </c>
      <c r="B9608" t="inlineStr">
        <is>
          <t>How scary was it to get checked for cancer?</t>
        </is>
      </c>
      <c r="C9608" t="inlineStr">
        <is>
          <t>I'm gonna go get checked soon and im pretty scared.  never had this done before but i gotta do it soon.</t>
        </is>
      </c>
      <c r="D9608" t="n">
        <v>2</v>
      </c>
      <c r="E9608" t="n">
        <v>11</v>
      </c>
      <c r="F9608">
        <f>HYPERLINK("https://www.reddit.com/r/cancer/comments/gvaug8/how_scary_was_it_to_get_checked_for_cancer/")</f>
        <v/>
      </c>
      <c r="G9608" t="inlineStr">
        <is>
          <t>2020-06-02 09:47:05</t>
        </is>
      </c>
      <c r="H9608" t="inlineStr"/>
    </row>
    <row r="9609">
      <c r="A9609" t="inlineStr">
        <is>
          <t>gvbdt6</t>
        </is>
      </c>
      <c r="B9609" t="inlineStr">
        <is>
          <t>Stage 4 Kidney Cancer, post 1st Immunotheropy session.</t>
        </is>
      </c>
      <c r="C9609" t="inlineStr">
        <is>
          <t>I was diagnosed in late April with Stage 4 Kidney Cancer. I had my 1st infusion on 5/20. I am being infused with YERVOY (ipilimumab) and OPDIVO (nivolumab).
Has anyone had this cocktail? 
Did you get a Rash? If so, how long did it last?
Other than some fatigue, and the rash, I have been feeling pretty good. Just looking to see how others have reacted.</t>
        </is>
      </c>
      <c r="D9609" t="n">
        <v>4</v>
      </c>
      <c r="E9609" t="n">
        <v>15</v>
      </c>
      <c r="F9609">
        <f>HYPERLINK("https://www.reddit.com/r/cancer/comments/gvbdt6/stage_4_kidney_cancer_post_1st_immunotheropy/")</f>
        <v/>
      </c>
      <c r="G9609" t="inlineStr">
        <is>
          <t>2020-06-02 10:15:14</t>
        </is>
      </c>
      <c r="H9609" t="inlineStr"/>
    </row>
    <row r="9610">
      <c r="A9610" t="inlineStr">
        <is>
          <t>gvc9xv</t>
        </is>
      </c>
      <c r="B9610" t="inlineStr">
        <is>
          <t>Good news Tuesday!</t>
        </is>
      </c>
      <c r="C9610" t="inlineStr">
        <is>
          <t>I know the world is on fire right now but I got some good news to share. My dad nsclc 4, with brain Mets just got his CT scan for his brain after 5 radiation sessions. his Mets have shrunk significantly and now showing as inactive! I forgot to ask what's the difference between inactive and remission or NED.,if someone can answer this? 
I am still amazed at how far medicine has gone! I wish you all can find success in your treatment! Stay hopeful!</t>
        </is>
      </c>
      <c r="D9610" t="n">
        <v>4</v>
      </c>
      <c r="E9610" t="n">
        <v>7</v>
      </c>
      <c r="F9610">
        <f>HYPERLINK("https://www.reddit.com/r/cancer/comments/gvc9xv/good_news_tuesday/")</f>
        <v/>
      </c>
      <c r="G9610" t="inlineStr">
        <is>
          <t>2020-06-02 11:01:04</t>
        </is>
      </c>
      <c r="H9610" t="inlineStr"/>
    </row>
    <row r="9611">
      <c r="A9611" t="inlineStr">
        <is>
          <t>gve933</t>
        </is>
      </c>
      <c r="B9611" t="inlineStr">
        <is>
          <t>Concerned about lymphedema in my lower limb</t>
        </is>
      </c>
      <c r="C9611" t="inlineStr">
        <is>
          <t>Is there anyone here that can answer questions about what to expect from lymphedema affecting a lower extremity? I had to get many lymph node biopsies in the last 7 years (probably over 20) and I've found after my most recent surgery (isolated limb perfusion which uses chemo, idk if chemo worsens lymphedema or not). I want to know what to expect in terms of whether it will get better or not or whether standing and walking for more than 5 minutes will always be unpleasant. I know it sounds petty but I get a lot of fulfillment from cardio and now that I have this getting in the way of that I've found that my depression has become much worse. I really want to know what to expect.</t>
        </is>
      </c>
      <c r="D9611" t="n">
        <v>1</v>
      </c>
      <c r="E9611" t="n">
        <v>3</v>
      </c>
      <c r="F9611">
        <f>HYPERLINK("https://www.reddit.com/r/cancer/comments/gve933/concerned_about_lymphedema_in_my_lower_limb/")</f>
        <v/>
      </c>
      <c r="G9611" t="inlineStr">
        <is>
          <t>2020-06-02 12:43:34</t>
        </is>
      </c>
      <c r="H9611" t="inlineStr"/>
    </row>
    <row r="9612">
      <c r="A9612" t="inlineStr">
        <is>
          <t>gveyy5</t>
        </is>
      </c>
      <c r="B9612" t="inlineStr">
        <is>
          <t>New Diagnosis</t>
        </is>
      </c>
      <c r="C9612" t="inlineStr">
        <is>
          <t>Hey, new in town, very unhappy to be here. I had some GI bleeds in May so I got an upper gastroscopy and a sigmoidoscopy done where they found a big ol' intestinal polyp. I named it Magnus. It got removed via colonoscopy (I can still taste the prep solution)  last week and on Friday I got the call - Magnus was a cancerous li'l bastard, and unfortunately I am going to need surgery to make sure they'd gotten everything when they scooped it out.
Yesterday I had a staging CT done. Today I had my surgery consult. The news is... not great. Originally they were hoping to do the bowel resection laparoscopically but it turns out a few of my lymph nodes look iffy and they want to scoop those out too to make sure it's not Stage 3, so I'm looking forward to an open surgery and up to ten days in hospital - hopefully more like five or six. Hopefully my sister will be able to look after my cat.
On the bright side, unless it turns out Magnus did turn those nodes to the Dark Side I shouldn't need chemo.
I guess I could use advice on what to expect and how recovery might go. Has anyone ever had a bowel resection? How did that work out? Did you have to get a colostomy bag and if so, was it really that bad?
Anyway, thanks for reading! I'll be around.</t>
        </is>
      </c>
      <c r="D9612" t="n">
        <v>1</v>
      </c>
      <c r="E9612" t="n">
        <v>10</v>
      </c>
      <c r="F9612">
        <f>HYPERLINK("https://www.reddit.com/r/cancer/comments/gveyy5/new_diagnosis/")</f>
        <v/>
      </c>
      <c r="G9612" t="inlineStr">
        <is>
          <t>2020-06-02 13:21:12</t>
        </is>
      </c>
      <c r="H9612" t="inlineStr"/>
    </row>
    <row r="9613">
      <c r="A9613" t="inlineStr">
        <is>
          <t>gvg7jt</t>
        </is>
      </c>
      <c r="B9613" t="inlineStr">
        <is>
          <t>Another surgery.</t>
        </is>
      </c>
      <c r="C9613" t="inlineStr">
        <is>
          <t>I’m not old enough to schedule a surgery for myself. So my parents had to do it for me. It’s been a year or so since I had my last surgery. Over the past few months I’ve been getting more sensitive about the treatment I’ve gone through to beat cancer. I’ve been cancer free for 5 years. But I’m still having surgeries. I start to cry thinking about everything and I’m starting to tear up while typing this. I’ve had 30 surgeries and it’s about to be 31 in July. Is there anything that could help me not be scared of everything? I’ve been diagnosed with stage 3 neuroblastoma when I was 6 spent 2 of my birthdays I. The hospital. I’m 13 now and approaching 14 soon.</t>
        </is>
      </c>
      <c r="D9613" t="n">
        <v>1</v>
      </c>
      <c r="E9613" t="n">
        <v>10</v>
      </c>
      <c r="F9613">
        <f>HYPERLINK("https://www.reddit.com/r/cancer/comments/gvg7jt/another_surgery/")</f>
        <v/>
      </c>
      <c r="G9613" t="inlineStr">
        <is>
          <t>2020-06-02 14:25:01</t>
        </is>
      </c>
      <c r="H9613" t="inlineStr"/>
    </row>
    <row r="9614">
      <c r="A9614" t="inlineStr">
        <is>
          <t>gvh88c</t>
        </is>
      </c>
      <c r="B9614" t="inlineStr">
        <is>
          <t>Help! How to support a partner whose family member has just received a diagnosis?</t>
        </is>
      </c>
      <c r="C9614" t="inlineStr">
        <is>
          <t>My partner has just received news that his father (60), has stage 4 pancreatic cancer. I need advice on how I can best support him, his father, and the rest of his family. 
Those of you who have had a family member with cancer, what are things that were helpful to hear from others, how could people have supported you better?  Are there certain topics I should avoid? I am open to any advice and stories you all may have. Thank you so much</t>
        </is>
      </c>
      <c r="D9614" t="n">
        <v>1</v>
      </c>
      <c r="E9614" t="n">
        <v>5</v>
      </c>
      <c r="F9614">
        <f>HYPERLINK("https://www.reddit.com/r/cancer/comments/gvh88c/help_how_to_support_a_partner_whose_family_member/")</f>
        <v/>
      </c>
      <c r="G9614" t="inlineStr">
        <is>
          <t>2020-06-02 15:18:11</t>
        </is>
      </c>
      <c r="H9614" t="inlineStr"/>
    </row>
    <row r="9615">
      <c r="A9615" t="inlineStr">
        <is>
          <t>gvhqj5</t>
        </is>
      </c>
      <c r="B9615" t="inlineStr">
        <is>
          <t>Should we be worried?</t>
        </is>
      </c>
      <c r="C9615" t="inlineStr">
        <is>
          <t>My Mother in Law was seen recently by a maxillofacial surgeon for a lesion under her eye. This was diagnosed as being Basel cell non melanoma skin cancer which he removed and it has healed nicely. Whilst with the Dr she mentioned swollen glands in her neck and an issue with swallowing. She was sent for MRI and barium swallow. She was due back to the clinic on 12th June, however she has received a letter for a rescheduled appointment for the same drs “urgent oral and maxillofacial clinic”. Hand written on the side was a note to say even if she gets a text or call to cancel she should turn up. Her GP thinks this is something to worry about and quite frankly, I’m terrified as I’m taking her and going in with her.</t>
        </is>
      </c>
      <c r="D9615" t="n">
        <v>1</v>
      </c>
      <c r="E9615" t="n">
        <v>1</v>
      </c>
      <c r="F9615">
        <f>HYPERLINK("https://www.reddit.com/r/cancer/comments/gvhqj5/should_we_be_worried/")</f>
        <v/>
      </c>
      <c r="G9615" t="inlineStr">
        <is>
          <t>2020-06-02 15:45:59</t>
        </is>
      </c>
      <c r="H9615" t="inlineStr"/>
    </row>
    <row r="9616">
      <c r="A9616" t="inlineStr">
        <is>
          <t>gvkofg</t>
        </is>
      </c>
      <c r="B9616" t="inlineStr">
        <is>
          <t>To the ones with a cancer diagnosis, what is something that you wish you could tell your loved ones but can't?</t>
        </is>
      </c>
      <c r="C9616" t="inlineStr">
        <is>
          <t>I mean that you can't due to it being hard to talk about. Also, I mean like what do you feel you need from your loved ones that can be hard to express?</t>
        </is>
      </c>
      <c r="D9616" t="n">
        <v>1</v>
      </c>
      <c r="E9616" t="n">
        <v>62</v>
      </c>
      <c r="F9616">
        <f>HYPERLINK("https://www.reddit.com/r/cancer/comments/gvkofg/to_the_ones_with_a_cancer_diagnosis_what_is/")</f>
        <v/>
      </c>
      <c r="G9616" t="inlineStr">
        <is>
          <t>2020-06-02 18:45:46</t>
        </is>
      </c>
      <c r="H9616" t="inlineStr"/>
    </row>
    <row r="9617">
      <c r="A9617" t="inlineStr">
        <is>
          <t>gvmcug</t>
        </is>
      </c>
      <c r="B9617" t="inlineStr">
        <is>
          <t>Is there an organization that helps people pay for medical marijuana when they are under going chemo?</t>
        </is>
      </c>
      <c r="C9617" t="inlineStr">
        <is>
          <t>My wife has ovarian cancer and she is under going chemo therapy after a total hysterectomy. It’s my home that medical marijuana would help with her appetite and nausea. She just start chemo Thursday and she’s feeling pretty awful and she had three more arounds three weeks apart. Unfortunately between missed work for both of us and just the sheer cost of medications for people with her condition we are scant on money. There’s a location here in Ohio that charges $175 to be evaluated which for us right now is a lot of money up front. So if anyone knows of any grants or foundations who might be willing to help i would appreciate if you leave a comment. Thanks</t>
        </is>
      </c>
      <c r="D9617" t="n">
        <v>1</v>
      </c>
      <c r="E9617" t="n">
        <v>3</v>
      </c>
      <c r="F9617">
        <f>HYPERLINK("https://www.reddit.com/r/cancer/comments/gvmcug/is_there_an_organization_that_helps_people_pay/")</f>
        <v/>
      </c>
      <c r="G9617" t="inlineStr">
        <is>
          <t>2020-06-02 20:42:21</t>
        </is>
      </c>
      <c r="H9617" t="inlineStr"/>
    </row>
    <row r="9618">
      <c r="A9618" t="inlineStr">
        <is>
          <t>gvn80n</t>
        </is>
      </c>
      <c r="B9618" t="inlineStr">
        <is>
          <t>Coming to Terms</t>
        </is>
      </c>
      <c r="C9618" t="inlineStr">
        <is>
          <t>It’s been nearly a year since my mom’s diagnosis and her fight is coming to an end. She’s chosen medically assisted death and it will happen within the next 10-12 days. It’s been bizarre to see it progress so rapidly (Keytruda either works for you or it REALLY doesn’t). I know that she is going to die but my mind can’t quite wrap around that fact. My science brain knows exactly what’s going on in her body but it just doesn’t make sense. It almost doesn’t feel quite real to me to know that she will never meet her grandkids, she’ll never see me or my sister graduate, I’ll never get to show her my first house, she’ll never see me get married. At the same time, her death almost feels merciful, she’s been in so much pain. Does anyone have any advice for this last week or so? Has anyone had any loved ones who have chosen medically assisted death? I know what to expect medically speaking, but I’m lost as to what to expect emotionally.</t>
        </is>
      </c>
      <c r="D9618" t="n">
        <v>1</v>
      </c>
      <c r="E9618" t="n">
        <v>12</v>
      </c>
      <c r="F9618">
        <f>HYPERLINK("https://www.reddit.com/r/cancer/comments/gvn80n/coming_to_terms/")</f>
        <v/>
      </c>
      <c r="G9618" t="inlineStr">
        <is>
          <t>2020-06-02 21:45:46</t>
        </is>
      </c>
      <c r="H9618" t="inlineStr"/>
    </row>
    <row r="9619">
      <c r="A9619" t="inlineStr">
        <is>
          <t>gvo8a8</t>
        </is>
      </c>
      <c r="B9619" t="inlineStr">
        <is>
          <t>Mom, 48F</t>
        </is>
      </c>
      <c r="C9619" t="inlineStr">
        <is>
          <t>Mom, 48F has been diagnosed with metastasised high grade adenocarcinoma, primary unknown,  relapsed twice within a year. In spite of 6 rounds of chemo after first surgery. After second surgery she has been prescribed preventive chemo followed by radiation. 
She seems to be recovering well from the surgery, and tolerated thw chemo last time. Doc says everything depends on her response to the prescribed treatment. 
I'm really scared about what would happen and I visualize the worst case scenario, even when I'm supposed to be optimistic. Even had a counselling session with the  doc so he explained the possibilities. 
Does this happen that a seemingly healthy person could also lose the battle?
Have you known someone who seemed to recover through chemo and radiation and still couldn't make it? The chemo will mostly start by the second week of June and continue through October, if the bloodwork allows it to be on schedule. Then comes the radiation. I don't know what should I consider the survival time if I need to prepare myself and other members of my family for this.</t>
        </is>
      </c>
      <c r="D9619" t="n">
        <v>1</v>
      </c>
      <c r="E9619" t="n">
        <v>4</v>
      </c>
      <c r="F9619">
        <f>HYPERLINK("https://www.reddit.com/r/cancer/comments/gvo8a8/mom_48f/")</f>
        <v/>
      </c>
      <c r="G9619" t="inlineStr">
        <is>
          <t>2020-06-02 23:02:41</t>
        </is>
      </c>
      <c r="H9619" t="inlineStr"/>
    </row>
    <row r="9620">
      <c r="A9620" t="inlineStr">
        <is>
          <t>gvpepl</t>
        </is>
      </c>
      <c r="B9620" t="inlineStr">
        <is>
          <t>Worried i have lymphoma</t>
        </is>
      </c>
      <c r="C9620" t="inlineStr">
        <is>
          <t>Hello.
I'm worried about the swollen lymph nodes at the back of my neck. They have been occurring for a week. They are painless, somewhat hard and fixed. 
I don't experience fatigue, itchy, skin, night sweats, and weight loss. I don't have fever either.
Thank you very much. I am anxious during this pandemic.</t>
        </is>
      </c>
      <c r="D9620" t="n">
        <v>1</v>
      </c>
      <c r="E9620" t="n">
        <v>2</v>
      </c>
      <c r="F9620">
        <f>HYPERLINK("https://www.reddit.com/r/cancer/comments/gvpepl/worried_i_have_lymphoma/")</f>
        <v/>
      </c>
      <c r="G9620" t="inlineStr">
        <is>
          <t>2020-06-03 00:36:57</t>
        </is>
      </c>
      <c r="H9620" t="inlineStr"/>
    </row>
    <row r="9621">
      <c r="A9621" t="inlineStr">
        <is>
          <t>gvqbff</t>
        </is>
      </c>
      <c r="B9621" t="inlineStr">
        <is>
          <t>Protein powder and CBD oil for recovery and relief liver cancer radiation</t>
        </is>
      </c>
      <c r="C9621" t="inlineStr">
        <is>
          <t>Hi all,
I want to buy protein powder and CBD oil for my brother who just had his first radiation treatment for liver cancer. He's in a hospital in Shanghai right now. I don't trust the products in China and therefore want to buy it from Europe/US and ship it to him.
Do you have any recommendations for brands or certain types of products that are good for recovery and soothing pain?
Thanks</t>
        </is>
      </c>
      <c r="D9621" t="n">
        <v>1</v>
      </c>
      <c r="E9621" t="n">
        <v>1</v>
      </c>
      <c r="F9621">
        <f>HYPERLINK("https://www.reddit.com/r/cancer/comments/gvqbff/protein_powder_and_cbd_oil_for_recovery_and/")</f>
        <v/>
      </c>
      <c r="G9621" t="inlineStr">
        <is>
          <t>2020-06-03 01:52:45</t>
        </is>
      </c>
      <c r="H9621" t="inlineStr"/>
    </row>
    <row r="9622">
      <c r="A9622" t="inlineStr">
        <is>
          <t>gvsg6m</t>
        </is>
      </c>
      <c r="B9622" t="inlineStr">
        <is>
          <t>I have my review on Friday - wish me luck!</t>
        </is>
      </c>
      <c r="C9622" t="inlineStr">
        <is>
          <t>I have ocular melanoma and I’ve undergone my first load of treatment. It’s been almost a 2 month wait and I’m finally heading to the hospital to see how it’s responded and next steps this Friday. 
I’m so nervous. The flashing light has decreased but still present. I’m hoping so badly it’s responded well so that I can keep my sight and not have to start the more invasive routes.
Wish me luck please!</t>
        </is>
      </c>
      <c r="D9622" t="n">
        <v>1</v>
      </c>
      <c r="E9622" t="n">
        <v>15</v>
      </c>
      <c r="F9622">
        <f>HYPERLINK("https://www.reddit.com/r/cancer/comments/gvsg6m/i_have_my_review_on_friday_wish_me_luck/")</f>
        <v/>
      </c>
      <c r="G9622" t="inlineStr">
        <is>
          <t>2020-06-03 04:44:33</t>
        </is>
      </c>
      <c r="H9622" t="inlineStr"/>
    </row>
    <row r="9623">
      <c r="A9623" t="inlineStr">
        <is>
          <t>gvsnhy</t>
        </is>
      </c>
      <c r="B9623" t="inlineStr">
        <is>
          <t>when did it start?</t>
        </is>
      </c>
      <c r="C9623" t="inlineStr">
        <is>
          <t>I am never able to get a straight answer from the oncologists. I can now talk about this month's later but this was all was on my mind during the "bargaining stage" after the diagnostic. 
"when did the cancer start? how did it metastasis this much? why couldn't we found out sooner? what did we do wrong? "
my dad was only bought into the ER when his brain Mets were out of control. Then it turned out that he had stage 4 nsclc with multiple brain Mets. the brain Mets are under control now though. We went into the ER for something unrelated a month before all this occurred and they did a brief chest xray but they said the lungs looked fine. Fast forward a month later and all this started. 
I know there is a statistic that most lung cancer are diagnosed at stage 4 or have metastasized but damn does it happen that fast and goes undetected?
How did you guys found out that you had LC and at what stage?</t>
        </is>
      </c>
      <c r="D9623" t="n">
        <v>1</v>
      </c>
      <c r="E9623" t="n">
        <v>11</v>
      </c>
      <c r="F9623">
        <f>HYPERLINK("https://www.reddit.com/r/cancer/comments/gvsnhy/when_did_it_start/")</f>
        <v/>
      </c>
      <c r="G9623" t="inlineStr">
        <is>
          <t>2020-06-03 05:00:45</t>
        </is>
      </c>
      <c r="H9623" t="inlineStr"/>
    </row>
    <row r="9624">
      <c r="A9624" t="inlineStr">
        <is>
          <t>gvspzu</t>
        </is>
      </c>
      <c r="B9624" t="inlineStr">
        <is>
          <t>Are you sad of Lizzy Winkle's death?</t>
        </is>
      </c>
      <c r="C9624" t="inlineStr">
        <is>
          <t>[removed]
[View Poll](https://www.reddit.com/poll/gvspzu)</t>
        </is>
      </c>
      <c r="D9624" t="n">
        <v>1</v>
      </c>
      <c r="E9624" t="n">
        <v>0</v>
      </c>
      <c r="F9624">
        <f>HYPERLINK("https://www.reddit.com/r/cancer/comments/gvspzu/are_you_sad_of_lizzy_winkles_death/")</f>
        <v/>
      </c>
      <c r="G9624" t="inlineStr">
        <is>
          <t>2020-06-03 05:05:48</t>
        </is>
      </c>
      <c r="H9624" t="inlineStr"/>
    </row>
    <row r="9625">
      <c r="A9625" t="inlineStr">
        <is>
          <t>gvu3hr</t>
        </is>
      </c>
      <c r="B9625" t="inlineStr">
        <is>
          <t>No taste and horrid smell is driving me nuts.</t>
        </is>
      </c>
      <c r="C9625" t="inlineStr">
        <is>
          <t>I (50m) had a tumor in the back of my Tongue and in my tonsils.  Had two surgeries that went very well.  Then I had 30 radiation treatments with a mask on.  I finished two months ago and still have no taste and there is a horrid aroma that I smell anytime there is something to smell.  It makes me nauseous and I have lost 1/4 of my weight.  Anyone have any luck getting their smell back.  Thanks</t>
        </is>
      </c>
      <c r="D9625" t="n">
        <v>2</v>
      </c>
      <c r="E9625" t="n">
        <v>4</v>
      </c>
      <c r="F9625">
        <f>HYPERLINK("https://www.reddit.com/r/cancer/comments/gvu3hr/no_taste_and_horrid_smell_is_driving_me_nuts/")</f>
        <v/>
      </c>
      <c r="G9625" t="inlineStr">
        <is>
          <t>2020-06-03 06:38:33</t>
        </is>
      </c>
      <c r="H9625" t="inlineStr"/>
    </row>
    <row r="9626">
      <c r="A9626" t="inlineStr">
        <is>
          <t>gvu9y0</t>
        </is>
      </c>
      <c r="B9626" t="inlineStr">
        <is>
          <t>Hormones unbalanced after chemo</t>
        </is>
      </c>
      <c r="C9626" t="inlineStr">
        <is>
          <t>I’ve (22M) been seeing a doctor for this particular manner but nothing seems to cut it yet.. anyone experience hormonal changes? One month I’m super fine and the other I have super greasy skin(acne), weak erections, less hair.. and the other I’m completely fine.. 
help</t>
        </is>
      </c>
      <c r="D9626" t="n">
        <v>1</v>
      </c>
      <c r="E9626" t="n">
        <v>7</v>
      </c>
      <c r="F9626">
        <f>HYPERLINK("https://www.reddit.com/r/cancer/comments/gvu9y0/hormones_unbalanced_after_chemo/")</f>
        <v/>
      </c>
      <c r="G9626" t="inlineStr">
        <is>
          <t>2020-06-03 06:49:37</t>
        </is>
      </c>
      <c r="H9626" t="inlineStr"/>
    </row>
    <row r="9627">
      <c r="A9627" t="inlineStr">
        <is>
          <t>gvwbi8</t>
        </is>
      </c>
      <c r="B9627" t="inlineStr">
        <is>
          <t>An irrational worry? HPV/Dyskaryosis</t>
        </is>
      </c>
      <c r="C9627" t="inlineStr">
        <is>
          <t>For context, my dad has very recently been diagnosed with pancreatic cancer, so I’ve turned into an anxious, over-thinking mess! I’m hugely worried for him and saddened by how horribly cruel cancer can be. So I already have heightened anxiety, likely contributing to my worries below. It’s made me a bit of a hypochondriac. I also don’t want to waste people’s time on this subreddit for something that’s probably not worth worrying about - so feel free to ignore. 
Though, I received my smear results back and it had picked up low-grade dyskaryosis, as well as positive HPV. My previous results, the year before, were just positive for HPV. I’ve been asked to go for a colposcopy.
I’ve read quite a lot of positive things about this being relatively common and nothing to worry about, though I can’t help being anxious.
I was on the pill for 8 years only coming off last year and switching to the implant. Since being on the implant I’ve had no periods whatsoever, except one strange small one a few months ago - which was like the end of a period, and quite thick/dark blood (sorry to be graphic here). I’ve also had low dragging / heavy pains in the pelvic and back area more recently - which feels a little bit like period pains, though a bit weirder, and with no period. I also need to pee an abnormal amount due to feeling pressure on my bladder.
I’m not seeking medical advise, I’ll leave that to the doctors. Though I’m asking if anyone has gone through similar? Can low grade ever be cancer? Am I worrying irrationally?
Thanks!</t>
        </is>
      </c>
      <c r="D9627" t="n">
        <v>0</v>
      </c>
      <c r="E9627" t="n">
        <v>0</v>
      </c>
      <c r="F9627">
        <f>HYPERLINK("https://www.reddit.com/r/cancer/comments/gvwbi8/an_irrational_worry_hpvdyskaryosis/")</f>
        <v/>
      </c>
      <c r="G9627" t="inlineStr">
        <is>
          <t>2020-06-03 08:44:47</t>
        </is>
      </c>
      <c r="H9627" t="inlineStr"/>
    </row>
    <row r="9628">
      <c r="A9628" t="inlineStr">
        <is>
          <t>gvzcrh</t>
        </is>
      </c>
      <c r="B9628" t="inlineStr">
        <is>
          <t>Low Lymphocyte count 7 years after remission</t>
        </is>
      </c>
      <c r="C9628" t="inlineStr">
        <is>
          <t>My wife went through chemo and radiology during a duration of 9 months for Hodgkins Lymphoma. Now 7 years later, her lymphocyte count and etc is still in the bottom of the range. Her oncologist has never suggested any solution to this and there maybe none, but wondering if anyone here has had improvement following remission.
Thank you!</t>
        </is>
      </c>
      <c r="D9628" t="n">
        <v>2</v>
      </c>
      <c r="E9628" t="n">
        <v>2</v>
      </c>
      <c r="F9628">
        <f>HYPERLINK("https://www.reddit.com/r/cancer/comments/gvzcrh/low_lymphocyte_count_7_years_after_remission/")</f>
        <v/>
      </c>
      <c r="G9628" t="inlineStr">
        <is>
          <t>2020-06-03 11:21:44</t>
        </is>
      </c>
      <c r="H9628" t="inlineStr"/>
    </row>
    <row r="9629">
      <c r="A9629" t="inlineStr">
        <is>
          <t>gvzy33</t>
        </is>
      </c>
      <c r="B9629" t="inlineStr">
        <is>
          <t>2nd week of platelets being too low</t>
        </is>
      </c>
      <c r="C9629" t="inlineStr">
        <is>
          <t>Hey, all. Posted last week about my dad not being able to do his weekly chemo treatment because his platelets were too low, so they tacked it on the end. Yesterday was his day and they sent him home again. Same thing. Is there anything he can do to get them up? It's really getting him down because he obviously had an end date in sight (June 16th) and now there will be 2 more weeks added to this. I hate it for him and just want him to be through with the treatment and on his way back to normalcy (and to be cancer free of course)</t>
        </is>
      </c>
      <c r="D9629" t="n">
        <v>1</v>
      </c>
      <c r="E9629" t="n">
        <v>12</v>
      </c>
      <c r="F9629">
        <f>HYPERLINK("https://www.reddit.com/r/cancer/comments/gvzy33/2nd_week_of_platelets_being_too_low/")</f>
        <v/>
      </c>
      <c r="G9629" t="inlineStr">
        <is>
          <t>2020-06-03 11:50:01</t>
        </is>
      </c>
      <c r="H9629" t="inlineStr"/>
    </row>
    <row r="9630">
      <c r="A9630" t="inlineStr">
        <is>
          <t>gw0xco</t>
        </is>
      </c>
      <c r="B9630" t="inlineStr">
        <is>
          <t>Those who have/are undergoing chemotherapy, what are some items you appreciated having during that time?</t>
        </is>
      </c>
      <c r="C9630" t="inlineStr">
        <is>
          <t>One of my coworkers started chemotherapy this week and our office is trying to put together a basket of items to help make her treatment a little more comfortable for her. Any suggestions are welcome.</t>
        </is>
      </c>
      <c r="D9630" t="n">
        <v>2</v>
      </c>
      <c r="E9630" t="n">
        <v>18</v>
      </c>
      <c r="F9630">
        <f>HYPERLINK("https://www.reddit.com/r/cancer/comments/gw0xco/those_who_haveare_undergoing_chemotherapy_what/")</f>
        <v/>
      </c>
      <c r="G9630" t="inlineStr">
        <is>
          <t>2020-06-03 12:37:27</t>
        </is>
      </c>
      <c r="H9630" t="inlineStr"/>
    </row>
    <row r="9631">
      <c r="A9631" t="inlineStr">
        <is>
          <t>gw20lc</t>
        </is>
      </c>
      <c r="B9631" t="inlineStr">
        <is>
          <t>She has to stay alone in the hospital</t>
        </is>
      </c>
      <c r="C9631" t="inlineStr">
        <is>
          <t>My girlfriend (28) has stage 4 melanoma. She had some belly pain and fever today, the doctors are not sure yet if it is related to her cancer or her immunotherapy. It could even be just an appendix. She must stay there over night and they are doing tests now.
I was not able to go inside with her, I waited and waited to know if I can drive her back home. Because of all the Corona measures, I cannot even meet her because I could be the source of infection for the hospital.
Now I am home alone. I should be relaxing after the long work day and stress at the hospital but I feel so guilty about just chilling at home when she has to be in so much stress and discomfort.
How do you deal with this situation? What could I do for her now to make her feel better?</t>
        </is>
      </c>
      <c r="D9631" t="n">
        <v>1</v>
      </c>
      <c r="E9631" t="n">
        <v>5</v>
      </c>
      <c r="F9631">
        <f>HYPERLINK("https://www.reddit.com/r/cancer/comments/gw20lc/she_has_to_stay_alone_in_the_hospital/")</f>
        <v/>
      </c>
      <c r="G9631" t="inlineStr">
        <is>
          <t>2020-06-03 13:33:12</t>
        </is>
      </c>
      <c r="H9631" t="inlineStr"/>
    </row>
    <row r="9632">
      <c r="A9632" t="inlineStr">
        <is>
          <t>gw2bup</t>
        </is>
      </c>
      <c r="B9632" t="inlineStr">
        <is>
          <t>Would r/cancer be interested in an AMA from a radiation oncologist?</t>
        </is>
      </c>
      <c r="C9632" t="inlineStr">
        <is>
          <t>Obviously, I can’t answer medical questions specific to anyone’s clinical care/situation, but I’d be happy to take several hours to make myself avail for general questions...</t>
        </is>
      </c>
      <c r="D9632" t="n">
        <v>3</v>
      </c>
      <c r="E9632" t="n">
        <v>32</v>
      </c>
      <c r="F9632">
        <f>HYPERLINK("https://www.reddit.com/r/cancer/comments/gw2bup/would_rcancer_be_interested_in_an_ama_from_a/")</f>
        <v/>
      </c>
      <c r="G9632" t="inlineStr">
        <is>
          <t>2020-06-03 13:49:35</t>
        </is>
      </c>
      <c r="H9632" t="inlineStr"/>
    </row>
    <row r="9633">
      <c r="A9633" t="inlineStr">
        <is>
          <t>gw8wnb</t>
        </is>
      </c>
      <c r="B9633" t="inlineStr">
        <is>
          <t>My (20M) dad (50sM) got diagnosed yesterday</t>
        </is>
      </c>
      <c r="C9633" t="inlineStr">
        <is>
          <t>Hey all. I'm not really sure how to start this, so I think I'll just get to the point. Sorry if my thoughts come out jumbled, I'm just writing this as my thoughts come to me.
I've already lost a few family members to different forms of cancer - lung and esophageal, namely. Those certainly impacted me, but it's only now where it feels like a genuine threat. Don't get me wrong, I loved my other family members, but my dad is one of my best friends.
I guess I want to start by saying that he's already survived it once. I wont go into detail, but he got diagnosed when he was 25 and survived. Now he's in his 50s, and he's been diagnosed again but with a different form of cancer.
I'm really happy to say that his prognosis is fantastic, and the chances of him surviving are very high, but.. it's hard to unassociate the word "cancer" with "undeniable possibility of death". When I hear "cancer", its hard not to assume the worst. I guess this has just... given me some kind of reality check? Like.. even though now's not his time, it will be his time eventually and that scares me. I shouldn't think about it now because it wont happen now, but death can be sudden and.. there's still a small chance it won't work out.
I know as far as cancer goes, we've been really lucky, considering we caught it early and the treatment for this specific kind is short and has a high success rate. Not to mention he has a fantastic medical team looking after him.
I just.. I'm not sure what it is I want to say, honestly. I guess it can be summed up as... even though I know its irrational, given the odds, Im still so terrified. He goes back to the hospital a week Thursday to begin treatment. I almost feel guilty for feeling as scared as I do, because I know there are others who haven't been as lucky as us, but theres just a little voice in the back of my head thats wigging me out.
Thanks for reading this far, if you have. I'm a bit freaked out and not sure how to emotionally process what Im feeling, but typing this out has helped and knowing that other people know the same kind of fear I have makes me feel a little less isolated.</t>
        </is>
      </c>
      <c r="D9633" t="n">
        <v>1</v>
      </c>
      <c r="E9633" t="n">
        <v>8</v>
      </c>
      <c r="F9633">
        <f>HYPERLINK("https://www.reddit.com/r/cancer/comments/gw8wnb/my_20m_dad_50sm_got_diagnosed_yesterday/")</f>
        <v/>
      </c>
      <c r="G9633" t="inlineStr">
        <is>
          <t>2020-06-03 20:02:19</t>
        </is>
      </c>
      <c r="H9633" t="inlineStr"/>
    </row>
    <row r="9634">
      <c r="A9634" t="inlineStr">
        <is>
          <t>gwbavs</t>
        </is>
      </c>
      <c r="B9634" t="inlineStr">
        <is>
          <t>Insurance help! Rush for lobectomy approval</t>
        </is>
      </c>
      <c r="C9634" t="inlineStr">
        <is>
          <t>I’m new to caring to a family member with cancer, and I’m new to working with insurance.
My mom was recently diagnosed with lung cancer. Today she got the results of her PET scan, and the doctor said she is approved for a lobectomy, and the doctor wants to do it tomorrow
so I call insurance company...
They said they require 14 days to approve, and everything needs to be preapproved. But she needs surgery TOMORROW.
She tried a couple of things - nothing.
I’m at a loss. She needs surgery tomorrow, we need insurance to pay for it. If she has the surgery, and they don’t pay for it because she wasn’t pre-approved, we will be in big trouble</t>
        </is>
      </c>
      <c r="D9634" t="n">
        <v>1</v>
      </c>
      <c r="E9634" t="n">
        <v>8</v>
      </c>
      <c r="F9634">
        <f>HYPERLINK("https://www.reddit.com/r/cancer/comments/gwbavs/insurance_help_rush_for_lobectomy_approval/")</f>
        <v/>
      </c>
      <c r="G9634" t="inlineStr">
        <is>
          <t>2020-06-03 22:46:33</t>
        </is>
      </c>
      <c r="H9634" t="inlineStr"/>
    </row>
    <row r="9635">
      <c r="A9635" t="inlineStr">
        <is>
          <t>gwcd2w</t>
        </is>
      </c>
      <c r="B9635" t="inlineStr">
        <is>
          <t>Cyberknife</t>
        </is>
      </c>
      <c r="C9635" t="inlineStr">
        <is>
          <t>I go into my second round of cyber knife treatment tomorrow. Dont have a big support network but reaching out.</t>
        </is>
      </c>
      <c r="D9635" t="n">
        <v>1</v>
      </c>
      <c r="E9635" t="n">
        <v>12</v>
      </c>
      <c r="F9635">
        <f>HYPERLINK("https://www.reddit.com/r/cancer/comments/gwcd2w/cyberknife/")</f>
        <v/>
      </c>
      <c r="G9635" t="inlineStr">
        <is>
          <t>2020-06-04 00:05:54</t>
        </is>
      </c>
      <c r="H9635" t="inlineStr"/>
    </row>
    <row r="9636">
      <c r="A9636" t="inlineStr">
        <is>
          <t>gwfwvu</t>
        </is>
      </c>
      <c r="B9636" t="inlineStr">
        <is>
          <t>Taken off transplant list</t>
        </is>
      </c>
      <c r="C9636" t="inlineStr">
        <is>
          <t>My dad has liver cancer and while doing all the routine checks to ensure you can remain on the transplant list, they found colon cancer. 
Does anyone have any advice of how to support him, my mum and brother. We are all adults but that almost makes it harder.
My brother suffers from bipolar and is currently in a low period so we decided to wait a couple of days before telling him the latest news. I don't know if it's the right thing to do but this is new territory for all of us.
I also wanted to ask..  did anyone else feel a sense of awkwardness with the family member after finding out they had cancer.
I don't even know if awkwardness is the right word.
My dad and I are extremely close but since his diagnosis in March with the liver cancer, I feel like every conversation we dance around the topic. He asks lots of questions to keep the conversation flowing like he doesn't want any silence. 
My mum usually gives the bad news and then when I talk or see him next, it's like a game of 'i know that you know that I know'. 
Any advice on this moving past this?</t>
        </is>
      </c>
      <c r="D9636" t="n">
        <v>1</v>
      </c>
      <c r="E9636" t="n">
        <v>17</v>
      </c>
      <c r="F9636">
        <f>HYPERLINK("https://www.reddit.com/r/cancer/comments/gwfwvu/taken_off_transplant_list/")</f>
        <v/>
      </c>
      <c r="G9636" t="inlineStr">
        <is>
          <t>2020-06-04 04:47:23</t>
        </is>
      </c>
      <c r="H9636" t="inlineStr"/>
    </row>
    <row r="9637">
      <c r="A9637" t="inlineStr">
        <is>
          <t>gwgb7d</t>
        </is>
      </c>
      <c r="B9637" t="inlineStr">
        <is>
          <t>Can you have okra during chemotherapy?</t>
        </is>
      </c>
      <c r="C9637" t="inlineStr">
        <is>
          <t>I've read that okra curry can have anticancer effects, but a relative of mine said not to eat okra curry during chemotherapy. However, she did not state a reason why. Can someone confirm as to whether okra curry has any negative effects to patients during chemotherapy?</t>
        </is>
      </c>
      <c r="D9637" t="n">
        <v>1</v>
      </c>
      <c r="E9637" t="n">
        <v>5</v>
      </c>
      <c r="F9637">
        <f>HYPERLINK("https://www.reddit.com/r/cancer/comments/gwgb7d/can_you_have_okra_during_chemotherapy/")</f>
        <v/>
      </c>
      <c r="G9637" t="inlineStr">
        <is>
          <t>2020-06-04 05:15:16</t>
        </is>
      </c>
      <c r="H9637" t="inlineStr"/>
    </row>
    <row r="9638">
      <c r="A9638" t="inlineStr">
        <is>
          <t>gwla61</t>
        </is>
      </c>
      <c r="B9638" t="inlineStr">
        <is>
          <t>Any advise for natural meds. Auntie is on stage 4 Cervical Cancer.</t>
        </is>
      </c>
      <c r="C9638" t="inlineStr">
        <is>
          <t>Last stage of cancer and she drop a ton of weight in just months. She’s not on any medication nor chemo .
She just accepted her fate at home. Problem right now is edema on both legs. She’s lees blood all the time. No blood transfusion as she can’t go to hospital because of the pandemic. She can’t barely get up and eat. Any advise please natural remedy or what can they do to at least extend her life 😑</t>
        </is>
      </c>
      <c r="D9638" t="n">
        <v>1</v>
      </c>
      <c r="E9638" t="n">
        <v>1</v>
      </c>
      <c r="F9638">
        <f>HYPERLINK("https://www.reddit.com/r/cancer/comments/gwla61/any_advise_for_natural_meds_auntie_is_on_stage_4/")</f>
        <v/>
      </c>
      <c r="G9638" t="inlineStr">
        <is>
          <t>2020-06-04 09:55:15</t>
        </is>
      </c>
      <c r="H9638" t="inlineStr"/>
    </row>
    <row r="9639">
      <c r="A9639" t="inlineStr">
        <is>
          <t>gwo6de</t>
        </is>
      </c>
      <c r="B9639" t="inlineStr">
        <is>
          <t>An update on my cancer.</t>
        </is>
      </c>
      <c r="C9639" t="inlineStr">
        <is>
          <t>Hi Everyone I've been a member of /r/Cancer since my diagnosis in June of 2019 and I completed my 'this is me' post. I have tried to be a good lil redditor and be there for people and answer questions to the best of my ability. 
I've been fighting cancer nearly a year now (Low Rectal Adenocarcinoma T3 N1 M1) and I can for the very first time come here with good news.
I don't know why I got to be so lucky, but I just got my scan results back after completing 28 sessions of chemo-radiotherapy and my primary tumour, the bowel lymph, bowel wall and systemic cancer in my right seminal vesicle is gone.  
It cannot be seen on my MRI or CT scans at all. Gone... Nada!  
It is bitter sweet though, my lung mets have shown a "small, but significant increase" bringing the total number of mets to 5 from 1.5 from the previous rounds of Irinotecan (5FU) chemotherapy late last year.
So after putting the phone down to my oncologist, I am going back on 5FU with Irinotecan again and this time I am on Avastin. It should be starting in the next 5-6 days. I am currently on Cloud 9, both me and my finacée are just over the moon. It's just not sunk in yet.
I blog about this and you can catch it [here](https://cam-mortimer.com) if you wanna have a read. You can read the whole cancer story [here](https://cam-mortimer.com/cancer/) also.</t>
        </is>
      </c>
      <c r="D9639" t="n">
        <v>1</v>
      </c>
      <c r="E9639" t="n">
        <v>29</v>
      </c>
      <c r="F9639">
        <f>HYPERLINK("https://www.reddit.com/r/cancer/comments/gwo6de/an_update_on_my_cancer/")</f>
        <v/>
      </c>
      <c r="G9639" t="inlineStr">
        <is>
          <t>2020-06-04 12:21:58</t>
        </is>
      </c>
      <c r="H9639" t="inlineStr"/>
    </row>
    <row r="9640">
      <c r="A9640" t="inlineStr">
        <is>
          <t>gwoc0q</t>
        </is>
      </c>
      <c r="B9640" t="inlineStr">
        <is>
          <t>2 Surprising Cancer Symptoms You Shouldn’t Ignore</t>
        </is>
      </c>
      <c r="C9640" t="inlineStr">
        <is>
          <t xml:space="preserve"> Nearly [1.7 million new cases of cancer](https://www.cancer.gov/about-cancer/understanding/statistics)  are diagnosed each year in the United States alone. And while many  people follow basic healthy living protocols that minimize their risks,  such as getting enough exercise, eating a balanced diet and not smoking,  there are countless forms of cancer that cannot be easily avoided by  lifestyle change alone. here are [20 Surprising Cancer Symptoms You Shouldn’t Ignore](https://www.omario.online/?p=262)
Even more frighteningly, many of the symptoms of cancer go unnoticed  until they have spread throughout the body. What you assume is an  exercise-related injury, symptom of a cold or a minor dermatological  problem can be something more serious that lurks beneath the surface.  The good news? When you know you need to pay attention to these amazing  cancer symptoms, you increase your chances of living long and healthy  lives.
#  1. Unexplained Weight Loss
 If many people think that an easy weight loss is a good thing, in many  cases it is a sign of something more serious. Unexplained weight loss,  especially in the double digits, can be an early sign of some types of  cancer. Cancers of the esophagus, throat and stomach can have difficulty  swallowing or fullness, often resulting in significant and  unintentional weight loss. Colon cancer is also a common factor in  involuntary weight loss, thanks to the changes it can cause in your  digestive habits. 
## 2. Excessive Fatigue
 Between work, social commitments, running and going out to the gym,  your average daily activities are enough to make everyone feel  exhausted. However, if you feel like you can’t get out of bed or need a  significant extra rest, this can be a sign of something more serious.
While some cancers, such as lymphoma, leukemia and thyroid cancer,  are known to be energy-intensive, virtually all types of cancer can wipe  out a person. If you feel much more tired than usual, consult your  doctor to make sure that a serious problem is not causing your symptoms.</t>
        </is>
      </c>
      <c r="D9640" t="n">
        <v>1</v>
      </c>
      <c r="E9640" t="n">
        <v>0</v>
      </c>
      <c r="F9640">
        <f>HYPERLINK("https://www.reddit.com/r/cancer/comments/gwoc0q/2_surprising_cancer_symptoms_you_shouldnt_ignore/")</f>
        <v/>
      </c>
      <c r="G9640" t="inlineStr">
        <is>
          <t>2020-06-04 12:29:50</t>
        </is>
      </c>
      <c r="H9640" t="inlineStr"/>
    </row>
    <row r="9641">
      <c r="A9641" t="inlineStr">
        <is>
          <t>gwpbnd</t>
        </is>
      </c>
      <c r="B9641" t="inlineStr">
        <is>
          <t>Lumpectomy unsuccessful, onto a mastectomy</t>
        </is>
      </c>
      <c r="C9641" t="inlineStr">
        <is>
          <t>Last week I had a lumpectomy to remove my triple positive cancer after doing 6 rounds of neoadjuvant chemo. I was feeling so positive about my treatment, with chemo and surgery behind me I was nearing the end of this journey. However, yesterday we got the pathology results and the cancer ended up being larger than it appeared on the imaging and the surgeon is recommending I go back and get a mastectomy. They would then like me to do more radiation and chemo (for Her2+). In one phone call I went from almost done to going back and starting over. Has anyone else had this happen? How did you cope with starting over?</t>
        </is>
      </c>
      <c r="D9641" t="n">
        <v>1</v>
      </c>
      <c r="E9641" t="n">
        <v>1</v>
      </c>
      <c r="F9641">
        <f>HYPERLINK("https://www.reddit.com/r/cancer/comments/gwpbnd/lumpectomy_unsuccessful_onto_a_mastectomy/")</f>
        <v/>
      </c>
      <c r="G9641" t="inlineStr">
        <is>
          <t>2020-06-04 13:19:44</t>
        </is>
      </c>
      <c r="H9641" t="inlineStr"/>
    </row>
    <row r="9642">
      <c r="A9642" t="inlineStr">
        <is>
          <t>gwqmgx</t>
        </is>
      </c>
      <c r="B9642" t="inlineStr">
        <is>
          <t>Concerns about leukemia</t>
        </is>
      </c>
      <c r="C9642" t="inlineStr">
        <is>
          <t>I'm going to the doctor in a few days so I'm not looking for a diagnosis, I just want to hear other people's thoughts on it. Recently, I have been very concerned on whether I may have leukemia. I've always had an interest in cancer and I was looking at symptoms of leukemia when I noticed that I experience quite a few of them. Mainly bone pain that has been happening for atleast a month. Usually the pains pretty mild and dull but sometimes it gets so bad I struggle to move whatever area the pains in. I also have what I think is petichiae on my arms which in the past week or so has spread to my thighs. I also have a lot of heads aches, fever, chills, night sweats, pale skin and shortness of breath. I haven't experienced any bleeding so far and I can't tell if I'm bruising easier than usual. Does this sound like leukemia? I just want to also say that I am a big hypochondriac and usually worry that I have diseases. This time it feels different though, I feel quite certain that theres not much else it could be. Any help appreciated.</t>
        </is>
      </c>
      <c r="D9642" t="n">
        <v>1</v>
      </c>
      <c r="E9642" t="n">
        <v>4</v>
      </c>
      <c r="F9642">
        <f>HYPERLINK("https://www.reddit.com/r/cancer/comments/gwqmgx/concerns_about_leukemia/")</f>
        <v/>
      </c>
      <c r="G9642" t="inlineStr">
        <is>
          <t>2020-06-04 14:25:59</t>
        </is>
      </c>
      <c r="H9642" t="inlineStr"/>
    </row>
    <row r="9643">
      <c r="A9643" t="inlineStr">
        <is>
          <t>gwr1su</t>
        </is>
      </c>
      <c r="B9643" t="inlineStr">
        <is>
          <t>As promised, IAmA radiation oncologist. Opening thread up now, will be back to start answering questions at 6PM central time. AM(almost)A</t>
        </is>
      </c>
      <c r="C9643" t="inlineStr">
        <is>
          <t>I about to enter my 5th of 5 years specialty training. I have been in post-secondary education &amp;amp; training for almost twenty years, and have four total degrees.
Radiation oncologists treat a huge number of different types of cancers, usually in a multi-disciplinary setting with both surgeons and medical oncologists on our teams. 
Some radiation treatments are pretty easy to get through, some are VERY hard. Radiation can also be used to treat/prevent non-cancerous conditions too, including pain, inflammation, organ-rejection, movement disorders, keloids, dupuytren's contractures, etc.
The radiation oncologist's job is to know when radiation is or is not appropriate for a patient, how much to give, how to break it up so that it's given safely but still effectively on the tumor, whether it's safe to give with chemo, where to target, how to deliver it, and how to manage the side effects of radiation, both short &amp;amp; long term.
We have to understand the physics of radiation, the biology of how radiation interacts with human tissue, the math of probability of controlling a population of tumor cells with given treatments, how to administer radiation safely without causing risk to our staff members, as well as how to design, interpret, and apply clinical trials to best help our patients fight their cancers.
We could not do what we do without a diverse staff, including nurses (like u/mariodejaniero), medical physicists, dosimetrists, radiation therapists, and the technicians who keep our multi-million dollar machines running.
Ask me (almost) anything. 
As much as I want to help anyone, I cannot comment on any patient-specific diagnoses, side effects, or other doctors. I hope you understand. I look forward to your questions! I'll be back at 6PM to start answering and will get to as many as I can!</t>
        </is>
      </c>
      <c r="D9643" t="n">
        <v>1</v>
      </c>
      <c r="E9643" t="n">
        <v>29</v>
      </c>
      <c r="F9643">
        <f>HYPERLINK("https://www.reddit.com/r/cancer/comments/gwr1su/as_promised_iama_radiation_oncologist_opening/")</f>
        <v/>
      </c>
      <c r="G9643" t="inlineStr">
        <is>
          <t>2020-06-04 14:47:58</t>
        </is>
      </c>
      <c r="H9643" t="inlineStr"/>
    </row>
    <row r="9644">
      <c r="A9644" t="inlineStr">
        <is>
          <t>gwrizg</t>
        </is>
      </c>
      <c r="B9644" t="inlineStr">
        <is>
          <t>My father just died</t>
        </is>
      </c>
      <c r="C9644" t="inlineStr">
        <is>
          <t>My father had colon cancer. We thought he was in remission but we found out the cancer was back. He was getting worse and worse &amp;amp; finally he died. I hate myself for it. I left this morning to feed my son (9m)and dogs &amp;amp; I was calling his insurance and hospice to see if they could send more people help since a nurse once a day wasn't enough because he was in home hospice with me taking care of him. 
My babies father came home, I asked him to check in him &amp;amp; he'd fallen on the floor out of his chair (one of those recliners that helps weaker people stand up etc)  with the chair raised up almost all the way. I don't know if he'd died before &amp;amp; hit the button, it looks like he choked on his vomit. I feel like I killed him. If Id been up there with him he wouldn't have fallen out of the chair or choked on vomit. He couldn't talk properly this morning so I knew he was going to go. But he was supposed to go in his sleep. If I wasn't so exhausted from helping him through the night he wouldn't have died with me being annoyed with him. I hate this. I hate cancer. I hate everything. 
Now I get to go through probate.</t>
        </is>
      </c>
      <c r="D9644" t="n">
        <v>1</v>
      </c>
      <c r="E9644" t="n">
        <v>15</v>
      </c>
      <c r="F9644">
        <f>HYPERLINK("https://www.reddit.com/r/cancer/comments/gwrizg/my_father_just_died/")</f>
        <v/>
      </c>
      <c r="G9644" t="inlineStr">
        <is>
          <t>2020-06-04 15:13:09</t>
        </is>
      </c>
      <c r="H9644" t="inlineStr"/>
    </row>
    <row r="9645">
      <c r="A9645" t="inlineStr">
        <is>
          <t>gwt3m5</t>
        </is>
      </c>
      <c r="B9645" t="inlineStr">
        <is>
          <t>Dad diagnosed with non Hodgkin’s lymphoma. What is the chance of curability and how long can someone live with this</t>
        </is>
      </c>
      <c r="C9645" t="inlineStr">
        <is>
          <t>So after discovering a lump in his neck my dad got his biopsy done and last week was diagnosed with B cell non Hodgkin’s lymphoma stage 1. They said it was in the very early stages. My dad has been on immunosuppressants for 15 years of his life following a kidney transplant which caused the cancer. What should I expect and with this diagnosis are the chances high or low. Thanks in advance</t>
        </is>
      </c>
      <c r="D9645" t="n">
        <v>1</v>
      </c>
      <c r="E9645" t="n">
        <v>6</v>
      </c>
      <c r="F9645">
        <f>HYPERLINK("https://www.reddit.com/r/cancer/comments/gwt3m5/dad_diagnosed_with_non_hodgkins_lymphoma_what_is/")</f>
        <v/>
      </c>
      <c r="G9645" t="inlineStr">
        <is>
          <t>2020-06-04 16:38:36</t>
        </is>
      </c>
      <c r="H9645" t="inlineStr"/>
    </row>
    <row r="9646">
      <c r="A9646" t="inlineStr">
        <is>
          <t>gwtfl7</t>
        </is>
      </c>
      <c r="B9646" t="inlineStr">
        <is>
          <t>Haircut while doing chemo?</t>
        </is>
      </c>
      <c r="C9646" t="inlineStr">
        <is>
          <t>Can you go to the hairdresser while doing chemo? I am under folfox, I would like to get a haircut but I am scared of having my hair wash at the salon.</t>
        </is>
      </c>
      <c r="D9646" t="n">
        <v>1</v>
      </c>
      <c r="E9646" t="n">
        <v>6</v>
      </c>
      <c r="F9646">
        <f>HYPERLINK("https://www.reddit.com/r/cancer/comments/gwtfl7/haircut_while_doing_chemo/")</f>
        <v/>
      </c>
      <c r="G9646" t="inlineStr">
        <is>
          <t>2020-06-04 16:57:52</t>
        </is>
      </c>
      <c r="H9646" t="inlineStr"/>
    </row>
    <row r="9647">
      <c r="A9647" t="inlineStr">
        <is>
          <t>gww041</t>
        </is>
      </c>
      <c r="B9647" t="inlineStr">
        <is>
          <t>Unhappy with care provided - options?</t>
        </is>
      </c>
      <c r="C9647" t="inlineStr">
        <is>
          <t>My mom has recently been diagnosed with cancer for the 2nd time, and throughout the process, we have felt a rather distinct lack of care from the cancer institute (we had moved states). The entire process has been marked by chaos, bureaucracy and delays. It feels like no one was in charge - Dr A schedules a mammogram - it needs a week. Dr B orders a biopsy - another weeks wait. whoops after Dr C saw the images - there's actually a much larger lump close to the chest wall - time to schedule a mmr, another 2 week. It was more than a month before we even got to meet Dr D, who is in charge of the case, and now they suspect the larger lump is also cancerous. No idea if it's invasive or not, but the doctor said there's no hurry to do surgery, since if it's invasive, it's already invasive, and if it's not, it's not! 
The first time round, the time between the first visit to the cancer institute and surgery was only 2 weeks. mammogram -&amp;gt; all tests ordered -&amp;gt; surgery immediately scheduled. This time around, we have only felt more and more anxiety and frustration as time went on.  
Am I being overly harsh on the cancer institute? I'm extremely worried that further delays might cause harm, if it does turn out the large mass is an invasive cancer, especially since its close to the chest wall. What are my options here? Is it possible, and is it advisable to change the doctor in charge at this point? Communications is incredibly difficult, with multiple hoops to jump through to even reach the doctor. We're not quite sure how/if it's possible to go to another cancer institute, but we're more than willing to go to another state if need be.</t>
        </is>
      </c>
      <c r="D9647" t="n">
        <v>1</v>
      </c>
      <c r="E9647" t="n">
        <v>6</v>
      </c>
      <c r="F9647">
        <f>HYPERLINK("https://www.reddit.com/r/cancer/comments/gww041/unhappy_with_care_provided_options/")</f>
        <v/>
      </c>
      <c r="G9647" t="inlineStr">
        <is>
          <t>2020-06-04 19:34:49</t>
        </is>
      </c>
      <c r="H9647" t="inlineStr"/>
    </row>
    <row r="9648">
      <c r="A9648" t="inlineStr">
        <is>
          <t>gww87x</t>
        </is>
      </c>
      <c r="B9648" t="inlineStr">
        <is>
          <t>Morale and My family's cancer</t>
        </is>
      </c>
      <c r="C9648" t="inlineStr">
        <is>
          <t>Found out my mother has cancer today. I don’t know where it’s at but they gave her 6 mos. She has had uterine cancer before but it went into remission some years ago and she was said to be cured of it after they removed her uterus. This is probably a metastization of that earlier episode but now since she has depression, probably she doesn’t want to fight this time. I feel terrible because we barely talk on the phone as it is and it seems like she’s already despairing and becoming weak from the pain to hold a conversation. Me and my father are suffering because she doesn’t seem to have strength to remain engaged in the treatment at this stage and she just got diagnosed today.</t>
        </is>
      </c>
      <c r="D9648" t="n">
        <v>1</v>
      </c>
      <c r="E9648" t="n">
        <v>1</v>
      </c>
      <c r="F9648">
        <f>HYPERLINK("https://www.reddit.com/r/cancer/comments/gww87x/morale_and_my_familys_cancer/")</f>
        <v/>
      </c>
      <c r="G9648" t="inlineStr">
        <is>
          <t>2020-06-04 19:49:09</t>
        </is>
      </c>
      <c r="H9648" t="inlineStr"/>
    </row>
    <row r="9649">
      <c r="A9649" t="inlineStr">
        <is>
          <t>gwxllo</t>
        </is>
      </c>
      <c r="B9649" t="inlineStr">
        <is>
          <t>Quick question</t>
        </is>
      </c>
      <c r="C9649" t="inlineStr">
        <is>
          <t>Hi, I had my last radiation treatment on April 20, they gave me 3000 grays over 10 days.(stage 4, anal to lymph nodes) Has anyone else noticed skin discoloration over the affected area?  I look like I tanned it.</t>
        </is>
      </c>
      <c r="D9649" t="n">
        <v>1</v>
      </c>
      <c r="E9649" t="n">
        <v>7</v>
      </c>
      <c r="F9649">
        <f>HYPERLINK("https://www.reddit.com/r/cancer/comments/gwxllo/quick_question/")</f>
        <v/>
      </c>
      <c r="G9649" t="inlineStr">
        <is>
          <t>2020-06-04 21:18:52</t>
        </is>
      </c>
      <c r="H9649" t="inlineStr"/>
    </row>
    <row r="9650">
      <c r="A9650" t="inlineStr">
        <is>
          <t>gwy00v</t>
        </is>
      </c>
      <c r="B9650" t="inlineStr">
        <is>
          <t>How can I help</t>
        </is>
      </c>
      <c r="C9650" t="inlineStr">
        <is>
          <t>I never thought I’d be writing on here, or even looking up this forum, but unfortunately here I am. A close family member was recently diagnosed with cancer. He had surgery to remove the tumor and we just found out it spread to his lymph nodes, so he’s going to have to have another surgery to remove the lymph nodes and chemo (unsure of the exact treatment plan right now). I just feel so numb from crying and helpless. He’s so young and he had big things planned for this year. Why does cancer exist, I wouldn’t wish this shit on my worst enemy. Does anyone have any tips on how I can help be there for him? Especially with COVID still going on and I don’t want to physically put him in any more health danger. Thanks</t>
        </is>
      </c>
      <c r="D9650" t="n">
        <v>1</v>
      </c>
      <c r="E9650" t="n">
        <v>5</v>
      </c>
      <c r="F9650">
        <f>HYPERLINK("https://www.reddit.com/r/cancer/comments/gwy00v/how_can_i_help/")</f>
        <v/>
      </c>
      <c r="G9650" t="inlineStr">
        <is>
          <t>2020-06-04 21:48:00</t>
        </is>
      </c>
      <c r="H9650" t="inlineStr"/>
    </row>
    <row r="9651">
      <c r="A9651" t="inlineStr">
        <is>
          <t>gwy7oj</t>
        </is>
      </c>
      <c r="B9651" t="inlineStr">
        <is>
          <t>Discord for teens with cancer</t>
        </is>
      </c>
      <c r="C9651" t="inlineStr">
        <is>
          <t>https://discord.gg/wR2nMFu</t>
        </is>
      </c>
      <c r="D9651" t="n">
        <v>1</v>
      </c>
      <c r="E9651" t="n">
        <v>0</v>
      </c>
      <c r="F9651">
        <f>HYPERLINK("https://www.reddit.com/r/cancer/comments/gwy7oj/discord_for_teens_with_cancer/")</f>
        <v/>
      </c>
      <c r="G9651" t="inlineStr">
        <is>
          <t>2020-06-04 22:04:16</t>
        </is>
      </c>
      <c r="H9651" t="inlineStr"/>
    </row>
    <row r="9652">
      <c r="A9652" t="inlineStr">
        <is>
          <t>gwyoc4</t>
        </is>
      </c>
      <c r="B9652" t="inlineStr">
        <is>
          <t>Do the things you’re too busy to do</t>
        </is>
      </c>
      <c r="C9652" t="inlineStr">
        <is>
          <t>I lost my mom to colon cancer a few months ago and honestly, being so stuck on her treatment regime, we didn’t get to do everything we wanted to do, like go to the beach.
Things are incredibly upside down in the world, but if you can, take the time to do the things you really want to do. Go to the beach! Drink that glass of wine.
I understand that doing what you want to do is a privilege not many have, but if you can, please, enjoy the things you like without guilt.
Good luck to anyone who needs it. ❤️</t>
        </is>
      </c>
      <c r="D9652" t="n">
        <v>1</v>
      </c>
      <c r="E9652" t="n">
        <v>19</v>
      </c>
      <c r="F9652">
        <f>HYPERLINK("https://www.reddit.com/r/cancer/comments/gwyoc4/do_the_things_youre_too_busy_to_do/")</f>
        <v/>
      </c>
      <c r="G9652" t="inlineStr">
        <is>
          <t>2020-06-04 22:40:28</t>
        </is>
      </c>
      <c r="H9652" t="inlineStr"/>
    </row>
    <row r="9653">
      <c r="A9653" t="inlineStr">
        <is>
          <t>gwyxta</t>
        </is>
      </c>
      <c r="B9653" t="inlineStr">
        <is>
          <t>2 year cancerversery</t>
        </is>
      </c>
      <c r="C9653" t="inlineStr">
        <is>
          <t>I don't post much, but today is my cancerversery as I like to call it.  Two years ago today, doctors found a 10" tumor in my retroperitoneum.  After 4 cycles of chemo, my stage 3c germ cell tumor (non seminoma) is just a memory.  I was one of the lucky ones, as we initially thought it was sarcoma.  Being 41 with a wife and 2 young kids, I'm grateful to still be alive.
So tonight as I sit out back on a nice spring evening with a cigar and a bourbon celebrating my recovery, though I'm not out of the woods yet, I'm thinking of all the good people I met--many who are no longer with us--while I was getting 6 hours of infusions 5 days a week for 3 months.
This group, as well a r/testicularcancer helped me make it through.  It's hard to think of anyone with cancer as being lucky, but I try to think of every new day as bonus and not take it for granted.
We are the survivors.  God bless you all, as well as the doctors and healthcare professionals that do so much for us.
I hope you all stay safe in these crazy times.  Thank you all for helping me through, it truly means a lot, and I hope somehow I can pay it forward one day.</t>
        </is>
      </c>
      <c r="D9653" t="n">
        <v>1</v>
      </c>
      <c r="E9653" t="n">
        <v>4</v>
      </c>
      <c r="F9653">
        <f>HYPERLINK("https://www.reddit.com/r/cancer/comments/gwyxta/2_year_cancerversery/")</f>
        <v/>
      </c>
      <c r="G9653" t="inlineStr">
        <is>
          <t>2020-06-04 23:02:12</t>
        </is>
      </c>
      <c r="H9653" t="inlineStr"/>
    </row>
    <row r="9654">
      <c r="A9654" t="inlineStr">
        <is>
          <t>gx35gm</t>
        </is>
      </c>
      <c r="B9654" t="inlineStr">
        <is>
          <t>A bizarre way to find out</t>
        </is>
      </c>
      <c r="C9654" t="inlineStr">
        <is>
          <t>I'm a female, 32 years old. I was just told yesterday I have cervical cancer. My partner and I have been trying for a baby, nothing happening, no positive on ovulation tests or anything, then I went to have a pap smear done after having 4 periods in 2 months each 2 weeks apart. I got a call about a week later saying I need to come in for a colposcopy because I had an abnormal pap smear result and HPV positive. I went into the appointment that was scheduled for another week later and sent home because I was on my period. Then I went back to have it done another couple weeks later and they found abnormal areas and did biopsies. My biopsy results came back with high grade 3 precancerous cells (sorry if I'm saying medical stuff wrong) in both spots but one spot's biopsy was "too fragmented to determine" if it was actual cancer. I was referred to a specialist and went to my appointment there another couple weeks later.
That's where they did another colposcopy and decided to do the LEEP surgery same day (which was very painful in one spot and couldn't feel it at all in the other spots, I don't know if they didn't numb one spot enough or what). Before they did the LEEP, the specialist looked in with his own eyes and said "I don't see cancer." Now, that did give me hope and make me feel great since he was a doctor and all, but I was still wondering how someone could just look in there and say that. I guess he can tell from what he's seen in other patients? I would love some information about that.
Anyway, my LEEP procedure was done exactly a week ago now, and I had a followup appointment in another week to go over the results, so I was told. Now I got a call yesterday from a different doctor saying they're going to schedule me for a PET scan and after that, surgery. I was very confused and asked what was going on and she said "You knew you had cancer, right?" And that is how I found out I have cancer, over the phone asking ME if I knew. I assumed they had notes on people's files saying they went in for a 2nd opinion and were never given the news that they had cancer yet. I asked what kind of surgery, she said hysterectomy and explained about how they'll take everything out. Then she finally asked what my situation on wanting kids is. I told her we've been trying and I want one. She said there are options to keep my uterus intact. I've been too all over the place to research that yet.
My mind started going at the speed of light and my responses from there were short and pretty much saying okay. I even told her to have a good day at the end, even though she was an unpleasant person. Now that I'm doing a lot better with not crying all the time and freaking out about the future, I'm very upset with how it went down. I don't have any info about anything, what stage I am (she said it looked very early and not invasive), when my next appointment is (she said I'd be contacted for my PET scan appointment details), what I should be doing. I'm hoping they'll call today for my next appointment, so I can feel like something's happening about it at least. My mom is a retired nurse and I bring her with me to appointments, and she knows what questions to ask and won't let them pressure me into anything when there's other options, so that does bring comfort.
This is pretty much me venting. I'm so confused and out of it and don't know what to think. I didn't even think I'd have a cancer scare until I was in my forties or fifties, and now the way it's happening is so weird to me. The way I found out keeps repeating over and over in my head, "You knew you had cancer, right?" and over the phone nonetheless. I guess at this point I'm just hoping the PET scan will show that it did not spread, once I even find out when my appointment is. I'm scared.</t>
        </is>
      </c>
      <c r="D9654" t="n">
        <v>1</v>
      </c>
      <c r="E9654" t="n">
        <v>13</v>
      </c>
      <c r="F9654">
        <f>HYPERLINK("https://www.reddit.com/r/cancer/comments/gx35gm/a_bizarre_way_to_find_out/")</f>
        <v/>
      </c>
      <c r="G9654" t="inlineStr">
        <is>
          <t>2020-06-05 04:55:54</t>
        </is>
      </c>
      <c r="H9654" t="inlineStr"/>
    </row>
    <row r="9655">
      <c r="A9655" t="inlineStr">
        <is>
          <t>gx369l</t>
        </is>
      </c>
      <c r="B9655" t="inlineStr">
        <is>
          <t>Wife, 34, just got diagnosed with ovarian cancer. We have 3 kids and are terrified. What are our options?</t>
        </is>
      </c>
      <c r="C9655" t="inlineStr">
        <is>
          <t>She has a carcinomatosis stage 3a according to first visual by laparoscopic exploration.   Waiting for biopsy results. We are utterly gutted.   What are her best treatment options? Survival rate?</t>
        </is>
      </c>
      <c r="D9655" t="n">
        <v>1</v>
      </c>
      <c r="E9655" t="n">
        <v>14</v>
      </c>
      <c r="F9655">
        <f>HYPERLINK("https://www.reddit.com/r/cancer/comments/gx369l/wife_34_just_got_diagnosed_with_ovarian_cancer_we/")</f>
        <v/>
      </c>
      <c r="G9655" t="inlineStr">
        <is>
          <t>2020-06-05 04:57:37</t>
        </is>
      </c>
      <c r="H9655" t="inlineStr"/>
    </row>
    <row r="9656">
      <c r="A9656" t="inlineStr">
        <is>
          <t>gx42d9</t>
        </is>
      </c>
      <c r="B9656" t="inlineStr">
        <is>
          <t>Doctors are now thinking that my girlfriend’s spindle cell sarcoma may be related to her malignant phyllodes tumor (twice removed)</t>
        </is>
      </c>
      <c r="C9656" t="inlineStr">
        <is>
          <t>The good news is that they did a full body scan and haven’t found anything else, not even in the breast. It’s just by the collarbone. Thankfully not the lungs, just what looks to be a few unremarkable spots.
We were going to freeze some eggs, but that would delay treatment by two weeks and we don’t feel comfortable doing that. She’s still on track to begin chemo next week.
I know I shouldn’t be Googling this stuff, but almost every single medical article or journal entry I’ve seen about phyllodes rumors that have metastasized is bad news. I try my best to have hope, but that crushing weight every single moment is hard to overcome.</t>
        </is>
      </c>
      <c r="D9656" t="n">
        <v>1</v>
      </c>
      <c r="E9656" t="n">
        <v>4</v>
      </c>
      <c r="F9656">
        <f>HYPERLINK("https://www.reddit.com/r/cancer/comments/gx42d9/doctors_are_now_thinking_that_my_girlfriends/")</f>
        <v/>
      </c>
      <c r="G9656" t="inlineStr">
        <is>
          <t>2020-06-05 05:57:04</t>
        </is>
      </c>
      <c r="H9656" t="inlineStr"/>
    </row>
    <row r="9657">
      <c r="A9657" t="inlineStr">
        <is>
          <t>gx4917</t>
        </is>
      </c>
      <c r="B9657" t="inlineStr">
        <is>
          <t>Biopsy, need advice</t>
        </is>
      </c>
      <c r="C9657" t="inlineStr">
        <is>
          <t>Is it possible to just get a biopsy without a doctor referring you to a pathologist? Pretty firm lump in my left boob and I’ve got skin dimpling. Just trying to save time. Thanks.</t>
        </is>
      </c>
      <c r="D9657" t="n">
        <v>1</v>
      </c>
      <c r="E9657" t="n">
        <v>3</v>
      </c>
      <c r="F9657">
        <f>HYPERLINK("https://www.reddit.com/r/cancer/comments/gx4917/biopsy_need_advice/")</f>
        <v/>
      </c>
      <c r="G9657" t="inlineStr">
        <is>
          <t>2020-06-05 06:08:18</t>
        </is>
      </c>
      <c r="H9657" t="inlineStr"/>
    </row>
    <row r="9658">
      <c r="A9658" t="inlineStr">
        <is>
          <t>gx4gyi</t>
        </is>
      </c>
      <c r="B9658" t="inlineStr">
        <is>
          <t>Stg4 Cancer patient may lose insurance</t>
        </is>
      </c>
      <c r="C9658" t="inlineStr">
        <is>
          <t>I'm sorry if this isn't the best sub to post this in, but I'm at a loss and maybe someone here can point me in the right direction.
My father has (Stage 4 liver/colon) cancer and is receiving chemo and radiation treatments. It's been over a year since the diagnosis and hes on his wife's (my stepmother) insurance policy through her work.
My stepmother might be terminated from her job this week. I dont know the details of what specifically happened, but someone at her job is accusing her of a lot of awful things and their corporate office is investigating. If fired, it wont be considered "laid off". 
If she loses her job, she loses the insurance that my father is on. I understand that COBRA may kick for a while, though they will need to pay out of pocket until she finds a new job. They don't have much money at all.
Has anyone dealt with a situation like this? They're in Florida if that matters. Any advice appreciated.</t>
        </is>
      </c>
      <c r="D9658" t="n">
        <v>1</v>
      </c>
      <c r="E9658" t="n">
        <v>4</v>
      </c>
      <c r="F9658">
        <f>HYPERLINK("https://www.reddit.com/r/cancer/comments/gx4gyi/stg4_cancer_patient_may_lose_insurance/")</f>
        <v/>
      </c>
      <c r="G9658" t="inlineStr">
        <is>
          <t>2020-06-05 06:22:18</t>
        </is>
      </c>
      <c r="H9658" t="inlineStr"/>
    </row>
    <row r="9659">
      <c r="A9659" t="inlineStr">
        <is>
          <t>gxbp4e</t>
        </is>
      </c>
      <c r="B9659" t="inlineStr">
        <is>
          <t>What are some things that have helped you or your family deal with nausea and vomiting?</t>
        </is>
      </c>
      <c r="C9659" t="inlineStr">
        <is>
          <t>I've been in remission since January, but I'm still having trouble eating. I feel like this summer heat is exacerbating it as well. How did you get through this? Does it eventually go back to normal, or at least get more manageable?</t>
        </is>
      </c>
      <c r="D9659" t="n">
        <v>1</v>
      </c>
      <c r="E9659" t="n">
        <v>33</v>
      </c>
      <c r="F9659">
        <f>HYPERLINK("https://www.reddit.com/r/cancer/comments/gxbp4e/what_are_some_things_that_have_helped_you_or_your/")</f>
        <v/>
      </c>
      <c r="G9659" t="inlineStr">
        <is>
          <t>2020-06-05 12:52:27</t>
        </is>
      </c>
      <c r="H9659" t="inlineStr"/>
    </row>
    <row r="9660">
      <c r="A9660" t="inlineStr">
        <is>
          <t>gxbvd9</t>
        </is>
      </c>
      <c r="B9660" t="inlineStr">
        <is>
          <t>Left side breast cancer - how to save your heart while going through radiation therapy</t>
        </is>
      </c>
      <c r="C9660" t="inlineStr">
        <is>
          <t>This Sun 6/7 4:00pm-4:30pm
Free Live Q&amp;amp;A with Lily Tang Associate Professor at Yale
Register: [https://www.eventbrite.com/e/save-your-heart-while-going-through-radiation-therapy-tickets-108483272388](https://www.eventbrite.com/e/save-your-heart-while-going-through-radiation-therapy-tickets-108483272388) 
About 50% of patients with left-sided breast cancer will need whole breast Radiation Therapy. This means that heart is nearby and might get irradiated as well. Radiation induced cardiac disease is a proved clinical fact. Deep Inspiration Breath Hold (DIBH) is state-of-the-art technology to treat breast tissue while sparing the heart. 
Dr. Lily Tang, Associate Professor at Yale, former Attending at Memorial Sloan Kettering Cancer Center, and a frequent speaker at national and international cancer conferences, is an expert on this topic. She presented this topic at last year's Susan G. Komen breast cancer foundation conference and received a lot of positive feedback. She will present this again to Liyfe's audience on Sunday June 7.</t>
        </is>
      </c>
      <c r="D9660" t="n">
        <v>1</v>
      </c>
      <c r="E9660" t="n">
        <v>0</v>
      </c>
      <c r="F9660">
        <f>HYPERLINK("https://www.reddit.com/r/cancer/comments/gxbvd9/left_side_breast_cancer_how_to_save_your_heart/")</f>
        <v/>
      </c>
      <c r="G9660" t="inlineStr">
        <is>
          <t>2020-06-05 13:01:33</t>
        </is>
      </c>
      <c r="H9660" t="inlineStr"/>
    </row>
    <row r="9661">
      <c r="A9661" t="inlineStr">
        <is>
          <t>gxc0nu</t>
        </is>
      </c>
      <c r="B9661" t="inlineStr">
        <is>
          <t>Bone scan clean....no answer</t>
        </is>
      </c>
      <c r="C9661" t="inlineStr">
        <is>
          <t>No cancer that is the good news. The best news.  
Regular xray, bone scan,blood work to rule out RA, lupus and lymes all   negative.   No clue why my collar bone hurts so bad that otc pain meds don't work.
I just want it to stop.</t>
        </is>
      </c>
      <c r="D9661" t="n">
        <v>1</v>
      </c>
      <c r="E9661" t="n">
        <v>7</v>
      </c>
      <c r="F9661">
        <f>HYPERLINK("https://www.reddit.com/r/cancer/comments/gxc0nu/bone_scan_cleanno_answer/")</f>
        <v/>
      </c>
      <c r="G9661" t="inlineStr">
        <is>
          <t>2020-06-05 13:09:12</t>
        </is>
      </c>
      <c r="H9661" t="inlineStr"/>
    </row>
    <row r="9662">
      <c r="A9662" t="inlineStr">
        <is>
          <t>gxc1hi</t>
        </is>
      </c>
      <c r="B9662" t="inlineStr">
        <is>
          <t>Looking for subreddit for genetic mutations</t>
        </is>
      </c>
      <c r="C9662" t="inlineStr">
        <is>
          <t>I have not been diagnosed with cancer but have screened positive for genetic mutations in ATM, BARD1 and MSH2 (lynch syndrome). I have searched but cannot find subreddits specifically for genetic mutations. Any recommendations on subredits that i may have overlooked?</t>
        </is>
      </c>
      <c r="D9662" t="n">
        <v>1</v>
      </c>
      <c r="E9662" t="n">
        <v>2</v>
      </c>
      <c r="F9662">
        <f>HYPERLINK("https://www.reddit.com/r/cancer/comments/gxc1hi/looking_for_subreddit_for_genetic_mutations/")</f>
        <v/>
      </c>
      <c r="G9662" t="inlineStr">
        <is>
          <t>2020-06-05 13:10:23</t>
        </is>
      </c>
      <c r="H9662" t="inlineStr"/>
    </row>
    <row r="9663">
      <c r="A9663" t="inlineStr">
        <is>
          <t>gxcbph</t>
        </is>
      </c>
      <c r="B9663" t="inlineStr">
        <is>
          <t>Hey Guys Im a bit worried about mu symptoms</t>
        </is>
      </c>
      <c r="C9663" t="inlineStr">
        <is>
          <t>around February is the first time i experienced a sharp pain in my chest when i breathed to deep or moved. It would go away when I get the corouge to breathe deep on purpose and it would feel like a pop. It went from happening 1 or 2 times a month to now every week, i also have a bad back pain around my spine for some reason. im really confused but idk if its just my overthinking. Thanks</t>
        </is>
      </c>
      <c r="D9663" t="n">
        <v>1</v>
      </c>
      <c r="E9663" t="n">
        <v>1</v>
      </c>
      <c r="F9663">
        <f>HYPERLINK("https://www.reddit.com/r/cancer/comments/gxcbph/hey_guys_im_a_bit_worried_about_mu_symptoms/")</f>
        <v/>
      </c>
      <c r="G9663" t="inlineStr">
        <is>
          <t>2020-06-05 13:25:18</t>
        </is>
      </c>
      <c r="H9663" t="inlineStr"/>
    </row>
    <row r="9664">
      <c r="A9664" t="inlineStr">
        <is>
          <t>gxcqgh</t>
        </is>
      </c>
      <c r="B9664" t="inlineStr">
        <is>
          <t>How long until your hair grows back after chemo??</t>
        </is>
      </c>
      <c r="C9664" t="inlineStr">
        <is>
          <t>I finished my 12th and final round of chemo (ABVD) on May 8th. How long did it take for your hair to grow back in? Did it come back a different color or type? I hear that can happen.</t>
        </is>
      </c>
      <c r="D9664" t="n">
        <v>1</v>
      </c>
      <c r="E9664" t="n">
        <v>15</v>
      </c>
      <c r="F9664">
        <f>HYPERLINK("https://www.reddit.com/r/cancer/comments/gxcqgh/how_long_until_your_hair_grows_back_after_chemo/")</f>
        <v/>
      </c>
      <c r="G9664" t="inlineStr">
        <is>
          <t>2020-06-05 13:46:57</t>
        </is>
      </c>
      <c r="H9664" t="inlineStr"/>
    </row>
    <row r="9665">
      <c r="A9665" t="inlineStr">
        <is>
          <t>gxcy0e</t>
        </is>
      </c>
      <c r="B9665" t="inlineStr">
        <is>
          <t>Head and neck cancer bleeding question</t>
        </is>
      </c>
      <c r="C9665" t="inlineStr">
        <is>
          <t>Does anyone have experience with head and neck cancer, and unexplained bleeding?
Or does anyone know of good resources or forums with open discussions of patient / caregiver experiences about this?
Overview is relative is a head and neck cancer patient... had tongue cancer in 2011, then larynx cancer in 2018 with a larengectomy, year of chemo, weekly infusions since. Yesterday had intense bleeding from throat and mouth and was rushed to the ER. Currently in the hospital.
The doctors have done some procedure involving a stent. 
...but are reporting they actually don't know where the bleeding is come from, despite him being stable now.
Very frightened of a suddent recurrence at home if they discharge soon, and hope to read up on possibilities to be as informed as possible, or ask the right questions to the doctors while he is still there.
Any thoughts or experience?
Thank you all!</t>
        </is>
      </c>
      <c r="D9665" t="n">
        <v>1</v>
      </c>
      <c r="E9665" t="n">
        <v>1</v>
      </c>
      <c r="F9665">
        <f>HYPERLINK("https://www.reddit.com/r/cancer/comments/gxcy0e/head_and_neck_cancer_bleeding_question/")</f>
        <v/>
      </c>
      <c r="G9665" t="inlineStr">
        <is>
          <t>2020-06-05 13:58:25</t>
        </is>
      </c>
      <c r="H9665" t="inlineStr"/>
    </row>
    <row r="9666">
      <c r="A9666" t="inlineStr">
        <is>
          <t>gxdzmn</t>
        </is>
      </c>
      <c r="B9666" t="inlineStr">
        <is>
          <t>CT Scan: 11mm mass in throat.</t>
        </is>
      </c>
      <c r="C9666" t="inlineStr">
        <is>
          <t>Hi all, I just had my father undergo a CT Scan of the neck and they discovered what is said to be a tumor/mass in his throat, around 11mm  (~ 0.43 inch). He had been complaining to his doctor about sore throats for about 8 months, and recently a raspier voice and a 'whistling' sound as he was trying to sleep. He also said he had felt as if food was getting stuck in his throat. The doctor was trying to brush aside his initial concerns with anti-inflammatories so he had to insist on a scan.
The doctor hasn't said anything about what it could be, but he hasn't ruled out cancer either. He'll be going under the knife in about a week since the doctor said it's right above the size where they can't do a wait-and-see approach anymore. They will try to remove the mass, and they'll be able to do a biopsy then too.
My question is, for those familiar with this topic, what are the possibilities? His age is 59, never been a smoker or drinker. He has complained for years about heartburn, and is about 25 lb overweight for his size/height. That's really all we have to go off of.
Clearly we'll know more answers soon, but I'm just trying to wrap my mind about what the possibilities are.</t>
        </is>
      </c>
      <c r="D9666" t="n">
        <v>1</v>
      </c>
      <c r="E9666" t="n">
        <v>6</v>
      </c>
      <c r="F9666">
        <f>HYPERLINK("https://www.reddit.com/r/cancer/comments/gxdzmn/ct_scan_11mm_mass_in_throat/")</f>
        <v/>
      </c>
      <c r="G9666" t="inlineStr">
        <is>
          <t>2020-06-05 14:55:53</t>
        </is>
      </c>
      <c r="H9666" t="inlineStr"/>
    </row>
    <row r="9667">
      <c r="A9667" t="inlineStr">
        <is>
          <t>gxjcjv</t>
        </is>
      </c>
      <c r="B9667" t="inlineStr">
        <is>
          <t>Dad is in Hospice</t>
        </is>
      </c>
      <c r="C9667" t="inlineStr">
        <is>
          <t>Hello all. My dad is finally in hospice after his 16 month fight with terminal cancer. The doctors said he has 2-3 weeks left to live. I have prepared myself for this moment but no matter how much I did or could have prepared myself I am beginning to feel scared and am experiencing anticipatory grief. I don’t know what/how to feel during these next few weeks and even after his death. I am also nervous to open up to people bc of past experiences. I’m not looking for attention but I’m also not sure what I’m looking for. Thank you</t>
        </is>
      </c>
      <c r="D9667" t="n">
        <v>1</v>
      </c>
      <c r="E9667" t="n">
        <v>4</v>
      </c>
      <c r="F9667">
        <f>HYPERLINK("https://www.reddit.com/r/cancer/comments/gxjcjv/dad_is_in_hospice/")</f>
        <v/>
      </c>
      <c r="G9667" t="inlineStr">
        <is>
          <t>2020-06-05 20:19:43</t>
        </is>
      </c>
      <c r="H9667" t="inlineStr"/>
    </row>
    <row r="9668">
      <c r="A9668" t="inlineStr">
        <is>
          <t>gxk99t</t>
        </is>
      </c>
      <c r="B9668" t="inlineStr">
        <is>
          <t>Best Ovarian Oncologist in North Carolina?</t>
        </is>
      </c>
      <c r="C9668" t="inlineStr">
        <is>
          <t>Grandmother has been diagnosed with ovarian cancer, and I'm trying to research the best ovarian oncologist in North Carolina, preferably in Raleigh. Does anyone have any recommendations? Or are there certain websites or some service where I can find this information?</t>
        </is>
      </c>
      <c r="D9668" t="n">
        <v>1</v>
      </c>
      <c r="E9668" t="n">
        <v>3</v>
      </c>
      <c r="F9668">
        <f>HYPERLINK("https://www.reddit.com/r/cancer/comments/gxk99t/best_ovarian_oncologist_in_north_carolina/")</f>
        <v/>
      </c>
      <c r="G9668" t="inlineStr">
        <is>
          <t>2020-06-05 21:22:44</t>
        </is>
      </c>
      <c r="H9668" t="inlineStr"/>
    </row>
    <row r="9669">
      <c r="A9669" t="inlineStr">
        <is>
          <t>gxkdcb</t>
        </is>
      </c>
      <c r="B9669" t="inlineStr">
        <is>
          <t>How do you find the energy to workout between sessions?</t>
        </is>
      </c>
      <c r="C9669" t="inlineStr">
        <is>
          <t>My doctor said it’s totally fine if I do cardio and light weights like I did pre diagnosis but it’s so hard to get the energy for it. I want to continue to workout and try my best to stay healthy but it’s so hard and I feel so weak. I just barely started chemo and I feel like I’m literally sleeping my life away. Hopefully I feel better as time goes by but I’m just trying to be realistic. I hope that once I get into the groove of exercise again maybe I’ll gain more energy. I’m sorry if this question has been asked before but do any of you have any tips you could share?</t>
        </is>
      </c>
      <c r="D9669" t="n">
        <v>1</v>
      </c>
      <c r="E9669" t="n">
        <v>0</v>
      </c>
      <c r="F9669">
        <f>HYPERLINK("https://www.reddit.com/r/cancer/comments/gxkdcb/how_do_you_find_the_energy_to_workout_between/")</f>
        <v/>
      </c>
      <c r="G9669" t="inlineStr">
        <is>
          <t>2020-06-05 21:30:48</t>
        </is>
      </c>
      <c r="H9669" t="inlineStr"/>
    </row>
    <row r="9670">
      <c r="A9670" t="inlineStr">
        <is>
          <t>gxkmp3</t>
        </is>
      </c>
      <c r="B9670" t="inlineStr">
        <is>
          <t>Oncology told grandma they could give her two good years but she’s rapidly declining and I think we’re approaching end of life.</t>
        </is>
      </c>
      <c r="C9670" t="inlineStr">
        <is>
          <t>Grandma was recently diagnosed with stage 4 lung cancer. They told her a few weeks ago that it’s metastasized to her arm, spleen, chest but that they think she could have two more good years if she started chemotherapy. 
I came out to see her with my kids before chemo starts so they could get some final good memories in with her.
In the week since I’ve been here she’s declined rapidly. 
- She doesn’t want to eat. She’s also diabetic and her sugar crashed earlier this week which resulted in a fall.
- She’s having a really difficult time remembering. I.e. I’ll give her meds and two minutes later she’ll tell me she needs her medication. All medications including pain killers are kept from her to prevent missing/doubling doses.
- Her mood swings are getting worse. She’s usually mild mannered and polite and now she’s snapping if you ask her to clarifying what she asks...even though her questions/requests don’t make sense. 
- She’s exhausted. All she wants to do is sleep. I’ve been waking her to monitor blood sugar and feed her. 
- Her pain has increased and her pain killers are no longer helping. She has an appointment for pain therapy but it’s two weeks away. 
- Her mobility has decreased. At the beginning of the week she could walk with her cane. Then a few days later the walker. Now it’s a marathon to get her from bed to wheelchair. Problems moving began happening before she fell. 
I’m not an oncologist. I’m not trying to contradict their diagnoses, but she seems to fading quickly and at this point I can’t imagine even making it to chemo.
I’m not sure what I’m looking for....Advice? Help? Insight? Suggestions?
I’m pretty blind sided by all of this.</t>
        </is>
      </c>
      <c r="D9670" t="n">
        <v>1</v>
      </c>
      <c r="E9670" t="n">
        <v>8</v>
      </c>
      <c r="F9670">
        <f>HYPERLINK("https://www.reddit.com/r/cancer/comments/gxkmp3/oncology_told_grandma_they_could_give_her_two/")</f>
        <v/>
      </c>
      <c r="G9670" t="inlineStr">
        <is>
          <t>2020-06-05 21:50:28</t>
        </is>
      </c>
      <c r="H9670" t="inlineStr"/>
    </row>
    <row r="9671">
      <c r="A9671" t="inlineStr">
        <is>
          <t>gxligx</t>
        </is>
      </c>
      <c r="B9671" t="inlineStr">
        <is>
          <t>Looking for hope</t>
        </is>
      </c>
      <c r="C9671" t="inlineStr">
        <is>
          <t>Hi all, 
I’m 15 years old, and i was diagnosed with osteosarcoma in May of 2019. I did 18 rounds of chemo, a limb salvage surgery on my right leg and was given the all clear in February. I recently found out I have relapsed after only three months in remission. 
My oncologist gave us another treatment plan which will involve 6 cycles of a different kind of chemotherapy and surgery to remove the nodules in my lungs.
This time around I feel really scared and discouraged. I can do treatment again, i’ve done it before but I understand this time that the prognosis is much poorer especially with how fast i relapsed. I had so many things planned for my life after treatment, i’ve been getting stronger in physical therapy and this just feels so unfair, i’m scared for what my future holds and i want to be a long term survivor so badly but I honestly feel cautious to be optimistic with the numbers my oncologist gave me. 
I’m not really sure why i’m posting this, i’ve never posted before but i think i’m just looking for reasons to keep going and stay positive from others in this community even when the odds are against me 
sending good luck and love to you all &amp;lt;3</t>
        </is>
      </c>
      <c r="D9671" t="n">
        <v>1</v>
      </c>
      <c r="E9671" t="n">
        <v>31</v>
      </c>
      <c r="F9671">
        <f>HYPERLINK("https://www.reddit.com/r/cancer/comments/gxligx/looking_for_hope/")</f>
        <v/>
      </c>
      <c r="G9671" t="inlineStr">
        <is>
          <t>2020-06-05 23:01:02</t>
        </is>
      </c>
      <c r="H9671" t="inlineStr"/>
    </row>
    <row r="9672">
      <c r="A9672" t="inlineStr">
        <is>
          <t>gxqu4c</t>
        </is>
      </c>
      <c r="B9672" t="inlineStr">
        <is>
          <t>Waiting might be the worst part, besides the fact that all of it is awful.</t>
        </is>
      </c>
      <c r="C9672" t="inlineStr">
        <is>
          <t>My grandmother (more like my mom than anything) has already survived stage 3 ovarian cancer. We thought she was all clear, but yesterday they found five small tumors on her brain. Hoping they caught it early, but I feel like I’m in a nightmare. I can only imagine what my Mimi is feeling right now. 
I haven’t slept tonight waiting to hear that neuro has finally come in and done some tests. Waiting to hear any news at all, instead of just knowing she’s sitting there with little masses of evil on her brain. Will probably end up being in this sub a lot. Love to all of you ❤️</t>
        </is>
      </c>
      <c r="D9672" t="n">
        <v>1</v>
      </c>
      <c r="E9672" t="n">
        <v>2</v>
      </c>
      <c r="F9672">
        <f>HYPERLINK("https://www.reddit.com/r/cancer/comments/gxqu4c/waiting_might_be_the_worst_part_besides_the_fact/")</f>
        <v/>
      </c>
      <c r="G9672" t="inlineStr">
        <is>
          <t>2020-06-06 06:18:27</t>
        </is>
      </c>
      <c r="H9672" t="inlineStr"/>
    </row>
    <row r="9673">
      <c r="A9673" t="inlineStr">
        <is>
          <t>gxr16u</t>
        </is>
      </c>
      <c r="B9673" t="inlineStr">
        <is>
          <t>Help with coming up with an gift idea for mom with cancer, on other side of states</t>
        </is>
      </c>
      <c r="C9673" t="inlineStr">
        <is>
          <t>Hi, I’m looking for ideas on what to get my mom to help her go through her treatment. We live  several states apart. I’ve always been there for her but it is impossible for me to be there for her now. She is really scared, and misses my brother and I. I was going to send her some things to make it at least feel like we‘re there.</t>
        </is>
      </c>
      <c r="D9673" t="n">
        <v>1</v>
      </c>
      <c r="E9673" t="n">
        <v>7</v>
      </c>
      <c r="F9673">
        <f>HYPERLINK("https://www.reddit.com/r/cancer/comments/gxr16u/help_with_coming_up_with_an_gift_idea_for_mom/")</f>
        <v/>
      </c>
      <c r="G9673" t="inlineStr">
        <is>
          <t>2020-06-06 06:31:07</t>
        </is>
      </c>
      <c r="H9673" t="inlineStr"/>
    </row>
    <row r="9674">
      <c r="A9674" t="inlineStr">
        <is>
          <t>gxs4tj</t>
        </is>
      </c>
      <c r="B9674" t="inlineStr">
        <is>
          <t>Side effects from xeloda/capecitabin</t>
        </is>
      </c>
      <c r="C9674" t="inlineStr">
        <is>
          <t>I recently started taking xeloda/capecitabin (chemo in pillform), and after 4 days on it I started getting some strange and painful side effects that led to being hospitalized because they were worried it might be causing some problems with my heart. The results were inconclusive, possibly because I stopped taking the pills (they told me to), and got better.
Bit of context: I was diagnosed with breast cancer, had neoadjuvant chemoteraphy, then surgery (bilateral mastectomy), now adjuvant chemoteraphy, I'm technically cancer free, but there was still cancer in the removed tissue, hence the adjuvant chemoteraphy.
I've now temporarily stopped with the chemoteraphy, and I learned they decided that if I'm going to start up again on capecitabin, I'll have to be hospitalized for it, so they can monitor my heart with something called telemetry, I think its a remote EKG (ECG in english?) thing. I have a consultation next week, and we're going to discuss treatment plans. So, I suppose things are under control so far.
But I not doing too good about it. My stomach hurts for no apparent reason, which leads me to believe it might be psychological. I worry that it might cause lasting or permanent damage. I really do not need to add heart problems to my already long list of conditions.  
The side effects were horrible. I had this excruciating pain in my jaws, arms and shoulders (not the chest, though, so they think it might be some atypical cardiac pain or w/e its called in english), and I could hardly walk to the bathroom without being out of breath, dizzy, cold sweat etc., being forced to sit/lie down waiting for it to slowly subside. The pain coming back as soon as I start moving.  
It quickly got better after stopping the chemoteraphy, luckily. But I'm worried there are no other/better options. The pills were supposed to be not nearly as bad as "regular" chemo. I'm 'only' 32 years old, and I'd like to do what I can to reduce my risk of getting cancer again in the future as much as possible.
Anyone else experience side effects like this (from xeloda or something else)?</t>
        </is>
      </c>
      <c r="D9674" t="n">
        <v>1</v>
      </c>
      <c r="E9674" t="n">
        <v>1</v>
      </c>
      <c r="F9674">
        <f>HYPERLINK("https://www.reddit.com/r/cancer/comments/gxs4tj/side_effects_from_xelodacapecitabin/")</f>
        <v/>
      </c>
      <c r="G9674" t="inlineStr">
        <is>
          <t>2020-06-06 07:38:34</t>
        </is>
      </c>
      <c r="H9674" t="inlineStr"/>
    </row>
    <row r="9675">
      <c r="A9675" t="inlineStr">
        <is>
          <t>gxs5du</t>
        </is>
      </c>
      <c r="B9675" t="inlineStr">
        <is>
          <t>Chemo question (caregiver)</t>
        </is>
      </c>
      <c r="C9675" t="inlineStr">
        <is>
          <t>Hello warriors!  
I was hoping for some advice. My dad has stage 4 NSCLC, diagnosed in Jan this year. Hes had 10 rounds of radiation, and 4 rounds of 2 different kinds of chemo (carboplatin is one. I dont know the other) and immunotherapy (keytruda). Each round has been more debilitating than the last, but his scans have been really good, so for the last round of infusions they took him off carboplatin, so hes just on one round of chemo one round of keytruda.  
My question is: how can I help him? He is miserable. Sleeps almost the entire 3 weeks. Doesnt eat much, and most stuff comes out one end or the other. We gave him an edible (not sure the strain) and it was the first time I'd seen him smile and he ate an entire vanilla milkshake. I'd love to research or hear more about medical marijuana and what strains would be best for his fatigue and nausea.  
While his scans are good, he feels his quality of life is very poor. I would love to find a homeopathic solution to assist with the chemo, because it's doing its job, but with nasty side effects. I expected some fatigue and nausea, but not all day everyday for the rest of his life. 
Obviously he is a lung cancer patient, so smoking/vaping it is out of the question, but if anybody has any insight or things you've tried, I'd love to hear about it. Were being careful about doctors at the moment, so were doing research first. (Ps were in illinois, so its legal)
Thanks in advance!</t>
        </is>
      </c>
      <c r="D9675" t="n">
        <v>1</v>
      </c>
      <c r="E9675" t="n">
        <v>6</v>
      </c>
      <c r="F9675">
        <f>HYPERLINK("https://www.reddit.com/r/cancer/comments/gxs5du/chemo_question_caregiver/")</f>
        <v/>
      </c>
      <c r="G9675" t="inlineStr">
        <is>
          <t>2020-06-06 07:39:39</t>
        </is>
      </c>
      <c r="H9675" t="inlineStr"/>
    </row>
    <row r="9676">
      <c r="A9676" t="inlineStr">
        <is>
          <t>gxso4i</t>
        </is>
      </c>
      <c r="B9676" t="inlineStr">
        <is>
          <t>Hodgkins Lymphoma 2A</t>
        </is>
      </c>
      <c r="C9676" t="inlineStr">
        <is>
          <t>Hi, I’ve been lurking and reading stories throughout my diagnosis and treatment and want to share my experiences.
I was diagnosed in December 2019 the day before New Years with Hodgkins Lymphoma. In the last 7 months I’ve gone through some really dark days with the initial diagnosis, chemotherapy and radiotherapy all taking their toll. As I write I’m out of active treatment and feeling a lot more optimistic about life and everything in general despite covid and lockdown still affecting us all. 
I feel a lot luckier than most as my odds of getting through were relatively good as cancers go but I look back and don’t know how I did it. I’ve seen people say that the mental anguish is half the battle and I think that’s quite true. Even now the idea of it coming back is a constant terror in my mind that I’m worried I will carry forever. 
In me I found a strength for adversity which I didn’t know I had. Going bald, being hospitalised, being in so much pain that I questioned whether chemo or cancer was worse. A lot has happened that it feels like a blur and I can’t help but feel proud that I made it through even though there was no alternative. 
Chemotherapy was particularly horrible despite having only a few cycles and I wouldn’t wish it in my worst enemy. Few people understood what I was going through and it was everyone here and on the lymphoma subreddit who made me realise I wasn’t alone.
Thank you to everyone for sharing your experiences and stories. It’s both uplifting and heartbreaking to hear what you all go through and I want to add my voice to the many that helped me in my bad days. The support in this community is amazing and so is everyone in it.</t>
        </is>
      </c>
      <c r="D9676" t="n">
        <v>1</v>
      </c>
      <c r="E9676" t="n">
        <v>1</v>
      </c>
      <c r="F9676">
        <f>HYPERLINK("https://www.reddit.com/r/cancer/comments/gxso4i/hodgkins_lymphoma_2a/")</f>
        <v/>
      </c>
      <c r="G9676" t="inlineStr">
        <is>
          <t>2020-06-06 08:09:37</t>
        </is>
      </c>
      <c r="H9676" t="inlineStr"/>
    </row>
    <row r="9677">
      <c r="A9677" t="inlineStr">
        <is>
          <t>gxtr1y</t>
        </is>
      </c>
      <c r="B9677" t="inlineStr">
        <is>
          <t>What would you like to know during and after cancer treatment?</t>
        </is>
      </c>
      <c r="C9677" t="inlineStr">
        <is>
          <t>Hello! My name is Caya Lieve I am 25 years old now and I survived bonecancer when I was 11 years old. 
I noticed that there were and are alot of that happened regarding cancer that I would've like to have known before treatment, such as that you always have to pay attention to your treatment, what doctors and nurses are saying, that there is a lack of any psychological help during and after cancer treatment, that doctors aren't providing enough information regarding fertility and other side effects that might occur from chemo therapy. My question is what did you miss during treatment, or what are you missing as a patient now that you would like to have addressed that you're dealing with? I want to design a website where people are provided with the right information, right education and experience regarding dealing or having dealt with cancer, you can also send me a personal message on Instagram which is @ thefabulouscancerpodcast
Thank you.</t>
        </is>
      </c>
      <c r="D9677" t="n">
        <v>1</v>
      </c>
      <c r="E9677" t="n">
        <v>0</v>
      </c>
      <c r="F9677">
        <f>HYPERLINK("https://www.reddit.com/r/cancer/comments/gxtr1y/what_would_you_like_to_know_during_and_after/")</f>
        <v/>
      </c>
      <c r="G9677" t="inlineStr">
        <is>
          <t>2020-06-06 09:11:43</t>
        </is>
      </c>
      <c r="H9677" t="inlineStr"/>
    </row>
    <row r="9678">
      <c r="A9678" t="inlineStr">
        <is>
          <t>gxuwnj</t>
        </is>
      </c>
      <c r="B9678" t="inlineStr">
        <is>
          <t>Has anyone kept their staging private from family?</t>
        </is>
      </c>
      <c r="C9678" t="inlineStr">
        <is>
          <t>Just wondering if anyone has kept their full diagnosis from family in the interest of living the most normal life possible during treatment. When I had my first diagnosis my family swooped in with the intentions of taking care of me, but I spent my treatment desperately asking them to take a step back so that I could feel as normal as possible and keep my spirits up. People constantly wanting to visit and do things for me that I had no issue doing for myself made me feel helpless and made me feel like I was dying instead of fighting. I’m on my second cancer now and it’s started again already, creating a lot of additional stress for me. I was considering keeping the stage to myself (I’ll be staged during surgery next week). My mom was planning on driving from out of state and sitting in the parking lot of the hospital (she can’t actually see me because of COVID risk from traveling). She’s already acting like I’m dying and I can’t stand it. She wanted to grocery shop for me, which I can do perfectly well myself, I’m not even in pain. I will ask for help when I need it but really would still like to live normally for as long as I can. Anyone else been in this situation? How do I create a balance? Should I just lie if the cancer has spread?</t>
        </is>
      </c>
      <c r="D9678" t="n">
        <v>1</v>
      </c>
      <c r="E9678" t="n">
        <v>21</v>
      </c>
      <c r="F9678">
        <f>HYPERLINK("https://www.reddit.com/r/cancer/comments/gxuwnj/has_anyone_kept_their_staging_private_from_family/")</f>
        <v/>
      </c>
      <c r="G9678" t="inlineStr">
        <is>
          <t>2020-06-06 10:14:11</t>
        </is>
      </c>
      <c r="H9678" t="inlineStr"/>
    </row>
    <row r="9679">
      <c r="A9679" t="inlineStr">
        <is>
          <t>gxxqcf</t>
        </is>
      </c>
      <c r="B9679" t="inlineStr">
        <is>
          <t>Almost done reading The Emperor of All Maladies</t>
        </is>
      </c>
      <c r="C9679" t="inlineStr">
        <is>
          <t>As someone who’s been deeply affected by cancer, just like all of y’all, I can’t recommend this book by Siddhartha Mukherjee enough. It’s sobering but deeply educational to really help you understand what you’re up against from all points of attack. If you haven’t already read it, check out some reviews on it - it’s very good work; it even won a Pulitzer. 
It’s not the only cancer related book I’ve found to be helpful in body and mind over the past three years.
Some I’ve read before:
- When Breath Becomes Air by Paul Kalanithi
- Everything Changes: The Insider’s Guide to Cancer in Your 20s and 30s
- When Things Fall Apart: Heart Advice for Difficult Times by Pema Chodron (Not cancer related directly but still meaningful)
On my list to read:
- The Gene by Siddhartha Mukherjee
- Cancer Ward by Aleksandr Solzhenitsyn 
- The Undying by Anne Boyer
- The Immortal Life of Henrietta Lacks by Rebecca Skloot
Leave more cancer related books that have helped educate you in the comments, I’d love to add the list.</t>
        </is>
      </c>
      <c r="D9679" t="n">
        <v>1</v>
      </c>
      <c r="E9679" t="n">
        <v>5</v>
      </c>
      <c r="F9679">
        <f>HYPERLINK("https://www.reddit.com/r/cancer/comments/gxxqcf/almost_done_reading_the_emperor_of_all_maladies/")</f>
        <v/>
      </c>
      <c r="G9679" t="inlineStr">
        <is>
          <t>2020-06-06 12:48:43</t>
        </is>
      </c>
      <c r="H9679" t="inlineStr"/>
    </row>
    <row r="9680">
      <c r="A9680" t="inlineStr">
        <is>
          <t>gxzny5</t>
        </is>
      </c>
      <c r="B9680" t="inlineStr">
        <is>
          <t>It feels good to be alive!</t>
        </is>
      </c>
      <c r="C9680" t="inlineStr">
        <is>
          <t>I'm halfway between round 6 and 7 of chemo. I spent the morning bird watching then having lunch with friends. Driving home with the sun out and the music blasting. I fucking love being alive. I'm not going to waste any time, and I'm squeezing every last drop out of this life while I can.</t>
        </is>
      </c>
      <c r="D9680" t="n">
        <v>1</v>
      </c>
      <c r="E9680" t="n">
        <v>23</v>
      </c>
      <c r="F9680">
        <f>HYPERLINK("https://www.reddit.com/r/cancer/comments/gxzny5/it_feels_good_to_be_alive/")</f>
        <v/>
      </c>
      <c r="G9680" t="inlineStr">
        <is>
          <t>2020-06-06 14:43:43</t>
        </is>
      </c>
      <c r="H9680" t="inlineStr"/>
    </row>
    <row r="9681">
      <c r="A9681" t="inlineStr">
        <is>
          <t>gy0smo</t>
        </is>
      </c>
      <c r="B9681" t="inlineStr">
        <is>
          <t>My Mom is my Best Friend... 15 years having Multiple Myeloma</t>
        </is>
      </c>
      <c r="C9681" t="inlineStr">
        <is>
          <t>I apologize if this is all over the place. I'm visiting my mom now. Mom &amp;amp; Dad have been divorced for 19 years, he's not really privy to my mom's condition as it leads him to drink (same with my brother.) So I have been shouldering a lot of what my mom is going through. I am the executor of her will (we have a small family,) we've gone over her end of life care (not passing in a hospital, she has a house on both coasts so she likes the ocean of course.) It's just.. a lot for me. I just turned 29 and so HALF of my life I have been living in this fear of my mom passing away.
&amp;amp;#x200B;
My mom was diagnosed with Multiple Myeloma (MM) an incurable blood cancer, when I was 13 and my brother was 15. The doctors didn't think she would make it to my high school graduation. But she did! And my college graduation! And we've all traveled to over 6 countries together in the past two years after never having vacations before!
&amp;amp;#x200B;
She was 180 lbs and 5'9 when diagnosed. She is now about 100lbs and only 5'2 as the cancer eats her bones and turns them into swiss cheese, compacting her spine. She's always in pain, she is SO OPTIMISTIC (it's where I get it from!) but it's getting to a point well.. well here's what happened.
&amp;amp;#x200B;
I got a call yesterday that her new chemo seems to be working but her PET/CT scan showed huge compression on her C1 spine. Basically, it is disintegrating. The C1 allows you to not be paralyzed. If it were to break fully, she would be fully paralyzed. This would break all of our hearts of course, I want her remaining years to be active and happy.
&amp;amp;#x200B;
She had to get rushed to the ER after the news,  hence why I came up here, to bring her home this morning and take care of cooking/the dog. She has to wear a cervical collar (looks kinda badass, or maybe scary to people haha.) She will have more appointments this week and hopefully some radiation will help... but it's so scary to see her so fragile.
&amp;amp;#x200B;
I live about 1hr 45 minute drive from my mom. I may get furloughed next week, and if so, I'll come stay up here for a bit. Still having a job is important so my mom said I can head back home tomorrow to continue working. I wish I could just stay up here.
&amp;amp;#x200B;
My mom is my best friend,  my biggest supporter, the most amazing person I've ever met. She's been a "mom" figure to a lot of LGBTQ youth because of how much she supports me.
&amp;amp;#x200B;
I guess I just needed to write about it because most of my friends don't understand. I'm usually in therapy (I'm also a transgender man, have bipolar, and anxiety so hah! a whole caboodle of things!) but need to find a new therapist. Usually a grief one helps - but it feels SO WEIRD to be mourning my happy, wonderful mom while she's still alive.
&amp;amp;#x200B;
Does anyone else have advice for knowing the "time may be soon" but when it does come, it will likely be a very fast downward spiral? Besides talking to her daily and visiting when I can and making sure she's all set, is there anything else I can be doing?
&amp;amp;#x200B;
Much love and light to you all.
&amp;amp;#x200B;
P.S. Even though I risk being identified from this, I have my mom's handprint tattooed on my left shoulder where she puts her arm around me. She doesn't have tattoos but joked about getting her dog's paw tattooed on her lolol</t>
        </is>
      </c>
      <c r="D9681" t="n">
        <v>1</v>
      </c>
      <c r="E9681" t="n">
        <v>6</v>
      </c>
      <c r="F9681">
        <f>HYPERLINK("https://www.reddit.com/r/cancer/comments/gy0smo/my_mom_is_my_best_friend_15_years_having_multiple/")</f>
        <v/>
      </c>
      <c r="G9681" t="inlineStr">
        <is>
          <t>2020-06-06 15:54:44</t>
        </is>
      </c>
      <c r="H9681" t="inlineStr"/>
    </row>
    <row r="9682">
      <c r="A9682" t="inlineStr">
        <is>
          <t>gy3bdl</t>
        </is>
      </c>
      <c r="B9682" t="inlineStr">
        <is>
          <t>Are Himilayan Ashwagandha Pills Bullshit?</t>
        </is>
      </c>
      <c r="C9682" t="inlineStr">
        <is>
          <t>Last year I dealt with Testicular Cancer. Had my right nut removed. Things were fine. Well, recently they might have found some cancer cells in my lower abdomen and I may have to start chemotherapy. So, I'm worried.
My mother got me these Herbal pills called "Himilayan Ashwagandha". She said it helps with cancer and that she takes them for other reasons. She wouldn't. give me a reason she took them. I love her but she sometimes is suspectible to bullshit. Whereas, I am not.
Are these pills at all valid? Or are they just glorified placebos?</t>
        </is>
      </c>
      <c r="D9682" t="n">
        <v>1</v>
      </c>
      <c r="E9682" t="n">
        <v>3</v>
      </c>
      <c r="F9682">
        <f>HYPERLINK("https://www.reddit.com/r/cancer/comments/gy3bdl/are_himilayan_ashwagandha_pills_bullshit/")</f>
        <v/>
      </c>
      <c r="G9682" t="inlineStr">
        <is>
          <t>2020-06-06 18:27:32</t>
        </is>
      </c>
      <c r="H9682" t="inlineStr"/>
    </row>
    <row r="9683">
      <c r="A9683" t="inlineStr">
        <is>
          <t>gy3xlj</t>
        </is>
      </c>
      <c r="B9683" t="inlineStr">
        <is>
          <t>Ama/support</t>
        </is>
      </c>
      <c r="C9683" t="inlineStr">
        <is>
          <t>My dad passed away from cancer 2 days ago and my mother passed from cancer back in 2012 also and kinda had an emotional snowball get abit too big keep rolling for lack of better explanation 
I'm not usually one for talking about problems,I don't have much of an established network of people to talk to even if I was so I suppose this is just somewhere I've come for words of advice or whatever can be given I suppose 
I appreciate anything in advance 🙏</t>
        </is>
      </c>
      <c r="D9683" t="n">
        <v>1</v>
      </c>
      <c r="E9683" t="n">
        <v>3</v>
      </c>
      <c r="F9683">
        <f>HYPERLINK("https://www.reddit.com/r/cancer/comments/gy3xlj/amasupport/")</f>
        <v/>
      </c>
      <c r="G9683" t="inlineStr">
        <is>
          <t>2020-06-06 19:05:47</t>
        </is>
      </c>
      <c r="H9683" t="inlineStr"/>
    </row>
    <row r="9684">
      <c r="A9684" t="inlineStr">
        <is>
          <t>gy4zkl</t>
        </is>
      </c>
      <c r="B9684" t="inlineStr">
        <is>
          <t>Can liver cancer pain get better on it own?</t>
        </is>
      </c>
      <c r="C9684" t="inlineStr">
        <is>
          <t>I haven't been diagnosed but am in the process of getting a diagnosis for multiple legions in my liver and am really scared it's you know what. The pain was really horrible for a while but almost all went away for a week and now it's back but not as bad as it first was.</t>
        </is>
      </c>
      <c r="D9684" t="n">
        <v>1</v>
      </c>
      <c r="E9684" t="n">
        <v>1</v>
      </c>
      <c r="F9684">
        <f>HYPERLINK("https://www.reddit.com/r/cancer/comments/gy4zkl/can_liver_cancer_pain_get_better_on_it_own/")</f>
        <v/>
      </c>
      <c r="G9684" t="inlineStr">
        <is>
          <t>2020-06-06 20:21:28</t>
        </is>
      </c>
      <c r="H9684" t="inlineStr"/>
    </row>
    <row r="9685">
      <c r="A9685" t="inlineStr">
        <is>
          <t>gy5bxf</t>
        </is>
      </c>
      <c r="B9685" t="inlineStr">
        <is>
          <t>Carboplatin</t>
        </is>
      </c>
      <c r="C9685" t="inlineStr">
        <is>
          <t>Hi everyone!
I was wondering if anyone has received carboplatin? And how common hair loss is with it. I have previously received cisplatin and only had thinning but I'm unsure of what to expect with this treatment!</t>
        </is>
      </c>
      <c r="D9685" t="n">
        <v>1</v>
      </c>
      <c r="E9685" t="n">
        <v>9</v>
      </c>
      <c r="F9685">
        <f>HYPERLINK("https://www.reddit.com/r/cancer/comments/gy5bxf/carboplatin/")</f>
        <v/>
      </c>
      <c r="G9685" t="inlineStr">
        <is>
          <t>2020-06-06 20:47:14</t>
        </is>
      </c>
      <c r="H9685" t="inlineStr"/>
    </row>
    <row r="9686">
      <c r="A9686" t="inlineStr">
        <is>
          <t>gyanuu</t>
        </is>
      </c>
      <c r="B9686" t="inlineStr">
        <is>
          <t>I’m not as articulate or smart as I used to be</t>
        </is>
      </c>
      <c r="C9686" t="inlineStr">
        <is>
          <t>Although I’m thankful to be alive and beating the cancer, I just miss being able to process information real quick and speak articulately.. Due to all my brain tumours and radiotherapy I’ve noticed huge drop in my intelligence.
I also mumble a lot.. I have been referred to a brain injury therapist but due to the corona virus I’ve not had an appointment yet.
I was talking to some Americans online gaming earlier and they couldn’t understand a word I was saying (northern English) and yes I have a strong accent but I now mumble a lot.
Also worried I’ll lose my job which is very mentally challenged.. Just need to vent.
Anyone else had similar experience.</t>
        </is>
      </c>
      <c r="D9686" t="n">
        <v>1</v>
      </c>
      <c r="E9686" t="n">
        <v>44</v>
      </c>
      <c r="F9686">
        <f>HYPERLINK("https://www.reddit.com/r/cancer/comments/gyanuu/im_not_as_articulate_or_smart_as_i_used_to_be/")</f>
        <v/>
      </c>
      <c r="G9686" t="inlineStr">
        <is>
          <t>2020-06-07 04:30:07</t>
        </is>
      </c>
      <c r="H9686" t="inlineStr"/>
    </row>
    <row r="9687">
      <c r="A9687" t="inlineStr">
        <is>
          <t>gydevf</t>
        </is>
      </c>
      <c r="B9687" t="inlineStr">
        <is>
          <t>My Grandmother is terminal. Need advice</t>
        </is>
      </c>
      <c r="C9687" t="inlineStr">
        <is>
          <t>Last week my grandmother was diagnosed with terminal lung cancer. She only has 20% lung capacity and for the last few months her health has been deteriorating. The doctors gave her weeks to live with how big the tumor is in her lung. Her birthday is on the 26th and they doubt she'll live to see it.
The thing is that the last two days she's done a complete 180. She has more energy, her appetite is back. Pretty much everything has gotten better.
Is this normal? Does this usually happen with people dying of cancer? I have no idea what to expect or what to do in this situation. Advice is greatly welcome. Thank you</t>
        </is>
      </c>
      <c r="D9687" t="n">
        <v>1</v>
      </c>
      <c r="E9687" t="n">
        <v>4</v>
      </c>
      <c r="F9687">
        <f>HYPERLINK("https://www.reddit.com/r/cancer/comments/gydevf/my_grandmother_is_terminal_need_advice/")</f>
        <v/>
      </c>
      <c r="G9687" t="inlineStr">
        <is>
          <t>2020-06-07 07:30:42</t>
        </is>
      </c>
      <c r="H9687" t="inlineStr"/>
    </row>
    <row r="9688">
      <c r="A9688" t="inlineStr">
        <is>
          <t>gyebmf</t>
        </is>
      </c>
      <c r="B9688" t="inlineStr">
        <is>
          <t>I need help please..</t>
        </is>
      </c>
      <c r="C9688" t="inlineStr">
        <is>
          <t>Question : what are the ods of having a colon cancer when detected through FOBT and fecalysis? 
My gastro didnt find any hemorrhoids inside my back hole, so i guess there is no hemorrhoids to cause the blood.. and i dont see any visible blood in my stool too. My test just came up positive and my fecalysis report says ( RBC 2-5/hpf ) ( pus cell 0-2/hpf ) ( bacteria LOADED ) 
I always check my back hole alot looking for some blockage, i always insert my finger inside with lubricant and sometimes when its dry.. is there a chance that this cause the bleeding or the blood that is detected? 
I will have a ct scan tomorow and i am so worried and scared about the result.. please enlighten me a bit.. i want an answer :(</t>
        </is>
      </c>
      <c r="D9688" t="n">
        <v>1</v>
      </c>
      <c r="E9688" t="n">
        <v>8</v>
      </c>
      <c r="F9688">
        <f>HYPERLINK("https://www.reddit.com/r/cancer/comments/gyebmf/i_need_help_please/")</f>
        <v/>
      </c>
      <c r="G9688" t="inlineStr">
        <is>
          <t>2020-06-07 08:23:59</t>
        </is>
      </c>
      <c r="H9688" t="inlineStr"/>
    </row>
    <row r="9689">
      <c r="A9689" t="inlineStr">
        <is>
          <t>gyfmng</t>
        </is>
      </c>
      <c r="B9689" t="inlineStr">
        <is>
          <t>Lonely</t>
        </is>
      </c>
      <c r="C9689" t="inlineStr">
        <is>
          <t>Let me preface this by saying, I don’t have cancer but my husband does. We are 26 and 25 and my husband has a rare stage IV cancer. Lately I am struggling with feeling very unsupported and lonely. 
Friends know the seriousness of his diagnosis and yet I go months without hearing from many of them. COVID certainly makes it worse as I see many friends hanging out with each other when we can’t see them - but also haven’t heard from some in months. When I do hear from friends, they rarely ask about how we’re doing. We are pretty introverted people and definitely closer with each other than others which is part of the issue but I still thought more friends would show up for us during this time. I really don’t expect much from friends, just a text here and there to say hello or ask how my husband is. 
I guess I’ve been really realizing that if something happens to my husband and things go downhill, I really won’t have anyone outside of my family. Even when things go back to normal, I’m not sure I would even consider these people friends. You know the heartbreak we deal with every day, and yet you are sending me pictures of you at the beach with other friends? I know it’s likely these people don’t know how to react as they’ve never gone through anything like this, but come on...
Has anyone dealt with this?</t>
        </is>
      </c>
      <c r="D9689" t="n">
        <v>1</v>
      </c>
      <c r="E9689" t="n">
        <v>10</v>
      </c>
      <c r="F9689">
        <f>HYPERLINK("https://www.reddit.com/r/cancer/comments/gyfmng/lonely/")</f>
        <v/>
      </c>
      <c r="G9689" t="inlineStr">
        <is>
          <t>2020-06-07 09:40:39</t>
        </is>
      </c>
      <c r="H9689" t="inlineStr"/>
    </row>
    <row r="9690">
      <c r="A9690" t="inlineStr">
        <is>
          <t>gygtf1</t>
        </is>
      </c>
      <c r="B9690" t="inlineStr">
        <is>
          <t>Manic</t>
        </is>
      </c>
      <c r="C9690" t="inlineStr">
        <is>
          <t>So does anyone else experience any sort of manic behavior prior to treatment.... Or am I the only one? I'm dying for a bike, trying to decide on a tattoo, and spending my money in a manner that is generally uncharacteristic of me. Last time before treatment I was extremely aggressive and argumentative. I recognized it after the fact and I am keeping it in heck this time. I am attempting to keep myself in check this time by going to the gym but Ive gone 3 out of the last 4 days and still feeling a little wild.</t>
        </is>
      </c>
      <c r="D9690" t="n">
        <v>1</v>
      </c>
      <c r="E9690" t="n">
        <v>5</v>
      </c>
      <c r="F9690">
        <f>HYPERLINK("https://www.reddit.com/r/cancer/comments/gygtf1/manic/")</f>
        <v/>
      </c>
      <c r="G9690" t="inlineStr">
        <is>
          <t>2020-06-07 10:47:28</t>
        </is>
      </c>
      <c r="H9690" t="inlineStr"/>
    </row>
    <row r="9691">
      <c r="A9691" t="inlineStr">
        <is>
          <t>gyh9fw</t>
        </is>
      </c>
      <c r="B9691" t="inlineStr">
        <is>
          <t>Face masks and Lysol</t>
        </is>
      </c>
      <c r="C9691" t="inlineStr">
        <is>
          <t>I am just wondering what the best cloth face mask are. I am having trouble figuring out which ones are the safest.
I am also wondering if anyone has found a source of Lysol that does not involve going into the store.
Thanks.</t>
        </is>
      </c>
      <c r="D9691" t="n">
        <v>1</v>
      </c>
      <c r="E9691" t="n">
        <v>0</v>
      </c>
      <c r="F9691">
        <f>HYPERLINK("https://www.reddit.com/r/cancer/comments/gyh9fw/face_masks_and_lysol/")</f>
        <v/>
      </c>
      <c r="G9691" t="inlineStr">
        <is>
          <t>2020-06-07 11:12:25</t>
        </is>
      </c>
      <c r="H9691" t="inlineStr"/>
    </row>
    <row r="9692">
      <c r="A9692" t="inlineStr">
        <is>
          <t>gyjk0k</t>
        </is>
      </c>
      <c r="B9692" t="inlineStr">
        <is>
          <t>Super pissed.</t>
        </is>
      </c>
      <c r="C9692" t="inlineStr">
        <is>
          <t>I know it’s coming from feeling helpless and depressed over my sister’s situation.  I love her very much, for that I say “FUCK CANCER!”</t>
        </is>
      </c>
      <c r="D9692" t="n">
        <v>1</v>
      </c>
      <c r="E9692" t="n">
        <v>11</v>
      </c>
      <c r="F9692">
        <f>HYPERLINK("https://www.reddit.com/r/cancer/comments/gyjk0k/super_pissed/")</f>
        <v/>
      </c>
      <c r="G9692" t="inlineStr">
        <is>
          <t>2020-06-07 13:16:06</t>
        </is>
      </c>
      <c r="H9692" t="inlineStr"/>
    </row>
    <row r="9693">
      <c r="A9693" t="inlineStr">
        <is>
          <t>gyjpnn</t>
        </is>
      </c>
      <c r="B9693" t="inlineStr">
        <is>
          <t>[Healthcare in US] Those without insurance, how did you navigate through your diagnosis and treatment?</t>
        </is>
      </c>
      <c r="C9693" t="inlineStr">
        <is>
          <t>It could be from not having insurance before you found out or figuring out how to get insurance to help the costs.</t>
        </is>
      </c>
      <c r="D9693" t="n">
        <v>1</v>
      </c>
      <c r="E9693" t="n">
        <v>5</v>
      </c>
      <c r="F9693">
        <f>HYPERLINK("https://www.reddit.com/r/cancer/comments/gyjpnn/healthcare_in_us_those_without_insurance_how_did/")</f>
        <v/>
      </c>
      <c r="G9693" t="inlineStr">
        <is>
          <t>2020-06-07 13:23:55</t>
        </is>
      </c>
      <c r="H9693" t="inlineStr"/>
    </row>
    <row r="9694">
      <c r="A9694" t="inlineStr">
        <is>
          <t>gyjx1a</t>
        </is>
      </c>
      <c r="B9694" t="inlineStr">
        <is>
          <t>What is it like going through chemo?</t>
        </is>
      </c>
      <c r="C9694" t="inlineStr">
        <is>
          <t>My mom just started this week, and she's not the best at communicating, and I'm not the best at feeling where she's at. I do wanna grow my empathy about how she's feeling. What're you're stories with chemo and what helped you the most from family members to get through it? Thanks ❤️</t>
        </is>
      </c>
      <c r="D9694" t="n">
        <v>1</v>
      </c>
      <c r="E9694" t="n">
        <v>10</v>
      </c>
      <c r="F9694">
        <f>HYPERLINK("https://www.reddit.com/r/cancer/comments/gyjx1a/what_is_it_like_going_through_chemo/")</f>
        <v/>
      </c>
      <c r="G9694" t="inlineStr">
        <is>
          <t>2020-06-07 13:34:15</t>
        </is>
      </c>
      <c r="H9694" t="inlineStr"/>
    </row>
    <row r="9695">
      <c r="A9695" t="inlineStr">
        <is>
          <t>gykpqb</t>
        </is>
      </c>
      <c r="B9695" t="inlineStr">
        <is>
          <t>Anyone had TIP chemo before?</t>
        </is>
      </c>
      <c r="C9695" t="inlineStr">
        <is>
          <t>Anyone every been on TIP chemo? It might have a different name in other places. My consultant said the staging grades for testicular cancer don't really correlates but if they did, I'd be stage 4. I've had BEP chemo and dog leg radiotherapy on a lymphoma and a lung nodule which has now unfortunately come back 6 months later. So it's time for a bigger gun, I guess.
A non-seminoma at this stage has a 65% survival rate, apparently, but mine was a seminoma so the stats should be better still. Doesn't change the fear and worrying though. Still waiting for a full body CT because they found some abnormal boney things (their words) which may have been causing my 10 weeks of intense sciatica. And then my brain scan results.
Anyway, yeah, TIP anyone?</t>
        </is>
      </c>
      <c r="D9695" t="n">
        <v>1</v>
      </c>
      <c r="E9695" t="n">
        <v>3</v>
      </c>
      <c r="F9695">
        <f>HYPERLINK("https://www.reddit.com/r/cancer/comments/gykpqb/anyone_had_tip_chemo_before/")</f>
        <v/>
      </c>
      <c r="G9695" t="inlineStr">
        <is>
          <t>2020-06-07 14:14:01</t>
        </is>
      </c>
      <c r="H9695" t="inlineStr"/>
    </row>
    <row r="9696">
      <c r="A9696" t="inlineStr">
        <is>
          <t>gym3co</t>
        </is>
      </c>
      <c r="B9696" t="inlineStr">
        <is>
          <t>Ovarian Cancer, first time with chemo</t>
        </is>
      </c>
      <c r="C9696" t="inlineStr">
        <is>
          <t>This is my first post ever and yanno, I really don’t know what to say. First off, i’m 20 and i start my first round of chemo next week to treat this tumor on one of my ovaries (stage 2) and i’m really nervous and i guess i’m just posting here and asking for advice. I don’t know what to expect and am kinda scared. I guess I need some reassurance</t>
        </is>
      </c>
      <c r="D9696" t="n">
        <v>1</v>
      </c>
      <c r="E9696" t="n">
        <v>10</v>
      </c>
      <c r="F9696">
        <f>HYPERLINK("https://www.reddit.com/r/cancer/comments/gym3co/ovarian_cancer_first_time_with_chemo/")</f>
        <v/>
      </c>
      <c r="G9696" t="inlineStr">
        <is>
          <t>2020-06-07 15:24:43</t>
        </is>
      </c>
      <c r="H9696" t="inlineStr"/>
    </row>
    <row r="9697">
      <c r="A9697" t="inlineStr">
        <is>
          <t>gyna46</t>
        </is>
      </c>
      <c r="B9697" t="inlineStr">
        <is>
          <t>I’m part of the LLS Man and Woman of the Year</t>
        </is>
      </c>
      <c r="C9697" t="inlineStr">
        <is>
          <t>I’m sorry if this type of post isn’t allowed , please remove if it isn’t. 
As stated in the title I’m on a team I’m for the Man and a woman of the year campaign for the Leukemia and Lymphoma Society. I’m everywhere else asking for donations but I wanted to come here to share a project my little rag tag team put together.
A few musical artists have donated their time and services to play a weekend of music in hopes to get donations for our cause. 
I’m not here to ask for donations, just wanted to share the link if you wanted to tune in. Our team is going to be talking about their experiences with cancer so if you wanted to enjoy some music with a group of people that are here fighting for you we would love to have you.
Dashcatalyst.com</t>
        </is>
      </c>
      <c r="D9697" t="n">
        <v>1</v>
      </c>
      <c r="E9697" t="n">
        <v>0</v>
      </c>
      <c r="F9697">
        <f>HYPERLINK("https://www.reddit.com/r/cancer/comments/gyna46/im_part_of_the_lls_man_and_woman_of_the_year/")</f>
        <v/>
      </c>
      <c r="G9697" t="inlineStr">
        <is>
          <t>2020-06-07 16:27:59</t>
        </is>
      </c>
      <c r="H9697" t="inlineStr"/>
    </row>
    <row r="9698">
      <c r="A9698" t="inlineStr">
        <is>
          <t>gynk2w</t>
        </is>
      </c>
      <c r="B9698" t="inlineStr">
        <is>
          <t>Sweet taste in my mouth</t>
        </is>
      </c>
      <c r="C9698" t="inlineStr">
        <is>
          <t xml:space="preserve">
I’m a 37 years old - male and during the last 6 days I developed a sweet taste in my mouth (like a light artificial sweetener). I’m not a smoker (never was) but when I was a kid my parents smoked for 2-3 years. I don’t have any other symptom. My last chest x-ray was either 2015 or 2016 and it was normal. I had two small nodules in my left lung that after checking a MRI scan where considered scars from a previous respiratory illness. 
I’m worried and I have to wait until Tuesday for my doctor appointment. I’m testing my blood sugar levels and so far they are normal. 
I’m very worried is lung cancer.</t>
        </is>
      </c>
      <c r="D9698" t="n">
        <v>1</v>
      </c>
      <c r="E9698" t="n">
        <v>0</v>
      </c>
      <c r="F9698">
        <f>HYPERLINK("https://www.reddit.com/r/cancer/comments/gynk2w/sweet_taste_in_my_mouth/")</f>
        <v/>
      </c>
      <c r="G9698" t="inlineStr">
        <is>
          <t>2020-06-07 16:42:52</t>
        </is>
      </c>
      <c r="H9698" t="inlineStr"/>
    </row>
    <row r="9699">
      <c r="A9699" t="inlineStr">
        <is>
          <t>gyqv23</t>
        </is>
      </c>
      <c r="B9699" t="inlineStr">
        <is>
          <t>My partner refuses to come to my chemo appts</t>
        </is>
      </c>
      <c r="C9699" t="inlineStr">
        <is>
          <t>My (36f) partner (35m) refuses to come to my chemo appts. Anything medical gives him severe anxiety, he came with me to get my picc line inserted, they hadn't even put it in they were just talking us through the procedure and he ended up leaving and having panic attack in car.
Part of me feels devasted and really let down he won't come to support me but should I be sympathetic toward it given how it makes him feel? I feel like this myself nbut unfortunately I have no choice.
My main worry is that I'm stage 4 so things will only get worse not better, I don't want to be alone when I die, I imagine he won't be there for that either 😪</t>
        </is>
      </c>
      <c r="D9699" t="n">
        <v>1</v>
      </c>
      <c r="E9699" t="n">
        <v>25</v>
      </c>
      <c r="F9699">
        <f>HYPERLINK("https://www.reddit.com/r/cancer/comments/gyqv23/my_partner_refuses_to_come_to_my_chemo_appts/")</f>
        <v/>
      </c>
      <c r="G9699" t="inlineStr">
        <is>
          <t>2020-06-07 20:15:18</t>
        </is>
      </c>
      <c r="H9699" t="inlineStr"/>
    </row>
    <row r="9700">
      <c r="A9700" t="inlineStr">
        <is>
          <t>gytmap</t>
        </is>
      </c>
      <c r="B9700" t="inlineStr">
        <is>
          <t>Question about Cancer</t>
        </is>
      </c>
      <c r="C9700" t="inlineStr">
        <is>
          <t>I just got my first job in fast food and a customer came back because she didn’t receive the food she ordered for her young grand daughter. She asked me if it were under lights (where we keep food to stay warm) and she said her granddaughter couldn’t eat food that sat under the lights for a long time because her granddaughter had cancer so she needed the nuggets to be fresh. Is this true?</t>
        </is>
      </c>
      <c r="D9700" t="n">
        <v>1</v>
      </c>
      <c r="E9700" t="n">
        <v>7</v>
      </c>
      <c r="F9700">
        <f>HYPERLINK("https://www.reddit.com/r/cancer/comments/gytmap/question_about_cancer/")</f>
        <v/>
      </c>
      <c r="G9700" t="inlineStr">
        <is>
          <t>2020-06-07 23:22:10</t>
        </is>
      </c>
      <c r="H9700" t="inlineStr"/>
    </row>
    <row r="9701">
      <c r="A9701" t="inlineStr">
        <is>
          <t>gyunva</t>
        </is>
      </c>
      <c r="B9701" t="inlineStr">
        <is>
          <t>Advice on saying a last goodbye to a terminal patient</t>
        </is>
      </c>
      <c r="C9701" t="inlineStr">
        <is>
          <t>I (27F) have never known anyone who has passed away — I am fortunate to have all of my grandparents in great health — and I have no history of cancer in my family. I have never had to seriously deal with loss or grief.
My boss (58F) has terminal cancer, is now on hospice, and is expected to live a few more weeks. While she is my boss, she is also my good friend. For this reason, her husband has been keeping me abreast of her developments the past few months. Today, he and I spoke on the phone and he told me she only has a few weeks left. Since March, I haven't been able to speak to her directly apart from a few emails, which are mostly incoherent, as she's been ill and sleeping most days. He also told me she's too sensitive of her appearance for visitors and has been keeping off the phone because her weak voice makes her self-conscious. Despite this, I carefully asked if I could speak to her one last time in the next week or so, and he said she would certainly want that and we would arrange.
I just... I don't know what to say to her. She has always treated me with such adoration and respect. I've slept at her house, eaten her food, become friends with her children, and of course protected her at work during sensitive times (she's battled relapses for 8+ years). She and I were an amazing team. I will miss her so much. She is extraordinarily patient and empathetic, and I am confident there's essentially nothing I could say that would offend her or make her feel worse, necessarily, but I also don't want her to feel pitied(?).
Can anyone give me some advice? Do you have stories of saying goodbye? Sorry for the morbid post. I feel lost.</t>
        </is>
      </c>
      <c r="D9701" t="n">
        <v>1</v>
      </c>
      <c r="E9701" t="n">
        <v>7</v>
      </c>
      <c r="F9701">
        <f>HYPERLINK("https://www.reddit.com/r/cancer/comments/gyunva/advice_on_saying_a_last_goodbye_to_a_terminal/")</f>
        <v/>
      </c>
      <c r="G9701" t="inlineStr">
        <is>
          <t>2020-06-08 00:33:23</t>
        </is>
      </c>
      <c r="H9701" t="inlineStr"/>
    </row>
    <row r="9702">
      <c r="A9702" t="inlineStr">
        <is>
          <t>gyviob</t>
        </is>
      </c>
      <c r="B9702" t="inlineStr">
        <is>
          <t>My mom is dying this week and I don't know what to ask her</t>
        </is>
      </c>
      <c r="C9702" t="inlineStr">
        <is>
          <t>Hey guys, my mom has been ill almost 2 years now. Last week we discovered that she has several tumors in her brain, which ultimately sped things up, unexpectedly. She was in the hospital, but wanted to go home because she was afraid we couldn't see her anymore (since we can't visit her, covid-wise).
So noe she's home and we get to say goodbye. But I don't know what to ask. I know I'll regret not asking some of the things later, but I don't know what those things are. 
Any tips, subjects, questions I shouldn't forget about?</t>
        </is>
      </c>
      <c r="D9702" t="n">
        <v>1</v>
      </c>
      <c r="E9702" t="n">
        <v>13</v>
      </c>
      <c r="F9702">
        <f>HYPERLINK("https://www.reddit.com/r/cancer/comments/gyviob/my_mom_is_dying_this_week_and_i_dont_know_what_to/")</f>
        <v/>
      </c>
      <c r="G9702" t="inlineStr">
        <is>
          <t>2020-06-08 01:34:45</t>
        </is>
      </c>
      <c r="H9702" t="inlineStr"/>
    </row>
    <row r="9703">
      <c r="A9703" t="inlineStr">
        <is>
          <t>gyw05p</t>
        </is>
      </c>
      <c r="B9703" t="inlineStr">
        <is>
          <t>Anticipatory Grief</t>
        </is>
      </c>
      <c r="C9703" t="inlineStr">
        <is>
          <t>Not sure what else to make the title because it’s the closest thing I can compare it too. My grandfather is in his early 80’s and has recently found out he has leukemia. I haven’t been told many details but the silver lining is that his treatment has a 90% success rate. He’s been on chemo for about 2 months now and has lost a little over 10 pounds. Just yesterday he said he felt too weak to go down the stairs to shower. I’m constantly praying and trying to keep a positive mindset but my extreme anxiety makes my mind wander and imagine horrific things. Basically in my head I’m starting to grief as if he was already dead. It’s extremely irrational and I know it’s irrational but I can’t silence the thoughts as they’re extremely overwhelming. I’m not sure exactly why I’m posting this but I guess it’s just to vent and see if anyone else understands or may have been or is going through the same thing.</t>
        </is>
      </c>
      <c r="D9703" t="n">
        <v>0</v>
      </c>
      <c r="E9703" t="n">
        <v>2</v>
      </c>
      <c r="F9703">
        <f>HYPERLINK("https://www.reddit.com/r/cancer/comments/gyw05p/anticipatory_grief/")</f>
        <v/>
      </c>
      <c r="G9703" t="inlineStr">
        <is>
          <t>2020-06-08 02:14:54</t>
        </is>
      </c>
      <c r="H9703" t="inlineStr"/>
    </row>
    <row r="9704">
      <c r="A9704" t="inlineStr">
        <is>
          <t>gyzmin</t>
        </is>
      </c>
      <c r="B9704" t="inlineStr">
        <is>
          <t>r/How do I 'come out' about my cancer?</t>
        </is>
      </c>
      <c r="C9704" t="inlineStr">
        <is>
          <t>Hey all.
My situation is hardly the most pressing of the posts on here, but if anyone has the time I'd appreciate some tips if you've ever been in this position.
But first let me summarise my cancer story in two sentences. I got diagnosed with Hodgkin's June last year, finished treatment by December and along the way my partner left me and employer found a way to let me go without getting their hands dirty. Because my first post treatment scan still showed minor inflammation, I am yet to be confirmed in remission, but have since started a new job interstate where I chose not to disclose my 'may or may not still have cancer' situation.
So this brings us to the conundrum I face, where I'm now waiting on results of my follow up PET scan to determine whether it's remission or I'll need another biopsy. I'm also interviewing for a permanent role with my new work this week. I had previously mentioned to some new work friends that I battled cancer last year but have told them all that I'm 'all clear' already. I regret this now, was just a combo of not wanting them to stress and not wanting to be discriminated against in the workplace.
I don't really know if I've broken the rules on disclosable health conditions when applying for work, cause it's technically not confirmed to still be cancer yet. But in a week's time I'm getting my results, via a phone consult and during work hours, and I have no idea what to do. More and more colleages are adding me on social media, including more senior ones who I haven't told about the cancer at all. 
So my question is, how do I go about 'coming out' about my cancer? I'm probably overestimating everyone's right or need to know about it, but right now since I've told some and not others I just don't want their to be gossip about it that reflects badly on me. I know that lies always have a way of biting us in the long run 
Assuming I'm all clear next week (famous last words), I can either:
A) literally just say nothing. Any social media posts about my experience can be hidden from all work people. I'll just be very happy on results day and no one needs to know why.
B) be open about having had cancer if the topic comes up, but conveniently avoiding talk of time-frames/remission
C) somehow be honest about the whole thing 
If the cancer is back this is all a moot problem and I'm just gonna quit.
Tl;Dr Like I said, not really a big deal, I'm just tangled up in my dumb decisions to lie about my all clear status so now am wondering on the best way to explain: 'ive been given the all clear to return to a normal life but have been living in a limbo for the last 6 months' to colleages or if its something I shouldn't be saying at all</t>
        </is>
      </c>
      <c r="D9704" t="n">
        <v>8</v>
      </c>
      <c r="E9704" t="n">
        <v>6</v>
      </c>
      <c r="F9704">
        <f>HYPERLINK("https://www.reddit.com/r/cancer/comments/gyzmin/rhow_do_i_come_out_about_my_cancer/")</f>
        <v/>
      </c>
      <c r="G9704" t="inlineStr">
        <is>
          <t>2020-06-08 06:46:53</t>
        </is>
      </c>
      <c r="H9704" t="inlineStr"/>
    </row>
    <row r="9705">
      <c r="A9705" t="inlineStr">
        <is>
          <t>gyzwzj</t>
        </is>
      </c>
      <c r="B9705" t="inlineStr">
        <is>
          <t>My strong mother</t>
        </is>
      </c>
      <c r="C9705" t="inlineStr">
        <is>
          <t>My mom has lung cancer and in some ways she seems to be coping with it better than I am. When she told me, she was calm and nonchalant about it. She knew I'd be scared so she told me last of all her children. The thing is I want to be there for her. She's getting a port put in for chemo which means they think she has a chance of making it. I believe in her too. Though I am scared, I want to assure her that I'm not and that I can be strong too. I don't want my mom to feel any bit burdened by me emotionally. Any advice for being there for a loved one going through this?</t>
        </is>
      </c>
      <c r="D9705" t="n">
        <v>3</v>
      </c>
      <c r="E9705" t="n">
        <v>8</v>
      </c>
      <c r="F9705">
        <f>HYPERLINK("https://www.reddit.com/r/cancer/comments/gyzwzj/my_strong_mother/")</f>
        <v/>
      </c>
      <c r="G9705" t="inlineStr">
        <is>
          <t>2020-06-08 07:04:05</t>
        </is>
      </c>
      <c r="H9705" t="inlineStr"/>
    </row>
    <row r="9706">
      <c r="A9706" t="inlineStr">
        <is>
          <t>gz1188</t>
        </is>
      </c>
      <c r="B9706" t="inlineStr">
        <is>
          <t>Mom is dying of cancer in a few days.</t>
        </is>
      </c>
      <c r="C9706" t="inlineStr">
        <is>
          <t>Please pray for her she had to battle cancer for 16 years. She saw me grow up and all this happened within a week. Her liver doesnt support anymore. Please pray for healing and please pray whatever happens that Jesus protects her always.</t>
        </is>
      </c>
      <c r="D9706" t="n">
        <v>83</v>
      </c>
      <c r="E9706" t="n">
        <v>25</v>
      </c>
      <c r="F9706">
        <f>HYPERLINK("https://www.reddit.com/r/cancer/comments/gz1188/mom_is_dying_of_cancer_in_a_few_days/")</f>
        <v/>
      </c>
      <c r="G9706" t="inlineStr">
        <is>
          <t>2020-06-08 08:06:58</t>
        </is>
      </c>
      <c r="H9706" t="inlineStr"/>
    </row>
    <row r="9707">
      <c r="A9707" t="inlineStr">
        <is>
          <t>gz2oao</t>
        </is>
      </c>
      <c r="B9707" t="inlineStr">
        <is>
          <t>I want to leave something nice for her to find</t>
        </is>
      </c>
      <c r="C9707" t="inlineStr">
        <is>
          <t>Im in hospital for a minor procedure, next to me is a young woman. From what ive ascertained she is young, lives at home, has stage 4 cancer and has had a full hysterectomy.
Her oncologist just came in and she asked what her prognosis was because she didnt want to ask in front of her mother (obviously at some event prior).
Tomorrow she goes for a glucose test early in the morning, i want to leave her a note, something like "send me a text in 3 months when you're beating that bitch. I want to celebrate for you, bed no #   hospitalX"
But obviously more eloquent and better, and im pretry drugged up myself. But i want to leave a positive message that even tho we havent spoken, i care, i think she is badass, and she is going to beat this shit.</t>
        </is>
      </c>
      <c r="D9707" t="n">
        <v>1</v>
      </c>
      <c r="E9707" t="n">
        <v>5</v>
      </c>
      <c r="F9707">
        <f>HYPERLINK("https://www.reddit.com/r/cancer/comments/gz2oao/i_want_to_leave_something_nice_for_her_to_find/")</f>
        <v/>
      </c>
      <c r="G9707" t="inlineStr">
        <is>
          <t>2020-06-08 09:34:55</t>
        </is>
      </c>
      <c r="H9707" t="inlineStr"/>
    </row>
    <row r="9708">
      <c r="A9708" t="inlineStr">
        <is>
          <t>gz2q9f</t>
        </is>
      </c>
      <c r="B9708" t="inlineStr">
        <is>
          <t>Delayed breast reconstruction satisfaction?</t>
        </is>
      </c>
      <c r="C9708" t="inlineStr">
        <is>
          <t>I'm 24 with breast cancer, I am only 1 round of chemo away from discussing with my oncologist whether it will get a double mastectomy or not but the left one definitely has to go since my breast is so small and the tumor grew up to 4 cm in diameter.
My sister is an aesthetic doctor and that I shouldn't get radiation therapy if I get a double mastectomy because it's overtreatment and hardens my tissue where I am treated and will most likely lead me to poor reconstruction results. 
TL;DR: Ladies with delayed reconstruction, how was your experience?</t>
        </is>
      </c>
      <c r="D9708" t="n">
        <v>1</v>
      </c>
      <c r="E9708" t="n">
        <v>2</v>
      </c>
      <c r="F9708">
        <f>HYPERLINK("https://www.reddit.com/r/cancer/comments/gz2q9f/delayed_breast_reconstruction_satisfaction/")</f>
        <v/>
      </c>
      <c r="G9708" t="inlineStr">
        <is>
          <t>2020-06-08 09:37:45</t>
        </is>
      </c>
      <c r="H9708" t="inlineStr"/>
    </row>
    <row r="9709">
      <c r="A9709" t="inlineStr">
        <is>
          <t>gz40x3</t>
        </is>
      </c>
      <c r="B9709" t="inlineStr">
        <is>
          <t>Has anyone on here been put on cisplatin based chemotherapy?</t>
        </is>
      </c>
      <c r="C9709" t="inlineStr">
        <is>
          <t>My father is going through his first week of chemo and hes in pretty bad shape, he was told to drink at least 5 to i think 8 meal replacement drinks a day but hes lucky to even keep down a small glass of water. Hes also been told to walk for about half an hour a day (even if its just a 10 minute walk 3 times a day) but hes very weak and tired, he sleeps all day, which isnt so bad, im happy hes getting rest but im worried that maybe hes getting to be to out of it? The other night while he was sleeping my mother said he was talking to himself all night. My father said there may be a chance he was delirious. But im very worried for him and how hes taking to the chemo. Has anyone ever gone through this specific therapy? Have you or someone you know experience the same things? Hes 50 years old and very stubborn and its hard to get him to go the hospital or ask for help when he needs it, so im really hoping someone on here knows how it feels and maybe knows how to cope thank you all in advance and im sorry if theres typos</t>
        </is>
      </c>
      <c r="D9709" t="n">
        <v>4</v>
      </c>
      <c r="E9709" t="n">
        <v>10</v>
      </c>
      <c r="F9709">
        <f>HYPERLINK("https://www.reddit.com/r/cancer/comments/gz40x3/has_anyone_on_here_been_put_on_cisplatin_based/")</f>
        <v/>
      </c>
      <c r="G9709" t="inlineStr">
        <is>
          <t>2020-06-08 10:44:59</t>
        </is>
      </c>
      <c r="H9709" t="inlineStr"/>
    </row>
    <row r="9710">
      <c r="A9710" t="inlineStr">
        <is>
          <t>gz8y7j</t>
        </is>
      </c>
      <c r="B9710" t="inlineStr">
        <is>
          <t>FREE Support for Young Cancer Survivors</t>
        </is>
      </c>
      <c r="C9710" t="inlineStr">
        <is>
          <t>Hi! My name is Helen and I am a research coordinator for the Bounce Back Study at the Massachusetts General Hospital Cancer Center, an affiliate of Harvard Medical School. We are recruiting adolescent and young adults who were diagnosed with cancer (any type!) between the ages of 14-29, still fall within this age range, and have completed treatment in the past 5 years. Bounce Back is a FREE virtual group stress management and resilience program that takes place over 8-weeks. The goal of the program is to help young cancer survivors learn skills to cope with the stress and emotions that arise during the post treatment transition. You will be connected with a psychologist and other young cancer survivors from around the world. **Participants will be paid up to $90 for their time**. Please send me a message or email mghbounceback@mgh.harvard.edu if you are interested in learning more or have any questions 😊</t>
        </is>
      </c>
      <c r="D9710" t="n">
        <v>1</v>
      </c>
      <c r="E9710" t="n">
        <v>0</v>
      </c>
      <c r="F9710">
        <f>HYPERLINK("https://www.reddit.com/r/cancer/comments/gz8y7j/free_support_for_young_cancer_survivors/")</f>
        <v/>
      </c>
      <c r="G9710" t="inlineStr">
        <is>
          <t>2020-06-08 14:44:20</t>
        </is>
      </c>
      <c r="H9710" t="inlineStr"/>
    </row>
    <row r="9711">
      <c r="A9711" t="inlineStr">
        <is>
          <t>gz9m9f</t>
        </is>
      </c>
      <c r="B9711" t="inlineStr">
        <is>
          <t>Officially diagnosed: metastatic carcinoid tumors.</t>
        </is>
      </c>
      <c r="C9711" t="inlineStr">
        <is>
          <t>After a couple weeks lurking, just got confirmation today: looks like I belong here.
I (35M) have been diagnosed with two metastatic carcinoid tumors along or in my small intestine, one the size of a lemon and the other a golf ball.  At my appointment today, CT biopsy from last week confirms what my oncologist suspected from the first imaging weeks ago, so I guess at least I was sorta mentally prepared for it.
Standard operating procedure would be just that: an operation.  However, I’m the lucky one whose tumors grew in a location that makes surgery or resection almost impossible at this point.  So it’s on to plan B: chemo.  Given my age and health, the doctors are looking on 2 forms at once, with the hopes that treating aggressively means the tumors will shrink away from the high-risk area and make me a candidate for surgery.  If all goes as planned, chemo now, surgery later.
Still waiting on a second opinion on my case to verify all of the above and another surgical consultation, but that will take a couple weeks’ time.
&amp;amp;#x200B;
Truth be told, I don’t entirely know what I’m looking for in posting here.  Catharsis of just getting it out there?  A community that can understand what I’m going through?  ...I can’t be the only one who doesn’t know how to process this kind of news or even what I need for myself right now.
In any case, thanks for reading.  If you’re in this sub for yourself or a loved one, wish you all the best.</t>
        </is>
      </c>
      <c r="D9711" t="n">
        <v>57</v>
      </c>
      <c r="E9711" t="n">
        <v>51</v>
      </c>
      <c r="F9711">
        <f>HYPERLINK("https://www.reddit.com/r/cancer/comments/gz9m9f/officially_diagnosed_metastatic_carcinoid_tumors/")</f>
        <v/>
      </c>
      <c r="G9711" t="inlineStr">
        <is>
          <t>2020-06-08 15:16:29</t>
        </is>
      </c>
      <c r="H9711" t="inlineStr"/>
    </row>
    <row r="9712">
      <c r="A9712" t="inlineStr">
        <is>
          <t>gzh09m</t>
        </is>
      </c>
      <c r="B9712" t="inlineStr">
        <is>
          <t>People who lost a loved one to cancer: how did you know the time was coming?</t>
        </is>
      </c>
      <c r="C9712" t="inlineStr">
        <is>
          <t>My mom has been in hospice care for a couple months now after stopping all treatment for metastatic cancer. They told us she had from 6 months to a year to live but we see her deteriorating very fast for her to be around that long. She’s 49 and already cannot walk, bathe, or eat without help. She sleeps all day unless she is woken up to eat or take meds. She also recently told us that her brother and mom (who have both passed) keep “calling” her and asking her to go with them. She’s not longer really aware of what’s is going on and speaks pure gibberish. My question is, how do we know when it’s getting near her time? I just want to know when to start saying goodbye.</t>
        </is>
      </c>
      <c r="D9712" t="n">
        <v>5</v>
      </c>
      <c r="E9712" t="n">
        <v>7</v>
      </c>
      <c r="F9712">
        <f>HYPERLINK("https://www.reddit.com/r/cancer/comments/gzh09m/people_who_lost_a_loved_one_to_cancer_how_did_you/")</f>
        <v/>
      </c>
      <c r="G9712" t="inlineStr">
        <is>
          <t>2020-06-08 22:47:49</t>
        </is>
      </c>
      <c r="H9712" t="inlineStr"/>
    </row>
    <row r="9713">
      <c r="A9713" t="inlineStr">
        <is>
          <t>gzhais</t>
        </is>
      </c>
      <c r="B9713" t="inlineStr">
        <is>
          <t>I have questions</t>
        </is>
      </c>
      <c r="C9713" t="inlineStr">
        <is>
          <t>I was just diagnosed with cancer
in my bladder.
I'll admit to being scared.
But the thing is I have no friends,
no family.
No one that cares about me, no one to love or that loves me. I've accepted the road I'm on and I dont care.
I'm planning on letting it run its course
So I guess what I'm asking is
how bad is it going to get ?
I'm sure it's going to hurt. 
But is there anything I can do to ease some of the pain ?  And will it be fast or will I linger?
Any help will be appreciated
Thank you</t>
        </is>
      </c>
      <c r="D9713" t="n">
        <v>9</v>
      </c>
      <c r="E9713" t="n">
        <v>9</v>
      </c>
      <c r="F9713">
        <f>HYPERLINK("https://www.reddit.com/r/cancer/comments/gzhais/i_have_questions/")</f>
        <v/>
      </c>
      <c r="G9713" t="inlineStr">
        <is>
          <t>2020-06-08 23:09:11</t>
        </is>
      </c>
      <c r="H9713" t="inlineStr"/>
    </row>
    <row r="9714">
      <c r="A9714" t="inlineStr">
        <is>
          <t>gznqhn</t>
        </is>
      </c>
      <c r="B9714" t="inlineStr">
        <is>
          <t>Dad was diagnosed in early March and I'm lost</t>
        </is>
      </c>
      <c r="C9714" t="inlineStr">
        <is>
          <t>Just had to get this off my chest. Apologies for the rant and I hope this doesn't break subreddit guidelines.
Dad was diagnosed at 63 in early March with a rare, stage 4 cholangiocarcinoma. Also known commonly as "bile duct cancer", it's very rare and doesn't present symptoms until it's borderline too late. With treatment, he's been given a 7% chance to live beyond the two year point. His health is good at the moment, but weight loss has been a thing. His abdomen is swollen with cancer and fluid, which he has drained every few weeks now. Days consist of varying amounts of sleep. He's been taking pain killers and laxatives a lot. His needs are changing shape to say the least.
My oldest brother has had cancer twice and lives close to Dad. I've not had a deep relationship with him because he's 10 years my senior and grew up living with his mother mostly, but he seems to be doing well with everything. The middle brother is a different story. He's very dedicated to diet and exercise sciences. Attempting to push dad onto a greens heavier diet with zero carbs. On one hand I'm all for it, on the other I just want to see the old man comfortable and enjoying the time he has left. After all, chances are that he won't recover.
The cancer was essentially a death sentence. 3-6 months from time of diagnosis. Treatment offers little comfort. From what I can tell, they're attempting to stop/shrink the growths, remove the intestinal tumor that spread from the liver, then use experimental treatment on the cancer in the liver itself.
Fuck cancer. I've had the most difficult, strained, BS relationship with my father. We were BARELY on speaking terms when this all happened. I'm so glad that we could put the past behind us (I was admittedly a fuck up, but I'm doing great now; Dad only sees the idiot from my teens/twenties).
I guess my only ask is, "What now"? I want to record some of our time together and ask him stories about the family. I live 7 hours away and will be visiting every couple weeks. I feel like myself and the aunts and uncles all understand that this is it, but my brothers can't accept it. The oldest is ignoring how bad it is because of his two time survival rate, and my other brother is acting like only eating salad from here on out is going to cure him.</t>
        </is>
      </c>
      <c r="D9714" t="n">
        <v>32</v>
      </c>
      <c r="E9714" t="n">
        <v>18</v>
      </c>
      <c r="F9714">
        <f>HYPERLINK("https://www.reddit.com/r/cancer/comments/gznqhn/dad_was_diagnosed_in_early_march_and_im_lost/")</f>
        <v/>
      </c>
      <c r="G9714" t="inlineStr">
        <is>
          <t>2020-06-09 07:02:32</t>
        </is>
      </c>
      <c r="H9714" t="inlineStr"/>
    </row>
    <row r="9715">
      <c r="A9715" t="inlineStr">
        <is>
          <t>gzsydq</t>
        </is>
      </c>
      <c r="B9715" t="inlineStr">
        <is>
          <t>My mom got ovary cancer. She just got diagoned as stage 3c. It is one of the advanced ovary cancer. How can i help her? Is there any hope that she will be fine?</t>
        </is>
      </c>
      <c r="C9715" t="inlineStr">
        <is>
          <t>Doctors are starting on Chemo on 13th as  1 of the tumor is very close to blood vessel. I am just dying inside and cannot talk to my father or brother as they are not able to take this news well.
Another question: doctors are going to NACT on 13th. What all things can make her feel better</t>
        </is>
      </c>
      <c r="D9715" t="n">
        <v>2</v>
      </c>
      <c r="E9715" t="n">
        <v>9</v>
      </c>
      <c r="F9715">
        <f>HYPERLINK("https://www.reddit.com/r/cancer/comments/gzsydq/my_mom_got_ovary_cancer_she_just_got_diagoned_as/")</f>
        <v/>
      </c>
      <c r="G9715" t="inlineStr">
        <is>
          <t>2020-06-09 11:30:42</t>
        </is>
      </c>
      <c r="H9715" t="inlineStr"/>
    </row>
    <row r="9716">
      <c r="A9716" t="inlineStr">
        <is>
          <t>gzyylc</t>
        </is>
      </c>
      <c r="B9716" t="inlineStr">
        <is>
          <t>Long-time lurker, first time poster</t>
        </is>
      </c>
      <c r="C9716" t="inlineStr">
        <is>
          <t>I really do not know how to begin this post but here I am, typing right beside my mother who has breast cancer that spread to her liver.  She is currently having oral chemo given the COVID19 pandemic. 
I am lurking here for a long time now since my dad also died from colon cancer but I never thought we would experience this again. My mother’s family has no history of cancer, although she has been drinking hard since our father died. 
I don’t know. I am afraid, angry and sad at the same time. She lost 10 kilos for the last six months. And her health was the worst last month. Probably the meds worked as she can speak again. 
From financing her treatment to bearing the psychological pain, damn, I am feeling so tired.</t>
        </is>
      </c>
      <c r="D9716" t="n">
        <v>36</v>
      </c>
      <c r="E9716" t="n">
        <v>12</v>
      </c>
      <c r="F9716">
        <f>HYPERLINK("https://www.reddit.com/r/cancer/comments/gzyylc/longtime_lurker_first_time_poster/")</f>
        <v/>
      </c>
      <c r="G9716" t="inlineStr">
        <is>
          <t>2020-06-09 16:25:42</t>
        </is>
      </c>
      <c r="H9716" t="inlineStr"/>
    </row>
    <row r="9717">
      <c r="A9717" t="inlineStr">
        <is>
          <t>h019vi</t>
        </is>
      </c>
      <c r="B9717" t="inlineStr">
        <is>
          <t>How do I help my friend with cancer?</t>
        </is>
      </c>
      <c r="C9717" t="inlineStr">
        <is>
          <t>My friend is a 30 year old male who has a yolk sac tumor in his chest. He did his chemo a few months ago and recovery and remission was on the horizon. He found out the tumor is back and the doctor is not very hopeful. I don’t know all the details truly. But what I can I do from the outside to help? He lives with my husband and I. I cook and take care where I can. My question is: is there anything in specific that is helpful that I can do? Do you have a book recommendation or something you swear by? I’m open to whatever we have to do to help him fight it! Thank you to all you kind, strong souls!</t>
        </is>
      </c>
      <c r="D9717" t="n">
        <v>1</v>
      </c>
      <c r="E9717" t="n">
        <v>1</v>
      </c>
      <c r="F9717">
        <f>HYPERLINK("https://www.reddit.com/r/cancer/comments/h019vi/how_do_i_help_my_friend_with_cancer/")</f>
        <v/>
      </c>
      <c r="G9717" t="inlineStr">
        <is>
          <t>2020-06-09 18:43:43</t>
        </is>
      </c>
      <c r="H9717" t="inlineStr"/>
    </row>
    <row r="9718">
      <c r="A9718" t="inlineStr">
        <is>
          <t>h046ur</t>
        </is>
      </c>
      <c r="B9718" t="inlineStr">
        <is>
          <t>Peripheral T-Cell Non-Hodgkins Lymphoma</t>
        </is>
      </c>
      <c r="C9718" t="inlineStr">
        <is>
          <t>my dad died 4 months ago from peripheral T-Cell Non-Hodgkins lymphoma and I’m lost without him. His cancer was extremely rare and only had about a 5% survival rate. It came out of absolute nowhere and he was only 56 years old. I’m wondering if anyone else has had to deal with this specific kind...</t>
        </is>
      </c>
      <c r="D9718" t="n">
        <v>1</v>
      </c>
      <c r="E9718" t="n">
        <v>2</v>
      </c>
      <c r="F9718">
        <f>HYPERLINK("https://www.reddit.com/r/cancer/comments/h046ur/peripheral_tcell_nonhodgkins_lymphoma/")</f>
        <v/>
      </c>
      <c r="G9718" t="inlineStr">
        <is>
          <t>2020-06-09 22:02:57</t>
        </is>
      </c>
      <c r="H9718" t="inlineStr"/>
    </row>
    <row r="9719">
      <c r="A9719" t="inlineStr">
        <is>
          <t>h04ily</t>
        </is>
      </c>
      <c r="B9719" t="inlineStr">
        <is>
          <t>Why can’t moms live forever?</t>
        </is>
      </c>
      <c r="C9719" t="inlineStr">
        <is>
          <t>I’m struggling really bad and I don’t know where else to turn to so I’m just going to ramble here. 
It’s just my mom and I. All of her sisters and brothers are back in our country and I have no siblings either. My mom has been through so much in her life. She experienced life in a war torn country while pregnant and having to escape. She came to Canada with a child on her own and worked so fucking hard as a single parent to do everything to make my life amazing. She put me through university and gave me so much love and wonderful memories. She bought me my first car with no credit and anything at all that I wished for she made happen. She’s so gentle and sweet and so patient and kind. She made the most delicious food. She would listen and care about anything I had to say. I could complain about something for hours and she would just make me feel better and never get annoyed. She would cut up fruit and make me plate of snacks and bring to my room while I was studying. It breaks my heart that I spent so much time cooped up studying instead of more time hanging out with my mom while she’s healthy and well. I hate this feeling. 
My mom was diagnosed with stage 4 colon cancer last May. She was doing so well and had so much energy. She was getting chemotherapy and would come home after and make food or we would go for a walk. It was so amazing to see her thriving. However, they found out that as the cancer was shrinking everywhere else it was getting larger on her ovaries. They then had to stop chemotherapy for a month and do a surgery to remove her ovaries. While at the hospital she developed pneumonia and that made healing difficult. She then got discharged after but still felt so much pain in her abdomen. She spent a whole month in bed thinking it’s the healing process but she literally couldn’t sit without feeling pain. Even after telling her oncologist she’s feeling so much pain and isn’t ready for chemotherapy they did nothing and said to keep resting. At her next appointment she continued to tell her she’s not feeling good so they do CT scan and find out she has an abscess so they had to do drainage this continued to make it so she could not receive chemo for so long and that was not good. Her fingers and feet also developed neuropathy and so they had to switch the chemo. 
She began to feel nauseous and puked a few times after eating so I brought her to the hospital and had to be admitted again for them to find out she has an obstruction. She was able to recover from the obstruction on her own and was sent home feeling good. Unfortunately that lasted 5 days and the symptoms returned and she had to go back again and has been there for over a month. They had to do one surgery to get around the obstruction but that surgery failed and ended up causing an infection due to leakage. Her blood pressure decreased drastically and heart rate increased. It was so scary. They had to redo the surgery and she spent days in the ICU. The worst and most heartbreaking thing is having a doctor FaceTime you to talk about the “next steps” saying if the ostomy doesn’t start working on its own there is nothing left they can do. Thankfully it began to work, however her feet and legs up to her knees have swelled up so much after the surgery that she is literally not able to lift her feet get up on her own without the help of two other people. 
She’s very upset because she is so used to being independent and doing everything on her own. She’s bed ridden and it’s so hard to watch. She has lost a lot of weight and I’m devastated seeing her this way. They are now talking about palliative care and moving her to a hospital that offers that or to bring her home and have home care constantly coming. I don’t know what’s worse. I’m just so torn and feel like my life is completely falling apart and everyone else is moving along. I don’t want to live a life where my mom isn’t here. She won’t be able to meet her grandchildren or see me get my career started. She’s my best friend and I truly don’t feel like I can go on without her.</t>
        </is>
      </c>
      <c r="D9719" t="n">
        <v>37</v>
      </c>
      <c r="E9719" t="n">
        <v>21</v>
      </c>
      <c r="F9719">
        <f>HYPERLINK("https://www.reddit.com/r/cancer/comments/h04ily/why_cant_moms_live_forever/")</f>
        <v/>
      </c>
      <c r="G9719" t="inlineStr">
        <is>
          <t>2020-06-09 22:27:42</t>
        </is>
      </c>
      <c r="H9719" t="inlineStr"/>
    </row>
    <row r="9720">
      <c r="A9720" t="inlineStr">
        <is>
          <t>h04l5f</t>
        </is>
      </c>
      <c r="B9720" t="inlineStr">
        <is>
          <t>A few questions about hair regrowth.</t>
        </is>
      </c>
      <c r="C9720" t="inlineStr">
        <is>
          <t>This is my second time having rhabdomyosarcoma. I’m already a month into my chemo and Ive shaved myself bald. I am receiving Vinorelbine, Temsirolimus, and Cyclophosphamide this time, whereas last time I had cancer, I got Vincristine, Actinomycin D, and Cyclophosphamide. 
Last time I had cancer, once the cyclophosphamide cycle was completed, I stopped shaving my head because Actinomycin D and Vincristine don’t cause hair loss. My hair started growing back before my entire chemo was even over that time because the Cyclophosphamide had been cut out. 
Once my eyebrows and eyelashes were back to their normal size, they were way nicer than they were before chemo. However, this is now my second time having cancer. Once again, the only drug I am getting that is causing hair loss is Cyclophosphamide. The two new drugs they are giving me this time don’t cause hair loss. 
My question is, once I start growing my eyebrows and eyelashes back, will they come back the way they came back last time? Or will they come back the way they were before cancer? Or will they come back in a whole new different form, that is different from my original brows (before ever having cancer) and my after-first-time-having-cancer-brows? I asked my doctor and he said that usually, if they grew back a certain way after the first time having cancer, it will usually grow back that way again if you go through chemo a second time. However, I would like to ask you guys this as well to be sure since a lot of you have most likely been through having cancer twice or more. 
So, once again, my question is, considering my eyebrows and eyelashes grew back nicer after my first time having cancer, do you guys think they’ll grow back the same way they did last time? Or do you think they’ll go to the way they were before I ever had cancer? Or do you think they’ll grow in a completely new way this time? 
I thank you all in advance. Stay safe everybody. I believe in all of you!!</t>
        </is>
      </c>
      <c r="D9720" t="n">
        <v>1</v>
      </c>
      <c r="E9720" t="n">
        <v>5</v>
      </c>
      <c r="F9720">
        <f>HYPERLINK("https://www.reddit.com/r/cancer/comments/h04l5f/a_few_questions_about_hair_regrowth/")</f>
        <v/>
      </c>
      <c r="G9720" t="inlineStr">
        <is>
          <t>2020-06-09 22:33:17</t>
        </is>
      </c>
      <c r="H9720" t="inlineStr"/>
    </row>
    <row r="9721">
      <c r="A9721" t="inlineStr">
        <is>
          <t>h05fmv</t>
        </is>
      </c>
      <c r="B9721" t="inlineStr">
        <is>
          <t>Am I approaching this wrong?</t>
        </is>
      </c>
      <c r="C9721" t="inlineStr">
        <is>
          <t>My dad has cancer - primary was his throat spread to his lymphnodes. He’s had his six weeks of treatment and the cancer still remains aggressive in his lymph nodes and doctors are worried. It sounds as if there is a potential that I am going to be losing my dad if the cancer gets out from the lymph nodes, but I can’t seem to get that into my head atm. All I can think about is my dad beating it and I am scared that I am not preparing myself for the potential worst case scenario.
Is this normal?
I posted this in another subreddit but I was wondering your guys opinion too.</t>
        </is>
      </c>
      <c r="D9721" t="n">
        <v>1</v>
      </c>
      <c r="E9721" t="n">
        <v>1</v>
      </c>
      <c r="F9721">
        <f>HYPERLINK("https://www.reddit.com/r/cancer/comments/h05fmv/am_i_approaching_this_wrong/")</f>
        <v/>
      </c>
      <c r="G9721" t="inlineStr">
        <is>
          <t>2020-06-09 23:43:08</t>
        </is>
      </c>
      <c r="H9721" t="inlineStr"/>
    </row>
    <row r="9722">
      <c r="A9722" t="inlineStr">
        <is>
          <t>h08ktn</t>
        </is>
      </c>
      <c r="B9722" t="inlineStr">
        <is>
          <t>The appalling treatment of my dad upon his diagnosis of cancer</t>
        </is>
      </c>
      <c r="C9722" t="inlineStr">
        <is>
          <t>So in November my father was experiencing extreme pain in his genital area. He had this pain on and off for about four years but every time he went to the Doctor they told him it was an infection. Three different NHS doctors had said this to him, until the fourth, who was a specialist in his issues, had finally diagnosed him with stage 3 penile cancer.
The treatment provided by the NHS was absolutely disgusting, when the doctor had told him he had hurried along the meeting, did not give my Father time to ask any questions and had actually just watched him awkwardly as he was crying as he was obviously in shock. The worst part is, that though he was going through excruciating pain, and was in fact almost always crying (which he never does) due to this pain, the doctor had offered him paracetamol instead of any other better pain relief for this cancer pain.
This doctor had told my father he would book him in for surgery at a hospital (I will keep this name private) who had surgeons that specialised in penile cancer, which there are very few of due to how rare it is. After two weeks of waiting we rang the hospital to find out what’s happening, turns out they had never heard of my father in his life. They would not let us book him in for anything without a referral which his doctor hadn’t wrote him. After that he decided he was done with the NHS and had to pay the high costs of going into private healthcare as the weeks in us waiting was increasing. 
He didn’t know what was going on, he didn’t know if he had a matter of weeks left to live, if he was getting sicker by the day, which as you can imagine caused immense stress to me and my family. Eventually, when he went into private healthcare, he was so lucky to get this amazing doctor who referred him to an even better surgeon who took such great care of him. This surgeon was also appalled when he had heard how the NHS had treated dad, and in fact admitted that if he was not diagnosed he would have been dead within 6 months.
Flash forward a few months later and here we are today, my dad is doing better than ever and so is our relationship from this. I feel incredibly lucky that he survived this. At the start of the year, I didn’t believe he’d see my 19th birthday, but here we are. My father, who is so incredibly strong he survived a stroke, and he survived cancer.
My father, my hero.</t>
        </is>
      </c>
      <c r="D9722" t="n">
        <v>74</v>
      </c>
      <c r="E9722" t="n">
        <v>24</v>
      </c>
      <c r="F9722">
        <f>HYPERLINK("https://www.reddit.com/r/cancer/comments/h08ktn/the_appalling_treatment_of_my_dad_upon_his/")</f>
        <v/>
      </c>
      <c r="G9722" t="inlineStr">
        <is>
          <t>2020-06-10 03:57:54</t>
        </is>
      </c>
      <c r="H9722" t="inlineStr"/>
    </row>
    <row r="9723">
      <c r="A9723" t="inlineStr">
        <is>
          <t>h09hkg</t>
        </is>
      </c>
      <c r="B9723" t="inlineStr">
        <is>
          <t>Oncologist and questions</t>
        </is>
      </c>
      <c r="C9723" t="inlineStr">
        <is>
          <t>Hi everyone. I had an office visit with my dad's oncologist last week and he was getting a bit angry that I was "overly concerned" and I kept bring up the forum posts from other sites and here as discussion points. 
At a certain point he told me it's not good to keep asking questions and trying to compare my dad's case versus others. If the treatment works it works. 
Is he right? I can't help but be concern but is there a point I just need to sit back and let medicine do its thing? It sounds like alot of the time the oncologist don't even know how a particular treatment will work and oncologist hate to discuss other cases to compare.?</t>
        </is>
      </c>
      <c r="D9723" t="n">
        <v>2</v>
      </c>
      <c r="E9723" t="n">
        <v>7</v>
      </c>
      <c r="F9723">
        <f>HYPERLINK("https://www.reddit.com/r/cancer/comments/h09hkg/oncologist_and_questions/")</f>
        <v/>
      </c>
      <c r="G9723" t="inlineStr">
        <is>
          <t>2020-06-10 05:00:59</t>
        </is>
      </c>
      <c r="H9723" t="inlineStr"/>
    </row>
    <row r="9724">
      <c r="A9724" t="inlineStr">
        <is>
          <t>h09sme</t>
        </is>
      </c>
      <c r="B9724" t="inlineStr">
        <is>
          <t>Non-alcoholic beer during chemo for colon cancer</t>
        </is>
      </c>
      <c r="C9724" t="inlineStr">
        <is>
          <t>My father in law has stage 4 colon cancer that has spread to his liver and has been undergoing chemo for the past 4 months. He keeps saying how much he misses having a beer on his deck on a nice day. We were thinking of getting him a 6-pack of non-alcoholic beer for father's day, but wanted to see if this is a huge no-no. Anyone know if this should be absolutely avoided or if they will be ok as a father's day treat?</t>
        </is>
      </c>
      <c r="D9724" t="n">
        <v>7</v>
      </c>
      <c r="E9724" t="n">
        <v>8</v>
      </c>
      <c r="F9724">
        <f>HYPERLINK("https://www.reddit.com/r/cancer/comments/h09sme/nonalcoholic_beer_during_chemo_for_colon_cancer/")</f>
        <v/>
      </c>
      <c r="G9724" t="inlineStr">
        <is>
          <t>2020-06-10 05:22:23</t>
        </is>
      </c>
      <c r="H9724" t="inlineStr"/>
    </row>
    <row r="9725">
      <c r="A9725" t="inlineStr">
        <is>
          <t>h0e43c</t>
        </is>
      </c>
      <c r="B9725" t="inlineStr">
        <is>
          <t>Ask the innovators</t>
        </is>
      </c>
      <c r="C9725" t="inlineStr">
        <is>
          <t>If you has the opportunity to ask innovators of new innovations in the horizon in diagnostics, preventions and therapies anything....what would you want to know or what would you want to ask them??</t>
        </is>
      </c>
      <c r="D9725" t="n">
        <v>0</v>
      </c>
      <c r="E9725" t="n">
        <v>2</v>
      </c>
      <c r="F9725">
        <f>HYPERLINK("https://www.reddit.com/r/cancer/comments/h0e43c/ask_the_innovators/")</f>
        <v/>
      </c>
      <c r="G9725" t="inlineStr">
        <is>
          <t>2020-06-10 09:14:38</t>
        </is>
      </c>
      <c r="H9725" t="inlineStr"/>
    </row>
    <row r="9726">
      <c r="A9726" t="inlineStr">
        <is>
          <t>h0epvp</t>
        </is>
      </c>
      <c r="B9726" t="inlineStr">
        <is>
          <t>Post chemo joint pains</t>
        </is>
      </c>
      <c r="C9726" t="inlineStr">
        <is>
          <t>Hi, has anyone experienced joint pains post chemo?
I finished my last treatment last November and lately I’ve been having these random joint pains in my knuckles. I experienced this during treatment but is it possible that this is still a side effect?</t>
        </is>
      </c>
      <c r="D9726" t="n">
        <v>1</v>
      </c>
      <c r="E9726" t="n">
        <v>8</v>
      </c>
      <c r="F9726">
        <f>HYPERLINK("https://www.reddit.com/r/cancer/comments/h0epvp/post_chemo_joint_pains/")</f>
        <v/>
      </c>
      <c r="G9726" t="inlineStr">
        <is>
          <t>2020-06-10 09:48:51</t>
        </is>
      </c>
      <c r="H9726" t="inlineStr"/>
    </row>
    <row r="9727">
      <c r="A9727" t="inlineStr">
        <is>
          <t>h0gdgo</t>
        </is>
      </c>
      <c r="B9727" t="inlineStr">
        <is>
          <t>Stage 2 Lung Cancer Squamous Cell</t>
        </is>
      </c>
      <c r="C9727" t="inlineStr">
        <is>
          <t>My mother in law was diagnosed with stage 2 lung cancer squamous cell. She has no symptoms. They found it after follow up scans to make sure her pneumonia was gone.
She is going through testing now to see if she’s a candidate for surgery. If she is, they will do surgery and if it spread to her lymph nodes, chemo as well. If she can’t have surgery it sounds like treatment will be a combo of radiation and chemo. This is in New Jersey.
The doctors aren’t giving much info now for a prognosis. I did a lot of research online and find a lot of different answers and numbers.
Anyone have any experience with this and know what we can expect? Is this curable? She is 70 years old. Hasn’t smoked in 15 years.</t>
        </is>
      </c>
      <c r="D9727" t="n">
        <v>0</v>
      </c>
      <c r="E9727" t="n">
        <v>3</v>
      </c>
      <c r="F9727">
        <f>HYPERLINK("https://www.reddit.com/r/cancer/comments/h0gdgo/stage_2_lung_cancer_squamous_cell/")</f>
        <v/>
      </c>
      <c r="G9727" t="inlineStr">
        <is>
          <t>2020-06-10 11:05:08</t>
        </is>
      </c>
      <c r="H9727" t="inlineStr"/>
    </row>
    <row r="9728">
      <c r="A9728" t="inlineStr">
        <is>
          <t>h0gmp0</t>
        </is>
      </c>
      <c r="B9728" t="inlineStr">
        <is>
          <t>Sorry if this is TMI, but has anyone had issues with sex drive after chemo?</t>
        </is>
      </c>
      <c r="C9728" t="inlineStr">
        <is>
          <t>It could also be that I lost an ovary (if you have had ovarian cancer and have had this problem, what have you done to help?) but my sex drive is borderline nonexistent. I just don't get excited like I used to, and I don't know if it's the lack of hormones or if it's from chemo. It's really frustrating for myself and my boyfriend. Please, if anyone has any information I would be incredibly grateful.</t>
        </is>
      </c>
      <c r="D9728" t="n">
        <v>4</v>
      </c>
      <c r="E9728" t="n">
        <v>7</v>
      </c>
      <c r="F9728">
        <f>HYPERLINK("https://www.reddit.com/r/cancer/comments/h0gmp0/sorry_if_this_is_tmi_but_has_anyone_had_issues/")</f>
        <v/>
      </c>
      <c r="G9728" t="inlineStr">
        <is>
          <t>2020-06-10 11:17:05</t>
        </is>
      </c>
      <c r="H9728" t="inlineStr"/>
    </row>
    <row r="9729">
      <c r="A9729" t="inlineStr">
        <is>
          <t>h0gnsh</t>
        </is>
      </c>
      <c r="B9729" t="inlineStr">
        <is>
          <t>Experience with treatment for stage IV non-small cell lung cancer: immunotherapy without combination chemotherapy?</t>
        </is>
      </c>
      <c r="C9729" t="inlineStr">
        <is>
          <t>My mother was diagnosed with stage IV non small cell lung cancer about two months ago, and after a considerable amount of work on our part to get things moving, she will finally be starting treatment next week. The only thing is, she has been advised to take immunotherapy without combining it with chemo. Everything I have read says these things are paired for better outcomes, and that just going with the immunotherapy drug, no matter how good it is, will most likely lead to a progression since it takes so long for the drug to start working. Combining it with chemo, it seems, is a better option because the chemo shrinks the tumor immediately while the other drug kicks in.
Does anyone know anything about, or have any experience with, proceeding with only the immunotherapy drug at such an advanced stage? Any comments would be welcome.</t>
        </is>
      </c>
      <c r="D9729" t="n">
        <v>0</v>
      </c>
      <c r="E9729" t="n">
        <v>6</v>
      </c>
      <c r="F9729">
        <f>HYPERLINK("https://www.reddit.com/r/cancer/comments/h0gnsh/experience_with_treatment_for_stage_iv_nonsmall/")</f>
        <v/>
      </c>
      <c r="G9729" t="inlineStr">
        <is>
          <t>2020-06-10 11:18:29</t>
        </is>
      </c>
      <c r="H9729" t="inlineStr"/>
    </row>
    <row r="9730">
      <c r="A9730" t="inlineStr">
        <is>
          <t>h0i93p</t>
        </is>
      </c>
      <c r="B9730" t="inlineStr">
        <is>
          <t>Interview on a podcast</t>
        </is>
      </c>
      <c r="C9730" t="inlineStr">
        <is>
          <t>Hi, 
I am a 2nd year medical student at an American medical school and I am creating an informative podcast for patients who will be taking immunotherapies. I would love to incorporate the patient perspective into my podcast. If you, or someone you know would like to talk about their experience taking an immunotherapy, good or bad, please send me a message. Thanks so much for the help!</t>
        </is>
      </c>
      <c r="D9730" t="n">
        <v>0</v>
      </c>
      <c r="E9730" t="n">
        <v>0</v>
      </c>
      <c r="F9730">
        <f>HYPERLINK("https://www.reddit.com/r/cancer/comments/h0i93p/interview_on_a_podcast/")</f>
        <v/>
      </c>
      <c r="G9730" t="inlineStr">
        <is>
          <t>2020-06-10 12:32:35</t>
        </is>
      </c>
      <c r="H9730" t="inlineStr"/>
    </row>
    <row r="9731">
      <c r="A9731" t="inlineStr">
        <is>
          <t>h0j87b</t>
        </is>
      </c>
      <c r="B9731" t="inlineStr">
        <is>
          <t>Adenocarcinoma in situ?</t>
        </is>
      </c>
      <c r="C9731" t="inlineStr">
        <is>
          <t>Hello all! I'm 28 and just got married last October so now that my SO and I are ready to try for a baby I thought it would be good to see an OBGYN first for a check-up to see if I am ready to go. I have gone once last year for birth control but didn't get a pap smear since I was still a virgin. My pap smear results came back as abnormal and then my colposcopy and biopsy results came back as adenocarcinoma in situ as well as CINI and CINII. Basically, I AM FREAKING OUT. I am getting a LEEP procedure done in two weeks and a day, I wish it was sooner, this is all I can think about since I was diagnosed a little over a week ago. Has anyone else experienced this or knows about it? I know this isn't invasive cancer yet I will probably need check-ups for a while to make sure it doesn't turn into that, but I am worried about being able to get pregnant. My doc doesn't seem too worried. She said one LEEP so the margin is clear, if not, two. But what if they do find cancer? I asked her this and she said they will give radiation therapy but doesn't radiation hurt fertility? She said she doesn't think mine is cancer after asking her "what if you find cancer?". Is her not bringing up cancer on her own a good sign? So confused and scared.</t>
        </is>
      </c>
      <c r="D9731" t="n">
        <v>7</v>
      </c>
      <c r="E9731" t="n">
        <v>8</v>
      </c>
      <c r="F9731">
        <f>HYPERLINK("https://www.reddit.com/r/cancer/comments/h0j87b/adenocarcinoma_in_situ/")</f>
        <v/>
      </c>
      <c r="G9731" t="inlineStr">
        <is>
          <t>2020-06-10 13:18:14</t>
        </is>
      </c>
      <c r="H9731" t="inlineStr"/>
    </row>
    <row r="9732">
      <c r="A9732" t="inlineStr">
        <is>
          <t>h0jf3v</t>
        </is>
      </c>
      <c r="B9732" t="inlineStr">
        <is>
          <t>What services, or support, do you wish were available either as a patient or a caregiver/family member?</t>
        </is>
      </c>
      <c r="C9732" t="inlineStr">
        <is>
          <t>I hope I'm okay posting this. I work for the strategy group of a large cancer center in the US. Our work in strategy is centered around how we allocate resources. Recently, we've been exploring how we might better serve patients and caregivers during their cancer treatment. 
There is typically such a focus on the medical/clinical side of things, especially dealing with symptoms, etc. that I feel like patients just get overwhelmed. It comes from a place of caring, but sometimes, I can just tell we're unloading too much information onto people. Maybe we need to slow down and be present more often. 
However, I am wondering if people wish there were resources and services that they've either heard about, or seen here, that would have made a difference for them, either in the treatment itself, or in the emotional/psychological/spiritual side of things. We have a donor who wants to explore ideas and possibly fund them. 
Some programs that have always looked amazing to me are Commonweal's Cancer Help Program, where I know we've referred some patients, and Camp Kesem (for kids of cancer patients). But I feel like we could be doing a lot more. These could include home care, group support outside of the hospital, palliative care, and similar programs. 
I've been a lurker here for several years. So I've seen some things pop up from time to time, but I would love to hear from you about any non-standard, or even existing programs that were especially helpful to you.</t>
        </is>
      </c>
      <c r="D9732" t="n">
        <v>1</v>
      </c>
      <c r="E9732" t="n">
        <v>6</v>
      </c>
      <c r="F9732">
        <f>HYPERLINK("https://www.reddit.com/r/cancer/comments/h0jf3v/what_services_or_support_do_you_wish_were/")</f>
        <v/>
      </c>
      <c r="G9732" t="inlineStr">
        <is>
          <t>2020-06-10 13:27:26</t>
        </is>
      </c>
      <c r="H9732" t="inlineStr"/>
    </row>
    <row r="9733">
      <c r="A9733" t="inlineStr">
        <is>
          <t>h0jljq</t>
        </is>
      </c>
      <c r="B9733" t="inlineStr">
        <is>
          <t>3/6 members of my family have cancer- is it genetics or plain bad luck?</t>
        </is>
      </c>
      <c r="C9733" t="inlineStr">
        <is>
          <t>**December 2018-** Dad(60) had lung cancer that metastasized to his brain. He went through lung and brain surgery and his scans have been clear since then. He was a heavy smoker in his youth so this wasn't necessarily a shocker. 
**December 2019-** Mom(57) diagnosed with Kidney Cancer in  (Clear Cell Renal Cell Carcinoma). Her kidney was removed. A recent scan tells us it has metastasized to her lungs and possibly liver. Immunotherapy is next.
**June 2020-** Brother(28)  diagnosed with Thyroid cancer last week. It spread to all of his lymph nodes. Surgery then medication required.
I am wracking my brain - did we live next to a chemical plant? No. Get bit by a radioactive spider? Maybe. Am I next? Hopefully not.
I'm looking for resources on the relationship between cancer and genetics. I'm also curious if anyone has had a similar experience. Or experience with Kidney Cancer metastasizing to the lungs. Everything I'm reading about the prognosis is quite dark. Thanks reddit fam.</t>
        </is>
      </c>
      <c r="D9733" t="n">
        <v>2</v>
      </c>
      <c r="E9733" t="n">
        <v>10</v>
      </c>
      <c r="F9733">
        <f>HYPERLINK("https://www.reddit.com/r/cancer/comments/h0jljq/36_members_of_my_family_have_cancer_is_it/")</f>
        <v/>
      </c>
      <c r="G9733" t="inlineStr">
        <is>
          <t>2020-06-10 13:35:48</t>
        </is>
      </c>
      <c r="H9733" t="inlineStr"/>
    </row>
    <row r="9734">
      <c r="A9734" t="inlineStr">
        <is>
          <t>h0mug4</t>
        </is>
      </c>
      <c r="B9734" t="inlineStr">
        <is>
          <t>What should I prepare for?</t>
        </is>
      </c>
      <c r="C9734" t="inlineStr">
        <is>
          <t>Hi everyone this is my first time seeking out help. Figured it's time because I've lost so much hope these past few weeks. My mother was first diagnosed with stage II breast cancer. It ended up spreading into her lymph nodes, moving to stage III. Helping her through all her treatments and surgeries during that wasn't too bad. Its been about two years since she finished those and now it's hit her hard. So much worse. I feel helpless seeing her like this. We learned today that it has spread into the lining of her brain. And I don't think I'm prepared for this. These last few weeks have been so much more difficult than she was before. She doesn't move. She doesn't eat. Her radiation treatment will worsen these symptoms and she'll have short term memory loss. I just need a sense of guidance at this point to know what I can do. I'm a wreck but I'm prepared to be her backbone again</t>
        </is>
      </c>
      <c r="D9734" t="n">
        <v>2</v>
      </c>
      <c r="E9734" t="n">
        <v>2</v>
      </c>
      <c r="F9734">
        <f>HYPERLINK("https://www.reddit.com/r/cancer/comments/h0mug4/what_should_i_prepare_for/")</f>
        <v/>
      </c>
      <c r="G9734" t="inlineStr">
        <is>
          <t>2020-06-10 16:16:01</t>
        </is>
      </c>
      <c r="H9734" t="inlineStr"/>
    </row>
    <row r="9735">
      <c r="A9735" t="inlineStr">
        <is>
          <t>h0n3je</t>
        </is>
      </c>
      <c r="B9735" t="inlineStr">
        <is>
          <t>My dad’s cancer just returned for the third time - stage IV esophageal cancer</t>
        </is>
      </c>
      <c r="C9735" t="inlineStr">
        <is>
          <t>I’m just so fucking heart broken. He’s been post op from his esophagectomy for TWO YEARS with clear lymph nodes and his PET scan today showed liver mets. 
I’m a physician myself, going into radiation oncology and I’m just two weeks away from starting my surgical internship. I am grieving so much, I feel like I skipped straight over denial into anger because my doctor brain knows what this means. I wish I could turn that off. I reached out to my program director and she was incredible and said they will be ultra flexible with me. 
I hate that my family is back in this god forsaken club for the third time. He’s almost four years from his original diagnosis, he’s beat the odds with esophageal cancer twice now. He’s in good spirits which makes me happy but damn FUCK CANCER</t>
        </is>
      </c>
      <c r="D9735" t="n">
        <v>79</v>
      </c>
      <c r="E9735" t="n">
        <v>44</v>
      </c>
      <c r="F9735">
        <f>HYPERLINK("https://www.reddit.com/r/cancer/comments/h0n3je/my_dads_cancer_just_returned_for_the_third_time/")</f>
        <v/>
      </c>
      <c r="G9735" t="inlineStr">
        <is>
          <t>2020-06-10 16:28:48</t>
        </is>
      </c>
      <c r="H9735" t="inlineStr"/>
    </row>
    <row r="9736">
      <c r="A9736" t="inlineStr">
        <is>
          <t>h0qysd</t>
        </is>
      </c>
      <c r="B9736" t="inlineStr">
        <is>
          <t>If I could vote for the WORST year of my Life:</t>
        </is>
      </c>
      <c r="C9736" t="inlineStr">
        <is>
          <t>Only six months in, 2020 would be the run away worst year of my life. ( Anyone else agree?)  Losing someone I love to a very rare cancer. COVID-19. Not moving across country. A good friend's death to cancer. My own struggles with cancer survivorship, &amp;amp; all the limitations abound with COVID-19. I've got to try to make the remainder of this year better. As hard as that will be!!!</t>
        </is>
      </c>
      <c r="D9736" t="n">
        <v>3</v>
      </c>
      <c r="E9736" t="n">
        <v>10</v>
      </c>
      <c r="F9736">
        <f>HYPERLINK("https://www.reddit.com/r/cancer/comments/h0qysd/if_i_could_vote_for_the_worst_year_of_my_life/")</f>
        <v/>
      </c>
      <c r="G9736" t="inlineStr">
        <is>
          <t>2020-06-10 20:16:04</t>
        </is>
      </c>
      <c r="H9736" t="inlineStr"/>
    </row>
    <row r="9737">
      <c r="A9737" t="inlineStr">
        <is>
          <t>h0u0yo</t>
        </is>
      </c>
      <c r="B9737" t="inlineStr">
        <is>
          <t>BRCA2 variant of unknown significance</t>
        </is>
      </c>
      <c r="C9737" t="inlineStr">
        <is>
          <t>Hello, I have a family history of breast cancer at a " young" age (  50 years old) 
I did a genetic test and they found a VUS on BRCA2, its frustrating...
Is there any study going on to asses the effect of most BRCA2 VUS ? i heard about genome saturation with crisp cas 9, a method that allow them to asses the functionnalit of thousand of  VUS at once, but they did that just for BRCA1 and they didnt even do all the VUS of brca1
&amp;amp;#x200B;
Any help would be appreciated</t>
        </is>
      </c>
      <c r="D9737" t="n">
        <v>1</v>
      </c>
      <c r="E9737" t="n">
        <v>2</v>
      </c>
      <c r="F9737">
        <f>HYPERLINK("https://www.reddit.com/r/cancer/comments/h0u0yo/brca2_variant_of_unknown_significance/")</f>
        <v/>
      </c>
      <c r="G9737" t="inlineStr">
        <is>
          <t>2020-06-10 23:54:54</t>
        </is>
      </c>
      <c r="H9737" t="inlineStr"/>
    </row>
    <row r="9738">
      <c r="A9738" t="inlineStr">
        <is>
          <t>h0y26l</t>
        </is>
      </c>
      <c r="B9738" t="inlineStr">
        <is>
          <t>Things to make a cancer patient feel better.</t>
        </is>
      </c>
      <c r="C9738" t="inlineStr">
        <is>
          <t>Hey guys, I am a cancer survivor myself and I have the chance to write an anonymous letter and send it to an organisation so a fellow patient can read it and feel better during the pandemic. Covid-19 has made it so no visitors and caregivers are allowed in hospitals ultimately making patients feel lonely. What would make you feel better during this difficult time? I wish the best to all of you♥️</t>
        </is>
      </c>
      <c r="D9738" t="n">
        <v>7</v>
      </c>
      <c r="E9738" t="n">
        <v>10</v>
      </c>
      <c r="F9738">
        <f>HYPERLINK("https://www.reddit.com/r/cancer/comments/h0y26l/things_to_make_a_cancer_patient_feel_better/")</f>
        <v/>
      </c>
      <c r="G9738" t="inlineStr">
        <is>
          <t>2020-06-11 05:06:28</t>
        </is>
      </c>
      <c r="H9738" t="inlineStr"/>
    </row>
    <row r="9739">
      <c r="A9739" t="inlineStr">
        <is>
          <t>h111aa</t>
        </is>
      </c>
      <c r="B9739" t="inlineStr">
        <is>
          <t>Dad was just diagnosed with 3 types of leukemia</t>
        </is>
      </c>
      <c r="C9739" t="inlineStr">
        <is>
          <t>I got a call from my mom yesterday that my dad (60 y/o) was just diagnosed with 3 separate types of leukemia, which apparently is extremely rare. This morning she sent me more info via text and says that the 3 types are:
1. Chronic lymphocytic leukemia
2. Marginal B cell lymphoma
3. MGUS (a precursor for multiple myeloma)
Has anyone had experience with one of these? All? She seemed to be pretty positive about the whole situation and said the doctor was very confident that none of these will kill him, but to be honest I just want to be mentally and emotionally prepared.</t>
        </is>
      </c>
      <c r="D9739" t="n">
        <v>29</v>
      </c>
      <c r="E9739" t="n">
        <v>9</v>
      </c>
      <c r="F9739">
        <f>HYPERLINK("https://www.reddit.com/r/cancer/comments/h111aa/dad_was_just_diagnosed_with_3_types_of_leukemia/")</f>
        <v/>
      </c>
      <c r="G9739" t="inlineStr">
        <is>
          <t>2020-06-11 08:06:02</t>
        </is>
      </c>
      <c r="H9739" t="inlineStr"/>
    </row>
    <row r="9740">
      <c r="A9740" t="inlineStr">
        <is>
          <t>h15lp0</t>
        </is>
      </c>
      <c r="B9740" t="inlineStr">
        <is>
          <t>Chemo for Stage II Aggressive Breast Cancer</t>
        </is>
      </c>
      <c r="C9740" t="inlineStr">
        <is>
          <t>Yesterday, my mum was diagnosed with (what we think is Stage II) Triple Negative breast cancer. She has one 22mm tumor and they dont think there is any lymph node involvement, but shes having a CT scan tomorrow to check whether the cancer is anywhere else.
They want her to start chemo in 2 weeks, for 3 months. We dont really have much more info than that at the moment but we will have a meeting on Wednesday about her treatment plan. 
I'm a mess, I'm only 23 years old and my mothers only 47. They have said the treatment plan has an 80% chance of being successful which I know is good odds. But I've also read about the liklihood of recurrence with TNBC and that's already freaking me out.
She has also said she wants me to be the primary caregiver. She wants me to move back home with her to support her whilst she has chemo. I really want to be there for her in every way imaginable but I don't know if my mental health can withstand being basically her only carer - especially if she has a particularly bad reaction to chemo.
We dont really have any other family, and the family we do have are isolating because of covid, so I dont know how much they'll be able to help either. Its just so scary, I have PTSD and I struggle to get myself dressed, fed, and sleeping at a regular time even before this we received this diagnosis, so I'm worried I wont be able to keep up with her care and will end up having a mental breakdown, and wont be any to help her at all. 
I dont know if I'm just totally overthinking it though. But I know that its important to acknowledge these boundaries before treatment starts because itll be no good to admit I need help when it's already too much for me to cope with.
Does anyone have any experience of chemo for this type of breast cancer? Or any advice of what to expect when caring for someone having chemo in general? I'd honestly appreciate any advice or info at all. My apologies for the long post, I think I needed to get it out a bit! Thank you in advance for taking the time to read. Xx</t>
        </is>
      </c>
      <c r="D9740" t="n">
        <v>1</v>
      </c>
      <c r="E9740" t="n">
        <v>13</v>
      </c>
      <c r="F9740">
        <f>HYPERLINK("https://www.reddit.com/r/cancer/comments/h15lp0/chemo_for_stage_ii_aggressive_breast_cancer/")</f>
        <v/>
      </c>
      <c r="G9740" t="inlineStr">
        <is>
          <t>2020-06-11 12:01:22</t>
        </is>
      </c>
      <c r="H9740" t="inlineStr"/>
    </row>
    <row r="9741">
      <c r="A9741" t="inlineStr">
        <is>
          <t>h16ev0</t>
        </is>
      </c>
      <c r="B9741" t="inlineStr">
        <is>
          <t>Immunotherapy Side Effects</t>
        </is>
      </c>
      <c r="C9741" t="inlineStr">
        <is>
          <t>My mom finished her 6th chemo session for stage 4 cervical cancer in April, and had her 1st immunotherapy in May. She's had nausea every day, and vomiting occasionally, depending on the food. Her leg pain has returned, and she tried hard not to take Oxy w/tylenol that was prescribed, but is afraid of being addicted... and just stays in bed, in pain. I finally got her to take the painkiller, but it doesnt last too long. I can only imagine how hard it is for her being in pain and nauseous at the same time.  I take her for 30 minute walks every day, otherwise she gets zero excercise. The pain and nausea started after her last chemo treatment and first immunotherapy treatment. Is this a common side effect? Or is there something worse to come?</t>
        </is>
      </c>
      <c r="D9741" t="n">
        <v>1</v>
      </c>
      <c r="E9741" t="n">
        <v>8</v>
      </c>
      <c r="F9741">
        <f>HYPERLINK("https://www.reddit.com/r/cancer/comments/h16ev0/immunotherapy_side_effects/")</f>
        <v/>
      </c>
      <c r="G9741" t="inlineStr">
        <is>
          <t>2020-06-11 12:41:47</t>
        </is>
      </c>
      <c r="H9741" t="inlineStr"/>
    </row>
    <row r="9742">
      <c r="A9742" t="inlineStr">
        <is>
          <t>h188ax</t>
        </is>
      </c>
      <c r="B9742" t="inlineStr">
        <is>
          <t>Being told we have no other options...</t>
        </is>
      </c>
      <c r="C9742" t="inlineStr">
        <is>
          <t>My husband was diagnosed with a rare form of sarcoma (CICDUX4). It was initially localized to his brain but spread to his lungs. Rare form of cancer made even more rare thanks to the location. 
He was treated with brain radiation and was given a chemotherapy regimen that targeted his body to shrink the lung nodules but they weren’t sure if it would reach his brain. They believe they found tumor growth on a brain MRI so they believe the treatment is not working, despite the fact that his lung nodules are shrinking. 
They want to stop treatment and gave us no other options. They gave us no other options because his platelets drop with chemotherapy and based on where his tumor is, a drop in platelets could cause a spontaneous bleed (his tumors tend to be bloody). 
We are treated in Boston at Dana Farber. Looking for another opinion, as he’s very young and has been doing really well otherwise. Aside from his drop in platelets, he has tolerated treatment fine. We basically begged them to keep trying with this chemo at least once more or at least try a different one. They wouldn’t because his tumor is so rare they don’t want to risk anything if they don’t know if it’ll work. 
Has anyone ever sought second opinions like this? No one can tell us that anything will or will not work. Quite honestly, were willing to risk a spontaneous bleed if it could potentially prolong his life.</t>
        </is>
      </c>
      <c r="D9742" t="n">
        <v>6</v>
      </c>
      <c r="E9742" t="n">
        <v>22</v>
      </c>
      <c r="F9742">
        <f>HYPERLINK("https://www.reddit.com/r/cancer/comments/h188ax/being_told_we_have_no_other_options/")</f>
        <v/>
      </c>
      <c r="G9742" t="inlineStr">
        <is>
          <t>2020-06-11 14:16:10</t>
        </is>
      </c>
      <c r="H9742" t="inlineStr"/>
    </row>
    <row r="9743">
      <c r="A9743" t="inlineStr">
        <is>
          <t>h78blx</t>
        </is>
      </c>
      <c r="B9743" t="inlineStr">
        <is>
          <t>Penpal Program Recommendations?</t>
        </is>
      </c>
      <c r="C9743" t="inlineStr">
        <is>
          <t>Does anyone know of any penpal programs for patients in treatment? I'd like to write other patients or cancer survivors (especially the AYA group). I've looked around and mainly found programs designed for pediatrics and geriatrics, but not people in their 20s.
There's such a wide range of experiences in the AYA group (High school, college, work, children, marriage) and it's different to receive a diagnosis of cancer while trying to build your independent life. 
I'm 25(female) and was diagnosed with a grade 3 anaplastic astrocytoma (brain  tumor). Since my diagnosis 6 months ago, I've had surgery, radiation and chemotherapy. I'd like to help other young adults navigate their diagnosis and provide a safe talking space for them. I experienced some trouble in finding a younger supportive community. (Instagram has been the most helpful actually). I've  looked into chemo angels, the American cancer society and the ABTA as well. Many pen pal pages that advertise programs have broken links which makes me doubt their validity/ active status. 
Does anyone want a penpal/ email buddy or know of a reputable program?</t>
        </is>
      </c>
      <c r="D9743" t="n">
        <v>3</v>
      </c>
      <c r="E9743" t="n">
        <v>4</v>
      </c>
      <c r="F9743">
        <f>HYPERLINK("https://www.reddit.com/r/cancer/comments/h78blx/penpal_program_recommendations/")</f>
        <v/>
      </c>
      <c r="G9743" t="inlineStr">
        <is>
          <t>2020-06-11 15:39:17</t>
        </is>
      </c>
      <c r="H9743" t="inlineStr"/>
    </row>
    <row r="9744">
      <c r="A9744" t="inlineStr">
        <is>
          <t>h797dd</t>
        </is>
      </c>
      <c r="B9744" t="inlineStr">
        <is>
          <t>No side effects on chemotherapy?</t>
        </is>
      </c>
      <c r="C9744" t="inlineStr">
        <is>
          <t>So I did my chemotherapy since I was afraid of having my cancer come back and I'm on my 3rd cycle now. I notice that I haven't experience any side effects while taking chemo. Does it mean that chemo is not working on me?</t>
        </is>
      </c>
      <c r="D9744" t="n">
        <v>9</v>
      </c>
      <c r="E9744" t="n">
        <v>9</v>
      </c>
      <c r="F9744">
        <f>HYPERLINK("https://www.reddit.com/r/cancer/comments/h797dd/no_side_effects_on_chemotherapy/")</f>
        <v/>
      </c>
      <c r="G9744" t="inlineStr">
        <is>
          <t>2020-06-11 16:28:16</t>
        </is>
      </c>
      <c r="H9744" t="inlineStr"/>
    </row>
    <row r="9745">
      <c r="A9745" t="inlineStr">
        <is>
          <t>h7bpmq</t>
        </is>
      </c>
      <c r="B9745" t="inlineStr">
        <is>
          <t>My mom is on her death bed, and I cannot cope.</t>
        </is>
      </c>
      <c r="C9745" t="inlineStr">
        <is>
          <t>I cant even get myself to write, so many emotions are churning in me but i just cant. My mom has stage 4 breast carcinoma, spreading to: lungs, liver, bones, and stomach. I have been her caregiver before i went away for college. Im stuck in the uk and cant travel back home. 
As she is in hospice, and being a bit delirious from morphine, she turned to my sister, and said: “why is (my name) sleeping this long? When is she waking up? i miss her” she said this because when i used to live with them i always slept till noon and she would always anticipate the time i woke up to hangout with her. 
My mom is my life, my best friend, my home, my everything. I have never loved anyone in my life half as much as i love my mother. Shes only 56 and i am 20. I cant lose her this young. She was the reason why i got into uni. She deserves to witness my graduation. 
I am miserable. Cancer is the worst. You get to see your loved ones lose their energy and slowly decay before your eyes. 
I just know i will miss her advice, smell, hug, laugh, stupid jokes, and compassion. I will miss her head rubs when i had a bad day, and our intellectual conversations at 3am. I will miss every fiber of this human and it is killing me. How i wish it were me instead of her.</t>
        </is>
      </c>
      <c r="D9745" t="n">
        <v>92</v>
      </c>
      <c r="E9745" t="n">
        <v>24</v>
      </c>
      <c r="F9745">
        <f>HYPERLINK("https://www.reddit.com/r/cancer/comments/h7bpmq/my_mom_is_on_her_death_bed_and_i_cannot_cope/")</f>
        <v/>
      </c>
      <c r="G9745" t="inlineStr">
        <is>
          <t>2020-06-11 18:55:10</t>
        </is>
      </c>
      <c r="H9745" t="inlineStr"/>
    </row>
    <row r="9746">
      <c r="A9746" t="inlineStr">
        <is>
          <t>h7id0z</t>
        </is>
      </c>
      <c r="B9746" t="inlineStr">
        <is>
          <t>Tomorrow is my dad’s birthday (6/13)</t>
        </is>
      </c>
      <c r="C9746" t="inlineStr">
        <is>
          <t>Tomorrow is my dad’s birthday. He would have been 67. When he passed away, I was so shocked and I was so angry. There are so many shitty people in this world so why did someone as kind as my dad had to go so early? But I came to realize something. It’s because my dad was such a good person that God loved him so much that God didn’t want my dad to suffer anymore. Dad had lung cancer and the last two days traumatized me from seeing how much he was suffering. Dad can breath freely now without a oxygen tank. Dad is free but how I wish he was still here.</t>
        </is>
      </c>
      <c r="D9746" t="n">
        <v>11</v>
      </c>
      <c r="E9746" t="n">
        <v>1</v>
      </c>
      <c r="F9746">
        <f>HYPERLINK("https://www.reddit.com/r/cancer/comments/h7id0z/tomorrow_is_my_dads_birthday_613/")</f>
        <v/>
      </c>
      <c r="G9746" t="inlineStr">
        <is>
          <t>2020-06-12 03:38:35</t>
        </is>
      </c>
      <c r="H9746" t="inlineStr"/>
    </row>
    <row r="9747">
      <c r="A9747" t="inlineStr">
        <is>
          <t>h7io64</t>
        </is>
      </c>
      <c r="B9747" t="inlineStr">
        <is>
          <t>Only 15 minutes with my dad</t>
        </is>
      </c>
      <c r="C9747" t="inlineStr">
        <is>
          <t>Dad is experiencing liver and kidney failure after undergoing treatment for his Non-Hodgkins Lymphoma since Dec 2019. I live in another country and despite the pandemic, flew over when my mom called to tell me the doctor says there are no more treatment options left. I was serving the first day of my mandatory 14 days quarantine when my mom calls me that my dad's organs are failing and he's only got a few days left.
After hours of back and forth calling with health department officials, I've been approved to see my dad for 15min tomorrow. I'm scared, sad, emotionally drained, and overwhelmed by the fact that I only have 15 minutes to say all the things I want to say. I'm overwhelmed that I don't even know what to say, other than I love him and I wish so badly that we had more time together.</t>
        </is>
      </c>
      <c r="D9747" t="n">
        <v>12</v>
      </c>
      <c r="E9747" t="n">
        <v>2</v>
      </c>
      <c r="F9747">
        <f>HYPERLINK("https://www.reddit.com/r/cancer/comments/h7io64/only_15_minutes_with_my_dad/")</f>
        <v/>
      </c>
      <c r="G9747" t="inlineStr">
        <is>
          <t>2020-06-12 04:03:59</t>
        </is>
      </c>
      <c r="H9747" t="inlineStr"/>
    </row>
    <row r="9748">
      <c r="A9748" t="inlineStr">
        <is>
          <t>h7jn8c</t>
        </is>
      </c>
      <c r="B9748" t="inlineStr">
        <is>
          <t>Help please, I’m worried about my mums spine</t>
        </is>
      </c>
      <c r="C9748" t="inlineStr">
        <is>
          <t>(Stage 4 Leiomyosarcoma cancer) 
Quick warning: Contains description of spine fracture.
My mother has a lesion in her lower spine which has technically fractured her spine slightly. She’s still walking but very much struggles to do so (and this seems to be getting worse over time). It’s been 12 months since they’ve done any checkups to see the progression of the cancer. 
I am worried that the lesion in her spine will grow to a point of breaking it, leaving her potentially paralysed or leading to death. This thought scares that hell out of me and I’m wondering if anyone knows whether this is a possibility and if there’s potentially something we can do to minimise this from happening.</t>
        </is>
      </c>
      <c r="D9748" t="n">
        <v>0</v>
      </c>
      <c r="E9748" t="n">
        <v>3</v>
      </c>
      <c r="F9748">
        <f>HYPERLINK("https://www.reddit.com/r/cancer/comments/h7jn8c/help_please_im_worried_about_my_mums_spine/")</f>
        <v/>
      </c>
      <c r="G9748" t="inlineStr">
        <is>
          <t>2020-06-12 05:17:41</t>
        </is>
      </c>
      <c r="H9748" t="inlineStr"/>
    </row>
    <row r="9749">
      <c r="A9749" t="inlineStr">
        <is>
          <t>h7lhtn</t>
        </is>
      </c>
      <c r="B9749" t="inlineStr">
        <is>
          <t>Anyone had experience with paclitaxel?</t>
        </is>
      </c>
      <c r="C9749" t="inlineStr">
        <is>
          <t>My doctor has suggested prescribing a weekly dose of paclitaxel which is a kind of chemo. This is to help with symptoms. I’m currently terminal and we’re not expecting this drug to save my life, but potentially it can help with these symptoms. But quality of life is important to me so it would really help if people could tell me their experiences with this drug! 
Dr said that id likely experience hair loss but otherwise i’d be okay and that he had no problem prescribing this drug to elderly women. Would you agree?</t>
        </is>
      </c>
      <c r="D9749" t="n">
        <v>7</v>
      </c>
      <c r="E9749" t="n">
        <v>7</v>
      </c>
      <c r="F9749">
        <f>HYPERLINK("https://www.reddit.com/r/cancer/comments/h7lhtn/anyone_had_experience_with_paclitaxel/")</f>
        <v/>
      </c>
      <c r="G9749" t="inlineStr">
        <is>
          <t>2020-06-12 07:17:34</t>
        </is>
      </c>
      <c r="H9749" t="inlineStr"/>
    </row>
    <row r="9750">
      <c r="A9750" t="inlineStr">
        <is>
          <t>h7n5l6</t>
        </is>
      </c>
      <c r="B9750" t="inlineStr">
        <is>
          <t>Thoughts on Keytruda? Will it work?</t>
        </is>
      </c>
      <c r="C9750" t="inlineStr">
        <is>
          <t>Hello guys my dad is battling stage 4 cancer which despite treatment has spread past his liver into his lungs and is now seeping into his bones. Our doctor has discussed and recommended Ketruda. 
For those who know people or who have gone through it themselves, how was it? What were the worst symptoms and side effects and did it work in that instance?
Thanks guys and please pray for my father</t>
        </is>
      </c>
      <c r="D9750" t="n">
        <v>6</v>
      </c>
      <c r="E9750" t="n">
        <v>7</v>
      </c>
      <c r="F9750">
        <f>HYPERLINK("https://www.reddit.com/r/cancer/comments/h7n5l6/thoughts_on_keytruda_will_it_work/")</f>
        <v/>
      </c>
      <c r="G9750" t="inlineStr">
        <is>
          <t>2020-06-12 08:47:27</t>
        </is>
      </c>
      <c r="H9750" t="inlineStr"/>
    </row>
    <row r="9751">
      <c r="A9751" t="inlineStr">
        <is>
          <t>h7oqa3</t>
        </is>
      </c>
      <c r="B9751" t="inlineStr">
        <is>
          <t>A Friend of Mine From Mexico Thinks She Might Have Cancer, But Is Stuck In The US Without Social Security. What Can She Do?</t>
        </is>
      </c>
      <c r="C9751" t="inlineStr">
        <is>
          <t>I went on a date last week, the girl told me she might have leukemia. Obviously, I was floored. She keeps telling me to not worry about her health but that doesn't sit right with me. I tell her there has to be a solution but she's not trying to hear it. Does anyone here have any advice or suggestions I can relay?</t>
        </is>
      </c>
      <c r="D9751" t="n">
        <v>3</v>
      </c>
      <c r="E9751" t="n">
        <v>4</v>
      </c>
      <c r="F9751">
        <f>HYPERLINK("https://www.reddit.com/r/cancer/comments/h7oqa3/a_friend_of_mine_from_mexico_thinks_she_might/")</f>
        <v/>
      </c>
      <c r="G9751" t="inlineStr">
        <is>
          <t>2020-06-12 10:08:07</t>
        </is>
      </c>
      <c r="H9751" t="inlineStr"/>
    </row>
    <row r="9752">
      <c r="A9752" t="inlineStr">
        <is>
          <t>h7rq0x</t>
        </is>
      </c>
      <c r="B9752" t="inlineStr">
        <is>
          <t>Family member was recently diagnosed with liver cancer, and I want to give her a care package. I'm wondering which snacks are good/bad in this situation? (Are any snacks good in this situation?)</t>
        </is>
      </c>
      <c r="C9752" t="inlineStr">
        <is>
          <t>She hasn't had surgery yet (soon), but I want to be ready with some things for her.  I don't want to give her something she can't eat.  I left some chocolates for her today, but now I'm wondering if that was a mistake...</t>
        </is>
      </c>
      <c r="D9752" t="n">
        <v>0</v>
      </c>
      <c r="E9752" t="n">
        <v>4</v>
      </c>
      <c r="F9752">
        <f>HYPERLINK("https://www.reddit.com/r/cancer/comments/h7rq0x/family_member_was_recently_diagnosed_with_liver/")</f>
        <v/>
      </c>
      <c r="G9752" t="inlineStr">
        <is>
          <t>2020-06-12 12:47:47</t>
        </is>
      </c>
      <c r="H9752" t="inlineStr"/>
    </row>
    <row r="9753">
      <c r="A9753" t="inlineStr">
        <is>
          <t>h7rxxi</t>
        </is>
      </c>
      <c r="B9753" t="inlineStr">
        <is>
          <t>Experiences with crizotinib / Xalkori?</t>
        </is>
      </c>
      <c r="C9753" t="inlineStr">
        <is>
          <t>Hi, I have a rare stage-IV soft tissue sarcoma with mets to the lungs and lymph nodes. Does anyone on here have any experience with crizotinib (brand name in the USA is Xalkori)? I was taking another, similar MET inhibitor (cabozantinib/Cabometyx), but I'm switching due to progression while on cabometyx. I am wondering what the main side effects are from crizotinib/Xalkori and what kind of quality of life can be expected--of course I have asked my oncologist, but it's always helpful to hear info from patients or their caretakers. I haven't been able to find much info on here on crizotinib. Thanks in advance!</t>
        </is>
      </c>
      <c r="D9753" t="n">
        <v>0</v>
      </c>
      <c r="E9753" t="n">
        <v>4</v>
      </c>
      <c r="F9753">
        <f>HYPERLINK("https://www.reddit.com/r/cancer/comments/h7rxxi/experiences_with_crizotinib_xalkori/")</f>
        <v/>
      </c>
      <c r="G9753" t="inlineStr">
        <is>
          <t>2020-06-12 12:59:43</t>
        </is>
      </c>
      <c r="H9753" t="inlineStr"/>
    </row>
    <row r="9754">
      <c r="A9754" t="inlineStr">
        <is>
          <t>h7sksd</t>
        </is>
      </c>
      <c r="B9754" t="inlineStr">
        <is>
          <t>My previous life is on the verge of collapse</t>
        </is>
      </c>
      <c r="C9754" t="inlineStr">
        <is>
          <t>Hey there guys, at the moment i am so broken and worried and ill explain why. My sister, who is 14 year old, about a month ago had her calf swell up after some exercise and our family thought it was just some swelling and it did go down to normal after a few days. However, about 2 weeks later, after going to the park, my sister came back and her leg was swollen even more than last time, after it didn't go down for a few days my dad decided to go to the hospital even though no one else thought it was that serious. However, after the doctors did an xray and ultrasound after my dad pressuring them they found a tumor, and booked an mri scan after 3 days. The mri scan confirmed my sister had a tumor behind her knee and booked a biopsy after 5 days, and the results of the biopsy came today and it is , according to them, most like a malignant sarcoma. Our family is absolutely devastated, we were always a close, loving and laughing family but now the mood is so depressing and seeing my parents cry in secret from my sister is literally breaking me apart.
&amp;amp;#x200B;
The doctors have booked in more tests next week in a cancer specialist hospital in order to further identify the cancer and are most likely going to suggest treatment plans etc during the stay at the hospital next week. They are planning on doing scans of th whole body as this type of cancer usually spread to other parts especially the lungs.
I am so scared about what losing my sister will do to my family, it is so heartbreaking to see my family start breaking down.
&amp;amp;#x200B;
I have talked to my sister and she says she has minimal pain there and she has no other effects such as shortness of breath, cough, fever, fatigue etc. But my parents and me are so worried sick i dont know what to think guys what are your opinions.</t>
        </is>
      </c>
      <c r="D9754" t="n">
        <v>21</v>
      </c>
      <c r="E9754" t="n">
        <v>14</v>
      </c>
      <c r="F9754">
        <f>HYPERLINK("https://www.reddit.com/r/cancer/comments/h7sksd/my_previous_life_is_on_the_verge_of_collapse/")</f>
        <v/>
      </c>
      <c r="G9754" t="inlineStr">
        <is>
          <t>2020-06-12 13:34:40</t>
        </is>
      </c>
      <c r="H9754" t="inlineStr"/>
    </row>
    <row r="9755">
      <c r="A9755" t="inlineStr">
        <is>
          <t>h7t0gw</t>
        </is>
      </c>
      <c r="B9755" t="inlineStr">
        <is>
          <t>25M, first post, just found out my cancer that recently spread to my brain is going to kill me soon, LF advice on how to best spend my time from both people going through something similar and people with relatives going through it like what helped etc</t>
        </is>
      </c>
      <c r="C9755" t="inlineStr">
        <is>
          <t>My title kind of shows my writing that i tend to ramble and overwrite. Basically my goal is to make sure i dont miss anything and do as much as possible for family and friends, im my parents best friends and they are incredibly close but this is devastating them and when im gone it will get even worse. 
So far in my mind is dividing up who gets what for my will, writing down all my passwords and writing letters for the future, good bye messages etc.
My ? is what am i missing that i need to accomplish and then what are things if anyone has had relatives die what did they do that helped you both cope and feel better? I have done a good job not crying and being happy enjoying what time i have left but i feel its not enough because they cant stop crying which crying is super healthy and good i just feel guilty im causing them all this pain.
Like i said i ramble a lot so just any advice is very welcome</t>
        </is>
      </c>
      <c r="D9755" t="n">
        <v>85</v>
      </c>
      <c r="E9755" t="n">
        <v>29</v>
      </c>
      <c r="F9755">
        <f>HYPERLINK("https://www.reddit.com/r/cancer/comments/h7t0gw/25m_first_post_just_found_out_my_cancer_that/")</f>
        <v/>
      </c>
      <c r="G9755" t="inlineStr">
        <is>
          <t>2020-06-12 13:58:26</t>
        </is>
      </c>
      <c r="H9755" t="inlineStr"/>
    </row>
    <row r="9756">
      <c r="A9756" t="inlineStr">
        <is>
          <t>h7u346</t>
        </is>
      </c>
      <c r="B9756" t="inlineStr">
        <is>
          <t>My Wife Needs My Help - but with my medical ailments I'm more than a little limited. Any tips or advice?</t>
        </is>
      </c>
      <c r="C9756" t="inlineStr">
        <is>
          <t>New here - My wife just started chemo for her breast cancer last week. Due to the size of the tumor (8 cm) they want to do chemo first, then surgery, then radiation, and possibly more chemo. 
I see many of you are caregivers - so I just want to get this off my chest.
I had my first heart attack @ 30 - and now at 55 I've had a total of 4 of them. While I'm ok - I'm not going to be running a marathon any time soon.
The first day of her first treatment wasn't too bad - but the next two days were. My wife needed a lot of help up and down stairs etc... and she was pretty ill (The meds held the nausea mostly in check).
She has always been there for me - and I'm scared that I might physically let her down. I know I won't, I always muddle through - and she has ALWAYS been there for me. But even though I know I'll find a way - still a little scared.
Thanks for listening - and I'm praying for the whole group and your loved ones.</t>
        </is>
      </c>
      <c r="D9756" t="n">
        <v>2</v>
      </c>
      <c r="E9756" t="n">
        <v>6</v>
      </c>
      <c r="F9756">
        <f>HYPERLINK("https://www.reddit.com/r/cancer/comments/h7u346/my_wife_needs_my_help_but_with_my_medical/")</f>
        <v/>
      </c>
      <c r="G9756" t="inlineStr">
        <is>
          <t>2020-06-12 14:59:58</t>
        </is>
      </c>
      <c r="H9756" t="inlineStr"/>
    </row>
    <row r="9757">
      <c r="A9757" t="inlineStr">
        <is>
          <t>h7v2ad</t>
        </is>
      </c>
      <c r="B9757" t="inlineStr">
        <is>
          <t>Hair Loss After Campath/Lemtrada-- Questions</t>
        </is>
      </c>
      <c r="C9757" t="inlineStr">
        <is>
          <t>I want to start by saying that I do not have cancer, I have MS, but the treatment I did is a less common one and it seems that others have not experienced what I have in terms of hair loss so I don't have others to get advice from in that community. In December of last year I received a treatment called Lemtrada, which is essentially Campath. Lemtrada is 5 infusions over the course of 5 days. I had some pretty significant adverse affects of treatment including febrile neutropenia with an ANC of 0.1, a very painful ovarian cyst, 8 days of fevers with no identifiable cause, etc, etc. I started to round the corner in February. Since then I've been healthier but my hair began to fall out in large quantities in April or so, maybe earlier? My neuro said he thinks that the stress of the treatment caused telogenic (I think?) hair loss. I am not seeing any slowing of the hair loss and at this point I have lost probably 2/3's of my hair. I had pretty thick hair to start with but now it is thin. I have been growing my hair out for 4 years but lately I have been thinking a lot about shaving it. My hair is everywhere-- all over the floors, my dog is accidentally eating it, it falls all over the bathroom counter/sink/my clothes when I get ready in the morning, it comes out in clumps in the shower--I dread taking showers now, my bathroom trash can is filled with my hair. It makes me really sad. 
I see the dermatologist on Monday and I'm hoping that something actionable will come out of the appointment but more than likely it's probably just something I'm going to have to live with for the time being. I repeat the treatment this December so I'll probably go through the hair loss all over again for a second time. I'm wondering if anyone has any helpful tips for getting the hair loss to stop, words of encouragement (I know it's just hair but it's distressing), feedback on shaving it, styling my hair so that it looks fuller, etc.</t>
        </is>
      </c>
      <c r="D9757" t="n">
        <v>2</v>
      </c>
      <c r="E9757" t="n">
        <v>1</v>
      </c>
      <c r="F9757">
        <f>HYPERLINK("https://www.reddit.com/r/cancer/comments/h7v2ad/hair_loss_after_campathlemtrada_questions/")</f>
        <v/>
      </c>
      <c r="G9757" t="inlineStr">
        <is>
          <t>2020-06-12 15:52:30</t>
        </is>
      </c>
      <c r="H9757" t="inlineStr"/>
    </row>
    <row r="9758">
      <c r="A9758" t="inlineStr">
        <is>
          <t>h7vzwt</t>
        </is>
      </c>
      <c r="B9758" t="inlineStr">
        <is>
          <t>Did anybody experience delayed side effects from chemo months after your last infusion?</t>
        </is>
      </c>
      <c r="C9758" t="inlineStr">
        <is>
          <t>I finished my chemo 3 months ago but I've been having stomach pain for a month now that the doctors can't explain. I also experienced stomach pain for a month after my last infusion but it went away</t>
        </is>
      </c>
      <c r="D9758" t="n">
        <v>1</v>
      </c>
      <c r="E9758" t="n">
        <v>6</v>
      </c>
      <c r="F9758">
        <f>HYPERLINK("https://www.reddit.com/r/cancer/comments/h7vzwt/did_anybody_experience_delayed_side_effects_from/")</f>
        <v/>
      </c>
      <c r="G9758" t="inlineStr">
        <is>
          <t>2020-06-12 16:43:39</t>
        </is>
      </c>
      <c r="H9758" t="inlineStr"/>
    </row>
    <row r="9759">
      <c r="A9759" t="inlineStr">
        <is>
          <t>h7wa46</t>
        </is>
      </c>
      <c r="B9759" t="inlineStr">
        <is>
          <t>My mom died 7 months ago today.</t>
        </is>
      </c>
      <c r="C9759" t="inlineStr">
        <is>
          <t>Fucking seven months ago today metastatic Lung cancer took my mom from me. She was diagnosed in October and was gone November 12th. Fuck cancer. I’m all sorts of mad and sad. Not sure if I should cry or just scream at the told of my lungs. FUCK CANCER
/rant</t>
        </is>
      </c>
      <c r="D9759" t="n">
        <v>6</v>
      </c>
      <c r="E9759" t="n">
        <v>3</v>
      </c>
      <c r="F9759">
        <f>HYPERLINK("https://www.reddit.com/r/cancer/comments/h7wa46/my_mom_died_7_months_ago_today/")</f>
        <v/>
      </c>
      <c r="G9759" t="inlineStr">
        <is>
          <t>2020-06-12 16:59:09</t>
        </is>
      </c>
      <c r="H9759" t="inlineStr"/>
    </row>
    <row r="9760">
      <c r="A9760" t="inlineStr">
        <is>
          <t>h7x82c</t>
        </is>
      </c>
      <c r="B9760" t="inlineStr">
        <is>
          <t>I'm just staring at the ceiling, crying, and remembering their faces</t>
        </is>
      </c>
      <c r="C9760" t="inlineStr">
        <is>
          <t>I was 4, when leukemia was diagnosed on me.
I had to stay in hospital with my mom for 2 years. 
I saw a lot coming.. and a lot disappearing..
"They're home now". No. They looked sick. They were in bed.. they aren't home.. but thank you for trying to comfort me back then mom.. I appreciate it, even though I understood everything already back then.
Stay strong and positive.. your body is dependent on that and probably saved my life.. 
They said I'll die anyways at one hospital. At the other they had no real hope. 
I was laughing and playing on the ps2 my dad brought on weekends. The doc came in and was stunned that I'm actually sitting and not having extreme pain. The blood values etc were so bad, that I shouldn't be able to even sit. 
After understanding it all, I understood how much it must weight down my mom. I kept happy so she won't worry about me that much. 
Since all this, happiness is something strange to me. Joy? Yes for certain things. But happiness? Never lasted long..</t>
        </is>
      </c>
      <c r="D9760" t="n">
        <v>0</v>
      </c>
      <c r="E9760" t="n">
        <v>0</v>
      </c>
      <c r="F9760">
        <f>HYPERLINK("https://www.reddit.com/r/cancer/comments/h7x82c/im_just_staring_at_the_ceiling_crying_and/")</f>
        <v/>
      </c>
      <c r="G9760" t="inlineStr">
        <is>
          <t>2020-06-12 17:54:51</t>
        </is>
      </c>
      <c r="H9760" t="inlineStr"/>
    </row>
    <row r="9761">
      <c r="A9761" t="inlineStr">
        <is>
          <t>h80bzc</t>
        </is>
      </c>
      <c r="B9761" t="inlineStr">
        <is>
          <t>24F with stage IV mucinous cystadenocarcinoma</t>
        </is>
      </c>
      <c r="C9761" t="inlineStr">
        <is>
          <t>This is going to be a long one. 
I’ve been diagnosed since I was 21 and I found out it was ovarian cancer because at the time, I looked like I was pregnant and in the ER they did an ultrasound right away to find an 18 lb tumor in my right ovary. This upcoming November it’ll be four years since I was officially diagnosed. I’m told my primary cancer is ovarian cancer but it also acts just like a colon cancer. Since my diagnosis, I’ve had two major surgeries. The first was to remove my 18 lb tumor in 2016 and the second was in 2019 for cytoreductive surgery and hipec. I’ve been doing chemotherapy on and off since my first surgery. I’ve done 8 cycles 5FU + oxaliplatin, oral chemotherapy of capecitabine for a little over a year, participated in a clinical trial for five months, and I’m now currently doing taxol + carboplatin for 6 cycles. I have one more cycle to go and then my oncology team plans to place me on folfiri chemotherapy.   
I was attending university when I found out. Finding out I had cancer at the stage it’s at left me so mentally devastated that I couldn’t continue school and I had to drop out. My oncology team also highly recommended that I take some time off of school for a while to focus on my health. I moved back home with my parents. 
I returned back to university two or three times and I never managed to complete the quarter because something related to my health always popped up. I tried going to my local community college and I finished one semester and then I had to start chemotherapy again because my cancer returned. I kept having to drop my classes mid-semester or mid-quarter that I’m no longer qualified for financial aid. 
I don’t know how long this will go on or if I will ever get my life back. My oncologists can’t give me an answer on if I will ever be in remission or if I will ever be cancer free but they said they are really working hard to find something that works for me. I’m fortunate that every single treatment I’ve done so far, my body has responded but my body eventually becomes resistant and my oncology team has to find a new treatment. I’m told that with the way my cancer responds, I’m going to need to do chemotherapy indefinitely. 
Is there anyone here who is going through something similar? I’m starting to feel hopeless and that maybe I should stop treatment after I’m done with my current one. I also feel like such a failure in life because I’m turning 25 soon and most of 20s has been dealing with cancer. I’ve had no social life or professional life. I have not been able to work at all. I’ve lost all of my body hair and it’s been a year. Everywhere I go, people stare because I look really sick. I really need some hope and positivity.</t>
        </is>
      </c>
      <c r="D9761" t="n">
        <v>1</v>
      </c>
      <c r="E9761" t="n">
        <v>3</v>
      </c>
      <c r="F9761">
        <f>HYPERLINK("https://www.reddit.com/r/cancer/comments/h80bzc/24f_with_stage_iv_mucinous_cystadenocarcinoma/")</f>
        <v/>
      </c>
      <c r="G9761" t="inlineStr">
        <is>
          <t>2020-06-12 21:14:23</t>
        </is>
      </c>
      <c r="H9761" t="inlineStr"/>
    </row>
    <row r="9762">
      <c r="A9762" t="inlineStr">
        <is>
          <t>h81eb7</t>
        </is>
      </c>
      <c r="B9762" t="inlineStr">
        <is>
          <t>My best friend has terminal cancer. I don't know what to do.</t>
        </is>
      </c>
      <c r="C9762" t="inlineStr">
        <is>
          <t>I have no idea how to handle or process this. My best friend in the world is only 23, but she's been diagnosed with terminal cancer. The absolute maximum she has left is 6 months, but that's before the doctors have even given her an estimated time. It could only be weeks. I just have no idea what to do. I've already made sure to let her know that I'll be there for her, and to let me know if she needs anything and that I love her. The things I can do are pretty limited, though, because she's in North Carolina and I'm in California. I'm just so frustrated and terrified. Does anyone on here have any advice for how I can deal with the situation and how I can help her out? Please note that it's really hard for her to both text and call right now because of the cancer/treatments she's gotten. 
It just seemed like it was getting so much better after the initial chemo/radiation therapy for her oral cancer. Cut to a month later, now, and she's telling me she's going to die soon. It's stage IV. She's only 23. Twenty-fucking-three.</t>
        </is>
      </c>
      <c r="D9762" t="n">
        <v>8</v>
      </c>
      <c r="E9762" t="n">
        <v>7</v>
      </c>
      <c r="F9762">
        <f>HYPERLINK("https://www.reddit.com/r/cancer/comments/h81eb7/my_best_friend_has_terminal_cancer_i_dont_know/")</f>
        <v/>
      </c>
      <c r="G9762" t="inlineStr">
        <is>
          <t>2020-06-12 22:31:45</t>
        </is>
      </c>
      <c r="H9762" t="inlineStr"/>
    </row>
    <row r="9763">
      <c r="A9763" t="inlineStr">
        <is>
          <t>h81ohb</t>
        </is>
      </c>
      <c r="B9763" t="inlineStr">
        <is>
          <t>What side effects did you experience later on in life when you underwent radiation therapy as a young adult cancer patient?</t>
        </is>
      </c>
      <c r="C9763" t="inlineStr">
        <is>
          <t>Did any of you develop a secondary cancer as a result of undergoing radiation therapy?</t>
        </is>
      </c>
      <c r="D9763" t="n">
        <v>0</v>
      </c>
      <c r="E9763" t="n">
        <v>3</v>
      </c>
      <c r="F9763">
        <f>HYPERLINK("https://www.reddit.com/r/cancer/comments/h81ohb/what_side_effects_did_you_experience_later_on_in/")</f>
        <v/>
      </c>
      <c r="G9763" t="inlineStr">
        <is>
          <t>2020-06-12 22:53:17</t>
        </is>
      </c>
      <c r="H9763" t="inlineStr"/>
    </row>
    <row r="9764">
      <c r="A9764" t="inlineStr">
        <is>
          <t>h840dv</t>
        </is>
      </c>
      <c r="B9764" t="inlineStr">
        <is>
          <t>What are reputable charities</t>
        </is>
      </c>
      <c r="C9764" t="inlineStr">
        <is>
          <t>I’d like to donate to charities dealing with cancer since 2 people that I know died from it, I know you might be tired of hearing this but keep fighting I hope you make it ❤️</t>
        </is>
      </c>
      <c r="D9764" t="n">
        <v>1</v>
      </c>
      <c r="E9764" t="n">
        <v>2</v>
      </c>
      <c r="F9764">
        <f>HYPERLINK("https://www.reddit.com/r/cancer/comments/h840dv/what_are_reputable_charities/")</f>
        <v/>
      </c>
      <c r="G9764" t="inlineStr">
        <is>
          <t>2020-06-13 02:02:07</t>
        </is>
      </c>
      <c r="H9764" t="inlineStr"/>
    </row>
    <row r="9765">
      <c r="A9765" t="inlineStr">
        <is>
          <t>h85pip</t>
        </is>
      </c>
      <c r="B9765" t="inlineStr">
        <is>
          <t>I have Lung Cancer and in Remission</t>
        </is>
      </c>
      <c r="C9765" t="inlineStr">
        <is>
          <t>Hi I was diagnosed with non small cell lung cancer stage 4 2 years ago. I’m currently 53 years old Reason it was stage 4 because there was something on my spine that radiation got rid of. At that time the doctor said stage 4 is a big bucket and don’t count yourself out. Ever since getting the initial radiation on my spine, chemo treatments and now maintenance immunotherapy the tumor on my lung has been shrinking. So I’m considered to be in remission. What’s weird was even in the beginning of treatments you wouldn’t know that I had cancer looking at me physically. Didn’t loose hair and didn’t lose weight. However the initial treatments were a real drain. 
However if you look at the stats my 5 year life expectancy isn’t good. It’s always on my mine lately. 
Anyone here survive for over 5 years?</t>
        </is>
      </c>
      <c r="D9765" t="n">
        <v>6</v>
      </c>
      <c r="E9765" t="n">
        <v>7</v>
      </c>
      <c r="F9765">
        <f>HYPERLINK("https://www.reddit.com/r/cancer/comments/h85pip/i_have_lung_cancer_and_in_remission/")</f>
        <v/>
      </c>
      <c r="G9765" t="inlineStr">
        <is>
          <t>2020-06-13 04:21:03</t>
        </is>
      </c>
      <c r="H9765" t="inlineStr"/>
    </row>
    <row r="9766">
      <c r="A9766" t="inlineStr">
        <is>
          <t>h872g5</t>
        </is>
      </c>
      <c r="B9766" t="inlineStr">
        <is>
          <t>Question for caregivers about alarm systems?</t>
        </is>
      </c>
      <c r="C9766" t="inlineStr">
        <is>
          <t>Hey all - I am a part-time caregiver for my uncle with cancer. Today he got stuck in the toilet and was there for quite long as no one could hear him calling out for help. He is very weak.
I am aware that there are alarm systems on the market. However, those are 1 button to 1 ringer. Are there systems that are many buttons to many ringers (meaning each time anyone button is pressed, then ALL ringers would ring)? If so, could you please let me know of them?
The point here is to have several buttons for my uncle in several areas (toilet/bedroom etc). And when the button is pressed, ringers placed in several areas around the house would go off. His house is quite big so a 1:1 system would definitely not be sufficient.
Thanks.</t>
        </is>
      </c>
      <c r="D9766" t="n">
        <v>2</v>
      </c>
      <c r="E9766" t="n">
        <v>9</v>
      </c>
      <c r="F9766">
        <f>HYPERLINK("https://www.reddit.com/r/cancer/comments/h872g5/question_for_caregivers_about_alarm_systems/")</f>
        <v/>
      </c>
      <c r="G9766" t="inlineStr">
        <is>
          <t>2020-06-13 05:58:29</t>
        </is>
      </c>
      <c r="H9766" t="inlineStr"/>
    </row>
    <row r="9767">
      <c r="A9767" t="inlineStr">
        <is>
          <t>h886mo</t>
        </is>
      </c>
      <c r="B9767" t="inlineStr">
        <is>
          <t>How can I help my husband make the most of his time left?</t>
        </is>
      </c>
      <c r="C9767" t="inlineStr">
        <is>
          <t>My husband was diagnosed with a rare form of cancer in September and it appears we are running out of options. His main care team does not have any treatments to move forward with. We are waiting to hear from another team at another hospital in our area, but I’m not sure what they will have to offer us. 
He is 25 years old with a brain tumor that spread to his lung. The actual diagnosis is a very rare form of sarcoma. He’s doing really well right now and aside from back pain has almost no side effects of the cancer or treatments he’s gotten. If we do not get him treated, I assume he won’t feel good for much longer. 
Obviously we both took the recent news that his care team were planning on stopping treatment very hard. We are both very depressed, but he has no desire to see his family (even parents) or friends or do things, even though he’s feeling well. Of course this is about him and only him, but I just don’t want him to eventually regret not seeing people and doing things while he could. 
Anyone have any advice for us?</t>
        </is>
      </c>
      <c r="D9767" t="n">
        <v>29</v>
      </c>
      <c r="E9767" t="n">
        <v>22</v>
      </c>
      <c r="F9767">
        <f>HYPERLINK("https://www.reddit.com/r/cancer/comments/h886mo/how_can_i_help_my_husband_make_the_most_of_his/")</f>
        <v/>
      </c>
      <c r="G9767" t="inlineStr">
        <is>
          <t>2020-06-13 07:07:24</t>
        </is>
      </c>
      <c r="H9767" t="inlineStr"/>
    </row>
    <row r="9768">
      <c r="A9768" t="inlineStr">
        <is>
          <t>h8a9bi</t>
        </is>
      </c>
      <c r="B9768" t="inlineStr">
        <is>
          <t>How long before the moon face goes off ?</t>
        </is>
      </c>
      <c r="C9768" t="inlineStr">
        <is>
          <t>Hi everyone I did my last round of chimio two weeks ago and took my last corticoid on Monday. The water retention got off during the week and I started freaking out because my face was not back to normal, still puffy and horribly swollen with hamster cheeks. I called the doctor and he told me it was probably because long term use of corticoids make fat go on the face, and he promised me it would get back to normal eventually. I don’t want to bother her again to ask for specifics so I’m asking you guys : how long does it take for the face to go back to normal after you stop taking corticoids ? I’m finally cancer free and I just want my body back, I feel extremely self conscious now, to the point where I can’t even celebrate being cured. If I could have a rough estimate of how long I’m gonna have to wait that would be great</t>
        </is>
      </c>
      <c r="D9768" t="n">
        <v>4</v>
      </c>
      <c r="E9768" t="n">
        <v>11</v>
      </c>
      <c r="F9768">
        <f>HYPERLINK("https://www.reddit.com/r/cancer/comments/h8a9bi/how_long_before_the_moon_face_goes_off/")</f>
        <v/>
      </c>
      <c r="G9768" t="inlineStr">
        <is>
          <t>2020-06-13 09:06:50</t>
        </is>
      </c>
      <c r="H9768" t="inlineStr"/>
    </row>
    <row r="9769">
      <c r="A9769" t="inlineStr">
        <is>
          <t>h8d81g</t>
        </is>
      </c>
      <c r="B9769" t="inlineStr">
        <is>
          <t>How do you find a reason to keep fighting when you don’t have much of anything left?</t>
        </is>
      </c>
      <c r="C9769" t="inlineStr">
        <is>
          <t>Diagnosed with colon cancer last July a week before my 25th birthday. Due to a variety of negative life factors and mental illness/not giving a shit, I began to avoid treatment over the winter. Part of it was housing uncertainty but mostly it was me just giving up on my life due to struggles with my mental health. Now I find myself at Stage IVa with liver mets, fully grasping the stupidity of my self-destructive inaction.
My life pretty much completely fell apart over the past 6 months. I’ve lost nearly all my friends (all I have left are people on the other side of the country), I lost a great job that I loved, I’ve been abusing drugs pretty heavily, I only have housing due to an eviction moratorium (although the electricity will be shut off soon), and now I find out that I’ve gone from what was a manageable diagnosis a year ago to something that I have a less that 20% chance of surviving for five years. I feel like I’ve bottomed out as much as you possibly can.
I don’t want to die. But I also am not looking forward to more chemo, surgery, ablation, radiation, etc. I’m meeting with my oncologist next week to discuss the path forward in more detail.
Chemo last year sucked. A lot. The only way I managed to get myself to swallow my medication was to think of my little brother in my fraternity crying when I told him about my diagnosis. I don’t have any family outside of him and a few of the boys from my frat. Those guys were everything to me. That mental image of him crying in my car made me choke the Xeloda down everyday and deal with the nausea and vertigo and range of other side effects. The worst was my hands would blister and peel. Shit hurt. When he and I had a major falling out, I basically gave up on treatment. I stopped going to my appointments and I canceled a surgery (admittedly this was because I wasn’t going to have anywhere to recover when I got served eviction papers around the same time). Fast forward several months and I’m bleeding in the bathroom, not just fresh red blood, but tarry coffee grounds too. Finally went back to the doctor, had a PET scan to assess the situation, and here I am. Fucked.
Still trying to figure out what my motivation to keep chugging along is. I’ve been suicidal for months. So you’d think I’d be relieved. But I’m not. I’m panicking because it’s not on my terms anymore. I’m not in control of my own exit from the world at this point. I’m also alone. I’ve got no one to fight for except myself. I don’t have a little brother or a bunch of close friends to think of anymore to get me through the treatments.
Part of me wants to fight. Part of me just wants to lay down and wait to die. I’m less than a month away from 26 and this is my life... like what the absolute fuck man... I’m feeling sorry for myself and I’ve gotta stop doing that. But this just sucks so much.</t>
        </is>
      </c>
      <c r="D9769" t="n">
        <v>2</v>
      </c>
      <c r="E9769" t="n">
        <v>13</v>
      </c>
      <c r="F9769">
        <f>HYPERLINK("https://www.reddit.com/r/cancer/comments/h8d81g/how_do_you_find_a_reason_to_keep_fighting_when/")</f>
        <v/>
      </c>
      <c r="G9769" t="inlineStr">
        <is>
          <t>2020-06-13 11:50:17</t>
        </is>
      </c>
      <c r="H9769" t="inlineStr"/>
    </row>
    <row r="9770">
      <c r="A9770" t="inlineStr">
        <is>
          <t>h8g71n</t>
        </is>
      </c>
      <c r="B9770" t="inlineStr">
        <is>
          <t>How common is finding colon cancer so late?</t>
        </is>
      </c>
      <c r="C9770" t="inlineStr">
        <is>
          <t>My dad passed away a month ago after being diagnosed with stage 4 colon cancer that was in the colon, adrenal glands, liver, bone, and brain.
Besides some gas for eight months or so, my dad had NO symptoms - no blood in stools, no loss of appetite. He began to lose weight about three months before diagnosis. Once he was diagnosed, he went straight into brain surgery, which was successful, but he couldn’t get strong enough for chemo and passed a month after diagnosis. 
I am wondering how common (or rare?) this is for how colon cancer is found. I always thought it was slow growing with lots of symptoms, but my dad was so healthy and active right up until diagnosis. I feel so terrible we couldn’t catch it sooner as the genetics of his tumor showed it would have been very responsive to chemo.
I don’t know, I’m just so lost and so angry that this is one of those cancers that even in stage 4 can have years of life with chemo and pills and he never or to try any of it.</t>
        </is>
      </c>
      <c r="D9770" t="n">
        <v>5</v>
      </c>
      <c r="E9770" t="n">
        <v>20</v>
      </c>
      <c r="F9770">
        <f>HYPERLINK("https://www.reddit.com/r/cancer/comments/h8g71n/how_common_is_finding_colon_cancer_so_late/")</f>
        <v/>
      </c>
      <c r="G9770" t="inlineStr">
        <is>
          <t>2020-06-13 14:24:14</t>
        </is>
      </c>
      <c r="H9770" t="inlineStr"/>
    </row>
    <row r="9771">
      <c r="A9771" t="inlineStr">
        <is>
          <t>h8hzmi</t>
        </is>
      </c>
      <c r="B9771" t="inlineStr">
        <is>
          <t>End of life vocal cord grunting</t>
        </is>
      </c>
      <c r="C9771" t="inlineStr">
        <is>
          <t>Hello everyone, my father has been diagnosed with stage IV  pancreatic cancer two months ago, following a jaundice related hospitalisation. His routine blood tests 3 months ago had been spotless.
Right now he is on his death bed at home. Since yesterday he has been making a grunting noise with every exhalation, which is caused by his relaxed vocal cords. From what I have read he is not suffering by this, considering he is not in a cognitive state for almost 2 days now.
Each one of those grunts is like a stab in our hearts. We are in a small apartment and it is piercing the silence every 2 seconds, constantly reminding us of the tragedy of losing our beloved dad and husband. He chose to die at home. I don't blame him for it and my mom would do anything to make his last days more comfortable. 
Fuck cancer. Stay strong.</t>
        </is>
      </c>
      <c r="D9771" t="n">
        <v>37</v>
      </c>
      <c r="E9771" t="n">
        <v>21</v>
      </c>
      <c r="F9771">
        <f>HYPERLINK("https://www.reddit.com/r/cancer/comments/h8hzmi/end_of_life_vocal_cord_grunting/")</f>
        <v/>
      </c>
      <c r="G9771" t="inlineStr">
        <is>
          <t>2020-06-13 16:02:34</t>
        </is>
      </c>
      <c r="H9771" t="inlineStr"/>
    </row>
    <row r="9772">
      <c r="A9772" t="inlineStr">
        <is>
          <t>h8ig51</t>
        </is>
      </c>
      <c r="B9772" t="inlineStr">
        <is>
          <t>leukemia</t>
        </is>
      </c>
      <c r="C9772" t="inlineStr">
        <is>
          <t>hi is anyone in here familiar with or had history with leukemia as i have some symptoms and have some questions</t>
        </is>
      </c>
      <c r="D9772" t="n">
        <v>0</v>
      </c>
      <c r="E9772" t="n">
        <v>4</v>
      </c>
      <c r="F9772">
        <f>HYPERLINK("https://www.reddit.com/r/cancer/comments/h8ig51/leukemia/")</f>
        <v/>
      </c>
      <c r="G9772" t="inlineStr">
        <is>
          <t>2020-06-13 16:29:34</t>
        </is>
      </c>
      <c r="H9772" t="inlineStr"/>
    </row>
    <row r="9773">
      <c r="A9773" t="inlineStr">
        <is>
          <t>h8kf01</t>
        </is>
      </c>
      <c r="B9773" t="inlineStr">
        <is>
          <t>hard lump under/on left rib</t>
        </is>
      </c>
      <c r="C9773" t="inlineStr">
        <is>
          <t>hi! im a 12 year old girl, and i recently discovered a large, hard lump under my left rib. i don’t know how long it’s been there, but it’s about the size of a table tennis/ping pong ball. my mum won’t let me go to the doctors either because she thinks it’s fine. what do i do?</t>
        </is>
      </c>
      <c r="D9773" t="n">
        <v>1</v>
      </c>
      <c r="E9773" t="n">
        <v>5</v>
      </c>
      <c r="F9773">
        <f>HYPERLINK("https://www.reddit.com/r/cancer/comments/h8kf01/hard_lump_underon_left_rib/")</f>
        <v/>
      </c>
      <c r="G9773" t="inlineStr">
        <is>
          <t>2020-06-13 18:27:59</t>
        </is>
      </c>
      <c r="H9773" t="inlineStr"/>
    </row>
    <row r="9774">
      <c r="A9774" t="inlineStr">
        <is>
          <t>h8m24z</t>
        </is>
      </c>
      <c r="B9774" t="inlineStr">
        <is>
          <t>My vlog of cancer part 1 of 3</t>
        </is>
      </c>
      <c r="C9774" t="inlineStr">
        <is>
          <t>My first of 3 videos where I discuss my Hodgkin's lymphoma diagnosis and process:
https://youtu.be/JGxbjfWtd5A</t>
        </is>
      </c>
      <c r="D9774" t="n">
        <v>0</v>
      </c>
      <c r="E9774" t="n">
        <v>0</v>
      </c>
      <c r="F9774">
        <f>HYPERLINK("https://www.reddit.com/r/cancer/comments/h8m24z/my_vlog_of_cancer_part_1_of_3/")</f>
        <v/>
      </c>
      <c r="G9774" t="inlineStr">
        <is>
          <t>2020-06-13 20:07:45</t>
        </is>
      </c>
      <c r="H9774" t="inlineStr"/>
    </row>
    <row r="9775">
      <c r="A9775" t="inlineStr">
        <is>
          <t>h8mlzb</t>
        </is>
      </c>
      <c r="B9775" t="inlineStr">
        <is>
          <t>Support Questions Chemo</t>
        </is>
      </c>
      <c r="C9775" t="inlineStr">
        <is>
          <t>My dad is starting chemo early next week. He got a PICC (is that the right spelling) line in and is getting his first pack. He’s fiery, a grouch sometimes and hates people feeling sorry for him. So with that said...
What do we need to do to support him? Anyone have any unexpected needs or something that’s helped them? 
I’m also worried about my mom who’ll have to be there for everything. Any advice about helping or taking care of the caretaker?</t>
        </is>
      </c>
      <c r="D9775" t="n">
        <v>0</v>
      </c>
      <c r="E9775" t="n">
        <v>5</v>
      </c>
      <c r="F9775">
        <f>HYPERLINK("https://www.reddit.com/r/cancer/comments/h8mlzb/support_questions_chemo/")</f>
        <v/>
      </c>
      <c r="G9775" t="inlineStr">
        <is>
          <t>2020-06-13 20:45:54</t>
        </is>
      </c>
      <c r="H9775" t="inlineStr"/>
    </row>
    <row r="9776">
      <c r="A9776" t="inlineStr">
        <is>
          <t>h8pkj9</t>
        </is>
      </c>
      <c r="B9776" t="inlineStr">
        <is>
          <t>Signs of Stomach Cancer? Anyone with similar symptoms?</t>
        </is>
      </c>
      <c r="C9776" t="inlineStr">
        <is>
          <t>My family has a history of stomach cancer, with my grand-pop dying to it just last year. I am feeling sharp pain on-and-off throughout my stomach from side to side and swelling near my kidney. I'm terribly worried right now and my parents are telling me to ignore it. Has anyone experienced similar symptoms like this? Also, what should my next line of action be?</t>
        </is>
      </c>
      <c r="D9776" t="n">
        <v>1</v>
      </c>
      <c r="E9776" t="n">
        <v>1</v>
      </c>
      <c r="F9776">
        <f>HYPERLINK("https://www.reddit.com/r/cancer/comments/h8pkj9/signs_of_stomach_cancer_anyone_with_similar/")</f>
        <v/>
      </c>
      <c r="G9776" t="inlineStr">
        <is>
          <t>2020-06-14 00:50:45</t>
        </is>
      </c>
      <c r="H9776" t="inlineStr"/>
    </row>
    <row r="9777">
      <c r="A9777" t="inlineStr">
        <is>
          <t>h8qh86</t>
        </is>
      </c>
      <c r="B9777" t="inlineStr">
        <is>
          <t>I recently had an arm operation. AMA</t>
        </is>
      </c>
      <c r="C9777" t="inlineStr">
        <is>
          <t>I (13M) am diagnosed with Ostheosarcoma - a type of cancer that spreads in a bone and meat. My operation was succesful and it included cutting most of my arm bone off and replacing it with an endoprotesis.
If you are going to have a similar operation or you’re just curious, feel free to ask me anything about it!</t>
        </is>
      </c>
      <c r="D9777" t="n">
        <v>1</v>
      </c>
      <c r="E9777" t="n">
        <v>15</v>
      </c>
      <c r="F9777">
        <f>HYPERLINK("https://www.reddit.com/r/cancer/comments/h8qh86/i_recently_had_an_arm_operation_ama/")</f>
        <v/>
      </c>
      <c r="G9777" t="inlineStr">
        <is>
          <t>2020-06-14 02:11:21</t>
        </is>
      </c>
      <c r="H9777" t="inlineStr"/>
    </row>
    <row r="9778">
      <c r="A9778" t="inlineStr">
        <is>
          <t>h8re5a</t>
        </is>
      </c>
      <c r="B9778" t="inlineStr">
        <is>
          <t>Ovarian cancer treatment question</t>
        </is>
      </c>
      <c r="C9778" t="inlineStr">
        <is>
          <t>My mom told me a few months ago that she had been diagnosed with ovarian cancer about a year ago. So far she has not had any treatment, and she said the doctor told her that it’s very early and there’s no treatment to be done. The only thing to do is to wait, and she has been waiting. Apparently she went back recently and the doctor said the same thing again.
To be honest, it seems like a weird thing to say, and my mom (who lives across the country) says she doesn’t need a second opinion as she is embarrassed by the whole thing. Since even October 2019, she has been progressively complaining more about throbbing leg pain in her shin area. When she visited me in February, she couldn’t walk for long periods of time, and I had never seen her that exhausted. Unsure if it’s relevant. Could be a completely irrelevant issue as she is on her feet a lot for work.
I don’t know if I can trust her doctor, and I don’t know what I can do if anything. I don’t know if she is telling the doctor all her symptoms, and I find it extremely difficult to believe that if she can’t even walk for ten minutes straight without having to sit down that a doctor would not give her a solution. She also has been dealing with high blood pressure. Also unsure if related.
I just want to know if the treatment plan of “wait and see” is normal. In my mind, cancer treatment is usually surgery or chemotherapy, and the earlier it’s caught, the better.</t>
        </is>
      </c>
      <c r="D9778" t="n">
        <v>1</v>
      </c>
      <c r="E9778" t="n">
        <v>8</v>
      </c>
      <c r="F9778">
        <f>HYPERLINK("https://www.reddit.com/r/cancer/comments/h8re5a/ovarian_cancer_treatment_question/")</f>
        <v/>
      </c>
      <c r="G9778" t="inlineStr">
        <is>
          <t>2020-06-14 03:28:24</t>
        </is>
      </c>
      <c r="H9778" t="inlineStr"/>
    </row>
    <row r="9779">
      <c r="A9779" t="inlineStr">
        <is>
          <t>h8s97n</t>
        </is>
      </c>
      <c r="B9779" t="inlineStr">
        <is>
          <t>I'm tired.</t>
        </is>
      </c>
      <c r="C9779" t="inlineStr">
        <is>
          <t>Hey guys,
I know this isnt the place but I just need somewhere to vent my feelings honestly. Maybe this belongs in offmychest, mods feel free to delete if this is in the wrong place. Also, on mobile so excuse formatting.
Roughly two months ago my grandmother got a biopsy of her lung done to see if a growth inside her was cancerous. Sure as shit. It was. Now here comes the shitty part. We immediately took her to the ER because she kept asking the same questions over and over again. We thought she possibly had a stroke. And cause of the whole Covid deal, I had to drive my very confused grandmother to the hospital. I kissed her goodbye, told her to be strong, and that I loved her. I get woken up the next day at 4a.m. from the hospital saying she had a brain bleed and they need to put a shunt in to drain some of it. I gave consent and she seemed to kick the brain surgery's ass.
The leading theory as to what happened is that during the biopsy to see if it was cancerous, a part of the tumor dislodged and metastasized to her brain. While in the hospital they found tumors in her head, chest, stomach, and colon. Despite all the bad news she still seemed to remain strong. We talked to her on the phone. She seemed a little confused sometimes and completely okay others. So fast forward three days after brain surgery. They discharge her. 
Before we even get her home she's checking off most of the boxes on her discharge papers to bring her back to the ER. It was a rough night. But I woke up to her groaning on the toilet because she couldn't get up. Talked to her and she now checked off every symptom to return to the hospital. So I called 911 and back to the hospital she went. I cried. 
So shes back in the hospital. Everything seems to be going good. And we get a call around 4 in the afternoon. She fell out of her bed. We only got the call some 14-15 hours later. You know, after they ran even more tests on her to see if she was okay. After the fall she contracts CDiff. Just one thing after another. I'm tired.
So, the hospital is getting ready to release her. They tell us shes slightly confused. She had diarrhea because of the antibiotics for cdiff. But shes in good spirits and wants to come home. The hospital drops the ball again and didnt order two parts for her oxygen machine that we had to run out at 9p.m. to find and buy. We arrange transport and make it happen. I'm tired. 
And this is the thing that gets me the most. The hospital lied. Flat out. She is not just a little confused. She is completely confused. Slipping back into her native tongue. Randomly thinking she's 40 years younger. Certain times she doesnt know her name, where she is, or why she is there and that hurts the most honestly. She's having hallucinations. She also needs round the clock care, generally by two people because shes on the bigger side. So my mom, brother, my amazing girlfriend, and myself are all taking turns sleeping. Most of us are pulling 30 hour shifts because we'll stay up all night to make sure she doesnt fall or if she needs to use the restroom she has someone to help, then only having to stay up because we have to deal with half competent medical workers. We had a hospice worker come in and tell us they'll get us a different hospital bed here because the one we bought doesnt have rails all the way down the sides so it makes her an even bigger fall risk. But figuring out how to move her, get her into the new hospital bed, and getting rid of the old one all fall onto us. But it's okay, because they're nice enough to offer help 3 times a week for roughly 45 minutes. We've expressed to every hospice, social worker, and anyone else who would listen that we need HELP. This is a serious drain of energy, we're all burning the candle at both ends, and each one of these people's responses are 🤷‍♂️. I'm tired.
I'm sorry for venting guys. I'm really just upset and agitated because I'm sleep deprived and we all feel so helpless. We're looking into respite care today hopefully to ease some of the burden of our family. I wish this was easier. I wish I was stronger. I wish I wasn't so tired, but I won't rest until she does. 
I love you mom mom.</t>
        </is>
      </c>
      <c r="D9779" t="n">
        <v>1</v>
      </c>
      <c r="E9779" t="n">
        <v>11</v>
      </c>
      <c r="F9779">
        <f>HYPERLINK("https://www.reddit.com/r/cancer/comments/h8s97n/im_tired/")</f>
        <v/>
      </c>
      <c r="G9779" t="inlineStr">
        <is>
          <t>2020-06-14 04:34:59</t>
        </is>
      </c>
      <c r="H9779" t="inlineStr"/>
    </row>
    <row r="9780">
      <c r="A9780" t="inlineStr">
        <is>
          <t>h8taur</t>
        </is>
      </c>
      <c r="B9780" t="inlineStr">
        <is>
          <t>Update on my strong mother</t>
        </is>
      </c>
      <c r="C9780" t="inlineStr">
        <is>
          <t>So my mom's cancer was worst than she let on to me. She has stage 4 lung cancer and there's little hope that she'll make it out of this alive. She didn't want to tell me how bad it was just yet because I'm 7 months pregnant and she didn't want to stress me out but now I'm beyond stressed because I know I'm probably losing my mom. I know she doesn't want me to be sad but I really can't help it. I would never mean to violate her wishes. Thanks for everyone who gave me advice on the first post. I'll still use it and continue to be there for my mother if she needs me even if it hurts. Bless this community.</t>
        </is>
      </c>
      <c r="D9780" t="n">
        <v>1</v>
      </c>
      <c r="E9780" t="n">
        <v>2</v>
      </c>
      <c r="F9780">
        <f>HYPERLINK("https://www.reddit.com/r/cancer/comments/h8taur/update_on_my_strong_mother/")</f>
        <v/>
      </c>
      <c r="G9780" t="inlineStr">
        <is>
          <t>2020-06-14 05:53:22</t>
        </is>
      </c>
      <c r="H9780" t="inlineStr"/>
    </row>
    <row r="9781">
      <c r="A9781" t="inlineStr">
        <is>
          <t>h8ti05</t>
        </is>
      </c>
      <c r="B9781" t="inlineStr">
        <is>
          <t>Dr. Berg and KenBerryMD have some videos for understanding cancer.</t>
        </is>
      </c>
      <c r="C9781" t="inlineStr">
        <is>
          <t>[Dr. Eric Berg DC](https://www.youtube.com/user/drericberg123/search?query=cancer)
[Ken Berry MD](https://www.youtube.com/user/KenDBerry/search?query=cancer)
Just something additional to think about, and to ask your doctor about, if nothing else worked for you. Which makes sense right? If their treatment hasn't work, then you have every right to try something different.
This is basically videos on understanding what causes cancer, what makes cancer worse. And how to prevent yourself from ever getting cancer in the first place.
The more you know, the more likely it is to make the correct decision, and to find a solution to a problem.
They also have videos for smoking, and pretty much anything you can think of. I certainly found them useful.</t>
        </is>
      </c>
      <c r="D9781" t="n">
        <v>1</v>
      </c>
      <c r="E9781" t="n">
        <v>0</v>
      </c>
      <c r="F9781">
        <f>HYPERLINK("https://www.reddit.com/r/cancer/comments/h8ti05/dr_berg_and_kenberrymd_have_some_videos_for/")</f>
        <v/>
      </c>
      <c r="G9781" t="inlineStr">
        <is>
          <t>2020-06-14 06:06:06</t>
        </is>
      </c>
      <c r="H9781" t="inlineStr"/>
    </row>
    <row r="9782">
      <c r="A9782" t="inlineStr">
        <is>
          <t>h8tkkr</t>
        </is>
      </c>
      <c r="B9782" t="inlineStr">
        <is>
          <t>Appetite lost: need recommendations</t>
        </is>
      </c>
      <c r="C9782" t="inlineStr">
        <is>
          <t>Our Mammaw has lost her appetite either because of her new medication or just tired... she's 94. She's lost an alarming amount of weight from diarrhea and loss of appetite. But she still has a sweet tooth. 
I was thinking I could make her ice cream shakes and smoothies just to get calories in her.
Can someone recommend a tasting powder (or something!) That i can add to it to help her get some calories?
Thank you.</t>
        </is>
      </c>
      <c r="D9782" t="n">
        <v>1</v>
      </c>
      <c r="E9782" t="n">
        <v>13</v>
      </c>
      <c r="F9782">
        <f>HYPERLINK("https://www.reddit.com/r/cancer/comments/h8tkkr/appetite_lost_need_recommendations/")</f>
        <v/>
      </c>
      <c r="G9782" t="inlineStr">
        <is>
          <t>2020-06-14 06:10:51</t>
        </is>
      </c>
      <c r="H9782" t="inlineStr"/>
    </row>
    <row r="9783">
      <c r="A9783" t="inlineStr">
        <is>
          <t>h8wkxy</t>
        </is>
      </c>
      <c r="B9783" t="inlineStr">
        <is>
          <t>Lymphoma with Weird Presentation</t>
        </is>
      </c>
      <c r="C9783" t="inlineStr">
        <is>
          <t>Hi everyone,
I'm expecting a more detailed diagnosis of my Lymphoma this week as I've had all the scans over the last few months and my first biopsy returned with positives for B-Cell Lymphoma but recommended a Bone Marrow Biopsy (it's in multiple bones) which I did last week to further classify the type and stage.
Along my journey I've met with a few different doctors (neurologist, family doctor, internist) all of whom say that the presentation is weird but from reading this sub it seems anything seems possible for Lymphoma and been looking through this form for similar cases with no luck so far so I thought I would share and see if anyone experienced anything similar.
The weird presentation has been excruciating left knee pain (where my 1st biopsy was taken) that never did show up on x-rays and over the last 3 months a large amount of muscle loss to my left thigh and glute. I haven't had any swollen lymph nodes but have started experiencing night sweats over the last few months. Additionally they did a spinal fluid test to rule out the spread to the brain and nervous system which came back false. The oddest thing I find is the knee pain is bearable about 5 days out of the week but 2 of those days it's horrible and pain killers only slightly help.</t>
        </is>
      </c>
      <c r="D9783" t="n">
        <v>1</v>
      </c>
      <c r="E9783" t="n">
        <v>6</v>
      </c>
      <c r="F9783">
        <f>HYPERLINK("https://www.reddit.com/r/cancer/comments/h8wkxy/lymphoma_with_weird_presentation/")</f>
        <v/>
      </c>
      <c r="G9783" t="inlineStr">
        <is>
          <t>2020-06-14 09:11:23</t>
        </is>
      </c>
      <c r="H9783" t="inlineStr"/>
    </row>
    <row r="9784">
      <c r="A9784" t="inlineStr">
        <is>
          <t>h8wsav</t>
        </is>
      </c>
      <c r="B9784" t="inlineStr">
        <is>
          <t>Thoracentesis experiences?</t>
        </is>
      </c>
      <c r="C9784" t="inlineStr">
        <is>
          <t>I’ve been posting a lot about my husband’s cancer journey and where we’re at right now. Long story short he had a primary brain tumor which was diagnosed as CICDUX4 sarcoma. It later spread to his lung. Lungs were responding to chemo but brain wasn’t, so his primary team stopped chemo and had no plan moving forward. Another hospital in our area is considering another brain surgery and implanting radioactive seeds (he’s had radiation) to control brain so that he can continue the systemic treatment. 
Unfortunately some fluid has built up in his lungs but for a while wasn’t an issue. Since they stopped chemo (I assume this is what’s going on, at least..) it seems like the fluid has gotten worse and is impacting his quality of life. He’s having shortness of breath and coughing and back pain. His oncologist had mentioned that if the fluid became troublesome they could drain it. He doesn’t want me to tell his oncology team about this as he’s afraid it’ll impact their decision on whether or not to move forward with the brain surgery. 
My fear is if we wait too long to take care of the fluid, something worse will happen then surgery won’t be an option. I feel like if he can get it drained and feeling better, it won’t impact their decision to do surgery. They haven’t made a decision yet due to the number of brain surgeries he’s had and they don’t know how much it will benefit him. He’s 25 so some members of his team are really willing to fight to get him treated aggressively. 
Has anyone had a thoracentesis? How invasive is it? I know none of you are medical professionals, but any thoughts on this...? I don’t think having the fluid drained would impact their decision if it improves his symptoms.</t>
        </is>
      </c>
      <c r="D9784" t="n">
        <v>2</v>
      </c>
      <c r="E9784" t="n">
        <v>18</v>
      </c>
      <c r="F9784">
        <f>HYPERLINK("https://www.reddit.com/r/cancer/comments/h8wsav/thoracentesis_experiences/")</f>
        <v/>
      </c>
      <c r="G9784" t="inlineStr">
        <is>
          <t>2020-06-14 09:23:42</t>
        </is>
      </c>
      <c r="H9784" t="inlineStr"/>
    </row>
    <row r="9785">
      <c r="A9785" t="inlineStr">
        <is>
          <t>h8x5y1</t>
        </is>
      </c>
      <c r="B9785" t="inlineStr">
        <is>
          <t>my dad</t>
        </is>
      </c>
      <c r="C9785" t="inlineStr">
        <is>
          <t>hi all,
my dad got diagnosed with esophogus cancer a couple months ago and he finished chemo and radio a couple weeks ago and was feeling much better. 
however, tonight he suffered a seizure and i just found out he has a bleeding brain tumour. he had planned to have an esophasectomy next month but the doctor said to us that if the cancer spread he wouldn’t operate on him. 
i just don’t know how to react. i’m so young. i just have so much going on idk what to do. this is just so sudden.</t>
        </is>
      </c>
      <c r="D9785" t="n">
        <v>1</v>
      </c>
      <c r="E9785" t="n">
        <v>5</v>
      </c>
      <c r="F9785">
        <f>HYPERLINK("https://www.reddit.com/r/cancer/comments/h8x5y1/my_dad/")</f>
        <v/>
      </c>
      <c r="G9785" t="inlineStr">
        <is>
          <t>2020-06-14 09:46:10</t>
        </is>
      </c>
      <c r="H9785" t="inlineStr"/>
    </row>
    <row r="9786">
      <c r="A9786" t="inlineStr">
        <is>
          <t>h8y15m</t>
        </is>
      </c>
      <c r="B9786" t="inlineStr">
        <is>
          <t>Letting it all out</t>
        </is>
      </c>
      <c r="C9786" t="inlineStr">
        <is>
          <t>If you’re reading this, it’s sort of my confession. I’m breaking down, I am 19 years old and I have metastatic Ewing sarcoma, which is an awful cancer to deal with. In front of my family I have remained strong for so long but today I woke up and broke down. The idea of death scares me, not dying, but seeing all my friends and family before I go. Seeing the faces of all them not knowing what to say to me to possibly comfort me, I love them all so much. That’s my biggest fear, knowing my two sisters and brother are losing their youngest sibling. It’s not supposed to work like that. I pray that if I go my mother, father, and all my siblings find the strength to keep going, I do not know if I believe in the cliche of “I will always be with you” because what if I’m not allowed to be. I hate the pain, I hate the words that come from the doctors, I hate this horrific disease, and I hate feeling like nothing. Today I’m in a lot of pain, and the pain turns my mind into a dark place. Recently I started talking to a girl, the worst part is, this girl matches my personality to a T. Sometimes it’s like I’m talking to myself, I may be young, but I have talked to a lot of different girls (I don’t mean for that to come off sounding like a prick).
We’ve spent nights with eachother and it has only been a month, I wasn’t ever expecting this while going through treatment, and it just pulls at my heart strings even more. Everyday, I hope and pray that treatment works and one day I’ll live cancer free. As a reminder on days like this, I always tell myself of the times I have died during this two year journey, and how many times I picked myself right back up and did not let it defeat me.</t>
        </is>
      </c>
      <c r="D9786" t="n">
        <v>3</v>
      </c>
      <c r="E9786" t="n">
        <v>19</v>
      </c>
      <c r="F9786">
        <f>HYPERLINK("https://www.reddit.com/r/cancer/comments/h8y15m/letting_it_all_out/")</f>
        <v/>
      </c>
      <c r="G9786" t="inlineStr">
        <is>
          <t>2020-06-14 10:36:37</t>
        </is>
      </c>
      <c r="H9786" t="inlineStr"/>
    </row>
    <row r="9787">
      <c r="A9787" t="inlineStr">
        <is>
          <t>h8yanx</t>
        </is>
      </c>
      <c r="B9787" t="inlineStr">
        <is>
          <t>Breast Cancer w/ Bone Mets Pain</t>
        </is>
      </c>
      <c r="C9787" t="inlineStr">
        <is>
          <t>My mother had stage 1 breast cancer in 2016 and now it is stage 4, metastasized to her bones (no organs at all). Her hips, lumbar spine are the main problem areas. Her pain is unreal, she screams and squirms and then cries herself to sleep after taking both oxycodone and oxycontin. We don’t know what to do. We need a biopsy but she literally cannot walk nevermind get in a car. She’s bedridden and cannot even sit up. This came out of nowhere, diagnosed in March and it just exponentially got worse. Her oncologist seems to not understand the extent. She just tells us to take her to the ER but we did once and they don’t manage her pain and cut off her oxy. My questions: will treatment actually help this pain that much? I see stories of bone mets being painful but the person still leads a semi normal life. My mother is 55 and bedridden, hasn’t showered in weeks and is in just terrible condition. What do we do about the biopsy? It’s the only way forward. I’m gonna ask the hospital if we can get an ambulance non emergency transport but I don’t know if they’ll go for it. Please advise any way you can. Thank you so much.</t>
        </is>
      </c>
      <c r="D9787" t="n">
        <v>3</v>
      </c>
      <c r="E9787" t="n">
        <v>11</v>
      </c>
      <c r="F9787">
        <f>HYPERLINK("https://www.reddit.com/r/cancer/comments/h8yanx/breast_cancer_w_bone_mets_pain/")</f>
        <v/>
      </c>
      <c r="G9787" t="inlineStr">
        <is>
          <t>2020-06-14 10:52:08</t>
        </is>
      </c>
      <c r="H9787" t="inlineStr"/>
    </row>
    <row r="9788">
      <c r="A9788" t="inlineStr">
        <is>
          <t>h95x5h</t>
        </is>
      </c>
      <c r="B9788" t="inlineStr">
        <is>
          <t>I'm worried about this cystic/necrotic mass in my neck. Waiting to see specialist.</t>
        </is>
      </c>
      <c r="C9788" t="inlineStr">
        <is>
          <t xml:space="preserve"> So about a week ago when I was laying down to go to sleep I felt a lump in my right neck, below the jaw back towards my ear. The next day it was bigger by a good bit. I went to the ER. They did a CT scan and said I have a large cystic/necrotic mass on or near my lymph node. No signs of infection. The lump doesn't hurt and it is hard. All signs of cancer. The only thing that makes me think it's not cancer is how fast it developed. Over the last week the swelling has continued. I don't know if the mass itself grew but there is increasing swelling around the original area. Doctor said it could be cancer referred me to ENT. I went to VA next day and told my primary care doctor. Gave her copies of CT and ER report. Haven't heard back. I'm worried though. My mom said they had a guy work for them that had a lump just like mine (not sure of development speed) and it was cancer so....  
Definitely worried.</t>
        </is>
      </c>
      <c r="D9788" t="n">
        <v>1</v>
      </c>
      <c r="E9788" t="n">
        <v>18</v>
      </c>
      <c r="F9788">
        <f>HYPERLINK("https://www.reddit.com/r/cancer/comments/h95x5h/im_worried_about_this_cysticnecrotic_mass_in_my/")</f>
        <v/>
      </c>
      <c r="G9788" t="inlineStr">
        <is>
          <t>2020-06-14 18:08:03</t>
        </is>
      </c>
      <c r="H9788" t="inlineStr"/>
    </row>
    <row r="9789">
      <c r="A9789" t="inlineStr">
        <is>
          <t>h96ugv</t>
        </is>
      </c>
      <c r="B9789" t="inlineStr">
        <is>
          <t>What do you wish your friends/family would know/do?</t>
        </is>
      </c>
      <c r="C9789" t="inlineStr">
        <is>
          <t>My moms best friend (and our family friend as well) has what is likely becoming terminal cancer. She’s lost a lot of her fight, is moving to the lower level of her house because she is so weak. Anything we as her friends can do, need to understand? We’re going to do a meal train, obviously offer support, company, bring her things. I just wish we knew how to support her better. Are any gifts better than others? Like certain products super helpful to those with cancer? Anything helps.</t>
        </is>
      </c>
      <c r="D9789" t="n">
        <v>2</v>
      </c>
      <c r="E9789" t="n">
        <v>4</v>
      </c>
      <c r="F9789">
        <f>HYPERLINK("https://www.reddit.com/r/cancer/comments/h96ugv/what_do_you_wish_your_friendsfamily_would_knowdo/")</f>
        <v/>
      </c>
      <c r="G9789" t="inlineStr">
        <is>
          <t>2020-06-14 19:06:13</t>
        </is>
      </c>
      <c r="H9789" t="inlineStr"/>
    </row>
    <row r="9790">
      <c r="A9790" t="inlineStr">
        <is>
          <t>h97hq2</t>
        </is>
      </c>
      <c r="B9790" t="inlineStr">
        <is>
          <t>dad recently diagnosed with stage 3 throat cancer. chemoradiation begins tomorrow</t>
        </is>
      </c>
      <c r="C9790" t="inlineStr">
        <is>
          <t>it's all happened so fast. he went in for an exam of a lump in his throat that turned out to be squamous cell carcinoma. he's starting chemoradiation tomorrow, and i don't know what to expect. he got a PEG tube inserted friday and a chest port last week, and he's already in a lot of pain from the tube. i can't stop thinking about how painful it's going to be for him. :-( i know that it's inevitable, but is there anything that we can do to ease it on him a little? is combo chemoradiation as bad as it seems?</t>
        </is>
      </c>
      <c r="D9790" t="n">
        <v>1</v>
      </c>
      <c r="E9790" t="n">
        <v>8</v>
      </c>
      <c r="F9790">
        <f>HYPERLINK("https://www.reddit.com/r/cancer/comments/h97hq2/dad_recently_diagnosed_with_stage_3_throat_cancer/")</f>
        <v/>
      </c>
      <c r="G9790" t="inlineStr">
        <is>
          <t>2020-06-14 19:46:32</t>
        </is>
      </c>
      <c r="H9790" t="inlineStr"/>
    </row>
    <row r="9791">
      <c r="A9791" t="inlineStr">
        <is>
          <t>h9a86l</t>
        </is>
      </c>
      <c r="B9791" t="inlineStr">
        <is>
          <t>Question about cancer in the family</t>
        </is>
      </c>
      <c r="C9791" t="inlineStr">
        <is>
          <t>I hope this question is allowed here, I wasn't sure where else I could ask. My brother is 50 and is currently undergoing treatment for Stage IV lung cancer. I'm 47 and I'm curious what the likelihood is that it might eventually affect me as well. We were both smokers for quite a while, we both had a history of alcoholism, but no longer drink. I believe there is a history of cancer in the family. Before his diagnosis, he raced triathlon and was very active. I'm also currently very fit and active. Probably not important, but I didn't want to give the impression we were both just fuckups ha ha I understand that there's no way to really answer this question until there''s a diagnosis, but I couldn't really make head or tails of the studies I found about cancer risks among siblings, so wanted to find a resource where I might get a better idea. Thank you for your time.</t>
        </is>
      </c>
      <c r="D9791" t="n">
        <v>0</v>
      </c>
      <c r="E9791" t="n">
        <v>7</v>
      </c>
      <c r="F9791">
        <f>HYPERLINK("https://www.reddit.com/r/cancer/comments/h9a86l/question_about_cancer_in_the_family/")</f>
        <v/>
      </c>
      <c r="G9791" t="inlineStr">
        <is>
          <t>2020-06-14 23:02:59</t>
        </is>
      </c>
      <c r="H9791" t="inlineStr"/>
    </row>
    <row r="9792">
      <c r="A9792" t="inlineStr">
        <is>
          <t>h9bt16</t>
        </is>
      </c>
      <c r="B9792" t="inlineStr">
        <is>
          <t>Not sure how to cope/rant?</t>
        </is>
      </c>
      <c r="C9792" t="inlineStr">
        <is>
          <t>TLDR: Mom's going through a lot and I don't know how to deal with it as the eldest daughter and health proxy.
So my mom discovered her cervical cancer at stage 2 back in December 2018 when she almost bled out in the bathroom at her job and she's been dealing with it ever since. The first round of chemo and radiation she did in 2019 made it go away for a while but then it came back aggressively in late 2019-early 2020. 
I remember when she called me while I just finished up classes on campus that day. She was breathless and she told me it was an emergency. I commuted during rush hour just to get to the hospital to see her all pale. It was honestly scary and traumatizing.
It's been really tough. It's just her, me, and my little sister. She's the only person in the household that works and she's been out of work for almost 6 months, so her work insurance is about to run out, which sucks. She's applying for Medicaid/Medicare I think, so she's relying on other family members to hold on to the bulk of her savings (which isn't much either) while she tries to get treated properly.
But it sucks and I feel like the doctors aren't doing enough for my mom. She's got a swollen lymph node near her groin area and it's been making her swell with water since the last time she was hospitalized. Apparently they couldn't get her blood pressure from her arm so they went to her leg and gave her so much fluid that she's not proportionate anymore. Meaning she can barely walk and mostly gets around in a wheelchair.
She's also constantly bleeding from her rectum because of her hernia. So every time she goes to get a blood transfusion, it drains out of her anus in less than a week, leaving her weak, dizzy, and out of breath constantly. And she can't do chemo unless her blood level is at acceptable levels, which never works cause she keeps bleeding out.
My younger sister and I have been unable to sleep for nights on end because my mother is constantly in pain as well and needs help going to the bathroom every hour or so. It's extremely exhausting trying to sleep only to be awoken each time you're about to fall asleep, but there's nothing you can do about it. The doctors never prescribe her the right amount of medication and it's ALWAYS a hassle for them to fix it. It's almost like they don't want to. 
I've kinda come to terms with the fact that my mom might die. It still feels like that might not happen because I'm still holding on to the hope that she'll make a full recovery and things will slowly get better. I'm not sure what I'll do if that happens. 
I've only just recently graduated from college and I'm looking for a job so I can at least have some sort of income because I'll have to start paying off my loans soon. My little sister will be going to college next summer and I know it's already hard on her because her teachers keep assigning so much work. She's gotten more work than I have during a semester of uni, and I took almost the max amount of credits I could almost every semester. 
And on top of that, if anything actually does happen to my mom, I'm the one that's in charge of stuff. She's been looking into writing a will and it's really distressing. I'm a little lost and I'm personally dealing with a bundle of mental illnesses myself, which already make it hard to cope. (Thinking about kms in times of stress and trauma aren't exactly helpful and I won't have access to my therapist provided under my mom's insurance anymore either).
So yeah... I'd talk to my friends about this, but they don't know how to react to this. No one really does I don't think. So I figured just venting in the appropriate subreddit would maybe help. If you read this extremely long post, I truly thank you for doing so. I know my situation is no different than most here, and at the same time it is, so I'm attempting to take some comfort in that.
Thank you.</t>
        </is>
      </c>
      <c r="D9792" t="n">
        <v>1</v>
      </c>
      <c r="E9792" t="n">
        <v>7</v>
      </c>
      <c r="F9792">
        <f>HYPERLINK("https://www.reddit.com/r/cancer/comments/h9bt16/not_sure_how_to_coperant/")</f>
        <v/>
      </c>
      <c r="G9792" t="inlineStr">
        <is>
          <t>2020-06-15 01:04:39</t>
        </is>
      </c>
      <c r="H9792" t="inlineStr"/>
    </row>
    <row r="9793">
      <c r="A9793" t="inlineStr">
        <is>
          <t>h9gv6i</t>
        </is>
      </c>
      <c r="B9793" t="inlineStr">
        <is>
          <t>Mindfulness Survey for Cancer Patients and Survivors</t>
        </is>
      </c>
      <c r="C9793" t="inlineStr">
        <is>
          <t>Hello. I know this is not typical on a subreddit, but I need some help. I am a second year Physician Assistant student who is completing a Capstone project titled “The Impact of Brief Mindfulness Exercises for Cancer Patients.” The project is required of me in order to graduate and I need as many people to participate as possible. I chose this thesis because I worked as a medical scribe in a cancer center and I hope to work as a provider in Oncology within the next few years. If you or someone you know is a current cancer patient or survivor, please fill out the following survey. It is anonymous, takes less than 10 minutes to complete, and involves a short mindfulness breathing exercise. If enough people could do this survey, it's possible the data could be used by providers to better treat depression and anxiety in the cancer population. Every response is appreciated. Thank you.
[https://forms.gle/jYWjRgKpZJWYPCBh9](https://forms.gle/jYWjRgKpZJWYPCBh9)</t>
        </is>
      </c>
      <c r="D9793" t="n">
        <v>1</v>
      </c>
      <c r="E9793" t="n">
        <v>5</v>
      </c>
      <c r="F9793">
        <f>HYPERLINK("https://www.reddit.com/r/cancer/comments/h9gv6i/mindfulness_survey_for_cancer_patients_and/")</f>
        <v/>
      </c>
      <c r="G9793" t="inlineStr">
        <is>
          <t>2020-06-15 06:58:48</t>
        </is>
      </c>
      <c r="H9793" t="inlineStr"/>
    </row>
    <row r="9794">
      <c r="A9794" t="inlineStr">
        <is>
          <t>h9j0kr</t>
        </is>
      </c>
      <c r="B9794" t="inlineStr">
        <is>
          <t>Time is getting short</t>
        </is>
      </c>
      <c r="C9794" t="inlineStr">
        <is>
          <t>My wife had a oncology appointment last Thursday on the 11th.  We both had a feeling of dread going into this appointment.  Over the last few months her recovery time from the chemo has been getting worse and worse.  This last treatment she never truly recovered from.  There was not a single day we would call a "good" day even by our lowered standards over the past 4 weeks.  Further more she had been experiencing more pain in her back and a tightness in her abdomen. So we went in to this appointment with the anticipation that her cancer was growing again and that she was also getting toxic from nine months of continuous chemo.
&amp;amp;#x200B;
We waited in the room for 45 minutes as the doctor was running behind.  When he walked into the room you knew immediately he did not have good news for us by his demeanor.  He was kind as always, but had to be direct concerning the scans.   The cancer in her spine is growing and has spread.  The cancer in her liver grew with numerous new tumors that were all almost 0.8cm in size.  The worst part was that her bilirubin count, which had always been stable, doubled in between her last two bloodwork samples.  This concerned him the most.  We were not four minutes into the meeting when he looked at her and said, "Unfortunately I think we are at the point I have to ask you if your affairs are in order."  Needless to say it was a gut punch for both of us.
&amp;amp;#x200B;
Basically she is a time bomb right now.  Her liver is starting to fail.  The tumors could grow and block the ducts or the tumors could just grow and cause the liver to stop functioning.  The increased bilirubin counts indicates that is starting to happen.  We go back in two weeks for more bloodwork and to visit the oncologist.  The oncologist said that if those numbers continue to rise dramatically we will likely have to make some hard choices at that visit.  
&amp;amp;#x200B;
Honestly the choices are not that hard.  There is another chemo we can try, but if it's going to only buy her time where she's miserable and unable to function she is not interested in that.  She is not strong enough for chemo now.  So we are taking two more weeks off of chemotherapy and will decide if we are permanently discontinuing at the next meeting.  
&amp;amp;#x200B;
Cancer just sucks.   We knew this was coming.  But knowing does nothing to lessen the emotional impact of knowing that the time is here.</t>
        </is>
      </c>
      <c r="D9794" t="n">
        <v>8</v>
      </c>
      <c r="E9794" t="n">
        <v>28</v>
      </c>
      <c r="F9794">
        <f>HYPERLINK("https://www.reddit.com/r/cancer/comments/h9j0kr/time_is_getting_short/")</f>
        <v/>
      </c>
      <c r="G9794" t="inlineStr">
        <is>
          <t>2020-06-15 08:57:15</t>
        </is>
      </c>
      <c r="H9794" t="inlineStr"/>
    </row>
    <row r="9795">
      <c r="A9795" t="inlineStr">
        <is>
          <t>h9ka2l</t>
        </is>
      </c>
      <c r="B9795" t="inlineStr">
        <is>
          <t>Call from my Dr.</t>
        </is>
      </c>
      <c r="C9795" t="inlineStr">
        <is>
          <t>I was supposed to start chemo tomorrow after healing from radiation treatments 6 weeks [ago. My](https://ago.My)  Dr. just called and cancelled it. The radiation has shrunk the tumours !  I still have them, but as of my last scan they are not growing. I am still trying to process this. Stage 4 anal cancer, and they gave me 3 months, I am over the moon happy! I'll have another scan in 6 weeks and go from there.</t>
        </is>
      </c>
      <c r="D9795" t="n">
        <v>2</v>
      </c>
      <c r="E9795" t="n">
        <v>14</v>
      </c>
      <c r="F9795">
        <f>HYPERLINK("https://www.reddit.com/r/cancer/comments/h9ka2l/call_from_my_dr/")</f>
        <v/>
      </c>
      <c r="G9795" t="inlineStr">
        <is>
          <t>2020-06-15 10:04:23</t>
        </is>
      </c>
      <c r="H9795" t="inlineStr"/>
    </row>
    <row r="9796">
      <c r="A9796" t="inlineStr">
        <is>
          <t>h9lqg6</t>
        </is>
      </c>
      <c r="B9796" t="inlineStr">
        <is>
          <t>Mom’s resection rescheduled</t>
        </is>
      </c>
      <c r="C9796" t="inlineStr">
        <is>
          <t>Hello all. It’s been a minute... I needed to vent somewhere. My mom who was diagnosed with stage 4 CRC Sept of 2019, finally finished chemo. She did REALLY well. Her tumor shrunk to almost half it’s size. Aside from really bad neuropathy, her body did fairly well during treatment. All good things. 
She is going to have to have two surgeries. One was going to be on the 22 but she felt it was too soon and wanted to see if she could move it a week. Of mousse my sister and I want that thing out of her ASAP but this is her body and her choice that we have to respect so we got over it. It’s week. 
Well I just stopped by her house to grab my laptop and she was on the phone with her best friend... when she got off I said “Are you going to call to reschedule today?” And she said “well, I’m going to wait till the end of July..” me “wwwwhy is that?”  Mom “Friend said that’s when Mercury is out of retrograde and that I shouldn’t have surgery while it is. And I agree. I can feel it in my gut” 
I don’t know why this made me so anxious but it did. I just said I had to go and left. 
She is also the friend who told her about some dog medication she could take when she first was diagnosed. 
Sorry for the rant and crappy paragraphs
I feel I don’t know right now.</t>
        </is>
      </c>
      <c r="D9796" t="n">
        <v>1</v>
      </c>
      <c r="E9796" t="n">
        <v>3</v>
      </c>
      <c r="F9796">
        <f>HYPERLINK("https://www.reddit.com/r/cancer/comments/h9lqg6/moms_resection_rescheduled/")</f>
        <v/>
      </c>
      <c r="G9796" t="inlineStr">
        <is>
          <t>2020-06-15 11:20:38</t>
        </is>
      </c>
      <c r="H9796" t="inlineStr"/>
    </row>
    <row r="9797">
      <c r="A9797" t="inlineStr">
        <is>
          <t>h9mjbx</t>
        </is>
      </c>
      <c r="B9797" t="inlineStr">
        <is>
          <t>Alimta/Pemetrexed Maintenance Therapy for NSCLC - anyone with this experience?</t>
        </is>
      </c>
      <c r="C9797" t="inlineStr">
        <is>
          <t>My 75 year old mother has a strong constitution apparently as she had breast cancer 20+ years ago in her 50's, was given the very aggressive Adriamycin+Taxol combo, and had 0 symptoms other than hair loss - she was cooking, walking, socializing, taking care of me, 12 yrs old att, just days after her mastectomy and experienced no side effects after each treatment and radiation.
Ffwd to now, Stage 3B lung cancer diagnosed 12/2018 from smoking (non-metastatic), she had Keytruda for 9 months - it stopped working, but no side effects other than radiation recall on her mastectomy scar still ongoing, and then Taxotere/Docetaxel + Cyramza for a couple of cycles until a blood clot in the lung and right side of the heart stopped the Cyramza from being continued...so after 2 lines of treatment, her latest PET and CTs show all tumors resolved other than 1 nodule 2-3mm left, so her oncologist is doing Alimta/Pemetrexed maintenance every 3 weeks for now as long as she can tolerate it/cancer remains stable. Anyone else in the same boat or had this latest maintenance therapy and how did it go?</t>
        </is>
      </c>
      <c r="D9797" t="n">
        <v>1</v>
      </c>
      <c r="E9797" t="n">
        <v>0</v>
      </c>
      <c r="F9797">
        <f>HYPERLINK("https://www.reddit.com/r/cancer/comments/h9mjbx/alimtapemetrexed_maintenance_therapy_for_nsclc/")</f>
        <v/>
      </c>
      <c r="G9797" t="inlineStr">
        <is>
          <t>2020-06-15 12:02:12</t>
        </is>
      </c>
      <c r="H9797" t="inlineStr"/>
    </row>
    <row r="9798">
      <c r="A9798" t="inlineStr">
        <is>
          <t>h9n4yu</t>
        </is>
      </c>
      <c r="B9798" t="inlineStr">
        <is>
          <t>I don’t know what to title this.</t>
        </is>
      </c>
      <c r="C9798" t="inlineStr">
        <is>
          <t>My heart is with you all.... My mother is going through chemo again right now. Started in lungs, spread to brain, responded to radiation and shrunk. We had a pretty stable last year besides an instance where I had to take her to the ER and a few other discomforts she experienced brought on by treatment. 
Now it has spread to her spine and liver as well. This round of chemo is really hurting her and I have no idea what to do. I can’t spend time with her in close proximity because of covid and the concern of her being so susceptible to illness, and she’s missing part of her lung from surgery to remove the initial tumors. I live one house away from her, I moved back to my hometown to take care of her every day for the last year, but like I said that came to a screeching halt a few months ago. Spending every day with her was allowing me to cope with the fact that I feel like I don’t have much time left with her. Now I feel so lost. She can hardly muster up the energy to talk on the phone, she has no appetite and I would do anything to take her suffering from her. She had lymphoma at 17, beat it, lost a baby because of it, and now in her fifties, the past 3 years have been intruded upon by cancer again. She is so strong. Always smiling for everyone else. When she was healthier a few months ago we were baking, gardening, I was taking her to the store just for fun, even though she lost function in her leg and can’t get around very well except with a walker or scooter. I find an inkling of solace in the fact that I have spent so much time with her and been by her side even if just as a distraction from her reality, because lord knows I can’t actually fix any of this. 
I am afraid to even talk to her about how she is feeling about the recent tumor developments. I’m scared I will affect her strong will. I saw a quote that said “sometimes being offered tenderness if the very proof you’ve been ruined.” My fear is that I don’t want her to feel ruined. I want her to feel like the most amazing mother in the world, because that is what she is, not just “my mom with cancer.” 
I don’t know the best way to help and I don’t know how I’m going to handle what is potentially approaching. Such a selfish thing to say I know. Please give me advice. Please tell me what you need or like to hear from your loved ones if you yourself are bravely fighting. Please tell me anything you think I need to know. 
I wish we all didn’t have the experience of this disease in common, but I’m grateful nonetheless for this group. 
Love to all of you.</t>
        </is>
      </c>
      <c r="D9798" t="n">
        <v>2</v>
      </c>
      <c r="E9798" t="n">
        <v>0</v>
      </c>
      <c r="F9798">
        <f>HYPERLINK("https://www.reddit.com/r/cancer/comments/h9n4yu/i_dont_know_what_to_title_this/")</f>
        <v/>
      </c>
      <c r="G9798" t="inlineStr">
        <is>
          <t>2020-06-15 12:33:08</t>
        </is>
      </c>
      <c r="H9798" t="inlineStr"/>
    </row>
    <row r="9799">
      <c r="A9799" t="inlineStr">
        <is>
          <t>h9o9da</t>
        </is>
      </c>
      <c r="B9799" t="inlineStr">
        <is>
          <t>All I’m able to eat is poutine and pineapple while on Folfox.</t>
        </is>
      </c>
      <c r="C9799" t="inlineStr">
        <is>
          <t>All I’m able to eat is poutine and pineapple while on Folfox. Anything else taste like garbage. Anyone experience difficulties to eat while on Folfox?</t>
        </is>
      </c>
      <c r="D9799" t="n">
        <v>1</v>
      </c>
      <c r="E9799" t="n">
        <v>7</v>
      </c>
      <c r="F9799">
        <f>HYPERLINK("https://www.reddit.com/r/cancer/comments/h9o9da/all_im_able_to_eat_is_poutine_and_pineapple_while/")</f>
        <v/>
      </c>
      <c r="G9799" t="inlineStr">
        <is>
          <t>2020-06-15 13:31:52</t>
        </is>
      </c>
      <c r="H9799" t="inlineStr"/>
    </row>
    <row r="9800">
      <c r="A9800" t="inlineStr">
        <is>
          <t>h9ou16</t>
        </is>
      </c>
      <c r="B9800" t="inlineStr">
        <is>
          <t>(Question) Help with breathing during these hot summer days, stage 4 lung cancer.</t>
        </is>
      </c>
      <c r="C9800" t="inlineStr">
        <is>
          <t>Hello I hope all is well and safe. My Dad has stage 4 lung cancer, it took us by surprise because he never smoked a cigarette and he always lead a healthy life style. He was diagnosed in the fall of 2020 and is doing immunotherapy treatements. 
Now the hot summer days are making it very hard for him to breathe because of his lung cancer, does anyone know ways  to alleviate this to make him breathe a little easier? 
Thank you very much for the help, I truly apreciate it from the bottom of my heart.</t>
        </is>
      </c>
      <c r="D9800" t="n">
        <v>1</v>
      </c>
      <c r="E9800" t="n">
        <v>4</v>
      </c>
      <c r="F9800">
        <f>HYPERLINK("https://www.reddit.com/r/cancer/comments/h9ou16/question_help_with_breathing_during_these_hot/")</f>
        <v/>
      </c>
      <c r="G9800" t="inlineStr">
        <is>
          <t>2020-06-15 14:02:24</t>
        </is>
      </c>
      <c r="H9800" t="inlineStr"/>
    </row>
    <row r="9801">
      <c r="A9801" t="inlineStr">
        <is>
          <t>h9p76r</t>
        </is>
      </c>
      <c r="B9801" t="inlineStr">
        <is>
          <t>IED from radiation</t>
        </is>
      </c>
      <c r="C9801" t="inlineStr">
        <is>
          <t>My husband just got diagnosed with IED..Intermittent Explosive Disorder from the radiation to his head area. Dr says all the chemo he has taken since 2013 is causing IED too. He has nasopharyngeal cancer stage 4. I’m his caregiver and I’m trying to handle his temper outburst and not stress myself out. They’ve changed his meds and are trying to find the one that helps . His Xanax was making his worse. I just don’t know what to do. 
Does anyone know anything about this disorder and maybe a suggestion we could tell his oncologist. Thank you for reading this and any answer you give me.</t>
        </is>
      </c>
      <c r="D9801" t="n">
        <v>1</v>
      </c>
      <c r="E9801" t="n">
        <v>0</v>
      </c>
      <c r="F9801">
        <f>HYPERLINK("https://www.reddit.com/r/cancer/comments/h9p76r/ied_from_radiation/")</f>
        <v/>
      </c>
      <c r="G9801" t="inlineStr">
        <is>
          <t>2020-06-15 14:22:19</t>
        </is>
      </c>
      <c r="H9801" t="inlineStr"/>
    </row>
    <row r="9802">
      <c r="A9802" t="inlineStr">
        <is>
          <t>h9penj</t>
        </is>
      </c>
      <c r="B9802" t="inlineStr">
        <is>
          <t>Just learned I have cancer.</t>
        </is>
      </c>
      <c r="C9802" t="inlineStr">
        <is>
          <t>So yeah just had a phone call from my doctor. It turns out I have a tumour in my kidney and I’m going to have to have the kidney removed. Just finished talking to my wife my mother and brother to let them know what’s going on and spending most of my time making morbid jokes about ‘listing to port’. I don’t really know what else I can do but wait to see the surgeon on Thursday. I’m trying not to think about it but, that’s not working well.</t>
        </is>
      </c>
      <c r="D9802" t="n">
        <v>1</v>
      </c>
      <c r="E9802" t="n">
        <v>10</v>
      </c>
      <c r="F9802">
        <f>HYPERLINK("https://www.reddit.com/r/cancer/comments/h9penj/just_learned_i_have_cancer/")</f>
        <v/>
      </c>
      <c r="G9802" t="inlineStr">
        <is>
          <t>2020-06-15 14:33:50</t>
        </is>
      </c>
      <c r="H9802" t="inlineStr"/>
    </row>
    <row r="9803">
      <c r="A9803" t="inlineStr">
        <is>
          <t>h9plfk</t>
        </is>
      </c>
      <c r="B9803" t="inlineStr">
        <is>
          <t>How to communicate with S/O during down times</t>
        </is>
      </c>
      <c r="C9803" t="inlineStr">
        <is>
          <t>My GF just got done with six months of chemo, a two weeks ago she had her visit to see how she responded to medication.  She was put into partial remission. Fast forward a couple weeks, she made an emergency visit to the doctors office.  She is currently waiting on the results.  She already was dealing with self esteem issues from this and feeling like the world was against her through all this.  Now, she has basically isolated herself from everyone, the thought that the cancer could have come back she says has left her numb. I worry about her and falling into deeper depression, she already works with a therapist through all this, but some days it doesn't seem to do any from my perspective.  I've told her I'm there for her whenever she needs me and I am always thinking of her, but again she's isolating herself, prepping for the worse and hoping for the best.  What can I do?</t>
        </is>
      </c>
      <c r="D9803" t="n">
        <v>1</v>
      </c>
      <c r="E9803" t="n">
        <v>0</v>
      </c>
      <c r="F9803">
        <f>HYPERLINK("https://www.reddit.com/r/cancer/comments/h9plfk/how_to_communicate_with_so_during_down_times/")</f>
        <v/>
      </c>
      <c r="G9803" t="inlineStr">
        <is>
          <t>2020-06-15 14:44:32</t>
        </is>
      </c>
      <c r="H9803" t="inlineStr"/>
    </row>
    <row r="9804">
      <c r="A9804" t="inlineStr">
        <is>
          <t>h9pm1d</t>
        </is>
      </c>
      <c r="B9804" t="inlineStr">
        <is>
          <t>How to communicate with S/O who could be facing relapse of cancer</t>
        </is>
      </c>
      <c r="C9804" t="inlineStr">
        <is>
          <t xml:space="preserve"> My GF just got done with six months of chemo, a two weeks ago she had  her visit to see how she responded to medication.  She was put into  partial remission. Fast forward a couple weeks, she made an emergency  visit to the doctors office.  She is currently waiting on the results.   She already was dealing with self esteem issues from this and feeling  like the world was against her through all this.  Now, she has basically  isolated herself from everyone, the thought that the cancer could have  come back she says has left her numb. I worry about her and falling into  deeper depression, she already works with a therapist through all this,  but some days it doesn't seem to do any from my perspective.  I've told  her I'm there for her whenever she needs me and I am always thinking of  her, but again she's isolating herself, prepping for the worse and  hoping for the best.  What can I do?</t>
        </is>
      </c>
      <c r="D9804" t="n">
        <v>1</v>
      </c>
      <c r="E9804" t="n">
        <v>0</v>
      </c>
      <c r="F9804">
        <f>HYPERLINK("https://www.reddit.com/r/cancer/comments/h9pm1d/how_to_communicate_with_so_who_could_be_facing/")</f>
        <v/>
      </c>
      <c r="G9804" t="inlineStr">
        <is>
          <t>2020-06-15 14:45:33</t>
        </is>
      </c>
      <c r="H9804" t="inlineStr"/>
    </row>
    <row r="9805">
      <c r="A9805" t="inlineStr">
        <is>
          <t>h9q79j</t>
        </is>
      </c>
      <c r="B9805" t="inlineStr">
        <is>
          <t>I’m dying and I don’t want to</t>
        </is>
      </c>
      <c r="C9805" t="inlineStr">
        <is>
          <t>When I was first diagnosed with brain cancer I was 10
Now it’s really getting to me 
I’m going to die 
I have weight loss 
I always feel exhausted 
And I can’t think straight most of the time
I love my family so much
They are in tears especially my dad
I’ve had it so long now 
But the doctor said it’s not looking good and there’s a high chance I could lose to cancer 
My dad has mentioned to me thinking about suicidal thoughts he can’t bear the thought of me dying
We need to find a cure 
We can’t all lose to cancer 
I’ve had it for so long now and it’s time for the final exit
I love my family
I can’t believe it
I post this for good luck 
Wish me well</t>
        </is>
      </c>
      <c r="D9805" t="n">
        <v>1</v>
      </c>
      <c r="E9805" t="n">
        <v>6</v>
      </c>
      <c r="F9805">
        <f>HYPERLINK("https://www.reddit.com/r/cancer/comments/h9q79j/im_dying_and_i_dont_want_to/")</f>
        <v/>
      </c>
      <c r="G9805" t="inlineStr">
        <is>
          <t>2020-06-15 15:18:01</t>
        </is>
      </c>
      <c r="H9805" t="inlineStr"/>
    </row>
    <row r="9806">
      <c r="A9806" t="inlineStr">
        <is>
          <t>h9qd9a</t>
        </is>
      </c>
      <c r="B9806" t="inlineStr">
        <is>
          <t>My MIL has esophagus, stomach, and anal cancer. What does that mean for her?</t>
        </is>
      </c>
      <c r="C9806" t="inlineStr">
        <is>
          <t>I’m sorry if this isn’t the right place to ask this. I’m just not sure where else to go. My MIL has been diagnosed with esophagus, stomach, and anal cancer. She is very private and won’t share any other details such as stages, prognosis, treatment, etc. because she doesn’t want to stress us out. However, not knowing makes me worry so much more. I’m wondering if anybody might be able to explain to me what this really means for her. I researched each type of cancer separately, but I couldn’t find anything about how having the three types at the same time changes things.</t>
        </is>
      </c>
      <c r="D9806" t="n">
        <v>1</v>
      </c>
      <c r="E9806" t="n">
        <v>1</v>
      </c>
      <c r="F9806">
        <f>HYPERLINK("https://www.reddit.com/r/cancer/comments/h9qd9a/my_mil_has_esophagus_stomach_and_anal_cancer_what/")</f>
        <v/>
      </c>
      <c r="G9806" t="inlineStr">
        <is>
          <t>2020-06-15 15:27:13</t>
        </is>
      </c>
      <c r="H9806" t="inlineStr"/>
    </row>
    <row r="9807">
      <c r="A9807" t="inlineStr">
        <is>
          <t>h9s74s</t>
        </is>
      </c>
      <c r="B9807" t="inlineStr">
        <is>
          <t>A kidney growth and a lung nodule. Some questions.</t>
        </is>
      </c>
      <c r="C9807" t="inlineStr">
        <is>
          <t>Hi all - just a few general questions I’m hoping some can share their experience with.
I’m currently awaiting results from a contrast MRI that was ordered after discovering my lung nodule had grown another 2cm (6cm total growth over 18 months, it is now 10cm). My doctor also discovered a new 2.5cm growth on my kidney. The kidney growth was not present/viewable on my last lung scan, which was 6 months ago.
My questions are:
-Could the two growths could be related? I’ve read kidney cancer can spread to the lung, but the lung nodule was there first.
-Would these growths be considered slow or fast growing? It’s hard for me to discern. The lung nodule has grown 2cm every six months, and the kidney growth has grown 2.5cm in six months. 
-How often are kidney growths benign? We know it’s not a cyst. I have no family history or symptoms, but from what I am reading, it’s more common for them to be malignant. 
-Generally speaking, what are the potential next steps if it’s determined one or both of these spots are suspect? A biopsy? I’m not sure if a contrast MRI can determine if it’s benign or not. Straight to surgery if that’s an option? 
Just looking for anyone’s experience for some insight. I’m fortunate that this is uncharted territory for me, but as someone with crippling anxiety, the waiting game is brutal. Thanks all!!</t>
        </is>
      </c>
      <c r="D9807" t="n">
        <v>1</v>
      </c>
      <c r="E9807" t="n">
        <v>0</v>
      </c>
      <c r="F9807">
        <f>HYPERLINK("https://www.reddit.com/r/cancer/comments/h9s74s/a_kidney_growth_and_a_lung_nodule_some_questions/")</f>
        <v/>
      </c>
      <c r="G9807" t="inlineStr">
        <is>
          <t>2020-06-15 17:06:24</t>
        </is>
      </c>
      <c r="H9807" t="inlineStr"/>
    </row>
    <row r="9808">
      <c r="A9808" t="inlineStr">
        <is>
          <t>h9v2yp</t>
        </is>
      </c>
      <c r="B9808" t="inlineStr">
        <is>
          <t>Unfriendly doctors</t>
        </is>
      </c>
      <c r="C9808" t="inlineStr">
        <is>
          <t>I have 42 f breast cancer and my weekly chemo ends in September. Single,no children.  Ive gotten lost in the rabbit hole of the internet. Now I'm scared the medical team will take photos of my body when I go for surgery or they will laugh at how unattractive I am. What can I do? How can I ease my fears? Do medical staff really laugh at patients under anesthesia? How can I prevent negative energy?</t>
        </is>
      </c>
      <c r="D9808" t="n">
        <v>1</v>
      </c>
      <c r="E9808" t="n">
        <v>8</v>
      </c>
      <c r="F9808">
        <f>HYPERLINK("https://www.reddit.com/r/cancer/comments/h9v2yp/unfriendly_doctors/")</f>
        <v/>
      </c>
      <c r="G9808" t="inlineStr">
        <is>
          <t>2020-06-15 19:54:56</t>
        </is>
      </c>
      <c r="H9808" t="inlineStr"/>
    </row>
    <row r="9809">
      <c r="A9809" t="inlineStr">
        <is>
          <t>ha0315</t>
        </is>
      </c>
      <c r="B9809" t="inlineStr">
        <is>
          <t>Halfway there</t>
        </is>
      </c>
      <c r="C9809" t="inlineStr">
        <is>
          <t>I'm currently finished 3/6 chemo sessions and I feel so much better as the chemo goes on. My last session is going to be on August 18 and hopefully it's going to be the day that I can say I'm cancer free. Thank you to everyone of you for sharing your stories and experiences. It helps me to be strong in fighting my battle. Much love &amp;lt;3</t>
        </is>
      </c>
      <c r="D9809" t="n">
        <v>1</v>
      </c>
      <c r="E9809" t="n">
        <v>6</v>
      </c>
      <c r="F9809">
        <f>HYPERLINK("https://www.reddit.com/r/cancer/comments/ha0315/halfway_there/")</f>
        <v/>
      </c>
      <c r="G9809" t="inlineStr">
        <is>
          <t>2020-06-16 01:43:15</t>
        </is>
      </c>
      <c r="H9809" t="inlineStr"/>
    </row>
    <row r="9810">
      <c r="A9810" t="inlineStr">
        <is>
          <t>ha078q</t>
        </is>
      </c>
      <c r="B9810" t="inlineStr">
        <is>
          <t>Hey you beautiful people...</t>
        </is>
      </c>
      <c r="C9810" t="inlineStr">
        <is>
          <t>My sister has lost her hair and is having a hard time with it so me being her older brother decided I would shave my head so we can do this together.  After 3 years of growing my hair I have enough to donate to a non profit organization for wigs and was hoping my fellow redditors might have some places that they would suggest.</t>
        </is>
      </c>
      <c r="D9810" t="n">
        <v>1</v>
      </c>
      <c r="E9810" t="n">
        <v>3</v>
      </c>
      <c r="F9810">
        <f>HYPERLINK("https://www.reddit.com/r/cancer/comments/ha078q/hey_you_beautiful_people/")</f>
        <v/>
      </c>
      <c r="G9810" t="inlineStr">
        <is>
          <t>2020-06-16 01:52:46</t>
        </is>
      </c>
      <c r="H9810" t="inlineStr"/>
    </row>
    <row r="9811">
      <c r="A9811" t="inlineStr">
        <is>
          <t>ha0eno</t>
        </is>
      </c>
      <c r="B9811" t="inlineStr">
        <is>
          <t>is this mole cancerous? it’s on my back about as big as my fingertip i’m really worried please respond</t>
        </is>
      </c>
      <c r="C9811" t="inlineStr">
        <is>
          <t>&amp;amp;#x200B;
https://preview.redd.it/w1xsm9akn8551.png?width=640&amp;amp;format=png&amp;amp;auto=webp&amp;amp;s=efd7438fb83f94fad0773d89249c6f7f44511086</t>
        </is>
      </c>
      <c r="D9811" t="n">
        <v>1</v>
      </c>
      <c r="E9811" t="n">
        <v>0</v>
      </c>
      <c r="F9811">
        <f>HYPERLINK("https://www.reddit.com/r/cancer/comments/ha0eno/is_this_mole_cancerous_its_on_my_back_about_as/")</f>
        <v/>
      </c>
      <c r="G9811" t="inlineStr">
        <is>
          <t>2020-06-16 02:09:14</t>
        </is>
      </c>
      <c r="H9811" t="inlineStr"/>
    </row>
    <row r="9812">
      <c r="A9812" t="inlineStr">
        <is>
          <t>ha0ie3</t>
        </is>
      </c>
      <c r="B9812" t="inlineStr">
        <is>
          <t>olaparib - mom just got prescribed this.</t>
        </is>
      </c>
      <c r="C9812" t="inlineStr">
        <is>
          <t>Any ideas where to get this at an affordable cost? Doctor said it will cost in the ballpark of USD6,500 a month.</t>
        </is>
      </c>
      <c r="D9812" t="n">
        <v>1</v>
      </c>
      <c r="E9812" t="n">
        <v>17</v>
      </c>
      <c r="F9812">
        <f>HYPERLINK("https://www.reddit.com/r/cancer/comments/ha0ie3/olaparib_mom_just_got_prescribed_this/")</f>
        <v/>
      </c>
      <c r="G9812" t="inlineStr">
        <is>
          <t>2020-06-16 02:17:27</t>
        </is>
      </c>
      <c r="H9812" t="inlineStr"/>
    </row>
    <row r="9813">
      <c r="A9813" t="inlineStr">
        <is>
          <t>ha50ld</t>
        </is>
      </c>
      <c r="B9813" t="inlineStr">
        <is>
          <t>My mom is hyperventilating ( 40+ breaths per minute) due to brain metastasis. Can something be done ??</t>
        </is>
      </c>
      <c r="C9813" t="inlineStr">
        <is>
          <t>Should i post it somewhere else ??</t>
        </is>
      </c>
      <c r="D9813" t="n">
        <v>2</v>
      </c>
      <c r="E9813" t="n">
        <v>9</v>
      </c>
      <c r="F9813">
        <f>HYPERLINK("https://www.reddit.com/r/cancer/comments/ha50ld/my_mom_is_hyperventilating_40_breaths_per_minute/")</f>
        <v/>
      </c>
      <c r="G9813" t="inlineStr">
        <is>
          <t>2020-06-16 07:26:30</t>
        </is>
      </c>
      <c r="H9813" t="inlineStr"/>
    </row>
    <row r="9814">
      <c r="A9814" t="inlineStr">
        <is>
          <t>ha5a7y</t>
        </is>
      </c>
      <c r="B9814" t="inlineStr">
        <is>
          <t>Cancer sucks!!!</t>
        </is>
      </c>
      <c r="C9814" t="inlineStr">
        <is>
          <t>My mum just past away after battling cancer for almost 2 years.....Me and my dad gonna miss her  delicious cooking tremendously ....</t>
        </is>
      </c>
      <c r="D9814" t="n">
        <v>2</v>
      </c>
      <c r="E9814" t="n">
        <v>3</v>
      </c>
      <c r="F9814">
        <f>HYPERLINK("https://www.reddit.com/r/cancer/comments/ha5a7y/cancer_sucks/")</f>
        <v/>
      </c>
      <c r="G9814" t="inlineStr">
        <is>
          <t>2020-06-16 07:41:17</t>
        </is>
      </c>
      <c r="H9814" t="inlineStr"/>
    </row>
    <row r="9815">
      <c r="A9815" t="inlineStr">
        <is>
          <t>ha6htr</t>
        </is>
      </c>
      <c r="B9815" t="inlineStr">
        <is>
          <t>Father diagnosed with esophageal cancer</t>
        </is>
      </c>
      <c r="C9815" t="inlineStr">
        <is>
          <t>hello everybody! I'm not sure if this is the correct place to post, so please refer to elsewhere if need be. 
My father just got diagnosed with esophageal cancer this past week. He has been having issues swallowing/eating &amp;amp; with what he thought was heartburn since about March. Since then, he has lost about 50-60 lbs. 
He has a PET scan scheduled for this coming Monday to see what stage the cancer is, but the doctors already told him that he will definitely have to have surgery to remove the tumor, as well as radiation &amp;amp; chemotherapy. He has another appointment on Thursday with his doctors to discuss the treatment plan once they get all the results from the PET scan.
My dad has always been a strong dude, he's been in construction since his early 20's, fiercely independent and a very hard worker. I know that he is going to be very stir crazy if he can't work at all. My mom told me he's putting his best face forward, but she thinks he may be starting to get depressed about the diagnosis, understandably.
Luckily, my boss is very understanding and told me to do whatever I need to do in order to help my family out, so I plan on helping my mom take dad to appointments, etc. Depending on the diagnosis, I plan on taking some time off to spend with him as well.
How can I be there for my dad in other ways? I'm very close with my parents, so of course I plan on visiting whenever I can, etc. I just am not sure what else I can do to help &amp;amp; be supportive. I've never been through anything like this with my family, so we're all at sort of a loss. 
Any advice or suggestions help. I also sort of wanted to put him a "care basket" together for fathers day. Any suggestions on what I can put in this basket?</t>
        </is>
      </c>
      <c r="D9815" t="n">
        <v>1</v>
      </c>
      <c r="E9815" t="n">
        <v>14</v>
      </c>
      <c r="F9815">
        <f>HYPERLINK("https://www.reddit.com/r/cancer/comments/ha6htr/father_diagnosed_with_esophageal_cancer/")</f>
        <v/>
      </c>
      <c r="G9815" t="inlineStr">
        <is>
          <t>2020-06-16 08:45:48</t>
        </is>
      </c>
      <c r="H9815" t="inlineStr"/>
    </row>
    <row r="9816">
      <c r="A9816" t="inlineStr">
        <is>
          <t>ha86h4</t>
        </is>
      </c>
      <c r="B9816" t="inlineStr">
        <is>
          <t>Dad given 2 months to live</t>
        </is>
      </c>
      <c r="C9816" t="inlineStr">
        <is>
          <t>This is long and rambly, apologies in advance.
I've found out today that my dad has an estimated 2 months to live.
My dad has been fighting prostate cancer for around 10 months now, and had finished his chemo rounds a couple of months back. All had seemed to be progressing fine, and the latest tests and scans showed that the cancer had shrunk slightly. 
We'd hoped that his hormone meds could keep a lid on it, at least for a while, but his health deteriorated quite rapidly over the weekend and after taking him to hospital we've found out that a large tumor has developed on his liver very quickly. My mum, sister and I are now trying to process this news and figure out how best to spend what could be our last weeks with him.
The thing is, it's not the prospect of death itself which is hitting hardest. Everyone has their time, even if it's far, far sooner in this case than we wanted. The real thing that makes me upset and angry is the fact that my dad will be dying with many of his plans and dreams unfulfilled.
Dad spent decades working 13 days out of every 14, with terrible shift patterns, at a job he disliked, to make sure my sister and I had a comfortable upbringing. He spent all that time putting his own happiness and wellbeing second, for us.
He has just reached retirement age and had started making plans to visit places - New York, Petra - and do things he'd been wanting to do for years. He was ready to finally take the time for himself that he deserves. But now it's all been snatched away. He's a selfless, kind hearted man and he does not deserve any of this.
I hate that he will die disappointed. I can't help but think that this is a bad way for his life to end. And I don't know how to make it better.
TL:DR: Dad being snatched from us far too soon, none of his dreams fulfilled, the universe is a cold and unfeeling place.</t>
        </is>
      </c>
      <c r="D9816" t="n">
        <v>1</v>
      </c>
      <c r="E9816" t="n">
        <v>11</v>
      </c>
      <c r="F9816">
        <f>HYPERLINK("https://www.reddit.com/r/cancer/comments/ha86h4/dad_given_2_months_to_live/")</f>
        <v/>
      </c>
      <c r="G9816" t="inlineStr">
        <is>
          <t>2020-06-16 10:13:10</t>
        </is>
      </c>
      <c r="H9816" t="inlineStr"/>
    </row>
    <row r="9817">
      <c r="A9817" t="inlineStr">
        <is>
          <t>haamig</t>
        </is>
      </c>
      <c r="B9817" t="inlineStr">
        <is>
          <t>Activity tracker and chemo</t>
        </is>
      </c>
      <c r="C9817" t="inlineStr">
        <is>
          <t>So I just had my first chemo about one and a half weeks  ago and noticed my activity tracker data is a bit ”strange”.
For the first six days it showed the best recovery and rest I have had in the two years I have had it but after I started to feel more ”normal” and actually rested the stress levels jumped up and stayed high even during sleep. Today I noticed that the data has finally gone back to normal and I feel pretty much like I felt before chemo.
So just out of curiosity have others had experiences with chemo and trackers?</t>
        </is>
      </c>
      <c r="D9817" t="n">
        <v>4</v>
      </c>
      <c r="E9817" t="n">
        <v>3</v>
      </c>
      <c r="F9817">
        <f>HYPERLINK("https://www.reddit.com/r/cancer/comments/haamig/activity_tracker_and_chemo/")</f>
        <v/>
      </c>
      <c r="G9817" t="inlineStr">
        <is>
          <t>2020-06-16 12:16:50</t>
        </is>
      </c>
      <c r="H9817" t="inlineStr"/>
    </row>
    <row r="9818">
      <c r="A9818" t="inlineStr">
        <is>
          <t>hac4s1</t>
        </is>
      </c>
      <c r="B9818" t="inlineStr">
        <is>
          <t>Cancer blog part 2/3</t>
        </is>
      </c>
      <c r="C9818" t="inlineStr">
        <is>
          <t>I discuss my treatments in this video for what I went through with Hodgkin's lymphoma (chemo and radiation)
https://youtu.be/24YgdZGqDMc</t>
        </is>
      </c>
      <c r="D9818" t="n">
        <v>1</v>
      </c>
      <c r="E9818" t="n">
        <v>0</v>
      </c>
      <c r="F9818">
        <f>HYPERLINK("https://www.reddit.com/r/cancer/comments/hac4s1/cancer_blog_part_23/")</f>
        <v/>
      </c>
      <c r="G9818" t="inlineStr">
        <is>
          <t>2020-06-16 13:33:56</t>
        </is>
      </c>
      <c r="H9818" t="inlineStr"/>
    </row>
    <row r="9819">
      <c r="A9819" t="inlineStr">
        <is>
          <t>haccbe</t>
        </is>
      </c>
      <c r="B9819" t="inlineStr">
        <is>
          <t>Optune device did not work for my son</t>
        </is>
      </c>
      <c r="C9819" t="inlineStr">
        <is>
          <t>We found out a week ago and exited the pediatric clinical trial. It was the only potential long-term solution that we had... I just wish I could absorb all his pain, my husband's pain, and my daughter's pain. I know I can handle pain but watching them hurt makes it much more difficult.
I know I am preaching to the choir when I say cancer sucks, but it is seriously the most suckiest thing ever :(</t>
        </is>
      </c>
      <c r="D9819" t="n">
        <v>3</v>
      </c>
      <c r="E9819" t="n">
        <v>6</v>
      </c>
      <c r="F9819">
        <f>HYPERLINK("https://www.reddit.com/r/cancer/comments/haccbe/optune_device_did_not_work_for_my_son/")</f>
        <v/>
      </c>
      <c r="G9819" t="inlineStr">
        <is>
          <t>2020-06-16 13:45:02</t>
        </is>
      </c>
      <c r="H9819" t="inlineStr"/>
    </row>
    <row r="9820">
      <c r="A9820" t="inlineStr">
        <is>
          <t>hadffe</t>
        </is>
      </c>
      <c r="B9820" t="inlineStr">
        <is>
          <t>Fuck life</t>
        </is>
      </c>
      <c r="C9820" t="inlineStr">
        <is>
          <t>I lost my dad 3 years ago.
Stomach cancer.
My mom cured with chemio, breast cancer. 
Now i'm worried for my gf.. . Nothing of sure but... Idk. Life suxks. 
She s only 20, i will can't resist.</t>
        </is>
      </c>
      <c r="D9820" t="n">
        <v>1</v>
      </c>
      <c r="E9820" t="n">
        <v>8</v>
      </c>
      <c r="F9820">
        <f>HYPERLINK("https://www.reddit.com/r/cancer/comments/hadffe/fuck_life/")</f>
        <v/>
      </c>
      <c r="G9820" t="inlineStr">
        <is>
          <t>2020-06-16 14:39:44</t>
        </is>
      </c>
      <c r="H9820" t="inlineStr"/>
    </row>
    <row r="9821">
      <c r="A9821" t="inlineStr">
        <is>
          <t>haiu7k</t>
        </is>
      </c>
      <c r="B9821" t="inlineStr">
        <is>
          <t>Grandma has cancer again..</t>
        </is>
      </c>
      <c r="C9821" t="inlineStr">
        <is>
          <t>My grandma just beat breast cancer about 6 months back. I was so happy she was able to overcome it, but now she has another type of cancer and the doctors told her that she wont make it much longer.. I'm absolutely devastated.. cancer sucks..... I've already lost too many people.. not ready to lose another</t>
        </is>
      </c>
      <c r="D9821" t="n">
        <v>1</v>
      </c>
      <c r="E9821" t="n">
        <v>0</v>
      </c>
      <c r="F9821">
        <f>HYPERLINK("https://www.reddit.com/r/cancer/comments/haiu7k/grandma_has_cancer_again/")</f>
        <v/>
      </c>
      <c r="G9821" t="inlineStr">
        <is>
          <t>2020-06-16 20:08:58</t>
        </is>
      </c>
      <c r="H9821" t="inlineStr"/>
    </row>
    <row r="9822">
      <c r="A9822" t="inlineStr">
        <is>
          <t>haj3qt</t>
        </is>
      </c>
      <c r="B9822" t="inlineStr">
        <is>
          <t>Having Stage 3 Cancer at 22</t>
        </is>
      </c>
      <c r="C9822" t="inlineStr">
        <is>
          <t>It wasn’t too long ago that I remember being hopeful for this new decade. I had graduated college last year, with a career job already lined up in one of the largest firms in my field. Although I hadn’t particularly enjoyed my time in college, 2020 was going to herald a much needed fresh start for me. I would’ve finally moved out around March-April 2020. Hah. 
Things have become interesting since early 2020. I’d say it started with a thought that my chosen field/ what I majored in was really not making me happy and I should finally let go of my past to finally start living.
Strike 1: [Late February to Late March] COVID caused the once parabolic stock market come to a crashing halt, and I wanted to capitalize on that to increase my then significant savings so I could comfortably move out on my own. Hell, maybe even get some of that peace and quiet I’ve been dreaming about for years.. I ended losing over 5 figures of my savings I had been saving since I started my job. Not at all once, but gradually from late March to mid April.
Strike 2: [Late April] The loss of my savings left me somewhat numb, as I hadn’t expected the Federal Reserve to literally start printing so much money that future generations will be fucked. In a way, it helped me mentally prepare for what was supposed to be a simple colonoscopy to determine the cause of blood in my stool. Cancer, the doctor would coldly state. “A tumor in your colon/rectum the size of a tennis ball.”
Strike 3: [Early June] The surgery for colorectal cancer. By all accounts, it went well, and I’m now in the healing process before I start chemo after July 4th. The surgery has fundamentally changed the way I feel. The days I spent recovering in the hospital made me feel the most isolated I’ve ever been. Which is saying something considering I’m already an introverted/ super small circle of friends kind of person already. My exact words to a friend a couple days after surgery: “It feels like I’m John Wick in that poster surround by 100 loaded guns pointed at my head. Anyone of them can take me out.”
The diagnosis: [Mid June] So it’s Stage 3 Colorectal Cancer. Only 1 of the removed lymph nodes were infected, but the “margins were close” enough to warrant chemo. Or not, apparently that’s also a choice. What makes me most angry is that I’m tied to my job for healthcare, or I’d risk the recurrence a few years down the line. But to even worry about that, I’d have to get through 2020. I’m both grateful/ disappointed that I’m still living with my parents. But living with two people who should’ve divorced long ago has been a constant state of negativity that’s been wearing on me most of my life. Despite the last 15+ years of emotional turmoil, somedays I can let go &amp;amp; feel some joy for a damn change. But most days, nowadays, I oscillate between numbness/anger/dissatisfaction for the fucking hand I’ve been dealt since the day I was born. (Because I also recently learned that my birth father is probably not the emotionally-neurotic/ verbally abusive man who raised me.)</t>
        </is>
      </c>
      <c r="D9822" t="n">
        <v>1</v>
      </c>
      <c r="E9822" t="n">
        <v>4</v>
      </c>
      <c r="F9822">
        <f>HYPERLINK("https://www.reddit.com/r/cancer/comments/haj3qt/having_stage_3_cancer_at_22/")</f>
        <v/>
      </c>
      <c r="G9822" t="inlineStr">
        <is>
          <t>2020-06-16 20:26:43</t>
        </is>
      </c>
      <c r="H9822" t="inlineStr"/>
    </row>
    <row r="9823">
      <c r="A9823" t="inlineStr">
        <is>
          <t>hajrp9</t>
        </is>
      </c>
      <c r="B9823" t="inlineStr">
        <is>
          <t>I need help.</t>
        </is>
      </c>
      <c r="C9823" t="inlineStr">
        <is>
          <t>I feel like I’m drowning. I finished 12 rounds of chemo after a four year long battle, one and a half years of being finally diagnosed. My health is failing again. I’m 23. If it is cancer, or not who knows. Everyone in my life is beautifully compassionate and I am lucky to have them. I think constantly about that. But they do not understand. Hearing updates, test results, the possibilities, and my own thoughts are extremely upsetting to my loved ones. They are all devastated, from what I’ve gone through, what I’m continuing to go through, and what likely lies in the future. They constantly come to me looking for answers and comfort. I just can’t provide that anymore. I am emotionally as broken down as a human can be. I looked in the sidebar of this sub and immediately started getting overwhelmed and emotional. There are so many wonderful resources but I feel so raw and overwhelmed looking through them all gave me a panic attack. I am see an oncologist psychiatrist who deals specifically with cancer patients and do extensive therapy twice a week. I’m doing everything I am supposed to but I am drowning. Does anyone know of resources for people between the ages of 18 to 35-ish to talk about their experiences? I understand if this post does not fit in the sub guidelines. I tried to go through the resources but just...couldn’t. I don’t know why that specifically was so mentally difficult. I’m sorry I’m rambling. Any help with a resource of younger adults who just “get it” would be...just really helpful. I feel so alone even though I’m surrounded by people I love with my whole heart.</t>
        </is>
      </c>
      <c r="D9823" t="n">
        <v>1</v>
      </c>
      <c r="E9823" t="n">
        <v>17</v>
      </c>
      <c r="F9823">
        <f>HYPERLINK("https://www.reddit.com/r/cancer/comments/hajrp9/i_need_help/")</f>
        <v/>
      </c>
      <c r="G9823" t="inlineStr">
        <is>
          <t>2020-06-16 21:10:28</t>
        </is>
      </c>
      <c r="H9823" t="inlineStr"/>
    </row>
    <row r="9824">
      <c r="A9824" t="inlineStr">
        <is>
          <t>han7fx</t>
        </is>
      </c>
      <c r="B9824" t="inlineStr">
        <is>
          <t>Are biopsy concerns allowed?</t>
        </is>
      </c>
      <c r="C9824" t="inlineStr">
        <is>
          <t>Endometrial biopsy yesterday, along with a punch biopsy FAR too close to my fun button for my liking (there are some places no woman should have stitches).
Definitely endometrial polyp, yet to be removed, more symptoms than I care to talk about right now. 
It's scary.</t>
        </is>
      </c>
      <c r="D9824" t="n">
        <v>1</v>
      </c>
      <c r="E9824" t="n">
        <v>1</v>
      </c>
      <c r="F9824">
        <f>HYPERLINK("https://www.reddit.com/r/cancer/comments/han7fx/are_biopsy_concerns_allowed/")</f>
        <v/>
      </c>
      <c r="G9824" t="inlineStr">
        <is>
          <t>2020-06-17 01:25:22</t>
        </is>
      </c>
      <c r="H9824" t="inlineStr"/>
    </row>
    <row r="9825">
      <c r="A9825" t="inlineStr">
        <is>
          <t>hanhu1</t>
        </is>
      </c>
      <c r="B9825" t="inlineStr">
        <is>
          <t>My husband was diagnosed with stage 3 cancer last year and I just need somewhere to talk.</t>
        </is>
      </c>
      <c r="C9825" t="inlineStr">
        <is>
          <t>Nearly a year ago, my 32 year old husband was diagnosed with stage 3 duodenal cancer with local lymph node metastases. It was a shock to the system for both of us - we had just returned from 18 months of 'honeymoon' (really just an excuse to travel overseas for that long) and we were forced to completely change our plans. Within two weeks of returning to our home country, we had to break our lease, quit our jobs, and move to the only city that could perform a Whipples on a weeks notice. We stayed with his brother and wife for two months while my husband recovered from the surgery before we could find our own place. We were living on savings from before we left to start travelling. He went through six months of CAPOX chemo which wrapped up in March of this year. I turned 30 while he was in chemo, and he turned 33 while hooked up to the IV. So we didn't really celebrate either of them. We were living off $500 a week in social support for six months and I couldn't find work until January this year.
Thing is, this cancer is all in a complete evidence free zone. The average age for this cancer is 60+ and the 5 year survival rate is 10%. We won't know if it has spread until it's too late. And we're both radiation therapists (the people that plan and deliver radiation therapy). So we know cancer, we have a decade of experience of treating it, working with tens of thousands of patients to help, support, and hopefully cure their cancer or relieve their pain. Duodenal adenocarcinoma is one where radiation therapy doesn't have a role. So we never dealt with it - we knew nothing about it. This made it tough. We both felt helpless, and I think my husband is still dealing with everything which is completely understandable. 
I'm not sure why I'm posting, but we don't have anyone to share it with, I have been caring for my husband (his parents have been terrible throughout the whole ordeal), and I think I'm just looking for a safe place to talk.</t>
        </is>
      </c>
      <c r="D9825" t="n">
        <v>1</v>
      </c>
      <c r="E9825" t="n">
        <v>34</v>
      </c>
      <c r="F9825">
        <f>HYPERLINK("https://www.reddit.com/r/cancer/comments/hanhu1/my_husband_was_diagnosed_with_stage_3_cancer_last/")</f>
        <v/>
      </c>
      <c r="G9825" t="inlineStr">
        <is>
          <t>2020-06-17 01:51:20</t>
        </is>
      </c>
      <c r="H9825" t="inlineStr"/>
    </row>
    <row r="9826">
      <c r="A9826" t="inlineStr">
        <is>
          <t>hanj2q</t>
        </is>
      </c>
      <c r="B9826" t="inlineStr">
        <is>
          <t>Endometrial biopsies.....</t>
        </is>
      </c>
      <c r="C9826" t="inlineStr">
        <is>
          <t>Pipelles sound so innocent, don't they? I understand this is not constructive but the pain.... "mild cramping" my a$$.</t>
        </is>
      </c>
      <c r="D9826" t="n">
        <v>1</v>
      </c>
      <c r="E9826" t="n">
        <v>0</v>
      </c>
      <c r="F9826">
        <f>HYPERLINK("https://www.reddit.com/r/cancer/comments/hanj2q/endometrial_biopsies/")</f>
        <v/>
      </c>
      <c r="G9826" t="inlineStr">
        <is>
          <t>2020-06-17 01:54:11</t>
        </is>
      </c>
      <c r="H9826" t="inlineStr"/>
    </row>
    <row r="9827">
      <c r="A9827" t="inlineStr">
        <is>
          <t>hatb48</t>
        </is>
      </c>
      <c r="B9827" t="inlineStr">
        <is>
          <t>Best products to clean a bathroom for a chemotherapy patient?</t>
        </is>
      </c>
      <c r="C9827" t="inlineStr">
        <is>
          <t>Sorry if this has been answered, I’d love a link bc my search terms don’t seem to be yielding. 
My sister and I are going to practice a cleaning routine for my mom’s bathroom tonight so she’ll know all the steps necessary and I’m wondering if the smell of bleach dilutions and various cleaners and then the essential oil diffuser like my mom normally finishes with will be too much for her when she’s feeling sick?</t>
        </is>
      </c>
      <c r="D9827" t="n">
        <v>2</v>
      </c>
      <c r="E9827" t="n">
        <v>8</v>
      </c>
      <c r="F9827">
        <f>HYPERLINK("https://www.reddit.com/r/cancer/comments/hatb48/best_products_to_clean_a_bathroom_for_a/")</f>
        <v/>
      </c>
      <c r="G9827" t="inlineStr">
        <is>
          <t>2020-06-17 08:25:31</t>
        </is>
      </c>
      <c r="H9827" t="inlineStr"/>
    </row>
    <row r="9828">
      <c r="A9828" t="inlineStr">
        <is>
          <t>hav1qd</t>
        </is>
      </c>
      <c r="B9828" t="inlineStr">
        <is>
          <t>Getting a cancer removed in two hours, what songs do you recommend?</t>
        </is>
      </c>
      <c r="C9828" t="inlineStr">
        <is>
          <t>I was diagnosed with basal cell carcinoma, I neatly fainted when doing the biopsy so I want to go prepared today.
I'll be rocking my headphones and was wondering, what should I have on my playlist?
&amp;amp;#x200B;
Thank you... And I am sorry you are here reading this, I hope you get better.</t>
        </is>
      </c>
      <c r="D9828" t="n">
        <v>2</v>
      </c>
      <c r="E9828" t="n">
        <v>17</v>
      </c>
      <c r="F9828">
        <f>HYPERLINK("https://www.reddit.com/r/cancer/comments/hav1qd/getting_a_cancer_removed_in_two_hours_what_songs/")</f>
        <v/>
      </c>
      <c r="G9828" t="inlineStr">
        <is>
          <t>2020-06-17 09:50:47</t>
        </is>
      </c>
      <c r="H9828" t="inlineStr"/>
    </row>
    <row r="9829">
      <c r="A9829" t="inlineStr">
        <is>
          <t>havk4e</t>
        </is>
      </c>
      <c r="B9829" t="inlineStr">
        <is>
          <t>Support the Stand Up To Cancer Discord</t>
        </is>
      </c>
      <c r="C9829" t="inlineStr">
        <is>
          <t>A place to collaborate with your peers, fundraise for life-saving cancer research or just catch up. Want to join the SU2C Stream Team? We’d love to have you!  We’re a Stand Up To Cancer community on a mission to help create a world with more survivors in it. One stream at a time. 
Invite link: [https://discord.gg/9aX69EA](https://discord.gg/9aX69EA)</t>
        </is>
      </c>
      <c r="D9829" t="n">
        <v>1</v>
      </c>
      <c r="E9829" t="n">
        <v>0</v>
      </c>
      <c r="F9829">
        <f>HYPERLINK("https://www.reddit.com/r/cancer/comments/havk4e/support_the_stand_up_to_cancer_discord/")</f>
        <v/>
      </c>
      <c r="G9829" t="inlineStr">
        <is>
          <t>2020-06-17 10:15:24</t>
        </is>
      </c>
      <c r="H9829" t="inlineStr"/>
    </row>
    <row r="9830">
      <c r="A9830" t="inlineStr">
        <is>
          <t>hax5yx</t>
        </is>
      </c>
      <c r="B9830" t="inlineStr">
        <is>
          <t>My 31 year old husband with cancer</t>
        </is>
      </c>
      <c r="C9830" t="inlineStr">
        <is>
          <t>My 31 year old husband informed me 3 weeks ago he has cancer. We're in a bit of a complicated situation as we were living and working in Japan until May \*due to the pandemic\*, he's Australian and returned to Australia while I returned to the U.S. (visa restrictions). He's had a persistent cough since February so I insisted he get checked upon return to Australia, and behold, a 14cm x 9cm mass in his chest in-between his heart and lung. He has fluid build up around his heart and has difficulty breathing sometimes. They rushed through getting his biopsy and scans done so he could start chemo ASAP. He has Hodgkin's Lymphoma plus an unidentified mass in his throat. They'll be testing that one over the next week or so. He started chemo two days ago, had a session on that day, had one yesterday, and will have another today. He has a few day break and another session on Tuesday of next week.
I'm stuck in the U.S. for the time being and Australia is planning on keeping it's borders closed until 2021. There is a possibility I can get a sympathy visa for being a spouse of an Australian who is going through chemo but there are other complications with work and finances, plus I'll be quarantined for 2 weeks upon arrival to Australia.Now, I've known my husband since 2006, we've been together since 2009, and married since 2016. He is the definition of my best friend and life partner, and has been a constant anchor in my life. I'm struggling coping with being away and not being there for him. He told me he woke up this morning very sick and he's been puking ever since. I broke down and I feel miserable and helpless. He has nurses to care for him right now as they won't let him leave the hospital until they know the cancer won't cause sudden heart failure due to it's location.
His doctor has said he won't be able to have kids after chemo as they're taking an aggressive route, he will probably lose his hair within the month, and he has a high risk of infection.
He's a tough guy but he's known to bury difficult feelings. I'm looking for some coping mechanisms for both him and I, and I just need someone to talk to. The hospital has offered counseling for him and he said down the road he may take it but right now it's still surreal since he found out less than a month ago and they already have him in chemo.</t>
        </is>
      </c>
      <c r="D9830" t="n">
        <v>2</v>
      </c>
      <c r="E9830" t="n">
        <v>10</v>
      </c>
      <c r="F9830">
        <f>HYPERLINK("https://www.reddit.com/r/cancer/comments/hax5yx/my_31_year_old_husband_with_cancer/")</f>
        <v/>
      </c>
      <c r="G9830" t="inlineStr">
        <is>
          <t>2020-06-17 11:33:01</t>
        </is>
      </c>
      <c r="H9830" t="inlineStr"/>
    </row>
    <row r="9831">
      <c r="A9831" t="inlineStr">
        <is>
          <t>hb152e</t>
        </is>
      </c>
      <c r="B9831" t="inlineStr">
        <is>
          <t>Starting chemo again for my returned colon cancer and I’m just dreading it.</t>
        </is>
      </c>
      <c r="C9831" t="inlineStr">
        <is>
          <t>I’m 28 and my colon cancer returned. They did surgery removed the massive mass along with both ovaries. So I’m adjusting to not being able to have children and being thrust into menopause along with this return of my cancer. And I’m just dreading chemo again. I just absolutely am nauseated thinking of the needles and getting a port and It’s making me super anxious. I’m doing Folfiri this time and have to carry a pump with me and I’m just already miserable. I’ve been so positive through everything and I feel like I’m losing my optimism. Kind words would be wonderful.</t>
        </is>
      </c>
      <c r="D9831" t="n">
        <v>1</v>
      </c>
      <c r="E9831" t="n">
        <v>23</v>
      </c>
      <c r="F9831">
        <f>HYPERLINK("https://www.reddit.com/r/cancer/comments/hb152e/starting_chemo_again_for_my_returned_colon_cancer/")</f>
        <v/>
      </c>
      <c r="G9831" t="inlineStr">
        <is>
          <t>2020-06-17 14:58:19</t>
        </is>
      </c>
      <c r="H9831" t="inlineStr"/>
    </row>
    <row r="9832">
      <c r="A9832" t="inlineStr">
        <is>
          <t>hb26ug</t>
        </is>
      </c>
      <c r="B9832" t="inlineStr">
        <is>
          <t>Disability benefits</t>
        </is>
      </c>
      <c r="C9832" t="inlineStr">
        <is>
          <t>I found out in Dec 2018 I had a tumor in my sinus. Applied for SSDI in January 2019 and received my first check in June 2019. Roadmap for treatment had me finishing in November and I finished right on time. February 2020 comes around and I go in for scans and there’s NOTHING THERE! I’m officially in remission! I’m still receiving disability benefits now but I’m curious: should I let SS know I’m in remission? My condition was considered urgent or something because of how aggressive the tumor was (rhabdomyosarcoma) so it says they won’t review for 3 years. I returned to work in Dec 2019 and would still be working now if COVID hadn’t happened. Should I call them and let them know? I don’t want to end up having to pay back everything from whenever they do the review back to I was considered in remission.
If there’s another sub this should be in let me know. Thank you!</t>
        </is>
      </c>
      <c r="D9832" t="n">
        <v>2</v>
      </c>
      <c r="E9832" t="n">
        <v>2</v>
      </c>
      <c r="F9832">
        <f>HYPERLINK("https://www.reddit.com/r/cancer/comments/hb26ug/disability_benefits/")</f>
        <v/>
      </c>
      <c r="G9832" t="inlineStr">
        <is>
          <t>2020-06-17 15:54:50</t>
        </is>
      </c>
      <c r="H9832" t="inlineStr"/>
    </row>
    <row r="9833">
      <c r="A9833" t="inlineStr">
        <is>
          <t>hb2wj2</t>
        </is>
      </c>
      <c r="B9833" t="inlineStr">
        <is>
          <t>"Went in for back pain" update</t>
        </is>
      </c>
      <c r="C9833" t="inlineStr">
        <is>
          <t>Hi all. I don't know how to link to my original posts but long story short, I went in January 2nd with back pain. CT found bulging discs and a tumor on my adrenal gland. Told to drive directly to GP.
After weeks of more imaging and getting everything signed by insurance, I was seen at MDAnderson in Houston. Open adrenalectomy on March 18th.  Spend 5 days there. Not fun at all and I'll answer any questions anyone has about the surgery, diagnosis, symptoms, anything.
Biopsy was benign but I was told I have another on the inside of my right lung. I have a consult with the lung specialist at MD on the 29th of this month. 
Getting back injections next week finally tho.
Thank you anyone who read the first one.  Thank you for your prayers(I don't believe but I'll take any strength from you) and experiences. Every single one of you here has been my family whether I commented or not. No one I personally know has gone thru anything like this and I've needed you all. So thank you. 
Benign was my answer but I can't help but take it as it was bad. I'm expecting the worst with the lung. I'm expecting this isn't close to over. I'm terrified of covid-19. 
I know I'm not making a hell of a lot of sense and I'm rambling. My head still can't wrap around coherent thoughts. I'm finally giving in to a therapist. My kids sat me down via video and told me that I'm a mess and I need to talk to support group or professional. Reddit wasn't an acceptable answer lol so here I go. 
I'll keep posting pictures of dogs and my garden and update as I go. Everything after this is gold right?</t>
        </is>
      </c>
      <c r="D9833" t="n">
        <v>1</v>
      </c>
      <c r="E9833" t="n">
        <v>3</v>
      </c>
      <c r="F9833">
        <f>HYPERLINK("https://www.reddit.com/r/cancer/comments/hb2wj2/went_in_for_back_pain_update/")</f>
        <v/>
      </c>
      <c r="G9833" t="inlineStr">
        <is>
          <t>2020-06-17 16:34:16</t>
        </is>
      </c>
      <c r="H9833" t="inlineStr"/>
    </row>
    <row r="9834">
      <c r="A9834" t="inlineStr">
        <is>
          <t>hb2z9p</t>
        </is>
      </c>
      <c r="B9834" t="inlineStr">
        <is>
          <t>What to Expect from EC Chemo</t>
        </is>
      </c>
      <c r="C9834" t="inlineStr">
        <is>
          <t>Hello,
My mum is starting EC chemotherapy a week on Tuesday for stage 2 Triple Negative Breast Cancer, currently no lymph node involvement. 
I'm really scared, but getting used to it a bit since we found out last wednesday. I'm going to be her main point of care and support throughout this process as much as I can be, though I dont live with her at the moment (I will be moving in and isolating if necerssary, due to the pandemic) but I am only a 10 minute walk up the road. She lives alone with two cats. 
I am hoping some people could share their experiences of EC and what to expect and how to prevent/treat certain side effects?
She cant cold cap because of Covid, which at the moment is upsetting me more than its upsetting her I think. She is a smoker, so we are worried about mouth sores, but her dentist has said she has a reasonably healthy mouth, apart from staining. She is going to need some dental work before her chemo begins, though. They want her to have EC, every three weeks x3, before another one that I cant remember the name of right now.
Has anyone got any experience of something similar, or caring for someone going through EC? What's the best way to look after her? What should I anticipate having to do for her and what should I look out for? 
Thankyou so much in advance!</t>
        </is>
      </c>
      <c r="D9834" t="n">
        <v>1</v>
      </c>
      <c r="E9834" t="n">
        <v>0</v>
      </c>
      <c r="F9834">
        <f>HYPERLINK("https://www.reddit.com/r/cancer/comments/hb2z9p/what_to_expect_from_ec_chemo/")</f>
        <v/>
      </c>
      <c r="G9834" t="inlineStr">
        <is>
          <t>2020-06-17 16:38:19</t>
        </is>
      </c>
      <c r="H9834" t="inlineStr"/>
    </row>
    <row r="9835">
      <c r="A9835" t="inlineStr">
        <is>
          <t>hb32l1</t>
        </is>
      </c>
      <c r="B9835" t="inlineStr">
        <is>
          <t>Trying to get affairs in order and protect my family</t>
        </is>
      </c>
      <c r="C9835" t="inlineStr">
        <is>
          <t>Hey everyone,
I have stage IV Clear Cell Renal Cell Carcinoma with Mets to Lungs and I have a serious and dismal question.  Does anyone here have any experience or knowledge of the parameters necessary to qualify for early withdrawal of a company life insurance policy?  My questions are not being answered by either the company I work for or the company the insurance policy is with.  I would appreciate any assistance.  Thank you.</t>
        </is>
      </c>
      <c r="D9835" t="n">
        <v>2</v>
      </c>
      <c r="E9835" t="n">
        <v>14</v>
      </c>
      <c r="F9835">
        <f>HYPERLINK("https://www.reddit.com/r/cancer/comments/hb32l1/trying_to_get_affairs_in_order_and_protect_my/")</f>
        <v/>
      </c>
      <c r="G9835" t="inlineStr">
        <is>
          <t>2020-06-17 16:43:29</t>
        </is>
      </c>
      <c r="H9835" t="inlineStr"/>
    </row>
    <row r="9836">
      <c r="A9836" t="inlineStr">
        <is>
          <t>hb3z8v</t>
        </is>
      </c>
      <c r="B9836" t="inlineStr">
        <is>
          <t>I need help understanding what im going through!!!?</t>
        </is>
      </c>
      <c r="C9836" t="inlineStr">
        <is>
          <t>This is my first post here,
So this started in 2015 when i was in 9th std and suddenly i wasnt able to swallow any solids,i dont remember exact time when it happened but im sure that it was in 2015,
It's been well over 5 years at this point and im tired and frustrated cause i still dont know what's causing my inability to swallow, I've been seeing a sergeon and he did endoscopy and then it looked like i have gerd and cause of that my stomach is swollen he gave me some medications when i last consulted him he said my stomach is fine now but still my inability to swallow any solids and higher or lower temperature liquids still persist,
Also ive around 11 swollen lymph nodes and my right side of the throat feels like swollen when i turn my neck around i told my doctor but he says just ignore it, i mean he didnt even checked whats going on. 
Also I've sharp pain in my throat region sometimes and it goes away when i drink water but idk whats causing it tooo
My swollen lymph nodes are like this two on the opposite side of neck, two under the jaw, 4 under the jaw, one really small one under my cheek and two behind each of the tonsils,
I had medications for infection from another doctor which didnt work, im having treatment for gerd but i dont think its getting somewhere cause my problem is still there and my right side side of the neck is still swollen i can feel it when i move my neck to the right and it driving me nuts,
Idk what to do who to talk to and how to tell this to my doctor, when i tell him all of this he just tells me ignore it, i told him ive right side of my neck swollen and i can feel it and it dosent show up to the naked eye but i can feel it and it not normal, but inspite of this he's conclusion is that my esophagus is sensitive to solid food and higher and lower temperature water that why i can't drink or swallow it.
I really dont know what to do im having this problem for 5 years and I've seen well over 3 doctors for this same issue and the outcome is always gerd but i have swollen lymph nodes and some of them hurt sometime and my problem is still there idk what to do who to talk to is it normal to have swollen lymph nodes for this gerd ???
Should i consult another doctor or should i give him some time to get things right?????
Please comment your thoughts below, i need someone to talk to about this situation
Please leave your thoughts below !</t>
        </is>
      </c>
      <c r="D9836" t="n">
        <v>1</v>
      </c>
      <c r="E9836" t="n">
        <v>6</v>
      </c>
      <c r="F9836">
        <f>HYPERLINK("https://www.reddit.com/r/cancer/comments/hb3z8v/i_need_help_understanding_what_im_going_through/")</f>
        <v/>
      </c>
      <c r="G9836" t="inlineStr">
        <is>
          <t>2020-06-17 17:35:40</t>
        </is>
      </c>
      <c r="H9836" t="inlineStr"/>
    </row>
    <row r="9837">
      <c r="A9837" t="inlineStr">
        <is>
          <t>hb4ghf</t>
        </is>
      </c>
      <c r="B9837" t="inlineStr">
        <is>
          <t>Time frame between diagnosis and treatment?</t>
        </is>
      </c>
      <c r="C9837" t="inlineStr">
        <is>
          <t>My mom was recently diagnosed with lung cancer stage 4, but the oncologist still isn't able to figure out a treatment plan. It has now been about 4 weeks now. Is it normal to wait this long? We feel so hopeless.</t>
        </is>
      </c>
      <c r="D9837" t="n">
        <v>1</v>
      </c>
      <c r="E9837" t="n">
        <v>9</v>
      </c>
      <c r="F9837">
        <f>HYPERLINK("https://www.reddit.com/r/cancer/comments/hb4ghf/time_frame_between_diagnosis_and_treatment/")</f>
        <v/>
      </c>
      <c r="G9837" t="inlineStr">
        <is>
          <t>2020-06-17 18:04:01</t>
        </is>
      </c>
      <c r="H9837" t="inlineStr"/>
    </row>
    <row r="9838">
      <c r="A9838" t="inlineStr">
        <is>
          <t>hb5sb1</t>
        </is>
      </c>
      <c r="B9838" t="inlineStr">
        <is>
          <t>Nose bleeds?</t>
        </is>
      </c>
      <c r="C9838" t="inlineStr">
        <is>
          <t>Over the last week I have gotten some PROFUSE nosebleeds. Could this be chemo related? I had my fourth round of R-CHOP last Friday. I also live in Arizona with dry air.</t>
        </is>
      </c>
      <c r="D9838" t="n">
        <v>1</v>
      </c>
      <c r="E9838" t="n">
        <v>4</v>
      </c>
      <c r="F9838">
        <f>HYPERLINK("https://www.reddit.com/r/cancer/comments/hb5sb1/nose_bleeds/")</f>
        <v/>
      </c>
      <c r="G9838" t="inlineStr">
        <is>
          <t>2020-06-17 19:24:09</t>
        </is>
      </c>
      <c r="H9838" t="inlineStr"/>
    </row>
    <row r="9839">
      <c r="A9839" t="inlineStr">
        <is>
          <t>hb6rwd</t>
        </is>
      </c>
      <c r="B9839" t="inlineStr">
        <is>
          <t>Experience with Cisplatin</t>
        </is>
      </c>
      <c r="C9839" t="inlineStr">
        <is>
          <t>Would anyone be willing to share their experience with Cisplatin?
My relative (with metastatic Head and Neck cancer) has been receiving weekly chemo infusions for over a year now, but the doctors feel it has gotten to a point where those medications aren't effective anymore. 
They suggested adding Cisplatin, but there is some serious concerns about side effects.
Would be so helpful to hear what your experience has been.
Thank you!</t>
        </is>
      </c>
      <c r="D9839" t="n">
        <v>1</v>
      </c>
      <c r="E9839" t="n">
        <v>5</v>
      </c>
      <c r="F9839">
        <f>HYPERLINK("https://www.reddit.com/r/cancer/comments/hb6rwd/experience_with_cisplatin/")</f>
        <v/>
      </c>
      <c r="G9839" t="inlineStr">
        <is>
          <t>2020-06-17 20:30:22</t>
        </is>
      </c>
      <c r="H9839" t="inlineStr"/>
    </row>
    <row r="9840">
      <c r="A9840" t="inlineStr">
        <is>
          <t>hb9cxq</t>
        </is>
      </c>
      <c r="B9840" t="inlineStr">
        <is>
          <t>Few cancer questions.</t>
        </is>
      </c>
      <c r="C9840" t="inlineStr">
        <is>
          <t>Ex tobacco user age 32 who has several lumps growing in my mouth for the last few years and am waiting for my oral cancer screening and am fucking terrified. I have scoured the internet for any info I can on oral cancer so some input from an oral cancer survivor or someone going through treatment would be welcome. 
What is the cure rate or how long can I live after being cured if I do have cancer. What's my likelyhood of being cured. I cant seem to find any info.</t>
        </is>
      </c>
      <c r="D9840" t="n">
        <v>1</v>
      </c>
      <c r="E9840" t="n">
        <v>0</v>
      </c>
      <c r="F9840">
        <f>HYPERLINK("https://www.reddit.com/r/cancer/comments/hb9cxq/few_cancer_questions/")</f>
        <v/>
      </c>
      <c r="G9840" t="inlineStr">
        <is>
          <t>2020-06-17 23:37:39</t>
        </is>
      </c>
      <c r="H9840" t="inlineStr"/>
    </row>
    <row r="9841">
      <c r="A9841" t="inlineStr">
        <is>
          <t>hbc9dn</t>
        </is>
      </c>
      <c r="B9841" t="inlineStr">
        <is>
          <t>update</t>
        </is>
      </c>
      <c r="C9841" t="inlineStr">
        <is>
          <t>found out today that the doctors aren’t going to go through with the esophasectomy or whatever you call it and they’re just going to give him radiotherapy to treat the tumour in the brain. should we start asking for other opinions around the country? has anyone tried cannabis oil for tumours? this is just so hard because i’m in my final year of high school and it’s hard balancing my studies and i feel guilty when i want to go see my friends or play a game because i’m not spending time with him so i’ve cancelled all my plans for time being.</t>
        </is>
      </c>
      <c r="D9841" t="n">
        <v>1</v>
      </c>
      <c r="E9841" t="n">
        <v>2</v>
      </c>
      <c r="F9841">
        <f>HYPERLINK("https://www.reddit.com/r/cancer/comments/hbc9dn/update/")</f>
        <v/>
      </c>
      <c r="G9841" t="inlineStr">
        <is>
          <t>2020-06-18 03:42:14</t>
        </is>
      </c>
      <c r="H9841" t="inlineStr"/>
    </row>
    <row r="9842">
      <c r="A9842" t="inlineStr">
        <is>
          <t>hbc9qz</t>
        </is>
      </c>
      <c r="B9842" t="inlineStr">
        <is>
          <t>Advice on maintaining my 4yo son's relationship with my dad (stage 4 urachal adenocarcinoma) while my dad goes through chemo?</t>
        </is>
      </c>
      <c r="C9842" t="inlineStr">
        <is>
          <t>My son and my parents are super close- he's the only grandkid and we have been living with them to save money since October.  We will be moving back out since my dad is starting chemo. I perform COVID testing as part of my job and work in a higher risk environment,  and kiddo has to be in childcare because both myself and his dad (divorced) are essential. We just don't feel like it is an ok risk to take. 
Aside from video visits, do y'all have any good ideas for ways to help them stay connected? My brain is a little fried on the topic because I'm emotional about it, and I'd appreciate any thoughts you have. Kiddo knows grandpa is sick (he had a partial cystectomy a couple weeks ago), I'm not trying to hide that. I just want them both to have something to enjoy and that won't require to much from my dad- he's scheduled for 4 cycles of 5 days in hospital (we won't be able to visit, obviously) and 16 days out.
Thanks for any suggestions!</t>
        </is>
      </c>
      <c r="D9842" t="n">
        <v>1</v>
      </c>
      <c r="E9842" t="n">
        <v>2</v>
      </c>
      <c r="F9842">
        <f>HYPERLINK("https://www.reddit.com/r/cancer/comments/hbc9qz/advice_on_maintaining_my_4yo_sons_relationship/")</f>
        <v/>
      </c>
      <c r="G9842" t="inlineStr">
        <is>
          <t>2020-06-18 03:43:01</t>
        </is>
      </c>
      <c r="H9842" t="inlineStr"/>
    </row>
    <row r="9843">
      <c r="A9843" t="inlineStr">
        <is>
          <t>hbcud7</t>
        </is>
      </c>
      <c r="B9843" t="inlineStr">
        <is>
          <t>Some good news</t>
        </is>
      </c>
      <c r="C9843" t="inlineStr">
        <is>
          <t>First scan since being diagnosed in April and starting chemo. Lung mets have improved after 2 cycles of Paclitaxel (6 doses).
So going to stick with that, happy in the knowledge some good is coming from it.
Hope y'all get some good news today/tomorrow/soon 🙏</t>
        </is>
      </c>
      <c r="D9843" t="n">
        <v>1</v>
      </c>
      <c r="E9843" t="n">
        <v>13</v>
      </c>
      <c r="F9843">
        <f>HYPERLINK("https://www.reddit.com/r/cancer/comments/hbcud7/some_good_news/")</f>
        <v/>
      </c>
      <c r="G9843" t="inlineStr">
        <is>
          <t>2020-06-18 04:28:36</t>
        </is>
      </c>
      <c r="H9843" t="inlineStr"/>
    </row>
    <row r="9844">
      <c r="A9844" t="inlineStr">
        <is>
          <t>hbf02c</t>
        </is>
      </c>
      <c r="B9844" t="inlineStr">
        <is>
          <t>Dad’s Pancreatic Cancer early signs of spread after Whipple - need honesty.</t>
        </is>
      </c>
      <c r="C9844" t="inlineStr">
        <is>
          <t>Dad’s pancreatic cancer is in his lymph nodes
During Whipple’s surgery, they managed to get the bulk of the tumour in his pancreas, though the biopsies taken showed it wasn’t contained to the pancreas, and 4/16 lymph nodes taken were cancerous. Chemotherapy is next once he’s able to withstand after recovering from the surgery.
I’m scared at how aggressive this cancer is, I’m scared this means he will have little chance of cure. I’m am remaining hopeful and positive for my dad, but I just want some realistic expectations. 
Time is precious, and I’m worried that because of him having to shield during lockdown I won’t get to spend as much time as I wish to during his recovery (for his own safety).
A lot of people have said to not focus on stages and cure, but him living with cancer. This is really hard to accept especially in current circumstances.
The difficult questions that I feel nobody can answer for me is as cancer is so uncertain/different for everyone, and I really don’t expect people to do so, though these questions are my real fears that riddle my mind night and day. Is there chance of a cure? how long does he have left with us? These eat me up inside.
I’m 25, and he’s only just turned 57. I was a daddy’s little girl growing up, though our relationship drifted a bit when my parents divorced when I was 20, until the past two years where we’ve made so much progress and it felt normal again - I got my dad back. Now, I’ve only just him back and then might lose him again. I feel so guilty for those few lost years, I need to see my dad as much as I can now as I need to make up for that lost time and I’m worried it’s running out.
I’m so grateful he has had the surgery, but if they may not have been able to get it all (due to not being contained to pancreas) and it’s reached his lymph nodes, does anyone have advice on what to expect? I need honesty.</t>
        </is>
      </c>
      <c r="D9844" t="n">
        <v>1</v>
      </c>
      <c r="E9844" t="n">
        <v>7</v>
      </c>
      <c r="F9844">
        <f>HYPERLINK("https://www.reddit.com/r/cancer/comments/hbf02c/dads_pancreatic_cancer_early_signs_of_spread/")</f>
        <v/>
      </c>
      <c r="G9844" t="inlineStr">
        <is>
          <t>2020-06-18 06:53:41</t>
        </is>
      </c>
      <c r="H9844" t="inlineStr"/>
    </row>
    <row r="9845">
      <c r="A9845" t="inlineStr">
        <is>
          <t>hbiwcv</t>
        </is>
      </c>
      <c r="B9845" t="inlineStr">
        <is>
          <t>PET scan dos and don’ts</t>
        </is>
      </c>
      <c r="C9845" t="inlineStr">
        <is>
          <t>Hello friends. I am hoping to ultimately discover there are feasible options, but in general would like to hear experiences on the dos and don’ts for setting up a PET scan. Any insight or information is helpful. I added a few questions below to get the conversation started.
- Could you share an experience that would help gain insight for a first time PET scan?
- If you have previously gone through a scan (personally or with someone) and had to do it again what would you do differently? What do you wish you would have known the first time around?
- Is there a “get what you pay for” relationship with these tests?
- Are there more affordable options to consider?
Personal situation: To make a long story short my father has to get a PET scan and has been quoted at $12,000. Insurance won’t pay and my family is struggling to grasps this financially. My father is terrible about discussing concerns with healthcare workers so he typically just bites his tongue and does what is suggested at his own expense. Half the battle is he doesn’t know what to ask. We live in the Midwest and I think we should consider more feasible options no matter the location (out of state, etc.) or organization.
Thanks for reading 🤍</t>
        </is>
      </c>
      <c r="D9845" t="n">
        <v>1</v>
      </c>
      <c r="E9845" t="n">
        <v>7</v>
      </c>
      <c r="F9845">
        <f>HYPERLINK("https://www.reddit.com/r/cancer/comments/hbiwcv/pet_scan_dos_and_donts/")</f>
        <v/>
      </c>
      <c r="G9845" t="inlineStr">
        <is>
          <t>2020-06-18 10:18:03</t>
        </is>
      </c>
      <c r="H9845" t="inlineStr"/>
    </row>
    <row r="9846">
      <c r="A9846" t="inlineStr">
        <is>
          <t>hbk18w</t>
        </is>
      </c>
      <c r="B9846" t="inlineStr">
        <is>
          <t>Would any other young adults with stage 4 want to form a text group with me?</t>
        </is>
      </c>
      <c r="C9846" t="inlineStr">
        <is>
          <t>My town isn't small, but it's small enough that the youngest cancer patients I've met are at least a decade older than I am (I'm 24). They're great, but I think facing this at this age has some unique challenges. The pandemic makes it even harder to connect with people. 
Anyone else around 20-26ish interested in forming a whatsapp group chat or something with me? I know there's a discord but... I don't know, it's not really my thing.</t>
        </is>
      </c>
      <c r="D9846" t="n">
        <v>1</v>
      </c>
      <c r="E9846" t="n">
        <v>10</v>
      </c>
      <c r="F9846">
        <f>HYPERLINK("https://www.reddit.com/r/cancer/comments/hbk18w/would_any_other_young_adults_with_stage_4_want_to/")</f>
        <v/>
      </c>
      <c r="G9846" t="inlineStr">
        <is>
          <t>2020-06-18 11:20:21</t>
        </is>
      </c>
      <c r="H9846" t="inlineStr"/>
    </row>
    <row r="9847">
      <c r="A9847" t="inlineStr">
        <is>
          <t>hbkgpg</t>
        </is>
      </c>
      <c r="B9847" t="inlineStr">
        <is>
          <t>Just found out my mum has brain cancer</t>
        </is>
      </c>
      <c r="C9847" t="inlineStr">
        <is>
          <t>Mum was rushed into hospital for a stroke,  but after they did some tests,  it's found out she's dying of brain cancer. S mum won't survive and only got a free weeks left to live. 
I'm not actually sure how or what to think tbh, or what to feel.</t>
        </is>
      </c>
      <c r="D9847" t="n">
        <v>1</v>
      </c>
      <c r="E9847" t="n">
        <v>2</v>
      </c>
      <c r="F9847">
        <f>HYPERLINK("https://www.reddit.com/r/cancer/comments/hbkgpg/just_found_out_my_mum_has_brain_cancer/")</f>
        <v/>
      </c>
      <c r="G9847" t="inlineStr">
        <is>
          <t>2020-06-18 11:50:50</t>
        </is>
      </c>
      <c r="H9847" t="inlineStr"/>
    </row>
    <row r="9848">
      <c r="A9848" t="inlineStr">
        <is>
          <t>hblwsf</t>
        </is>
      </c>
      <c r="B9848" t="inlineStr">
        <is>
          <t>Genetics</t>
        </is>
      </c>
      <c r="C9848" t="inlineStr">
        <is>
          <t>Hello. Sorry If this question is inappropriate. I just want to know your opinion. If I have/had 4 relatives (not parents yet) with different types of cancer who got the disease after their 50s does it mean that I have a high risk of getting cancer too?</t>
        </is>
      </c>
      <c r="D9848" t="n">
        <v>1</v>
      </c>
      <c r="E9848" t="n">
        <v>3</v>
      </c>
      <c r="F9848">
        <f>HYPERLINK("https://www.reddit.com/r/cancer/comments/hblwsf/genetics/")</f>
        <v/>
      </c>
      <c r="G9848" t="inlineStr">
        <is>
          <t>2020-06-18 13:06:14</t>
        </is>
      </c>
      <c r="H9848" t="inlineStr"/>
    </row>
    <row r="9849">
      <c r="A9849" t="inlineStr">
        <is>
          <t>hbmv8h</t>
        </is>
      </c>
      <c r="B9849" t="inlineStr">
        <is>
          <t>Dad diagnosed with Stage 4 Adenocarcinoma of the lung. I could use a little support and have a few questions.</t>
        </is>
      </c>
      <c r="C9849" t="inlineStr">
        <is>
          <t>My father is 83 years old and was diagnosed in April with Stage 4 non small cell adenocarcinoma of the lung.  He is (was) an extremely fit and youthful 83 year old.  He is an avid golfer who has competed and won the gold medal in the US Senior Games.  It’s crazy how much a few months can change things!
He received his first round of chemo on 21 May 20.  On 5 June 20 he had a second biopsy (did not get enough cells the first time to do all of the testing) and a plueradesis (he has a malignant pleural effusion).  All of this has really taken a toll on him and it is crazy how much he’s declined in just three weeks when I saw him last.  He is visibly thinner and very pale.  He is incredibly fatigued and has very little appetite. (Blood levels were ok ... I was hoping he was just anemic)
His PDL1 level came back at 3% and they are planning on adding Keytruda to his next chemo on 25 June 20 (Carboplatin + Alimta).  I am so worried that he won’t be able to tolerate this.  The oncologist is already delaying his chemo by a week to allow him to eat more and up his activity.   She told him if he doesn’t, he cannot get chemo.  This scared the crap out of him and he is forcing himself to eat, do his exercises and go for short walks.  It takes everything he has to do those things and I can tell that it is very difficult for him.  He is a retired military pilot so he has that Type A personality and he guts it out.
I’m just not sure he should be going through with more chemo.  Now they are adding Keytruda and it has a lot of immune side effects.  It seems like his immune system is already in overdrive fighting the cancer ... he’s been having horrible sweats and intermittent fevers/chills since this all began.  
They oncologist briefly spoke about hospice and he shot her down in seconds flat.  He is 100% determined to get the chemo and he is completely competent so there is nothing I can do.  I am very scared for his future.  
So, my long winded post is to see if there is anyone out there who has gone through a similar experience.  Were you or your loved one not looking great but then the chemo “kicked in” and you/they started to improve?  Or, conversely, did you/ your loved one get more chemo after not looking great and declined further?
I am a medical professional who has worked oncology and hospice so I feel like maybe I am feeding my dad to the wolves.  It’s really hard.  Any advice/thoughts/reassurance anyone could give would be really appreciated :-)</t>
        </is>
      </c>
      <c r="D9849" t="n">
        <v>1</v>
      </c>
      <c r="E9849" t="n">
        <v>13</v>
      </c>
      <c r="F9849">
        <f>HYPERLINK("https://www.reddit.com/r/cancer/comments/hbmv8h/dad_diagnosed_with_stage_4_adenocarcinoma_of_the/")</f>
        <v/>
      </c>
      <c r="G9849" t="inlineStr">
        <is>
          <t>2020-06-18 13:57:53</t>
        </is>
      </c>
      <c r="H9849" t="inlineStr"/>
    </row>
    <row r="9850">
      <c r="A9850" t="inlineStr">
        <is>
          <t>hbocgk</t>
        </is>
      </c>
      <c r="B9850" t="inlineStr">
        <is>
          <t>Dad was diagnosed with cancer in his liver and pancreas</t>
        </is>
      </c>
      <c r="C9850" t="inlineStr">
        <is>
          <t>Forgive me if I have said it wrong about his diagnosis but that’s all I really know for right now. It was confirmed on Tuesday and today he had his biopsy so we’re waiting results on the exact diagnosis. My dad is only 58.
I love my dad beyond what words can form, he is my best friend and he is the only person I can rely on 100%. My (22f) parents separated years ago, but only 4 years ago did my dad move out of our family home and it’s still as tough now as it was then, and we barely get to see him. I can’t help but think of my younger brother who is only 10 years old. My brother is absolutely crazy over my dad too, he thinks the absolute world of him and to get news like this is just cruel. My brother has mild ADHD as well so I can’t begin to imagine how this will run through his mind. We haven’t told my brother yet because my dad wants to be able to tell him properly and not over the phone, he could barely tell me.
The whole situation doesn’t feel real. Any advice is welcomed.</t>
        </is>
      </c>
      <c r="D9850" t="n">
        <v>1</v>
      </c>
      <c r="E9850" t="n">
        <v>3</v>
      </c>
      <c r="F9850">
        <f>HYPERLINK("https://www.reddit.com/r/cancer/comments/hbocgk/dad_was_diagnosed_with_cancer_in_his_liver_and/")</f>
        <v/>
      </c>
      <c r="G9850" t="inlineStr">
        <is>
          <t>2020-06-18 15:20:07</t>
        </is>
      </c>
      <c r="H9850" t="inlineStr"/>
    </row>
    <row r="9851">
      <c r="A9851" t="inlineStr">
        <is>
          <t>hbp0kw</t>
        </is>
      </c>
      <c r="B9851" t="inlineStr">
        <is>
          <t>My mom's cancer is back again and I can't cope</t>
        </is>
      </c>
      <c r="C9851" t="inlineStr">
        <is>
          <t>Hey guys, my mom was first diagnosed with breast cancer last year ago and it was one of my worst year I  was depressed and I started smoking heavily, my relationship with my dad and siblings was just getting worse but things got better and my mom was finally cancer free in 2019. I received the news today that my mom got  cancer in her spine and it's stage 4. Deep down I know this will be probably my last year's with her and I really can't process this. Please guys I need your help to cope with this I really don't wanna go down in that dark place again</t>
        </is>
      </c>
      <c r="D9851" t="n">
        <v>1</v>
      </c>
      <c r="E9851" t="n">
        <v>4</v>
      </c>
      <c r="F9851">
        <f>HYPERLINK("https://www.reddit.com/r/cancer/comments/hbp0kw/my_moms_cancer_is_back_again_and_i_cant_cope/")</f>
        <v/>
      </c>
      <c r="G9851" t="inlineStr">
        <is>
          <t>2020-06-18 16:00:04</t>
        </is>
      </c>
      <c r="H9851" t="inlineStr"/>
    </row>
    <row r="9852">
      <c r="A9852" t="inlineStr">
        <is>
          <t>hbqaa2</t>
        </is>
      </c>
      <c r="B9852" t="inlineStr">
        <is>
          <t>First Haircut in 2 years</t>
        </is>
      </c>
      <c r="C9852" t="inlineStr">
        <is>
          <t>I know it's not much, but after chemo, surgery, radiotherapy &amp;amp; more chemo my hair was finally long enough to require a cut.
I started losing my hair weeks into chemo and ended up getting a buzz cut to make it manageable. When it finally started growing back, the left side grew back all at once while the right side and back get back in patches, slowly filling in, though the top is still very thin; this resulted in my hair being multiple lengths.
I considered getting another buzz cut a few months back but then Covid...I wasn't going to put myself at risk for a haircut when let's face it I wasn't going anywhere anyways.
I finally got it cut this week as I had a job interview - next milestone will be returning to work in a couple of weeks can't wait as I was unemployed before my diagnosis so it's been a while.</t>
        </is>
      </c>
      <c r="D9852" t="n">
        <v>1</v>
      </c>
      <c r="E9852" t="n">
        <v>9</v>
      </c>
      <c r="F9852">
        <f>HYPERLINK("https://www.reddit.com/r/cancer/comments/hbqaa2/first_haircut_in_2_years/")</f>
        <v/>
      </c>
      <c r="G9852" t="inlineStr">
        <is>
          <t>2020-06-18 17:16:14</t>
        </is>
      </c>
      <c r="H9852" t="inlineStr"/>
    </row>
    <row r="9853">
      <c r="A9853" t="inlineStr">
        <is>
          <t>hbsitw</t>
        </is>
      </c>
      <c r="B9853" t="inlineStr">
        <is>
          <t>My dad is getting way to skinny</t>
        </is>
      </c>
      <c r="C9853" t="inlineStr">
        <is>
          <t>Hey guys, 
My dad has been diagnosed with cancer for 14 years now. 
Just starting last year we had a scare with him because he had an infection where the cancer was. Ever since then, he has been losing weight. I'm really scared for him. Is there anything that you guys will recommend to help him gain some weight back?</t>
        </is>
      </c>
      <c r="D9853" t="n">
        <v>1</v>
      </c>
      <c r="E9853" t="n">
        <v>7</v>
      </c>
      <c r="F9853">
        <f>HYPERLINK("https://www.reddit.com/r/cancer/comments/hbsitw/my_dad_is_getting_way_to_skinny/")</f>
        <v/>
      </c>
      <c r="G9853" t="inlineStr">
        <is>
          <t>2020-06-18 19:40:56</t>
        </is>
      </c>
      <c r="H9853" t="inlineStr"/>
    </row>
    <row r="9854">
      <c r="A9854" t="inlineStr">
        <is>
          <t>hbt5jt</t>
        </is>
      </c>
      <c r="B9854" t="inlineStr">
        <is>
          <t>Gift for my SIL</t>
        </is>
      </c>
      <c r="C9854" t="inlineStr">
        <is>
          <t>My SIL was diagnosed with bladder cancer today and will be having surgery later this month. I want to get her something for after the surgery. Any suggestions on what would be a good gift for someone after surgery?</t>
        </is>
      </c>
      <c r="D9854" t="n">
        <v>1</v>
      </c>
      <c r="E9854" t="n">
        <v>1</v>
      </c>
      <c r="F9854">
        <f>HYPERLINK("https://www.reddit.com/r/cancer/comments/hbt5jt/gift_for_my_sil/")</f>
        <v/>
      </c>
      <c r="G9854" t="inlineStr">
        <is>
          <t>2020-06-18 20:23:57</t>
        </is>
      </c>
      <c r="H9854" t="inlineStr"/>
    </row>
    <row r="9855">
      <c r="A9855" t="inlineStr">
        <is>
          <t>hbvaot</t>
        </is>
      </c>
      <c r="B9855" t="inlineStr">
        <is>
          <t>Hey guys honestly I need some bad</t>
        </is>
      </c>
      <c r="C9855" t="inlineStr">
        <is>
          <t>Honestly I just need someone to talk to that’s it my mind is in 1000 places right now I’m scared for my life and I’m constantly freaking out. If you could direct message me that would be nice and cool. Anyway I hope you all are doing good.</t>
        </is>
      </c>
      <c r="D9855" t="n">
        <v>1</v>
      </c>
      <c r="E9855" t="n">
        <v>0</v>
      </c>
      <c r="F9855">
        <f>HYPERLINK("https://www.reddit.com/r/cancer/comments/hbvaot/hey_guys_honestly_i_need_some_bad/")</f>
        <v/>
      </c>
      <c r="G9855" t="inlineStr">
        <is>
          <t>2020-06-18 23:03:13</t>
        </is>
      </c>
      <c r="H9855" t="inlineStr"/>
    </row>
    <row r="9856">
      <c r="A9856" t="inlineStr">
        <is>
          <t>hbvc4s</t>
        </is>
      </c>
      <c r="B9856" t="inlineStr">
        <is>
          <t>Hey guys I need your help bad</t>
        </is>
      </c>
      <c r="C9856" t="inlineStr">
        <is>
          <t>Hey I’m srry for the inconvenience , but I’m  going crazy rn. I just need someone to talk to I’m going insane and I could truly use some one to talk to. If you’re interested please direct chat me. Love you all and hope you guys are doing well.</t>
        </is>
      </c>
      <c r="D9856" t="n">
        <v>1</v>
      </c>
      <c r="E9856" t="n">
        <v>59</v>
      </c>
      <c r="F9856">
        <f>HYPERLINK("https://www.reddit.com/r/cancer/comments/hbvc4s/hey_guys_i_need_your_help_bad/")</f>
        <v/>
      </c>
      <c r="G9856" t="inlineStr">
        <is>
          <t>2020-06-18 23:06:21</t>
        </is>
      </c>
      <c r="H9856" t="inlineStr"/>
    </row>
    <row r="9857">
      <c r="A9857" t="inlineStr">
        <is>
          <t>hbxkwr</t>
        </is>
      </c>
      <c r="B9857" t="inlineStr">
        <is>
          <t>For those that have had immunotherapy treatment</t>
        </is>
      </c>
      <c r="C9857" t="inlineStr">
        <is>
          <t>Please tell me things get better. Mum has stage IV RCC with mets to her pubic bone / hip joint. She had radiation to the pubic bone (which was symptomatic and the reason she got diagnosed), as well as radiation to the hip joint (where the upper leg meets the hip). This had zero symptoms, until after radiation. There’s bony destruction now and that tumour has grown, causing agonising pain.
Her pain is challenging to address because she doesn’t tolerate opioids well at all. She’s tried a range of different types and most make her sick. She also still has pain, but now feels sick on top of that. She was admitted to the cancer hospital for 10 days while they played around with meds, and came out on a range of meds, from zyprexa, to Jurnista, abstral as needed prior to movement, maxolon, ondansetron. 
She is also having opdivo/yervoy every 3 weeks - has done 2 of 4 cycles. She has started itching terribly all over. She is having orange bowel movements. Also taking Cabozantinib (or placebo).
Pain management nurse said that the nausea might be because she’s in pain, so triple the Abstral dose. She did as instructed today, then ended up in the emergency department because she felt like she was going to faint and felt very sick. She has a droopy left eye and they’ve sent her for scans of her hip, chest and head. The hip lesion looks worse but we understand that is likely pseudoprogession. She’s still at hospital now and will be admitted. She still feels sick and they gave her fluids and dissolvable ondansetron (despite the hospital being made aware by Dad that the IV ondansetron works better for her).
Looking at all of the medications she is taking, they have major interactions with each other! Just feeling like nobody has a damn clue what is going on. They tell you all the symptoms to watch out for, then when they appear, the doctors seem baffled as to what’s causing it. She has a very poor quality of life right now when the oncologist said that her cancer is manageable because the Mets are only in the bone and not other organs. 3 months ago she walked into radiation treatments, now she is in a wheelchair for outside of the house because walking hurts that joint too much.
Just looking for a glimmer of hope that the immunotherapy may just knock her around, but she will eventually feel good again and have more good days than bad. I know this wasn’t meant to be easy, but did not expect her to suffer so terribly. Please share your experiences.</t>
        </is>
      </c>
      <c r="D9857" t="n">
        <v>1</v>
      </c>
      <c r="E9857" t="n">
        <v>2</v>
      </c>
      <c r="F9857">
        <f>HYPERLINK("https://www.reddit.com/r/cancer/comments/hbxkwr/for_those_that_have_had_immunotherapy_treatment/")</f>
        <v/>
      </c>
      <c r="G9857" t="inlineStr">
        <is>
          <t>2020-06-19 02:22:39</t>
        </is>
      </c>
      <c r="H9857" t="inlineStr"/>
    </row>
    <row r="9858">
      <c r="A9858" t="inlineStr">
        <is>
          <t>hc0ze1</t>
        </is>
      </c>
      <c r="B9858" t="inlineStr">
        <is>
          <t>I couldn’t help my dad. Is there anyway I can help others?</t>
        </is>
      </c>
      <c r="C9858" t="inlineStr">
        <is>
          <t>There was only so much I could do for my dad when he was diagnosed. I felt useless. Is there any ways I can help other cancer patients? Volunteer work? Anything? Where could I possibly start? I just want to help. Thank you</t>
        </is>
      </c>
      <c r="D9858" t="n">
        <v>1</v>
      </c>
      <c r="E9858" t="n">
        <v>0</v>
      </c>
      <c r="F9858">
        <f>HYPERLINK("https://www.reddit.com/r/cancer/comments/hc0ze1/i_couldnt_help_my_dad_is_there_anyway_i_can_help/")</f>
        <v/>
      </c>
      <c r="G9858" t="inlineStr">
        <is>
          <t>2020-06-19 06:47:52</t>
        </is>
      </c>
      <c r="H9858" t="inlineStr"/>
    </row>
    <row r="9859">
      <c r="A9859" t="inlineStr">
        <is>
          <t>hc0zuc</t>
        </is>
      </c>
      <c r="B9859" t="inlineStr">
        <is>
          <t>I couldn’t help my dad. Is there any way I can help others?</t>
        </is>
      </c>
      <c r="C9859" t="inlineStr">
        <is>
          <t>There was only so much I could do for my dad when he was diagnosed. I felt useless. Is there any ways I can help other cancer patients? Volunteer work? Anything? Where could I possibly start? I just want to help. Thank you</t>
        </is>
      </c>
      <c r="D9859" t="n">
        <v>1</v>
      </c>
      <c r="E9859" t="n">
        <v>20</v>
      </c>
      <c r="F9859">
        <f>HYPERLINK("https://www.reddit.com/r/cancer/comments/hc0zuc/i_couldnt_help_my_dad_is_there_any_way_i_can_help/")</f>
        <v/>
      </c>
      <c r="G9859" t="inlineStr">
        <is>
          <t>2020-06-19 06:48:42</t>
        </is>
      </c>
      <c r="H9859" t="inlineStr"/>
    </row>
    <row r="9860">
      <c r="A9860" t="inlineStr">
        <is>
          <t>hc24fl</t>
        </is>
      </c>
      <c r="B9860" t="inlineStr">
        <is>
          <t>Looking for a Resource</t>
        </is>
      </c>
      <c r="C9860" t="inlineStr">
        <is>
          <t>Hello! I have Stage 3c Ovarian Cancer and although I'm not planning on going anywhere out of this world until I am at least 85, I know the statistics.
I am looking for a secure platform where I can store important information for my POA or executor of the estate. Right now I am using a paper notebook but I have some neuropathy in my fingers so I'd prefer a typing option or even a PDF form I can fill in and print out.
Also, who would you store it with? The only solution I can think of is to type up stuff on Open Office and physically print it and put it in a binder. Anything more high tech? Also, any resources that say what information to record would be helpful. I'm not old so a lot of stuff is different, for example, I know if I don't have a will everything will go to my parents and that's what I want.
I cannot afford Everplan. I can afford borrowing a library book if it would help and ink for my printer.
Thanks.</t>
        </is>
      </c>
      <c r="D9860" t="n">
        <v>6</v>
      </c>
      <c r="E9860" t="n">
        <v>5</v>
      </c>
      <c r="F9860">
        <f>HYPERLINK("https://www.reddit.com/r/cancer/comments/hc24fl/looking_for_a_resource/")</f>
        <v/>
      </c>
      <c r="G9860" t="inlineStr">
        <is>
          <t>2020-06-19 07:55:24</t>
        </is>
      </c>
      <c r="H9860" t="inlineStr"/>
    </row>
    <row r="9861">
      <c r="A9861" t="inlineStr">
        <is>
          <t>hc3x51</t>
        </is>
      </c>
      <c r="B9861" t="inlineStr">
        <is>
          <t>I want to experience true love before I died</t>
        </is>
      </c>
      <c r="C9861" t="inlineStr">
        <is>
          <t>Today it’s my bone marrow biopsy check up after the 6 cycles of chemo in December 
Hope everything is good and I will have a second life. I wish I found someone love me so much and I do too. This is my only bucket list also a healthy body!</t>
        </is>
      </c>
      <c r="D9861" t="n">
        <v>1</v>
      </c>
      <c r="E9861" t="n">
        <v>6</v>
      </c>
      <c r="F9861">
        <f>HYPERLINK("https://www.reddit.com/r/cancer/comments/hc3x51/i_want_to_experience_true_love_before_i_died/")</f>
        <v/>
      </c>
      <c r="G9861" t="inlineStr">
        <is>
          <t>2020-06-19 09:35:32</t>
        </is>
      </c>
      <c r="H9861" t="inlineStr"/>
    </row>
    <row r="9862">
      <c r="A9862" t="inlineStr">
        <is>
          <t>hc7ddr</t>
        </is>
      </c>
      <c r="B9862" t="inlineStr">
        <is>
          <t>Please help, Dad stage IV colorectal cancer.</t>
        </is>
      </c>
      <c r="C9862" t="inlineStr">
        <is>
          <t>My dad, 53 years old, was diagnosed with colorectal cancer in March of this year. First diagnosis showed that it was an operable tumour however when they tried to operate on him last week the doctors came to realise that his cancer had in fact spread. 
We are still waiting on confirmation for the next steps but I am feeling so utterly scared and hopeless. I (24f) live with my Dad and am now his primary carer. Due to coronavirus we have been under strict shielding advice so we both are not allowed to leave our homes. This state of being in each others company has led us both to become very depressed and terrified for the future. I've run out of positive things to offer him as his surgeon said that his case is very rare. Hes terrified because he lost his father from the same cancer I can't bare the thought of losing my Dad, he's my best friend and I feel sick at the thought of him having to cope with more bad news. I also worry about my siblings who both suffer severe mental health issues and think that they wont be able to cope with a worse case scenario very well AT ALL. I feel like I am trying to be positive for everybody involved, including my grandma aswell and its so so hard. I fear for the worst constantly and I have nightmares every night about all the things that could go wrong. Please help.</t>
        </is>
      </c>
      <c r="D9862" t="n">
        <v>2</v>
      </c>
      <c r="E9862" t="n">
        <v>3</v>
      </c>
      <c r="F9862">
        <f>HYPERLINK("https://www.reddit.com/r/cancer/comments/hc7ddr/please_help_dad_stage_iv_colorectal_cancer/")</f>
        <v/>
      </c>
      <c r="G9862" t="inlineStr">
        <is>
          <t>2020-06-19 12:44:44</t>
        </is>
      </c>
      <c r="H9862" t="inlineStr"/>
    </row>
    <row r="9863">
      <c r="A9863" t="inlineStr">
        <is>
          <t>hc7t72</t>
        </is>
      </c>
      <c r="B9863" t="inlineStr">
        <is>
          <t>Help, My Uncle in Law has the Last Stage Liver Cancer.</t>
        </is>
      </c>
      <c r="C9863" t="inlineStr">
        <is>
          <t>The title. He has the last stage liver cancer and doctors saying there's no hope and he can only last 1 month. 
Is there anything possible?
Thanks!</t>
        </is>
      </c>
      <c r="D9863" t="n">
        <v>2</v>
      </c>
      <c r="E9863" t="n">
        <v>3</v>
      </c>
      <c r="F9863">
        <f>HYPERLINK("https://www.reddit.com/r/cancer/comments/hc7t72/help_my_uncle_in_law_has_the_last_stage_liver/")</f>
        <v/>
      </c>
      <c r="G9863" t="inlineStr">
        <is>
          <t>2020-06-19 13:09:19</t>
        </is>
      </c>
      <c r="H9863" t="inlineStr"/>
    </row>
    <row r="9864">
      <c r="A9864" t="inlineStr">
        <is>
          <t>hc911m</t>
        </is>
      </c>
      <c r="B9864" t="inlineStr">
        <is>
          <t>My dad was just diagnosed with stomach cancer and a AAA. I feel like my world is collapsing.</t>
        </is>
      </c>
      <c r="C9864" t="inlineStr">
        <is>
          <t>My father had a liver transplant 8 years ago, he went into the hospital this past weekend, the day of my wedding, due to stomach pains and we found out the day after our wedding that he has stomach cancer, possibly spread to the lymph nodes and possible cancer on his liver. Still waiting on biopsies. they somehow also almost didn’t see the 5cm abdominal aortic aneurysm (wtf?!) and he was in “perfect health” a week ago.
Needless to say this is a lot. He had surgery to get his chemo port in Wednesday and they did a mesh for the AAA today. I can’t believe he has to go through this, I’m just so upset. I flew down to my parents house as soon as I found out and I’m just reeling. He’s my best friend- I can’t imagine a world without him in it. I’m trying to be strong when I’m around him, visiting hours are limited, but I’m terrified!
I know I just have to cope and it’s happening, but I seriously feel like I’m on the verge of a mental break. We just bought a house as well. 
Any advice on getting through this time?</t>
        </is>
      </c>
      <c r="D9864" t="n">
        <v>1</v>
      </c>
      <c r="E9864" t="n">
        <v>5</v>
      </c>
      <c r="F9864">
        <f>HYPERLINK("https://www.reddit.com/r/cancer/comments/hc911m/my_dad_was_just_diagnosed_with_stomach_cancer_and/")</f>
        <v/>
      </c>
      <c r="G9864" t="inlineStr">
        <is>
          <t>2020-06-19 14:26:33</t>
        </is>
      </c>
      <c r="H9864" t="inlineStr"/>
    </row>
    <row r="9865">
      <c r="A9865" t="inlineStr">
        <is>
          <t>hca585</t>
        </is>
      </c>
      <c r="B9865" t="inlineStr">
        <is>
          <t>Does anyone have experience with Phase 1 trials? Is it even worth considering?</t>
        </is>
      </c>
      <c r="C9865" t="inlineStr">
        <is>
          <t>My son has a Stage 4 diffused rare tumor and this thing is just a beast.  He did a month in a pediatric Optune study, which was Phase 1, but they had already completed all the adult studies and adults use it (often with success) so it wasn't an unknown thing.
His doctors (both primary and secondary) said his tumor was too diffused and too large to qualify for anything else, but I found another trial anyway and the researcher thinks he will be a good fit.  Unlike most other trials, this trial is starting with kids.... there has been promising results in the lab and on animals, but my son would literally be the first PERSON.   No other kids are in the study yet.
His previous doctor (she moved but we maintained a relationship with her) is very established and thinks it looks like a good study.  
But once again it is across the country so we'd have to break up the family.  It's hard to be separated during times like this. 
He would have to go off chemo, which not very effective anyway.  At best, it is extending his life by just a little. The estimated timeline is 3-6 months.
This is much more information than I would typically share on Reddit and I know that there is no right/wrong answer here, but has anyone been in a similar situation?  Has anyone participated in a Phase 1 study? Has anyone ever heard anything about a Phase 1 study being successful?
The goal for us is not cure him, the goal for us to extend his life as long as possible while keeping him out of pain.</t>
        </is>
      </c>
      <c r="D9865" t="n">
        <v>1</v>
      </c>
      <c r="E9865" t="n">
        <v>11</v>
      </c>
      <c r="F9865">
        <f>HYPERLINK("https://www.reddit.com/r/cancer/comments/hca585/does_anyone_have_experience_with_phase_1_trials/")</f>
        <v/>
      </c>
      <c r="G9865" t="inlineStr">
        <is>
          <t>2020-06-19 15:20:46</t>
        </is>
      </c>
      <c r="H9865" t="inlineStr"/>
    </row>
    <row r="9866">
      <c r="A9866" t="inlineStr">
        <is>
          <t>hcajmr</t>
        </is>
      </c>
      <c r="B9866" t="inlineStr">
        <is>
          <t>Breast Cancer: Interesting facts, History, Uses, and Definitions</t>
        </is>
      </c>
      <c r="C9866" t="inlineStr">
        <is>
          <t xml:space="preserve"> Please visit [medecio.com](https://medecio.com) for more!
 [https://discourse.medecio.com/t/breast-cancer-interesting-facts-history-uses-and-definitions/189](https://discourse.medecio.com/t/breast-cancer-interesting-facts-history-uses-and-definitions/189) 
**How Breast Cancer is acquired.**
Breast Cancer is acquired from repeated contact with your body with carcinogens. One example of a carcinogen is cigarette smoking.
**Breast cancer can do to your body/processes over time.**
The effects of breast cancer is lumps, masses, changes to the nipple or dimpling of the skin, bone pain, coughing or shortness of breath, depressed appetite, weight loss, headaches, blurry vision, and feeling of weakness. Sometimes the effects of Breast cancer is that it can spread to the bones, the livers, and the lungs.
**Body system or organs involved in Breast cancer.**
The places where Breast cancer can show is commonly on a women’s breast and very rarely a man’s breast.
**Treatment for Breast cancer.**
The type of therapy’s/ surgeries for Breast cancer is radiation surgery, radiation therapy, hormone medications, chemotherapy, biologic therapy, and immune therapy can all fight cancer.
In the picture below is an example of radiation therapy as you can see.
**Impact on the health triangle.**
Breast Cancer affects all sides of the health triangle on the physical side Breast Cancer affects that person by making that person tired from the doses of chemicals inserted. Breast cancer effects persons Mental and emotional state by making that person depressed about their physical changes like losing hair or appearance due to the type of treatment they are receiving. Depending on what stage their cancer is, they may be depressed thinking about the quality of their future life. Last is social, Breast cancer might affects socially because you may not be able to be active in all social activities like before. Some people may think you are strange because of your physical changes on your body and that you have no hair and people will think of you strangely and act weirdly towards you.
**Interesting Facts**
Did you know that about 10 million new cases of cancer are diagnosed around the world every year, and every year some 6 million people die of some form of cancer?
One interesting fact is that the United States has reportedly spent $4.8 to $5.2 billion per annul on cancer research and treatment development each year and growing!
To the women breast cancer is the most common cancer and sadly cancer is still the chief cause of death by disease in children between the ages of 3 and 14. Luckily there is research going on to find a cure for cancer and many treatments have been found out to have a good chance of curing cancer and living longer.
Breast Cancer Cell. Photography. Encyclopædia Britannica ImageQuest. Web. 22 Oct 2015. [http://quest.eb.com/search/139\_2010687/1/139\_2010687/cite](http://quest.eb.com/search/139_2010687/1/139_2010687/cite)</t>
        </is>
      </c>
      <c r="D9866" t="n">
        <v>1</v>
      </c>
      <c r="E9866" t="n">
        <v>0</v>
      </c>
      <c r="F9866">
        <f>HYPERLINK("https://www.reddit.com/r/cancer/comments/hcajmr/breast_cancer_interesting_facts_history_uses_and/")</f>
        <v/>
      </c>
      <c r="G9866" t="inlineStr">
        <is>
          <t>2020-06-19 15:44:40</t>
        </is>
      </c>
      <c r="H9866" t="inlineStr"/>
    </row>
    <row r="9867">
      <c r="A9867" t="inlineStr">
        <is>
          <t>hcak9o</t>
        </is>
      </c>
      <c r="B9867" t="inlineStr">
        <is>
          <t>Question - Waiting for biopsy results</t>
        </is>
      </c>
      <c r="C9867" t="inlineStr">
        <is>
          <t>Hi reddit. Hope everyone is staying safe. 
This week has been one of the most difficult I’ve experienced. On Monday, I had a biopsy done due to some lesions that appeared in my mouth, which was suspected to be oral cancer— specifically buccal mucosa. I’ve been waiting on results since, and have been trying to avoid fixating on it; however, that’s obviously not an easy task. 
I was wondering if anyone has had a biopsy done during this and about how long it took to receive results back, due to delays with Covid-19 testing happening as well (I am in the US)? 
I presume it will come back next week, but I asked and was not given a clear answer. I’m tired of waiting, and would love to hear others’ experiences. Wishing everyone the best during this time.</t>
        </is>
      </c>
      <c r="D9867" t="n">
        <v>1</v>
      </c>
      <c r="E9867" t="n">
        <v>13</v>
      </c>
      <c r="F9867">
        <f>HYPERLINK("https://www.reddit.com/r/cancer/comments/hcak9o/question_waiting_for_biopsy_results/")</f>
        <v/>
      </c>
      <c r="G9867" t="inlineStr">
        <is>
          <t>2020-06-19 15:45:50</t>
        </is>
      </c>
      <c r="H9867" t="inlineStr"/>
    </row>
    <row r="9868">
      <c r="A9868" t="inlineStr">
        <is>
          <t>hcce31</t>
        </is>
      </c>
      <c r="B9868" t="inlineStr">
        <is>
          <t>Mom diagnosed with cervical cancer. What can I do for her?</t>
        </is>
      </c>
      <c r="C9868" t="inlineStr">
        <is>
          <t>My mom was diagnosed with a rare form of cervical cancer this morning. I am distraught and feel very useless. I don’t really know what to do with myself. I know she will need a hysterectomy- does anyone have recommendations for something I can get her that might be helpful after the surgery or during chemo/radiation?</t>
        </is>
      </c>
      <c r="D9868" t="n">
        <v>1</v>
      </c>
      <c r="E9868" t="n">
        <v>3</v>
      </c>
      <c r="F9868">
        <f>HYPERLINK("https://www.reddit.com/r/cancer/comments/hcce31/mom_diagnosed_with_cervical_cancer_what_can_i_do/")</f>
        <v/>
      </c>
      <c r="G9868" t="inlineStr">
        <is>
          <t>2020-06-19 17:31:28</t>
        </is>
      </c>
      <c r="H9868" t="inlineStr"/>
    </row>
    <row r="9869">
      <c r="A9869" t="inlineStr">
        <is>
          <t>hcd8gc</t>
        </is>
      </c>
      <c r="B9869" t="inlineStr">
        <is>
          <t>Today is my 21st Birthday</t>
        </is>
      </c>
      <c r="C9869" t="inlineStr">
        <is>
          <t>And I spent it having opiate withdrawals, which included countless vomiting, fever, and shivering. Happy birthday to me! Also, screw you, cancer. I hope you die.</t>
        </is>
      </c>
      <c r="D9869" t="n">
        <v>1</v>
      </c>
      <c r="E9869" t="n">
        <v>20</v>
      </c>
      <c r="F9869">
        <f>HYPERLINK("https://www.reddit.com/r/cancer/comments/hcd8gc/today_is_my_21st_birthday/")</f>
        <v/>
      </c>
      <c r="G9869" t="inlineStr">
        <is>
          <t>2020-06-19 18:26:33</t>
        </is>
      </c>
      <c r="H9869" t="inlineStr"/>
    </row>
    <row r="9870">
      <c r="A9870" t="inlineStr">
        <is>
          <t>hcecvq</t>
        </is>
      </c>
      <c r="B9870" t="inlineStr">
        <is>
          <t>I despise waiting for results.</t>
        </is>
      </c>
      <c r="C9870" t="inlineStr">
        <is>
          <t>Been having collar bone pain on the same side as my BC (remission 6 years).  Have has xrays, bone scan and today a ct along with blood tests for lupus, RA and Lymes.
All blood work normal and xray normal.  Bone scan was Wednesday and ct today with appointment on monday
Combine this with my asthma flaring for unknown reasons andI'm working myself into a fit with the anxiety.</t>
        </is>
      </c>
      <c r="D9870" t="n">
        <v>1</v>
      </c>
      <c r="E9870" t="n">
        <v>3</v>
      </c>
      <c r="F9870">
        <f>HYPERLINK("https://www.reddit.com/r/cancer/comments/hcecvq/i_despise_waiting_for_results/")</f>
        <v/>
      </c>
      <c r="G9870" t="inlineStr">
        <is>
          <t>2020-06-19 19:47:21</t>
        </is>
      </c>
      <c r="H9870" t="inlineStr"/>
    </row>
    <row r="9871">
      <c r="A9871" t="inlineStr">
        <is>
          <t>hcgx3j</t>
        </is>
      </c>
      <c r="B9871" t="inlineStr">
        <is>
          <t>17 year old female, in the middle of being diagnosed (i think)</t>
        </is>
      </c>
      <c r="C9871" t="inlineStr">
        <is>
          <t>i’ve been having digestion problems; terrible bloating, constipation, pain, etc. went to the doc when the pain got unbearable thinking he’d refer me to a gastroenterologist or something. he asked if diet helps anything and i said no. he asked if he could feel, and he went directly to the pain point. he immediately got a worried look on his face and says something about feeling something. he asks if i’ve been having back pain along with it, i said yes. if i’ve been fatigued, i said yes, if i’ve been losing weight and i said no but i have to force myself to eat because i’ll go days and not be hungry. pain during sex, yes. all of these have gotten in the way of my day to day life. but i’m healthy otherwise, and before a few months ago i was very active every day. 
he sent me to get blood and urine testing and i get an ultrasound done next week. plus, my doc is notorious for dragging his feet so his sense of urgency is also really scaring me.
i’m really really scared and i have no one to talk to, my mom won’t acknowledge it because i think she’s scared too. i’m also scared because my symptoms are EXTREMELY intense, sometimes my pain makes me cry and i have a really high pain threshold. is there anything i should know or do?</t>
        </is>
      </c>
      <c r="D9871" t="n">
        <v>1</v>
      </c>
      <c r="E9871" t="n">
        <v>1</v>
      </c>
      <c r="F9871">
        <f>HYPERLINK("https://www.reddit.com/r/cancer/comments/hcgx3j/17_year_old_female_in_the_middle_of_being/")</f>
        <v/>
      </c>
      <c r="G9871" t="inlineStr">
        <is>
          <t>2020-06-19 23:06:45</t>
        </is>
      </c>
      <c r="H9871" t="inlineStr"/>
    </row>
    <row r="9872">
      <c r="A9872" t="inlineStr">
        <is>
          <t>hcih1y</t>
        </is>
      </c>
      <c r="B9872" t="inlineStr">
        <is>
          <t>Looking for some resources</t>
        </is>
      </c>
      <c r="C9872" t="inlineStr">
        <is>
          <t>What are some cancer organizations I can donate to? What do you recommend I do when researching organizations I can donate to? I just want to help in some way. After losing my dad to cancer, I've become more sensitive to this topic and wish I would have started donating or helping out in some way sooner.</t>
        </is>
      </c>
      <c r="D9872" t="n">
        <v>1</v>
      </c>
      <c r="E9872" t="n">
        <v>0</v>
      </c>
      <c r="F9872">
        <f>HYPERLINK("https://www.reddit.com/r/cancer/comments/hcih1y/looking_for_some_resources/")</f>
        <v/>
      </c>
      <c r="G9872" t="inlineStr">
        <is>
          <t>2020-06-20 01:24:38</t>
        </is>
      </c>
      <c r="H9872" t="inlineStr"/>
    </row>
    <row r="9873">
      <c r="A9873" t="inlineStr">
        <is>
          <t>hcjpt4</t>
        </is>
      </c>
      <c r="B9873" t="inlineStr">
        <is>
          <t>Would hoarseness indicate progressed stage of lung cancer?</t>
        </is>
      </c>
      <c r="C9873" t="inlineStr">
        <is>
          <t>My mom (72) developed hoarseness around April. Her GP prescribed her some antibiotics for possible respiratory tract infections, which haven't treated the hoarseness. Since then she has severe shortness of breath, fatigue and loss of appetite.
On a Xray scan yesterday by a pulmonologist something was detected on the left lung and she is going for a CT scan on Monday. I am beyond distressed. In the worst case scenario that it is lung cancer, does the hoarseness indicate that it in a progressed stage and has spread to the larynx (elsewhere in the body)?</t>
        </is>
      </c>
      <c r="D9873" t="n">
        <v>1</v>
      </c>
      <c r="E9873" t="n">
        <v>2</v>
      </c>
      <c r="F9873">
        <f>HYPERLINK("https://www.reddit.com/r/cancer/comments/hcjpt4/would_hoarseness_indicate_progressed_stage_of/")</f>
        <v/>
      </c>
      <c r="G9873" t="inlineStr">
        <is>
          <t>2020-06-20 03:07:06</t>
        </is>
      </c>
      <c r="H9873" t="inlineStr"/>
    </row>
    <row r="9874">
      <c r="A9874" t="inlineStr">
        <is>
          <t>hckcoz</t>
        </is>
      </c>
      <c r="B9874" t="inlineStr">
        <is>
          <t>The best news ever</t>
        </is>
      </c>
      <c r="C9874" t="inlineStr">
        <is>
          <t>After a good battle, today our family received the news that my mother was cancer free!! 
 I would personally like to thank Mcmaster Hospital, and Juravinski cancer center in Hamilton Ontario.
As bad as things sounded, This terrible cancer bs was beaten.
I hope anyone with a similar situation may be granted the same outcome. 
Keep on fighting. 
I'd like to pass these good vibes to everyone</t>
        </is>
      </c>
      <c r="D9874" t="n">
        <v>1</v>
      </c>
      <c r="E9874" t="n">
        <v>14</v>
      </c>
      <c r="F9874">
        <f>HYPERLINK("https://www.reddit.com/r/cancer/comments/hckcoz/the_best_news_ever/")</f>
        <v/>
      </c>
      <c r="G9874" t="inlineStr">
        <is>
          <t>2020-06-20 03:59:19</t>
        </is>
      </c>
      <c r="H9874" t="inlineStr"/>
    </row>
    <row r="9875">
      <c r="A9875" t="inlineStr">
        <is>
          <t>hclcpj</t>
        </is>
      </c>
      <c r="B9875" t="inlineStr">
        <is>
          <t>Urgent need for Medical Help/Advice and Medical Law in Europe Germany</t>
        </is>
      </c>
      <c r="C9875" t="inlineStr">
        <is>
          <t>I despise to write this however, my father may be on his deathbed because of pancreatic cancer
but i pray that he recovers as i believe in his strength
So i want to try one last thing wich is acquiring the molecule pj34 and have it administered to him
i need to know how and where i can make this happen i would also appreciate advice on how it might be possible to gather money for such a emergency like should i start a gofundme or whatever
i know everybody wants to save their loved one but please do not simply tell me that its not worth it i just need to know how i can make it happen that my father receives this molecule wich hasn't been tested on humans yet.
if let's say you could make this happen in panama then were going to panama so again please don't tell me stuff that isn't relevant to getting this done like that it's not possible or that i should forget it im sorry if this doesn't belong in here but evidently im desperate</t>
        </is>
      </c>
      <c r="D9875" t="n">
        <v>1</v>
      </c>
      <c r="E9875" t="n">
        <v>2</v>
      </c>
      <c r="F9875">
        <f>HYPERLINK("https://www.reddit.com/r/cancer/comments/hclcpj/urgent_need_for_medical_helpadvice_and_medical/")</f>
        <v/>
      </c>
      <c r="G9875" t="inlineStr">
        <is>
          <t>2020-06-20 05:15:30</t>
        </is>
      </c>
      <c r="H9875" t="inlineStr"/>
    </row>
    <row r="9876">
      <c r="A9876" t="inlineStr">
        <is>
          <t>hcnvqa</t>
        </is>
      </c>
      <c r="B9876" t="inlineStr">
        <is>
          <t>Advice about Chemo &amp;amp; Appetite from my Mom.</t>
        </is>
      </c>
      <c r="C9876" t="inlineStr">
        <is>
          <t>Mom's having a recurrence after a few months of remission. 
Had her first chemo two days ago. 
Had lunch with her on C+1 (Chemo + 1 day), and her appetite was good. Asked her how she was feeling, and she said that it would start getting bad on C+2, but she knew how to deal with it. 
We bot some sweet and fortified cereals to put in a box near her bed. 
She said that when it gets bad, it feels like there's a giant stone in her stomach, almost like a heavy gas, and unless she gets rid of it, any food she eats makes her feel nauseous, and makes her throw up. 
She tries to get rid of that feeling by trying to do things that stimulate her stomach. Like lying in bed and rotating her torso back and forth, or rotating her legs back and forth. Sometimes sitting up and bending over helps, or stretching backwards. 
She also tries to put a little bit of salt on her tongue, or a bit of lemon juice / vinegar (separate from the salt), and these strong tasting things sometime make her stomach convulse, and that drives away that gassy feeling and she can eat again. 
Having food in her stomach helps her sleep better, and gives her more energy to walk around (which she tries to do every day, ideally in the outdoors). Cereal is for when she has absolutely no energy to get out of bed, and so she has something small that she can eat. I think the iron that the cereals are fortified with also help. 
Hope this helps somebody. Keep trying new things, and see what works for you.</t>
        </is>
      </c>
      <c r="D9876" t="n">
        <v>1</v>
      </c>
      <c r="E9876" t="n">
        <v>0</v>
      </c>
      <c r="F9876">
        <f>HYPERLINK("https://www.reddit.com/r/cancer/comments/hcnvqa/advice_about_chemo_appetite_from_my_mom/")</f>
        <v/>
      </c>
      <c r="G9876" t="inlineStr">
        <is>
          <t>2020-06-20 08:13:52</t>
        </is>
      </c>
      <c r="H9876" t="inlineStr"/>
    </row>
    <row r="9877">
      <c r="A9877" t="inlineStr">
        <is>
          <t>hco48g</t>
        </is>
      </c>
      <c r="B9877" t="inlineStr">
        <is>
          <t>My friend (former friend?) is being really rude about her cancer but I don’t know if I’m being insensitive about it since I’ve never had cancer. Help.</t>
        </is>
      </c>
      <c r="C9877" t="inlineStr">
        <is>
          <t>So I (21F) made friends with this girl (21 F) in the beginning of the semester that I go to college with. She seemed pretty cool. We’re in the same major so we connected about that and did our homework together. Over quarantine we FaceTimed a lot just talking, doing homework, goofing off. I mailed her a birthday present where I crafted a gift specifically for her. I thought we had gotten pretty close. 
She previously had cancer, a type of extremely curable and survivable cancer (95+% survival rate) that she went into remission from within a few months and didn’t have to have chemo for. I had another friend who had the same cancer, stayed in college throughout her treatments and got straight As that semester. It’s still cancer but they caught it early in Anna (I’ll call her that) and she only had it for about two months approximately, actually a little less I think. Now I’m not saying this wasn’t a life altering and awful thing to happen-she’s strong for enduring it and I’ll always give her props for going through such a tough thing. But she mentions it SO MUCH. Like, multiple times a day, probably at least five or six. It drives me and I think everyone else crazy but of course no one else wants to say anything because you’d look like an asshole. 
She definitely uses it as leverage to get what she wants and to act shitty and not be called on it, which really bothers me. Call me out if this is insensitive but I think she is glad she had cancer because she sees it as making her “special” and different and as something to hold over other people’s heads so they can’t call her out when she’s being rude and so she gets more attention. 
One of my friends drank too much one night (she was very drunk) and said something about her having had cancer because Anna has been being very rude and condescending to her. It really wasn’t that offensive-it was rude but it wasn’t too bad. I totally get her being offended though because it’s a touchy subject but she went totally overboard with the reaction. She basically iced everyone out, called my friend a bitch (my friend is the sweetest and would give you the shirt off her back and Anna had been treating her like absolute crap the whole time). She made what was supposed to be a fun birthday celebration super tense and awkward. My friend apologized to Anna and she still acted like that. 
Talking about your debilitating migraines with a friend who also has them and Anna remarks smugly that she’s never had one and another friend says that she’s lucky to have never had one? Oh, well, Anna replies that she isn’t lucky, remember the cancer? Oh, now you feel like shit, even though the discussion had nothing to do with that. 
Another friends mentions that her mom had breast cancer? Anna gets weird because discussion isn’t all about HER previous cancer. A friend mention that her sister committed suicide? Well, did you know Anna had cancer? 
I don’t know what to think about this situation. I’ve never had cancer and I realize it is a horrible and life changing illness. I have epilepsy and migraines and I know those don’t compare but I know what it’s like to have health issues. But I don’t bring them up constantly for attention and for leverage so I can treat people like dirt and get away with it. 
As one of my other friends said, “if you’re shitty, you’re shitty,” when someone was saying the “but she had cancer”thing. 
Thoughts? Am I being insensitive?</t>
        </is>
      </c>
      <c r="D9877" t="n">
        <v>1</v>
      </c>
      <c r="E9877" t="n">
        <v>5</v>
      </c>
      <c r="F9877">
        <f>HYPERLINK("https://www.reddit.com/r/cancer/comments/hco48g/my_friend_former_friend_is_being_really_rude/")</f>
        <v/>
      </c>
      <c r="G9877" t="inlineStr">
        <is>
          <t>2020-06-20 08:28:00</t>
        </is>
      </c>
      <c r="H9877" t="inlineStr"/>
    </row>
    <row r="9878">
      <c r="A9878" t="inlineStr">
        <is>
          <t>hcoos5</t>
        </is>
      </c>
      <c r="B9878" t="inlineStr">
        <is>
          <t>Inspired by the other good news post...more good news!</t>
        </is>
      </c>
      <c r="C9878" t="inlineStr">
        <is>
          <t>It wouldn't be right not to post good news as hope for everyone here.
My boyfriend was diagnosed with stage 4 terminal colorectal cancer that spread to the liver back in March. Terminal because of where the tumors were located on his liver close to important arteries, meaning surgery would not be an option no matter how well chemo went. So he would be in maintenance for his cancer his whole life.
He has just started 6 out of 12 rounds of chemo infusion plus chemo pills for one week with one week off in between. The tumors have shrunk drastically and because of how much they have shrunk they are now small enough that it's safe to do surgery on both the tumors in his colon and liver. They are going to be planning surgery soon. This is after a big scare where his cancer levels in his blood shot way up which could have been an indicator of the chemo working and cancer cells dying off, or a sign that there was cancer somewhere else. As hoped, they tested them again and the levels had gone from in the 2900 range to 6600 to now 600!
Have hope and faith! Believe what the doctors tell you but never believe that it's the final say. I pray for you all every day. Faith and hope. It's WORKING!</t>
        </is>
      </c>
      <c r="D9878" t="n">
        <v>2</v>
      </c>
      <c r="E9878" t="n">
        <v>16</v>
      </c>
      <c r="F9878">
        <f>HYPERLINK("https://www.reddit.com/r/cancer/comments/hcoos5/inspired_by_the_other_good_news_postmore_good_news/")</f>
        <v/>
      </c>
      <c r="G9878" t="inlineStr">
        <is>
          <t>2020-06-20 09:02:21</t>
        </is>
      </c>
      <c r="H9878" t="inlineStr"/>
    </row>
    <row r="9879">
      <c r="A9879" t="inlineStr">
        <is>
          <t>hcpnjo</t>
        </is>
      </c>
      <c r="B9879" t="inlineStr">
        <is>
          <t>Grandma diagnosed with lung cancer-what things should we know?</t>
        </is>
      </c>
      <c r="C9879" t="inlineStr">
        <is>
          <t>My grandmother is 82 and went into the hospital with chest pains. They removed 3 liters of fluid around her lungs and said one lung was collapsed. a ct scan showed cancer on the bottom part of one of her lungs. 
She’s not sure of the type yet as she is still processing. She will leave the hospital with a small tube on her right side to drain fluid. 
What things should we know? What things should we ask the doctors?
Any resources that may be helpful for support for her? She’s on social security and limited income. She doesn’t have any family except my disabled uncle around.</t>
        </is>
      </c>
      <c r="D9879" t="n">
        <v>1</v>
      </c>
      <c r="E9879" t="n">
        <v>8</v>
      </c>
      <c r="F9879">
        <f>HYPERLINK("https://www.reddit.com/r/cancer/comments/hcpnjo/grandma_diagnosed_with_lung_cancerwhat_things/")</f>
        <v/>
      </c>
      <c r="G9879" t="inlineStr">
        <is>
          <t>2020-06-20 09:58:54</t>
        </is>
      </c>
      <c r="H9879" t="inlineStr"/>
    </row>
    <row r="9880">
      <c r="A9880" t="inlineStr">
        <is>
          <t>hcqjvc</t>
        </is>
      </c>
      <c r="B9880" t="inlineStr">
        <is>
          <t>I have to share some frustration for something that happened where I live</t>
        </is>
      </c>
      <c r="C9880" t="inlineStr">
        <is>
          <t>Today a doctor was caught by the authorities.
A doctor, that is, with no medical degree. A fake doc.
He lived in a HUGE mansion with pools, tennis courts..etc
He has never paid taxes (how? How did the officials get past this , how many people are corrupted)
This guy profited off cancer patients FOR YEARS. He fooled people who were only looking to have a chance at life. HOW DOES HE SLEEP AT NIGHTS. Wait dont answer that, he slept comfortably in one of his many bedrooms.
&amp;amp;#x200B;
How he got caught:He got caught because another doctor saw him washing his hands, having absolutely no idea how the protocol goes, and also putting on gloves wrongly! And thus he called the authorities and they caught him
I am SO GLAD this guy got caught !! I hope he serves life in prison!
Among his victims, a 14 year old girl and a 16 year old boy.
&amp;amp;#x200B;
That's it. That's the post, i guess mods feel free to delete this if you want.
I just wanted to tell you all please be careful who you put your trust in.</t>
        </is>
      </c>
      <c r="D9880" t="n">
        <v>2</v>
      </c>
      <c r="E9880" t="n">
        <v>2</v>
      </c>
      <c r="F9880">
        <f>HYPERLINK("https://www.reddit.com/r/cancer/comments/hcqjvc/i_have_to_share_some_frustration_for_something/")</f>
        <v/>
      </c>
      <c r="G9880" t="inlineStr">
        <is>
          <t>2020-06-20 10:50:14</t>
        </is>
      </c>
      <c r="H9880" t="inlineStr"/>
    </row>
    <row r="9881">
      <c r="A9881" t="inlineStr">
        <is>
          <t>hcrcge</t>
        </is>
      </c>
      <c r="B9881" t="inlineStr">
        <is>
          <t>My father, 73, has a small tumor in his parotid gland.</t>
        </is>
      </c>
      <c r="C9881" t="inlineStr">
        <is>
          <t>Right at the beginning of the whole Covid-19 mania when things got pretty serious and cities were locking down in March, my father complained of severe pain in the left side of his face. He couldn't speak properly and he had slightly heavy/slurry speech. Because of the Covid-19 situation (we live in the Middle East) and over crowded hospitals and clinics he could not get it checked. My father, normally a quiet and composed man, couldn't handle the excruciating pain weeks later and it literally brought him to tears. At first I suspected Bell's Palsy/Facial Palsy? 
Eventually we took him to a clinic when we could find an appointment, and eventually we found out he's gotten a small tumor around that area. 
The sort of "good news" is that a lot of the "second" opinions from doctors said that he caught it early and that it can be removed with surgery. There is a small catch, though.
My father has been on a pacemaker for the last six months. He is on it because of irregular heart rhythms. 
So my question is (if I'm allowed to ask things here...) -  how risky is it to go "under the knife" as a 73 year old, heavy-weight (roughly 250lb/110kg), ex-smoker (quit 10 years ago, after decades of smoking Marlboro reds), that is currently on a pacemaker? He has been admitted to hospital already just to monitor his heartbeats/heartrhythm for the doctors to assess him before the planned surgery on Tuesday or Wednesday latest.
Thanks. And sending all of you love and strength. I'm feeling very down. I hope he recovers from this.</t>
        </is>
      </c>
      <c r="D9881" t="n">
        <v>1</v>
      </c>
      <c r="E9881" t="n">
        <v>0</v>
      </c>
      <c r="F9881">
        <f>HYPERLINK("https://www.reddit.com/r/cancer/comments/hcrcge/my_father_73_has_a_small_tumor_in_his_parotid/")</f>
        <v/>
      </c>
      <c r="G9881" t="inlineStr">
        <is>
          <t>2020-06-20 11:36:54</t>
        </is>
      </c>
      <c r="H9881" t="inlineStr"/>
    </row>
    <row r="9882">
      <c r="A9882" t="inlineStr">
        <is>
          <t>hcu837</t>
        </is>
      </c>
      <c r="B9882" t="inlineStr">
        <is>
          <t>Survival Mode</t>
        </is>
      </c>
      <c r="C9882" t="inlineStr">
        <is>
          <t>I've read a lot of testimonials recently of chemo patients who say they went through a kind of mental "shift" into survival mode in order to get through it, therefore not letting the emotional impact of the trauma sink in until after its finished.
I am wondering what people who have experiences of chemo or cared for loved ones going through chemo think of this? 
My mum is due to start EC chemotherapy in 10 days, I will be her primary caregiver, so I'm also wondering whether I can expect a similar mindset shift at some point during her treatment? Because right now, everything seems quite impossible and unimaginable, though we don't even know yet what her symptoms will be. 
We both have complex ptsd and related mental health issues from long before her diagnosis, and I'm honestly not sure if thats going to help or hinder how we both react to all this..
Any replies would be greatly appreciated! Thanks so much x</t>
        </is>
      </c>
      <c r="D9882" t="n">
        <v>5</v>
      </c>
      <c r="E9882" t="n">
        <v>14</v>
      </c>
      <c r="F9882">
        <f>HYPERLINK("https://www.reddit.com/r/cancer/comments/hcu837/survival_mode/")</f>
        <v/>
      </c>
      <c r="G9882" t="inlineStr">
        <is>
          <t>2020-06-20 14:33:39</t>
        </is>
      </c>
      <c r="H9882" t="inlineStr"/>
    </row>
    <row r="9883">
      <c r="A9883" t="inlineStr">
        <is>
          <t>hcw8xr</t>
        </is>
      </c>
      <c r="B9883" t="inlineStr">
        <is>
          <t>Private BRCA testing UK?</t>
        </is>
      </c>
      <c r="C9883" t="inlineStr">
        <is>
          <t>Anyone have experience with this? Is there a cheap/ quick way to do this? TIA</t>
        </is>
      </c>
      <c r="D9883" t="n">
        <v>1</v>
      </c>
      <c r="E9883" t="n">
        <v>0</v>
      </c>
      <c r="F9883">
        <f>HYPERLINK("https://www.reddit.com/r/cancer/comments/hcw8xr/private_brca_testing_uk/")</f>
        <v/>
      </c>
      <c r="G9883" t="inlineStr">
        <is>
          <t>2020-06-20 16:32:52</t>
        </is>
      </c>
      <c r="H9883" t="inlineStr"/>
    </row>
    <row r="9884">
      <c r="A9884" t="inlineStr">
        <is>
          <t>hcwyz2</t>
        </is>
      </c>
      <c r="B9884" t="inlineStr">
        <is>
          <t>Carrying on, but confused</t>
        </is>
      </c>
      <c r="C9884" t="inlineStr">
        <is>
          <t>Oct 2019, I had an emergency appendectomy. As it turns out, it was a cancerous adenocarcinoma of the appendix. 
Following that, I had a colectomy for staging, and nothing was found there—I feel very lucky. 
Regardless, I had several rounds of chemo ( oxaliplatin 😭 and capacetibine ❤️). The infusions were far more difficult than the oral meds. 
While I’m not out of the woods yet, all seems good for now—I’m no wise man in my 60’s, still in my 20’s—I need some help keeping things in perspective. I’m worried something will come back and I don’t know when that may happen.</t>
        </is>
      </c>
      <c r="D9884" t="n">
        <v>2</v>
      </c>
      <c r="E9884" t="n">
        <v>2</v>
      </c>
      <c r="F9884">
        <f>HYPERLINK("https://www.reddit.com/r/cancer/comments/hcwyz2/carrying_on_but_confused/")</f>
        <v/>
      </c>
      <c r="G9884" t="inlineStr">
        <is>
          <t>2020-06-20 17:16:40</t>
        </is>
      </c>
      <c r="H9884" t="inlineStr"/>
    </row>
    <row r="9885">
      <c r="A9885" t="inlineStr">
        <is>
          <t>hcwzd7</t>
        </is>
      </c>
      <c r="B9885" t="inlineStr">
        <is>
          <t>My dad has esophagus cancer</t>
        </is>
      </c>
      <c r="C9885" t="inlineStr">
        <is>
          <t>Just found out today as he’s been having trouble  eating lately. He’s also a diabetic with stage 3-4 kidney failure. If you know or are someone who had this, what were the best treatments? How can I help my father live as long as he can?</t>
        </is>
      </c>
      <c r="D9885" t="n">
        <v>2</v>
      </c>
      <c r="E9885" t="n">
        <v>9</v>
      </c>
      <c r="F9885">
        <f>HYPERLINK("https://www.reddit.com/r/cancer/comments/hcwzd7/my_dad_has_esophagus_cancer/")</f>
        <v/>
      </c>
      <c r="G9885" t="inlineStr">
        <is>
          <t>2020-06-20 17:17:21</t>
        </is>
      </c>
      <c r="H9885" t="inlineStr"/>
    </row>
    <row r="9886">
      <c r="A9886" t="inlineStr">
        <is>
          <t>hcyj2g</t>
        </is>
      </c>
      <c r="B9886" t="inlineStr">
        <is>
          <t>Why wasn’t my dad given a chance?</t>
        </is>
      </c>
      <c r="C9886" t="inlineStr">
        <is>
          <t>My father was diagnosed with colon cancer with spread to the liver, adrenal glands, and brain, in early April. Even though his health was declining quickly, there was no urgency in getting him taken care of from the doctors - a colonoscopy was scheduled even though a CT scan had already confirmed the cancer. 
Then, in mid April we had him admitted to the hospital where the doctors focused not on chemo for his liver, but on brain surgery which was successful. However, the surgery weakened my dad so much that the doctors then refused to give him chemotherapy. His liver deteriorated rapidly over the space of 6 weeks and he passed on May 8, even though doctors said initially he had 6-18 months. 
I am in agony reading so many stories of colon cancer patients receiving chemo that shrank their tumors or bought them time. Why did the doctors refuse such care for my father and indeed seemed to hasten his death with a brain surgery that seemed unnecessary when it was the liver causing all of the problems?
I can’t stand life without my father and I think of suicide daily. The knowledge that his care was screwed up from the start makes everything so much worse. I don’t know how to go on when I miss him so much.</t>
        </is>
      </c>
      <c r="D9886" t="n">
        <v>21</v>
      </c>
      <c r="E9886" t="n">
        <v>5</v>
      </c>
      <c r="F9886">
        <f>HYPERLINK("https://www.reddit.com/r/cancer/comments/hcyj2g/why_wasnt_my_dad_given_a_chance/")</f>
        <v/>
      </c>
      <c r="G9886" t="inlineStr">
        <is>
          <t>2020-06-20 18:56:21</t>
        </is>
      </c>
      <c r="H9886" t="inlineStr"/>
    </row>
    <row r="9887">
      <c r="A9887" t="inlineStr">
        <is>
          <t>hcz9kb</t>
        </is>
      </c>
      <c r="B9887" t="inlineStr">
        <is>
          <t>My dad died of bile-duct liver cancer. Is that a type of soft tissue sarcoma?</t>
        </is>
      </c>
      <c r="C9887" t="inlineStr">
        <is>
          <t>Thanks for your help. I hope everyone here gets the healing they need.</t>
        </is>
      </c>
      <c r="D9887" t="n">
        <v>0</v>
      </c>
      <c r="E9887" t="n">
        <v>1</v>
      </c>
      <c r="F9887">
        <f>HYPERLINK("https://www.reddit.com/r/cancer/comments/hcz9kb/my_dad_died_of_bileduct_liver_cancer_is_that_a/")</f>
        <v/>
      </c>
      <c r="G9887" t="inlineStr">
        <is>
          <t>2020-06-20 19:44:02</t>
        </is>
      </c>
      <c r="H9887" t="inlineStr"/>
    </row>
    <row r="9888">
      <c r="A9888" t="inlineStr">
        <is>
          <t>hd0lsi</t>
        </is>
      </c>
      <c r="B9888" t="inlineStr">
        <is>
          <t>Has anyone had any luck with epiglottis reconstruction/replacement?</t>
        </is>
      </c>
      <c r="C9888" t="inlineStr">
        <is>
          <t>My father had throat cancer that completely destroyed his epiglottis (the flap in the throat that closes off your airway when you swallow). He tried swallowing therapy with two different therapists but it hasn’t been effective. He can’t eat or drink and doctors say there’s nothing they can do because it was completely destroyed. I just found out he’s smoking again because all the other things he used to like doing he can’t do anymore between the inability to swallow and covid (even though things are opening he has a compromised immune system so obviously can’t be in public with all the selfish people not wearing masks). I’m devastated and selfishly I can’t stand that he’s made the choice to go like this. Please. I can’t think straight right now, I don’t want to live in a world my father isn’t in. If anyone has had any luck with the epiglottis or has any leads I would be tremendously grateful.</t>
        </is>
      </c>
      <c r="D9888" t="n">
        <v>1</v>
      </c>
      <c r="E9888" t="n">
        <v>1</v>
      </c>
      <c r="F9888">
        <f>HYPERLINK("https://www.reddit.com/r/cancer/comments/hd0lsi/has_anyone_had_any_luck_with_epiglottis/")</f>
        <v/>
      </c>
      <c r="G9888" t="inlineStr">
        <is>
          <t>2020-06-20 21:22:33</t>
        </is>
      </c>
      <c r="H9888" t="inlineStr"/>
    </row>
    <row r="9889">
      <c r="A9889" t="inlineStr">
        <is>
          <t>hd1bdl</t>
        </is>
      </c>
      <c r="B9889" t="inlineStr">
        <is>
          <t>I’m 17 and my 17 year old boyfriend has cancer.</t>
        </is>
      </c>
      <c r="C9889" t="inlineStr">
        <is>
          <t>hey everyone. i write this post teary eyed, confused, and scared of what’s to come. my boyfriend of  6 months has been diagnosed with Hodgkin’s Lymphoma. I am so very much in love with him and am feeling quite scared. I don’t know anything with what’s to come. I don’t know how to talk to him, how to act what to say. I can’t even see him in real life because the hospital isn’t allowing visitors. I am so lost right now. What do I do and what do I expect? Any input is greatly greatly appreciated as my family and friends don’t know what to say and i feel so lost</t>
        </is>
      </c>
      <c r="D9889" t="n">
        <v>1</v>
      </c>
      <c r="E9889" t="n">
        <v>11</v>
      </c>
      <c r="F9889">
        <f>HYPERLINK("https://www.reddit.com/r/cancer/comments/hd1bdl/im_17_and_my_17_year_old_boyfriend_has_cancer/")</f>
        <v/>
      </c>
      <c r="G9889" t="inlineStr">
        <is>
          <t>2020-06-20 22:20:06</t>
        </is>
      </c>
      <c r="H9889" t="inlineStr"/>
    </row>
    <row r="9890">
      <c r="A9890" t="inlineStr">
        <is>
          <t>hd1mjm</t>
        </is>
      </c>
      <c r="B9890" t="inlineStr">
        <is>
          <t>Advice/viewpoints needed for working while on chemo nowadays</t>
        </is>
      </c>
      <c r="C9890" t="inlineStr">
        <is>
          <t>In the next few weeks I will start chemo and possibly other supplemental treatments for stage IV colon cancer. I was NED for a little over a year but now it’s back. I should start off by saying I love my job and the people I work with. I work in an environment where I can social distance, everyone is required to wear masks, I have no exposure to the public, and the company has just started rolling out voluntary on-site COVID testing (no out of pocket costs for employees). They also check temps at the door before entry to my building and there are plentiful cleaning supplies. That being said, I could feasibly work from home 2 days a week but any more than that and I wouldn’t be doing my job effectively. My managers have been very supportive and said they’d work with me to figure out a safe plan of action for me. I also considered long term disability but I’d have to pay for COBRA after a time so that doesn’t work for me financially (been there, it’s way out of my price range) Additionally, since I’m stage IV it’s likely that chemo will be happening off and on....till the end...so eventually LTD would run out. Anyway, I guess I need opinions. I worked through chemo last year doing an intermittent leave but now it’s very different...or is it. I can’t tell if I’m being stubborn to retain my independence while I have it or being stupid. Also I’m 35F so I’m not doubly in a high risk group if that helps inform your advice.</t>
        </is>
      </c>
      <c r="D9890" t="n">
        <v>1</v>
      </c>
      <c r="E9890" t="n">
        <v>6</v>
      </c>
      <c r="F9890">
        <f>HYPERLINK("https://www.reddit.com/r/cancer/comments/hd1mjm/adviceviewpoints_needed_for_working_while_on/")</f>
        <v/>
      </c>
      <c r="G9890" t="inlineStr">
        <is>
          <t>2020-06-20 22:46:07</t>
        </is>
      </c>
      <c r="H9890" t="inlineStr"/>
    </row>
    <row r="9891">
      <c r="A9891" t="inlineStr">
        <is>
          <t>hd2jyh</t>
        </is>
      </c>
      <c r="B9891" t="inlineStr">
        <is>
          <t>Cancer</t>
        </is>
      </c>
      <c r="C9891" t="inlineStr">
        <is>
          <t>My mom has stage 4 lung cancer, should I pre screen?</t>
        </is>
      </c>
      <c r="D9891" t="n">
        <v>1</v>
      </c>
      <c r="E9891" t="n">
        <v>4</v>
      </c>
      <c r="F9891">
        <f>HYPERLINK("https://www.reddit.com/r/cancer/comments/hd2jyh/cancer/")</f>
        <v/>
      </c>
      <c r="G9891" t="inlineStr">
        <is>
          <t>2020-06-21 00:09:39</t>
        </is>
      </c>
      <c r="H9891" t="inlineStr"/>
    </row>
    <row r="9892">
      <c r="A9892" t="inlineStr">
        <is>
          <t>hd5fxj</t>
        </is>
      </c>
      <c r="B9892" t="inlineStr">
        <is>
          <t>A little good news!</t>
        </is>
      </c>
      <c r="C9892" t="inlineStr">
        <is>
          <t>"Significant improvement in the main tumor mass in the right upper lobe. Today's examination shows minimal residual uptake with maximal SUV of 4.07 compared to 15.29 previously representing a 73% reduction in uptake from the prior study. Previously
noted hypermetabolic mediastinal lymph nodes are no longer apparent."
I cannot think of a better Father's day gift for my dad (stage 4 Nsclc, 90%+ pdl1) . These were the results of his PET scans after 3 Keytruda infusions.
Happy Father's day to all the fathers and to all the ones that are fighting or fought cancer. Please stay hopeful and good luck everyone! 
I can try and answer any questions or share more if you ask :)</t>
        </is>
      </c>
      <c r="D9892" t="n">
        <v>1</v>
      </c>
      <c r="E9892" t="n">
        <v>12</v>
      </c>
      <c r="F9892">
        <f>HYPERLINK("https://www.reddit.com/r/cancer/comments/hd5fxj/a_little_good_news/")</f>
        <v/>
      </c>
      <c r="G9892" t="inlineStr">
        <is>
          <t>2020-06-21 04:27:56</t>
        </is>
      </c>
      <c r="H9892" t="inlineStr"/>
    </row>
    <row r="9893">
      <c r="A9893" t="inlineStr">
        <is>
          <t>hd6akb</t>
        </is>
      </c>
      <c r="B9893" t="inlineStr">
        <is>
          <t>Would anyone like to start a discord or group chat in general I would say from 17-30 something but honestly for everyone.</t>
        </is>
      </c>
      <c r="C9893" t="inlineStr">
        <is>
          <t>My heads been in a dark place as of late and I’m not the only one out there. I want to make a group chat so everyone realizes they aren’t alone. I hope some will be interested I think it will calm the nerves of everyone. ❤️ love you all .</t>
        </is>
      </c>
      <c r="D9893" t="n">
        <v>1</v>
      </c>
      <c r="E9893" t="n">
        <v>0</v>
      </c>
      <c r="F9893">
        <f>HYPERLINK("https://www.reddit.com/r/cancer/comments/hd6akb/would_anyone_like_to_start_a_discord_or_group/")</f>
        <v/>
      </c>
      <c r="G9893" t="inlineStr">
        <is>
          <t>2020-06-21 05:40:05</t>
        </is>
      </c>
      <c r="H9893" t="inlineStr"/>
    </row>
    <row r="9894">
      <c r="A9894" t="inlineStr">
        <is>
          <t>hd6but</t>
        </is>
      </c>
      <c r="B9894" t="inlineStr">
        <is>
          <t>Does anyone want to start a discord or group chat. 17-30 something but honestly for everyone to join.</t>
        </is>
      </c>
      <c r="C9894" t="inlineStr">
        <is>
          <t>I think it will be a very good idea. It will let everyone know we are here for each other. Hopefully some will be interested ❤️❤️</t>
        </is>
      </c>
      <c r="D9894" t="n">
        <v>1</v>
      </c>
      <c r="E9894" t="n">
        <v>1</v>
      </c>
      <c r="F9894">
        <f>HYPERLINK("https://www.reddit.com/r/cancer/comments/hd6but/does_anyone_want_to_start_a_discord_or_group_chat/")</f>
        <v/>
      </c>
      <c r="G9894" t="inlineStr">
        <is>
          <t>2020-06-21 05:42:42</t>
        </is>
      </c>
      <c r="H9894" t="inlineStr"/>
    </row>
    <row r="9895">
      <c r="A9895" t="inlineStr">
        <is>
          <t>hd9ypu</t>
        </is>
      </c>
      <c r="B9895" t="inlineStr">
        <is>
          <t>In need of help for gift for a friend under chemo.</t>
        </is>
      </c>
      <c r="C9895" t="inlineStr">
        <is>
          <t>Hello,
I hope I am in the right sub. I learnt recently that the girlfriend of a friend of mine is undergoing a chemo treatment. She is from Japan and loves music ; she is a cello student.
I can't imagine how hard it can be to be away from home and having to go through this. Is there anything both traditional and or nice to have given the particular situation that I could offer as support in these hard times?
I usually go for food but I understood that it is not a good gift, at the moment.
Any ideas on something that could give her some taste (figure of speech) of home and that would be appropriate given the treatment? Are there traditional gifts or things you do in Japan you know about?
Thanks for your help.
(I am in Belgium, btw)</t>
        </is>
      </c>
      <c r="D9895" t="n">
        <v>1</v>
      </c>
      <c r="E9895" t="n">
        <v>9</v>
      </c>
      <c r="F9895">
        <f>HYPERLINK("https://www.reddit.com/r/cancer/comments/hd9ypu/in_need_of_help_for_gift_for_a_friend_under_chemo/")</f>
        <v/>
      </c>
      <c r="G9895" t="inlineStr">
        <is>
          <t>2020-06-21 09:40:35</t>
        </is>
      </c>
      <c r="H9895" t="inlineStr"/>
    </row>
    <row r="9896">
      <c r="A9896" t="inlineStr">
        <is>
          <t>hdbmkb</t>
        </is>
      </c>
      <c r="B9896" t="inlineStr">
        <is>
          <t>Dara O Briain on The Chemo Chat Show</t>
        </is>
      </c>
      <c r="C9896" t="inlineStr">
        <is>
          <t>Hi guys,
&amp;amp;#x200B;
How is everyone's lockdowns going?  I've found the time to edit my latest episode of The Chemo Chat Show - in this episode with Dara O Briain!  i'd love it if you would have a look:
&amp;amp;#x200B;
[https://www.youtube.com/watch?v=ZfoI4Tz4Io8](https://www.youtube.com/watch?v=ZfoI4Tz4Io8)
&amp;amp;#x200B;
Really appreciate any views xxx</t>
        </is>
      </c>
      <c r="D9896" t="n">
        <v>2</v>
      </c>
      <c r="E9896" t="n">
        <v>6</v>
      </c>
      <c r="F9896">
        <f>HYPERLINK("https://www.reddit.com/r/cancer/comments/hdbmkb/dara_o_briain_on_the_chemo_chat_show/")</f>
        <v/>
      </c>
      <c r="G9896" t="inlineStr">
        <is>
          <t>2020-06-21 11:16:43</t>
        </is>
      </c>
      <c r="H9896" t="inlineStr"/>
    </row>
    <row r="9897">
      <c r="A9897" t="inlineStr">
        <is>
          <t>hdc4wg</t>
        </is>
      </c>
      <c r="B9897" t="inlineStr">
        <is>
          <t>9 years ago today I was told I have cancer....</t>
        </is>
      </c>
      <c r="C9897" t="inlineStr">
        <is>
          <t>I am still here so FUCK cancer and don't give up or give in to the negative if and when you're (And I don't know you but I hope you never are) diagnosed with it. It's been a battle with other things in life including the cancer but as they say onward and upward.   
And 40 years ago the 24th of this month I lost my Father to cancer when he was only 39 and again FUCK cancer.</t>
        </is>
      </c>
      <c r="D9897" t="n">
        <v>1</v>
      </c>
      <c r="E9897" t="n">
        <v>7</v>
      </c>
      <c r="F9897">
        <f>HYPERLINK("https://www.reddit.com/r/cancer/comments/hdc4wg/9_years_ago_today_i_was_told_i_have_cancer/")</f>
        <v/>
      </c>
      <c r="G9897" t="inlineStr">
        <is>
          <t>2020-06-21 11:46:06</t>
        </is>
      </c>
      <c r="H9897" t="inlineStr"/>
    </row>
    <row r="9898">
      <c r="A9898" t="inlineStr">
        <is>
          <t>hdfazf</t>
        </is>
      </c>
      <c r="B9898" t="inlineStr">
        <is>
          <t>help releasing\closing a circle</t>
        </is>
      </c>
      <c r="C9898" t="inlineStr">
        <is>
          <t>Hi everyone. first post here, hope it finds you well.  
my story with cancer is not short, and i hope it won't bore you too much. I'm clean for almost five years now, and healthy for the last 3 (the therapy took quite a toll on me, so I wasn't really healthy even tough i was clean), but now i find myself in a different struggle. I started writing with post as a short question about post cancer\\in memorium tattoos, but the words kept on coming and when I was finished I realized this was no longer a question about tattoos. 
trigger warning- death
I was diagnosed with AML Leukemia in 2014. i was 23, hospitalized on and off for almost a year, got enough chemo in me to kill a horse twice (the first round of 23/7 chemo didn't help, hence the Twice). I gave the doctors a run for their money with a few nights i didn't even think i was going to make it, but somehow i did and the cancer went into remmision. the doctors figured the remission can't really last, so i got a third round of 23/7 chemo (this time directed at my own immune system) and bone marrow transplant from my younger brother. after that our blood types clashed, i was O-,  and he is (and now me too) A+. that caused me to have around 6 g/dl hemo for almost a year, which ment i had to get between 1 to 2 blood transfusions a week. getting a bio medicine to help with that caused me to contract AVN in my hip joint, a condition i overcame but it has left me with a significant limp. the transplant eventually was a success, my blood type changed and I'm not only healthy, but  i can sleep soundly knowing the disease is completely gone and can't come back (there are up sides to bone marrow transplants). I've been incredibly lucky, and had a lot of support from my family, not to mention my brothers donation, excellent doctors, and I'm very thankful for that.
One of those days where i went to the hospital to get checked and possibly get some blood, my doctor asked me if i can talk to one of the patients who been just diagnosed with the same type of leukemia i had only a few months before that. she felt a connection between us, and she was not mistaken. we were both activists in similar organizations, and though i didn't know him personally, both of our organizations are run by (and help build) tightly knit communities, and we had a lot of mutual friends. our doctor asked me to talk to him, help him understand whats a head of him, and help the family understand what to prepare for. every once in a while i gave him a visit when i came in. we both did the same type of work, merging activism and education, so naturally i became somewhat of an older brother to him. his disease was caught at an earlier stage then mine, and his recovery seemed to go much better. he didn't need bone marrow transplant, and even though he was hospitalized a year after I was he was completely over it almost the same time as me. we both went back to our lives, meeting each other at rallies or conventions once in a while. the disease took a much lighter toll on him, or so i thought.
I got the call from a close friend of mine who is married to one of his friends. during the summer of  '18 he got the flu, and he couldn't shake it off. after a week or so he went to get a checkup, and, as you probably figured out already, his blood count came back suspicious. two weeks after that he passed away.
As you can probably tell from my post, its very difficult for me to move on, both from my disease and and from his passing. The cancer is still with me, i have scars and a limp that I can hide most of the time, but it will never go away. every year around this time something reminds me of him. we were not in touch during the end, and I found out what happened from his friends and family. I don't believe in god or any higher power, maybe if i did i could explain why i get to keep on living while he is dead and berried. I know its not my fault so i don't feel guilt, but the randomness of it all is the one thing i can't just shrug off and move on from. I feel like i really need and explanation on why do i get to live, and the same time I know there is no one with an answer that will setisfy me.
After writing all of this Im still not sure what i want from you guys. maybe just to shout into the void of the internet. but maybe someone will find this relatable, or has their own incomplete answer. maybe someone will be left less alone with their thoughts, because my friends and family don't really get why i still feel this way three years after his passing. 
I think Ill get a tattoo. maybe having a physical representation of this thought out side of my head help me to release at least some of it, or maybe it will help me mourn, both him and my own body, like a tomb stone.
If someone has a tattoo that was created for their own story with cancer or something that helped them release that they wish to share, I might find it helpful, and so do others.</t>
        </is>
      </c>
      <c r="D9898" t="n">
        <v>1</v>
      </c>
      <c r="E9898" t="n">
        <v>3</v>
      </c>
      <c r="F9898">
        <f>HYPERLINK("https://www.reddit.com/r/cancer/comments/hdfazf/help_releasingclosing_a_circle/")</f>
        <v/>
      </c>
      <c r="G9898" t="inlineStr">
        <is>
          <t>2020-06-21 14:49:00</t>
        </is>
      </c>
      <c r="H9898" t="inlineStr"/>
    </row>
    <row r="9899">
      <c r="A9899" t="inlineStr">
        <is>
          <t>hdfsz7</t>
        </is>
      </c>
      <c r="B9899" t="inlineStr">
        <is>
          <t>Mum and AML</t>
        </is>
      </c>
      <c r="C9899" t="inlineStr">
        <is>
          <t>18 months ago my Mum (65) was diagnosed with AML. Mum decided she didn't want to potentially spend her final days going through extremely agressive chemo with such a small chance of survival.
She has had 15 rounds of azacitidine and has been doing great. However on a blood test 2 weeks ago her counts didn't look so great and over the last week she has really not been feeling well at all and has has constant nose bleeds. I can tell by talking to her that she is feeling worse than she is letting on. She is heading in for a blood test tomorrow.
I guess I'm just stressed and want answers that may not exist. When azacitidine stops working how quickly does it all go south?</t>
        </is>
      </c>
      <c r="D9899" t="n">
        <v>2</v>
      </c>
      <c r="E9899" t="n">
        <v>1</v>
      </c>
      <c r="F9899">
        <f>HYPERLINK("https://www.reddit.com/r/cancer/comments/hdfsz7/mum_and_aml/")</f>
        <v/>
      </c>
      <c r="G9899" t="inlineStr">
        <is>
          <t>2020-06-21 15:19:00</t>
        </is>
      </c>
      <c r="H9899" t="inlineStr"/>
    </row>
    <row r="9900">
      <c r="A9900" t="inlineStr">
        <is>
          <t>hdg16m</t>
        </is>
      </c>
      <c r="B9900" t="inlineStr">
        <is>
          <t>I'm in remission for hodgkin's but I've got a fever and I'm freaking tf out</t>
        </is>
      </c>
      <c r="C9900" t="inlineStr">
        <is>
          <t>I have a fever with no other symptoms. I got a negative coronavirus test on Sunday. I was hoping it was corona...
I've had a low grade fever for about a week now and I'm panicking. I haven't stopped crying. I can't go through it again I just can't. I'm too scared to call my team, I don't even want to entertain it. But my brain is saying well what else could cause a fever with no other symptoms? I can only think of cancer.
I've had mild itching but put that down to chemo just drying my skin out because I was itching when I got my clear scan. 
I'm six months in remission. I had ABVD for stage 2a. It was horrible, I cried of happiness when it was over.
I know the only advice is that I should call my team I'd just love anyone to chip in if they've had a fever that was nothing because I'm mentally broken</t>
        </is>
      </c>
      <c r="D9900" t="n">
        <v>1</v>
      </c>
      <c r="E9900" t="n">
        <v>1</v>
      </c>
      <c r="F9900">
        <f>HYPERLINK("https://www.reddit.com/r/cancer/comments/hdg16m/im_in_remission_for_hodgkins_but_ive_got_a_fever/")</f>
        <v/>
      </c>
      <c r="G9900" t="inlineStr">
        <is>
          <t>2020-06-21 15:32:46</t>
        </is>
      </c>
      <c r="H9900" t="inlineStr"/>
    </row>
    <row r="9901">
      <c r="A9901" t="inlineStr">
        <is>
          <t>hdgwv0</t>
        </is>
      </c>
      <c r="B9901" t="inlineStr">
        <is>
          <t>Step-mom just diagnosed with Stage 4 Ovarian Cancer.</t>
        </is>
      </c>
      <c r="C9901" t="inlineStr">
        <is>
          <t>Hi there. 
My dad let me know that my stepmoms late stage cancer was at Stage 4 on Friday. Honestly I'm still kind of in shock. Back in 2000 we lost his mom to breast cancer, and it tore him up; this one is just as hard. I was just a kid when I lost my grandmother, so now I don't know what to do to be supportive. They only live about an hour or so away from me (I'm in Denver, they're in Ft. Collins), so it's not too hard of a drive for me. And her surgery will be close to me when the time comes. 
When I told them that I'm planning to take some time off from work to help out, my stepmom was supportive, but my dad told me not to worry about it and that he'll let me know what to do. I'm just worried that he might be taking on too much, but I don't want to feel like I'm overstepping. 
For clarity, I've lived with my dad and stepmom since I was 12, I'm thirty now. She helped raise me, dealt with my shit as a teenager and young adult; I just want to help as a son, but I don't know what else to do.</t>
        </is>
      </c>
      <c r="D9901" t="n">
        <v>2</v>
      </c>
      <c r="E9901" t="n">
        <v>1</v>
      </c>
      <c r="F9901">
        <f>HYPERLINK("https://www.reddit.com/r/cancer/comments/hdgwv0/stepmom_just_diagnosed_with_stage_4_ovarian_cancer/")</f>
        <v/>
      </c>
      <c r="G9901" t="inlineStr">
        <is>
          <t>2020-06-21 16:29:01</t>
        </is>
      </c>
      <c r="H9901" t="inlineStr"/>
    </row>
    <row r="9902">
      <c r="A9902" t="inlineStr">
        <is>
          <t>hdjfwq</t>
        </is>
      </c>
      <c r="B9902" t="inlineStr">
        <is>
          <t>Happy Father’s Day</t>
        </is>
      </c>
      <c r="C9902" t="inlineStr">
        <is>
          <t>Today can be especially hard for some. Some no longer have their father to celebrate today with. I understand how you feel. We will stick together and remain strong for our dads. It’s what they would have wanted. I love you all!</t>
        </is>
      </c>
      <c r="D9902" t="n">
        <v>1</v>
      </c>
      <c r="E9902" t="n">
        <v>1</v>
      </c>
      <c r="F9902">
        <f>HYPERLINK("https://www.reddit.com/r/cancer/comments/hdjfwq/happy_fathers_day/")</f>
        <v/>
      </c>
      <c r="G9902" t="inlineStr">
        <is>
          <t>2020-06-21 19:19:53</t>
        </is>
      </c>
      <c r="H9902" t="inlineStr"/>
    </row>
    <row r="9903">
      <c r="A9903" t="inlineStr">
        <is>
          <t>hdlgcy</t>
        </is>
      </c>
      <c r="B9903" t="inlineStr">
        <is>
          <t>Any recommended alternative therapies instead of or conjunction of chemo/radiation.</t>
        </is>
      </c>
      <c r="C9903" t="inlineStr">
        <is>
          <t>Asking because my mother was recently diagnosed with stage 4 colon cancer mets to liver and am really looking outside the box on this one. I know theres some stuff on ozone and rife machines...vit C IV doses etc. I would appreciate if the naysayers bite their tongue unless they have had personal failed experiences with alternative therapies. Any stories or references would be greatly appreciated thank you.</t>
        </is>
      </c>
      <c r="D9903" t="n">
        <v>1</v>
      </c>
      <c r="E9903" t="n">
        <v>2</v>
      </c>
      <c r="F9903">
        <f>HYPERLINK("https://www.reddit.com/r/cancer/comments/hdlgcy/any_recommended_alternative_therapies_instead_of/")</f>
        <v/>
      </c>
      <c r="G9903" t="inlineStr">
        <is>
          <t>2020-06-21 21:45:00</t>
        </is>
      </c>
      <c r="H9903" t="inlineStr"/>
    </row>
    <row r="9904">
      <c r="A9904" t="inlineStr">
        <is>
          <t>hdmlmy</t>
        </is>
      </c>
      <c r="B9904" t="inlineStr">
        <is>
          <t>Blindness during chemo</t>
        </is>
      </c>
      <c r="C9904" t="inlineStr">
        <is>
          <t>My brother is going through treatment for metastatic melanoma. He's lost his vision. Doctors have no clue and say no one else exhibits this symptom and they can't help him. Anyone else have blindness during treatment?</t>
        </is>
      </c>
      <c r="D9904" t="n">
        <v>1</v>
      </c>
      <c r="E9904" t="n">
        <v>8</v>
      </c>
      <c r="F9904">
        <f>HYPERLINK("https://www.reddit.com/r/cancer/comments/hdmlmy/blindness_during_chemo/")</f>
        <v/>
      </c>
      <c r="G9904" t="inlineStr">
        <is>
          <t>2020-06-21 23:07:32</t>
        </is>
      </c>
      <c r="H9904" t="inlineStr"/>
    </row>
    <row r="9905">
      <c r="A9905" t="inlineStr">
        <is>
          <t>hdo4q3</t>
        </is>
      </c>
      <c r="B9905" t="inlineStr">
        <is>
          <t>Stomach cancer stage 4</t>
        </is>
      </c>
      <c r="C9905" t="inlineStr">
        <is>
          <t>My mom just got diagnosed with Stage 4 stomach cancer in the small intestine. She is only 56. I'm broken. Idk what to do. There are so many depressing facts online.
Docs said stage 4 is just starting and it's spreading to lymph nodes (or something) and recommended 4 doses of chemotherapy over 2 months and then surgery and later chemo again.</t>
        </is>
      </c>
      <c r="D9905" t="n">
        <v>1</v>
      </c>
      <c r="E9905" t="n">
        <v>6</v>
      </c>
      <c r="F9905">
        <f>HYPERLINK("https://www.reddit.com/r/cancer/comments/hdo4q3/stomach_cancer_stage_4/")</f>
        <v/>
      </c>
      <c r="G9905" t="inlineStr">
        <is>
          <t>2020-06-22 01:08:10</t>
        </is>
      </c>
      <c r="H9905" t="inlineStr"/>
    </row>
    <row r="9906">
      <c r="A9906" t="inlineStr">
        <is>
          <t>hdoade</t>
        </is>
      </c>
      <c r="B9906" t="inlineStr">
        <is>
          <t>My grandma was diagnosed with Stage 4 Gastric cancer a week ago</t>
        </is>
      </c>
      <c r="C9906" t="inlineStr">
        <is>
          <t>My grandma had some stomach pains and went to the doctor a couple weeks ago. Last week we found out she had stage 4 stomach cancer. This was just out of no where, she didn’t have any issues a month or two ago. She had her port surgery and first session on friday. Currently shes in alot of pain, unable to eat anything. She feels full but she is starving and can’t eat much at all. Shes only been able to have ensure, a little bit of saltines, and plain porridge. She is definitely lacking alot of daily nutrients and is also have a hard time swalling pills or anything hard in general. Any suggestions or advice on things she could try?</t>
        </is>
      </c>
      <c r="D9906" t="n">
        <v>1</v>
      </c>
      <c r="E9906" t="n">
        <v>6</v>
      </c>
      <c r="F9906">
        <f>HYPERLINK("https://www.reddit.com/r/cancer/comments/hdoade/my_grandma_was_diagnosed_with_stage_4_gastric/")</f>
        <v/>
      </c>
      <c r="G9906" t="inlineStr">
        <is>
          <t>2020-06-22 01:21:02</t>
        </is>
      </c>
      <c r="H9906" t="inlineStr"/>
    </row>
    <row r="9907">
      <c r="A9907" t="inlineStr">
        <is>
          <t>hdpmuz</t>
        </is>
      </c>
      <c r="B9907" t="inlineStr">
        <is>
          <t>Guilt from my dad dying from cancer when I was 13</t>
        </is>
      </c>
      <c r="C9907" t="inlineStr">
        <is>
          <t>I'm not sure if anyone will read this or help me, but I really need to get this off my chest. When I was 12 my dad got diagnosed with pancreatic cancer. I went to the hospital to visit him after his surgery, but I had become a lot more distant from his than I had when I was younger. He got chemo and eventually recovered, but what I didn't know, was that pancreatic cancer is super deadly. It came back when I was 13. This time it was aggressive and my dad was deteriorating day by day. I got him pizza when he asked, i wrote a poem in class that had memories of him and showed him, and when he was low on blood sugar I fed him, and he knew and thanked me. When he was bed ridden however, I never came into his room to talk to him or ask him how he was. The truth is I was scared of seeing my dad in that state. I didn't know what i would say to him.
I didnt visit my dad in his room while he was bed ridden for a week at a time. My mom was his care giver near the end of his life. I know I was in denial at that point but I also remember wanting to tell him i loved him before he died. I never worked up the courage to (at this point we weren't that close and im Indian so my parents weren't raised with i love yous). We ate Christmas dinner together, and then 10 days later I visited him in his room to say hi, and the next day he died. I feel so much guilt. I know i was 13 and I just didn't want to see my dad in that state, but did my dad know that? Did my dad know I loved him? I feel so much guilt, and I dont know what to do with myself.</t>
        </is>
      </c>
      <c r="D9907" t="n">
        <v>1</v>
      </c>
      <c r="E9907" t="n">
        <v>6</v>
      </c>
      <c r="F9907">
        <f>HYPERLINK("https://www.reddit.com/r/cancer/comments/hdpmuz/guilt_from_my_dad_dying_from_cancer_when_i_was_13/")</f>
        <v/>
      </c>
      <c r="G9907" t="inlineStr">
        <is>
          <t>2020-06-22 03:10:39</t>
        </is>
      </c>
      <c r="H9907" t="inlineStr"/>
    </row>
    <row r="9908">
      <c r="A9908" t="inlineStr">
        <is>
          <t>hds67w</t>
        </is>
      </c>
      <c r="B9908" t="inlineStr">
        <is>
          <t>Dad finished radiation and chemo</t>
        </is>
      </c>
      <c r="C9908" t="inlineStr">
        <is>
          <t>It's been a couple of weeks now. He lost 14lbs during his 7 weeks of treatment. Mostly muscle. He still feels like crap + weak. Wondering how long this typically lasts (I know everyone is different, but getting a few numbers from people just to get an idea), and if there's anything he can do other than him keeping up with making sure he's getting his calories in.
He was thinking it was going to be a fast recovery. He's also impatient. He said he looked up some stuff and saw it could take double the time of the treatment to start feeling better. Unsure how accurate that is, especially since he isn't someone who's even great at googling. Haha. I just want him to start feeling better and anything I can get for him and let him know to do to start having more energy or muscle or whatever. 
He was getting radiation directly on his neck so I got him a couple of those frogg togg towels that stay cool for hours and have uv protection because he had said he was supposed to have that spot covered up + that it felt sunburnt from doing radiation 5 days a week for those 7 weeks. Also a gift card to McDonald's because he really enjoys it when it tastes good so I figured it could be like, for when things start tasting better type of thing.</t>
        </is>
      </c>
      <c r="D9908" t="n">
        <v>1</v>
      </c>
      <c r="E9908" t="n">
        <v>1</v>
      </c>
      <c r="F9908">
        <f>HYPERLINK("https://www.reddit.com/r/cancer/comments/hds67w/dad_finished_radiation_and_chemo/")</f>
        <v/>
      </c>
      <c r="G9908" t="inlineStr">
        <is>
          <t>2020-06-22 06:17:39</t>
        </is>
      </c>
      <c r="H9908" t="inlineStr"/>
    </row>
    <row r="9909">
      <c r="A9909" t="inlineStr">
        <is>
          <t>hdsxct</t>
        </is>
      </c>
      <c r="B9909" t="inlineStr">
        <is>
          <t>IDC recurring as IBC?</t>
        </is>
      </c>
      <c r="C9909" t="inlineStr">
        <is>
          <t>My wife had a lumpectomy in january and finished radiation in March for a small (8mm) stage 1 grade 1 ER+/PR+/Her2- IDC and has been taking tamoxifen since. Everything pointed to this being extremely slow growing and non-aggressive, but there was LVI involvement. The tamoxifen has kicked her ass a bit but otherwise everything has been going well. 
A couple weeks ago we went camping. That morning after sleeping in the tent she woke up with pain in her breast around to her armpit, with some slight redness. We had chalked it up to pain from sleeping on the ground (she can’t kick being a belly sleeper) but it hasn’t gotten any better (or worse). 
We are calling the doctors today but I’m freaking out that her cancer has come back as inflammatory bc. Is that a thing? Can that happen? This is much more likely to just be an infection or scarring or nerve irritation, right?</t>
        </is>
      </c>
      <c r="D9909" t="n">
        <v>1</v>
      </c>
      <c r="E9909" t="n">
        <v>3</v>
      </c>
      <c r="F9909">
        <f>HYPERLINK("https://www.reddit.com/r/cancer/comments/hdsxct/idc_recurring_as_ibc/")</f>
        <v/>
      </c>
      <c r="G9909" t="inlineStr">
        <is>
          <t>2020-06-22 07:04:19</t>
        </is>
      </c>
      <c r="H9909" t="inlineStr"/>
    </row>
    <row r="9910">
      <c r="A9910" t="inlineStr">
        <is>
          <t>hdt54m</t>
        </is>
      </c>
      <c r="B9910" t="inlineStr">
        <is>
          <t>Fuck cancer. Can I get a amen</t>
        </is>
      </c>
      <c r="C9910" t="inlineStr">
        <is>
          <t>My family is sick. I need support. Please send prayers</t>
        </is>
      </c>
      <c r="D9910" t="n">
        <v>2</v>
      </c>
      <c r="E9910" t="n">
        <v>45</v>
      </c>
      <c r="F9910">
        <f>HYPERLINK("https://www.reddit.com/r/cancer/comments/hdt54m/fuck_cancer_can_i_get_a_amen/")</f>
        <v/>
      </c>
      <c r="G9910" t="inlineStr">
        <is>
          <t>2020-06-22 07:17:11</t>
        </is>
      </c>
      <c r="H9910" t="inlineStr"/>
    </row>
    <row r="9911">
      <c r="A9911" t="inlineStr">
        <is>
          <t>hdtdoj</t>
        </is>
      </c>
      <c r="B9911" t="inlineStr">
        <is>
          <t>I want to break but I can't...</t>
        </is>
      </c>
      <c r="C9911" t="inlineStr">
        <is>
          <t>A few weeks ago we found out my nan has a tumor in her brain. Its inoperable, untreatable and fast progressing. 
Since then she has declined rapidly. Her speech is harder to follow, her movements are slower, her level of understanding is declining and she has recently had a fall. 
Me and my nan are incredibly close. She has been a constant source of support in my life. Shes the matriarch of our family, the queen of Christmas (she makes it magical for everyone who visits her home during the holidays) and shes the best grandmother and great grandmother that ever lived. I named my daughter after her and her and my daughter have an extremely close bond. 
I took my little girl to visit her the other day. She was thrilled and loved seeing her. But the next day, she couldn't remember we had been round. 
2 months ago I created a 30th birthday video for my sister and my nan and grandad recorded a special message just for her. I've been avoiding watching it since her diagnosis but yesterday, I watched it. I completely broke down. Hearing her talk, seeing her joy and smile, her mannerisms and just the life in her. That is mostly all gone now. My nan as we knew her has already been taking from me. And I'm struggling. I really am. It's not fair. I want my nan back. She would have made everything better. She would have hugged me and told me everything was ok and I would have believed her. 
I feel like a huge part of me has gone with her. I'm in a state of limbo and keep imagining it's all a bad dream or some how she will get better but I know she wont. Shes dying and no one can do a thing. 
We are a big family and everyone is pulling together and being there for my nan and grandad as well as each other. However I've never felt more isolated. I feel like my relationship with her was special, but I know everyone will feel that way. I'm 29 years old and this is the first great loss I have ever experienced. I know that makes me very lucky but I'm so unprepared i have no idea how to cope. I find myself just crying randomly when I remember the good times. 
I had voicemails from her on my phone however they all got deleted just before this all happened (there is no way they can be recovered, I've tried). 
I've kept my true struggles and fear a secret from my family. I'm being strong for the younger ones, my mum and my grandad but every day I'm breaking a little bit more. I'm finding it hard to maintain this strength. 
I've tried mentioning it to my mum, however she said she understands but we have to keep going and stay strong. Which I know shes right about, but I'm just having a really tough time right now. I wish we could go back 2 months, I would go and hug her so tight coronavirus be damned. 
Thanks to this virus, she has spent the last months of her life isolated from the family she loves so much. That's heartbreaking for me. 
If you've read this whole thing thank you. I have no where else to truly Express my feelings as it feels like everyone is handling this so much better than me and I feel like I have to be as strong as them. 
So thank you for listening. 
A bit about my nan:
She was born in Ireland and has always been an incredibly strong Irish catholic woman. 
Her and my grandad have been married almost 60 years, they are my inspiration for relationships and truly love each other my. 
She took me, my four siblings and my mum in to her home when we had no where else to go. 
She turned her garage in to santas grotto one year and had my auntie dress up and hand out gifts to every single grandchild (15 at the time). She then gave us gifts from a hanging sleigh in her living room and gave every grandchild a scooter (they had only just become popular). We spent Christmas eve riding up and down her street as she watched with joy. 
Shes beat cancer twice already among many other health issues and remained strong. 
She took me to every single doctors appointment when I was pregnant and brought me and my daughter home from hospital after she was born. 
We used to talk on the phone every single week before she got ill, we would always end up laughing. 
No matter what happened, she was always in my corner. She always had my back. 
I just wanted to show the world how amazing this woman has been.
Thanks for listening.</t>
        </is>
      </c>
      <c r="D9911" t="n">
        <v>1</v>
      </c>
      <c r="E9911" t="n">
        <v>0</v>
      </c>
      <c r="F9911">
        <f>HYPERLINK("https://www.reddit.com/r/cancer/comments/hdtdoj/i_want_to_break_but_i_cant/")</f>
        <v/>
      </c>
      <c r="G9911" t="inlineStr">
        <is>
          <t>2020-06-22 07:31:13</t>
        </is>
      </c>
      <c r="H9911" t="inlineStr"/>
    </row>
    <row r="9912">
      <c r="A9912" t="inlineStr">
        <is>
          <t>hdv17h</t>
        </is>
      </c>
      <c r="B9912" t="inlineStr">
        <is>
          <t>My final treatment is today</t>
        </is>
      </c>
      <c r="C9912" t="inlineStr">
        <is>
          <t>I'm sitting in the waiting room waiting to get called back for my last and final radiation treatment.
Fuck this bullshit!!! Fuck it all, my chest feels like sunburn every day.
Fuck breast cancer (male)
No more hospital shit after today hopefully for a very very long time!!! I see my oncologist after all this shit today and then I hope I get a long break from the hospital!!!
There is a reason I'm not happy when I step in here hospital staff... IT'S BECAUSE I'M FIGHTING CANCER!!! WHO THE FUCK IS HAPPY DOING THIS SHIT?
Who wants to do a mastectomy, chemo, and radiation? Seriously who the fuck would be happy about this... THINK!!!! YOU FUCKING STAFF MEMBERS!!!
There is a reason I sound like Robert on every body loves Raymond.</t>
        </is>
      </c>
      <c r="D9912" t="n">
        <v>3</v>
      </c>
      <c r="E9912" t="n">
        <v>7</v>
      </c>
      <c r="F9912">
        <f>HYPERLINK("https://www.reddit.com/r/cancer/comments/hdv17h/my_final_treatment_is_today/")</f>
        <v/>
      </c>
      <c r="G9912" t="inlineStr">
        <is>
          <t>2020-06-22 09:01:47</t>
        </is>
      </c>
      <c r="H9912" t="inlineStr"/>
    </row>
    <row r="9913">
      <c r="A9913" t="inlineStr">
        <is>
          <t>hdwppa</t>
        </is>
      </c>
      <c r="B9913" t="inlineStr">
        <is>
          <t>My friend is in pain again after treatment, is this normal??</t>
        </is>
      </c>
      <c r="C9913" t="inlineStr">
        <is>
          <t>She has hodgkin’s lymphoma and she finished treatment about a month ago. Last night she posted on her instagram about being in pain again and said it was the same pain she was in when she first started having cancer. Is this normal to have? She said she was scared to tel her Mom about it, and it’s making me insanely anxious.</t>
        </is>
      </c>
      <c r="D9913" t="n">
        <v>2</v>
      </c>
      <c r="E9913" t="n">
        <v>4</v>
      </c>
      <c r="F9913">
        <f>HYPERLINK("https://www.reddit.com/r/cancer/comments/hdwppa/my_friend_is_in_pain_again_after_treatment_is/")</f>
        <v/>
      </c>
      <c r="G9913" t="inlineStr">
        <is>
          <t>2020-06-22 10:31:11</t>
        </is>
      </c>
      <c r="H9913" t="inlineStr"/>
    </row>
    <row r="9914">
      <c r="A9914" t="inlineStr">
        <is>
          <t>hdxi19</t>
        </is>
      </c>
      <c r="B9914" t="inlineStr">
        <is>
          <t>Scan results - Negative :)</t>
        </is>
      </c>
      <c r="C9914" t="inlineStr">
        <is>
          <t>Bone scan and ct scan show no metastases.  The ct scan shows sclerosis developing in my neck and moderate degenerative disease in my sternum/clavicle joint that accounts for the pain.
Arthritis  but no cancer.   Lol I don't think I have ever liked being called old before this, I'll take it.</t>
        </is>
      </c>
      <c r="D9914" t="n">
        <v>11</v>
      </c>
      <c r="E9914" t="n">
        <v>8</v>
      </c>
      <c r="F9914">
        <f>HYPERLINK("https://www.reddit.com/r/cancer/comments/hdxi19/scan_results_negative/")</f>
        <v/>
      </c>
      <c r="G9914" t="inlineStr">
        <is>
          <t>2020-06-22 11:12:17</t>
        </is>
      </c>
      <c r="H9914" t="inlineStr"/>
    </row>
    <row r="9915">
      <c r="A9915" t="inlineStr">
        <is>
          <t>he0qfc</t>
        </is>
      </c>
      <c r="B9915" t="inlineStr">
        <is>
          <t>Rick Simpson oil</t>
        </is>
      </c>
      <c r="C9915" t="inlineStr">
        <is>
          <t>So I just bought a ton of Rick Simpson oil and my sister who has stage 4 colon cancer said that she felt pain when taking the indica syringe. But she only took half a milligram when she was taking about 50 mg a day. Now they're convinced by their doctor to go through chemo. Is there anyone here who has success by using RSO?</t>
        </is>
      </c>
      <c r="D9915" t="n">
        <v>0</v>
      </c>
      <c r="E9915" t="n">
        <v>10</v>
      </c>
      <c r="F9915">
        <f>HYPERLINK("https://www.reddit.com/r/cancer/comments/he0qfc/rick_simpson_oil/")</f>
        <v/>
      </c>
      <c r="G9915" t="inlineStr">
        <is>
          <t>2020-06-22 14:00:54</t>
        </is>
      </c>
      <c r="H9915" t="inlineStr"/>
    </row>
    <row r="9916">
      <c r="A9916" t="inlineStr">
        <is>
          <t>he0xzw</t>
        </is>
      </c>
      <c r="B9916" t="inlineStr">
        <is>
          <t>hallelujah</t>
        </is>
      </c>
      <c r="C9916" t="inlineStr">
        <is>
          <t>My colon cancer is gone .</t>
        </is>
      </c>
      <c r="D9916" t="n">
        <v>3</v>
      </c>
      <c r="E9916" t="n">
        <v>12</v>
      </c>
      <c r="F9916">
        <f>HYPERLINK("https://www.reddit.com/r/cancer/comments/he0xzw/hallelujah/")</f>
        <v/>
      </c>
      <c r="G9916" t="inlineStr">
        <is>
          <t>2020-06-22 14:12:25</t>
        </is>
      </c>
      <c r="H9916" t="inlineStr"/>
    </row>
    <row r="9917">
      <c r="A9917" t="inlineStr">
        <is>
          <t>he189o</t>
        </is>
      </c>
      <c r="B9917" t="inlineStr">
        <is>
          <t>The silver lining</t>
        </is>
      </c>
      <c r="C9917" t="inlineStr">
        <is>
          <t>Hi guys, just lost my aunt today. She was like a mother to me. Couldn't be with her b/c of covid border restrictions. The worst. My grandma just told me that she mentioned my name and that I called. That was the last thing she apparently reacted to before closing her eyes forever. I am equally sad of my loss and grateful that she knew I am with her in her final moment. It is the little things guys. Never stop seeing the beauty in them.</t>
        </is>
      </c>
      <c r="D9917" t="n">
        <v>5</v>
      </c>
      <c r="E9917" t="n">
        <v>0</v>
      </c>
      <c r="F9917">
        <f>HYPERLINK("https://www.reddit.com/r/cancer/comments/he189o/the_silver_lining/")</f>
        <v/>
      </c>
      <c r="G9917" t="inlineStr">
        <is>
          <t>2020-06-22 14:28:09</t>
        </is>
      </c>
      <c r="H9917" t="inlineStr"/>
    </row>
    <row r="9918">
      <c r="A9918" t="inlineStr">
        <is>
          <t>he2zgj</t>
        </is>
      </c>
      <c r="B9918" t="inlineStr">
        <is>
          <t>Advice/Info for a friend...</t>
        </is>
      </c>
      <c r="C9918" t="inlineStr">
        <is>
          <t>A good friend just had testicular cancer and had one of his testicles removed. Biopsy afterwards showed it was Stage 1 cancer.
He's been given 3 choices:
1: monitoring mode - just monitor for some time to see if any cancer comes back. 15% chance of cancer returning
2: remove lymph nodes - remove some (all?) lymph nodes. Biopsy them. Figure out a percentage based on if they have cancerous cells.
3: round of chemo - reduces the 15% chance to a 3% chance
He's leaning monitoring, his mom is leaning chemo.
Anyone have any experience with having their lymph nodes removed or chemo in this sort of situation? Is the 12% chance reduction worth going through chemo for? (I gather chemo is a hard road.)</t>
        </is>
      </c>
      <c r="D9918" t="n">
        <v>1</v>
      </c>
      <c r="E9918" t="n">
        <v>2</v>
      </c>
      <c r="F9918">
        <f>HYPERLINK("https://www.reddit.com/r/cancer/comments/he2zgj/adviceinfo_for_a_friend/")</f>
        <v/>
      </c>
      <c r="G9918" t="inlineStr">
        <is>
          <t>2020-06-22 16:07:03</t>
        </is>
      </c>
      <c r="H9918" t="inlineStr"/>
    </row>
    <row r="9919">
      <c r="A9919" t="inlineStr">
        <is>
          <t>he3m1i</t>
        </is>
      </c>
      <c r="B9919" t="inlineStr">
        <is>
          <t>How expensive is it to make a wig with your own hair. (Toronto Canada)</t>
        </is>
      </c>
      <c r="C9919" t="inlineStr">
        <is>
          <t>The mother of a close friend started chemo recently. I'm a Male who has hair past my shoulders. I was thinking of cutting it short and making a wig for the mother. After looking online, it looks like  this would cost at least a few hundred dollars. Their family is not in the greatest financial position, and neither am I. I'll pay if it comes down to it, but I was wondering if theres any charities or companies that provide this sort of service specifically for cancer patients without a marked up price.
 Thanks</t>
        </is>
      </c>
      <c r="D9919" t="n">
        <v>1</v>
      </c>
      <c r="E9919" t="n">
        <v>3</v>
      </c>
      <c r="F9919">
        <f>HYPERLINK("https://www.reddit.com/r/cancer/comments/he3m1i/how_expensive_is_it_to_make_a_wig_with_your_own/")</f>
        <v/>
      </c>
      <c r="G9919" t="inlineStr">
        <is>
          <t>2020-06-22 16:45:16</t>
        </is>
      </c>
      <c r="H9919" t="inlineStr"/>
    </row>
    <row r="9920">
      <c r="A9920" t="inlineStr">
        <is>
          <t>he3pqj</t>
        </is>
      </c>
      <c r="B9920" t="inlineStr">
        <is>
          <t>I hate the word “abnormality”</t>
        </is>
      </c>
      <c r="C9920" t="inlineStr">
        <is>
          <t>I had stage 2 breast cancer in 2009. Finished up my 10 years of aromatase inhibitor last year. Just went in for brain &amp;amp; torso CT and full body bone scan over the past few weeks to officially check out of oncology clinic. Had my phone consult today and CT was clean! Yay!
Bone scan showed an “abnormality” in my spine so they’re scheduling an MRI to get more info, but that will take a few weeks thanks to covid, and even then not sure if I’ll be getting results over the phone at some point or in person or what. Hopefully it’s just arthritis. Ack. I could definitely do without the uncertainty and anxiety on top of all the other shit in the world right now.</t>
        </is>
      </c>
      <c r="D9920" t="n">
        <v>1</v>
      </c>
      <c r="E9920" t="n">
        <v>4</v>
      </c>
      <c r="F9920">
        <f>HYPERLINK("https://www.reddit.com/r/cancer/comments/he3pqj/i_hate_the_word_abnormality/")</f>
        <v/>
      </c>
      <c r="G9920" t="inlineStr">
        <is>
          <t>2020-06-22 16:51:38</t>
        </is>
      </c>
      <c r="H9920" t="inlineStr"/>
    </row>
    <row r="9921">
      <c r="A9921" t="inlineStr">
        <is>
          <t>he3t5o</t>
        </is>
      </c>
      <c r="B9921" t="inlineStr">
        <is>
          <t>Why am I like this</t>
        </is>
      </c>
      <c r="C9921" t="inlineStr">
        <is>
          <t>So last year I found out my mum had stage 4 breast cancer and I feel like I haven’t been as understanding as I should be toward her. I feel like it still hasn’t sunk in at all that she has cancer as she seems relatively healthy and I feel like I’m a bad person for not being nicer to my mum during this time. I just struggle to accept that she really does have cancer I think</t>
        </is>
      </c>
      <c r="D9921" t="n">
        <v>1</v>
      </c>
      <c r="E9921" t="n">
        <v>3</v>
      </c>
      <c r="F9921">
        <f>HYPERLINK("https://www.reddit.com/r/cancer/comments/he3t5o/why_am_i_like_this/")</f>
        <v/>
      </c>
      <c r="G9921" t="inlineStr">
        <is>
          <t>2020-06-22 16:57:27</t>
        </is>
      </c>
      <c r="H9921" t="inlineStr"/>
    </row>
    <row r="9922">
      <c r="A9922" t="inlineStr">
        <is>
          <t>he4f5y</t>
        </is>
      </c>
      <c r="B9922" t="inlineStr">
        <is>
          <t>A cancer diagnosis in the middle of a worldwide pandemic</t>
        </is>
      </c>
      <c r="C9922" t="inlineStr">
        <is>
          <t>We're still in the early stages of figuring out the extent of it, and it's beyond frustrating.  
My dad was diagnosed with pneumonia earlier this year right around the beginning of COVID, he was sent for a chest x-ray a few weeks ago after still exhibiting symptoms/coughing up blood.  Then came the CATscan.  Then the biopsy.  Then the PETscan.  It's definitely in his lung and potentially on his esophagus, adrenal gland, and in his brain.  Another biopsy will be later this week, he'll be put under for the doctor to get at whatever is on the outside of his esophagus.  
He hasn't even seen an oncologist yet.  
I'm frustrated with how slow this process is- is it normally like this?  I'm frustrated with the selfish people that refuse to wear a mask in this state, thus COVID cases are on a steady rise- especially in my county and the surrounding counties- and because of it we can't go into the doctor's office with him, and we can't wait with him in the hospital before the procedure this week.  We drop him at the door and wish him good luck, and it feels so cold and mean.  I'm frustrated that he has to do this all alone, that he doesn't have someone with him to ask the questions he's not thinking of.  
I've been beyond fortunate in my life so far to have never had anyone close to me with cancer- until now.  I don't know what to expect, how hard this road will be.  I'm frustrated and nervous and scared and angry, and I barely know anything at all yet.</t>
        </is>
      </c>
      <c r="D9922" t="n">
        <v>1</v>
      </c>
      <c r="E9922" t="n">
        <v>7</v>
      </c>
      <c r="F9922">
        <f>HYPERLINK("https://www.reddit.com/r/cancer/comments/he4f5y/a_cancer_diagnosis_in_the_middle_of_a_worldwide/")</f>
        <v/>
      </c>
      <c r="G9922" t="inlineStr">
        <is>
          <t>2020-06-22 17:35:04</t>
        </is>
      </c>
      <c r="H9922" t="inlineStr"/>
    </row>
    <row r="9923">
      <c r="A9923" t="inlineStr">
        <is>
          <t>he4zns</t>
        </is>
      </c>
      <c r="B9923" t="inlineStr">
        <is>
          <t>Misery loves company</t>
        </is>
      </c>
      <c r="C9923" t="inlineStr">
        <is>
          <t>Any fellow premed students or former premeds here? I’ve been out of college for chemo since last fall and I’m a year behind now. Stage IV NH lymphoma. I still can’t go outside because the pandemic is still a very real thing. Just looking for motivation and hope :)</t>
        </is>
      </c>
      <c r="D9923" t="n">
        <v>1</v>
      </c>
      <c r="E9923" t="n">
        <v>4</v>
      </c>
      <c r="F9923">
        <f>HYPERLINK("https://www.reddit.com/r/cancer/comments/he4zns/misery_loves_company/")</f>
        <v/>
      </c>
      <c r="G9923" t="inlineStr">
        <is>
          <t>2020-06-22 18:11:04</t>
        </is>
      </c>
      <c r="H9923" t="inlineStr"/>
    </row>
    <row r="9924">
      <c r="A9924" t="inlineStr">
        <is>
          <t>he7mwl</t>
        </is>
      </c>
      <c r="B9924" t="inlineStr">
        <is>
          <t>Envita</t>
        </is>
      </c>
      <c r="C9924" t="inlineStr">
        <is>
          <t>A relative is going to Envita in Scottsdale, AZ soon for cancer treatment.  Anyone know anything about this place?  Is it legit?
All I know about it, is that it is extremely expensive and insurance/Medicare does not cover costs.  Is this a place where holistic-only treatments are performed? Do they just sell hope?</t>
        </is>
      </c>
      <c r="D9924" t="n">
        <v>1</v>
      </c>
      <c r="E9924" t="n">
        <v>3</v>
      </c>
      <c r="F9924">
        <f>HYPERLINK("https://www.reddit.com/r/cancer/comments/he7mwl/envita/")</f>
        <v/>
      </c>
      <c r="G9924" t="inlineStr">
        <is>
          <t>2020-06-22 21:06:33</t>
        </is>
      </c>
      <c r="H9924" t="inlineStr"/>
    </row>
    <row r="9925">
      <c r="A9925" t="inlineStr">
        <is>
          <t>he7pap</t>
        </is>
      </c>
      <c r="B9925" t="inlineStr">
        <is>
          <t>Cancer anxiety</t>
        </is>
      </c>
      <c r="C9925" t="inlineStr">
        <is>
          <t>Hello everyone. I [27m] have an appointment at my doctor today about some throat pain I have been having for half a year now. I feel a small weird patch beside my tonsils and it has a little strange smell. Also my lymph knods are swollen permanently for years now and my family history about pharyngial cancer isn't very helpful either. This all is slowly driving me nuts and my fear of having cancer grows with every second. I am on the verge of an anxiety attack and can't close my eyes at night. Do you people here have any tips on how to calm down? How to deal with a worst case scenario?</t>
        </is>
      </c>
      <c r="D9925" t="n">
        <v>2</v>
      </c>
      <c r="E9925" t="n">
        <v>2</v>
      </c>
      <c r="F9925">
        <f>HYPERLINK("https://www.reddit.com/r/cancer/comments/he7pap/cancer_anxiety/")</f>
        <v/>
      </c>
      <c r="G9925" t="inlineStr">
        <is>
          <t>2020-06-22 21:11:19</t>
        </is>
      </c>
      <c r="H9925" t="inlineStr"/>
    </row>
    <row r="9926">
      <c r="A9926" t="inlineStr">
        <is>
          <t>he8tzg</t>
        </is>
      </c>
      <c r="B9926" t="inlineStr">
        <is>
          <t>MIL with breast cancer. I need some advice.</t>
        </is>
      </c>
      <c r="C9926" t="inlineStr">
        <is>
          <t>As the title says MIL was diagnosed with malignant breast cancer. She has close family who have died from Bc as well. She had a double mastectomy the other day. We do not live close to her at all and this has been really hard. As soon as I found out I researched the ever living shit out of it. I think I just felt I needed some control. 
I need advice:
1. My partner was told by his parents like an hour post op that her cancer was not in her lymph nodes. They hadn’t biopsied her lymph nodes before so I don’t understand how they would know this? Then she was saying she was ready to just “move on with her life.” I really love that she is so optimistic but I am anxious. They haven’t yet gotten any pathology I am wondering if they meant the doctors could not see any cancer in her lymph nodes? It makes me a little concerned that they are painting an overly rosy picture for my partner. I don’t think optimism hurts at this point but he’s their only child and needs to know things.
2. What is the best way to support my partner?  He’s feeling helpless being so far away.
3. What can we expect of the next few weeks?</t>
        </is>
      </c>
      <c r="D9926" t="n">
        <v>1</v>
      </c>
      <c r="E9926" t="n">
        <v>0</v>
      </c>
      <c r="F9926">
        <f>HYPERLINK("https://www.reddit.com/r/cancer/comments/he8tzg/mil_with_breast_cancer_i_need_some_advice/")</f>
        <v/>
      </c>
      <c r="G9926" t="inlineStr">
        <is>
          <t>2020-06-22 22:36:42</t>
        </is>
      </c>
      <c r="H9926" t="inlineStr"/>
    </row>
    <row r="9927">
      <c r="A9927" t="inlineStr">
        <is>
          <t>heacka</t>
        </is>
      </c>
      <c r="B9927" t="inlineStr">
        <is>
          <t>5 yr survivor ideas</t>
        </is>
      </c>
      <c r="C9927" t="inlineStr">
        <is>
          <t>Hi all. My husband is coming up on his 5 year cancerversary in a Few months. He has been fighting Stage 4 colon cancer since his diagnosis. He has had a 3 recurrences after his initial liver resection and currently he’s a few months out from a lung surgery. His prognosis was grim when he was diagnosed in 2015. To quote Hamilton, the fact that he is alive right now is a miracle. But he is a fighter and has a lot to live for. Ok, no more cliches. 😜. 
Hubby is fairly laid back and introverted and I could use some celebration ideas. If it weren’t for Covid we would have some friends and family over to celebrate. I was thinking of asking anyone who loves him as a friend or family member to submit a 15-30 second clip of what he means to them and why they are glad he is in their life. I would then put it all together as a video party for him. The 5 yr survival rate for colon cancer on the day he was diagnosed was 11%. I want him to know how proud and thankful we are for him and his fight. ❤️ any other ideas to celebrate him would be much appreciated.</t>
        </is>
      </c>
      <c r="D9927" t="n">
        <v>1</v>
      </c>
      <c r="E9927" t="n">
        <v>1</v>
      </c>
      <c r="F9927">
        <f>HYPERLINK("https://www.reddit.com/r/cancer/comments/heacka/5_yr_survivor_ideas/")</f>
        <v/>
      </c>
      <c r="G9927" t="inlineStr">
        <is>
          <t>2020-06-23 00:45:34</t>
        </is>
      </c>
      <c r="H9927" t="inlineStr"/>
    </row>
    <row r="9928">
      <c r="A9928" t="inlineStr">
        <is>
          <t>heacn9</t>
        </is>
      </c>
      <c r="B9928" t="inlineStr">
        <is>
          <t>What should I get my mom for making it 5 years after a stage 4 breast cancer diagnoses?</t>
        </is>
      </c>
      <c r="C9928" t="inlineStr">
        <is>
          <t>My mom was diagnosed almost 5 years ago with stage 4 metastatic breast cancer. She has been on chemo for this time and I’ve heard that surviving 5 years after this diagnosis is a big deal. I want to do something special for her. Are there any ideas you may have?</t>
        </is>
      </c>
      <c r="D9928" t="n">
        <v>1</v>
      </c>
      <c r="E9928" t="n">
        <v>3</v>
      </c>
      <c r="F9928">
        <f>HYPERLINK("https://www.reddit.com/r/cancer/comments/heacn9/what_should_i_get_my_mom_for_making_it_5_years/")</f>
        <v/>
      </c>
      <c r="G9928" t="inlineStr">
        <is>
          <t>2020-06-23 00:45:48</t>
        </is>
      </c>
      <c r="H9928" t="inlineStr"/>
    </row>
    <row r="9929">
      <c r="A9929" t="inlineStr">
        <is>
          <t>hebamn</t>
        </is>
      </c>
      <c r="B9929" t="inlineStr">
        <is>
          <t>Cancer killed my mom , but it never broke her</t>
        </is>
      </c>
      <c r="C9929" t="inlineStr">
        <is>
          <t>She died today in the morning. Diagnosed with cervical cancer back in 2017, it metastasized to her brain. She was 53 years old. 
My father and i helped her through her battle over the years, cancer broke her body to the point that it took a tremendous effort to do normal daily activities, but it never broke her spirit. I am so proud of her.
Thank you all for being with me.</t>
        </is>
      </c>
      <c r="D9929" t="n">
        <v>1</v>
      </c>
      <c r="E9929" t="n">
        <v>17</v>
      </c>
      <c r="F9929">
        <f>HYPERLINK("https://www.reddit.com/r/cancer/comments/hebamn/cancer_killed_my_mom_but_it_never_broke_her/")</f>
        <v/>
      </c>
      <c r="G9929" t="inlineStr">
        <is>
          <t>2020-06-23 02:12:01</t>
        </is>
      </c>
      <c r="H9929" t="inlineStr"/>
    </row>
    <row r="9930">
      <c r="A9930" t="inlineStr">
        <is>
          <t>hebd3t</t>
        </is>
      </c>
      <c r="B9930" t="inlineStr">
        <is>
          <t>After successful chemo and surgery, I have been unable to finish radiotherapy due to crappy third world issues of broken machines that can't be fixed at the moment and will now have to have a mastectomy.</t>
        </is>
      </c>
      <c r="C9930" t="inlineStr">
        <is>
          <t>I live in a third world country, one that is currently falling apart more than usual. The health system is so messed up that there are only 6 radiotherapy machines in the whole country and only one of them works. Sadly this functioning machine is in another town, far away from where I live and with the current risks is not really an option.
I started radiotherapy in March, the machine then broke down in April, 21 sessions. I have 9 more sessions to go. This was during the lockdown so they were unable to fly in a technician to fix yet. Yeah imagine we don't have anyone locally that is skilled to fix it.
Roll on to yesterday when I saw my oncologist and we were discussing what my options are seeing as finishing the radiotherapy is not possible for the foreseeable future. This is when I learnt that I will most likely need to have a mastectomy as I didn't receive enough levels of radiation for it to be effective. 
I was diagnosed with s3 her2 positive breast cancer, was given the all clear after surgery in January and according to my treatment plan I would have been finished with everything in Aug this year. Now this. I should probably be grateful that at least I still have options to consider but right now I just feel super low and defeated.</t>
        </is>
      </c>
      <c r="D9930" t="n">
        <v>1</v>
      </c>
      <c r="E9930" t="n">
        <v>6</v>
      </c>
      <c r="F9930">
        <f>HYPERLINK("https://www.reddit.com/r/cancer/comments/hebd3t/after_successful_chemo_and_surgery_i_have_been/")</f>
        <v/>
      </c>
      <c r="G9930" t="inlineStr">
        <is>
          <t>2020-06-23 02:18:24</t>
        </is>
      </c>
      <c r="H9930" t="inlineStr"/>
    </row>
    <row r="9931">
      <c r="A9931" t="inlineStr">
        <is>
          <t>hech6u</t>
        </is>
      </c>
      <c r="B9931" t="inlineStr">
        <is>
          <t>Any doctors with experience on NET-cancer?</t>
        </is>
      </c>
      <c r="C9931" t="inlineStr">
        <is>
          <t>Hi, a little question from the Netherlands.
My mom's diagnosed with NET-cancer (a-typical) and has also DPD deficiency and has a short or no important enzyme which means a lot of chemo/medicines doesn't work. The tumors are at her lung/trachea, liver and small pelvis. 
The liver doesn't respond on anything despite al the tries of different treatments: First the doctors thought it was small cell cancer so they gave a very heavy chemo, then some experimental chemo's which is used by brain tumors (captum?), then the everolimus but a to high dose right away. My mom also went to Letland for hyperthermy and vit. C shots + rigvir shots. And now we're back on the everolimus starting a small dose since this was the only one where the liver responded just a little bit at. 
We're kinda desperate. The doctors had given my mom till october last year but she's still with us. Only the liver brings so much pain. I hope there's someone here experienced in this type of cancer and has some tips. We're also thinking to try hyperthermy again here in NL.
Thank you for reading. Any tips are welcome!</t>
        </is>
      </c>
      <c r="D9931" t="n">
        <v>1</v>
      </c>
      <c r="E9931" t="n">
        <v>3</v>
      </c>
      <c r="F9931">
        <f>HYPERLINK("https://www.reddit.com/r/cancer/comments/hech6u/any_doctors_with_experience_on_netcancer/")</f>
        <v/>
      </c>
      <c r="G9931" t="inlineStr">
        <is>
          <t>2020-06-23 03:55:07</t>
        </is>
      </c>
      <c r="H9931" t="inlineStr"/>
    </row>
    <row r="9932">
      <c r="A9932" t="inlineStr">
        <is>
          <t>heelwl</t>
        </is>
      </c>
      <c r="B9932" t="inlineStr">
        <is>
          <t>How to be productive during chemo?</t>
        </is>
      </c>
      <c r="C9932" t="inlineStr">
        <is>
          <t>Hi,
I recently found out that the cancer came back and I am in the hospital now for the beginning of my 9 weeks of chemotherapy. 
I could do something productive but I am just not in the mood for it. At the same time I am bored.
Do you have any tips how to motivate myself or at least stop the boredom?
Thanks a lot in advance</t>
        </is>
      </c>
      <c r="D9932" t="n">
        <v>1</v>
      </c>
      <c r="E9932" t="n">
        <v>9</v>
      </c>
      <c r="F9932">
        <f>HYPERLINK("https://www.reddit.com/r/cancer/comments/heelwl/how_to_be_productive_during_chemo/")</f>
        <v/>
      </c>
      <c r="G9932" t="inlineStr">
        <is>
          <t>2020-06-23 06:28:16</t>
        </is>
      </c>
      <c r="H9932" t="inlineStr"/>
    </row>
    <row r="9933">
      <c r="A9933" t="inlineStr">
        <is>
          <t>hehxat</t>
        </is>
      </c>
      <c r="B9933" t="inlineStr">
        <is>
          <t>My dad’s cancer markers are back up and I don’t know how to feel :/</t>
        </is>
      </c>
      <c r="C9933" t="inlineStr">
        <is>
          <t>My dad was diagnosed with stage 3 liver cancer back in October which was—to say the least—unexpected because he never drank, abused substances, or had liver problems in the past. Shortly after his diagnosis he did the Y90 treatment and his cancer markers went waaay down and everything was looking up. He was gaining weight again, working out regularly, and felt positive. 
Then, this month, we found out that his cancer has since spread to his lungs and that his cancer markers are back where they were before. He also has a large blood clot in his liver that the doctors don’t know how to deal with. It just feels like all the “progress” we had has been quickly erased. 
He acts positive but I know inside this is hurting him :( he’s very young and healthy and I just feel like this was so odd to happen to him, and I don’t know how to help him.
I’m not really sure why I’m typing this out but it feels good to talk to people about it who have been through similar things :( if you have any advice on how to help him or how to cope with everyday, I would very much appreciate it.</t>
        </is>
      </c>
      <c r="D9933" t="n">
        <v>1</v>
      </c>
      <c r="E9933" t="n">
        <v>2</v>
      </c>
      <c r="F9933">
        <f>HYPERLINK("https://www.reddit.com/r/cancer/comments/hehxat/my_dads_cancer_markers_are_back_up_and_i_dont/")</f>
        <v/>
      </c>
      <c r="G9933" t="inlineStr">
        <is>
          <t>2020-06-23 09:35:59</t>
        </is>
      </c>
      <c r="H9933" t="inlineStr"/>
    </row>
    <row r="9934">
      <c r="A9934" t="inlineStr">
        <is>
          <t>helppc</t>
        </is>
      </c>
      <c r="B9934" t="inlineStr">
        <is>
          <t>Cbd and the likd</t>
        </is>
      </c>
      <c r="C9934" t="inlineStr">
        <is>
          <t>Hello,
My mother has been diagnosed with cancer in her neck, cancerous nodules on her thyroid.
I was curious if there was anything I could do in the world of cbd or T/H/C.
If anyone had any experience with it.
Let me know 
Thank you 
Any advice or wisdom is appreciated</t>
        </is>
      </c>
      <c r="D9934" t="n">
        <v>3</v>
      </c>
      <c r="E9934" t="n">
        <v>3</v>
      </c>
      <c r="F9934">
        <f>HYPERLINK("https://www.reddit.com/r/cancer/comments/helppc/cbd_and_the_likd/")</f>
        <v/>
      </c>
      <c r="G9934" t="inlineStr">
        <is>
          <t>2020-06-23 12:55:03</t>
        </is>
      </c>
      <c r="H9934" t="inlineStr"/>
    </row>
    <row r="9935">
      <c r="A9935" t="inlineStr">
        <is>
          <t>helwuy</t>
        </is>
      </c>
      <c r="B9935" t="inlineStr">
        <is>
          <t>A question about how cancer spreads</t>
        </is>
      </c>
      <c r="C9935" t="inlineStr">
        <is>
          <t>I’m not sure if this is a stupid question or not, so apologies if so.
My dad’s got stage III pancreatic cancer, he was lucky enough to have surgery to remove the bulk of the tumour. However biopsy shows it has reached his lymph nodes. It has not yet reached other organs.
He’s been referred for chemotherapy and is awaiting a call from the oncologist. 
I’m worried about delays due to the current strain on NHS, as well as whether he is fit enough to withstand after recovering from surgery.
Is there an “average time” for it to spread to a point of later stage once in lymph nodes? Are some secondary sites more favourable for cancer cells to grow? How does it work? If it’s an aggressive cancer does this mean it progresses quicker? Will delays to treatment affect the progression/prognosis?
Sorry for being naive, though I believe they are still aiming for curative at the moment and I am so hoping that remains the case for him!</t>
        </is>
      </c>
      <c r="D9935" t="n">
        <v>2</v>
      </c>
      <c r="E9935" t="n">
        <v>3</v>
      </c>
      <c r="F9935">
        <f>HYPERLINK("https://www.reddit.com/r/cancer/comments/helwuy/a_question_about_how_cancer_spreads/")</f>
        <v/>
      </c>
      <c r="G9935" t="inlineStr">
        <is>
          <t>2020-06-23 13:05:32</t>
        </is>
      </c>
      <c r="H9935" t="inlineStr"/>
    </row>
    <row r="9936">
      <c r="A9936" t="inlineStr">
        <is>
          <t>hempe4</t>
        </is>
      </c>
      <c r="B9936" t="inlineStr">
        <is>
          <t>Uncle (68) diagnosed with cancer, lives out of state, has no one to help him</t>
        </is>
      </c>
      <c r="C9936" t="inlineStr">
        <is>
          <t>I live in Texas, my uncle (68 years old) lives in Missouri... about 13 hours away. He was recently diagnosed with multiple myeloma and is home on chemo drugs... supposed to start radiation Friday, can barely walk, etc. 
He has a step-son (45ish) who lives with him but is mentally disabled and step-son stated today he is overwhelmed with the caregiver role and can no longer do it. So pretty much Uncle has no one to care for him. 
Uncle and his step-son are constantly confused about what meds to take and when. I’ve been on the phone with his home health nurse and his oncology nurse multiple times.. I just don’t know what to do. 
I’m curious what resources there are or what to do at this point. He can come live with me but i have no idea where to start, or if he could even make the 13 hour drive to Texas. 
How would we switch oncologists and doctors?? Anyone dealt with this? Who do i talk to next?? 
Any advice is appreciated!!!</t>
        </is>
      </c>
      <c r="D9936" t="n">
        <v>1</v>
      </c>
      <c r="E9936" t="n">
        <v>0</v>
      </c>
      <c r="F9936">
        <f>HYPERLINK("https://www.reddit.com/r/cancer/comments/hempe4/uncle_68_diagnosed_with_cancer_lives_out_of_state/")</f>
        <v/>
      </c>
      <c r="G9936" t="inlineStr">
        <is>
          <t>2020-06-23 13:48:19</t>
        </is>
      </c>
      <c r="H9936" t="inlineStr"/>
    </row>
    <row r="9937">
      <c r="A9937" t="inlineStr">
        <is>
          <t>hen0bv</t>
        </is>
      </c>
      <c r="B9937" t="inlineStr">
        <is>
          <t>kappa light chain myeloma ?</t>
        </is>
      </c>
      <c r="C9937" t="inlineStr">
        <is>
          <t>I’m posting for my dad (58m). He was diagnosed with kappa light chain myeloma earlier this year. they caught it early for this type of cancer and is finishing up his second round of chemo. but he has a question, when your feet and ankles are swelling &amp;amp; tingling, he assumes it’s from his chemo meds, have any of you struggled with this as well? thanks!</t>
        </is>
      </c>
      <c r="D9937" t="n">
        <v>1</v>
      </c>
      <c r="E9937" t="n">
        <v>5</v>
      </c>
      <c r="F9937">
        <f>HYPERLINK("https://www.reddit.com/r/cancer/comments/hen0bv/kappa_light_chain_myeloma/")</f>
        <v/>
      </c>
      <c r="G9937" t="inlineStr">
        <is>
          <t>2020-06-23 14:04:47</t>
        </is>
      </c>
      <c r="H9937" t="inlineStr"/>
    </row>
    <row r="9938">
      <c r="A9938" t="inlineStr">
        <is>
          <t>henskr</t>
        </is>
      </c>
      <c r="B9938" t="inlineStr">
        <is>
          <t>Got sorted into the least favorable clinical trial group...</t>
        </is>
      </c>
      <c r="C9938" t="inlineStr">
        <is>
          <t>Posting to just let it out. Today after months of fighting to get some place to start my treatment I got it. Unfortunately, however, i’m only getting 6 instead of usual 36 doses, because thats the group i got thru randomization in the clinical trial. Damn this is unfair. I fought and then waited for so long to get...this :(
The personnel was trying to console me, saying they didnt have more recurrences in that group and stuff but damn, you have data from like 20 people and a year so far. Most of those people are 75-90 so won’t live long enough to give good data for long term recurrence anyway (i know its brutal, i dont care, not today). Mehh why couldnt fate give the 24 yo the good stuff :(
First day of treatment behind me. So far nothing bad is happening. We will see tomorrow. Best to you all</t>
        </is>
      </c>
      <c r="D9938" t="n">
        <v>1</v>
      </c>
      <c r="E9938" t="n">
        <v>2</v>
      </c>
      <c r="F9938">
        <f>HYPERLINK("https://www.reddit.com/r/cancer/comments/henskr/got_sorted_into_the_least_favorable_clinical/")</f>
        <v/>
      </c>
      <c r="G9938" t="inlineStr">
        <is>
          <t>2020-06-23 14:46:44</t>
        </is>
      </c>
      <c r="H9938" t="inlineStr"/>
    </row>
    <row r="9939">
      <c r="A9939" t="inlineStr">
        <is>
          <t>henypw</t>
        </is>
      </c>
      <c r="B9939" t="inlineStr">
        <is>
          <t>19F "very rare and surprising"</t>
        </is>
      </c>
      <c r="C9939" t="inlineStr">
        <is>
          <t>got diagnosed with, you guessed it, stage 4 cancer. at 19. breast cancer that by some *miracle* went to my liver. apparently i'm the youngest person my doctor has diagnosed, but all of the signs fit and my liver might be fucked. 
now, get this, *i can't do surgery or chemo* 
am i basically dead or is it worth trying their "combo meds?"
i have too many other health problems for anything but the combo meds, but everything has a pretty low chance of helping. trying to decide if i want to just let it run its course or try to stop it</t>
        </is>
      </c>
      <c r="D9939" t="n">
        <v>2</v>
      </c>
      <c r="E9939" t="n">
        <v>73</v>
      </c>
      <c r="F9939">
        <f>HYPERLINK("https://www.reddit.com/r/cancer/comments/henypw/19f_very_rare_and_surprising/")</f>
        <v/>
      </c>
      <c r="G9939" t="inlineStr">
        <is>
          <t>2020-06-23 14:55:37</t>
        </is>
      </c>
      <c r="H9939" t="inlineStr"/>
    </row>
    <row r="9940">
      <c r="A9940" t="inlineStr">
        <is>
          <t>heon9h</t>
        </is>
      </c>
      <c r="B9940" t="inlineStr">
        <is>
          <t>Some surprising good news</t>
        </is>
      </c>
      <c r="C9940" t="inlineStr">
        <is>
          <t>I was diagnosed with Ewing's Sarcoma (a rare bone cancer) back in October 2019. I've been having high dosage chemotherapy for the past 8 months, which has been not fun at all, but I'm getting through it. At the time of diagnosis, the cancer had spread from the primary site in my pelvis to a few sites elsewhere. There was a few bits up my spine, for example. My scans have been showing that the chemotherapy had been working quite well. Although the last scans I had were back in April and lately I have found that the pain in my back has been getting worse and worse.I was getting extremely worried that the cancer was progressing. I was booked in for an MRI of the spine to see what the cause of this back pain was... and I was so ready for it to be bad news.
&amp;amp;#x200B;
However, my doctor rang me yesterday and told me that from looking at my spine MRI there was no evidence of disease in my spine anymore! I was in shock. The back pain is just because the vertebrae have been left damaged from the cancer that used to be there. The intense chemo regimen I've been on for the past 8 months has also left the vertebrae weak. I think I have two collapsed vertebrae at this point lmao. But I will take that over cancer!!!
&amp;amp;#x200B;
Of course, that was only one site of metastasis. I will be having more scans now to look at the rest of my body, but the doctor seems very positive. And I feel no pain at all in the rest of my body, which is a good sign - because I used to feel intense pain in a lot of my bones. He said that he doesn't plan on giving me any more chemotherapy. I'm trying not to get my hopes up too much because it has been such a hard 8 months... but things seem to be only going in the right direction and I'm delighted. I had stopped believing in there ever being a light at the end of the tunnel, but now I feel like I'm reaching it. If things go well, I will have my last chemo session this week.</t>
        </is>
      </c>
      <c r="D9940" t="n">
        <v>1</v>
      </c>
      <c r="E9940" t="n">
        <v>0</v>
      </c>
      <c r="F9940">
        <f>HYPERLINK("https://www.reddit.com/r/cancer/comments/heon9h/some_surprising_good_news/")</f>
        <v/>
      </c>
      <c r="G9940" t="inlineStr">
        <is>
          <t>2020-06-23 15:32:19</t>
        </is>
      </c>
      <c r="H9940" t="inlineStr"/>
    </row>
    <row r="9941">
      <c r="A9941" t="inlineStr">
        <is>
          <t>hepfqa</t>
        </is>
      </c>
      <c r="B9941" t="inlineStr">
        <is>
          <t>I’m so scared</t>
        </is>
      </c>
      <c r="C9941" t="inlineStr">
        <is>
          <t>My[17F] mom[54F] was diagnosed with brain cancer in December 2019, and we know it’s serious and aggressive,  but I recently found out that she has not told me and my sister[21F] the name of her diagnosis. I have looked around and I am pretty sure it is stage 4 glioblastoma she has. The symptoms are the same. But this made me realize for the first time how little time we might have left together, the prognosis is not good at all and the average expected life span is 9 months. 9 MONTHS. That is in 3 months. What if she suddenly goes very ill again... I fear this the most. She will never see me succeed, all she will remember me as is the mentally ill teenager who dropped out of school and needed therapy from the age of 9. She will never see me succeed, or do well in school for the first time... this breaks my heart and I have no idea how to possibly cope with her death. How it would affect everyone around me. We are a small family, and we are all very close. Everyone around me would be devastated. I don’t want to think about it, but I know the day will come...</t>
        </is>
      </c>
      <c r="D9941" t="n">
        <v>1</v>
      </c>
      <c r="E9941" t="n">
        <v>5</v>
      </c>
      <c r="F9941">
        <f>HYPERLINK("https://www.reddit.com/r/cancer/comments/hepfqa/im_so_scared/")</f>
        <v/>
      </c>
      <c r="G9941" t="inlineStr">
        <is>
          <t>2020-06-23 16:15:07</t>
        </is>
      </c>
      <c r="H9941" t="inlineStr"/>
    </row>
    <row r="9942">
      <c r="A9942" t="inlineStr">
        <is>
          <t>hequdo</t>
        </is>
      </c>
      <c r="B9942" t="inlineStr">
        <is>
          <t>Do you think cancer changes a person's outlook and perspective on life? If so, how?</t>
        </is>
      </c>
      <c r="C9942" t="inlineStr">
        <is>
          <t>I'm a student applying to medical school this year. I have volunteered at a cancer clinic where I interacted with patients with varying prognoses, ranging from good to very bad. I often found myself feeling guilty for worrying about such trivial things in life as I suffer from Generalized Anxiety Disorder. Many of the patients I interacted with had such positive energy and were always happy to see the doctor. How does having cancer change one's outlook on life? I would love to hear from survivors or anyone who has their own perspective. Thanks!</t>
        </is>
      </c>
      <c r="D9942" t="n">
        <v>1</v>
      </c>
      <c r="E9942" t="n">
        <v>11</v>
      </c>
      <c r="F9942">
        <f>HYPERLINK("https://www.reddit.com/r/cancer/comments/hequdo/do_you_think_cancer_changes_a_persons_outlook_and/")</f>
        <v/>
      </c>
      <c r="G9942" t="inlineStr">
        <is>
          <t>2020-06-23 17:41:13</t>
        </is>
      </c>
      <c r="H9942" t="inlineStr"/>
    </row>
    <row r="9943">
      <c r="A9943" t="inlineStr">
        <is>
          <t>herzsd</t>
        </is>
      </c>
      <c r="B9943" t="inlineStr">
        <is>
          <t>Is there a link between level of nausea and chemo “working”?</t>
        </is>
      </c>
      <c r="C9943" t="inlineStr">
        <is>
          <t>Family member with late stage 4 cancer is getting very sick from the chemo treatments and her husband claims that means the chemo is “working”, if she was having no reaction then he would be concerned. He says when his brother passed from cancer, he was never affected by the chemo and so they knew it wasn’t working for him. 
This sounds completely unfounded medically to me, but I am not a doctor or nurse. Can someone confirm if this is true or not?</t>
        </is>
      </c>
      <c r="D9943" t="n">
        <v>1</v>
      </c>
      <c r="E9943" t="n">
        <v>3</v>
      </c>
      <c r="F9943">
        <f>HYPERLINK("https://www.reddit.com/r/cancer/comments/herzsd/is_there_a_link_between_level_of_nausea_and_chemo/")</f>
        <v/>
      </c>
      <c r="G9943" t="inlineStr">
        <is>
          <t>2020-06-23 18:56:07</t>
        </is>
      </c>
      <c r="H9943" t="inlineStr"/>
    </row>
    <row r="9944">
      <c r="A9944" t="inlineStr">
        <is>
          <t>hesbfy</t>
        </is>
      </c>
      <c r="B9944" t="inlineStr">
        <is>
          <t>My Mom is a radiation therapist (treats cancer) , ask her anything.</t>
        </is>
      </c>
      <c r="C9944" t="inlineStr">
        <is>
          <t>My mom treats cancer with anything and i have gotten her to agree to post a ama.</t>
        </is>
      </c>
      <c r="D9944" t="n">
        <v>1</v>
      </c>
      <c r="E9944" t="n">
        <v>32</v>
      </c>
      <c r="F9944">
        <f>HYPERLINK("https://www.reddit.com/r/cancer/comments/hesbfy/my_mom_is_a_radiation_therapist_treats_cancer_ask/")</f>
        <v/>
      </c>
      <c r="G9944" t="inlineStr">
        <is>
          <t>2020-06-23 19:16:58</t>
        </is>
      </c>
      <c r="H9944" t="inlineStr"/>
    </row>
    <row r="9945">
      <c r="A9945" t="inlineStr">
        <is>
          <t>hesg35</t>
        </is>
      </c>
      <c r="B9945" t="inlineStr">
        <is>
          <t>Taking Inventory before Transplant | DailyTodd#13</t>
        </is>
      </c>
      <c r="C9945" t="inlineStr">
        <is>
          <t>As I'm preparing for my second Stemcell transplant, I created [THIS VIDEO](https://www.youtube.com/watch?v=68KpZeNgIBI&amp;amp;feature=share) about getting my affairs in order. I've been a big believer in using this experience called cancer as a way to really grow as a person and try to find happiness and peace. Getting control of disorganization is a huge part of that. 
Do you agree?
[View Poll](https://www.reddit.com/poll/hesg35)</t>
        </is>
      </c>
      <c r="D9945" t="n">
        <v>1</v>
      </c>
      <c r="E9945" t="n">
        <v>0</v>
      </c>
      <c r="F9945">
        <f>HYPERLINK("https://www.reddit.com/r/cancer/comments/hesg35/taking_inventory_before_transplant_dailytodd13/")</f>
        <v/>
      </c>
      <c r="G9945" t="inlineStr">
        <is>
          <t>2020-06-23 19:25:28</t>
        </is>
      </c>
      <c r="H9945" t="inlineStr"/>
    </row>
    <row r="9946">
      <c r="A9946" t="inlineStr">
        <is>
          <t>hetefq</t>
        </is>
      </c>
      <c r="B9946" t="inlineStr">
        <is>
          <t>Brain mets (a rant + question post)</t>
        </is>
      </c>
      <c r="C9946" t="inlineStr">
        <is>
          <t>That's how it is with cancer. Five steps forward, four steps back. Not too long ago, mom (stage 4 nsclc) got to ring the bell and then, just like that, she collapsed Friday and had a seizure. The cause? Brain metastasis, caught very early. Her team has a treatment plan in place, but we have now transitioned from curable cancer to treatable cancer. 
What's worse? Due to possible COVID exposure at work I have to socially isolate myself from her in our home until I get my test results back. I'm able to both cook and clean with a mask on, as those activities do not involve being in close proximity to her, but I can't help her style her hair or sit and talk with her face to face. She's taking it very personally, but I don't think I could live with myself if I killed her. 
Two questions: how hopeless is stage 4? how do you explain to a cancer patient that COVID will absolutely destroy them?</t>
        </is>
      </c>
      <c r="D9946" t="n">
        <v>1</v>
      </c>
      <c r="E9946" t="n">
        <v>2</v>
      </c>
      <c r="F9946">
        <f>HYPERLINK("https://www.reddit.com/r/cancer/comments/hetefq/brain_mets_a_rant_question_post/")</f>
        <v/>
      </c>
      <c r="G9946" t="inlineStr">
        <is>
          <t>2020-06-23 20:29:01</t>
        </is>
      </c>
      <c r="H9946" t="inlineStr"/>
    </row>
    <row r="9947">
      <c r="A9947" t="inlineStr">
        <is>
          <t>hetvwk</t>
        </is>
      </c>
      <c r="B9947" t="inlineStr">
        <is>
          <t>How long did it take for you to recover mentally after cancer</t>
        </is>
      </c>
      <c r="C9947" t="inlineStr">
        <is>
          <t>How long did it take for you to feel like your old self again, to recover from the depression and anxiety and all other mental things caused by having cancer if you experienced it. How long did it take for you to return to having a normal life again</t>
        </is>
      </c>
      <c r="D9947" t="n">
        <v>1</v>
      </c>
      <c r="E9947" t="n">
        <v>6</v>
      </c>
      <c r="F9947">
        <f>HYPERLINK("https://www.reddit.com/r/cancer/comments/hetvwk/how_long_did_it_take_for_you_to_recover_mentally/")</f>
        <v/>
      </c>
      <c r="G9947" t="inlineStr">
        <is>
          <t>2020-06-23 21:03:23</t>
        </is>
      </c>
      <c r="H9947" t="inlineStr"/>
    </row>
    <row r="9948">
      <c r="A9948" t="inlineStr">
        <is>
          <t>heucwj</t>
        </is>
      </c>
      <c r="B9948" t="inlineStr">
        <is>
          <t>Not sure I'm getting the full story with mother's cancer. Advice?</t>
        </is>
      </c>
      <c r="C9948" t="inlineStr">
        <is>
          <t>Hello,
I'm new to all this so forgive me if I'm not as articulate as need be. In September my mother \[63\] was diagnosed with Cancer of Unknown Primary after doctors found cancer in her liver. HOWEVER they are fairly sure the primary cancer was from a lung tumor she had removed 30 + years ago and had been slowly growing in her liver for that long. So, it's technically CUP it seems, but they know where the primary was, I think.
My mother doesn't like to talk much about it because I think she's trying to protect me. She doesn't want me online Googling all her treatments and her symptoms, so she often wont tell me the names of the drugs she's on. She just finished 8 mos of chemo which apparently is very targeted bc she hasn't lost her hair and her immune system is hanging in there.
HOWEVER when I called home last week my father and her told me there was good news! All of the tumors in her bones had gone away except for one, which she would have radiation for. Excellent news, except I was never told she had tumors in her bones. I had no idea. I didn't say anything and was happy for her and continued the phone call as if nothing was wrong, but I was completely blindsided. They made no mention of the fact they hadn't told me.
I'm so glad there was some good news regarding her cancer, but the fact that I'm not told everything makes me feel like there's something terrible they are not telling me. All I've been told is that her cancer is a pretty unique situation, that the tumors in her liver are very very slow growing, and that overall it seems like it's not in panic mode yet.
I wish I was allowed to be in on all the information, so I knew what my mother is facing. I also know that things change and things get worse, and I don't trust that they would tell me that either. I don't know what to do. My mother is a headstrong woman who doesn't like to be out of control, or treated like a sick person, so I'm sure this is her way of dealing with that. I also know that this isn't my sickness, it's hers, and she's allowed to handle it as she likes. I just love her and want to support. Is there anything I can do? I'm feeling frustrated and scared. Ugh. Thank you if you've read this whole thing.
TL;DR: My mother won't tell me the whole picture when it comes to her cancer.</t>
        </is>
      </c>
      <c r="D9948" t="n">
        <v>1</v>
      </c>
      <c r="E9948" t="n">
        <v>6</v>
      </c>
      <c r="F9948">
        <f>HYPERLINK("https://www.reddit.com/r/cancer/comments/heucwj/not_sure_im_getting_the_full_story_with_mothers/")</f>
        <v/>
      </c>
      <c r="G9948" t="inlineStr">
        <is>
          <t>2020-06-23 21:36:36</t>
        </is>
      </c>
      <c r="H9948" t="inlineStr"/>
    </row>
    <row r="9949">
      <c r="A9949" t="inlineStr">
        <is>
          <t>hevido</t>
        </is>
      </c>
      <c r="B9949" t="inlineStr">
        <is>
          <t>[Question] When I smell food I get nauseous, is this normal?</t>
        </is>
      </c>
      <c r="C9949" t="inlineStr">
        <is>
          <t>Hello I hope all is well and safe. My Dad was diagnosed stage 4 lung cancer, it took us by surprise because he never smoked a cigarette and he always lead a healthy life style. He was diagnosed in the fall of 2020 and is doing immunotherapy treatements. 
Recently whenever he smells food or is eating food he either gets nauseous or throws up. This is new as he has been feeling this way for 4 days but he was not like this prior, he was able to eat and drink normally.
Is this common for people with cancer? Thanks and God bless</t>
        </is>
      </c>
      <c r="D9949" t="n">
        <v>1</v>
      </c>
      <c r="E9949" t="n">
        <v>2</v>
      </c>
      <c r="F9949">
        <f>HYPERLINK("https://www.reddit.com/r/cancer/comments/hevido/question_when_i_smell_food_i_get_nauseous_is_this/")</f>
        <v/>
      </c>
      <c r="G9949" t="inlineStr">
        <is>
          <t>2020-06-23 23:03:06</t>
        </is>
      </c>
      <c r="H9949" t="inlineStr"/>
    </row>
    <row r="9950">
      <c r="A9950" t="inlineStr">
        <is>
          <t>hew4gh</t>
        </is>
      </c>
      <c r="B9950" t="inlineStr">
        <is>
          <t>Maybe Almost finished with treatment.. don't know how to feel</t>
        </is>
      </c>
      <c r="C9950" t="inlineStr">
        <is>
          <t>I’m rapidly approaching the end of my cancer treatment and I feel like I SHOULD be just.. happy. relieved. excited. that sort of stuff. But really I’m just.. nervous. anxious. even a little scared. It’s been three years of this life, chemo and steroids and all the myriad side effects and constant dr and hospital visits.. and in just a couple months i find out whether my cancer is effectively gone or not, and in about a week or so i have what should be my last chemo infusion and probably will mean the end of my daily and weekly at home chemo pills too.
 I just.. don’t know how to process this massive change in my life. Yeah, getting cancer was a massive change, too, but it was really just.. taking everything as it came. Dr says this is what we do next, okay this is what we do next and i do it. After this, I think Dr just says go live your life? And.. I don’t know what that will mean anymore.</t>
        </is>
      </c>
      <c r="D9950" t="n">
        <v>1</v>
      </c>
      <c r="E9950" t="n">
        <v>3</v>
      </c>
      <c r="F9950">
        <f>HYPERLINK("https://www.reddit.com/r/cancer/comments/hew4gh/maybe_almost_finished_with_treatment_dont_know/")</f>
        <v/>
      </c>
      <c r="G9950" t="inlineStr">
        <is>
          <t>2020-06-23 23:50:49</t>
        </is>
      </c>
      <c r="H9950" t="inlineStr"/>
    </row>
    <row r="9951">
      <c r="A9951" t="inlineStr">
        <is>
          <t>heyraq</t>
        </is>
      </c>
      <c r="B9951" t="inlineStr">
        <is>
          <t>Help!</t>
        </is>
      </c>
      <c r="C9951" t="inlineStr">
        <is>
          <t>Hi. I'm Kai and there's a great chance I may have breast cancer. I noticed today and I'm really, really scared. Breast/Lung cancer run in my family so I know there's for sure a possibility. Does anyone have any tips for me or anything to keep me calm before my doctor's appointment?</t>
        </is>
      </c>
      <c r="D9951" t="n">
        <v>1</v>
      </c>
      <c r="E9951" t="n">
        <v>2</v>
      </c>
      <c r="F9951">
        <f>HYPERLINK("https://www.reddit.com/r/cancer/comments/heyraq/help/")</f>
        <v/>
      </c>
      <c r="G9951" t="inlineStr">
        <is>
          <t>2020-06-24 03:36:08</t>
        </is>
      </c>
      <c r="H9951" t="inlineStr"/>
    </row>
    <row r="9952">
      <c r="A9952" t="inlineStr">
        <is>
          <t>hezkab</t>
        </is>
      </c>
      <c r="B9952" t="inlineStr">
        <is>
          <t>Question</t>
        </is>
      </c>
      <c r="C9952" t="inlineStr">
        <is>
          <t>Hi! I have been worried for the past week that i might have throat cancer. I have had a sore throat for at least 3 weeks and have had a loss of appetite for a month or so. I havent had any other symptoms so i didnt think i need to go see my doctor but my anxiety just gets to me sometimes so this is why i wrote this. I have reason to worry about this because I've been smoking alot for 2 years now. Should i go to the doctor?</t>
        </is>
      </c>
      <c r="D9952" t="n">
        <v>1</v>
      </c>
      <c r="E9952" t="n">
        <v>2</v>
      </c>
      <c r="F9952">
        <f>HYPERLINK("https://www.reddit.com/r/cancer/comments/hezkab/question/")</f>
        <v/>
      </c>
      <c r="G9952" t="inlineStr">
        <is>
          <t>2020-06-24 04:44:18</t>
        </is>
      </c>
      <c r="H9952" t="inlineStr"/>
    </row>
    <row r="9953">
      <c r="A9953" t="inlineStr">
        <is>
          <t>hf07sr</t>
        </is>
      </c>
      <c r="B9953" t="inlineStr">
        <is>
          <t>What would you tell a future oncologist is the most important thing for you as a patient?</t>
        </is>
      </c>
      <c r="C9953" t="inlineStr">
        <is>
          <t>Hey all, I hope everyone is holding up as best as can be expected.   
I'm a soon-to-be doctor, leaning heavily to becoming an oncologist. I was wondering from a patient's perspective, what's the most important thing to you? We learn about active listening, empathy, referral to psychological support, continuity of care and the like. From your perspective, what is important to you?   
Thank you for your time :)</t>
        </is>
      </c>
      <c r="D9953" t="n">
        <v>1</v>
      </c>
      <c r="E9953" t="n">
        <v>27</v>
      </c>
      <c r="F9953">
        <f>HYPERLINK("https://www.reddit.com/r/cancer/comments/hf07sr/what_would_you_tell_a_future_oncologist_is_the/")</f>
        <v/>
      </c>
      <c r="G9953" t="inlineStr">
        <is>
          <t>2020-06-24 05:33:44</t>
        </is>
      </c>
      <c r="H9953" t="inlineStr"/>
    </row>
    <row r="9954">
      <c r="A9954" t="inlineStr">
        <is>
          <t>hf10kd</t>
        </is>
      </c>
      <c r="B9954" t="inlineStr">
        <is>
          <t>Mastectomy</t>
        </is>
      </c>
      <c r="C9954" t="inlineStr">
        <is>
          <t>Well I am BRCA 1 positive and I lost one aunt to ovarian,  my second aunt is fighting stage 4 breast and isn't doing well.  I decided to get a mastectomy to stay ahead.  Im in my 3rd day post surgery and my chest feels like it's on fire.  They said it's likely my nerves and the pain medication won't help.  I'm waiting on Something specific for the nerves.  I feel horrible.  Also the new covid requirements don't allow anyone than my husband to stop by so i feel alone. 
Anyone else have nerve issues. Or burning? Any suggestions?</t>
        </is>
      </c>
      <c r="D9954" t="n">
        <v>1</v>
      </c>
      <c r="E9954" t="n">
        <v>3</v>
      </c>
      <c r="F9954">
        <f>HYPERLINK("https://www.reddit.com/r/cancer/comments/hf10kd/mastectomy/")</f>
        <v/>
      </c>
      <c r="G9954" t="inlineStr">
        <is>
          <t>2020-06-24 06:28:27</t>
        </is>
      </c>
      <c r="H9954" t="inlineStr"/>
    </row>
    <row r="9955">
      <c r="A9955" t="inlineStr">
        <is>
          <t>hf142i</t>
        </is>
      </c>
      <c r="B9955" t="inlineStr">
        <is>
          <t>CLL how bad is it</t>
        </is>
      </c>
      <c r="C9955" t="inlineStr">
        <is>
          <t>Hi all, I'm new to this group. 
My mom told us she was diagnosed a few months back with CLL but waited until she was sure to tell us.
She's saying it's something that can stay dorment and you can live your whole life with it but everything I see says the expectancy is 5-10 years. I know very little about this kind of stuff and am worried.
I over heard her talking about how her neutrofill counts were starting to consistently decrease. 
I'm just here asking if there's anyone that can give me better information on this or if she's not telling us something to try to shield us. I'm sorry if this isn't what this sub is for</t>
        </is>
      </c>
      <c r="D9955" t="n">
        <v>1</v>
      </c>
      <c r="E9955" t="n">
        <v>2</v>
      </c>
      <c r="F9955">
        <f>HYPERLINK("https://www.reddit.com/r/cancer/comments/hf142i/cll_how_bad_is_it/")</f>
        <v/>
      </c>
      <c r="G9955" t="inlineStr">
        <is>
          <t>2020-06-24 06:34:54</t>
        </is>
      </c>
      <c r="H9955" t="inlineStr"/>
    </row>
    <row r="9956">
      <c r="A9956" t="inlineStr">
        <is>
          <t>hf2ttc</t>
        </is>
      </c>
      <c r="B9956" t="inlineStr">
        <is>
          <t>Is feeling good while having cancer a good sign?</t>
        </is>
      </c>
      <c r="C9956" t="inlineStr">
        <is>
          <t>Hey everyone,
I was just wondering, so my father has esophagal cancer and a small brain tumour, he finished his rounds of chemo and radio a couple months ago and he says he feels great. He said his lungs feel more clear then they have ever been (he has a lung condition where he produced lots of flem but unsure of what it’s called), he has lots of energy, hasn’t experienced any nausea or vomiting, is gaining weight (in a good way because he dropped lots of weight from his cancer), and is exercising and has a positive attitude and mindset. is this a good sign? When I think of someone with cancer (not trying to offend or discriminate anyone), they feel bad symptoms everyday but my dad is feeling the complete opposite. any thoughts on this? is this a good thing?
Anyway lastly, has anyone tried cannabis oil to help shrink their tumours/deal with their cancer?
Thanks ❤️</t>
        </is>
      </c>
      <c r="D9956" t="n">
        <v>6</v>
      </c>
      <c r="E9956" t="n">
        <v>13</v>
      </c>
      <c r="F9956">
        <f>HYPERLINK("https://www.reddit.com/r/cancer/comments/hf2ttc/is_feeling_good_while_having_cancer_a_good_sign/")</f>
        <v/>
      </c>
      <c r="G9956" t="inlineStr">
        <is>
          <t>2020-06-24 08:18:27</t>
        </is>
      </c>
      <c r="H9956" t="inlineStr"/>
    </row>
    <row r="9957">
      <c r="A9957" t="inlineStr">
        <is>
          <t>hf56zx</t>
        </is>
      </c>
      <c r="B9957" t="inlineStr">
        <is>
          <t>Had a dream about my mom</t>
        </is>
      </c>
      <c r="C9957" t="inlineStr">
        <is>
          <t>I had a dream about my mom last night... I woke up at 4am hysterically crying. My mom used to work for the water company around here and for some reason in my dream her office was in the middle of Target. I went to visit her (like a did a lot when she was alive) and she was sick and looked exhausted so I gave her a hug. While I was hugging her she said “I’m glad you found your soulmate”. I know it’s kind of a good dream but I’ve been crying on and off all day because I just miss her so much. 
Fuck cancer. 
Thanks guys.</t>
        </is>
      </c>
      <c r="D9957" t="n">
        <v>3</v>
      </c>
      <c r="E9957" t="n">
        <v>8</v>
      </c>
      <c r="F9957">
        <f>HYPERLINK("https://www.reddit.com/r/cancer/comments/hf56zx/had_a_dream_about_my_mom/")</f>
        <v/>
      </c>
      <c r="G9957" t="inlineStr">
        <is>
          <t>2020-06-24 10:25:29</t>
        </is>
      </c>
      <c r="H9957" t="inlineStr"/>
    </row>
    <row r="9958">
      <c r="A9958" t="inlineStr">
        <is>
          <t>hf5s4m</t>
        </is>
      </c>
      <c r="B9958" t="inlineStr">
        <is>
          <t>Brain biopsy</t>
        </is>
      </c>
      <c r="C9958" t="inlineStr">
        <is>
          <t>My dad is getting a brain biopsy done in the next day or two in hopes of figuring out what’s behind his neurological changes in the last month. He is a bone marrow transplant patient (about 9 months out) and had an abnormal MRI showing lesions in the white matter of his brain but they couldn’t figure out exactly what’s going on from the imaging. They suspect it is an infection or the remote possibility of lymphoma but the different doctors that have seen him don’t have a consensus view on what it could be. Different tests from spinal fluid all came back negative so the brain biopsy is the last resort.
I’m so worried for him. He was doing so well until about a month ago and has gotten a lot weaker from whatever this is. I know the biopsy is low risk compared to other brain surgeries but it is still terrifying giving his shape and susceptibility to infections. It’s even harder because I can’t be there due to coronavirus restrictions at the hospital, but I am trying to get an exception to go. But I am comforted by the fact that the neurosurgery team would not have recommended this if they felt it’s too risky and the most important thing is finding out what’s going on.
Please send good vibes, positive energy, prayers, whatever it is you do!</t>
        </is>
      </c>
      <c r="D9958" t="n">
        <v>1</v>
      </c>
      <c r="E9958" t="n">
        <v>2</v>
      </c>
      <c r="F9958">
        <f>HYPERLINK("https://www.reddit.com/r/cancer/comments/hf5s4m/brain_biopsy/")</f>
        <v/>
      </c>
      <c r="G9958" t="inlineStr">
        <is>
          <t>2020-06-24 10:55:27</t>
        </is>
      </c>
      <c r="H9958" t="inlineStr"/>
    </row>
    <row r="9959">
      <c r="A9959" t="inlineStr">
        <is>
          <t>hf77o3</t>
        </is>
      </c>
      <c r="B9959" t="inlineStr">
        <is>
          <t>Increased risks of breast cancer for not having children?</t>
        </is>
      </c>
      <c r="C9959" t="inlineStr">
        <is>
          <t xml:space="preserve"> So apparently your chance of breast cancer doubles from if you get pregnant befor age 20. To if you get pregnant after age 30? I don't ever plan on getting pregnant is this something I should be worried about? My great grandmother got breast cancer from hormones. And she had children late also. And this is ultimately a hormonal thing. I already got mammogram at age 25 for having 4 cysts in one of my breasts. Docs orders. I wasn't being paranoid. I just kinda wanna get all my facts straight relating to not having children</t>
        </is>
      </c>
      <c r="D9959" t="n">
        <v>1</v>
      </c>
      <c r="E9959" t="n">
        <v>7</v>
      </c>
      <c r="F9959">
        <f>HYPERLINK("https://www.reddit.com/r/cancer/comments/hf77o3/increased_risks_of_breast_cancer_for_not_having/")</f>
        <v/>
      </c>
      <c r="G9959" t="inlineStr">
        <is>
          <t>2020-06-24 12:08:01</t>
        </is>
      </c>
      <c r="H9959" t="inlineStr"/>
    </row>
    <row r="9960">
      <c r="A9960" t="inlineStr">
        <is>
          <t>hf7p3q</t>
        </is>
      </c>
      <c r="B9960" t="inlineStr">
        <is>
          <t>I'm also proud of my mom</t>
        </is>
      </c>
      <c r="C9960" t="inlineStr">
        <is>
          <t>Inspired by another post of a user telling that he was proud of her mother I write this.
Yesterday the doctor told to my father and to me that we're on the final stage. No more medications, there will be a nurse 24/7 waiting for the moment to come. Almost three years fighting with all her will against a merciless cancer and this comes to an end.
Reached this point I choose to remember my mother's legacy: A legacy of love, kindness and strength to carry on. All the people that loved my mother always tell me that I have the same sparkle as she did and I feel responsible from now on to be someone to make my mother proud. 
Not gonna lie, right now I'm on the floor trying so hard to get up but I'll make my best to be as strong as possible for all the people that needs me. 
If you're struggling with a related situation always remember: you're not alone. At least you have me, you can DM me, we can cry together, we can laugh together, but together we can pass through this.
Thank you so much for your time!</t>
        </is>
      </c>
      <c r="D9960" t="n">
        <v>1</v>
      </c>
      <c r="E9960" t="n">
        <v>8</v>
      </c>
      <c r="F9960">
        <f>HYPERLINK("https://www.reddit.com/r/cancer/comments/hf7p3q/im_also_proud_of_my_mom/")</f>
        <v/>
      </c>
      <c r="G9960" t="inlineStr">
        <is>
          <t>2020-06-24 12:32:54</t>
        </is>
      </c>
      <c r="H9960" t="inlineStr"/>
    </row>
    <row r="9961">
      <c r="A9961" t="inlineStr">
        <is>
          <t>hf9yyk</t>
        </is>
      </c>
      <c r="B9961" t="inlineStr">
        <is>
          <t>What has cancer taken away from you?</t>
        </is>
      </c>
      <c r="C9961" t="inlineStr">
        <is>
          <t>What permanent illness did you get due to your cancer. My vision deteriorated a lot, I have a couple of endocrine problems, this ringing in my ear won't stop and my body is covered in stretch marks. It's making me very depressed I have a hard time accepting this and maybe if I see what this disease has taken away from other people maybe it will help me cope</t>
        </is>
      </c>
      <c r="D9961" t="n">
        <v>1</v>
      </c>
      <c r="E9961" t="n">
        <v>56</v>
      </c>
      <c r="F9961">
        <f>HYPERLINK("https://www.reddit.com/r/cancer/comments/hf9yyk/what_has_cancer_taken_away_from_you/")</f>
        <v/>
      </c>
      <c r="G9961" t="inlineStr">
        <is>
          <t>2020-06-24 14:32:33</t>
        </is>
      </c>
      <c r="H9961" t="inlineStr"/>
    </row>
    <row r="9962">
      <c r="A9962" t="inlineStr">
        <is>
          <t>hfd18y</t>
        </is>
      </c>
      <c r="B9962" t="inlineStr">
        <is>
          <t>Opioid withdrawal</t>
        </is>
      </c>
      <c r="C9962" t="inlineStr">
        <is>
          <t>My dad has been taking oxycodone for pain since March. He finished chemo and radiation a month ago. He has been trying to reduce the amount he takes, but I am certain he is going through withdrawals (anxiety, sleeplessness, temperature fluctuations, etc). This was something we were anticipating, knowing he would be be on pain medication for several months. Have any of your doctors prescribed withdrawal meds for this?  Not looking for medical advice. Just curious if anyone has experienced this.</t>
        </is>
      </c>
      <c r="D9962" t="n">
        <v>1</v>
      </c>
      <c r="E9962" t="n">
        <v>4</v>
      </c>
      <c r="F9962">
        <f>HYPERLINK("https://www.reddit.com/r/cancer/comments/hfd18y/opioid_withdrawal/")</f>
        <v/>
      </c>
      <c r="G9962" t="inlineStr">
        <is>
          <t>2020-06-24 18:01:31</t>
        </is>
      </c>
      <c r="H9962" t="inlineStr"/>
    </row>
    <row r="9963">
      <c r="A9963" t="inlineStr">
        <is>
          <t>hfdf90</t>
        </is>
      </c>
      <c r="B9963" t="inlineStr">
        <is>
          <t>Question</t>
        </is>
      </c>
      <c r="C9963" t="inlineStr">
        <is>
          <t>When I was 21 my best friend who was 26 passed away of cancer. I used to visit her at the Cleveland Clinic during hospitalizations and drive her around etc. I watched a movie recently and it made me remember those times. It got me wondering is there a program where I can help people like I did my friend?</t>
        </is>
      </c>
      <c r="D9963" t="n">
        <v>1</v>
      </c>
      <c r="E9963" t="n">
        <v>2</v>
      </c>
      <c r="F9963">
        <f>HYPERLINK("https://www.reddit.com/r/cancer/comments/hfdf90/question/")</f>
        <v/>
      </c>
      <c r="G9963" t="inlineStr">
        <is>
          <t>2020-06-24 18:26:48</t>
        </is>
      </c>
      <c r="H9963" t="inlineStr"/>
    </row>
    <row r="9964">
      <c r="A9964" t="inlineStr">
        <is>
          <t>hfe4by</t>
        </is>
      </c>
      <c r="B9964" t="inlineStr">
        <is>
          <t>Stage 4 cancer surgery - is it ever helpful?</t>
        </is>
      </c>
      <c r="C9964" t="inlineStr">
        <is>
          <t>My dad has had stage 4 stomach cancer got diagnosed and has been doing chemo for the past year. My [original post](https://www.reddit.com/r/cancer/comments/cvi4e3/dad_has_stage_4_stomach_cancer_questions/) got really helpful answers (sorry for my lack of response - I was going through a hard time and got back on Reddit recently), and this is an update with questions. His MRI before chemo said there were multiple T2 hepatic lesions in the liver (probably metastatic), a lymph node in his stomach (probably metastatic), and a \~5 cm hypoenhancing mass abutting the pancreatic head/body junction and a \~4.5 cm mass abutting the pancreatic head anteriorly abutting the superior mesenteric vein (probably metastatic).
Over the past year, the lesions in his liver disappeared, one of the masses is completely gone, and the last mass is \~1.5-2 cm in size and is adjacent to the pancreatic neck. His oncologist and nurses have said his results have been amazing, and I'm really shocked and happy that things have gotten better.
Even though I know surgery would no longer be curative like in earlier stage cases, would it be beneficial to do surgery to remove the last tumor? It's been decreasing slowly in size (it was \~2-2.5 inches in January), so I'm worried about how long he'll have to do chemo for it to go away and then any additional chemo. I don't have a lot of knowledge related to cancer, so to me, it makes sense if his other tumors are gone from the MRI, shouldn't he remove the last tumor and then continue chemo? In my head, it feels like it's worse to keep the cancerous tumor in his body. However, from the last post's comments and reading online, I know that the cancer cells have already spread to other places, and the oncologist said from diagnosis that my dad shouldn't do surgery. I've read that in some stage 4 treatments, some people perform surgery. Would surgery be helpful or should he just continue chemo until hopefully the last mass disappears, even if this takes a while? I just feel like chemo is unsustainable for a really long time and the harsh side effects are definitely showing on him.
**tl;dr:** My dad has stage 4 stomach cancer and had 2 large masses (each \~4.5-5 cm) near his pancreas as well as other metastases at diagnosis. Now, 1 year later, he has one mass (\~1.5-2 cm) left near his pancreatic head, and his MRI has shown that the rest have disappeared. Would it be beneficial to get surgery to remove his last mass (it's slowly decreasing in size, was 2-2.5 cm in January), or should he just continue chemo. Is surgery ever helpful in stage 4 cases?
Thanks for answering in advance - I feel like I'm probably overthinking and the doctor knows best, but I wanted to double check. My dad was really skeptical about chemo and devastated by his stage 4 diagnosis, but he's gotten a lot better since last year. I'm wishing the best for all of you!</t>
        </is>
      </c>
      <c r="D9964" t="n">
        <v>1</v>
      </c>
      <c r="E9964" t="n">
        <v>0</v>
      </c>
      <c r="F9964">
        <f>HYPERLINK("https://www.reddit.com/r/cancer/comments/hfe4by/stage_4_cancer_surgery_is_it_ever_helpful/")</f>
        <v/>
      </c>
      <c r="G9964" t="inlineStr">
        <is>
          <t>2020-06-24 19:11:55</t>
        </is>
      </c>
      <c r="H9964" t="inlineStr"/>
    </row>
    <row r="9965">
      <c r="A9965" t="inlineStr">
        <is>
          <t>hfedid</t>
        </is>
      </c>
      <c r="B9965" t="inlineStr">
        <is>
          <t>Stage 4 cancer - surgery?</t>
        </is>
      </c>
      <c r="C9965" t="inlineStr">
        <is>
          <t>My dad has had stage 4 stomach cancer got diagnosed and has been doing chemo for the past year.  His MRI before chemo said there were multiple T2 hepatic lesions in the liver (probably metastatic), a lymph node in his stomach (probably metastatic), and a \~5 cm hypoenhancing mass abutting the pancreatic head/body junction and a \~4.5 cm mass abutting the pancreatic head anteriorly abutting the superior mesenteric vein (probably metastatic).
Over the past year, the lesions in his liver disappeared, one of the masses is completely gone, and the last mass is 1.5-2 cm in size and is adjacent to the pancreatic neck. His oncologist and nurses have said his results have been amazing, and I'm really shocked and happy that things have gotten better.
Even though I know surgery would no longer be curative like in earlier stage cases, would it be beneficial to do surgery to remove the last tumor. It's been decreasing slowly in size (it was 2-2.5 inches in January), so I'm worried about how long he'll have to do chemo for it to go away and then any additional chemo. I don't have a lot of knowledge related to cancer, so to me, it makes sense if his other tumors are gone from the MRI, shouldn't he remove the last tumor and then continue chemo? In my head, it feels like it's worse to keep the cancerous tumor in his body. However, from the last post's comments and reading online, I know that the cancer cells have already spread to other places, and the oncologist said from diagnosis that my dad shouldn't do surgery. I've read that in some stage 4 treatments, some people perform surgery. Would surgery be helpful or should he just continue chemo until hopefully the last mass disappears, even if this takes a while. I just feel like chemo is unsustainable for a really long time and the harsh side effects are definitely showing on him.
**tl;dr:** My dad has stage 4 stomach cancer and had 2 large masses (each \~4.5-5 cm) near his pancreas as well as other metastases at diagnosis. Now, 1 year later, he has one mass (\~1.5-2 cm) left near his pancreatic head, and his MRI has shown that the rest have disappeared. Would it be beneficial to get surgery to remove his last mass (it's slowly decreasing in size, was 2-2.5 cm in January), or should he just continue chemo.</t>
        </is>
      </c>
      <c r="D9965" t="n">
        <v>1</v>
      </c>
      <c r="E9965" t="n">
        <v>0</v>
      </c>
      <c r="F9965">
        <f>HYPERLINK("https://www.reddit.com/r/cancer/comments/hfedid/stage_4_cancer_surgery/")</f>
        <v/>
      </c>
      <c r="G9965" t="inlineStr">
        <is>
          <t>2020-06-24 19:28:51</t>
        </is>
      </c>
      <c r="H9965" t="inlineStr"/>
    </row>
    <row r="9966">
      <c r="A9966" t="inlineStr">
        <is>
          <t>hfef5s</t>
        </is>
      </c>
      <c r="B9966" t="inlineStr">
        <is>
          <t>Stage 4 cancer - surgery?</t>
        </is>
      </c>
      <c r="C9966" t="inlineStr">
        <is>
          <t>My dad has had stage 4 stomach cancer got diagnosed and has been doing chemo for the past year.  His MRI before chemo said there were multiple T2 hepatic lesions in the liver (probably metastatic), a lymph node in his stomach (probably metastatic), and a \~5 cm hypoenhancing mass abutting the pancreatic head/body junction and a \~4.5 cm mass abutting the pancreatic head anteriorly abutting the superior mesenteric vein (probably metastatic).
Over the past year, the lesions in his liver disappeared, one of the masses is completely gone, and the last mass is 1.5-2 cm in size and is adjacent to the pancreatic neck. His oncologist and nurses have said his results have been amazing, and I'm really shocked and happy that things have gotten better.
Even though I know surgery would no longer be curative like in earlier stage cases, would it be beneficial to do surgery to remove the last tumor? It's been decreasing slowly in size (it was 2-2.5 inches in January), so I'm worried about how long he'll have to do chemo for it to go away and then any additional chemo. I don't have a lot of knowledge related to cancer, so to me, it makes sense if his other tumors are gone from the MRI, shouldn't he remove the last tumor and then continue chemo? In my head, it feels like it's worse to keep the cancerous tumor in his body. However, from the last post's comments and reading online, I know that the cancer cells have already spread to other places, and the oncologist said from diagnosis that my dad shouldn't do surgery. I've read that in some stage 4 treatments, some people perform surgery. Would surgery be helpful or should he just continue chemo until hopefully the last mass disappears, even if this takes a while? I just feel like chemo is unsustainable for a really long time and the harsh side effects are definitely showing on him. Ty in advance!
**tl;dr:** My dad has stage 4 stomach cancer and had 2 large masses (each \~4.5-5 cm) near his pancreas as well as other metastases at diagnosis. Now, 1 year later, he has one mass (\~1.5-2 cm) left near his pancreatic head, and his MRI has shown that the rest have disappeared. Would it be beneficial to get surgery to remove his last mass (it's slowly decreasing in size, was 2-2.5 cm in January), or should he just continue chemo.</t>
        </is>
      </c>
      <c r="D9966" t="n">
        <v>1</v>
      </c>
      <c r="E9966" t="n">
        <v>5</v>
      </c>
      <c r="F9966">
        <f>HYPERLINK("https://www.reddit.com/r/cancer/comments/hfef5s/stage_4_cancer_surgery/")</f>
        <v/>
      </c>
      <c r="G9966" t="inlineStr">
        <is>
          <t>2020-06-24 19:31:57</t>
        </is>
      </c>
      <c r="H9966" t="inlineStr"/>
    </row>
    <row r="9967">
      <c r="A9967" t="inlineStr">
        <is>
          <t>hfgshn</t>
        </is>
      </c>
      <c r="B9967" t="inlineStr">
        <is>
          <t>I’m struggling with my mom’s cancer</t>
        </is>
      </c>
      <c r="C9967" t="inlineStr">
        <is>
          <t>I’ve previously posted about my mom having cholangiocarcinoma, cancer of the bile ducts, and it’s still a struggle. I’m only 17, I’m going to be a senior in high school next year. The chemos that she’s tried haven’t worked and neither has the medication. She’s actually been feeling better lately, but I know that eventually that will change. Sometimes I think about how she might not be able to see me graduate, and I just get really overwhelmed because if she doesn’t see me graduate, she won’t see anything afterwards either. I hate talking to my friends about it because it’s such a serious topic. I find it really hard to think about my mom passing away. She’s the parent I’m closest to; my relationship with my dad isn’t that good and it’s not getting better. She told me a couple weeks ago that she thinks my whole family is in denial, and I think she’s right. I have two adult brothers who live with us as well, and we never talk about it. We all know what’s happening, but we never mention it really. I’ve tried not thinking about it so I’m just not always so sad, but I’m worried that not thinking about it is just pushing me more into denial. I know there’s probably no way for me to really prepare for her death, but does anyone have any advice on what to do, or their experience losing a parent? Even writing this post is making me cry, and I’m just so lost on what to do anymore.</t>
        </is>
      </c>
      <c r="D9967" t="n">
        <v>1</v>
      </c>
      <c r="E9967" t="n">
        <v>8</v>
      </c>
      <c r="F9967">
        <f>HYPERLINK("https://www.reddit.com/r/cancer/comments/hfgshn/im_struggling_with_my_moms_cancer/")</f>
        <v/>
      </c>
      <c r="G9967" t="inlineStr">
        <is>
          <t>2020-06-24 23:00:43</t>
        </is>
      </c>
      <c r="H9967" t="inlineStr"/>
    </row>
    <row r="9968">
      <c r="A9968" t="inlineStr">
        <is>
          <t>hfhase</t>
        </is>
      </c>
      <c r="B9968" t="inlineStr">
        <is>
          <t>UNIFIED STUDY INVITATION</t>
        </is>
      </c>
      <c r="C9968" t="inlineStr">
        <is>
          <t>Hello r/cancer community members! 
The COVID-19 pandemic has brought tremendous challenges for these individuals who need complex and continual care, such as receiving cancer treatment. 
If you are currently undergoing cancer treatment we invite you to participate in a study that is happening at UBC! We will survey and interview individuals with cancer to explore how they are receiving care during the pandemic. Please click on the link below to take our survey and find out more about our study! [https://www.unifiedcovid.com/](https://www.unifiedcovid.com/)
Our study aims to explore the following topics: whether public responses to combat the pandemic have caused changes to their treatment, and how current circumstances have impacted their mental health. I has been 2 months since we have launched the UNIFIED study and the infographic below highlights some of our prominent findings. 
*Processing img vwp3ljdt20751...*</t>
        </is>
      </c>
      <c r="D9968" t="n">
        <v>1</v>
      </c>
      <c r="E9968" t="n">
        <v>0</v>
      </c>
      <c r="F9968">
        <f>HYPERLINK("https://www.reddit.com/r/cancer/comments/hfhase/unified_study_invitation/")</f>
        <v/>
      </c>
      <c r="G9968" t="inlineStr">
        <is>
          <t>2020-06-24 23:41:35</t>
        </is>
      </c>
      <c r="H9968" t="inlineStr"/>
    </row>
    <row r="9969">
      <c r="A9969" t="inlineStr">
        <is>
          <t>hfkbmc</t>
        </is>
      </c>
      <c r="B9969" t="inlineStr">
        <is>
          <t>[discussion] Is it just me or does anybody else too think think that the portrayal of cancer patients is pretty unrealistic in movies? Physical appearance wise!!!</t>
        </is>
      </c>
      <c r="C9969" t="inlineStr">
        <is>
          <t>I looked like a train wreck during treatment</t>
        </is>
      </c>
      <c r="D9969" t="n">
        <v>1</v>
      </c>
      <c r="E9969" t="n">
        <v>30</v>
      </c>
      <c r="F9969">
        <f>HYPERLINK("https://www.reddit.com/r/cancer/comments/hfkbmc/discussion_is_it_just_me_or_does_anybody_else_too/")</f>
        <v/>
      </c>
      <c r="G9969" t="inlineStr">
        <is>
          <t>2020-06-25 04:16:50</t>
        </is>
      </c>
      <c r="H9969" t="inlineStr"/>
    </row>
    <row r="9970">
      <c r="A9970" t="inlineStr">
        <is>
          <t>hfkryo</t>
        </is>
      </c>
      <c r="B9970" t="inlineStr">
        <is>
          <t>Is 5 weeks of radiation/chemo everyday alot?</t>
        </is>
      </c>
      <c r="C9970" t="inlineStr">
        <is>
          <t>A few weeks back my frirnd was dealing with some chest pains. Long story short he had a cancerous lump aroubd his heart the size of a grapefruit. He had the surgery and all went well but now he has told me that he will require 5 weeks of radiation/chemo everyday. I think that is a ALOT of treatment? And i suspect he will be severely ill for a while. He is downplaying the severity of it and says it wont be that bad and it wont affect him very much. 
He didnt tell me alot about what the doctors told him so im just going off how mich treatment he is needing is this more serious than he is making it seem?</t>
        </is>
      </c>
      <c r="D9970" t="n">
        <v>1</v>
      </c>
      <c r="E9970" t="n">
        <v>7</v>
      </c>
      <c r="F9970">
        <f>HYPERLINK("https://www.reddit.com/r/cancer/comments/hfkryo/is_5_weeks_of_radiationchemo_everyday_alot/")</f>
        <v/>
      </c>
      <c r="G9970" t="inlineStr">
        <is>
          <t>2020-06-25 04:54:22</t>
        </is>
      </c>
      <c r="H9970" t="inlineStr"/>
    </row>
    <row r="9971">
      <c r="A9971" t="inlineStr">
        <is>
          <t>hflccd</t>
        </is>
      </c>
      <c r="B9971" t="inlineStr">
        <is>
          <t>Best cancer treatment hospital in the UK</t>
        </is>
      </c>
      <c r="C9971" t="inlineStr">
        <is>
          <t>Hello, my dad has just been diagnosed with oesophageal cancer. It’s taken them from late January to give him this diagnosis at the hospital he’s with currently (Bristol). He approached the doctors in late January with difficulty swallowing and a chronic sore throat. Now that the tumour has completely closed up his throat (5 months later.) they’ve told him it’s cancer. Now they are dragging their feet and delaying appointments and operations and not giving us any information regarding the tests and scans he has had so far. The hospital then gave my dads GP centre the task of telling him he had cancer. The GP’s RECEPTIONIST broke the news to him. NOT a doctor. Also the GP centre keep cocking up his prescriptions and I’m fed up. 
So PLEASE Where is the best place to take my dad for his treatments within the UK so he actually stands a chance of surviving at least the rest of this year? 
Because I’m about to get real punchy with my dads GP and Bristol Hospital if they carry on messing about.</t>
        </is>
      </c>
      <c r="D9971" t="n">
        <v>1</v>
      </c>
      <c r="E9971" t="n">
        <v>18</v>
      </c>
      <c r="F9971">
        <f>HYPERLINK("https://www.reddit.com/r/cancer/comments/hflccd/best_cancer_treatment_hospital_in_the_uk/")</f>
        <v/>
      </c>
      <c r="G9971" t="inlineStr">
        <is>
          <t>2020-06-25 05:37:05</t>
        </is>
      </c>
      <c r="H9971" t="inlineStr"/>
    </row>
    <row r="9972">
      <c r="A9972" t="inlineStr">
        <is>
          <t>hfntqg</t>
        </is>
      </c>
      <c r="B9972" t="inlineStr">
        <is>
          <t>How to deal with family dynamics?</t>
        </is>
      </c>
      <c r="C9972" t="inlineStr">
        <is>
          <t>My husband has stage 4 sarcoma. He’s not doing very well. We recently got married after dating for 10 years - we are 25. Understandably it’s been a really sad course with his cancer for myself and his family. 
My FIL is very controlling and bc of that, recently my husband stopped including him in doctor appts/conversations/medical decisions. This was my husbands choice but I was nervous about it in case my husband had an emergency and all of a sudden my FIL was hearing from me after not knowing updates on his sons health. 
And that’s exactly what happened. And I’ve been dealing with my FIL by trying to keep him in the loop but he’s very demanding, demeaning, and emotionally abusive. He’s upset he hadn’t been included in conversations with doctors prior to my husbands health declining. My husband prefers I don’t speak with his father because of how he talks to me and treats me. I don’t think that’s an option because 1 - I understand he has a sick son who he deserves to be updated on and 2 - if I don’t respond to him it causes more issues. Social work has been involved but my FIL gets more fired up/angry at me when they speak with him. 
Advice on how to communicate with his father? Should I just respect my husbands wishes and not give him updates unless things are REALLY bad? I’ve literally been hiding my phone when my FIL texts me because I don’t want my husband to know I’m responding to him. I just don’t know what to do. Cancer sucks.</t>
        </is>
      </c>
      <c r="D9972" t="n">
        <v>1</v>
      </c>
      <c r="E9972" t="n">
        <v>5</v>
      </c>
      <c r="F9972">
        <f>HYPERLINK("https://www.reddit.com/r/cancer/comments/hfntqg/how_to_deal_with_family_dynamics/")</f>
        <v/>
      </c>
      <c r="G9972" t="inlineStr">
        <is>
          <t>2020-06-25 08:15:09</t>
        </is>
      </c>
      <c r="H9972" t="inlineStr"/>
    </row>
    <row r="9973">
      <c r="A9973" t="inlineStr">
        <is>
          <t>hfnupo</t>
        </is>
      </c>
      <c r="B9973" t="inlineStr">
        <is>
          <t>Natural Treatment</t>
        </is>
      </c>
      <c r="C9973" t="inlineStr">
        <is>
          <t>has anyone here tried the Lakhovsky multiple wave oscilator for treatment?</t>
        </is>
      </c>
      <c r="D9973" t="n">
        <v>1</v>
      </c>
      <c r="E9973" t="n">
        <v>9</v>
      </c>
      <c r="F9973">
        <f>HYPERLINK("https://www.reddit.com/r/cancer/comments/hfnupo/natural_treatment/")</f>
        <v/>
      </c>
      <c r="G9973" t="inlineStr">
        <is>
          <t>2020-06-25 08:16:42</t>
        </is>
      </c>
      <c r="H9973" t="inlineStr"/>
    </row>
    <row r="9974">
      <c r="A9974" t="inlineStr">
        <is>
          <t>hfpftr</t>
        </is>
      </c>
      <c r="B9974" t="inlineStr">
        <is>
          <t>A somber celebration</t>
        </is>
      </c>
      <c r="C9974" t="inlineStr">
        <is>
          <t>One year ago today was the worst day of my life. I had finished treatment and at my first three-month checkup, my doctors told me that they saw little tumors in my bones. Until this point, they’d (mercifully) held off on explaining that my diagnosis is terminal. But when they saw the first metastases, they explained that curing me was impossible, and that they would only work to buy me time. If they trials didn’t work, I would have no more than 6 months.
But they have worked. I still have cancer, more metastases growing slowly in my body. I continue to feel good, to have energy, to feel happy. In the past year, I’ve climbed America’s tallest sand dune (entirely before breakfast), sipped tea on the beaches of Sri Lanka, built a pergola by hand in my own backyard, and adopted a dog of my very own. I’ve gotten to know my friends, and especially my family, in a deeper more genuine sense; we’ve all changed the things we value, and hold each other much closer than we did before. I’ve gotten much better at knowing myself. 
I guess my point is that I didn’t know any of this was coming. I didn’t expect any of this change, any of these blessings. I didn’t know how much of it would come from me. What’s going to happen can be forecast, but we don’t really know. The shadow of grief that I felt one year ago today is still there, but by wrestling with it, I’ve become more comfortable living with it. I have made space inside myself to allow it, and it is accompanied by joy and self-satisfaction. What we are facing here is very difficult, and I’m no guru or miracle worker who can promise it will get better. But the lesson I’ve taken from the past year still holds true: if you focus on dying, you aren’t using your time and energy to really live. So you gotta choose to do one or the other. 
I’m still going to die. But I don’t know when, and until I go, I’m gonna try to live every goddamn second. We don’t truly know how our lives are going to go, and we have to make sure some of the “what if” rabbit holes are good. 
Pardon my rambling musings, but it’s a nice day, and I’m gonna go sit in my back yard now. Thank you for reading, and I wish your time in this world to be full of meaning.</t>
        </is>
      </c>
      <c r="D9974" t="n">
        <v>1</v>
      </c>
      <c r="E9974" t="n">
        <v>19</v>
      </c>
      <c r="F9974">
        <f>HYPERLINK("https://www.reddit.com/r/cancer/comments/hfpftr/a_somber_celebration/")</f>
        <v/>
      </c>
      <c r="G9974" t="inlineStr">
        <is>
          <t>2020-06-25 09:45:39</t>
        </is>
      </c>
      <c r="H9974" t="inlineStr"/>
    </row>
    <row r="9975">
      <c r="A9975" t="inlineStr">
        <is>
          <t>hfq7a0</t>
        </is>
      </c>
      <c r="B9975" t="inlineStr">
        <is>
          <t>Lump in armpit.</t>
        </is>
      </c>
      <c r="C9975" t="inlineStr">
        <is>
          <t>Back in February and noticed a small lump in my armpit it didn't hurt at all I didn't know it was there unless I was poking at it. Got it checked by touch first my dr said it didn't "follow the lymph node track." And mentioned something called a sebaceous cyst. She referred me to a hospital to have an ultrasound done on it and those results came back good she did say that was a sebaceous cyst and might not ever completely go away that it will fill up and drain. I took a two week prescription of antibiotics and at the end of those two weeks the lump had gone completely away along with all of my anxiety and fears. Well just this past Monday 6/22/2020 I noticed pain in my right armpit and I was worried but throughout the day I couldn't feel anything by that night I noticed that the lump was starting to come back and by Tuesday morning it gotten bigger to then what it was the first time around now it's Thursday and it kind of hurts and I can definitely feel it with my arm down completely, it's bothering me this time around. I guess my only question is does any kind of cancer come and go like this? It's been gone for months.
I have had lumps previous a tiny one behind my ear that went away completely and never came back, 2 on my vagina that got big and then shrank down to nothing, and now this reoccurring one in my armpit that is bothersome this time around.... I do have another appointment on Monday but I'd really like to know your thoughts good or bad.</t>
        </is>
      </c>
      <c r="D9975" t="n">
        <v>1</v>
      </c>
      <c r="E9975" t="n">
        <v>6</v>
      </c>
      <c r="F9975">
        <f>HYPERLINK("https://www.reddit.com/r/cancer/comments/hfq7a0/lump_in_armpit/")</f>
        <v/>
      </c>
      <c r="G9975" t="inlineStr">
        <is>
          <t>2020-06-25 10:26:22</t>
        </is>
      </c>
      <c r="H9975" t="inlineStr"/>
    </row>
    <row r="9976">
      <c r="A9976" t="inlineStr">
        <is>
          <t>hfrrk4</t>
        </is>
      </c>
      <c r="B9976" t="inlineStr">
        <is>
          <t>The correlation between nutrition and depression</t>
        </is>
      </c>
      <c r="C9976" t="inlineStr">
        <is>
          <t>The correlation between nutrition and depression
Hello everyone! I am a final year medical student, and I would kindly ask for your help in order to complete my medical license thesis. Due to the Covid-19 pandemic situation I wasn’t able to go to a hospital to collect data, instead I turned to do an online questionnaire. I would very much appreciate it, if you could take a few minutes to complete it. Obviously, everything is anonymous, and the data will be used strictly for scientific purposes. Thank you very much! [Questionnaire](https://forms.gle/oX221ErEZZWgNj3y5)</t>
        </is>
      </c>
      <c r="D9976" t="n">
        <v>1</v>
      </c>
      <c r="E9976" t="n">
        <v>2</v>
      </c>
      <c r="F9976">
        <f>HYPERLINK("https://www.reddit.com/r/cancer/comments/hfrrk4/the_correlation_between_nutrition_and_depression/")</f>
        <v/>
      </c>
      <c r="G9976" t="inlineStr">
        <is>
          <t>2020-06-25 11:52:05</t>
        </is>
      </c>
      <c r="H9976" t="inlineStr"/>
    </row>
    <row r="9977">
      <c r="A9977" t="inlineStr">
        <is>
          <t>hfu3yi</t>
        </is>
      </c>
      <c r="B9977" t="inlineStr">
        <is>
          <t>The Doctor mentioned my Mom has six months to Live ...</t>
        </is>
      </c>
      <c r="C9977" t="inlineStr">
        <is>
          <t>I'm still fairly new to Reddit but I wanted to reach out to this platform to maybe see if there's something else that can be done. Before you read please understand I am not the best with medical terminology. I'm 25 years old. 
**(Her Story)** My mom is 62 Years old and has had colon cancer since early 2014. The first cancer had spread to her abdominal cavity and in the limonoids and was considered at stage three. Before they could even remove the tumor she had to do the radiation and the chemo., she was so sick during all of this.  
In march or April 2015 the radiation had shrunk the tumor and removed the cancer from her belly.  
For the second cancer one we thought it was a UTI and for women its very painful. The cancer had came back, but initially was causing her pain there was a abscess in her perineum. When they did a colonoscopy they didn’t even see it! At the end of the CT scan they missed it, and for the abscess they saw the cancer had returned. 
 They first had to get the sist cleared up and this is in June 2017. When she has the surgery they noticed the sist had spread to her pelvic area and tried to clean it all up and flush it out.  Thankfully this time the cancer was a stage two B and it had not spread into the lymph nodes.  
She now has a permanent colostomy bag, this had to be done because there wasn’t enough healthy tissue attached in her body. Because it had occurred the doctor had got rid of her lower half of her colon , and after the food passes through the intestine it then goes in the bag.  
Then she was recommended to something called "Cyber Knife" in 2019 which is something in Austin, Texas. It didn't work out to well and unfortunately she was diagnosed with Stage Four ovarian cancer and it has spread to her liver and lungs. The last couple of treatments with Chemo have really impacted her weight and caused her to throw up quite a bit after eating. 
The latest test that came back last week (June 17th, 2020) one of her doctors mentioned her cancer percentage went down from 21 percent to 15 percent. I'm not really to sure what that is but it sounds amazing! One of her doctors today (June 25th, 2020) in Temple, Texas mentioned she has six months to live and it completely made her crumble, so I mentioned to her to just hold her head high and tell her how much of a great son she raised. Just to uplift her spirit and I told her how strong she has been during all this ...
**(My Questions)** When a doctor tells someone that statement, is it typically something ideal and there's nothing that can be done? She's lost a lot of weight and stopped throwing up which is great. But I just want to see if there's something I can do. By maybe putting her on a vegetable only diet to help or something along those lines? I've heard of holistic treatment I don't know if that's even a thing either. (I'm very optimistic and hate to see my mom cry).
**(Me Just Typing)** All in all I grew up without a dad and my mom was the type to give me so much when I was young and she sacrificed everything to give me what I have today. She worked overtime every week as a dental assistant from the age I was born and stopped working when she first was diagnosed with Cancer. I was awarded one pair of new shoes every year for school when I was in grade school and they lasted me all year. She taught me about hard work and not to take things for granted. To always give more than take and to be grateful in what you have in life. I'm sorry if I'm rambling she just was great and doesn't deserve Cancer, she's not the type to be diagnosed with it and really no one is, Cancer just really does suck. Honestly I don't even know if I should tell other people about her having a life expectancy of six months. Because I don't want people to look at my mom like she's not a fighter and can't prove the doctor wrong. 
If you read this far or reading this sentence, thank you. Thank you for showing interest in reading my mom's story. 
Honestly what hurt the most out of this situation. Is during this Covid-19 outbreak hospitals in my area aren't allowing immediate family or anyone that doesn't have an appointment inside. So I'm sitting in the parking lot and I have her tell me. She heard this bad news and she was alone when she heard it. I honestly am just lost for words ...</t>
        </is>
      </c>
      <c r="D9977" t="n">
        <v>1</v>
      </c>
      <c r="E9977" t="n">
        <v>22</v>
      </c>
      <c r="F9977">
        <f>HYPERLINK("https://www.reddit.com/r/cancer/comments/hfu3yi/the_doctor_mentioned_my_mom_has_six_months_to_live/")</f>
        <v/>
      </c>
      <c r="G9977" t="inlineStr">
        <is>
          <t>2020-06-25 14:02:37</t>
        </is>
      </c>
      <c r="H9977" t="inlineStr"/>
    </row>
    <row r="9978">
      <c r="A9978" t="inlineStr">
        <is>
          <t>hfuxpx</t>
        </is>
      </c>
      <c r="B9978" t="inlineStr">
        <is>
          <t>Break time!</t>
        </is>
      </c>
      <c r="C9978" t="inlineStr">
        <is>
          <t>I always love reading these so I wanted to share my good news: I get another chemo break!   I already had some interruption in treatment from Covid and a non-cancer surgery, a recent scan shows I'm still stable after all that so they say I can coast for a while and they'll just keep an eye on it.  Looking forward to getting my summer on and getting outside.  Cheers!</t>
        </is>
      </c>
      <c r="D9978" t="n">
        <v>1</v>
      </c>
      <c r="E9978" t="n">
        <v>1</v>
      </c>
      <c r="F9978">
        <f>HYPERLINK("https://www.reddit.com/r/cancer/comments/hfuxpx/break_time/")</f>
        <v/>
      </c>
      <c r="G9978" t="inlineStr">
        <is>
          <t>2020-06-25 14:48:30</t>
        </is>
      </c>
      <c r="H9978" t="inlineStr"/>
    </row>
    <row r="9979">
      <c r="A9979" t="inlineStr">
        <is>
          <t>hfvy5j</t>
        </is>
      </c>
      <c r="B9979" t="inlineStr">
        <is>
          <t>Doctor Didn't Tell My Mom About Potential Growths</t>
        </is>
      </c>
      <c r="C9979" t="inlineStr">
        <is>
          <t>Hello,
My mom had a full-body CT scan around three or four months ago for her knee when it was suspected there might be a tumor. Thankfully, it was just inflammation, however, when my mom went to her doctor the other day and was asking about some treatment she wanted to do, the doctor said that she couldn't due to possible growths/tumors in her ribs, lungs, and one other location that I believe they said was her hip. She was never told about any of this until three to four months later and only when asking an unrelated question was she told about it. She goes in for a CT scan tomorrow to check if she does in fact have any growths, but I have a few questions I was hoping could be answered here or in another subreddit if one could be supplied. Also, I apologize if this is the wrong subreddit to be posting in.  
If they didn't tell her about the potential growths back when they were discovered, is it likely they are not of concern and will most likely end up as nothing to worry about?
If there are in fact growths in those areas, what are the odds that it is cancer?
Is there a reason why they didn't mention to her earlier about these potential growths?
Once again I apologize if this is the wrong subreddit and if there's one that I can post in please let me know.</t>
        </is>
      </c>
      <c r="D9979" t="n">
        <v>1</v>
      </c>
      <c r="E9979" t="n">
        <v>8</v>
      </c>
      <c r="F9979">
        <f>HYPERLINK("https://www.reddit.com/r/cancer/comments/hfvy5j/doctor_didnt_tell_my_mom_about_potential_growths/")</f>
        <v/>
      </c>
      <c r="G9979" t="inlineStr">
        <is>
          <t>2020-06-25 15:46:49</t>
        </is>
      </c>
      <c r="H9979" t="inlineStr"/>
    </row>
    <row r="9980">
      <c r="A9980" t="inlineStr">
        <is>
          <t>hfyvye</t>
        </is>
      </c>
      <c r="B9980" t="inlineStr">
        <is>
          <t>I Got My Port</t>
        </is>
      </c>
      <c r="C9980" t="inlineStr">
        <is>
          <t>I got my port today and for whatever reason didn’t think it would be that painful. The surgery itself was fine. But now I feel like someone slammed me in the neck with a baseball bat. I literally cried because I had to have help sitting up after my nap. NO ONE WARNED ME. and I’m pretty sure I’m hungover from the Fentanyl and whatever other drugs. Just taking this thing day by day. Good luck to everyone else fighting a battle against their body.</t>
        </is>
      </c>
      <c r="D9980" t="n">
        <v>1</v>
      </c>
      <c r="E9980" t="n">
        <v>38</v>
      </c>
      <c r="F9980">
        <f>HYPERLINK("https://www.reddit.com/r/cancer/comments/hfyvye/i_got_my_port/")</f>
        <v/>
      </c>
      <c r="G9980" t="inlineStr">
        <is>
          <t>2020-06-25 18:57:45</t>
        </is>
      </c>
      <c r="H9980" t="inlineStr"/>
    </row>
    <row r="9981">
      <c r="A9981" t="inlineStr">
        <is>
          <t>hg08jc</t>
        </is>
      </c>
      <c r="B9981" t="inlineStr">
        <is>
          <t>i watched my step dad taken his last breath today...</t>
        </is>
      </c>
      <c r="C9981" t="inlineStr">
        <is>
          <t>first time posting here, my friend told me this place. my step father had kidney cancer, he had surgery about 3 and half years ago. unfortunately, it came back and by the time we find out he is already at late stage 4. the treatment was going well initially, but he also have high blood pressure and diabetes which complicated things. and today after in a deep coma for 4 days...he finally passed away.
my mother divorced when i was young, he is like as close of a dad i ever had...he treats me like i am his own...he loved his country, US marine corp and Vietnam vet. he is a huge inspiration why i joined the military as well. i am almost 30 years old and i have never cried so much in my life. as much as i want to tell him how much i miss him already and how much i care for him, i am emotionally unstable right now... i am not ok...</t>
        </is>
      </c>
      <c r="D9981" t="n">
        <v>1</v>
      </c>
      <c r="E9981" t="n">
        <v>8</v>
      </c>
      <c r="F9981">
        <f>HYPERLINK("https://www.reddit.com/r/cancer/comments/hg08jc/i_watched_my_step_dad_taken_his_last_breath_today/")</f>
        <v/>
      </c>
      <c r="G9981" t="inlineStr">
        <is>
          <t>2020-06-25 20:33:08</t>
        </is>
      </c>
      <c r="H9981" t="inlineStr"/>
    </row>
    <row r="9982">
      <c r="A9982" t="inlineStr">
        <is>
          <t>hg1lir</t>
        </is>
      </c>
      <c r="B9982" t="inlineStr">
        <is>
          <t>My make a wish</t>
        </is>
      </c>
      <c r="C9982" t="inlineStr">
        <is>
          <t>Hey I don’t know if this is the right place to post this but whatever. I’m 16 and I’ve decided that I want to donate my make a wish in a way that will benefit other cancer patients. I was just wondering if you guys and any ideas or thoughts for me, thanks in advance :)</t>
        </is>
      </c>
      <c r="D9982" t="n">
        <v>1</v>
      </c>
      <c r="E9982" t="n">
        <v>2</v>
      </c>
      <c r="F9982">
        <f>HYPERLINK("https://www.reddit.com/r/cancer/comments/hg1lir/my_make_a_wish/")</f>
        <v/>
      </c>
      <c r="G9982" t="inlineStr">
        <is>
          <t>2020-06-25 22:15:46</t>
        </is>
      </c>
      <c r="H9982" t="inlineStr"/>
    </row>
    <row r="9983">
      <c r="A9983" t="inlineStr">
        <is>
          <t>hg2x5y</t>
        </is>
      </c>
      <c r="B9983" t="inlineStr">
        <is>
          <t>I’m hoping for some insight from cancer patients</t>
        </is>
      </c>
      <c r="C9983" t="inlineStr">
        <is>
          <t>Hey there, I am an oncology CNA in an inpatient unit and I’m hoping to get some questions answered so I can improve my ability to communicate with patients :)
What are some things that I can do to make your time at the hospital easier or even a little more enjoyable?
How would you like me to treat you?
What are some things about the hospital or it’s staff that annoy you? Be honest, I work with lots of kids and teens so I’ve learned to handle some brutal honesty 
Thank you so much! Feel free to answer all, none, or anything in between. Any other tips or pointers are also greatly appreciated!</t>
        </is>
      </c>
      <c r="D9983" t="n">
        <v>1</v>
      </c>
      <c r="E9983" t="n">
        <v>13</v>
      </c>
      <c r="F9983">
        <f>HYPERLINK("https://www.reddit.com/r/cancer/comments/hg2x5y/im_hoping_for_some_insight_from_cancer_patients/")</f>
        <v/>
      </c>
      <c r="G9983" t="inlineStr">
        <is>
          <t>2020-06-26 00:05:56</t>
        </is>
      </c>
      <c r="H9983" t="inlineStr"/>
    </row>
    <row r="9984">
      <c r="A9984" t="inlineStr">
        <is>
          <t>hg4e8h</t>
        </is>
      </c>
      <c r="B9984" t="inlineStr">
        <is>
          <t>Mom have growth in rectum</t>
        </is>
      </c>
      <c r="C9984" t="inlineStr">
        <is>
          <t>From last 1 months mom (67) had problem passing stool, yesterday we had colonoscopy done, they found growth of tissue at around 8 cm above from anal opening. Probe couldn’t pass through that, doctor asked us to do full CT scan. We had done that too and waiting for the results. Biopsy done for the growth site, we will get results in 1-2 days. I was taking my mom to all these test, as because of COVID-19 I don’t want my father to go to hospitals. We didn’t tell her about all this, as she will lost hope or get scared, we told her there are ulcer and waiting for results how deep it is. Yesterday while doing colonoscopy doctor called during the procedure and told me about the growth of tissue, I was frozen, never imagine I will be given this news. I was sad and wanted to cry but held my feelings so mom don’t get any idea, called my father from hospital and told him this information. 
Only we both know about this, and hoping the mass can be removed by surgery and it is not matastised or dangerous. 
My mom who love everyone, don’t have anything bad done to anyone, care about everyone, I can’t imagine she is going trough all this. We are wishing it is not cancer and everything will be fine. 
My father is broken from inside, I can see that, he is seating alone and not talking much. I feel I am responsible for that, as I shared all the information doctor gave me with him without knowing the final results. But I couldn’t hold all this inside me, till test results come. 
I have faith that she will be all right, if it is too much to ask from god, then yes I requested him to please don’t let anything happen to my mom. 
I am very sad, cry when I seat alone. Came here to read more information about cancer. 
Thank you for reading, please let me know if I have to do anything as of now. 
Please pray for her, that she will be all right and it is not cancerous tissue. 🙏</t>
        </is>
      </c>
      <c r="D9984" t="n">
        <v>1</v>
      </c>
      <c r="E9984" t="n">
        <v>5</v>
      </c>
      <c r="F9984">
        <f>HYPERLINK("https://www.reddit.com/r/cancer/comments/hg4e8h/mom_have_growth_in_rectum/")</f>
        <v/>
      </c>
      <c r="G9984" t="inlineStr">
        <is>
          <t>2020-06-26 02:26:43</t>
        </is>
      </c>
      <c r="H9984" t="inlineStr"/>
    </row>
    <row r="9985">
      <c r="A9985" t="inlineStr">
        <is>
          <t>hg4yvk</t>
        </is>
      </c>
      <c r="B9985" t="inlineStr">
        <is>
          <t>Tafinlar/Mekinist Combo- struggling to survive</t>
        </is>
      </c>
      <c r="C9985" t="inlineStr">
        <is>
          <t>Hi all, first time I am here I just need to see if anybody has any advice on what I can do to survive the last 3 months of this medicine. I get super high fevers and nausea, chills like I have hypothermia. I have to take prednisone as well otherwise the muscle aches are too bad. I really just don’t know what to do about the nausea. It’s practically everyday but I don’t throw up everyday. But at least once a month, usually more I throw up and I am wiped out for a solid day with no warning. Does anybody have any solutions that worked for them while taking this or having extreme nausea and fevers? Thanks!</t>
        </is>
      </c>
      <c r="D9985" t="n">
        <v>1</v>
      </c>
      <c r="E9985" t="n">
        <v>4</v>
      </c>
      <c r="F9985">
        <f>HYPERLINK("https://www.reddit.com/r/cancer/comments/hg4yvk/tafinlarmekinist_combo_struggling_to_survive/")</f>
        <v/>
      </c>
      <c r="G9985" t="inlineStr">
        <is>
          <t>2020-06-26 03:21:09</t>
        </is>
      </c>
      <c r="H9985" t="inlineStr"/>
    </row>
    <row r="9986">
      <c r="A9986" t="inlineStr">
        <is>
          <t>hg68ts</t>
        </is>
      </c>
      <c r="B9986" t="inlineStr">
        <is>
          <t>Overwhelmed</t>
        </is>
      </c>
      <c r="C9986" t="inlineStr">
        <is>
          <t>My husband is 25 yo battling stage 4 cancer. It was originally a sarcoma localized to his brain but spread to lung. He was doing really well up until very recently. He took a very sudden turn for the worse a few weeks ago. 
He’s home now after spending nearly 2 weeks in the hospital. He’s getting a new chemo that they think may be working because he’s doing better than he was 2 weeks ago. Unfortunately he’s very weak and not well, still. 
I’m scared and overwhelmed to be taking care of him alone. Due to COVID we can’t really have anyone in our apartment. At night his breathing sounds very strange, and he coughs all night and I spent all night listening to him breathe and cough, sick with worry that something bad was gonna happen. He isn’t very mobile anymore. I feel like I need help from family but don’t know where to go. His moms side of the family would be willing to help but lives far away. He recently had a falling out with his father and isn’t really talking to him and doesn’t really want him around. My family would be willing to help but I’m not sure my husband would be open to it. 
This is all very new. Even though he’s had cancer for a while, he has been independent and hasn’t needed help with anything and was even working out. I’m scared to be here with him by myself. A few weeks ago I had to call an ambulance because he couldn’t breathe after having fluid built up around his lung. It came on very suddenly and I’m afraid that’ll happen again. As we approach the weekend I’m even more nervous about the lack of providers available on the weekend. 
Any advice??? Has anyone gone through this alone? I never thought I’d be 26 years old and the primary caretaker for my previously healthy, active, fun husband. :(</t>
        </is>
      </c>
      <c r="D9986" t="n">
        <v>1</v>
      </c>
      <c r="E9986" t="n">
        <v>4</v>
      </c>
      <c r="F9986">
        <f>HYPERLINK("https://www.reddit.com/r/cancer/comments/hg68ts/overwhelmed/")</f>
        <v/>
      </c>
      <c r="G9986" t="inlineStr">
        <is>
          <t>2020-06-26 05:02:14</t>
        </is>
      </c>
      <c r="H9986" t="inlineStr"/>
    </row>
    <row r="9987">
      <c r="A9987" t="inlineStr">
        <is>
          <t>hg75oa</t>
        </is>
      </c>
      <c r="B9987" t="inlineStr">
        <is>
          <t>Please send positive vibes and prayers for today's surgery</t>
        </is>
      </c>
      <c r="C9987" t="inlineStr">
        <is>
          <t>Today is the big day! 
Going in for surgery for a tumour in the bone of the right maxillary sinus. 
Reading the paperwork it reads suspected cancer... tumour too complicated to biopsy so they are just going to go and remove the affected area. 
I'm terrified but also cant wait to have it removed.
COVID makes it tough being here without someone. But looking around there are several other people here in the waiting room waiting for surgery. 
All alone together?
Please send vibes and prayers ❤</t>
        </is>
      </c>
      <c r="D9987" t="n">
        <v>1</v>
      </c>
      <c r="E9987" t="n">
        <v>28</v>
      </c>
      <c r="F9987">
        <f>HYPERLINK("https://www.reddit.com/r/cancer/comments/hg75oa/please_send_positive_vibes_and_prayers_for_todays/")</f>
        <v/>
      </c>
      <c r="G9987" t="inlineStr">
        <is>
          <t>2020-06-26 06:02:08</t>
        </is>
      </c>
      <c r="H9987" t="inlineStr"/>
    </row>
    <row r="9988">
      <c r="A9988" t="inlineStr">
        <is>
          <t>hg8686</t>
        </is>
      </c>
      <c r="B9988" t="inlineStr">
        <is>
          <t>Diagnosed with pancreatic cancer</t>
        </is>
      </c>
      <c r="C9988" t="inlineStr">
        <is>
          <t>I’m 24. I’ve got a 2 month old baby who was conceived via IVF after years of waiting and trying. 
What’s even the point anymore</t>
        </is>
      </c>
      <c r="D9988" t="n">
        <v>1</v>
      </c>
      <c r="E9988" t="n">
        <v>8</v>
      </c>
      <c r="F9988">
        <f>HYPERLINK("https://www.reddit.com/r/cancer/comments/hg8686/diagnosed_with_pancreatic_cancer/")</f>
        <v/>
      </c>
      <c r="G9988" t="inlineStr">
        <is>
          <t>2020-06-26 07:04:12</t>
        </is>
      </c>
      <c r="H9988" t="inlineStr"/>
    </row>
    <row r="9989">
      <c r="A9989" t="inlineStr">
        <is>
          <t>hg8a22</t>
        </is>
      </c>
      <c r="B9989" t="inlineStr">
        <is>
          <t>Do Ct scans earlier in life cause cancer down the line?</t>
        </is>
      </c>
      <c r="C9989" t="inlineStr">
        <is>
          <t>I am sorry for posting this, but the research out there is controversial. I would like to know whether you have been through one or even two Ct scans earlier in your life before being diagnosed. I know they use ionized radiation and the amount is minimal but I am still wondering of the consequences down the road of using the diagnostic tools...</t>
        </is>
      </c>
      <c r="D9989" t="n">
        <v>1</v>
      </c>
      <c r="E9989" t="n">
        <v>1</v>
      </c>
      <c r="F9989">
        <f>HYPERLINK("https://www.reddit.com/r/cancer/comments/hg8a22/do_ct_scans_earlier_in_life_cause_cancer_down_the/")</f>
        <v/>
      </c>
      <c r="G9989" t="inlineStr">
        <is>
          <t>2020-06-26 07:10:10</t>
        </is>
      </c>
      <c r="H9989" t="inlineStr"/>
    </row>
    <row r="9990">
      <c r="A9990" t="inlineStr">
        <is>
          <t>hgbkg7</t>
        </is>
      </c>
      <c r="B9990" t="inlineStr">
        <is>
          <t>Unisco Health - a platform for connecting patients to clinical trials</t>
        </is>
      </c>
      <c r="C9990" t="inlineStr">
        <is>
          <t>Dear r/cancer community, 
Have you spent hours and hours researching alternative treatment options on clinicaltrials.gov or other clinical trial registries? Do you find the process of finding clinical trials that meet your needs difficult, confusing, and burdensome? Let me introduce you to Unisco Health, a networking platform that makes it easier than ever for patients to find clinical trial matches for the purpose of receiving medical treatment.
Unisco Health allows users to share their medical information with clinical trial sites for the purpose of matching with clinical trials that best suit your treatment needs. By doing all of the research and medical record sharing for the patient, we reduce the amount of time you spend reaching out to clinical trial organizers, filling out paperwork, and transferring medical documents. You are only notified of trial matches that have been pre-screened by the clinical trial site, and you can directly communicate with clinical trial organizations on the platform. I should mention that the service is provided at no cost to you, the patient.  
If this service seems useful to you, please reach out to me at contact@uniscohealth.com so that we can communicate further. I look forward to helping you through your medical journey.
Kind regards, 
Jeryco Gallardo,
Founder of Unisco Health
Email: contact@uniscohealth.com</t>
        </is>
      </c>
      <c r="D9990" t="n">
        <v>1</v>
      </c>
      <c r="E9990" t="n">
        <v>0</v>
      </c>
      <c r="F9990">
        <f>HYPERLINK("https://www.reddit.com/r/cancer/comments/hgbkg7/unisco_health_a_platform_for_connecting_patients/")</f>
        <v/>
      </c>
      <c r="G9990" t="inlineStr">
        <is>
          <t>2020-06-26 10:08:43</t>
        </is>
      </c>
      <c r="H9990" t="inlineStr"/>
    </row>
    <row r="9991">
      <c r="A9991" t="inlineStr">
        <is>
          <t>hgc20h</t>
        </is>
      </c>
      <c r="B9991" t="inlineStr">
        <is>
          <t>Getting tested today after im finally back on insurance</t>
        </is>
      </c>
      <c r="C9991" t="inlineStr">
        <is>
          <t>Have had a lump on my neck for 4ish month's hasn't grown so im hoping is not a tumor hoping is just a swollen lymph nodes wish me luck</t>
        </is>
      </c>
      <c r="D9991" t="n">
        <v>1</v>
      </c>
      <c r="E9991" t="n">
        <v>0</v>
      </c>
      <c r="F9991">
        <f>HYPERLINK("https://www.reddit.com/r/cancer/comments/hgc20h/getting_tested_today_after_im_finally_back_on/")</f>
        <v/>
      </c>
      <c r="G9991" t="inlineStr">
        <is>
          <t>2020-06-26 10:34:25</t>
        </is>
      </c>
      <c r="H9991" t="inlineStr"/>
    </row>
    <row r="9992">
      <c r="A9992" t="inlineStr">
        <is>
          <t>hge0nc</t>
        </is>
      </c>
      <c r="B9992" t="inlineStr">
        <is>
          <t>How much help will a patient going through chemo and radiation treatment need?</t>
        </is>
      </c>
      <c r="C9992" t="inlineStr">
        <is>
          <t>My brother was diagnosed with esophageal cancer with brain tumors (17) Sunday and started radiation Tuesday. We have a little over a week of radiation treatment on his brain and then we begin chemo and radiation on his esophagus. We’re trying to give him his personal space but help and keep him safe at the same time.... 
Everything is just moving so fast and we’d like to get a real idea of what to expect when the chemotherapy is added to the radiation he’s already taking.
Any help will be greatly appreciated!</t>
        </is>
      </c>
      <c r="D9992" t="n">
        <v>1</v>
      </c>
      <c r="E9992" t="n">
        <v>2</v>
      </c>
      <c r="F9992">
        <f>HYPERLINK("https://www.reddit.com/r/cancer/comments/hge0nc/how_much_help_will_a_patient_going_through_chemo/")</f>
        <v/>
      </c>
      <c r="G9992" t="inlineStr">
        <is>
          <t>2020-06-26 12:17:57</t>
        </is>
      </c>
      <c r="H9992" t="inlineStr"/>
    </row>
    <row r="9993">
      <c r="A9993" t="inlineStr">
        <is>
          <t>hghdr8</t>
        </is>
      </c>
      <c r="B9993" t="inlineStr">
        <is>
          <t>Question about tumor doubling time, or rate of growth</t>
        </is>
      </c>
      <c r="C9993" t="inlineStr">
        <is>
          <t>Does this tend to be somewhat fixed, or can it change over time?</t>
        </is>
      </c>
      <c r="D9993" t="n">
        <v>1</v>
      </c>
      <c r="E9993" t="n">
        <v>1</v>
      </c>
      <c r="F9993">
        <f>HYPERLINK("https://www.reddit.com/r/cancer/comments/hghdr8/question_about_tumor_doubling_time_or_rate_of/")</f>
        <v/>
      </c>
      <c r="G9993" t="inlineStr">
        <is>
          <t>2020-06-26 15:18:03</t>
        </is>
      </c>
      <c r="H9993" t="inlineStr"/>
    </row>
    <row r="9994">
      <c r="A9994" t="inlineStr">
        <is>
          <t>hgibe8</t>
        </is>
      </c>
      <c r="B9994" t="inlineStr">
        <is>
          <t>I FINALLY GET TO TAKE A BREAK FROM CANCER!!!</t>
        </is>
      </c>
      <c r="C9994" t="inlineStr">
        <is>
          <t>A bit of background: 
I am 32 years old, male, stage 2B invasive ductal carcinoma, non genetic - grade 2, ER+, HER2-
I had an inverted nipple for most of my life - though it was normal and decided to get it checked out last year.
November: 2019 - First Mammogram, ultrasound was done shortly after. They found a suspicious lump (not to me I've known about it for years just never got it checked out) - so they wanted to do a needle biopsy - which can be described as OW!!!!! (literally not enough novacane or whatever they use in the world to numb the area - felt like a wolf took a bite under my skin - they had to do it 3 times!!!)
&amp;amp;#x200B;
December 2nd, 2019 - get results - listed originally at the beginning of the post.  I get he call during work, busiest time of our year. I literally take the call while I am doing paperwork - once it dies down and I hang up the phone I tell my boss what I was told. Oddly enough I felt nothing, no grief, no anger just "you got cancer" It had the same inflection as "the sky is blue" or "the sky is up" .... yup sure is and water is wet. I was informed I should tell HR and did, I wasn't even aware what wild ride would happen over the next few months. I had no idea what was going to happen - I couldn't even comprehend it. I know surgery was mandatory, aside from that I knew nothing else. Sure watching TV shows you "think" you know, but shows like Breaking Bad are just over done for theatrics. 
&amp;amp;#x200B;
Mid December - Followed by preop appointments, genetic testing, and physical therapy information. Along with meeting my surgeon and cancer team.
&amp;amp;#x200B;
January 9th - Mastectomy is finished followed by 2 weeks of recovery.
&amp;amp;#x200B;
February 13th - surgery for a chemo port is to be put in, followed by 4 sessions of chemo starting the next day. Dates are: Feb 14,  March 6th and 27th, April 17th
&amp;amp;#x200B;
May 11th - April 22nd - radiation Mon - Fri after work (feeling the affects now, chest is beat red, pealing, and burns when I move). Followed by an appointment with my radiation doctor right after my final appt. With oncologist as well telling me I need 5 years of temoxofin - with a surprise visit from my surgeon.....scheduling my port removal this weds.
&amp;amp;#x200B;
July 1st - MY CHEMO PORT IS REMOVED!!!
&amp;amp;#x200B;
Sept I see my oncologist again.
&amp;amp;#x200B;
After 6 months of this madness I finally get my staycation!!! 2 weeks away from work and the fucking hospital. No more time is being stolen from me. No MORE: Surgeries, Chemo taking 4 hours of my life and the next day with it, Radiation EVERY DAMN DAY M-F......I get 2 weeks by myself doing exactly what I WANT!!!
&amp;amp;#x200B;
I will be selfish, I will not care at all about another human being, it will be ME, ME, ME!! IF I WANT TO DO SOMETHING I....WILL....FUCKING...DO...IT!!! If I want to eat a large pizza on the couch and drink beer while I binge watch New Girl, The Office (never seen it....seeing what the craze is about), or any show my heart desires - or a video game...I WILL DO IT!! If I want to read a book I will do it. I need this vacation I have had enough of this horse shit. FUCK YOU CANCER 
&amp;amp;#x200B;
FUUUUUUUUUUUUUUUUUUUHHHHHH UUUUUHHH UUUUUUHHHH CCCKKKKKKK .... YOOUUUUUUUUUUUUUUUUU CAAAAAANCERRRRRRRRR!!!!!!!!!!!!!!!!! FUCK YOU FUCK YOU FUUUUUUU UUUUHHHH CCCKKKK YOOOUUUUUUUUU!!!!!!!!
&amp;amp;#x200B;
I have so many ideas I want to pursue:
&amp;amp;#x200B;
I want to play Civ 6 on Diety
&amp;amp;#x200B;
I'd love to binge watch tv shows I kept putting off.
&amp;amp;#x200B;
Read the first book of GoT
&amp;amp;#x200B;
I know boredom will settle in on day 6 roughly......but damn I will take it! If I just "zone out" for a bit because I ran out of stimuli then so be it....it will pass - I am tired of work and the fucking hospital stealing time from me.
&amp;amp;#x200B;
I know I wrote alot on the subject but I just had to vent.</t>
        </is>
      </c>
      <c r="D9994" t="n">
        <v>1</v>
      </c>
      <c r="E9994" t="n">
        <v>18</v>
      </c>
      <c r="F9994">
        <f>HYPERLINK("https://www.reddit.com/r/cancer/comments/hgibe8/i_finally_get_to_take_a_break_from_cancer/")</f>
        <v/>
      </c>
      <c r="G9994" t="inlineStr">
        <is>
          <t>2020-06-26 16:12:15</t>
        </is>
      </c>
      <c r="H9994" t="inlineStr"/>
    </row>
    <row r="9995">
      <c r="A9995" t="inlineStr">
        <is>
          <t>hgkbba</t>
        </is>
      </c>
      <c r="B9995" t="inlineStr">
        <is>
          <t>Here to bring good news!</t>
        </is>
      </c>
      <c r="C9995" t="inlineStr">
        <is>
          <t>On April 6, 2020, my (17M) dad (50M) was diagnosed with stage IV signet ring cell appendiceal cancer, with an overall 5 year survival rate (all stages) of ~10%. He has many tumors in his abdomen next to organs but it's only penetrated colon and small intestines I believe. 
Well, he had ascites upon diagnosis, which signals the final stages of cancer. Fast forward to today, and the ascites is gone. He has gained 15 pounds back from the 30 lost in April, I am helping him workout, we don't need to count calories, and his opioids are a much lower dose than earlier. His results are tremendous after six rounds of Folfoxiri. 
We just got the results back from his CT Scan down at MD Anderson... And no further growth! The cancer has stayed at bay and they have tentatively scheduled a surgery (HIPEC) for mid September, after 6 rounds of Folfiri (he can no longer take oxyplatin due to an allergic reaction).  
While I understand it's terminal (but my family doesn't), this could really help buy a ton of time. He was inoperable upon diagnosis due to ascites and placement of tumors. When he asked if he is a good candidate for surgery, the doctor said "100% yes". His goal since day one has been to be in the best shape possible for surgery, so this meant a lot to him (and me). His surgeon performs two HIPEC surgeries per week and is the best in the world, so we are very very lucky for this. Anyways, I thought I should share this with everyone given my previous posts on here. God bless, and fuck cancer.</t>
        </is>
      </c>
      <c r="D9995" t="n">
        <v>1</v>
      </c>
      <c r="E9995" t="n">
        <v>3</v>
      </c>
      <c r="F9995">
        <f>HYPERLINK("https://www.reddit.com/r/cancer/comments/hgkbba/here_to_bring_good_news/")</f>
        <v/>
      </c>
      <c r="G9995" t="inlineStr">
        <is>
          <t>2020-06-26 18:17:58</t>
        </is>
      </c>
      <c r="H9995" t="inlineStr"/>
    </row>
    <row r="9996">
      <c r="A9996" t="inlineStr">
        <is>
          <t>hgkcg1</t>
        </is>
      </c>
      <c r="B9996" t="inlineStr">
        <is>
          <t>Anyone undergone HIPEC on here?</t>
        </is>
      </c>
      <c r="C9996" t="inlineStr">
        <is>
          <t>My father will probably be doing HIPEC this September, I wanted to hear about anybody's experience with this. Thanks!</t>
        </is>
      </c>
      <c r="D9996" t="n">
        <v>1</v>
      </c>
      <c r="E9996" t="n">
        <v>7</v>
      </c>
      <c r="F9996">
        <f>HYPERLINK("https://www.reddit.com/r/cancer/comments/hgkcg1/anyone_undergone_hipec_on_here/")</f>
        <v/>
      </c>
      <c r="G9996" t="inlineStr">
        <is>
          <t>2020-06-26 18:20:05</t>
        </is>
      </c>
      <c r="H9996" t="inlineStr"/>
    </row>
    <row r="9997">
      <c r="A9997" t="inlineStr">
        <is>
          <t>hgleke</t>
        </is>
      </c>
      <c r="B9997" t="inlineStr">
        <is>
          <t>Renal cell carcinoma spread to bone questions</t>
        </is>
      </c>
      <c r="C9997" t="inlineStr">
        <is>
          <t>My mom was diagnosed with kidney cancer last November and they removed her entire kidney. After her second 3 month scan they found the clear cell cancer on her rib bone and diagnosed her as a stage 4. The new tumor is only the size of a pecan. I have been reading online that survival rate is only 8-12%, but my family keeps telling me that it’s only a small spot and that everything is going to be fine and that if chemo doesn’t work they can just remove her rib. I can’t tell if they are saying this just to be positive or if it’s the truth. I just want to prepare myself emotionally as best as possible and not be shocked if something were to happen. The term “stage 4” really scares me and automatically makes me think the worst, but it’s so small that I think everything should be okay. Can anybody provide insight? Does the fact that it’s on the bone make it any better? I have done a lot of googling but am having trouble finding a case like hers. Thank you in advance.</t>
        </is>
      </c>
      <c r="D9997" t="n">
        <v>1</v>
      </c>
      <c r="E9997" t="n">
        <v>3</v>
      </c>
      <c r="F9997">
        <f>HYPERLINK("https://www.reddit.com/r/cancer/comments/hgleke/renal_cell_carcinoma_spread_to_bone_questions/")</f>
        <v/>
      </c>
      <c r="G9997" t="inlineStr">
        <is>
          <t>2020-06-26 19:30:41</t>
        </is>
      </c>
      <c r="H9997" t="inlineStr"/>
    </row>
    <row r="9998">
      <c r="A9998" t="inlineStr">
        <is>
          <t>hgmg0l</t>
        </is>
      </c>
      <c r="B9998" t="inlineStr">
        <is>
          <t>It finally happened</t>
        </is>
      </c>
      <c r="C9998" t="inlineStr">
        <is>
          <t>So this is an update to the last post I made about 3 months prior.  
My dad finally passed on May 9th.   
we knew after discontinuing the treatment that it wouldnt be long but I still wasnt quite ready when it happened.  
I have yet to cry over it. The last week he was alive was so wonderful and im scared to face the fact that he's actually gone now. I had gone so long without a dad in my life that loved me and when I was finally reconnected with him and my mom after so long, I never thought I would lose him to something like this.   
He fought so hard and he did everything right. Im so angry and hurt that hes not here even though he would be if he had that choice. I feel so numb all the time and broken down. Im sad he's gone, im happy he's not suffering, and I just miss him more than anything.</t>
        </is>
      </c>
      <c r="D9998" t="n">
        <v>1</v>
      </c>
      <c r="E9998" t="n">
        <v>2</v>
      </c>
      <c r="F9998">
        <f>HYPERLINK("https://www.reddit.com/r/cancer/comments/hgmg0l/it_finally_happened/")</f>
        <v/>
      </c>
      <c r="G9998" t="inlineStr">
        <is>
          <t>2020-06-26 20:42:04</t>
        </is>
      </c>
      <c r="H9998" t="inlineStr"/>
    </row>
    <row r="9999">
      <c r="A9999" t="inlineStr">
        <is>
          <t>hgmxo9</t>
        </is>
      </c>
      <c r="B9999" t="inlineStr">
        <is>
          <t>I’m sick again and am traveling to Mayo Clinic in Minnesota from out of state. Anyone else go to Mayo? Tips? Things to know?</t>
        </is>
      </c>
      <c r="C9999" t="inlineStr">
        <is>
          <t>The title says it all. I’m sick again and have been for a while after completing 12 rounds of chemo for stage 4B Hodgekins Lymphoma. My current hospital kept making life threatening mistakes and my case is very rare and complicated. Mayo is my last hope. What should I bring? (other than the obvious) What are some things you wish you knew the first time you went? Any advice? Or care to share your experience? I am so scared they will not be able to help me either and I will die. Also, the whole traveling during a pandemic with compromised lungs and immune system doesn’t help my anxiety either.</t>
        </is>
      </c>
      <c r="D9999" t="n">
        <v>1</v>
      </c>
      <c r="E9999" t="n">
        <v>1</v>
      </c>
      <c r="F9999">
        <f>HYPERLINK("https://www.reddit.com/r/cancer/comments/hgmxo9/im_sick_again_and_am_traveling_to_mayo_clinic_in/")</f>
        <v/>
      </c>
      <c r="G9999" t="inlineStr">
        <is>
          <t>2020-06-26 21:16:49</t>
        </is>
      </c>
      <c r="H9999" t="inlineStr"/>
    </row>
    <row r="10000">
      <c r="A10000" t="inlineStr">
        <is>
          <t>hgqmjs</t>
        </is>
      </c>
      <c r="B10000" t="inlineStr">
        <is>
          <t>Does anyone have experience with sarcomas?</t>
        </is>
      </c>
      <c r="C10000" t="inlineStr">
        <is>
          <t>My diagnose is not there yet.. but a person online told me it might be a sarcoma. I don't know wether to believe if it's true .
Here is what I've been able to observe:
For about 5 years now I have this soft thin/flat lump (size 1-2cm but only in length.. height maybe 0.2mm?) on my second metacarpal. It’s right under the thin skin on the bone that leads to my index finger. This lump is moveable and I don't think it grew since then, maybe a bit but not noticeable. It's only visible if you shape your hand into a fist otherwise it's not.. so it's not very big.  I have it since I was 13. I'm 18 now.  I read that something benign there is rare and almost unseen of.  Also: It does not hurt at all.  You can prove me wrong but this sounds a lot like a sarcoma when it comes to a painless mass. 
It took me a long time to make it visible:
[here's the best picture I could take](https://imgur.com/a/XE6olpi)
What is your experience with a sarcoma? Did your symptoms correspond with mine?</t>
        </is>
      </c>
      <c r="D10000" t="n">
        <v>1</v>
      </c>
      <c r="E10000" t="n">
        <v>18</v>
      </c>
      <c r="F10000">
        <f>HYPERLINK("https://www.reddit.com/r/cancer/comments/hgqmjs/does_anyone_have_experience_with_sarcomas/")</f>
        <v/>
      </c>
      <c r="G10000" t="inlineStr">
        <is>
          <t>2020-06-27 02:36:01</t>
        </is>
      </c>
      <c r="H10000" t="inlineStr"/>
    </row>
    <row r="10001">
      <c r="A10001" t="inlineStr">
        <is>
          <t>hgtriu</t>
        </is>
      </c>
      <c r="B10001" t="inlineStr">
        <is>
          <t>Should a Cancer survivor (F) date a depression man</t>
        </is>
      </c>
      <c r="C10001" t="inlineStr">
        <is>
          <t xml:space="preserve">
I just in remission from lymphoma and known a new guy and date twice. Have lot of feeling with him, he’s currently take anti depression pills for 2 months, I found that he’s somehow sometimes quite negative by nature and emotional. He told me about his tough childhood etc 
I don’t know if I can handle it. All my friends told me I should stay away and find someone else who won’t affect my emotional and can take care of me instead. But I do have lot of feeling with him and I didn’t feel like this for long time. I guess he does as well...I just have feeling and we found each other attractive. But somehow he’s hot and cold</t>
        </is>
      </c>
      <c r="D10001" t="n">
        <v>1</v>
      </c>
      <c r="E10001" t="n">
        <v>5</v>
      </c>
      <c r="F10001">
        <f>HYPERLINK("https://www.reddit.com/r/cancer/comments/hgtriu/should_a_cancer_survivor_f_date_a_depression_man/")</f>
        <v/>
      </c>
      <c r="G10001" t="inlineStr">
        <is>
          <t>2020-06-27 06:45:43</t>
        </is>
      </c>
      <c r="H10001" t="inlineStr"/>
    </row>
    <row r="10002">
      <c r="A10002" t="inlineStr">
        <is>
          <t>hgube3</t>
        </is>
      </c>
      <c r="B10002" t="inlineStr">
        <is>
          <t>Relief from radiation</t>
        </is>
      </c>
      <c r="C10002" t="inlineStr">
        <is>
          <t>Hey everyone! So this is my second round of radiation and chemo in a year (started as cervical cancer and is now in my lymphatic system). Needless to say, radiation is tearing my bowels to pieces. I never fully recovered from the first round and now the site of radiation is basically where they didn't hit the first round on my abdomen.
Soooo I was wondering if anyone has had to go through this and what can I do to help it? I have medications (I only take if u have to), I know brat diet, my problem is that I still try to get food into my system.... Which always results in a day in the bathroom</t>
        </is>
      </c>
      <c r="D10002" t="n">
        <v>1</v>
      </c>
      <c r="E10002" t="n">
        <v>2</v>
      </c>
      <c r="F10002">
        <f>HYPERLINK("https://www.reddit.com/r/cancer/comments/hgube3/relief_from_radiation/")</f>
        <v/>
      </c>
      <c r="G10002" t="inlineStr">
        <is>
          <t>2020-06-27 07:19:42</t>
        </is>
      </c>
      <c r="H10002" t="inlineStr"/>
    </row>
    <row r="10003">
      <c r="A10003" t="inlineStr">
        <is>
          <t>hgv4sr</t>
        </is>
      </c>
      <c r="B10003" t="inlineStr">
        <is>
          <t>What can my mom do to stop the nausea??? Zofran isn't helping.</t>
        </is>
      </c>
      <c r="C10003" t="inlineStr">
        <is>
          <t>My mom has Stage IV Colon cancer and she is on her second of 12-rounds of chemo. The first 12 rounds she wasn't having hardly any symptoms at all. She did her first of this round in December and for the most part was doing well. Now we're here in June, she had her treatment Tuesday and the pump til Thursday, and her nausea seems to be preventing her from keeping anything down. Zofran doesn't seem to be working. Any suggestions??</t>
        </is>
      </c>
      <c r="D10003" t="n">
        <v>1</v>
      </c>
      <c r="E10003" t="n">
        <v>36</v>
      </c>
      <c r="F10003">
        <f>HYPERLINK("https://www.reddit.com/r/cancer/comments/hgv4sr/what_can_my_mom_do_to_stop_the_nausea_zofran_isnt/")</f>
        <v/>
      </c>
      <c r="G10003" t="inlineStr">
        <is>
          <t>2020-06-27 08:07:47</t>
        </is>
      </c>
      <c r="H10003" t="inlineStr"/>
    </row>
    <row r="10004">
      <c r="A10004" t="inlineStr">
        <is>
          <t>hgvw6x</t>
        </is>
      </c>
      <c r="B10004" t="inlineStr">
        <is>
          <t>My mom just died from cancer</t>
        </is>
      </c>
      <c r="C10004" t="inlineStr">
        <is>
          <t>A week ago my mom passed away a week ago after a year from the diagnosis. She had a very aggressive cholangiocarcinoma and the doctors never gave us hope and even didn't gave her a good treatment. I'm from Colombia and our healthcare system is awful.
Against all odds she had a really good 2019 despite the illness and even went to work (she was a teacher). But this year everything went downhill, her body stopped receiving food and went really skinny. Due to the pandemic all travels were restricted and I live in another city so it was impossible for me to visit her until two weeks ago. Her last days were awful she barely could manage to breathe and I cannot forgive myself for not spending more time with her. The images of it's last days are haunting me and I don't know how to deal with it. 
She was a loving caring woman, an awesome teacher and the best mom. She didn't deserve that suffering and I'm struggling to find sense in everything that happened. I feel lost, disoriented and so angry I don't know what to do.</t>
        </is>
      </c>
      <c r="D10004" t="n">
        <v>16</v>
      </c>
      <c r="E10004" t="n">
        <v>33</v>
      </c>
      <c r="F10004">
        <f>HYPERLINK("https://www.reddit.com/r/cancer/comments/hgvw6x/my_mom_just_died_from_cancer/")</f>
        <v/>
      </c>
      <c r="G10004" t="inlineStr">
        <is>
          <t>2020-06-27 08:51:07</t>
        </is>
      </c>
      <c r="H10004" t="inlineStr"/>
    </row>
    <row r="10005">
      <c r="A10005" t="inlineStr">
        <is>
          <t>hgxzp6</t>
        </is>
      </c>
      <c r="B10005" t="inlineStr">
        <is>
          <t>Not sure how to be supportive</t>
        </is>
      </c>
      <c r="C10005" t="inlineStr">
        <is>
          <t>Hi all, 
My dad has cancer and is starting treatment soon. My question is how can I support him and my mum. I have my husband which is very supportive, so I´ll be ok. My husband thinks we should mostly just try to be a positive influence - but I´m worried this may just be annoying. Trying to stay normal is another one he suggested, taking my dad out for a beer, watching movies etc. Do you guys have any thoughts on this. I had started to interfere in what my dad should be eating and drinking but I think that is more me trying to make myself feel better rather then actually helping (and my husband pointing out this may also be highly annoying)... Basically we have no clue what we are doing.  
So please if you have any tips regarding this, give me a shout :)  
Hope you are all coping ok.</t>
        </is>
      </c>
      <c r="D10005" t="n">
        <v>2</v>
      </c>
      <c r="E10005" t="n">
        <v>4</v>
      </c>
      <c r="F10005">
        <f>HYPERLINK("https://www.reddit.com/r/cancer/comments/hgxzp6/not_sure_how_to_be_supportive/")</f>
        <v/>
      </c>
      <c r="G10005" t="inlineStr">
        <is>
          <t>2020-06-27 10:49:26</t>
        </is>
      </c>
      <c r="H10005" t="inlineStr"/>
    </row>
    <row r="10006">
      <c r="A10006" t="inlineStr">
        <is>
          <t>hgywwv</t>
        </is>
      </c>
      <c r="B10006" t="inlineStr">
        <is>
          <t>Struggles years after treatment</t>
        </is>
      </c>
      <c r="C10006" t="inlineStr">
        <is>
          <t>Hello fellow redditors. I am 31 M, and have survived two different types of cancer. This year I am officially in remission from both. Do any other survivors here struggle with feelings of fragility? Or find it hard to move past the idea you aren't sick or in danger anymore? A friend pointed out to me recently that I use sickness as a shield to hide from living life. I had anxiety since before my treatments. It has gotten so much worse after.</t>
        </is>
      </c>
      <c r="D10006" t="n">
        <v>13</v>
      </c>
      <c r="E10006" t="n">
        <v>13</v>
      </c>
      <c r="F10006">
        <f>HYPERLINK("https://www.reddit.com/r/cancer/comments/hgywwv/struggles_years_after_treatment/")</f>
        <v/>
      </c>
      <c r="G10006" t="inlineStr">
        <is>
          <t>2020-06-27 11:40:30</t>
        </is>
      </c>
      <c r="H10006" t="inlineStr"/>
    </row>
    <row r="10007">
      <c r="A10007" t="inlineStr">
        <is>
          <t>hh2zla</t>
        </is>
      </c>
      <c r="B10007" t="inlineStr">
        <is>
          <t>How do I accept my mother’s death when it comes?</t>
        </is>
      </c>
      <c r="C10007" t="inlineStr">
        <is>
          <t>My momma is on a palliative care ward at the hospital. I come here to be with her everyday and I am not working right now so I can be with her as much as possible. But I still feel guilty when I’m not here, if I’m at home at night all I feel is guilt for not being with her and if I do anything remotely fun I feel guilty because she is suffering and I am enjoying life for a couple of hours out of the day. It’s hard to fall asleep because I’m so sad. It’s hard to see everyone enjoying their summer and having fun at the beach while I’m losing my mom. 
Beyond that, I don’t know how I will deal with death since I’ve never lost anyone close to me and now my first experience will be the one person I love the most and it’ll probably happen during the summer which is forever going to be a sad time now rather than my favourite season...
I understand that we all have to lose our parents or even a worse situation is parents losing children and yet they are able to carry on somehow even though they are experiencing the most painful situation anyone can go through. I understand people have it worse than me and some lose their mom when they are children or in high school. I understand people lose their mom through accidents and don’t have a chance to say goodbye or their last words are not what they wanted it to be. I understand I’m old enough (25) to take care of myself but what about when I wanna call my mom to vent to her because she’s the only one who cares? What about when I have my own children and I want her to meet them? 
I understand it’s the process of life and everyone must experience loss. I just still cannot come to terms with my situation being so depressing and the fact that I will be left with no immediate family (no siblings, no father and other family are across the globe..)
How will I ever recover or be myself again? Will I ever have the energy to go back to work or start my career? Will I ever stop having a pit feeling in my stomach or feel happy? I just cannot imagine life after my moms death...</t>
        </is>
      </c>
      <c r="D10007" t="n">
        <v>5</v>
      </c>
      <c r="E10007" t="n">
        <v>16</v>
      </c>
      <c r="F10007">
        <f>HYPERLINK("https://www.reddit.com/r/cancer/comments/hh2zla/how_do_i_accept_my_mothers_death_when_it_comes/")</f>
        <v/>
      </c>
      <c r="G10007" t="inlineStr">
        <is>
          <t>2020-06-27 15:28:46</t>
        </is>
      </c>
      <c r="H10007" t="inlineStr"/>
    </row>
    <row r="10008">
      <c r="A10008" t="inlineStr">
        <is>
          <t>hh31w1</t>
        </is>
      </c>
      <c r="B10008" t="inlineStr">
        <is>
          <t>Anyone gotten relief from internal s at tissue pain?</t>
        </is>
      </c>
      <c r="C10008" t="inlineStr">
        <is>
          <t>My scars where they cut for the lumpectomy ache.  Not the surface but internal.  They are 6 and half years old, if that matters.</t>
        </is>
      </c>
      <c r="D10008" t="n">
        <v>1</v>
      </c>
      <c r="E10008" t="n">
        <v>1</v>
      </c>
      <c r="F10008">
        <f>HYPERLINK("https://www.reddit.com/r/cancer/comments/hh31w1/anyone_gotten_relief_from_internal_s_at_tissue/")</f>
        <v/>
      </c>
      <c r="G10008" t="inlineStr">
        <is>
          <t>2020-06-27 15:32:31</t>
        </is>
      </c>
      <c r="H10008" t="inlineStr"/>
    </row>
    <row r="10009">
      <c r="A10009" t="inlineStr">
        <is>
          <t>hh3wgq</t>
        </is>
      </c>
      <c r="B10009" t="inlineStr">
        <is>
          <t>Help being supportive</t>
        </is>
      </c>
      <c r="C10009" t="inlineStr">
        <is>
          <t>My dad has stage 3 colorectal cancer and is scheduled for surgery at the end of July. He had miscommunication with his doctor about what the surgery would entail (total removal of the rectum) and went for a second opinion. The second opinion doctor advised him to get surgery but as far as they can see he is cancer free and he can choose to be monitored and not get surgery. He said obviously there’s high risk in choosing not to have the surgery as cancer may come back even harder. My dad called and said he’s going to go with the monitoring route as he’s extremely scared of surgery. I think this is a terrible idea and told him so and now he’s mad, I’m mad it’s all just a mess. How do I support him? At the end of the day it’s not my body not my choice but I’m failing to understand why he would risk it coming back</t>
        </is>
      </c>
      <c r="D10009" t="n">
        <v>0</v>
      </c>
      <c r="E10009" t="n">
        <v>3</v>
      </c>
      <c r="F10009">
        <f>HYPERLINK("https://www.reddit.com/r/cancer/comments/hh3wgq/help_being_supportive/")</f>
        <v/>
      </c>
      <c r="G10009" t="inlineStr">
        <is>
          <t>2020-06-27 16:21:41</t>
        </is>
      </c>
      <c r="H10009" t="inlineStr"/>
    </row>
    <row r="10010">
      <c r="A10010" t="inlineStr">
        <is>
          <t>hh4m83</t>
        </is>
      </c>
      <c r="B10010" t="inlineStr">
        <is>
          <t>My dad has cancer</t>
        </is>
      </c>
      <c r="C10010" t="inlineStr">
        <is>
          <t xml:space="preserve"> Hello, my father was diagnosed with colon cancer like 3 years ago, he did the surgery and it was successful, but then he did MRI and CT scans, and then 2 years ago the doctor found out that my father has liver cancer, the tumor in the liver was small and could've been surgically removed, but he gave him radiation therapy for 2 months and wasted a lot of time, and now we found out that my dad has gallbladder cancer too! Which is so much worse, we talked to some of our relatives who know cancer doctors and we showed them the medical reports, and all of them said that the doctor should've removed it first and then he can give him the treatment, I am afraid my father won't live long now, he is 72 years old, all the family is destroyed mentally and emotionally, we are hopeless, we don't know what to do! and what makes it worse is that my older brother still has no idea about it, because he lives, married and works in another country, and I think soon we are gonna tell him, he will be destroyed, because we haven't seen him for 4 years, he was coming to see us but it's postponed because of coronavirus.</t>
        </is>
      </c>
      <c r="D10010" t="n">
        <v>1</v>
      </c>
      <c r="E10010" t="n">
        <v>1</v>
      </c>
      <c r="F10010">
        <f>HYPERLINK("https://www.reddit.com/r/cancer/comments/hh4m83/my_dad_has_cancer/")</f>
        <v/>
      </c>
      <c r="G10010" t="inlineStr">
        <is>
          <t>2020-06-27 17:05:30</t>
        </is>
      </c>
      <c r="H10010" t="inlineStr"/>
    </row>
    <row r="10011">
      <c r="A10011" t="inlineStr">
        <is>
          <t>hh5hkc</t>
        </is>
      </c>
      <c r="B10011" t="inlineStr">
        <is>
          <t>dying from mysterious neurological disease, need advice about abusive family</t>
        </is>
      </c>
      <c r="C10011" t="inlineStr">
        <is>
          <t>5 years ago in the 10th grade I started developing neurological symptoms which eventually got diagnosed as autonomic dysfunction, it is an excruciatingly painful disease and my family constantly abuses me and aggravates the disease.
I suffer constant pain from my abusive family and I often plan suicide attempts in order to manage uncontrolled pain inflicted by abusive family members. I am constantly searching for pain killers or growing opium in order to prepare for uncomfortable pain.
It is impossible to speak about my healthcare or terminal illness because my family pretends it isn’t real I cannot speak about my disease at all. Sometimes when my pain becomes unbearable I will ask to go to the doctor and it could begin s physical altercation where people are screaming and hitting each other threatening to call the police.
Eventually I might go to the doctor and when I return home my parents will be furious about medical bills and it will begin another fight with the family where sometimes family members will frame me as a schizophrenic and call the psychiatric police.
This fight has been going on every day all day for half a decade 5 years all day screaming and arguing while I wait for my terminal disease to progress so that I may one day finally Rest In Peace in my early grave.
I guess I need to give up on medicine and turn to a more natural cure for my terminal condition, because my family refuses to discuss anything medical.
I should just give up and die with illegal painkillers because it’s impossible to discuss my disease it doesn’t exist.</t>
        </is>
      </c>
      <c r="D10011" t="n">
        <v>0</v>
      </c>
      <c r="E10011" t="n">
        <v>9</v>
      </c>
      <c r="F10011">
        <f>HYPERLINK("https://www.reddit.com/r/cancer/comments/hh5hkc/dying_from_mysterious_neurological_disease_need/")</f>
        <v/>
      </c>
      <c r="G10011" t="inlineStr">
        <is>
          <t>2020-06-27 18:04:27</t>
        </is>
      </c>
      <c r="H10011" t="inlineStr"/>
    </row>
    <row r="10012">
      <c r="A10012" t="inlineStr">
        <is>
          <t>hh7x0v</t>
        </is>
      </c>
      <c r="B10012" t="inlineStr">
        <is>
          <t>Young with possible cancer and scared.</t>
        </is>
      </c>
      <c r="C10012" t="inlineStr">
        <is>
          <t>Just found a mass in my pelvis. All I’ve been told is that it’s rather large and I’ve already been sent for blood tests. I’m not sure what to think, as I sit here typing this on my 34th birthday. Hoping for a better year. Just needed a vent and maybe some encouragement. Thanks</t>
        </is>
      </c>
      <c r="D10012" t="n">
        <v>1</v>
      </c>
      <c r="E10012" t="n">
        <v>10</v>
      </c>
      <c r="F10012">
        <f>HYPERLINK("https://www.reddit.com/r/cancer/comments/hh7x0v/young_with_possible_cancer_and_scared/")</f>
        <v/>
      </c>
      <c r="G10012" t="inlineStr">
        <is>
          <t>2020-06-27 21:01:12</t>
        </is>
      </c>
      <c r="H10012" t="inlineStr"/>
    </row>
    <row r="10013">
      <c r="A10013" t="inlineStr">
        <is>
          <t>hha36m</t>
        </is>
      </c>
      <c r="B10013" t="inlineStr">
        <is>
          <t>Mother diagnosed with GallBladder cancer</t>
        </is>
      </c>
      <c r="C10013" t="inlineStr">
        <is>
          <t>Hi,
&amp;amp;#x200B;
Few days back mother has been diagnosed with Gall bladder cancer stage 4 with Metastasis to liver which was found accidentally.  Around 7 years back she had been diagnosed with gallstones or stones in gall bladder. Now the oncologists say Gallstones may be the reason for gall bladder cancer.  However in those 7 years we have done number of scans for other reasons but never we were told gallstones can cause gallbladder cancer ; all this time we were told to surgically remove gall stones but it is not an urgent procedure so may wait when emergency arises due to pain caused by gall stones.
&amp;amp;#x200B;
Now mother has about 80 mm \* 80 mm sized tumor on liver, Oncologists are suggesting chemotherapy ( Gemcitabine and Cisplatin ) . After 2 cycles progress will be checked if it doesn't work all treatments will be stopped and mother will be put under palliative care .
&amp;amp;#x200B;
we were given a timeline of &amp;lt;1 year if chemo works , if it doesn't work then about 6 months. Mother and family members are trying to decide if chemo is worth the risk of sideeffects . 
&amp;amp;#x200B;
My fellow community members, please let me know if you have also faced similar situation of selecting treatment for gall bladder cancer.</t>
        </is>
      </c>
      <c r="D10013" t="n">
        <v>1</v>
      </c>
      <c r="E10013" t="n">
        <v>8</v>
      </c>
      <c r="F10013">
        <f>HYPERLINK("https://www.reddit.com/r/cancer/comments/hha36m/mother_diagnosed_with_gallbladder_cancer/")</f>
        <v/>
      </c>
      <c r="G10013" t="inlineStr">
        <is>
          <t>2020-06-28 00:03:49</t>
        </is>
      </c>
      <c r="H10013" t="inlineStr"/>
    </row>
    <row r="10014">
      <c r="A10014" t="inlineStr">
        <is>
          <t>hhbbzj</t>
        </is>
      </c>
      <c r="B10014" t="inlineStr">
        <is>
          <t>How to deal with uncertainty?</t>
        </is>
      </c>
      <c r="C10014" t="inlineStr">
        <is>
          <t>Sorry if this seems a bit disjointed I'm not a very good writer. I was diagnosed last January and was told it was terminal, I've accepted that but the thing I'm really struggling with is the seemingly random wait. I was told after I completed treatment that the best case scenario I'd maybe have 4 years but it could be literally anytime when my tumour starts growing again, I'm really struggling to deal with not knowing, anyone else know this feeling and have advice on handling it?</t>
        </is>
      </c>
      <c r="D10014" t="n">
        <v>1</v>
      </c>
      <c r="E10014" t="n">
        <v>12</v>
      </c>
      <c r="F10014">
        <f>HYPERLINK("https://www.reddit.com/r/cancer/comments/hhbbzj/how_to_deal_with_uncertainty/")</f>
        <v/>
      </c>
      <c r="G10014" t="inlineStr">
        <is>
          <t>2020-06-28 02:08:27</t>
        </is>
      </c>
      <c r="H10014" t="inlineStr"/>
    </row>
    <row r="10015">
      <c r="A10015" t="inlineStr">
        <is>
          <t>hhctj7</t>
        </is>
      </c>
      <c r="B10015" t="inlineStr">
        <is>
          <t>Is it a melanoma? Benign or Malignant?</t>
        </is>
      </c>
      <c r="C10015" t="inlineStr">
        <is>
          <t>I'm a bit concern about my mole on the nose. This was still last year(less than 11 months) and it started small, but I've noticed that it grew a quiet little for a month (not more than 6mm) and has 2 colors - the black part was on c-shape on the peripheral part and the red part was more on central. 
So I went to the doctor last week to get check about this. Since there's a plastic border between us, she asked me to uncover my face to check the appearance of mole. And she said, it's more likely a benign. I even asked why there is two different colors but she didn't exactly answered my question. She also added that if I'm bothered about my mole, she will refer me to a surgeon to excise the nevus. Tho, I'm not a bit satisfied cause she didn't even had a closer look on my mole. 
So I'm here to ask if it could be a warning sign of melanoma based on the color of my mole. Here's the summarize:
-Nodular but not growing or not bigger than 6mm; it stayed stagnant in a size of approx 3mm
-No signs of itchiness or pain
-It is soft; no signs of lump
-Has 2 different colors. Black on peripheral part (C-shaped) and Red on central part.</t>
        </is>
      </c>
      <c r="D10015" t="n">
        <v>1</v>
      </c>
      <c r="E10015" t="n">
        <v>4</v>
      </c>
      <c r="F10015">
        <f>HYPERLINK("https://www.reddit.com/r/cancer/comments/hhctj7/is_it_a_melanoma_benign_or_malignant/")</f>
        <v/>
      </c>
      <c r="G10015" t="inlineStr">
        <is>
          <t>2020-06-28 04:25:11</t>
        </is>
      </c>
      <c r="H10015" t="inlineStr"/>
    </row>
    <row r="10016">
      <c r="A10016" t="inlineStr">
        <is>
          <t>hhdb56</t>
        </is>
      </c>
      <c r="B10016" t="inlineStr">
        <is>
          <t>So, i just peed in the radiotherapy room</t>
        </is>
      </c>
      <c r="C10016" t="inlineStr">
        <is>
          <t>What's your similar story?
i have to have my bladder full to do the radiotherapy, meaning I have to drink a lot of water beforehand,  unfortunately this time i drank too much, and let's just say there was an overflow, couldn't even control the fucker, after some came out i could stop it though, thankfully the workers were cool with it.</t>
        </is>
      </c>
      <c r="D10016" t="n">
        <v>1</v>
      </c>
      <c r="E10016" t="n">
        <v>26</v>
      </c>
      <c r="F10016">
        <f>HYPERLINK("https://www.reddit.com/r/cancer/comments/hhdb56/so_i_just_peed_in_the_radiotherapy_room/")</f>
        <v/>
      </c>
      <c r="G10016" t="inlineStr">
        <is>
          <t>2020-06-28 05:07:36</t>
        </is>
      </c>
      <c r="H10016" t="inlineStr"/>
    </row>
    <row r="10017">
      <c r="A10017" t="inlineStr">
        <is>
          <t>hhebqt</t>
        </is>
      </c>
      <c r="B10017" t="inlineStr">
        <is>
          <t>What causes bloating all over and excess mucus in stage 4 cancer?</t>
        </is>
      </c>
      <c r="C10017" t="inlineStr">
        <is>
          <t>My dad is on hospice and has stage 4 cancer (started as sarcoma but progressed to lungs and other sites). His body is severely bloated all over and he’s coughing up a ton of phlegm. What can be causing this? Is there anything we can do? Hospice is just giving him more pain meds but I’m still wondering what causes this.</t>
        </is>
      </c>
      <c r="D10017" t="n">
        <v>1</v>
      </c>
      <c r="E10017" t="n">
        <v>5</v>
      </c>
      <c r="F10017">
        <f>HYPERLINK("https://www.reddit.com/r/cancer/comments/hhebqt/what_causes_bloating_all_over_and_excess_mucus_in/")</f>
        <v/>
      </c>
      <c r="G10017" t="inlineStr">
        <is>
          <t>2020-06-28 06:26:07</t>
        </is>
      </c>
      <c r="H10017" t="inlineStr"/>
    </row>
    <row r="10018">
      <c r="A10018" t="inlineStr">
        <is>
          <t>hhgmdm</t>
        </is>
      </c>
      <c r="B10018" t="inlineStr">
        <is>
          <t>Not letting go and living in the past</t>
        </is>
      </c>
      <c r="C10018" t="inlineStr">
        <is>
          <t>People dream of a better tomorrow, or a bright future.
ever since the diagnosis, all I think about at night is my old life, setting new fitness personal records, meeting my dream girl, having a kid and a happy family, doing stupid shit with friends, buying new clothes and rocking them, but thanks to the surgery one leg is significantly smaller the other now.
I know it's not healthy, but it's the only thought that takes me to a happy place right now, either that or thinking about the inevitable mortality, even though I'm NED for a few months and still doing treatment, chemo killed everything.
I'm still waiting for the day that I dream about tomorrow rather than yesterday.</t>
        </is>
      </c>
      <c r="D10018" t="n">
        <v>2</v>
      </c>
      <c r="E10018" t="n">
        <v>4</v>
      </c>
      <c r="F10018">
        <f>HYPERLINK("https://www.reddit.com/r/cancer/comments/hhgmdm/not_letting_go_and_living_in_the_past/")</f>
        <v/>
      </c>
      <c r="G10018" t="inlineStr">
        <is>
          <t>2020-06-28 08:46:31</t>
        </is>
      </c>
      <c r="H10018" t="inlineStr"/>
    </row>
    <row r="10019">
      <c r="A10019" t="inlineStr">
        <is>
          <t>hhk6rt</t>
        </is>
      </c>
      <c r="B10019" t="inlineStr">
        <is>
          <t>Spitting up foam and can’t eat with esophageal cancer.</t>
        </is>
      </c>
      <c r="C10019" t="inlineStr">
        <is>
          <t>Is it normal for someone not be able able to eat and spit up foam with esophageal cancer? Should you go to the doctor?</t>
        </is>
      </c>
      <c r="D10019" t="n">
        <v>3</v>
      </c>
      <c r="E10019" t="n">
        <v>15</v>
      </c>
      <c r="F10019">
        <f>HYPERLINK("https://www.reddit.com/r/cancer/comments/hhk6rt/spitting_up_foam_and_cant_eat_with_esophageal/")</f>
        <v/>
      </c>
      <c r="G10019" t="inlineStr">
        <is>
          <t>2020-06-28 12:02:27</t>
        </is>
      </c>
      <c r="H10019" t="inlineStr"/>
    </row>
    <row r="10020">
      <c r="A10020" t="inlineStr">
        <is>
          <t>hhkd86</t>
        </is>
      </c>
      <c r="B10020" t="inlineStr">
        <is>
          <t>What can i get my dad to eat that tastes okay?</t>
        </is>
      </c>
      <c r="C10020" t="inlineStr">
        <is>
          <t>My dad is on just over one month of chemo, hes almost completly lost all of his taste buds, so he of course cant eat. He really wants to though! He looks sad everytime me and my mom are eating, me and my mother feel extreamly bad eating in front of him, but he says he would rather us be around him. Do any of you have any tips to make stuff taste better for him? He says not only is his mouth to dry to really eat anything, but everything tastes almost salty and bitter kind of like snot or mucus. I know its different for everyone but maybe someone one here has the same tastes. If any of you have any tips or food or drink suggestions? Anything is greatly appreciated, thank you!</t>
        </is>
      </c>
      <c r="D10020" t="n">
        <v>11</v>
      </c>
      <c r="E10020" t="n">
        <v>73</v>
      </c>
      <c r="F10020">
        <f>HYPERLINK("https://www.reddit.com/r/cancer/comments/hhkd86/what_can_i_get_my_dad_to_eat_that_tastes_okay/")</f>
        <v/>
      </c>
      <c r="G10020" t="inlineStr">
        <is>
          <t>2020-06-28 12:11:37</t>
        </is>
      </c>
      <c r="H10020" t="inlineStr"/>
    </row>
    <row r="10021">
      <c r="A10021" t="inlineStr">
        <is>
          <t>hhokal</t>
        </is>
      </c>
      <c r="B10021" t="inlineStr">
        <is>
          <t>If my dad, who is diabetic, had prostate cancer which spread to his bladder before the prostates removal; how bleak is the outlook?</t>
        </is>
      </c>
      <c r="C10021" t="inlineStr">
        <is>
          <t>I’m just trying to mentally prepare myself for harsh realties should they be inevitable. Any insight or experiences with this kind of thing would be helpful, be it positive or negative.
Thank you.</t>
        </is>
      </c>
      <c r="D10021" t="n">
        <v>1</v>
      </c>
      <c r="E10021" t="n">
        <v>0</v>
      </c>
      <c r="F10021">
        <f>HYPERLINK("https://www.reddit.com/r/cancer/comments/hhokal/if_my_dad_who_is_diabetic_had_prostate_cancer/")</f>
        <v/>
      </c>
      <c r="G10021" t="inlineStr">
        <is>
          <t>2020-06-28 16:10:32</t>
        </is>
      </c>
      <c r="H10021" t="inlineStr"/>
    </row>
    <row r="10022">
      <c r="A10022" t="inlineStr">
        <is>
          <t>hhon52</t>
        </is>
      </c>
      <c r="B10022" t="inlineStr">
        <is>
          <t>At-home IV Fluids?</t>
        </is>
      </c>
      <c r="C10022" t="inlineStr">
        <is>
          <t>My dad has end-stage liver cancer.  We are doing palliative chemo.
My brother says he appears dehydrated.  He has home nurses, but the on-call said they won’t do home IV fluids.
Has anyone been able to have in-home IVF?</t>
        </is>
      </c>
      <c r="D10022" t="n">
        <v>1</v>
      </c>
      <c r="E10022" t="n">
        <v>5</v>
      </c>
      <c r="F10022">
        <f>HYPERLINK("https://www.reddit.com/r/cancer/comments/hhon52/athome_iv_fluids/")</f>
        <v/>
      </c>
      <c r="G10022" t="inlineStr">
        <is>
          <t>2020-06-28 16:15:34</t>
        </is>
      </c>
      <c r="H10022" t="inlineStr"/>
    </row>
    <row r="10023">
      <c r="A10023" t="inlineStr">
        <is>
          <t>hhpful</t>
        </is>
      </c>
      <c r="B10023" t="inlineStr">
        <is>
          <t>Chemotherapy</t>
        </is>
      </c>
      <c r="C10023" t="inlineStr">
        <is>
          <t>Did your cancer symptoms of chills and malaise go away after going through chemotherapy ?</t>
        </is>
      </c>
      <c r="D10023" t="n">
        <v>0</v>
      </c>
      <c r="E10023" t="n">
        <v>4</v>
      </c>
      <c r="F10023">
        <f>HYPERLINK("https://www.reddit.com/r/cancer/comments/hhpful/chemotherapy/")</f>
        <v/>
      </c>
      <c r="G10023" t="inlineStr">
        <is>
          <t>2020-06-28 17:05:36</t>
        </is>
      </c>
      <c r="H10023" t="inlineStr"/>
    </row>
    <row r="10024">
      <c r="A10024" t="inlineStr">
        <is>
          <t>hhs5bw</t>
        </is>
      </c>
      <c r="B10024" t="inlineStr">
        <is>
          <t>away from friends</t>
        </is>
      </c>
      <c r="C10024" t="inlineStr">
        <is>
          <t>ok so 
I just moved to this town a little more than a year ago last May and got to my first day of grade 10 really anxious and lonely. I became a part of my friend group at school after a month or two and we all had fun together. So after a few months, I told them that my mom had terminal cancer and that the doctor had given her 6 months to live (I don't know when I told them and I refuse to count the months so please don't tell me when that would be because I've done a pretty darn good job at keeping that thought at bay). 
Since we only got to know each other for a few months until COVID hit, I haven't talked to most of them during quarantine and have been keeping in touch with only 1 or 2 of them. Because of lockdown, I feel like I haven't been able to strengthen my bonds with them.
A couple of days ago, one of my friends asked if our friend group was okay with going up to their cottage for a couple of days to have fun. I wanted to go, of course, so I asked my parents and they both weren't comfortable with me going because my mom is vulnerable. My dad put it as, "the chances of you bringing it back home are infinitesimally small, but if you do, the consequences are catastrophic." 
I don't want to kill my mom too early (duh) but another part of me really wants to go because my friends might think I'm boring, or a goody-two-shoes, and they'll strengthen the bonds between them without me. It's really hard to see friends having fun without you but I know for a fact that if I went, I'd feel guilty for not spending time with my mom and my family. Mt friends know that I'm not coming and they know why and respect my choice but I can't help but feel like a party-crasher.
I just really need some support or advice because honestly, I'm feeling like crap right now and just need some soul-lifting human interactions.</t>
        </is>
      </c>
      <c r="D10024" t="n">
        <v>1</v>
      </c>
      <c r="E10024" t="n">
        <v>2</v>
      </c>
      <c r="F10024">
        <f>HYPERLINK("https://www.reddit.com/r/cancer/comments/hhs5bw/away_from_friends/")</f>
        <v/>
      </c>
      <c r="G10024" t="inlineStr">
        <is>
          <t>2020-06-28 20:05:54</t>
        </is>
      </c>
      <c r="H10024" t="inlineStr"/>
    </row>
    <row r="10025">
      <c r="A10025" t="inlineStr">
        <is>
          <t>hhtgal</t>
        </is>
      </c>
      <c r="B10025" t="inlineStr">
        <is>
          <t>Interstitium question/theory</t>
        </is>
      </c>
      <c r="C10025" t="inlineStr">
        <is>
          <t>The interstitium sounds like a textbook definition of what happened to me with my cancer. It was classified as hodgkins lymphoma but it was a giant tumor in the middle of my chest (medial stinal) that before chemotherapy, was "leaking" tons of fluid in my chest cavity. 🤔
https://youtu.be/5DhAkd5qrzY
Is interstitium cancer recognized in the oncology community?</t>
        </is>
      </c>
      <c r="D10025" t="n">
        <v>1</v>
      </c>
      <c r="E10025" t="n">
        <v>2</v>
      </c>
      <c r="F10025">
        <f>HYPERLINK("https://www.reddit.com/r/cancer/comments/hhtgal/interstitium_questiontheory/")</f>
        <v/>
      </c>
      <c r="G10025" t="inlineStr">
        <is>
          <t>2020-06-28 21:41:34</t>
        </is>
      </c>
      <c r="H10025" t="inlineStr"/>
    </row>
    <row r="10026">
      <c r="A10026" t="inlineStr">
        <is>
          <t>hhvuvu</t>
        </is>
      </c>
      <c r="B10026" t="inlineStr">
        <is>
          <t>My mothers markers have gone up</t>
        </is>
      </c>
      <c r="C10026" t="inlineStr">
        <is>
          <t>My mum (74) was diagnosed over a year ago with stage 3 ovarian cancer. Had everything removed, chemo etc and all her blood tests so far were clear. Well last one showed her markers went up. She has to get a CT scan this week.
I’m devastated. She lives alone and I can only see her every few weeks as I have a baby and because Covid makes it dangerous. My husband is a nurse so we can’t risk it. 
She is mobile, can cook and go for walks and has neighbours who look out for her. I grocery shop for her once a week online and chat to every day.
My dad died over a year ago and my sister is overseas. I’ll have no one left. She’s one of my best friends and an amazing woman. She has been through a lot and I just wanted her to have a good life. 
She may not be able to see her sister again who lives overseas. Will she see my sister ? Once things get worse I want her to move in with us or I’ll go to her. 
I know ovarian cancer has a very low survival rate.
I just don’t know what to do. I’m still in denial.</t>
        </is>
      </c>
      <c r="D10026" t="n">
        <v>1</v>
      </c>
      <c r="E10026" t="n">
        <v>7</v>
      </c>
      <c r="F10026">
        <f>HYPERLINK("https://www.reddit.com/r/cancer/comments/hhvuvu/my_mothers_markers_have_gone_up/")</f>
        <v/>
      </c>
      <c r="G10026" t="inlineStr">
        <is>
          <t>2020-06-29 01:03:59</t>
        </is>
      </c>
      <c r="H10026" t="inlineStr"/>
    </row>
    <row r="10027">
      <c r="A10027" t="inlineStr">
        <is>
          <t>hhx9hn</t>
        </is>
      </c>
      <c r="B10027" t="inlineStr">
        <is>
          <t>Possible to have both adenocarcinoma and squamous carcinoma?</t>
        </is>
      </c>
      <c r="C10027" t="inlineStr">
        <is>
          <t>This may be a stupid question but I've just had to dive in to cancer research in the last week. Is it possible for a patient to have both adenocarcinoma and squamous carcinoma or is it one or the other?
My mom's biopsy on a clavicle lymph gland can back as adenocarcinoma, we are currently now waiting for an appointment with an oncologist for further scans and diagnosis</t>
        </is>
      </c>
      <c r="D10027" t="n">
        <v>1</v>
      </c>
      <c r="E10027" t="n">
        <v>19</v>
      </c>
      <c r="F10027">
        <f>HYPERLINK("https://www.reddit.com/r/cancer/comments/hhx9hn/possible_to_have_both_adenocarcinoma_and_squamous/")</f>
        <v/>
      </c>
      <c r="G10027" t="inlineStr">
        <is>
          <t>2020-06-29 03:12:10</t>
        </is>
      </c>
      <c r="H10027" t="inlineStr"/>
    </row>
    <row r="10028">
      <c r="A10028" t="inlineStr">
        <is>
          <t>hhy4cj</t>
        </is>
      </c>
      <c r="B10028" t="inlineStr">
        <is>
          <t>I'm a 15 year old with brain tumor</t>
        </is>
      </c>
      <c r="C10028" t="inlineStr">
        <is>
          <t>My doctor said that I could pass away in 4-5 years when I was 12 and it got so bad I throw up everyday i get headache for 1-2 hours straight and I have difficult when Im walking.</t>
        </is>
      </c>
      <c r="D10028" t="n">
        <v>1</v>
      </c>
      <c r="E10028" t="n">
        <v>1</v>
      </c>
      <c r="F10028">
        <f>HYPERLINK("https://www.reddit.com/r/cancer/comments/hhy4cj/im_a_15_year_old_with_brain_tumor/")</f>
        <v/>
      </c>
      <c r="G10028" t="inlineStr">
        <is>
          <t>2020-06-29 04:25:14</t>
        </is>
      </c>
      <c r="H10028" t="inlineStr"/>
    </row>
    <row r="10029">
      <c r="A10029" t="inlineStr">
        <is>
          <t>hhy9cx</t>
        </is>
      </c>
      <c r="B10029" t="inlineStr">
        <is>
          <t>Honest opinion on an ethical dilemma</t>
        </is>
      </c>
      <c r="C10029" t="inlineStr">
        <is>
          <t>Hey all,
I wanted to preface this by saying that I am incredibly supportive to all of you going through cancer treatment or have someone close to you going through cancer treatment. I know from both personal experience (from my own cancer scare) as well as from experience as a bystander with my grandparents also going through cancer, that it is a shit show of a disease and i respect all of you for fighting through it. I support all of you and wish you all the best for your future recovery and for your loved ones. This post is in no way a example of my true feelings about cancer and the question I am asking is due to a very specific set of circumstances which i think is best suited to be answered by others in the cancer community. I am sorry if this offends anyone but I would greatly appreciate you thoughts and opinions as I genuinely do not know how to proceed with this news regarding my friends recent diagnosis. With that being said i will now proceed with the question. 
I just wanted to ask your opinion on whether I am the asshole for not caring about my "friends" cancer diagnosis. Basically my "friend" was recently diagnosed with cervical cancer and at the age of 23 is currently going through the possibility that she may never have children and the idea of going through cancer treatment. Now most of the time, I would definitely care and worry about a friend being in this situation as it sucks massively for them and i know through personal experience how tough it is. However for this person in particular, ever since i have known her, she never showed any care about me and my medical diagnosises (Bipolar disorder, Autism Spectrum Disorder, major depression, Post traumatic stress disorder, and some physical ones such as chrons disease, a very prominent speech impediment and  my own cancer scare a couple of years back where she showed very little care) and she always has said "oh it can't be that bad or else you wouldn't be able to function in society" and "you are just lying to get sympathy".  Anyway with her recent cancer diagnosis and all, it has really made me think about how little she gave a damn about my medical problems and in the end I determined that I just don't give a shit about her diagnosis just like how she never gave a shit about mine. That being said everyone I have spoken to has said it that it is different circumstances which I don't believe is the case. So yeah, am I right to believe what I do or am I being an asshole for not giving a shit.
Like i said earlier, this post is on no way meant to be offensive and in general, I am very supportive for anyone who is going through this. However i can't help but think this situation is different and I am struggling to find any reason why i should care. Despite the fact that I would like to consider myself as a kind and caring person.</t>
        </is>
      </c>
      <c r="D10029" t="n">
        <v>1</v>
      </c>
      <c r="E10029" t="n">
        <v>4</v>
      </c>
      <c r="F10029">
        <f>HYPERLINK("https://www.reddit.com/r/cancer/comments/hhy9cx/honest_opinion_on_an_ethical_dilemma/")</f>
        <v/>
      </c>
      <c r="G10029" t="inlineStr">
        <is>
          <t>2020-06-29 04:36:24</t>
        </is>
      </c>
      <c r="H10029" t="inlineStr"/>
    </row>
    <row r="10030">
      <c r="A10030" t="inlineStr">
        <is>
          <t>hi0b4j</t>
        </is>
      </c>
      <c r="B10030" t="inlineStr">
        <is>
          <t>What is the difference between a nodule, a mass, and a tumor?</t>
        </is>
      </c>
      <c r="C10030" t="inlineStr">
        <is>
          <t>Or are the terms all interchangeable?</t>
        </is>
      </c>
      <c r="D10030" t="n">
        <v>1</v>
      </c>
      <c r="E10030" t="n">
        <v>16</v>
      </c>
      <c r="F10030">
        <f>HYPERLINK("https://www.reddit.com/r/cancer/comments/hi0b4j/what_is_the_difference_between_a_nodule_a_mass/")</f>
        <v/>
      </c>
      <c r="G10030" t="inlineStr">
        <is>
          <t>2020-06-29 06:57:40</t>
        </is>
      </c>
      <c r="H10030" t="inlineStr"/>
    </row>
    <row r="10031">
      <c r="A10031" t="inlineStr">
        <is>
          <t>hi1ohp</t>
        </is>
      </c>
      <c r="B10031" t="inlineStr">
        <is>
          <t>What kind of gift can I offer to my sister (and her boyfriend) to celebrate her last chemo session ?</t>
        </is>
      </c>
      <c r="C10031" t="inlineStr">
        <is>
          <t xml:space="preserve">   
Hi,   
My big sister was diagnosed with lymphoma just a few weeks  after the Christmas holiday. She came back at my parents for the  occasion, and since she lives in another country, we haven't seen her  since. We were planning a trip to see her in July but with both the fact  she has no immune system and the COVID crisis, our plans have been  cancelled.  
If everything is going as planned, her last chemo session  is for August. I'm really proud of her and her boyfriend, they have been  through so much ... I tell them regularly, but I wanted to gift her  (and maybe him too) something to celebrate the end of this hell.  
I'm  young, I don't know much about gifting people things, and I think I need  your help. If I tell them about it, they'll say they don't need  anything, that I must keep my money and my time, so they're not really  helping me.
Thanks alot!</t>
        </is>
      </c>
      <c r="D10031" t="n">
        <v>2</v>
      </c>
      <c r="E10031" t="n">
        <v>7</v>
      </c>
      <c r="F10031">
        <f>HYPERLINK("https://www.reddit.com/r/cancer/comments/hi1ohp/what_kind_of_gift_can_i_offer_to_my_sister_and/")</f>
        <v/>
      </c>
      <c r="G10031" t="inlineStr">
        <is>
          <t>2020-06-29 08:15:40</t>
        </is>
      </c>
      <c r="H10031" t="inlineStr"/>
    </row>
    <row r="10032">
      <c r="A10032" t="inlineStr">
        <is>
          <t>hi5hck</t>
        </is>
      </c>
      <c r="B10032" t="inlineStr">
        <is>
          <t>Day one of radation</t>
        </is>
      </c>
      <c r="C10032" t="inlineStr">
        <is>
          <t>11 months of chemo hasn't been effective so we're moving on to the last option for my inoperable tumors</t>
        </is>
      </c>
      <c r="D10032" t="n">
        <v>1</v>
      </c>
      <c r="E10032" t="n">
        <v>20</v>
      </c>
      <c r="F10032">
        <f>HYPERLINK("https://www.reddit.com/r/cancer/comments/hi5hck/day_one_of_radation/")</f>
        <v/>
      </c>
      <c r="G10032" t="inlineStr">
        <is>
          <t>2020-06-29 11:25:56</t>
        </is>
      </c>
      <c r="H10032" t="inlineStr"/>
    </row>
    <row r="10033">
      <c r="A10033" t="inlineStr">
        <is>
          <t>hic352</t>
        </is>
      </c>
      <c r="B10033" t="inlineStr">
        <is>
          <t>My grandpa has pretty much been given a death sentence</t>
        </is>
      </c>
      <c r="C10033" t="inlineStr">
        <is>
          <t>My grandpa had a stroke about a week ago, and they determined it was due to a tumor in his brain. Well, they just got MRI results back, and the tumor is bigger than they thought. Too big to be removed. Essentially, he’s been handed his death sentence. They’re doing a biopsy tomorrow to assess damage, but there’s not much they can do. We’re distraught. I’ve never seen my dad cry at all before, but he just lost it. And because of the virus, we can’t even go see him. I don’t know what to do anymore.</t>
        </is>
      </c>
      <c r="D10033" t="n">
        <v>1</v>
      </c>
      <c r="E10033" t="n">
        <v>4</v>
      </c>
      <c r="F10033">
        <f>HYPERLINK("https://www.reddit.com/r/cancer/comments/hic352/my_grandpa_has_pretty_much_been_given_a_death/")</f>
        <v/>
      </c>
      <c r="G10033" t="inlineStr">
        <is>
          <t>2020-06-29 17:03:44</t>
        </is>
      </c>
      <c r="H10033" t="inlineStr"/>
    </row>
    <row r="10034">
      <c r="A10034" t="inlineStr">
        <is>
          <t>hiemte</t>
        </is>
      </c>
      <c r="B10034" t="inlineStr">
        <is>
          <t>SOURSOP LEAVES, Has it helped you or anyone you know?</t>
        </is>
      </c>
      <c r="C10034" t="inlineStr">
        <is>
          <t>Have you or anyone you know tried brewing these leaves as tea for treatment?
If so, I would highly appreciate it if you could please comment with details.
Thank you.</t>
        </is>
      </c>
      <c r="D10034" t="n">
        <v>1</v>
      </c>
      <c r="E10034" t="n">
        <v>0</v>
      </c>
      <c r="F10034">
        <f>HYPERLINK("https://www.reddit.com/r/cancer/comments/hiemte/soursop_leaves_has_it_helped_you_or_anyone_you/")</f>
        <v/>
      </c>
      <c r="G10034" t="inlineStr">
        <is>
          <t>2020-06-29 19:41:14</t>
        </is>
      </c>
      <c r="H10034" t="inlineStr"/>
    </row>
    <row r="10035">
      <c r="A10035" t="inlineStr">
        <is>
          <t>higv25</t>
        </is>
      </c>
      <c r="B10035" t="inlineStr">
        <is>
          <t>Mom died.</t>
        </is>
      </c>
      <c r="C10035" t="inlineStr">
        <is>
          <t>First, I would like to thank all of you for the kind words I received when I posted here for the first time. 
The nurses were kind enough to let us see her breathe for the last time. Six hours before, I knew something was terribly wrong when she was not answering me as I tried to talk to her. She was not blinking anymore, and her mouth was just wide open. Thankfully, death came soon and she probably died unconscious. 
Except for the fact that I regret not bringing her sooner to a medical doctor, I don’t regret anything. We were able to express ourselves openly to her so saying I love yous and sorrys are just everyday occurences. 
But man, saying goodbye for the last time hurts. My mind’s gonna explode anytime soon thinking on how I could have saved her from this fucking disease. Sorry for blabbering. It’s just - my mom was my everything. What do I do now?</t>
        </is>
      </c>
      <c r="D10035" t="n">
        <v>1</v>
      </c>
      <c r="E10035" t="n">
        <v>13</v>
      </c>
      <c r="F10035">
        <f>HYPERLINK("https://www.reddit.com/r/cancer/comments/higv25/mom_died/")</f>
        <v/>
      </c>
      <c r="G10035" t="inlineStr">
        <is>
          <t>2020-06-29 22:12:34</t>
        </is>
      </c>
      <c r="H10035" t="inlineStr"/>
    </row>
    <row r="10036">
      <c r="A10036" t="inlineStr">
        <is>
          <t>hihsqy</t>
        </is>
      </c>
      <c r="B10036" t="inlineStr">
        <is>
          <t>I think I might have some sort of cancer</t>
        </is>
      </c>
      <c r="C10036" t="inlineStr">
        <is>
          <t>I'm 13 and recently I discovered I had this little lump on the back of my neck ( close to the hairline) I did a little research and it could be nothing but they're is a chance i might have a sort of cancer
It has faded slightly the past days and I thought of it as a good sign but I am still worried, I'm just hoping some of you might have an idea of what I might have...</t>
        </is>
      </c>
      <c r="D10036" t="n">
        <v>1</v>
      </c>
      <c r="E10036" t="n">
        <v>2</v>
      </c>
      <c r="F10036">
        <f>HYPERLINK("https://www.reddit.com/r/cancer/comments/hihsqy/i_think_i_might_have_some_sort_of_cancer/")</f>
        <v/>
      </c>
      <c r="G10036" t="inlineStr">
        <is>
          <t>2020-06-29 23:24:55</t>
        </is>
      </c>
      <c r="H10036" t="inlineStr"/>
    </row>
    <row r="10037">
      <c r="A10037" t="inlineStr">
        <is>
          <t>hihvo7</t>
        </is>
      </c>
      <c r="B10037" t="inlineStr">
        <is>
          <t>Father w/ Stage IV Renal</t>
        </is>
      </c>
      <c r="C10037" t="inlineStr">
        <is>
          <t>For 3 weeks my father had severe back pain where he wasn’t sleeping more than 1 hr at a time.  Prior to this he had rheumatoid arthritis and had blood tests and many doctors appts but no red flags.  After many doctors appointments for the recent back pain and doctors giving him painkillers and cortisone shots, finally they did a CT scan and found a large 10cm mass on his kidney.
From there they wanted a CT with contrast which showed metastasis to his bones and liver - stage IV kidney cancer which was devastating to me and the family.
To deal with the pain while they scheduled a PET and biopsy; they gave him 15mg morphine pills every 12 hrs along with percs ever 4 hrs.  That was about 10 days ago and the first night of morphine he would wake up from a dream thinking it was real.  The first night was being an Israeli soldier from the 20s, 2nd night was an Egyptian terrorist, and 3rd night (Father’s Day) was the end of the world. 
His oncologist told us to take him to the ER last Monday due to delusions, no appetite, and lethargy.  It was discovered the kidney mass was bleeding and he lost nearly half his blood.  3 liters later they stabilized him. The different specialists went back and forth between removing the kidney, partial removal, or embolisation.  Ultimately the area around the the kidney is enclosed and the pressure from the bleeding caused it to stop and the doctors are saying the risk of any surgery outweigh the benefits.  And that they want to leave it as is and they were able to get a biopsy from elsewhere and mimicked a PET by doing different scans of different parts of his body.  Thankfully there was no tumor spread to his brain.
He’s a very Type A controlling personality and has never been in a hospital for himself.  He’s been facilitating between coherent/cooperative and angry/agitated.  Recently diagnosed with “delirium”.
Yesterday he was coherent and positive and communicative. Last night he was delusional, aggressive, and violent. We’ve been getting late night (2am-5am) calls from him demanding we get him out.  They’ve had to sedate and strap him down.  The brain scans show no abnormal brain function or strokes and the doctors don’t know how to address other than sedatives and recently started antipsychotics.
Our goal is to get him home, somewhat healthy and coherent to prepare for whatever treatment plan the oncologist comes up with post-biopsy. 
Ultimately what I’m posting about is had anyone had a similar experience, how do you mentally manage the situation, and ultimately how did it turn out.  This all happened within the last 2 weeks with the mass being discovered the morning of my wedding and now 2 weeks later here we are.  I fell apart once or twice early on, but have tried to manage myself around the family.  But trying to understand if there’s hope for the future or how to manage expectations or just generally wanted to write this out because it been weighing on me.  Thank you anyone for reading this.</t>
        </is>
      </c>
      <c r="D10037" t="n">
        <v>1</v>
      </c>
      <c r="E10037" t="n">
        <v>1</v>
      </c>
      <c r="F10037">
        <f>HYPERLINK("https://www.reddit.com/r/cancer/comments/hihvo7/father_w_stage_iv_renal/")</f>
        <v/>
      </c>
      <c r="G10037" t="inlineStr">
        <is>
          <t>2020-06-29 23:31:27</t>
        </is>
      </c>
      <c r="H10037" t="inlineStr"/>
    </row>
    <row r="10038">
      <c r="A10038" t="inlineStr">
        <is>
          <t>hii4l3</t>
        </is>
      </c>
      <c r="B10038" t="inlineStr">
        <is>
          <t>Hair is starting to fall out</t>
        </is>
      </c>
      <c r="C10038" t="inlineStr">
        <is>
          <t>(15M) I'm about to start my second cycle of chemo and the doctors are surprised that I haven't felt too much nausea from the level of chemo I'm getting in an effort to avoid radiation therapy due to my age. I've anticipated hair loss and just tonight it started happening. I keep checking my hair everyday to make sure I'm not having any hair loss and now everytime I feel my hair, I pull out like 5 strands of hair. My plan coming into this was to keep my hair and shave my head if any hair falls out in clumps. I've been trying to wait so I could avoid shaving my head. Can anyone tell me if this is the beginning or if the chemo is just making my hair thin out a little? Should I just shave my head now?</t>
        </is>
      </c>
      <c r="D10038" t="n">
        <v>1</v>
      </c>
      <c r="E10038" t="n">
        <v>10</v>
      </c>
      <c r="F10038">
        <f>HYPERLINK("https://www.reddit.com/r/cancer/comments/hii4l3/hair_is_starting_to_fall_out/")</f>
        <v/>
      </c>
      <c r="G10038" t="inlineStr">
        <is>
          <t>2020-06-29 23:51:53</t>
        </is>
      </c>
      <c r="H10038" t="inlineStr"/>
    </row>
    <row r="10039">
      <c r="A10039" t="inlineStr">
        <is>
          <t>hiiosi</t>
        </is>
      </c>
      <c r="B10039" t="inlineStr">
        <is>
          <t>My uncle has throat cancer, and starts radiation this morning in a few hours. My aunt wants to send him messages for days he has treatment, but I am totally drawing a blank. I don’t know what to say. Help?</t>
        </is>
      </c>
      <c r="C10039" t="inlineStr">
        <is>
          <t>At first I was thinking a joke or something to lighten the mood, because they are super humorous people and we always laugh together. Something like”don’t worry Uncle Joe, you’ll be glowing after this is all over”, or “You’d be proud of how fast I can shotgun a beer now”(when I was 15 he offered to teach me how to shotgun a beer but my mom said no). I just think that might not be appropriate until maybe towards the end or after his treatments when he sees the light at the end of the tunnel. Also, he definitely won’t be able to shotgun a beer with me anytime soon. Trouble is, I can’t think of the right things to say that aren’t jokes. I’m not too good at taking things seriously sometimes. It’s my defense mechanism, always has been. Some suggestions for comforting him and my aunt would be extremely helpful.</t>
        </is>
      </c>
      <c r="D10039" t="n">
        <v>1</v>
      </c>
      <c r="E10039" t="n">
        <v>9</v>
      </c>
      <c r="F10039">
        <f>HYPERLINK("https://www.reddit.com/r/cancer/comments/hiiosi/my_uncle_has_throat_cancer_and_starts_radiation/")</f>
        <v/>
      </c>
      <c r="G10039" t="inlineStr">
        <is>
          <t>2020-06-30 00:38:45</t>
        </is>
      </c>
      <c r="H10039" t="inlineStr"/>
    </row>
    <row r="10040">
      <c r="A10040" t="inlineStr">
        <is>
          <t>hijyzt</t>
        </is>
      </c>
      <c r="B10040" t="inlineStr">
        <is>
          <t>My mum (63) has breast cancer, how can I support her</t>
        </is>
      </c>
      <c r="C10040" t="inlineStr">
        <is>
          <t>So my (f 25) mum (f 63) last week has gone through her first cycle of chemo for her grade 3 stage 2 breast cancer. The first few days she felt great and since having her booster after chemo for the white blood cells she has rapidly gone down hill. She’s foggy and can’t think straight and is very sore in her bones. She’s a very small women and it worried me because she just isn’t eating much. She was never a big eater I suppose and before the diagnosis came in my sister and I expressed that she needs to gain weight as she’s getting older and will become more frail (she just smokes and has cups of coffee instead of eating) I’ve been trying so hard to be strong. I’ve attended every appointment and have taken in all the information, I’ve sorted her medications for her days and evenings but even still with that she’s mucking it up and it scares me. At 21 my sister and I lost our dad in a car accident and I think are both struggling a bit with whats going on but aren’t showing that to mum we are just trying to be there. I’ve brought her dinner tonight and I’m forcing her to shower tonight (been 2-3 days) I just wanna know how I can help
More and if people have tips for chemo brain or to help her feel better. Thank you in advance!</t>
        </is>
      </c>
      <c r="D10040" t="n">
        <v>1</v>
      </c>
      <c r="E10040" t="n">
        <v>4</v>
      </c>
      <c r="F10040">
        <f>HYPERLINK("https://www.reddit.com/r/cancer/comments/hijyzt/my_mum_63_has_breast_cancer_how_can_i_support_her/")</f>
        <v/>
      </c>
      <c r="G10040" t="inlineStr">
        <is>
          <t>2020-06-30 02:23:50</t>
        </is>
      </c>
      <c r="H10040" t="inlineStr"/>
    </row>
    <row r="10041">
      <c r="A10041" t="inlineStr">
        <is>
          <t>hilgu0</t>
        </is>
      </c>
      <c r="B10041" t="inlineStr">
        <is>
          <t>Mom may have basil cell carcinoma?</t>
        </is>
      </c>
      <c r="C10041" t="inlineStr">
        <is>
          <t>Hi, does anyone have any information on this? She went to a dermatologist yesterday to look at some moles that had gotten larger on her shoulders. The dermatologist said that it was likely basil cell carcinoma. 
My mom is not in the best of health, she takes medicine every day for high blood pressure in order to not have a stroke, she smokes, and she is a bit overweight. She first started noticing the growth of these moles around a year ago, and I wouldn’t be as worried if she had immediately gone to the doctor. 
Having it been a year since she first noticed these, how worried should I be? I know that this cancer is easily treatable but, what if it spread? Does skin cancer spread easily to internal organs? Sorry for all of the questions. Mom is 53 btw.</t>
        </is>
      </c>
      <c r="D10041" t="n">
        <v>1</v>
      </c>
      <c r="E10041" t="n">
        <v>2</v>
      </c>
      <c r="F10041">
        <f>HYPERLINK("https://www.reddit.com/r/cancer/comments/hilgu0/mom_may_have_basil_cell_carcinoma/")</f>
        <v/>
      </c>
      <c r="G10041" t="inlineStr">
        <is>
          <t>2020-06-30 04:20:36</t>
        </is>
      </c>
      <c r="H10041" t="inlineStr"/>
    </row>
    <row r="10042">
      <c r="A10042" t="inlineStr">
        <is>
          <t>hiljfh</t>
        </is>
      </c>
      <c r="B10042" t="inlineStr">
        <is>
          <t>Cancer and no pain!?</t>
        </is>
      </c>
      <c r="C10042" t="inlineStr">
        <is>
          <t>Is it possible to have cancer but have no pain related to it?
My father is now admitted to hospital and the doctors are saying he's got stage 4 cancer in his stomach. My father doesn't (have never) complain about any kind of pain in his stomach. Is it common for a person to have cancer and not have any pain related to it. He's got several other problems. There's fluid building up in his lungs and he has been complaining about not having hunger for the past two months. We just checked him to the hospital to give him trip medicine because he was weak and the previous night had a problem due to low sugar(diabetes). From there on things started to escalate.
It's been 14 days since that and now the doctors sent for a test for checking if it's Lymphoma. If it's so then they can do chemo otherwise they are saying there's nothing they can do.
Any helpful reply is really appreciated.</t>
        </is>
      </c>
      <c r="D10042" t="n">
        <v>1</v>
      </c>
      <c r="E10042" t="n">
        <v>11</v>
      </c>
      <c r="F10042">
        <f>HYPERLINK("https://www.reddit.com/r/cancer/comments/hiljfh/cancer_and_no_pain/")</f>
        <v/>
      </c>
      <c r="G10042" t="inlineStr">
        <is>
          <t>2020-06-30 04:25:58</t>
        </is>
      </c>
      <c r="H10042" t="inlineStr"/>
    </row>
    <row r="10043">
      <c r="A10043" t="inlineStr">
        <is>
          <t>hilw4r</t>
        </is>
      </c>
      <c r="B10043" t="inlineStr">
        <is>
          <t>Radiation needed 12 years after prostate cancer surgery for elevated PSA levels?</t>
        </is>
      </c>
      <c r="C10043" t="inlineStr">
        <is>
          <t>Hi- I apologize if I am posting this in the wrong place or not allowed to write this... My dad had prostate cancer 12 years ago and got surgery (I don't know exactly what kind of surgery, but whatever it was, seemed to fix the problem). Yesterday at a checkup, he was told his PSA levels are elevated and he'll need to have radiation. Does anyone else have experience with this or insight? From what I can gather, there are still prostate cells in his body that have grown (?) or developed into cancer, and it's not at a pinpointed spot that can be surgically removed... But I don't think this necessarily means it's metastasized? 
Thank you in advance for any insight.
TLDR: Dad had prostate cancer &amp;amp; surgery 12 years ago. PSA levels are now elevated and he needs radiation. Does this necessarily mean cancer has spread?</t>
        </is>
      </c>
      <c r="D10043" t="n">
        <v>1</v>
      </c>
      <c r="E10043" t="n">
        <v>5</v>
      </c>
      <c r="F10043">
        <f>HYPERLINK("https://www.reddit.com/r/cancer/comments/hilw4r/radiation_needed_12_years_after_prostate_cancer/")</f>
        <v/>
      </c>
      <c r="G10043" t="inlineStr">
        <is>
          <t>2020-06-30 04:52:08</t>
        </is>
      </c>
      <c r="H10043" t="inlineStr"/>
    </row>
    <row r="10044">
      <c r="A10044" t="inlineStr">
        <is>
          <t>hipkr7</t>
        </is>
      </c>
      <c r="B10044" t="inlineStr">
        <is>
          <t>Today I lost my brother</t>
        </is>
      </c>
      <c r="C10044" t="inlineStr">
        <is>
          <t>He had leukemia.
He fought for almost a year. 
We really thought he was going to make it; he swore he'd make it.
But he didn't, and now my mother has two kids instead of 3. 
I don't know what we're going to do now. 
Man fuck cancer.</t>
        </is>
      </c>
      <c r="D10044" t="n">
        <v>4</v>
      </c>
      <c r="E10044" t="n">
        <v>20</v>
      </c>
      <c r="F10044">
        <f>HYPERLINK("https://www.reddit.com/r/cancer/comments/hipkr7/today_i_lost_my_brother/")</f>
        <v/>
      </c>
      <c r="G10044" t="inlineStr">
        <is>
          <t>2020-06-30 08:32:30</t>
        </is>
      </c>
      <c r="H10044" t="inlineStr"/>
    </row>
    <row r="10045">
      <c r="A10045" t="inlineStr">
        <is>
          <t>hiq8lc</t>
        </is>
      </c>
      <c r="B10045" t="inlineStr">
        <is>
          <t>My (23M) Dad (70M) was diagnosed with Stage II Pleural Mesothelioma and was given two years to live</t>
        </is>
      </c>
      <c r="C10045" t="inlineStr">
        <is>
          <t>Title pretty much sums up the situation, but I suppose I'm posting in this sub to find people in a similar situation. Mesothelioma is a rarer form of cancer, and it's difficult to find support groups, especially with others who are around the same age as me. The diagnosis process has been tedious, and the next stpes are daunting as well. I appreciate the support this subreddit offers in advance, and for anyone reading this going through something similar, I offer my full support as well.</t>
        </is>
      </c>
      <c r="D10045" t="n">
        <v>1</v>
      </c>
      <c r="E10045" t="n">
        <v>2</v>
      </c>
      <c r="F10045">
        <f>HYPERLINK("https://www.reddit.com/r/cancer/comments/hiq8lc/my_23m_dad_70m_was_diagnosed_with_stage_ii/")</f>
        <v/>
      </c>
      <c r="G10045" t="inlineStr">
        <is>
          <t>2020-06-30 09:07:04</t>
        </is>
      </c>
      <c r="H10045" t="inlineStr"/>
    </row>
    <row r="10046">
      <c r="A10046" t="inlineStr">
        <is>
          <t>hiqgew</t>
        </is>
      </c>
      <c r="B10046" t="inlineStr">
        <is>
          <t>Can I willingly donate a portion of my liver to my sister who has a metastatic condition?</t>
        </is>
      </c>
      <c r="C10046" t="inlineStr">
        <is>
          <t>Asking here, as I imagine others here have banged the same questions around in their heads.
My sisters condition isn't great, she has colon cancer that metastasized in the liver, she did chemo, the tumors shrunk substantially, had surgery scheduled to get the rest, but COVID kept pushing back her surgery date, and she didn't get back on chemo.  
The tumors have grown back, some are worse than before, and after 1.5 hours of surgery today, they determined they could not remove them.
They are going to let her recover a bit, then inject more chemo directly into the liver tumors, then follow up with 3 more months then schedule surgery, but she's gonna lose a lot of liver.  I know people with a metastatic condition are not going to end up on the donor list, but I'm wondering if that's different if you have a willing / living donor.  
Anyone here been down that road that has some experience to offer up?
Thanks.</t>
        </is>
      </c>
      <c r="D10046" t="n">
        <v>1</v>
      </c>
      <c r="E10046" t="n">
        <v>5</v>
      </c>
      <c r="F10046">
        <f>HYPERLINK("https://www.reddit.com/r/cancer/comments/hiqgew/can_i_willingly_donate_a_portion_of_my_liver_to/")</f>
        <v/>
      </c>
      <c r="G10046" t="inlineStr">
        <is>
          <t>2020-06-30 09:18:18</t>
        </is>
      </c>
      <c r="H10046" t="inlineStr"/>
    </row>
    <row r="10047">
      <c r="A10047" t="inlineStr">
        <is>
          <t>hirnej</t>
        </is>
      </c>
      <c r="B10047" t="inlineStr">
        <is>
          <t>My dad has has tongue/throat cancer and I’m worried...</t>
        </is>
      </c>
      <c r="C10047" t="inlineStr">
        <is>
          <t>He is getting, I think a dog scan today, and I’m worried about him.  It’s small but it might have spread from somewhere else....  should I be concerned for him?  He is going to go through the treatment soon.  I don’t want to know more about the cancer but his health, so I only know a limited information that I was given, and wanted to here... it might not be that big of a deal... so sorry for the rant...</t>
        </is>
      </c>
      <c r="D10047" t="n">
        <v>1</v>
      </c>
      <c r="E10047" t="n">
        <v>14</v>
      </c>
      <c r="F10047">
        <f>HYPERLINK("https://www.reddit.com/r/cancer/comments/hirnej/my_dad_has_has_tonguethroat_cancer_and_im_worried/")</f>
        <v/>
      </c>
      <c r="G10047" t="inlineStr">
        <is>
          <t>2020-06-30 10:18:12</t>
        </is>
      </c>
      <c r="H10047" t="inlineStr"/>
    </row>
    <row r="10048">
      <c r="A10048" t="inlineStr">
        <is>
          <t>hiucjg</t>
        </is>
      </c>
      <c r="B10048" t="inlineStr">
        <is>
          <t>My mom passed away yesterday.</t>
        </is>
      </c>
      <c r="C10048" t="inlineStr">
        <is>
          <t>I posted a few times in this sub and I creep a lot on here to see others peoples stories.
My mom went from diagnosis of stage 3 to then being told it’s stage 4 then going into remission and finally a recurrence.
Throughout that time I saw the disease slowly chip away at who my mom was and it’s something I’ll have a hard time getting out of my head. 
Last weekend I went to visit her and she was just lucid enough to acknowledge I was there and she cracked a weak smile at a picture of my daughter that I brought for her.
My mom was a beam of light in our family. She was loud, energetic, and athletic. I think with time I’ll be able to get back to always thinking of her that way.
I live 3 hours apart and with a baby and the pandemic I wasn’t there the whole time which I think my sibling is mad at me about. She lives 5 minutes away and took a large amount of the brunt for her care. I think we will need to have conversations about that later but she’s dealing with a lot of grief so I try and just tell them that if I did anything wrong I apologize and I assumed incorrectly on how they wanted to be treated during all this. 
I’m not one for posting on social media about sad things in my life so I wanted to vent to you guys on here. I feel like I’m numb right now with moments of sadness and anger at the fact that my mom won’t get to see my daughter grow up, walk, get married, or just say “hola abuela”. I feel with time I will be ok but at the moment I’m looking into therapy options during the pandemic. My wife has been my rock but she’s been having a hard time as well. 
If anyone has any pointers on dealing with family members during this time in regards to the above mentioned things please let me know. 
Fuck cancer.</t>
        </is>
      </c>
      <c r="D10048" t="n">
        <v>1</v>
      </c>
      <c r="E10048" t="n">
        <v>11</v>
      </c>
      <c r="F10048">
        <f>HYPERLINK("https://www.reddit.com/r/cancer/comments/hiucjg/my_mom_passed_away_yesterday/")</f>
        <v/>
      </c>
      <c r="G10048" t="inlineStr">
        <is>
          <t>2020-06-30 12:29:32</t>
        </is>
      </c>
      <c r="H10048" t="inlineStr"/>
    </row>
    <row r="10049">
      <c r="A10049" t="inlineStr">
        <is>
          <t>hivi82</t>
        </is>
      </c>
      <c r="B10049" t="inlineStr">
        <is>
          <t>I get my chemo port removed tomorrow!!!</t>
        </is>
      </c>
      <c r="C10049" t="inlineStr">
        <is>
          <t>In roughly 20 hours I will be chemo port free. Tomorrow at 12:45 PM I will have it removed!!! I get a 3 day weekend for the 4th of July so its a good "send off", and I don't have to see my oncologist until September.
&amp;amp;#x200B;
I AM GOING TO CUT OFF THE WRIST BAND THE MOMENT THE PORT IS REMOVED!!!!!!! I WILL THROW AWAY THE LAMINATED "KEY CHAIN" THINGY, AND THE WALLET INSERT THAT LOOKS LIKE A CREDIT CARD - THE MOMENT THE PORT IS OUT!!!!!!!!!!! I WILL INSTRUCT THE DOCTOR TO THROW AWAY  THE PORT ONCE IT IS OUT.
&amp;amp;#x200B;
I have heard of people keeping it after treatment...WHY!? it is a reminder of cancer - I don't want to remember that I am fighting cancer - the tamoxifen and scar on my chest is enough (I am one of the rare guys that got breast cancer)... I don't want any "tools" around to entice the cancer to come back - I know superstitious but I want to go back to "pre-cancer" me as much as I can!!)</t>
        </is>
      </c>
      <c r="D10049" t="n">
        <v>1</v>
      </c>
      <c r="E10049" t="n">
        <v>30</v>
      </c>
      <c r="F10049">
        <f>HYPERLINK("https://www.reddit.com/r/cancer/comments/hivi82/i_get_my_chemo_port_removed_tomorrow/")</f>
        <v/>
      </c>
      <c r="G10049" t="inlineStr">
        <is>
          <t>2020-06-30 13:25:42</t>
        </is>
      </c>
      <c r="H10049" t="inlineStr"/>
    </row>
    <row r="10050">
      <c r="A10050" t="inlineStr">
        <is>
          <t>hixa4x</t>
        </is>
      </c>
      <c r="B10050" t="inlineStr">
        <is>
          <t>Chemobrain questions?</t>
        </is>
      </c>
      <c r="C10050" t="inlineStr">
        <is>
          <t>My mom has done Chemo and i</t>
        </is>
      </c>
      <c r="D10050" t="n">
        <v>0</v>
      </c>
      <c r="E10050" t="n">
        <v>4</v>
      </c>
      <c r="F10050">
        <f>HYPERLINK("https://www.reddit.com/r/cancer/comments/hixa4x/chemobrain_questions/")</f>
        <v/>
      </c>
      <c r="G10050" t="inlineStr">
        <is>
          <t>2020-06-30 14:59:27</t>
        </is>
      </c>
      <c r="H10050" t="inlineStr"/>
    </row>
    <row r="10051">
      <c r="A10051" t="inlineStr">
        <is>
          <t>hixuju</t>
        </is>
      </c>
      <c r="B10051" t="inlineStr">
        <is>
          <t>Help! Mom has Cancer</t>
        </is>
      </c>
      <c r="C10051" t="inlineStr">
        <is>
          <t>My mom was just diagnosed with late stage colon cancer.  It has spread outside the colon and on the liver and possibly lung.   I am a wreck. She is my best friend and my kids are going to be devastated. 
What should I do for her?   She is having surgery tomorrow for more biopsy’s and a colonoscopy bag.  
I really want to know what I can buy for her.  Is there anything special for the home?  Also,  do you think I should have her move in with me.  I can build on to my house and build her an apartment. This way I can help her and my step father. 
My step father is a great guy but he isn’t good with bills and having to read stuff.  He has dyslexia and isn’t good with numbers also. So, someone would have to help him. 
Should I approach my mom with possibly moving in?  I know she has a long fight ahead and I want to be with her. 
Does anyone have any experience with late stage colon cancer?  Is this beatable.  
I just can’t take this anymore.  Between the coronavirus and being scared to give her something.   My sister in law just passed away this week from cancer   I feel like everything is falling apart. I may have to go back to in person teaching in Sept. How am I going to see her?</t>
        </is>
      </c>
      <c r="D10051" t="n">
        <v>1</v>
      </c>
      <c r="E10051" t="n">
        <v>1</v>
      </c>
      <c r="F10051">
        <f>HYPERLINK("https://www.reddit.com/r/cancer/comments/hixuju/help_mom_has_cancer/")</f>
        <v/>
      </c>
      <c r="G10051" t="inlineStr">
        <is>
          <t>2020-06-30 15:31:07</t>
        </is>
      </c>
      <c r="H10051" t="inlineStr"/>
    </row>
    <row r="10052">
      <c r="A10052" t="inlineStr">
        <is>
          <t>hizb3y</t>
        </is>
      </c>
      <c r="B10052" t="inlineStr">
        <is>
          <t>Testicular cancer suspicion</t>
        </is>
      </c>
      <c r="C10052" t="inlineStr">
        <is>
          <t>I have recently started to feel that both of my testicles have become harder and that I'm often uncomfortable while sitting, due to pressure in the scrotum. I must also mention that I am extremely susceptible to self suggestion, as in, if I think I have a disease, I will manifest symptoms and become more and more panicked, leading into a slippery slope of increasingly aggravating symptoms and stress.
However, this time I can actually physically feel the problem with my hands. I'm going on an appointment at a urologist this Friday.
I still have a tiny bit of hope it's just some kind of infection, but I am also mostly convinced it's cancer.
I know this would be one of the easiest to survive cancers, and I hope I'm not insulting those who suffer from much more dangerous types, but I don't feel like I can speak about this with anyone, and I've never felt this alone in my life.
The worst part is that I don't even know if I would want to get treatment. I logically assume that a potentially healthy life is worth it even at the cost of one's testicles and therefore any potential children, but emotionally I can only see the frustration and pointlessness of such a life.
I don't think I could afford the hormone treatment after the surgery.
I'm 22, btw, if anyone is wondering.
TL;DR
Could have cancer in both testicles. It's hard to cope with the potential choice between childlessness and death.</t>
        </is>
      </c>
      <c r="D10052" t="n">
        <v>1</v>
      </c>
      <c r="E10052" t="n">
        <v>12</v>
      </c>
      <c r="F10052">
        <f>HYPERLINK("https://www.reddit.com/r/cancer/comments/hizb3y/testicular_cancer_suspicion/")</f>
        <v/>
      </c>
      <c r="G10052" t="inlineStr">
        <is>
          <t>2020-06-30 16:56:52</t>
        </is>
      </c>
      <c r="H10052" t="inlineStr"/>
    </row>
    <row r="10053">
      <c r="A10053" t="inlineStr">
        <is>
          <t>hizrg9</t>
        </is>
      </c>
      <c r="B10053" t="inlineStr">
        <is>
          <t>Chemo Questions</t>
        </is>
      </c>
      <c r="C10053" t="inlineStr">
        <is>
          <t>My sister is about to start her first round of chemotherapy tomorrow and I was wondering if anyone could give me advice as to what products/foods helped ease any negative symptoms experienced? Any thoughts on CBD products? I want to be as supportive as I can so any info is appreciated. Thanks.</t>
        </is>
      </c>
      <c r="D10053" t="n">
        <v>1</v>
      </c>
      <c r="E10053" t="n">
        <v>5</v>
      </c>
      <c r="F10053">
        <f>HYPERLINK("https://www.reddit.com/r/cancer/comments/hizrg9/chemo_questions/")</f>
        <v/>
      </c>
      <c r="G10053" t="inlineStr">
        <is>
          <t>2020-06-30 17:25:16</t>
        </is>
      </c>
      <c r="H10053" t="inlineStr"/>
    </row>
    <row r="10054">
      <c r="A10054" t="inlineStr">
        <is>
          <t>hizsqe</t>
        </is>
      </c>
      <c r="B10054" t="inlineStr">
        <is>
          <t>Mom has stage 3 multiple myeloma</t>
        </is>
      </c>
      <c r="C10054" t="inlineStr">
        <is>
          <t>My mom (60) was recently diagnosed with multiple myeloma and metastatic bone cancer. Today during the meeting with the oncologist, she’s been diagnosed with stage 3 multiple myeloma to where her treatment will be to go through chemotherapy but in a pill form which will be short term and also injections to help make her bone stronger and to get the bad cells out of her bone marrow. Later down the road she will or may have to go through bone marrow transplants. Has anyone else gone through or someone you know? Any advice to family members who are worried about her health and to let them know that it will be ok? Has anyone else done chemo but with a pill? I’m (29f) and my emotions are all over the place and I just want to know if she’ll come out of this with a long life expectancy.</t>
        </is>
      </c>
      <c r="D10054" t="n">
        <v>1</v>
      </c>
      <c r="E10054" t="n">
        <v>3</v>
      </c>
      <c r="F10054">
        <f>HYPERLINK("https://www.reddit.com/r/cancer/comments/hizsqe/mom_has_stage_3_multiple_myeloma/")</f>
        <v/>
      </c>
      <c r="G10054" t="inlineStr">
        <is>
          <t>2020-06-30 17:27:34</t>
        </is>
      </c>
      <c r="H10054" t="inlineStr"/>
    </row>
    <row r="10055">
      <c r="A10055" t="inlineStr">
        <is>
          <t>hj15v6</t>
        </is>
      </c>
      <c r="B10055" t="inlineStr">
        <is>
          <t>How are you spending time with your loved ones? Began 2nd line chemo</t>
        </is>
      </c>
      <c r="C10055" t="inlineStr">
        <is>
          <t>Hi, my dad has stage iv small cell lung cancer. We just started second line. I'm wondering how are you creating memories? I'm a year out of college and moved back to be there for him.</t>
        </is>
      </c>
      <c r="D10055" t="n">
        <v>1</v>
      </c>
      <c r="E10055" t="n">
        <v>1</v>
      </c>
      <c r="F10055">
        <f>HYPERLINK("https://www.reddit.com/r/cancer/comments/hj15v6/how_are_you_spending_time_with_your_loved_ones/")</f>
        <v/>
      </c>
      <c r="G10055" t="inlineStr">
        <is>
          <t>2020-06-30 18:56:58</t>
        </is>
      </c>
      <c r="H10055" t="inlineStr"/>
    </row>
    <row r="10056">
      <c r="A10056" t="inlineStr">
        <is>
          <t>hj1b9s</t>
        </is>
      </c>
      <c r="B10056" t="inlineStr">
        <is>
          <t>Golf with port?</t>
        </is>
      </c>
      <c r="C10056" t="inlineStr">
        <is>
          <t>Hey y'all.  I finished chemo and radiation last week.  super week, and tired,  But I miss my Bros.
We're talking about going golfing this weekend.  I doubt I'll make it 18 holes.  I know I'm not hitting any long balls.  But how safe do you suppose it is?
Thanks, and be well.</t>
        </is>
      </c>
      <c r="D10056" t="n">
        <v>1</v>
      </c>
      <c r="E10056" t="n">
        <v>8</v>
      </c>
      <c r="F10056">
        <f>HYPERLINK("https://www.reddit.com/r/cancer/comments/hj1b9s/golf_with_port/")</f>
        <v/>
      </c>
      <c r="G10056" t="inlineStr">
        <is>
          <t>2020-06-30 19:06:57</t>
        </is>
      </c>
      <c r="H10056" t="inlineStr"/>
    </row>
    <row r="10057">
      <c r="A10057" t="inlineStr">
        <is>
          <t>hj2pof</t>
        </is>
      </c>
      <c r="B10057" t="inlineStr">
        <is>
          <t>My Son's Almost Cancer</t>
        </is>
      </c>
      <c r="C10057" t="inlineStr">
        <is>
          <t xml:space="preserve"> 
TL;DR: My son has been off his chemo for 6 weeks and his symptoms haven't returned.
My child (6m) was 6 months old when we noticed something wrong, but it took us the next 6 months to start doing something about it. "Maybe he's just growing weird", "it'll be fine soon, I'm sure." and other excuses came from us more often than I'd like to admit. His symptoms started getting worse, though, and we had to do something. He wouldn't use his right arm, he would scream in pain if you so much as gently brushed the area of his shoulder or scapula, he had to sleep with an ice pack but he still woke up screaming in pain as he rolled onto it, we could visually see the difference between his arms and shoulders (musculature, development, and skin), and, most obvious, he cradled his arm constantly. We finally went to the doctor at a little over a year (a fact that still hurts, thinking I let him suffer for so long without even a consultation) and the first diagnosis was a bone infection. Makes sense; enough sense, I guess.
He received a dose of antibiotics and another 6 months to a year of occupational therapy. He completed that and the symptoms weren't getting any better. We take him back to the children's hospital in our area and they order biopsies of his bone, muscle, and everything around there. We are told it may be a Arterial Vascular Malformation, and that there really was nothing we could do. I did some research, figured out what it was and waited. Nothing I could really do at that point. We were told his case was being handled by the MACC fund, and were told a little bit about what they do. Sounds great! A team of specialists from all different areas and specialties would be working on my sons case! Awesome.
Then I got a call from the hospital. I remember it very clearly: as I drove down the highway the receptionist told me we need to come in and talk to a doctor from the oncology department of the MACC fund. I had to pull over my car and ask why, but of course she couldn't say or didn't really know. Luckily we didn't have to wait long to find out. We sat in the room while six doctors told us our son had a rare tumor called kaposiform hemangioendothelioma (KHE). It's not quite cancer, it's non terminal and non metastasizing, but there's nothing we can do about it. It grows along the circulatory system making surgery on the growing bits dangerous and making removing the main mass not enough to necessarily stop it. The only treatment is a chemo called Serolimus.
It was very disassociating, watching the professionals solemnly tell me my son may never have great shoulder functionality, that one day he may lose an arm, that he's going to go through chemo before he can go to school. I looked at him playing with a matchbox in the doctors office, using his left hand though he should be right handed, and I didn't know what to do. I found some solace in the fact that calling my parents and loved ones was not even close to as emotionally devastating as finding out myself, i almost did it without crying. Until I got to my father. The words "he doesn't have the AVM the doctors thought, he has cancer" devastated him as much as me, I could barely even say the words. "I know that you would take that away if you could, you would have it instead of him. Hell, I would too. that's what it is to be a father. But we can't, we just have to help however we can." His words were right, but they didn't make it any easier.
We started the medicine, of course, and eventually (after some dosing experiments) it started to work. His pain all but vanished, he started using his arm again. We watched as the cradling of his arm slowly went down, then went away. He started swinging his arm when he ran. Such a simple thing, unconscious for most of us, was a victory and one of the best sights of my life. He smiled and played. There were some side effects, fatigue, mouth sores, headaches, lack of appetite, all of which he's had off and on.
A year and a half of taking the medicine and they want to try taking him off, to see if it has stopped the tumor's growth. They said that we would know after 6 weeks. If they symptoms returned, we go back on the medicine, if not, we do periodic check ups. A week later he wakes up crying and we go back on the meds. twice more we try. the second time it takes two weeks.
a little more than a month ago he stopped taking the medicine. I ask him every day I see him (his mother and I are no longer together and I don't have full placement) if his shoulder hurts and he still tells me no. Every once in a while I surreptitiously touch, then manipulate, his shoulder and the only discomfort is that I'm bothering him while he's doing something. He's 6 now, and is a normal kid for the first time.
He still has the pinprick scars where the biopsies were taken, they're hard for me to see since it took us so long to do anything about it, but hopefully one day they will fade. His shoulder still looks different, but the doctor thinks that the muscle will still grow into itself and eventually he'll be symmetrical.
I just wanted to share my story, and my hope, of our journey and it's completion. He may never be free from this, but it shouldn't stop him from being normal anymore.</t>
        </is>
      </c>
      <c r="D10057" t="n">
        <v>1</v>
      </c>
      <c r="E10057" t="n">
        <v>3</v>
      </c>
      <c r="F10057">
        <f>HYPERLINK("https://www.reddit.com/r/cancer/comments/hj2pof/my_sons_almost_cancer/")</f>
        <v/>
      </c>
      <c r="G10057" t="inlineStr">
        <is>
          <t>2020-06-30 20:42:26</t>
        </is>
      </c>
      <c r="H10057" t="inlineStr"/>
    </row>
    <row r="10058">
      <c r="A10058" t="inlineStr">
        <is>
          <t>hj2wbp</t>
        </is>
      </c>
      <c r="B10058" t="inlineStr">
        <is>
          <t>How to reach out to an ex friend who has cancer</t>
        </is>
      </c>
      <c r="C10058" t="inlineStr">
        <is>
          <t>Hi!!
Recently I found out someone who used to be a very close friend has cancer. We are both in our early 20s. It was absolutely shocking seeing her post about her diagnosis. We had been friends for 2/3 years until last year. We had a falling out due to me flaking on plans and stopped talking/being friends. I feel incredibly weird reaching out to her since we haven’t spoken in almost a year. I do miss our friendship but, I feel like we may be better off not being friends. ANYWAYS, I am unsure if I should reach out. She was a great friend throughout college. Her friendship meant a lot to me. I want to say I’m sorry to hear about her diagnosis and that my thoughts &amp;amp;prayers are with her but I don’t know if that’s selfish. I feel like an a-hole since I’ve been hesitant to message her. I feel weird messaging her because had she not gotten cancer I wouldn’t be contacting her...
Is it best to leave it alone or show my support even though we are no longer friends?</t>
        </is>
      </c>
      <c r="D10058" t="n">
        <v>1</v>
      </c>
      <c r="E10058" t="n">
        <v>6</v>
      </c>
      <c r="F10058">
        <f>HYPERLINK("https://www.reddit.com/r/cancer/comments/hj2wbp/how_to_reach_out_to_an_ex_friend_who_has_cancer/")</f>
        <v/>
      </c>
      <c r="G10058" t="inlineStr">
        <is>
          <t>2020-06-30 20:55:28</t>
        </is>
      </c>
      <c r="H10058" t="inlineStr"/>
    </row>
    <row r="10059">
      <c r="A10059" t="inlineStr">
        <is>
          <t>hj3gnz</t>
        </is>
      </c>
      <c r="B10059" t="inlineStr">
        <is>
          <t>Recently diagnosed mom</t>
        </is>
      </c>
      <c r="C10059" t="inlineStr">
        <is>
          <t>So, the title pretty much explains it. Today, I (22F) come home from work and my mom tells me she’s been diagnosed with breast cancer and she has been going through tests for the past month. I am angry, she hid this from me for a month and left me blind sided. I am upset, I do not want to lose my best friend and mother. I am scared, and i don’t know what to do. i feel helpless and hopeless and feel like i’m losing my entire life. So far, they have not figured out what stage it is or what our next step is. I feel so alone and scared and I want to hold on to her forever. I feel like I want to quit my job, drop out of college, and lock myself in a room with her to be able to spend every last second with her. I don’t know what to do</t>
        </is>
      </c>
      <c r="D10059" t="n">
        <v>1</v>
      </c>
      <c r="E10059" t="n">
        <v>3</v>
      </c>
      <c r="F10059">
        <f>HYPERLINK("https://www.reddit.com/r/cancer/comments/hj3gnz/recently_diagnosed_mom/")</f>
        <v/>
      </c>
      <c r="G10059" t="inlineStr">
        <is>
          <t>2020-06-30 21:36:09</t>
        </is>
      </c>
      <c r="H10059" t="inlineStr"/>
    </row>
    <row r="10060">
      <c r="A10060" t="inlineStr">
        <is>
          <t>hj3guk</t>
        </is>
      </c>
      <c r="B10060" t="inlineStr">
        <is>
          <t>I just want to be hopeful.</t>
        </is>
      </c>
      <c r="C10060" t="inlineStr">
        <is>
          <t>Today we got back the results of a neck ultrasound for my 10 year old sister, and the doctor said that her results were not looking good. He said that there are lumps in her throat/neck and he doesn’t know if it’s a thyroid issue or a cancerous lump. She’s been referred to a children’s hospital and we will not know for sure until a week or two later. I don’t know if it’s bad or not, and I just can’t stop crying, although my little sister is taking it strong :( I just want to be hopeful.</t>
        </is>
      </c>
      <c r="D10060" t="n">
        <v>1</v>
      </c>
      <c r="E10060" t="n">
        <v>1</v>
      </c>
      <c r="F10060">
        <f>HYPERLINK("https://www.reddit.com/r/cancer/comments/hj3guk/i_just_want_to_be_hopeful/")</f>
        <v/>
      </c>
      <c r="G10060" t="inlineStr">
        <is>
          <t>2020-06-30 21:36:30</t>
        </is>
      </c>
      <c r="H10060" t="inlineStr"/>
    </row>
    <row r="10061">
      <c r="A10061" t="inlineStr">
        <is>
          <t>hj44l4</t>
        </is>
      </c>
      <c r="B10061" t="inlineStr">
        <is>
          <t>Online Support Groups? And what can I say/do as a son?</t>
        </is>
      </c>
      <c r="C10061" t="inlineStr">
        <is>
          <t>So my parent has been going through their second battle with cancer. Melanoma. Using the phrases “I’m just tired” and “I don’t know what’s going to happen to me next.” Among other things. Really makes me sad.
What can I say or do to make them feel better? What are some words or phrases? Like, I should definitely say “you’re GOING to make it” instead of “I think you’re going to pull through...” right?
And are there any online melanoma support groups? I want my parent to feel less lonely and get support from others.
Thank you for reading. Love to you all.</t>
        </is>
      </c>
      <c r="D10061" t="n">
        <v>1</v>
      </c>
      <c r="E10061" t="n">
        <v>8</v>
      </c>
      <c r="F10061">
        <f>HYPERLINK("https://www.reddit.com/r/cancer/comments/hj44l4/online_support_groups_and_what_can_i_saydo_as_a/")</f>
        <v/>
      </c>
      <c r="G10061" t="inlineStr">
        <is>
          <t>2020-06-30 22:26:26</t>
        </is>
      </c>
      <c r="H10061" t="inlineStr"/>
    </row>
    <row r="10062">
      <c r="A10062" t="inlineStr">
        <is>
          <t>hj4es4</t>
        </is>
      </c>
      <c r="B10062" t="inlineStr">
        <is>
          <t>Daily radiation of abdomen - can I expect diarrhea for the remainder of my treatment?</t>
        </is>
      </c>
      <c r="C10062" t="inlineStr">
        <is>
          <t>The radiation oncologist suggested imodium, which I've been taking and has helped slow it so I'm not going after every meal, but it makes me wonder, will it be like this for the remainder of my treatment?  I am 2.5 weeks in with 4 more to go (endometrial cancer with possible internal radiation on the last week and a half of treatment).  Also, any tips are welcome. The worst part is being gassy and always having to go to the restroom so as not to chance a fart.</t>
        </is>
      </c>
      <c r="D10062" t="n">
        <v>1</v>
      </c>
      <c r="E10062" t="n">
        <v>4</v>
      </c>
      <c r="F10062">
        <f>HYPERLINK("https://www.reddit.com/r/cancer/comments/hj4es4/daily_radiation_of_abdomen_can_i_expect_diarrhea/")</f>
        <v/>
      </c>
      <c r="G10062" t="inlineStr">
        <is>
          <t>2020-06-30 22:46:53</t>
        </is>
      </c>
      <c r="H10062" t="inlineStr"/>
    </row>
    <row r="10063">
      <c r="A10063" t="inlineStr">
        <is>
          <t>hj64p6</t>
        </is>
      </c>
      <c r="B10063" t="inlineStr">
        <is>
          <t>if this is the last time</t>
        </is>
      </c>
      <c r="C10063" t="inlineStr">
        <is>
          <t>a song just recently released 4 hours ago really got me hurting and mourning my mom who I lost almost two years ago.
stage 4 breast cancer, from February 2016 to September 2018 my mom fought hard. 
She was a strong woman. Went through a hard life. She had an unsupportive husband who worked in another country 90% of her life. He cheated, he abused, he threatened all sorts of shit just so she couldn’t leave him. But honestly she never left him because of me and my brother.
She raised me and my brother on her own. She endured motherhood on her own. She fought so hard. She waited so long for the right time to be released by my father to be completely untied to that fucking narcissist of a man. But she died at age 58. Never had a grandchild. Never truly free. 
I wanted so much to give her a life of happiness. I had just graduated and didn’t even write my NCLEX yet to be an RN. I wasn’t working yet. She got hospitalized in the ICU and deteriorated just 5 months after she saw me graduate. And honestly I didn’t even spend that much time with her that summer because I was too focused on my new relationship at the time, which I horribly regret. I suck. I fucking suck.
I miss her so much. I regret all that time I spent with a man who ended up cheating on me later. I regret not kissing her goodbye the last time I saw her. I regret not going to the hospital sooner that morning before she died. I regret not spending that night in the hospital with her. I regret not holding her tight for her last moments. I didn’t fucking realize she was gonna be gone so soon. I thought she was getting better and that she was going to make it home. But fuck. I missed my chance.
I miss her so much. So fucking much. I wish I could still see her. I wish she never got fucking cancer. I wish she could have been a normal 50 year old mother who was healthy. I wish I could have been with her, taking care of her while I worked, buying her all the things she wanted. I wish she was still here. I just want my mom back.
**********************
Hey mom, I know we’re getting old
And the lines on our hands have changed
But you still look at me the same
Hey mom, guess what? You’re really tough
And I know you did all you could
Just to make sure my life was good
Sorry for the fights and the tone of my voice
Sorry for the nights when I made the wrong choice
Life is flying by and it’s hitting me now
I hope it’s not but
If this is the last time, please come close
I love you with all my heart you know
I don’t wanna cry, I’m bad at goodbye
If this is the last time
Then let’s do the things we always do
Like go to the mall and buy some shoes
I don’t wanna cry, I’m bad at goodbye
If this is the last time.
LANY - if this is the last time
https://youtu.be/HPduNiSSRV4
***************
since that was the last time, I’m holding you close
I loved you with all my heart you know
I’m tired of crying, couldn’t say goodbye
since that was the last time.</t>
        </is>
      </c>
      <c r="D10063" t="n">
        <v>1</v>
      </c>
      <c r="E10063" t="n">
        <v>4</v>
      </c>
      <c r="F10063">
        <f>HYPERLINK("https://www.reddit.com/r/cancer/comments/hj64p6/if_this_is_the_last_time/")</f>
        <v/>
      </c>
      <c r="G10063" t="inlineStr">
        <is>
          <t>2020-07-01 01:10:13</t>
        </is>
      </c>
      <c r="H10063" t="inlineStr"/>
    </row>
    <row r="10064">
      <c r="A10064" t="inlineStr">
        <is>
          <t>hj6yr2</t>
        </is>
      </c>
      <c r="B10064" t="inlineStr">
        <is>
          <t>50% price reduction today...</t>
        </is>
      </c>
      <c r="C10064" t="inlineStr">
        <is>
          <t>50 % discount on "Overcoming the Odds" at
https://www.smashwords.com/books/view/926991
and
75 % discount on "Fathers and Sons-Sports and Life" at;
https://www.smashwords.com/books/view/654883
Thanks for taking a look, Keith
#cancer #brain surgery #obesity #love # life #family</t>
        </is>
      </c>
      <c r="D10064" t="n">
        <v>1</v>
      </c>
      <c r="E10064" t="n">
        <v>0</v>
      </c>
      <c r="F10064">
        <f>HYPERLINK("https://www.reddit.com/r/cancer/comments/hj6yr2/50_price_reduction_today/")</f>
        <v/>
      </c>
      <c r="G10064" t="inlineStr">
        <is>
          <t>2020-07-01 02:24:58</t>
        </is>
      </c>
      <c r="H10064" t="inlineStr"/>
    </row>
    <row r="10065">
      <c r="A10065" t="inlineStr">
        <is>
          <t>hj9t1m</t>
        </is>
      </c>
      <c r="B10065" t="inlineStr">
        <is>
          <t>Dad possibly just diagnosed with cancer, need people to speak to</t>
        </is>
      </c>
      <c r="C10065" t="inlineStr">
        <is>
          <t>Hello everyone, my dad has just been possibly diagnosed with liver cancer and I am absolutely terrified. I woke up earlier and came down into the living room and my dad was watching a David Bowie concert on the TV, my step mum and my brother were both working on their laptops and I just sat down on the chair and played around on my phone, everything was normal. We were talking about normal things and then someone phoned my dad, I quickly realised that it was his doctor calling him, they spoke for a bit and then I heard the doctor say "we have found some abnormalities" and I just sort of looked up, a few seconds passed and my dad said to the doctor "so you think its probably liver cancer"? It felt like my whole insides just dropped suddenly, I haven't stopped shaking, I can't even begin to imagine how my dad feels and I have no idea how I am suppose to feel. I feel like this isn't even happening. I am also autistic and basically rely on my dad for most things, he is the only person in my family that understands what having autism means, everyone else just sees it as me being a little bit shy, but my dad knows that's not the case and has always helped me get through life.
&amp;amp;#x200B;
I just don't know what to do, I have never experienced anything like this before and just need people to talk to, the doctor said he believes its cancer but will get another doctor to call tomorrow to give their opinion. My dad is currently with my step mum just talking about things, I have never really been one to show emotions but I am terrified of losing my dad right now.</t>
        </is>
      </c>
      <c r="D10065" t="n">
        <v>1</v>
      </c>
      <c r="E10065" t="n">
        <v>1</v>
      </c>
      <c r="F10065">
        <f>HYPERLINK("https://www.reddit.com/r/cancer/comments/hj9t1m/dad_possibly_just_diagnosed_with_cancer_need/")</f>
        <v/>
      </c>
      <c r="G10065" t="inlineStr">
        <is>
          <t>2020-07-01 06:06:50</t>
        </is>
      </c>
      <c r="H10065" t="inlineStr"/>
    </row>
    <row r="10066">
      <c r="A10066" t="inlineStr">
        <is>
          <t>hja3wb</t>
        </is>
      </c>
      <c r="B10066" t="inlineStr">
        <is>
          <t>Offered pseudo-medicine by family</t>
        </is>
      </c>
      <c r="C10066" t="inlineStr">
        <is>
          <t>A family member has given me a bunch of 'healing' crystals in a very sweet gesture. She wants me to take them into surgery and have one on me at all times.
Trouble is, I'm a man of science and don't believe in all that. Do you think it's more respectful to take the crystals with me and pretend I believe in it, or politely tell her that I don't believe in it but thank her for the gesture?</t>
        </is>
      </c>
      <c r="D10066" t="n">
        <v>1</v>
      </c>
      <c r="E10066" t="n">
        <v>20</v>
      </c>
      <c r="F10066">
        <f>HYPERLINK("https://www.reddit.com/r/cancer/comments/hja3wb/offered_pseudomedicine_by_family/")</f>
        <v/>
      </c>
      <c r="G10066" t="inlineStr">
        <is>
          <t>2020-07-01 06:25:10</t>
        </is>
      </c>
      <c r="H10066" t="inlineStr"/>
    </row>
    <row r="10067">
      <c r="A10067" t="inlineStr">
        <is>
          <t>hja7iz</t>
        </is>
      </c>
      <c r="B10067" t="inlineStr">
        <is>
          <t>Ca 19-9 Question</t>
        </is>
      </c>
      <c r="C10067" t="inlineStr">
        <is>
          <t>Does anyone know about Ca 19-9?
I know the cut-off is 34. 
If you get a result of 32, is that close enough to the line to be concerning? Or do healthy people hover at that number?
I wasn't sure if a healthy number is closer to 0.
Thank you!</t>
        </is>
      </c>
      <c r="D10067" t="n">
        <v>1</v>
      </c>
      <c r="E10067" t="n">
        <v>1</v>
      </c>
      <c r="F10067">
        <f>HYPERLINK("https://www.reddit.com/r/cancer/comments/hja7iz/ca_199_question/")</f>
        <v/>
      </c>
      <c r="G10067" t="inlineStr">
        <is>
          <t>2020-07-01 06:31:08</t>
        </is>
      </c>
      <c r="H10067" t="inlineStr"/>
    </row>
    <row r="10068">
      <c r="A10068" t="inlineStr">
        <is>
          <t>hjaowh</t>
        </is>
      </c>
      <c r="B10068" t="inlineStr">
        <is>
          <t>Family Member and Primary Care</t>
        </is>
      </c>
      <c r="C10068" t="inlineStr">
        <is>
          <t>Last week, my mother-in-law was diagnosed with cancer that is in her lungs, liver, bones, and skin. They say she has a few months to live. My wife thrust into a primary care provider role and now we are half a country away from each other. I'm packing up the apartment an moving. She has our 6 month old baby. I have no idea what I'm doing.
I don't know how to talk to my wife about this.  When she writes me talking about how she was up all night with a screaming baby and a dying mother.
I want to be helpful but I feel very limited. I don't even know where to begin looking for help or support.
Help?</t>
        </is>
      </c>
      <c r="D10068" t="n">
        <v>1</v>
      </c>
      <c r="E10068" t="n">
        <v>4</v>
      </c>
      <c r="F10068">
        <f>HYPERLINK("https://www.reddit.com/r/cancer/comments/hjaowh/family_member_and_primary_care/")</f>
        <v/>
      </c>
      <c r="G10068" t="inlineStr">
        <is>
          <t>2020-07-01 06:58:38</t>
        </is>
      </c>
      <c r="H10068" t="inlineStr"/>
    </row>
    <row r="10069">
      <c r="A10069" t="inlineStr">
        <is>
          <t>hjbo1m</t>
        </is>
      </c>
      <c r="B10069" t="inlineStr">
        <is>
          <t>How have you talked to kids about end of life?</t>
        </is>
      </c>
      <c r="C10069" t="inlineStr">
        <is>
          <t>We have a 4 year old and 7 yr old. We're at a stage where I'm not sure how long my MIL has left. We've been somewhat vague with my 7 year old. She knows grandma is not well and things are getting worse, but we haven't told her she's dying because we don't really actually know that. But things aren't looking good. Hypercalcemia and now kidney issues. It could be weeks, it could be months, we don't know. So how do we know what to say or when. No one has asked for an actual prognosis again.
She is very close with my oldest. The whole thing breaks my heart. MIL has said she would try to talk to the 7 yr old, but hasn't yet and now she's in the ER yet again. So I'm starting to feel like I need to talk to my daughter. But I don't know if it's right to include her in this mood of dread that's pervasive right now or whether to just say something when we know for sure that we're bear the end.
I don't even know where to begin with the 4 yr old, he can seem oblivious to everything around him, but then suddenly notice something I never would have imagined. I know he has an idea that things are not good right now. I know that kids are more perceptive than they seem sometimes. But I don't actually know what to say to him.</t>
        </is>
      </c>
      <c r="D10069" t="n">
        <v>1</v>
      </c>
      <c r="E10069" t="n">
        <v>13</v>
      </c>
      <c r="F10069">
        <f>HYPERLINK("https://www.reddit.com/r/cancer/comments/hjbo1m/how_have_you_talked_to_kids_about_end_of_life/")</f>
        <v/>
      </c>
      <c r="G10069" t="inlineStr">
        <is>
          <t>2020-07-01 07:50:08</t>
        </is>
      </c>
      <c r="H10069" t="inlineStr"/>
    </row>
    <row r="10070">
      <c r="A10070" t="inlineStr">
        <is>
          <t>hjc6a6</t>
        </is>
      </c>
      <c r="B10070" t="inlineStr">
        <is>
          <t>I feel like I’m crazy</t>
        </is>
      </c>
      <c r="C10070" t="inlineStr">
        <is>
          <t>My dad just passed away from cancer after battling Lymphoma for the better part of the last year and a half. My whole family is crying and I just feel numb and empty and in denial and oddly calm. I feel like I’m going crazy, I don’t know why I feel this way and I’m so lost. If anyone has any advice please let me know</t>
        </is>
      </c>
      <c r="D10070" t="n">
        <v>1</v>
      </c>
      <c r="E10070" t="n">
        <v>15</v>
      </c>
      <c r="F10070">
        <f>HYPERLINK("https://www.reddit.com/r/cancer/comments/hjc6a6/i_feel_like_im_crazy/")</f>
        <v/>
      </c>
      <c r="G10070" t="inlineStr">
        <is>
          <t>2020-07-01 08:15:41</t>
        </is>
      </c>
      <c r="H10070" t="inlineStr"/>
    </row>
    <row r="10071">
      <c r="A10071" t="inlineStr">
        <is>
          <t>hjdp7c</t>
        </is>
      </c>
      <c r="B10071" t="inlineStr">
        <is>
          <t>Lemon juice after cancer treatment</t>
        </is>
      </c>
      <c r="C10071" t="inlineStr">
        <is>
          <t>So i finished chemo in December and radiation on February 5 it’s been many months since then my hair is all back thank god it’s black how and wanted it to go back to my natural brown hair was just wanting some reassurance that it’s ok and won’t have any bad affect or not recommend or something ?</t>
        </is>
      </c>
      <c r="D10071" t="n">
        <v>1</v>
      </c>
      <c r="E10071" t="n">
        <v>9</v>
      </c>
      <c r="F10071">
        <f>HYPERLINK("https://www.reddit.com/r/cancer/comments/hjdp7c/lemon_juice_after_cancer_treatment/")</f>
        <v/>
      </c>
      <c r="G10071" t="inlineStr">
        <is>
          <t>2020-07-01 09:33:18</t>
        </is>
      </c>
      <c r="H10071" t="inlineStr"/>
    </row>
    <row r="10072">
      <c r="A10072" t="inlineStr">
        <is>
          <t>hjfa3c</t>
        </is>
      </c>
      <c r="B10072" t="inlineStr">
        <is>
          <t>Chemo port is out</t>
        </is>
      </c>
      <c r="C10072" t="inlineStr">
        <is>
          <t>FINALLY!!!!
&amp;amp;#x200B;
FUCK YOU CANCER</t>
        </is>
      </c>
      <c r="D10072" t="n">
        <v>1</v>
      </c>
      <c r="E10072" t="n">
        <v>17</v>
      </c>
      <c r="F10072">
        <f>HYPERLINK("https://www.reddit.com/r/cancer/comments/hjfa3c/chemo_port_is_out/")</f>
        <v/>
      </c>
      <c r="G10072" t="inlineStr">
        <is>
          <t>2020-07-01 10:54:04</t>
        </is>
      </c>
      <c r="H10072" t="inlineStr"/>
    </row>
    <row r="10073">
      <c r="A10073" t="inlineStr">
        <is>
          <t>hjh8y7</t>
        </is>
      </c>
      <c r="B10073" t="inlineStr">
        <is>
          <t>Cervical Cancer Treatment: Bloodwork indicators that the chemo, radiation, and immunotherapy worked?</t>
        </is>
      </c>
      <c r="C10073" t="inlineStr">
        <is>
          <t>Hello. Hope this question is appropriate for this community. If not, my apologies. Yell at me or delete it, I guess.
I was diagnosed with Stage 3C cervical cancer in January. Too advanced for surgery, but did the cisplatin chemo, internal and external radiation, and a clinical trial Pembro.
Been post treatment about a month but have another 2 months of waiting to get a PET scan to determined how effective the treatments were.
The whole process has been odd, I'd say, in the sense that it has been so different from what you see on TV (maybe not the best reference point, lol).
You don't ever sit down in a cushy office with a doctor that treats you like a whole human they can give 20 minutes of devoted attention to. It's felt like you're a cog on the assembly line. Which, fine, I hate attention and fuss, but it's just that the communication has been next to nothing. (And I'm at a TOP 5 Cancer hospital in US.) They won't tell me anything!
I was wondering if there were specific items in my bloodwork that would be good indicators that the cancer is gone or near gone?
Of course I have tons of bloodwork over the last many months, but a lot of ups and downs in it and includes multiple blood transfusions (many hospitalizations) that shot levels in various directions, so it's not a straightforward 'oh this was high then, but now low or standard range, so looking in the clear!' type of takeaway for me.
Does anybody have personal experience or medical knowledge that could help me, if only *directionally*, interpret how well the treatments might have worked until I get something more solid in 2 months??
Thank you in advance!
Tldr: What indicators in my CBC bloodwork might help me understand if my cervical cancer treatments were effective, until I can get more solid confirmation with a PET scan?</t>
        </is>
      </c>
      <c r="D10073" t="n">
        <v>1</v>
      </c>
      <c r="E10073" t="n">
        <v>4</v>
      </c>
      <c r="F10073">
        <f>HYPERLINK("https://www.reddit.com/r/cancer/comments/hjh8y7/cervical_cancer_treatment_bloodwork_indicators/")</f>
        <v/>
      </c>
      <c r="G10073" t="inlineStr">
        <is>
          <t>2020-07-01 12:31:02</t>
        </is>
      </c>
      <c r="H10073" t="inlineStr"/>
    </row>
    <row r="10074">
      <c r="A10074" t="inlineStr">
        <is>
          <t>hjhayr</t>
        </is>
      </c>
      <c r="B10074" t="inlineStr">
        <is>
          <t>Post cervical cancer follow-up plan</t>
        </is>
      </c>
      <c r="C10074" t="inlineStr">
        <is>
          <t>My mother was diagnosed with cervical cancer early last year - she had 6 weeks of chemo and radiotherapy (radio 5 days a week, with one of those days also including an 8hour session of chemo) about 9 months after treatment they said she was clear. 
She is obviously really worried that it will come back, moreso because initially none of the exams/tests could detect it or where it was other than a PET scan. They've now told us the follow up plan - an internal once every 6 months, but an internal couldn't find the cancer to begin. 
They've said she won't get smears anymore because the treatment will make them all show as abnormal, and they won't give her anymore PET scans unless there's reason to believe it's back, even though a PET is the only thing that ever showed the cancer, and she never had any symptoms. 
Does anyone know if this is the standard way (in the UK) of checking for recurrence? We thought there would be more to it than this. 
Or does anyone have advice on ways for her to cope with the fear and uncertainty?</t>
        </is>
      </c>
      <c r="D10074" t="n">
        <v>1</v>
      </c>
      <c r="E10074" t="n">
        <v>5</v>
      </c>
      <c r="F10074">
        <f>HYPERLINK("https://www.reddit.com/r/cancer/comments/hjhayr/post_cervical_cancer_followup_plan/")</f>
        <v/>
      </c>
      <c r="G10074" t="inlineStr">
        <is>
          <t>2020-07-01 12:33:52</t>
        </is>
      </c>
      <c r="H10074" t="inlineStr"/>
    </row>
    <row r="10075">
      <c r="A10075" t="inlineStr">
        <is>
          <t>hji7i4</t>
        </is>
      </c>
      <c r="B10075" t="inlineStr">
        <is>
          <t>First appointment with the oncologist.</t>
        </is>
      </c>
      <c r="C10075" t="inlineStr">
        <is>
          <t>I had my first appointment with my oncologist yesterday for a mass that's growing on my humerus. The entire appointment I felt he was being very vague and not answering any questions properly and seemed not concerned about my symptoms, so I felt he might if figured it wasn't cancer. But also at the same time I have other issues with my shoulder such as tear in my labrum and a paralabral cyst, so I simply asked what steps I could take to take care of those if he wasn't concerned it was cancer but he kept saying we shouldn't worry about any thing else till we get my bone lesion taken care of in a serious manner. I also felt he kept trying to make me feel better because the amount of times he kept repeating that he didn't think it was cancer kind of felt odd to me. He then also wanted a MRI and CT done, so I'm waiting on those but in the request he listed them as "STAT" which means he wants them done ASAP and one of the reasons for the request of said "juxtacortical chondroma versus surface osteosarcoma." Not quite sure what those together mean because they are two very different things. Is that the two things he thinks they could be and is saying he's ordering the images to find out between those two, or is there some other medical terms for that wording? But anyways, I just want to know if anyone else thinks I should have no reason for concern or if he was just trying to make me feel better till he has the facts to show me I have cancer.</t>
        </is>
      </c>
      <c r="D10075" t="n">
        <v>1</v>
      </c>
      <c r="E10075" t="n">
        <v>5</v>
      </c>
      <c r="F10075">
        <f>HYPERLINK("https://www.reddit.com/r/cancer/comments/hji7i4/first_appointment_with_the_oncologist/")</f>
        <v/>
      </c>
      <c r="G10075" t="inlineStr">
        <is>
          <t>2020-07-01 13:21:05</t>
        </is>
      </c>
      <c r="H10075" t="inlineStr"/>
    </row>
    <row r="10076">
      <c r="A10076" t="inlineStr">
        <is>
          <t>hjigql</t>
        </is>
      </c>
      <c r="B10076" t="inlineStr">
        <is>
          <t>Any information about pancreatic cancer in young patients?</t>
        </is>
      </c>
      <c r="C10076" t="inlineStr">
        <is>
          <t>Just as a preface - I am not here to offend anyone. I’m not a typical ‘pancreatic cancer panicker’ I am genuinely being tested for this disease and would like to know if anyone has more info. 
I’m 25 years old and a female. I have a baby who is a few months old. 
Last month I began experiencing frequent pale stools that have persisted, along with abdominal and back pain. To really throw into the mix - I also have acid reflux which is new onset. I was vigilant in realising these could be symptoms of pancreatic cancer and asked to be referred for testing. My doctor has now ordered an ultrasound tomorrow and wants to follow things up with a CT scan as he can’t explain what is causing my problems. 
I was in good health before this, mentally and physically. My doctor mentioned wanting to take a look at my pancreas and liver along with my gallbladder. 
Is pancreatic cancer an issue in someone of my age? It is my understanding that it can be however I saw there are many different types and some are more likely to effect younger women than the usual pancreatic cancer. I’m just trying to arm myself with more information before my scan as I really am beginning to worry for the worst.
Thanks</t>
        </is>
      </c>
      <c r="D10076" t="n">
        <v>1</v>
      </c>
      <c r="E10076" t="n">
        <v>3</v>
      </c>
      <c r="F10076">
        <f>HYPERLINK("https://www.reddit.com/r/cancer/comments/hjigql/any_information_about_pancreatic_cancer_in_young/")</f>
        <v/>
      </c>
      <c r="G10076" t="inlineStr">
        <is>
          <t>2020-07-01 13:33:55</t>
        </is>
      </c>
      <c r="H10076" t="inlineStr"/>
    </row>
    <row r="10077">
      <c r="A10077" t="inlineStr">
        <is>
          <t>hjin89</t>
        </is>
      </c>
      <c r="B10077" t="inlineStr">
        <is>
          <t>Please help me understand</t>
        </is>
      </c>
      <c r="C10077" t="inlineStr">
        <is>
          <t>Let me start off by saying my dad was diagnosed with kidney cancer in mid May. My dad and mom live 9 hrs away from me and with this Coronavirus shit I can’t go see him and be there for him for his appointments. They removed one of the kidneys where they found the mass. I thought after they removed the kidney he would start to feel a little better. Well he started having problems with his liver and had to start draining it. Since it spread to the liver it’s considered staged 4. Well after being sent home he started feeling pain and had to go back to doctor. The doctor found a abscess and they have to drain that too. Since the beginning of June he’s been at home draining both the liver and Abscess. My question is what is with the draining part? He hasn’t gotten any better if anything he’s getting worse. They won’t start chemo until all that draining shit is done. Can someone explain to me what’s with the draining. Thank you.</t>
        </is>
      </c>
      <c r="D10077" t="n">
        <v>1</v>
      </c>
      <c r="E10077" t="n">
        <v>1</v>
      </c>
      <c r="F10077">
        <f>HYPERLINK("https://www.reddit.com/r/cancer/comments/hjin89/please_help_me_understand/")</f>
        <v/>
      </c>
      <c r="G10077" t="inlineStr">
        <is>
          <t>2020-07-01 13:43:15</t>
        </is>
      </c>
      <c r="H10077" t="inlineStr"/>
    </row>
    <row r="10078">
      <c r="A10078" t="inlineStr">
        <is>
          <t>hjirnp</t>
        </is>
      </c>
      <c r="B10078" t="inlineStr">
        <is>
          <t>Am I overreacting (cancer, masks and my crazy family)?</t>
        </is>
      </c>
      <c r="C10078" t="inlineStr">
        <is>
          <t>I’m almost 6 months post Allo BMT; AML isn’t in remission YET, with more complications then I can count on my fingers and toes AKA- basically no immune system.  Needless to say, a global pandemic gives me more anxiety then medicine can handle.   Oh, and I have severe asthma.  :)
My family for the most part has been awesome- social distancing and staying home, masks every time they leave, compulsive hand washing and hand sanitizer, the works.  EXCEPT my stepfather.   He believes the masks are a political thing and COVID 19 is “no worse then the flu”.  
I just found out he went to event over the weekend where he didnt wear a mask, nor did most of the people there; exposing himself to about 1000 people.  The following day, my mom (his wife) spent the day with me (without masks).  She didn’t say a thing about her husband’s adventures the previous day because “it didn’t cross her mind”
I found out and I AM PISSED. I won’t let either of them over my house, as now I feel as if I have to quarantine myself. And with 4th of July this weekend, I backed out of my family BBQ.  
My family says I’m completely overreacting.  I admit, I can’t be a little hyperbolic at times, but I really don’t feel like tia is one of them.  I just feel I spent the last 6 months busting my ass to try to stay alive and I just am super bummed at the thoughtlessness of my family. 
So cancer fam, am I overreacting?</t>
        </is>
      </c>
      <c r="D10078" t="n">
        <v>1</v>
      </c>
      <c r="E10078" t="n">
        <v>16</v>
      </c>
      <c r="F10078">
        <f>HYPERLINK("https://www.reddit.com/r/cancer/comments/hjirnp/am_i_overreacting_cancer_masks_and_my_crazy_family/")</f>
        <v/>
      </c>
      <c r="G10078" t="inlineStr">
        <is>
          <t>2020-07-01 13:49:36</t>
        </is>
      </c>
      <c r="H10078" t="inlineStr"/>
    </row>
    <row r="10079">
      <c r="A10079" t="inlineStr">
        <is>
          <t>hjj2fj</t>
        </is>
      </c>
      <c r="B10079" t="inlineStr">
        <is>
          <t>Thyroid and Renal Cell?</t>
        </is>
      </c>
      <c r="C10079" t="inlineStr">
        <is>
          <t>Has anyone had both thyroid and renal cell carcinoma? I was diagnosed with papillary thyroid carcinoma back in 2006 and had a total thyroidectomy. Now I’m being evaluated for a reoccurrence of the thyroid cancer in my lymph nodes in my neck. I also went to the ER this week thinking I was having an appendicitis. When they did the CT scan they found out that I have renal cell carcinoma in my left kidney. I’ve asked my endocrinologist if they are related and I was told no and that I’m just lucky that I have two different types of cancer.  Anyone else had it?</t>
        </is>
      </c>
      <c r="D10079" t="n">
        <v>1</v>
      </c>
      <c r="E10079" t="n">
        <v>3</v>
      </c>
      <c r="F10079">
        <f>HYPERLINK("https://www.reddit.com/r/cancer/comments/hjj2fj/thyroid_and_renal_cell/")</f>
        <v/>
      </c>
      <c r="G10079" t="inlineStr">
        <is>
          <t>2020-07-01 14:05:00</t>
        </is>
      </c>
      <c r="H10079" t="inlineStr"/>
    </row>
    <row r="10080">
      <c r="A10080" t="inlineStr">
        <is>
          <t>hjltdi</t>
        </is>
      </c>
      <c r="B10080" t="inlineStr">
        <is>
          <t>Dad may have cancer</t>
        </is>
      </c>
      <c r="C10080" t="inlineStr">
        <is>
          <t>i’m 2 years old and my parents told me today that my father has to go in for some further testing because he’s noticed blood in his urine once about a month ago and once again just a week ago. he had some tests done and they called to say they found some “suspicious cells” in his urine and he needs to have further tests done to figure out what it is exactly. i’ve been doing research online and see there’s a few possibilities, but honestly i’m really scared and already have a ton on my plate as it is. My parents mean everything to me. My dad is 51 in extremely good shape for his age and had never smoked a single cigarette in his life. what are the odds it’s something minor like kidney stones? thanks for your help anyone</t>
        </is>
      </c>
      <c r="D10080" t="n">
        <v>1</v>
      </c>
      <c r="E10080" t="n">
        <v>2</v>
      </c>
      <c r="F10080">
        <f>HYPERLINK("https://www.reddit.com/r/cancer/comments/hjltdi/dad_may_have_cancer/")</f>
        <v/>
      </c>
      <c r="G10080" t="inlineStr">
        <is>
          <t>2020-07-01 16:32:09</t>
        </is>
      </c>
      <c r="H10080" t="inlineStr"/>
    </row>
    <row r="10081">
      <c r="A10081" t="inlineStr">
        <is>
          <t>hjlua8</t>
        </is>
      </c>
      <c r="B10081" t="inlineStr">
        <is>
          <t>"Cancer-free" vs remission or NED</t>
        </is>
      </c>
      <c r="C10081" t="inlineStr">
        <is>
          <t>I notice a lot of people post about being declared "cancer-free". My doctor never told me this phrase cancer-free. My understanding is that until a cure is found the terms used are "no evidence of disease" or "remission" which means imaging has not detected cancer cells but does not mean no cancer cells exist. For any oncologists lurking here, is this a matter of preference of particular doctors? TIA</t>
        </is>
      </c>
      <c r="D10081" t="n">
        <v>1</v>
      </c>
      <c r="E10081" t="n">
        <v>12</v>
      </c>
      <c r="F10081">
        <f>HYPERLINK("https://www.reddit.com/r/cancer/comments/hjlua8/cancerfree_vs_remission_or_ned/")</f>
        <v/>
      </c>
      <c r="G10081" t="inlineStr">
        <is>
          <t>2020-07-01 16:33:41</t>
        </is>
      </c>
      <c r="H10081" t="inlineStr"/>
    </row>
    <row r="10082">
      <c r="A10082" t="inlineStr">
        <is>
          <t>hjoz1a</t>
        </is>
      </c>
      <c r="B10082" t="inlineStr">
        <is>
          <t>experience with provenge?</t>
        </is>
      </c>
      <c r="C10082" t="inlineStr">
        <is>
          <t>Hi all, 
My wonderful father in law has metastatic castrate resistant prostate cancer, diagnosed in 2016. His doctor has recommended provenge, and he is really concerned about the process. He has a bad needle phobia. I would love to hear from any of you that have done provenge about the experience of the leukopharesis and the infusions. Was it painful? What was the procedure like? Are you glad you did it? Did you have a PICC line placed or did they insert a catheter each time? 
Thank you so much for your time.</t>
        </is>
      </c>
      <c r="D10082" t="n">
        <v>1</v>
      </c>
      <c r="E10082" t="n">
        <v>0</v>
      </c>
      <c r="F10082">
        <f>HYPERLINK("https://www.reddit.com/r/cancer/comments/hjoz1a/experience_with_provenge/")</f>
        <v/>
      </c>
      <c r="G10082" t="inlineStr">
        <is>
          <t>2020-07-01 19:51:48</t>
        </is>
      </c>
      <c r="H10082" t="inlineStr"/>
    </row>
    <row r="10083">
      <c r="A10083" t="inlineStr">
        <is>
          <t>hjqa4n</t>
        </is>
      </c>
      <c r="B10083" t="inlineStr">
        <is>
          <t>Hodgkins Lymphoma patient looking for help diagnosing some side effects</t>
        </is>
      </c>
      <c r="C10083" t="inlineStr">
        <is>
          <t>Hi all,
39M male here, with Hodgkin’s lymphoma stage 2B, 8/12 treatments of ABVD (now AVD) completed. Also have a large blood clot down my right jugular to my right arm. Currently I’ve been seen by no less than a dozen doctors at this point over the last month, and no one has any idea what’s causing my issues. A few weeks ago my fever spiked and I was losing oxygen fast in the ICU, only to be saved by steroids.
Symptoms:
Slightly anemic at 9.8
Mild fever that typically stays under 100.5 (clearly didn’t during the ICU episode)
Shortness of breath
Minor dry cough
Pulse at rest is generally around 115-125 (normally around 70-80 at rest). Can spike up to 150 during activity.
Already ruled out any heart issues, pneumonia, covid (yes for sure not covid), Bleomycin toxicity, pulmonary embolism, bacterial infection on heart valves or in the bloodstream.
Chest X-ray, ct scan with contrast, TEE, blood cath, blood labs and blood cultures have all come back clean.
The only drug that seems to work to keep the symptoms at bay are prednisone, and even then my pulse is still high. This seems to indicate inflammation of some kind, but no one seems to know what the underlying cause could be.
Anyone have any freaking clue as to what might be causing this, or been through this before? I’d prefer to get off steroids, but even now weeks later if I miss a dose, all the symptoms start coming back within a few hours (starting with the fever). Thanks so much for anyone reading this, and I’d love to hear any thoughts folks have about what this could be.</t>
        </is>
      </c>
      <c r="D10083" t="n">
        <v>1</v>
      </c>
      <c r="E10083" t="n">
        <v>12</v>
      </c>
      <c r="F10083">
        <f>HYPERLINK("https://www.reddit.com/r/cancer/comments/hjqa4n/hodgkins_lymphoma_patient_looking_for_help/")</f>
        <v/>
      </c>
      <c r="G10083" t="inlineStr">
        <is>
          <t>2020-07-01 21:25:33</t>
        </is>
      </c>
      <c r="H10083" t="inlineStr"/>
    </row>
    <row r="10084">
      <c r="A10084" t="inlineStr">
        <is>
          <t>hjqfgs</t>
        </is>
      </c>
      <c r="B10084" t="inlineStr">
        <is>
          <t>Survivors guilt PTSD</t>
        </is>
      </c>
      <c r="C10084" t="inlineStr">
        <is>
          <t>I've been trying to locally find therapists who deal with survivors guilt and cancer trauma PTSD and am continuously left without response. I would be so grateful to be lead to a subreddit where this type of issue is discussed. 
I am a 29 y/o 3x hodgkins Lymphoma survivor who has just been declared cured in the last month. Unfortunately I am also a recovering alcoholic who has struggled with depression my entire life (including attempted suicides at 12 and 19) who is struggling very much with survivors guilt and some self loathing pertaining to not being "grateful enough" to be alive. Any help or direction appreciated. Thanks. https://i.imgur.com/GSYgi68.jpg</t>
        </is>
      </c>
      <c r="D10084" t="n">
        <v>1</v>
      </c>
      <c r="E10084" t="n">
        <v>3</v>
      </c>
      <c r="F10084">
        <f>HYPERLINK("https://www.reddit.com/r/cancer/comments/hjqfgs/survivors_guilt_ptsd/")</f>
        <v/>
      </c>
      <c r="G10084" t="inlineStr">
        <is>
          <t>2020-07-01 21:36:58</t>
        </is>
      </c>
      <c r="H10084" t="inlineStr"/>
    </row>
    <row r="10085">
      <c r="A10085" t="inlineStr">
        <is>
          <t>hjrjrc</t>
        </is>
      </c>
      <c r="B10085" t="inlineStr">
        <is>
          <t>Aftermath</t>
        </is>
      </c>
      <c r="C10085" t="inlineStr">
        <is>
          <t>I am very lucky to be in remission for almost three years of stage 2A Hodgkin's Lymphoma. And I am not looking for sympathy but maybe some empathy if anyone can understand. I don't know what is worse, finding out you have cancer or the constant anxiety and fear that comes with any weird symptom your body has and wondering if it has come back after treatment is all said and done.
I know soooo many arent as fortunate as I am and have gone through so much more excruciating pain than I have and I am so thankful my treatment was somewhat "easy" for me. But I am only 21 and I feel like I will be living in constant fear for the rest of my life.</t>
        </is>
      </c>
      <c r="D10085" t="n">
        <v>1</v>
      </c>
      <c r="E10085" t="n">
        <v>13</v>
      </c>
      <c r="F10085">
        <f>HYPERLINK("https://www.reddit.com/r/cancer/comments/hjrjrc/aftermath/")</f>
        <v/>
      </c>
      <c r="G10085" t="inlineStr">
        <is>
          <t>2020-07-01 23:05:43</t>
        </is>
      </c>
      <c r="H10085" t="inlineStr"/>
    </row>
    <row r="10086">
      <c r="A10086" t="inlineStr">
        <is>
          <t>hjrr9q</t>
        </is>
      </c>
      <c r="B10086" t="inlineStr">
        <is>
          <t>My dad.</t>
        </is>
      </c>
      <c r="C10086" t="inlineStr">
        <is>
          <t>My dad had stage three throat cancer. 
Not surprising due to his lifestyle but he was very young, 49.
It was a very difficult process and I moved back to the same state to be with him and help him through it. 
(My mom and dad knew eachother since they were teens, and were bestfriends, they ended up breaking up because my dad was a severe alcoholic and verbally abusive to me) 
I love my dad, so much. He went through so much and I completely understand why he ended up the way he did. 
And I know that he loved me, there was no doubt about that. 
So, he got diagnosed with throat cancer and it was a very difficult journey. 
Especially considering I was the next of kin and I had zero support from anyone on wanting to be there for my dad. 
I was there everyday, talking to him on the phone, waiting for hours on hold with doctors, etc.
Due to Covid-19 I didn’t go around as much because I didn’t want to put him at risk because we didn’t live in the same house. 
Then I get a phone call from my aunt that he is doing super badly, I had to drive 40 minutes away to get there and be the one to call the ambulance . 
He looked....terrible. 
Absolutely terrible, it was heartbreaking.
He was waiting for a PET scan to be done to finalize a surgery because his biopsies came back negative for cancer. 
He ended up dying from pneumonia in both lungs, sepsis, multiple organ failure. 
I’m having a very difficult time dealing with this.
I know that it was out of my hands, but I really tried so hard. 
I ended up finding out that during the quarantine he was putting vodka in his PEG. And I don’t know if it was maybe a suicide or not. But idk, just needed to let this out in a community that might understand the struggle.</t>
        </is>
      </c>
      <c r="D10086" t="n">
        <v>1</v>
      </c>
      <c r="E10086" t="n">
        <v>1</v>
      </c>
      <c r="F10086">
        <f>HYPERLINK("https://www.reddit.com/r/cancer/comments/hjrr9q/my_dad/")</f>
        <v/>
      </c>
      <c r="G10086" t="inlineStr">
        <is>
          <t>2020-07-01 23:21:52</t>
        </is>
      </c>
      <c r="H10086" t="inlineStr"/>
    </row>
    <row r="10087">
      <c r="A10087" t="inlineStr">
        <is>
          <t>hjrrku</t>
        </is>
      </c>
      <c r="B10087" t="inlineStr">
        <is>
          <t>My dad has cancer and I'm afraid</t>
        </is>
      </c>
      <c r="C10087" t="inlineStr">
        <is>
          <t>Hi there.
My dad was recently diagnosed with lung cancer - initially docs said there was a very good prognosis, surgery and then done. After more tests, it was discovered to be Stage 3 lung cancer. He is doing chemo and radiation treatments and the survival rate is 25-50 percent. Still pretty good I guess. I'm a little mad at the universe since he's only 50 and he's in amazing shape, eats healthy and works out about an hour each day. Never touched a cigarette. Its not fair but life isn't.
I have a personal therapist but I haven't been able to see her in person since my province declared state of emergency first week of April. I booked one Zoom appointment but cancelled it. I can't do Zoom therapy for many reasons that I don't want to get into.
Background on me
25 years old
General mental health: PTSD, depression, chronic fatigue, ADHD. I've actually been doing quite well besides my dad, and I think I've even been coping with that pretty well too. I work in the mental health field and consider myself very privileged that I have my education and experience as it helps me in my personal life.
I have a pervasive fear that my dad is going to die. It's realistic and reasonable to fear that, I'm not looking to take the fear away. I'm just wondering if anyone has some suggestions for resources (booklets, webinars, other learning) on how to help with the fear or maybe just give me a new perspective. 
I'm going to try booking another appointment with my therapist and see if I can push through not canceling. 
Thanks folks.</t>
        </is>
      </c>
      <c r="D10087" t="n">
        <v>1</v>
      </c>
      <c r="E10087" t="n">
        <v>2</v>
      </c>
      <c r="F10087">
        <f>HYPERLINK("https://www.reddit.com/r/cancer/comments/hjrrku/my_dad_has_cancer_and_im_afraid/")</f>
        <v/>
      </c>
      <c r="G10087" t="inlineStr">
        <is>
          <t>2020-07-01 23:22:28</t>
        </is>
      </c>
      <c r="H10087" t="inlineStr"/>
    </row>
    <row r="10088">
      <c r="A10088" t="inlineStr">
        <is>
          <t>hjs5w0</t>
        </is>
      </c>
      <c r="B10088" t="inlineStr">
        <is>
          <t>Y90 Radioembolization</t>
        </is>
      </c>
      <c r="C10088" t="inlineStr">
        <is>
          <t>Has anyone had the y90 Radioembolization treatment for liver metastasis? I’m having a hard time finding any actual personal experience to read about. Good or bad, Id like to hear your experience.</t>
        </is>
      </c>
      <c r="D10088" t="n">
        <v>1</v>
      </c>
      <c r="E10088" t="n">
        <v>1</v>
      </c>
      <c r="F10088">
        <f>HYPERLINK("https://www.reddit.com/r/cancer/comments/hjs5w0/y90_radioembolization/")</f>
        <v/>
      </c>
      <c r="G10088" t="inlineStr">
        <is>
          <t>2020-07-01 23:54:00</t>
        </is>
      </c>
      <c r="H10088" t="inlineStr"/>
    </row>
    <row r="10089">
      <c r="A10089" t="inlineStr">
        <is>
          <t>hjsk8s</t>
        </is>
      </c>
      <c r="B10089" t="inlineStr">
        <is>
          <t>How to tell to new partner?</t>
        </is>
      </c>
      <c r="C10089" t="inlineStr">
        <is>
          <t>Hello everyone, I would like to ask something that came up to me thinking about cancer.
First of all, I must say I have not been diagnosed with cancer. I was just thinking about it, so maybe I'm missing something essential.
So, how do you deal with new relationship / partners in your life? I mean, do you tell them about your disease since the first time you feel like you could start a relationship? Maybe after a couple of months of relationship but before it gets serious? During the "social seduction" before the start of the relationship?
Thank you all and I wish you a happy day</t>
        </is>
      </c>
      <c r="D10089" t="n">
        <v>1</v>
      </c>
      <c r="E10089" t="n">
        <v>7</v>
      </c>
      <c r="F10089">
        <f>HYPERLINK("https://www.reddit.com/r/cancer/comments/hjsk8s/how_to_tell_to_new_partner/")</f>
        <v/>
      </c>
      <c r="G10089" t="inlineStr">
        <is>
          <t>2020-07-02 00:26:30</t>
        </is>
      </c>
      <c r="H10089" t="inlineStr"/>
    </row>
    <row r="10090">
      <c r="A10090" t="inlineStr">
        <is>
          <t>hjur3t</t>
        </is>
      </c>
      <c r="B10090" t="inlineStr">
        <is>
          <t>Relatives refuse to be stem cell donor. Are they selfish pricks?</t>
        </is>
      </c>
      <c r="C10090" t="inlineStr">
        <is>
          <t>So I am a part time care giver for my uncle with an incurable form of cancer. The only option left happens to be a stem cell transplant. We were advised that the best was to go with his siblings as donors.
My aunt (his wife) has been exhausted due to his frequent chemo treatments and so I stepped up to talk to his siblings about participating in this process.
What I thought would be an easy conversation didn't turn out that way. Some relatives were outright reluctant to help suggesting they had health issues and instead made it seem like the issue was with my uncle eg. "Can he take it or not." "He has already gone through so many rounds of chemo. Is it enough already"
Now as a part time care giver, I have grown closer to my uncle. I have seen the suffering he has been through which is probably why I empathize with him more. But the behaviour of his siblings I find absolutely disgusting and selfish. I read up about the procedure. It doesn't seem remotely scarcely (just drawing your blood to produce stem cells) and the doctors said there aren't any permanent damage to the donors.
Of course - there is a possibility of searching for external donors (not within the family) but the risk are much higher.
Am I right to feel this way? What has your experience been?</t>
        </is>
      </c>
      <c r="D10090" t="n">
        <v>1</v>
      </c>
      <c r="E10090" t="n">
        <v>37</v>
      </c>
      <c r="F10090">
        <f>HYPERLINK("https://www.reddit.com/r/cancer/comments/hjur3t/relatives_refuse_to_be_stem_cell_donor_are_they/")</f>
        <v/>
      </c>
      <c r="G10090" t="inlineStr">
        <is>
          <t>2020-07-02 03:42:26</t>
        </is>
      </c>
      <c r="H10090" t="inlineStr"/>
    </row>
    <row r="10091">
      <c r="A10091" t="inlineStr">
        <is>
          <t>hjuuea</t>
        </is>
      </c>
      <c r="B10091" t="inlineStr">
        <is>
          <t>How to tell mum that everything will be okay?</t>
        </is>
      </c>
      <c r="C10091" t="inlineStr">
        <is>
          <t>She has had bowel cancer since February, and she has just had the scan results about a month after finishing radio therapy. She was under the assumption that after the radio therapy she would be having a big operation and it would all be over.
Unfortunately, the radio therapy has forced the cancer further down, making it spread outwards, tearing a hole in the wall of her vagina, and also spreading a bit to her liver, which is 'smaller than your little fingernail'.
She's having to go to a hospital an hour away for specialist treatment and she's very scared (understandably) that when they ask this surgeon to do the operation, that they will say it is inoperable.
We've felt with cancer before, with my dad, which was a huge tumour and he beat it after a year.
She's very scared about leaving us, and I keep telling her she won't be, because I honestly believe she can still beat it as long as the hospital are quick.
Anybody have any advice on how to deal with it? It's difficult because she tears up at the very mention of it.</t>
        </is>
      </c>
      <c r="D10091" t="n">
        <v>1</v>
      </c>
      <c r="E10091" t="n">
        <v>15</v>
      </c>
      <c r="F10091">
        <f>HYPERLINK("https://www.reddit.com/r/cancer/comments/hjuuea/how_to_tell_mum_that_everything_will_be_okay/")</f>
        <v/>
      </c>
      <c r="G10091" t="inlineStr">
        <is>
          <t>2020-07-02 03:50:22</t>
        </is>
      </c>
      <c r="H10091" t="inlineStr"/>
    </row>
    <row r="10092">
      <c r="A10092" t="inlineStr">
        <is>
          <t>hjwbb9</t>
        </is>
      </c>
      <c r="B10092" t="inlineStr">
        <is>
          <t>My mum has been diagnosed with stage 3 colorectal cancer</t>
        </is>
      </c>
      <c r="C10092" t="inlineStr">
        <is>
          <t>My mother (59/F) went for a colonoscopy, MRI scans and got a biopsy.
Unfortunately, the growth found in her colon is cancerous and it has spread to the lymph nodes surrounding near the colon. 
I’m crestfallen, awfully heartbroken and angry. I kept beating myself for not bidding her to go for routine checks which may have prevented this.
I will like to find out what can I expect from here on. She’s being positive but I can tell that she’s feeling alone and depressed.
I’ve heard from my friends and relatives that after chemoradiotherapy and surgery to remove the cancer, my mother will have mood swings, be emotional and depressed. What should I expect? What are the odds of survival? Does cancer come back most of the time?
The doctor / surgeon mentioned that he is optimistic about the treatment which gives me hope. He mentioned that he could have chosen a surgery without chemoradiotherapy but the lymph nodes that could be cancerous is too close to her backbone so even if he surgically removes that area, the cancer may come back in future. So he advised that my mum should go through chemoradiotherapy to shrink the lymph nodes and perform the surgery thereafter to completely remove the cancer. At the same time, I’ve read stories of how state 3 may move to stage 4 quickly. I just can’t handle it at the moment.
She’s the queen of my heart. My dad committed suicide when I was 12. She has supported my younger brother and I, she brought us up by herself for 17 years. She cooks meals for us, takes care of the household and manages the finances when we were children. She took on both the role of a father and a mother. She’s a supermom. She’s strong and independent. I will never let this cancer take her away.</t>
        </is>
      </c>
      <c r="D10092" t="n">
        <v>1</v>
      </c>
      <c r="E10092" t="n">
        <v>23</v>
      </c>
      <c r="F10092">
        <f>HYPERLINK("https://www.reddit.com/r/cancer/comments/hjwbb9/my_mum_has_been_diagnosed_with_stage_3_colorectal/")</f>
        <v/>
      </c>
      <c r="G10092" t="inlineStr">
        <is>
          <t>2020-07-02 05:43:17</t>
        </is>
      </c>
      <c r="H10092" t="inlineStr"/>
    </row>
    <row r="10093">
      <c r="A10093" t="inlineStr">
        <is>
          <t>hjxqzz</t>
        </is>
      </c>
      <c r="B10093" t="inlineStr">
        <is>
          <t>I’m starting to show many signs of oral cancer, I am afraid it may have spread to the lungs</t>
        </is>
      </c>
      <c r="C10093" t="inlineStr">
        <is>
          <t>A lump formed on the roof of my mouth and I am scared shitless that it may have spread to my lungs. I still haven’t gone to get it checked out and am also scared that I may just be freaking out over nothing. My left jaw has been having problems and I am realizing now that I am showing most signs of it. I am only 19 but have been smoking (not consistently and mostly cigars) for five years. I am just wondering if anyone else has had this kind of cancer and if so what are the chances of it already being in the lung?</t>
        </is>
      </c>
      <c r="D10093" t="n">
        <v>1</v>
      </c>
      <c r="E10093" t="n">
        <v>5</v>
      </c>
      <c r="F10093">
        <f>HYPERLINK("https://www.reddit.com/r/cancer/comments/hjxqzz/im_starting_to_show_many_signs_of_oral_cancer_i/")</f>
        <v/>
      </c>
      <c r="G10093" t="inlineStr">
        <is>
          <t>2020-07-02 07:13:17</t>
        </is>
      </c>
      <c r="H10093" t="inlineStr"/>
    </row>
    <row r="10094">
      <c r="A10094" t="inlineStr">
        <is>
          <t>hjytj6</t>
        </is>
      </c>
      <c r="B10094" t="inlineStr">
        <is>
          <t>FOLFOX and Neuropathy</t>
        </is>
      </c>
      <c r="C10094" t="inlineStr">
        <is>
          <t>What's your experience with neuropathy during and after treatment with FOLFOX?
37m Stage IV colon cancer. Just had round 8 of FOLFOX + Vectibix. I'm noticing my fingers and toes are puffy, numb, and tingly. Kinda like when you go on a long walk and your fingers puff up from swinging at your sides.
How bad has it gotten for you? If you've been off FOLFOX, did your fingers/toes return to normal?</t>
        </is>
      </c>
      <c r="D10094" t="n">
        <v>1</v>
      </c>
      <c r="E10094" t="n">
        <v>8</v>
      </c>
      <c r="F10094">
        <f>HYPERLINK("https://www.reddit.com/r/cancer/comments/hjytj6/folfox_and_neuropathy/")</f>
        <v/>
      </c>
      <c r="G10094" t="inlineStr">
        <is>
          <t>2020-07-02 08:14:07</t>
        </is>
      </c>
      <c r="H10094" t="inlineStr"/>
    </row>
    <row r="10095">
      <c r="A10095" t="inlineStr">
        <is>
          <t>hk0gew</t>
        </is>
      </c>
      <c r="B10095" t="inlineStr">
        <is>
          <t>Father was recently diagnoses with cancer, it's in the medium, but low end of the medium category, me and my sister know, he told me first, then my sister a week later, he got results a few days ago to confirm it was cancer, currently he plans not to tell our other younger (adult) brothers... advice</t>
        </is>
      </c>
      <c r="C10095" t="inlineStr">
        <is>
          <t>His view on not telling them is that because in recent years they have not made the effort in seeing him he has wished for them to make, since they are now adults, he doesn't want them coming to see him more often solely on the reason that he has cancer.
My view is, as much as they probably should have made more of an effort in recent years to come around and visit him, they are in their late teens, early 20s and maybe just feel they have all the time in the world to focus on the relationship with their Dad.
I do side with my old man in respect to I feel they should make more effort in their relationship with their Dad, but don't feel this is a good enough reason alone not to tell them.
I feel we should not expect those who are younger to make the right decision when we who are older, are not doing ourselves.
I also feel somewhat obligated as my sister does not agree with me on this, she feels they should want to see my Dad despite the fact he has cancer so she has no motivation to let them know.
I don't want to tell them if my Dad doesn't want them to know.
But so far, I know, my Dad's gf knows, my gf knows, my sister knows, my sister's husband knows, and a friend of my Dad's know and also a mutual person knows, a Dr who is a friend of me and my sister. 
I don't think my brothers would find out through the grapevine but it's becoming a possibility now and another reason to maybe tell our two brothers now before they hear the news from some friend of a friend.
But with my sister siding with my Dad, which I believe is a decision based mostly on pride, not from an altruistic intention, and without any of my half sisters to talk to about this due to so far, it seeming like it's something he wants to keep private.
&amp;amp;#x200B;
I am curious to some ideas on how to navigate this and what maybe others are doing and challenges you are facing that maybe similar to this.
&amp;amp;#x200B;
Anyway, i hope it's okay to post this here, if not let me know and i will find another sub to post it.
Thanks :-)</t>
        </is>
      </c>
      <c r="D10095" t="n">
        <v>1</v>
      </c>
      <c r="E10095" t="n">
        <v>5</v>
      </c>
      <c r="F10095">
        <f>HYPERLINK("https://www.reddit.com/r/cancer/comments/hk0gew/father_was_recently_diagnoses_with_cancer_its_in/")</f>
        <v/>
      </c>
      <c r="G10095" t="inlineStr">
        <is>
          <t>2020-07-02 09:43:10</t>
        </is>
      </c>
      <c r="H10095" t="inlineStr"/>
    </row>
    <row r="10096">
      <c r="A10096" t="inlineStr">
        <is>
          <t>hk3nz6</t>
        </is>
      </c>
      <c r="B10096" t="inlineStr">
        <is>
          <t>Tightness in throat</t>
        </is>
      </c>
      <c r="C10096" t="inlineStr">
        <is>
          <t>Hello, I am an 18 yr old male and the last few months I have been noticing some tightness or some kind of choking feeling in my throat/neck. In the left corner below my jaw I have also noticed a swollen lymph node around where the tight feeling is. My left ear has also seemed achey and full recently. I may also have Lpr or gerd and I do have health anxiety. I am wondering if this sounds more like a reflux problem or something more serious like a lymphoma or maybe something else. Please help if you can relate!</t>
        </is>
      </c>
      <c r="D10096" t="n">
        <v>1</v>
      </c>
      <c r="E10096" t="n">
        <v>7</v>
      </c>
      <c r="F10096">
        <f>HYPERLINK("https://www.reddit.com/r/cancer/comments/hk3nz6/tightness_in_throat/")</f>
        <v/>
      </c>
      <c r="G10096" t="inlineStr">
        <is>
          <t>2020-07-02 12:32:24</t>
        </is>
      </c>
      <c r="H10096" t="inlineStr"/>
    </row>
    <row r="10097">
      <c r="A10097" t="inlineStr">
        <is>
          <t>hk7zol</t>
        </is>
      </c>
      <c r="B10097" t="inlineStr">
        <is>
          <t>The immunotherapy seems to be killing her</t>
        </is>
      </c>
      <c r="C10097" t="inlineStr">
        <is>
          <t>I am looking for some hope and positivity. My poor best friend of 18 years is only 30 and was told last year she had one year to live, stage 4 cancer. She was very fit, healthy, did a heck of a lot more diet and exercise than me. Diagnosis came very suddenly after the birth of her baby. She barely had symptoms. She has two babies and her husband. 
She felt and looked fine. Then tried platinum chemo and none of it worked, around the 5th cycle she started to become very weak. Her doctor then told her to continue to cycle 7. She did this and she really went down hill and became poorly. Since this didn't work she would have no other options and now was palliative. She could not accept this and neither could we.
We did crowdfunding and the nhs hospital agreed to try immunotherapy on a private basis based on research and the therapy working in her type of cancer. She had her second cycle of immunotherapy a few weeks ago and it's honestly like it's destroying her :(. 
She is in absolute agony, screaming pain. She can't get out of bed, can't look after the kids and is only awake maybe 3 hours per day. Thankfully her family have her, the kids and husband staying with them for care and support  She is barely eating as she has no appetite, wasting away. She has tried everything from opiates, tramadol, ketamine, gabapentin to the traditional aspirin, ibuprofen and tramadol! Nothing is working :(. She can barely move it is just so hard to watch. I have a gut feeling that this is all really bad signs and that we are losing her. Her family are still saying the therapy will work etc but i'm just not sure anymore. 
Does anyone have any positive, hopeful stories? I know everyone's journey is unique but even just some words of wisdom.</t>
        </is>
      </c>
      <c r="D10097" t="n">
        <v>1</v>
      </c>
      <c r="E10097" t="n">
        <v>47</v>
      </c>
      <c r="F10097">
        <f>HYPERLINK("https://www.reddit.com/r/cancer/comments/hk7zol/the_immunotherapy_seems_to_be_killing_her/")</f>
        <v/>
      </c>
      <c r="G10097" t="inlineStr">
        <is>
          <t>2020-07-02 16:25:41</t>
        </is>
      </c>
      <c r="H10097" t="inlineStr"/>
    </row>
    <row r="10098">
      <c r="A10098" t="inlineStr">
        <is>
          <t>hk8zsy</t>
        </is>
      </c>
      <c r="B10098" t="inlineStr">
        <is>
          <t>First CT scan since that traumatic day</t>
        </is>
      </c>
      <c r="C10098" t="inlineStr">
        <is>
          <t>Back in December, near the end of the month, I had a colonoscopy due to abnormally low blood levels, and was devastated when the Dr told me they found what looks like a cancerous mass in my colon. He says, "unfortunately you have colon cancer". I'll never forget that. During the colonoscopy they took a biopsy, and he said it's pretty much conclusive among all the doctors you have cancer. After that stunning news, I had to take a ct scan and, and luckily nothing else suspicious was detected.
The best case scenario came 3 weeks later, the evening I left the hospital after a week in a hospital room following surgery. The surgeon called and said, I have fantastic news, all lymph nodes came back clear, you were at stage 1, and now you're cancer free. They did find a few small legions on my liver and on my lungs but were too small to take it seriously then. I was told I'd need a colonoscopy after 1 year and ct scans every 7-12 months. 
My first ct scan since Dec is scheduled for Jul 13th. During my last followup with my surgeon, he seemed surprised that I was already scheduled for a CT scan. He figured it would be after 1 year. My oncologist referred the CT scan appointment. 
Is it too soon for my first ct scan? How unhealthy or dangerous is the radiation from the scan? I was also told it would be an abdomen pelvis w/ contrast. Sorry, dumb question: will this detect the colon, liver and lungs?  The last time I took a CT scan, I was understandably upset and angry, just after being blindsided by a colon cancer diagnosis. I imagine I'll have scanxiety as the day gets closer. Any other info or insight would be greatly appreciated!</t>
        </is>
      </c>
      <c r="D10098" t="n">
        <v>1</v>
      </c>
      <c r="E10098" t="n">
        <v>8</v>
      </c>
      <c r="F10098">
        <f>HYPERLINK("https://www.reddit.com/r/cancer/comments/hk8zsy/first_ct_scan_since_that_traumatic_day/")</f>
        <v/>
      </c>
      <c r="G10098" t="inlineStr">
        <is>
          <t>2020-07-02 17:25:37</t>
        </is>
      </c>
      <c r="H10098" t="inlineStr"/>
    </row>
    <row r="10099">
      <c r="A10099" t="inlineStr">
        <is>
          <t>hk9js8</t>
        </is>
      </c>
      <c r="B10099" t="inlineStr">
        <is>
          <t>What kind of pain does cancer have? Sharp? Dull? Achy?</t>
        </is>
      </c>
      <c r="C10099" t="inlineStr">
        <is>
          <t>I’ve always wondered! What has your experience been?</t>
        </is>
      </c>
      <c r="D10099" t="n">
        <v>1</v>
      </c>
      <c r="E10099" t="n">
        <v>9</v>
      </c>
      <c r="F10099">
        <f>HYPERLINK("https://www.reddit.com/r/cancer/comments/hk9js8/what_kind_of_pain_does_cancer_have_sharp_dull_achy/")</f>
        <v/>
      </c>
      <c r="G10099" t="inlineStr">
        <is>
          <t>2020-07-02 17:59:57</t>
        </is>
      </c>
      <c r="H10099" t="inlineStr"/>
    </row>
    <row r="10100">
      <c r="A10100" t="inlineStr">
        <is>
          <t>hka0xf</t>
        </is>
      </c>
      <c r="B10100" t="inlineStr">
        <is>
          <t>Does anybody have issues getting a blood return on their port?</t>
        </is>
      </c>
      <c r="C10100" t="inlineStr">
        <is>
          <t>So I got my port put in for chemo in November 2019. Most of the time it works great. But every once in a while, they just can’t get a blood return on it. 
I’ll get bloodwork done in the morning and everything will be fine, it’ll be fine at the start of chemo, but when they go to de-access my port after chemo they won’t get a blood return. 
I try everything- sitting back, leaning forward, raising my arm, turning my head, taking a deep breath, coughing, etc. and nothing works. I had a CT scan today and they had to start an IV in my arm because they couldn’t get a blood return, even though they did 30 min. Earlier at the end of chemo. 
Does anyone else have this issue, and if so is there a way to fix it? They have done scans and it is not a blood clot. Thanks for any input you have!</t>
        </is>
      </c>
      <c r="D10100" t="n">
        <v>1</v>
      </c>
      <c r="E10100" t="n">
        <v>12</v>
      </c>
      <c r="F10100">
        <f>HYPERLINK("https://www.reddit.com/r/cancer/comments/hka0xf/does_anybody_have_issues_getting_a_blood_return/")</f>
        <v/>
      </c>
      <c r="G10100" t="inlineStr">
        <is>
          <t>2020-07-02 18:29:47</t>
        </is>
      </c>
      <c r="H10100" t="inlineStr"/>
    </row>
    <row r="10101">
      <c r="A10101" t="inlineStr">
        <is>
          <t>hkbw5m</t>
        </is>
      </c>
      <c r="B10101" t="inlineStr">
        <is>
          <t>Looking for a bone marrow donor</t>
        </is>
      </c>
      <c r="C10101" t="inlineStr">
        <is>
          <t>Hi one of  my friends suffering from ALL (acute lymphoblastic leukemia), It has been 7 months now and doctors are unable to find a bone marrow donor in USA. The doctors can't say how long will it take to find a match. If you guys can say any good websites for bone marrow match or if anyone could give me a suggestion or share their experiences then it would be helpful.</t>
        </is>
      </c>
      <c r="D10101" t="n">
        <v>1</v>
      </c>
      <c r="E10101" t="n">
        <v>5</v>
      </c>
      <c r="F10101">
        <f>HYPERLINK("https://www.reddit.com/r/cancer/comments/hkbw5m/looking_for_a_bone_marrow_donor/")</f>
        <v/>
      </c>
      <c r="G10101" t="inlineStr">
        <is>
          <t>2020-07-02 20:34:38</t>
        </is>
      </c>
      <c r="H10101" t="inlineStr"/>
    </row>
    <row r="10102">
      <c r="A10102" t="inlineStr">
        <is>
          <t>hkfhjp</t>
        </is>
      </c>
      <c r="B10102" t="inlineStr">
        <is>
          <t>Dad won't be around much longer</t>
        </is>
      </c>
      <c r="C10102" t="inlineStr">
        <is>
          <t>So he was told he has 12-18 months left,  that was 12 months ago now. Bowel cancer that spread to he's liver. I understand that he won't be around much longer, but in a nut shell I want to do something nice for him while he's here. We where organising a family holiday, 1 last one with him but he's too sick and I dare say he won't make it took the end of year. I'm just asking for ideas, anything would be good. He's a huge star trek fan of that helps at all</t>
        </is>
      </c>
      <c r="D10102" t="n">
        <v>1</v>
      </c>
      <c r="E10102" t="n">
        <v>4</v>
      </c>
      <c r="F10102">
        <f>HYPERLINK("https://www.reddit.com/r/cancer/comments/hkfhjp/dad_wont_be_around_much_longer/")</f>
        <v/>
      </c>
      <c r="G10102" t="inlineStr">
        <is>
          <t>2020-07-03 01:36:38</t>
        </is>
      </c>
      <c r="H10102" t="inlineStr"/>
    </row>
    <row r="10103">
      <c r="A10103" t="inlineStr">
        <is>
          <t>hkg2ed</t>
        </is>
      </c>
      <c r="B10103" t="inlineStr">
        <is>
          <t>Male breast cancer</t>
        </is>
      </c>
      <c r="C10103" t="inlineStr">
        <is>
          <t>How long does it grow before you know its there? Does it change a part of the nipple of the infected side to a blueish color? And can it not cause pain?</t>
        </is>
      </c>
      <c r="D10103" t="n">
        <v>1</v>
      </c>
      <c r="E10103" t="n">
        <v>1</v>
      </c>
      <c r="F10103">
        <f>HYPERLINK("https://www.reddit.com/r/cancer/comments/hkg2ed/male_breast_cancer/")</f>
        <v/>
      </c>
      <c r="G10103" t="inlineStr">
        <is>
          <t>2020-07-03 02:30:53</t>
        </is>
      </c>
      <c r="H10103" t="inlineStr"/>
    </row>
    <row r="10104">
      <c r="A10104" t="inlineStr">
        <is>
          <t>hkiriw</t>
        </is>
      </c>
      <c r="B10104" t="inlineStr">
        <is>
          <t>Just found out my (24f) mum (62f) has cancer</t>
        </is>
      </c>
      <c r="C10104" t="inlineStr">
        <is>
          <t>I live 10 hours away from home and just found out mum has cancer. I don't know what to do.
My mum is quite a negative person so I've decided to distance myself from her after high school. I moved away from home to go to college and has never really been in touch besides occasional texting and visiting my family once a year.
My parents don't get along very well that's why I despise them and haven't been close to them. The news has come as a shock to me and I don't know what to do.
I'm still in denial. I'm confused, sad, regretful and for whatever reason a bit angry.
What should I do now</t>
        </is>
      </c>
      <c r="D10104" t="n">
        <v>1</v>
      </c>
      <c r="E10104" t="n">
        <v>1</v>
      </c>
      <c r="F10104">
        <f>HYPERLINK("https://www.reddit.com/r/cancer/comments/hkiriw/just_found_out_my_24f_mum_62f_has_cancer/")</f>
        <v/>
      </c>
      <c r="G10104" t="inlineStr">
        <is>
          <t>2020-07-03 06:09:10</t>
        </is>
      </c>
      <c r="H10104" t="inlineStr"/>
    </row>
    <row r="10105">
      <c r="A10105" t="inlineStr">
        <is>
          <t>hklxmb</t>
        </is>
      </c>
      <c r="B10105" t="inlineStr">
        <is>
          <t>More good news guys!</t>
        </is>
      </c>
      <c r="C10105" t="inlineStr">
        <is>
          <t>Posted here before, maybe the mods can link. 
Back in March my boyfriend was diagnosed with Stage 4 terminal colorectal and liver cancer with tumors that were in the 8-11mm range. He has since done 6 rounds of chemo (IV plus one week pills, one week off). 
His CEA numbers shot way up from 600 range at diagnosis to 3300 range and the doctors were concerned that they may have missed cancer somewhere else. They did another scan and thankfully he is clear everywhere else, his tumors have shrunk, and the CEA levels (as hoped) were due to cancer cells dying off. They also increased his chemo treatment because he was handling it so well.
He is no longer considered terminal as they now can operate due to the tumors shrinking away from the important arteries. Next up is two more rounds of chemo (just had his infusion for first of the two yesterday) and then planning for surgery. 
Still trying to wrap my head and heart around this.... It helps to share with all of you. I hope you keep the faith and hope alive. Always thinking of you all. Stay positive fellow troopers!</t>
        </is>
      </c>
      <c r="D10105" t="n">
        <v>43</v>
      </c>
      <c r="E10105" t="n">
        <v>56</v>
      </c>
      <c r="F10105">
        <f>HYPERLINK("https://www.reddit.com/r/cancer/comments/hklxmb/more_good_news_guys/")</f>
        <v/>
      </c>
      <c r="G10105" t="inlineStr">
        <is>
          <t>2020-07-03 09:18:04</t>
        </is>
      </c>
      <c r="H10105" t="inlineStr"/>
    </row>
    <row r="10106">
      <c r="A10106" t="inlineStr">
        <is>
          <t>hkmag4</t>
        </is>
      </c>
      <c r="B10106" t="inlineStr">
        <is>
          <t>My grandma got 4-6 months. Any advice?</t>
        </is>
      </c>
      <c r="C10106" t="inlineStr">
        <is>
          <t>The short of it is she's 90 and doesn't want to go through treatment, especially since she's stage 4.
I knew she had cancer, but yesterday is when I got the call about how severe it is and how long she has left.
I plan on taking off work and making the 9 hour drive to go see her at some point soon, but emotionally I'm at a loss. Since that phone call I've just felt numb. No crying, just numbness. I felt this same way last year when my grandfather was passing in hospice.
Besides talking to a therapist, does anyone have any advice for coping with this sort of thing? Is the numbness an okay emotion or am I really just holding everything in?</t>
        </is>
      </c>
      <c r="D10106" t="n">
        <v>1</v>
      </c>
      <c r="E10106" t="n">
        <v>4</v>
      </c>
      <c r="F10106">
        <f>HYPERLINK("https://www.reddit.com/r/cancer/comments/hkmag4/my_grandma_got_46_months_any_advice/")</f>
        <v/>
      </c>
      <c r="G10106" t="inlineStr">
        <is>
          <t>2020-07-03 09:37:43</t>
        </is>
      </c>
      <c r="H10106" t="inlineStr"/>
    </row>
    <row r="10107">
      <c r="A10107" t="inlineStr">
        <is>
          <t>hkn35q</t>
        </is>
      </c>
      <c r="B10107" t="inlineStr">
        <is>
          <t>Husbands hair growing in white after chemo</t>
        </is>
      </c>
      <c r="C10107" t="inlineStr">
        <is>
          <t>My husband is only 25. He started chemo this winter and as his hair was falling out, I noticed his beard was turning white. He has dark hair and skin and is of Mediterranean descent. His family did not develop white or grey hair until they were really old. 
His mustache and beard are starting to grow back in, it appears they’re growing in white. Like, bleach white. Some dark hairs mixed in. He isn’t bothered by it and I just find it strange. Any reasoning behind this?</t>
        </is>
      </c>
      <c r="D10107" t="n">
        <v>3</v>
      </c>
      <c r="E10107" t="n">
        <v>12</v>
      </c>
      <c r="F10107">
        <f>HYPERLINK("https://www.reddit.com/r/cancer/comments/hkn35q/husbands_hair_growing_in_white_after_chemo/")</f>
        <v/>
      </c>
      <c r="G10107" t="inlineStr">
        <is>
          <t>2020-07-03 10:22:24</t>
        </is>
      </c>
      <c r="H10107" t="inlineStr"/>
    </row>
    <row r="10108">
      <c r="A10108" t="inlineStr">
        <is>
          <t>hknbr6</t>
        </is>
      </c>
      <c r="B10108" t="inlineStr">
        <is>
          <t>Am I “allowed” to cry in front of my mom?</t>
        </is>
      </c>
      <c r="C10108" t="inlineStr">
        <is>
          <t>Mom’s stage 4 metaplastic breast cancer/sarcoma has now moved to her brain. We were having success with treating the lung spots. But obviously it moving to the brain is a different beast. I’m 23 and have been a caretaker for my mom along with my Dad for the past year. I haven’t cried in front of her through all the chemo, radiation, or surgeries. But now she’s getting her things in order. Picking out poems. Packing away clothes. 
I’ve been trying not to cry in front of her because I don’t want to scare her or make her think I’m not strong. If you’re a terminal cancer patient: how do you react when people cry in front of you?</t>
        </is>
      </c>
      <c r="D10108" t="n">
        <v>7</v>
      </c>
      <c r="E10108" t="n">
        <v>16</v>
      </c>
      <c r="F10108">
        <f>HYPERLINK("https://www.reddit.com/r/cancer/comments/hknbr6/am_i_allowed_to_cry_in_front_of_my_mom/")</f>
        <v/>
      </c>
      <c r="G10108" t="inlineStr">
        <is>
          <t>2020-07-03 10:35:23</t>
        </is>
      </c>
      <c r="H10108" t="inlineStr"/>
    </row>
    <row r="10109">
      <c r="A10109" t="inlineStr">
        <is>
          <t>hkojg6</t>
        </is>
      </c>
      <c r="B10109" t="inlineStr">
        <is>
          <t>A poem about my cancer (27m)</t>
        </is>
      </c>
      <c r="C10109" t="inlineStr">
        <is>
          <t>I’ll go down to the dance floor, it’s my turn right now
Ready to dance! But I’ll never get my chance
Sucked into this black hole, darkness everywhere!
There is no one around me! No one is playing it fair
Twice I’ve been down here now, twice I’ve been pulled from my ground
I want to swing my hands, lift my feet up high but I’ve been bound
The seasons pass me by, like the breezing wind they fly
Still I sit here looking for a fix, poor old patient number five thirty six
Will I get my time again on the floor? I guess I’ll just see myself out the door
If only I could dance to one more song! Just one more song with you</t>
        </is>
      </c>
      <c r="D10109" t="n">
        <v>1</v>
      </c>
      <c r="E10109" t="n">
        <v>0</v>
      </c>
      <c r="F10109">
        <f>HYPERLINK("https://www.reddit.com/r/cancer/comments/hkojg6/a_poem_about_my_cancer_27m/")</f>
        <v/>
      </c>
      <c r="G10109" t="inlineStr">
        <is>
          <t>2020-07-03 11:44:35</t>
        </is>
      </c>
      <c r="H10109" t="inlineStr"/>
    </row>
    <row r="10110">
      <c r="A10110" t="inlineStr">
        <is>
          <t>hkpydr</t>
        </is>
      </c>
      <c r="B10110" t="inlineStr">
        <is>
          <t>My grandmas been denied chemo because shes to weak and is turning into a stick. Can she be saved?</t>
        </is>
      </c>
      <c r="C10110" t="inlineStr">
        <is>
          <t>Is there really a oil, superfood or herb out there that buy her time? She has stage 3 cervical cancer.</t>
        </is>
      </c>
      <c r="D10110" t="n">
        <v>1</v>
      </c>
      <c r="E10110" t="n">
        <v>2</v>
      </c>
      <c r="F10110">
        <f>HYPERLINK("https://www.reddit.com/r/cancer/comments/hkpydr/my_grandmas_been_denied_chemo_because_shes_to/")</f>
        <v/>
      </c>
      <c r="G10110" t="inlineStr">
        <is>
          <t>2020-07-03 13:06:16</t>
        </is>
      </c>
      <c r="H10110" t="inlineStr"/>
    </row>
    <row r="10111">
      <c r="A10111" t="inlineStr">
        <is>
          <t>hkru0i</t>
        </is>
      </c>
      <c r="B10111" t="inlineStr">
        <is>
          <t>The Covid Excuse?</t>
        </is>
      </c>
      <c r="C10111" t="inlineStr">
        <is>
          <t xml:space="preserve"> 
Hope you are continuing to use caution and social distancing during the pandemic – it’s still amongst us, so don’t forget that some people are more vulnerable to the virus’ serious consequences.
One thing I am enjoying during this isolation is having doctor appointments by phone (at least for now, until physicals are required). No traffic, no searching for parking, no waiting!
My annual scan was due around June, and my surgeon called me to check in. He is working at the hospital, but we did our annual on the phone. This is what he told me…
He asked me how I was feeling and if I had concerning symptoms.
“All is status quo.”
Then he told me he felt that we should not continue having scans annually. At this point in my recovery, cancer could begin anywhere, and would not necessarily be related.
I’m not sure how I felt about not having that proof of remission – even after 16 years, but this is how I replied… “Well, the scan is for the thorax and abdomen. If something was starting in my brain or elsewhere, we wouldn’t know.” So in one way I agreed to avoid the radiation, on the other, I wonder whether my anxiety and fears will begin to escalate anew as time passes.
We exchanged pleasantries and I asked him a few questions I always forgot when I saw him at his office. For example, sometimes when I bend over to put on my shoes, I get an excruciating pain on the left side of my abdomen where my intestines are concentrated now. He told me it’s normal because they simply get scrunched together. It’s not dangerous, but you can’t imagine the agony in that 30 seconds or so until they become undone.
Even though he tells me we would continue our annual checkups (well, that’s what I thought he said) and my family doctor should be seen regularly and for important concerns (I do see an endocrinologist often for calcium deficiency that is difficult to handle), I pray this decision would not be to my detriment. Will we miss something new? Will I have more time to prove the statistics wrong? Will I be around to share in my daughter’s life for decades to come?
Have any of you been told by your doctors that they will no longer have cancer screening done? How do you feel about it? What are you doing to keep your health in check?
Looking forward to hearing your feedback…</t>
        </is>
      </c>
      <c r="D10111" t="n">
        <v>2</v>
      </c>
      <c r="E10111" t="n">
        <v>2</v>
      </c>
      <c r="F10111">
        <f>HYPERLINK("https://www.reddit.com/r/cancer/comments/hkru0i/the_covid_excuse/")</f>
        <v/>
      </c>
      <c r="G10111" t="inlineStr">
        <is>
          <t>2020-07-03 14:58:18</t>
        </is>
      </c>
      <c r="H10111" t="inlineStr"/>
    </row>
    <row r="10112">
      <c r="A10112" t="inlineStr">
        <is>
          <t>hks3xa</t>
        </is>
      </c>
      <c r="B10112" t="inlineStr">
        <is>
          <t>The Cancer Cocktail: Gut Dysbiosis, Inflammation, and Poor Immune Function</t>
        </is>
      </c>
      <c r="C10112" t="inlineStr">
        <is>
          <t>Did you know that your risk for cancer (and your path to healing) is connected to the health of your gut microbiome and your metabolism?  Did you realize that immunosuppressive drugs put you at an increased risk for cancer?  Learn more about why Dr. Nasha calls gut dysbiosis, inflammation, and poor immune function the "cancer trifecta" and hear recommendations on how to deal with a cancer diagnosis on the most recent episode of the Perfect Stool podcast with host Lindsey Parsons, EdD at: [https://link.chtbl.com/theperfectstool-Reddit](https://link.chtbl.com/theperfectstool-Reddit)
https://reddit.com/link/hks3xa/video/4y5ruzhavp851/player</t>
        </is>
      </c>
      <c r="D10112" t="n">
        <v>0</v>
      </c>
      <c r="E10112" t="n">
        <v>2</v>
      </c>
      <c r="F10112">
        <f>HYPERLINK("https://www.reddit.com/r/cancer/comments/hks3xa/the_cancer_cocktail_gut_dysbiosis_inflammation/")</f>
        <v/>
      </c>
      <c r="G10112" t="inlineStr">
        <is>
          <t>2020-07-03 15:15:06</t>
        </is>
      </c>
      <c r="H10112" t="inlineStr"/>
    </row>
    <row r="10113">
      <c r="A10113" t="inlineStr">
        <is>
          <t>hks4m0</t>
        </is>
      </c>
      <c r="B10113" t="inlineStr">
        <is>
          <t>Numbness and anticipatory grief</t>
        </is>
      </c>
      <c r="C10113" t="inlineStr">
        <is>
          <t>My dad is likely dying soon of advanced liver cancer with mets.  He’s in the hospital because his lymph nodes are so swollen, he can’t pass food through his stomach.  He’s got an NG tube for 5 days waiting for a stent that may let us get him home to die.
I’m so numb.  Don’t know how to survive this.  Is numbness normal?</t>
        </is>
      </c>
      <c r="D10113" t="n">
        <v>3</v>
      </c>
      <c r="E10113" t="n">
        <v>1</v>
      </c>
      <c r="F10113">
        <f>HYPERLINK("https://www.reddit.com/r/cancer/comments/hks4m0/numbness_and_anticipatory_grief/")</f>
        <v/>
      </c>
      <c r="G10113" t="inlineStr">
        <is>
          <t>2020-07-03 15:16:15</t>
        </is>
      </c>
      <c r="H10113" t="inlineStr"/>
    </row>
    <row r="10114">
      <c r="A10114" t="inlineStr">
        <is>
          <t>hksaqs</t>
        </is>
      </c>
      <c r="B10114" t="inlineStr">
        <is>
          <t>I'm (26M) dating with incurable cancer for the first time in 10 years. Help!</t>
        </is>
      </c>
      <c r="C10114" t="inlineStr">
        <is>
          <t>Heads up, I've posted this previously on r/datingadvice but I wanted some feedback from people with, or who've had, cancer. Or even people who are close to cancer in some way. I hope this is OK.
I've made a burner account for this question as I'm not comfortable with this coming from my main account. So here goes. I'm a 26 year old male with incurable cancer (thymoma if anyone's interested) that will probably kill me in less than ten years, although my oncologist thinks it's possible that I could live longer. I've had cancer since I was 20 and aside from a great big scar going down my chest you would never know. (I've never had chemo and I've tried to keep my diagnosis a secret to everyone but a few close friends. I've never posted on social media about it ever etc. It didn't work, people talked and a lot of people found out, but very very few people know about my current prognosis. When people ask me about my cancer *now* I tell them it's gone. But back to that later.)
All of this presents a problem because for a host of different reasons I'm starting to think about dating again for the first time in a LONG time. 
Now, I haven't had a girlfriend in ten years. Not that I haven't had some female interest (I'm not 'ugly' by most people's standards) but in between my illnesses (my cancer gave me a disease called Myasthenia Gravis, and the medication for my MG means I've developed pretty severe diverticular disease, so I'll be having an ostomy bag fitted as soon as the pandemic calms down and it's safe to have the operation. Sexy!) and health problems, attempts to pursue a career and maintain some time for myself, intimacy and relationships have kind of taken a back seat. (Big surprise there, I'm sure.) 
Now this might sound odd but I've mostly been pretty relaxed about my lack of sex and dating. I'm supremely comfortable with my own company, I enjoy having 100% control of what I do, and tbqh I've not felt like I've missed out on much by not dating. (I appreciate I'm pretty uncommon in this respect). I see quite a few relationships up close and aside from the occasional bout of self pity, I almost never envy them. If anything, I find the lack of freedom that comes with a relationship incredibly daunting. But, I digress. 
As I re-emerge onto the dating scene, it has inevitably come to my attention that I don't have the faintest clue about what I'm doing. I haven't done this in years, and *never* as an adult. I've never used a dating app or even been on a date that wasn't as a teenager. I don't know where to start, and that's without including my illnesses which complicate things immeasurably. 
For starters, I'm still not prepared to be completely open about either my cancer or the fact it's incurable. It will always be something I divulge on a case by case basis. This is pretty non negotiable. My other health problems are more visible, however, as I have to take daily medications, so I won't be able to keep that a secret. 
I obviously won't be putting my cancer on my dating profiles, as that would make it public knowledge, but I'm completely clueless as to when would be a good time to tell the other person. I just don't know what's reasonable. I'd be VERY reluctant to mention it early on incase it a) put them off or b) it didn't work out and then they know I have cancer and have no obligation to keep a secret for a guy they dated once or twice. 
However, I don't want to date someone that will later be put off or offended by the fact I didn't tell them. (Hard to remedy, I know.) I'm not stupid, I know dating someone like me is a big deal. There's all sorts of stuff to take into account when dating a guy who probably won't make middle age. My illness might deteriorate, and there's usually a few hospital admissions a year to deal with. Of course, a lot of stuff is immediately off the table, like having a family and Growing Old Together. (Chemotherapy, when I have it, will make me infertile.) But despite these things I really, really don't want to be up front about it. But that feels very manipulative at the same time, which I don't want to be. I really need some advice and I don't know anyone who is in a similar situation, so I'd really appreciate some outside input here. 
So... 
What would your honest reaction be to someone telling you they had cancer after a few dates? Would you rather you got to know them first? Or would you be offended that you werent told straight away? Would you feel manipulated? How should I go about this dating thing?! 
TL:DR  I have incurable cancer and I'm looking to start dating again after 10 years. How should I go about it?</t>
        </is>
      </c>
      <c r="D10114" t="n">
        <v>7</v>
      </c>
      <c r="E10114" t="n">
        <v>7</v>
      </c>
      <c r="F10114">
        <f>HYPERLINK("https://www.reddit.com/r/cancer/comments/hksaqs/im_26m_dating_with_incurable_cancer_for_the_first/")</f>
        <v/>
      </c>
      <c r="G10114" t="inlineStr">
        <is>
          <t>2020-07-03 15:26:50</t>
        </is>
      </c>
      <c r="H10114" t="inlineStr"/>
    </row>
    <row r="10115">
      <c r="A10115" t="inlineStr">
        <is>
          <t>hkstge</t>
        </is>
      </c>
      <c r="B10115" t="inlineStr">
        <is>
          <t>Depressed Dad</t>
        </is>
      </c>
      <c r="C10115" t="inlineStr">
        <is>
          <t>My dad got diagnosed with stage 4 cancer in October, colon, lymph node, and liver with some cancer cells in his hip bones. He was told that he could never go into remission and that he will have chemo for the rest if his life. He has a colostomy bag from this diagnosis which he is very shameful of and cannot have much physical activity without feeling exhausted . He recently has been having severe pain in his stomach, but has had a brain scan and endoscopy to rule out further issues. My mother and I thing that his view on life has kept him from fighting and making him give up... which is making him sick. He apparently has nothing wrong with him, but is more ill than ever. He Zooms with a therapist sometimes but nothing seems to work. What can I do? How can I help him? I'm a 22 year old who has been looking for guidance, but don't know who to go to. I wish I could talk to someone who has gone through the same thing and can tell me what to do...</t>
        </is>
      </c>
      <c r="D10115" t="n">
        <v>2</v>
      </c>
      <c r="E10115" t="n">
        <v>3</v>
      </c>
      <c r="F10115">
        <f>HYPERLINK("https://www.reddit.com/r/cancer/comments/hkstge/depressed_dad/")</f>
        <v/>
      </c>
      <c r="G10115" t="inlineStr">
        <is>
          <t>2020-07-03 15:59:25</t>
        </is>
      </c>
      <c r="H10115" t="inlineStr"/>
    </row>
    <row r="10116">
      <c r="A10116" t="inlineStr">
        <is>
          <t>hksvfu</t>
        </is>
      </c>
      <c r="B10116" t="inlineStr">
        <is>
          <t>I made a subreddit specifically for women who have/had cancer</t>
        </is>
      </c>
      <c r="C10116" t="inlineStr">
        <is>
          <t>Hello ladies,
After seeing how there is little to no moderation in r/breastcancer, I decided to make a group for women that won't get bombarded with ads and people asking "my nipple itches, is it cancer?!". I called it r/CancerCoven . Feel free to join!</t>
        </is>
      </c>
      <c r="D10116" t="n">
        <v>8</v>
      </c>
      <c r="E10116" t="n">
        <v>8</v>
      </c>
      <c r="F10116">
        <f>HYPERLINK("https://www.reddit.com/r/cancer/comments/hksvfu/i_made_a_subreddit_specifically_for_women_who/")</f>
        <v/>
      </c>
      <c r="G10116" t="inlineStr">
        <is>
          <t>2020-07-03 16:02:58</t>
        </is>
      </c>
      <c r="H10116" t="inlineStr"/>
    </row>
    <row r="10117">
      <c r="A10117" t="inlineStr">
        <is>
          <t>hkswb8</t>
        </is>
      </c>
      <c r="B10117" t="inlineStr">
        <is>
          <t>HAIR GROWTH</t>
        </is>
      </c>
      <c r="C10117" t="inlineStr">
        <is>
          <t>Hey guys I have Stage 4 Hodgkins Lymphoma and am a 14 year old boy. I have one month of treatment left and I feel amazing and confident all is well. Throughout treatment I have lost most hair on my head but I still have a fuzzy patch over my head. As high school is starting for me I’m a little concerned of how long it will take my hair to grow back. Anyone have a timeline of their hair regrowth?</t>
        </is>
      </c>
      <c r="D10117" t="n">
        <v>4</v>
      </c>
      <c r="E10117" t="n">
        <v>7</v>
      </c>
      <c r="F10117">
        <f>HYPERLINK("https://www.reddit.com/r/cancer/comments/hkswb8/hair_growth/")</f>
        <v/>
      </c>
      <c r="G10117" t="inlineStr">
        <is>
          <t>2020-07-03 16:04:27</t>
        </is>
      </c>
      <c r="H10117" t="inlineStr"/>
    </row>
    <row r="10118">
      <c r="A10118" t="inlineStr">
        <is>
          <t>hkv1v8</t>
        </is>
      </c>
      <c r="B10118" t="inlineStr">
        <is>
          <t>An inevitable goodbye</t>
        </is>
      </c>
      <c r="C10118" t="inlineStr">
        <is>
          <t>How do I (25F) prepare to say good bye to my mom? 
Most days I hold back the tears and it’s becoming all I can think about... I’m not sure if it’s anxiety but I can literally feel that things are escalating and getting worse. My family doesn’t talk about these things so I have been holding in my feelings. 
I just need comfort.
Thank you</t>
        </is>
      </c>
      <c r="D10118" t="n">
        <v>3</v>
      </c>
      <c r="E10118" t="n">
        <v>16</v>
      </c>
      <c r="F10118">
        <f>HYPERLINK("https://www.reddit.com/r/cancer/comments/hkv1v8/an_inevitable_goodbye/")</f>
        <v/>
      </c>
      <c r="G10118" t="inlineStr">
        <is>
          <t>2020-07-03 18:33:20</t>
        </is>
      </c>
      <c r="H10118" t="inlineStr"/>
    </row>
    <row r="10119">
      <c r="A10119" t="inlineStr">
        <is>
          <t>hkw5wf</t>
        </is>
      </c>
      <c r="B10119" t="inlineStr">
        <is>
          <t>It still doesn't feel real..</t>
        </is>
      </c>
      <c r="C10119" t="inlineStr">
        <is>
          <t>A couple of years ago I lost my 'second mum' to cancer. She wasn't my actual mum - but my 'second mum' and 'biological mum' were best friends and me and my sister and my 'second mums' kids were all the best of friends growing up. (So basically I'm referring to the person that passed away as my second mum, Sorry if that sounds confusing but I'm trying not to mention any names so I've done my best haha).
We were always at each others houses for sleepovers, parties, NEVER missed a Christmas eve or new years eve together ever since we were born. My favourite memories were diving down the stairs in sleeping bags, and making human pyramids 😂 and also dancing all night to our favourite bands! My mum and my 'second mum' met at a playschool group so us kids have all literally known each other since we were born. 
Her son and daughter are only a couple of years younger than me so when she passed they were like 19 and 21 (something like that). 
Her son is an amazing musician and song writer and she supported him throughout his whole music career. She was at every concert without fail, and so were we. Her daughter is so intelligent and literate and is an amazing writer.
My second mum had quite a shitty upbringing herself, but raised her two kids as a single mum AMAZINGLY and what beautiful, amazing people they are, I'm so so proud of the both of them. They're honestly like my own brother and sister, and always will be. I don't know how the hell they have coped these past few years without her, trying to finish uni etc when their mum was so cruelly taken away by this awful disease in less than a year from her diagnosis.
Her son, being a musician, has wrote a beautiful song about her. I listen to it every night before I go to bed. I think of her daily, she was the life and soul of the party. She was there for me in my darkest of days, I could tell her things that I couldn't tell anybody else. 
I can't bare the thought of her not being here anymore. It still doesn't feel real. I've lost so many people in my life, but this definitely hit me the hardest, so I honestly don't know how her children cope with it on a daily basis. I can't even comprehend it. They are so, so brave and inspiring and I just love them both so much.
We will always be best friends for life. I adore my second family ❤
P.S. FUCK CANCER.</t>
        </is>
      </c>
      <c r="D10119" t="n">
        <v>1</v>
      </c>
      <c r="E10119" t="n">
        <v>0</v>
      </c>
      <c r="F10119">
        <f>HYPERLINK("https://www.reddit.com/r/cancer/comments/hkw5wf/it_still_doesnt_feel_real/")</f>
        <v/>
      </c>
      <c r="G10119" t="inlineStr">
        <is>
          <t>2020-07-03 19:56:37</t>
        </is>
      </c>
      <c r="H10119" t="inlineStr"/>
    </row>
    <row r="10120">
      <c r="A10120" t="inlineStr">
        <is>
          <t>hkw7oy</t>
        </is>
      </c>
      <c r="B10120" t="inlineStr">
        <is>
          <t>Stage III ovarian cancer at age 24</t>
        </is>
      </c>
      <c r="C10120" t="inlineStr">
        <is>
          <t>Hey guys,
I’m 24 and was diagnosed with stage III ovarian cancer a couple of days ago. It has spread to my other ovary and to some fatty tissue nearby. I had a tumour that was SIXTEEN CENTIMETERS (6.2 inches) removed along with my right ovary.
I never really wanted kids heaps but it’s rough knowing I’m probably never going to get the choice... there’s always adoption I suppose.
I start chemo asap, I have no idea what to expect.</t>
        </is>
      </c>
      <c r="D10120" t="n">
        <v>1</v>
      </c>
      <c r="E10120" t="n">
        <v>14</v>
      </c>
      <c r="F10120">
        <f>HYPERLINK("https://www.reddit.com/r/cancer/comments/hkw7oy/stage_iii_ovarian_cancer_at_age_24/")</f>
        <v/>
      </c>
      <c r="G10120" t="inlineStr">
        <is>
          <t>2020-07-03 20:00:28</t>
        </is>
      </c>
      <c r="H10120" t="inlineStr"/>
    </row>
    <row r="10121">
      <c r="A10121" t="inlineStr">
        <is>
          <t>hkww1k</t>
        </is>
      </c>
      <c r="B10121" t="inlineStr">
        <is>
          <t>Looking for volunteers to fill in a 5-min health IT study and win special discount!</t>
        </is>
      </c>
      <c r="C10121" t="inlineStr">
        <is>
          <t>Hello redditora, I am representing the nexusera team introducing a modular design smart pill organizer named O'kase targeting medication adherence. We are curious if you are interested in such product and what experience have led you to pay attention to the medication adherence industry.
* Have you ever forgot to take pills or had trouble taking wrong pills?
* Have you ever looked pill reminder recommendation for your family members?
* Have you ever tried a pill reminder but felt it didn't match your expectation?
If you answer yes to any of the above questions, we are conducting a survey [HERE](https://qfreeaccountssjc1.az1.qualtrics.com/jfe/preview/SV_0ptuN6wDQBvUY3H?Q_SurveyVersionID=&amp;amp;Q_CHL=preview) to learn about your experience and love to hear your insights, as they will help us expand, design, and innovate our product. All responses are anonymous and will be used solely for the purpose of our team's market research. This should take about 5 MINUTES, and you will have the opportunity to win a SPECIAL DISCOUNT for our product once you leave your email.
Your participation is completely voluntary, and I am open to any questions you might have. Feel free to leave your feedback via DM on this platform or the emails within the survey. Our team very much appreciates your consideration. Thank you for your time and keep safe!</t>
        </is>
      </c>
      <c r="D10121" t="n">
        <v>0</v>
      </c>
      <c r="E10121" t="n">
        <v>2</v>
      </c>
      <c r="F10121">
        <f>HYPERLINK("https://www.reddit.com/r/cancer/comments/hkww1k/looking_for_volunteers_to_fill_in_a_5min_health/")</f>
        <v/>
      </c>
      <c r="G10121" t="inlineStr">
        <is>
          <t>2020-07-03 20:51:15</t>
        </is>
      </c>
      <c r="H10121" t="inlineStr"/>
    </row>
    <row r="10122">
      <c r="A10122" t="inlineStr">
        <is>
          <t>hkyozf</t>
        </is>
      </c>
      <c r="B10122" t="inlineStr">
        <is>
          <t>stage 3 breast cancer survivors - question</t>
        </is>
      </c>
      <c r="C10122" t="inlineStr">
        <is>
          <t>my boyfriends mom was diagnosed with stage 3 breast cancer in december. it’s really hard for him to talk about it so he asked me not to bring it up or ask questions so
his mom has 8 rounds of chemo and then just had her surgery. doctor said she reacted well to the chemo.
 i’m sure it different for everyone but how long was the fight before you knew you were cancer free?</t>
        </is>
      </c>
      <c r="D10122" t="n">
        <v>1</v>
      </c>
      <c r="E10122" t="n">
        <v>4</v>
      </c>
      <c r="F10122">
        <f>HYPERLINK("https://www.reddit.com/r/cancer/comments/hkyozf/stage_3_breast_cancer_survivors_question/")</f>
        <v/>
      </c>
      <c r="G10122" t="inlineStr">
        <is>
          <t>2020-07-03 23:21:48</t>
        </is>
      </c>
      <c r="H10122" t="inlineStr"/>
    </row>
    <row r="10123">
      <c r="A10123" t="inlineStr">
        <is>
          <t>hkzhol</t>
        </is>
      </c>
      <c r="B10123" t="inlineStr">
        <is>
          <t>Lump on my hyoid bone for 4 years.</t>
        </is>
      </c>
      <c r="C10123" t="inlineStr">
        <is>
          <t>I am scared I have some sort of sarcoma since I've read about it being on the hyoid bone.. So some backstory, I've had a small, I'd say a pea sized, but it could be smaller hard and slightly moveable lump on my hyoid bone, over my thyroid. It's been there for 4 years, and I am unsure if it has changed. Could it be some sort of sarcoma even after 4 years without progression?</t>
        </is>
      </c>
      <c r="D10123" t="n">
        <v>1</v>
      </c>
      <c r="E10123" t="n">
        <v>2</v>
      </c>
      <c r="F10123">
        <f>HYPERLINK("https://www.reddit.com/r/cancer/comments/hkzhol/lump_on_my_hyoid_bone_for_4_years/")</f>
        <v/>
      </c>
      <c r="G10123" t="inlineStr">
        <is>
          <t>2020-07-04 00:37:08</t>
        </is>
      </c>
      <c r="H10123" t="inlineStr"/>
    </row>
    <row r="10124">
      <c r="A10124" t="inlineStr">
        <is>
          <t>hl2yxv</t>
        </is>
      </c>
      <c r="B10124" t="inlineStr">
        <is>
          <t>My mother who's around 40 to 50 years old fell short on glucose today</t>
        </is>
      </c>
      <c r="C10124" t="inlineStr">
        <is>
          <t>Direct infusion of glucose is being given to her.
She got her chemo done 3-4 days back.
She also has OCD so wouldn't eat what I offer but only eats according to quantity she desires.
My question is, : is it safe to give glucose tablets to her daily? One per day?</t>
        </is>
      </c>
      <c r="D10124" t="n">
        <v>1</v>
      </c>
      <c r="E10124" t="n">
        <v>2</v>
      </c>
      <c r="F10124">
        <f>HYPERLINK("https://www.reddit.com/r/cancer/comments/hl2yxv/my_mother_whos_around_40_to_50_years_old_fell/")</f>
        <v/>
      </c>
      <c r="G10124" t="inlineStr">
        <is>
          <t>2020-07-04 06:02:25</t>
        </is>
      </c>
      <c r="H10124" t="inlineStr"/>
    </row>
    <row r="10125">
      <c r="A10125" t="inlineStr">
        <is>
          <t>hl42t7</t>
        </is>
      </c>
      <c r="B10125" t="inlineStr">
        <is>
          <t>Today is Independence Day in America, and here in the Uk, I’m having my own Independence Day. As, today, is the 1 year anniversary of me ringing my bell.</t>
        </is>
      </c>
      <c r="C10125" t="inlineStr">
        <is>
          <t>This day today, 1 year ago, I rang my bell. 2 years 4 months of hell over. 
I’m so happy. I hope you all get to celebrate a day like this- one day. Best of luck in your treatments.</t>
        </is>
      </c>
      <c r="D10125" t="n">
        <v>1</v>
      </c>
      <c r="E10125" t="n">
        <v>14</v>
      </c>
      <c r="F10125">
        <f>HYPERLINK("https://www.reddit.com/r/cancer/comments/hl42t7/today_is_independence_day_in_america_and_here_in/")</f>
        <v/>
      </c>
      <c r="G10125" t="inlineStr">
        <is>
          <t>2020-07-04 07:21:58</t>
        </is>
      </c>
      <c r="H10125" t="inlineStr"/>
    </row>
    <row r="10126">
      <c r="A10126" t="inlineStr">
        <is>
          <t>hl49bp</t>
        </is>
      </c>
      <c r="B10126" t="inlineStr">
        <is>
          <t>Stage 3/4 metatastic nasopharyngeal sarcoma</t>
        </is>
      </c>
      <c r="C10126" t="inlineStr">
        <is>
          <t>Thats been typed into my phone so many times that as soon as I hit the "s" key my phone predicts the rest of the sentence. 
Thats my Dad. 300 lbs. 6'4". Larger than life man. A man who spent a good portion of his life donating to and working with the ACS because he's lost so many people to cancer. Who was able to call up friends who work for the ACS and had an appointment with a specialist in San Diego within 24 hours due to his connections. A specialist who can't help him beyond saying his best bet is going to be a hellish amount of chemo and radiation. 
I can't focus at work. I wake up from panic attacks. They made him shave his beard. The one he grows out every year because he likes playing Santa around Christmas. 
Everyone dies. But is he dying soon? Is this what takes him?
Is being this scared normal?
Fuck Cancer</t>
        </is>
      </c>
      <c r="D10126" t="n">
        <v>1</v>
      </c>
      <c r="E10126" t="n">
        <v>5</v>
      </c>
      <c r="F10126">
        <f>HYPERLINK("https://www.reddit.com/r/cancer/comments/hl49bp/stage_34_metatastic_nasopharyngeal_sarcoma/")</f>
        <v/>
      </c>
      <c r="G10126" t="inlineStr">
        <is>
          <t>2020-07-04 07:34:10</t>
        </is>
      </c>
      <c r="H10126" t="inlineStr"/>
    </row>
    <row r="10127">
      <c r="A10127" t="inlineStr">
        <is>
          <t>hl4lzl</t>
        </is>
      </c>
      <c r="B10127" t="inlineStr">
        <is>
          <t>Co-occurring cancers?</t>
        </is>
      </c>
      <c r="C10127" t="inlineStr">
        <is>
          <t>I was diagnosed with IIIB ovarian cancer in April with a BRCA1 mutation, and my May PET scan showed activity in my right breast. The report says, "primary breast cancer cannot be ruled out." I'm going in Thursday for a mammogram and ultrasound, and depending on what's found, I'll have a biopsy after. 
Has anyone else had two primary cancers at the same time? How was it handled?  How did it change your treatment plan?  Have any of you had ovarian cancer spread to far-reaching tissue but skip all the organs in between? 
I'm so scared and so tired of having to wait to find out anything.</t>
        </is>
      </c>
      <c r="D10127" t="n">
        <v>1</v>
      </c>
      <c r="E10127" t="n">
        <v>5</v>
      </c>
      <c r="F10127">
        <f>HYPERLINK("https://www.reddit.com/r/cancer/comments/hl4lzl/cooccurring_cancers/")</f>
        <v/>
      </c>
      <c r="G10127" t="inlineStr">
        <is>
          <t>2020-07-04 07:56:48</t>
        </is>
      </c>
      <c r="H10127" t="inlineStr"/>
    </row>
    <row r="10128">
      <c r="A10128" t="inlineStr">
        <is>
          <t>hl6cdi</t>
        </is>
      </c>
      <c r="B10128" t="inlineStr">
        <is>
          <t>My mom doesn’t want me to go to the doctor.</t>
        </is>
      </c>
      <c r="C10128" t="inlineStr">
        <is>
          <t>This large-ish pimple-like bump has appeared on my under eye area, and i have never ever gotten a pimple this big there before. I have never gotten a pimple in that area of my face before PERIOD. It feels relatively hard, looks kind of waxy, and has no pus like a regular pimple. I have a hunch that it could be basal cell carcinoma or maybe a sebaceous hyperplasia. I got really upset about it because #1, it looks ugly and is in a really unfortunate spot, and #2, it looks suspiciously like basal cell carcinoma. My mom got mad at me for being upset about it and is really reluctant to bring me to the doctor for some reason. Should I make an appointment anyway?</t>
        </is>
      </c>
      <c r="D10128" t="n">
        <v>3</v>
      </c>
      <c r="E10128" t="n">
        <v>6</v>
      </c>
      <c r="F10128">
        <f>HYPERLINK("https://www.reddit.com/r/cancer/comments/hl6cdi/my_mom_doesnt_want_me_to_go_to_the_doctor/")</f>
        <v/>
      </c>
      <c r="G10128" t="inlineStr">
        <is>
          <t>2020-07-04 09:42:56</t>
        </is>
      </c>
      <c r="H10128" t="inlineStr"/>
    </row>
    <row r="10129">
      <c r="A10129" t="inlineStr">
        <is>
          <t>hl8t10</t>
        </is>
      </c>
      <c r="B10129" t="inlineStr">
        <is>
          <t>Post-Radiation Hair Growth Stimulation?</t>
        </is>
      </c>
      <c r="C10129" t="inlineStr">
        <is>
          <t>Hi guys I (20F) finished radiation for brain cancer a little over 4 months ago and have since moved on to chemo. During my treatment I apparently was blasted with so much radiation over so much of my head that I lost basically everything that wasn’t right around my original hairline. My chemo regimen isn’t making my hair fall out further (thankfully) and I am noticing pretty substantial new growth in some areas now that several months have gone by, but there are some areas that just won’t fill in. 
I’m desperate to try everything I can to at least fill in the bald spots. I don’t want to be stuck wearing a wig or a hat for the rest of my life. I’ve always had a pretty negative self image prior to my cancer diagnosis but this most recent part of my journey has hit my self confidence like a train. I felt like a fool at college with no hair - my friends always looked at me like there was something wrong with me, but if I wore a wig they would talk down to me about how I looked a little fake and needed to just “love myself” and “be happy with what I have”.
Does anybody have some tips on how to stimulate hair growth and to help hair grow in thicker/stronger after radiation? I’m just ready to start feeling like me again and the information I’m finding online isn’t really helpful because it all seems to pertain to chemo hair loss.</t>
        </is>
      </c>
      <c r="D10129" t="n">
        <v>1</v>
      </c>
      <c r="E10129" t="n">
        <v>1</v>
      </c>
      <c r="F10129">
        <f>HYPERLINK("https://www.reddit.com/r/cancer/comments/hl8t10/postradiation_hair_growth_stimulation/")</f>
        <v/>
      </c>
      <c r="G10129" t="inlineStr">
        <is>
          <t>2020-07-04 12:09:29</t>
        </is>
      </c>
      <c r="H10129" t="inlineStr"/>
    </row>
    <row r="10130">
      <c r="A10130" t="inlineStr">
        <is>
          <t>hl90aj</t>
        </is>
      </c>
      <c r="B10130" t="inlineStr">
        <is>
          <t>Does anyone know a cancer research facility working on Pj34?</t>
        </is>
      </c>
      <c r="C10130" t="inlineStr">
        <is>
          <t>Hello there fellow reditters!
My father has pancreatic cancer and we've tried some chemo therapies (folforinox and gemzar/abraxane), but they don't seem to work. We're giving him complemetarian medication too, but that type is just so aggressive, nothing really helped so far.
So in the internet I've stumbled across researchers working on a substance called Pj34. It seems to eradicate human pancreatic cancer cells very efficiently in mice. I've already had contact with the research team in Israel but they refused to help us, because it's still in mouse testing phase (which I totally understand, ethics and so on...), so I came here to ask if anyone knew a facility that also works on that and would like to cooperate. We would also take part in a human study, since our "normal" options are pretty much exhausted and I'm desperately hoping not to lose my dad at only 61 years of age... Sadly our Austrian doctors don't have an answer, so I came here with on of my last bits of hope
Every Info is more than welcome, thanks in advance!</t>
        </is>
      </c>
      <c r="D10130" t="n">
        <v>1</v>
      </c>
      <c r="E10130" t="n">
        <v>0</v>
      </c>
      <c r="F10130">
        <f>HYPERLINK("https://www.reddit.com/r/cancer/comments/hl90aj/does_anyone_know_a_cancer_research_facility/")</f>
        <v/>
      </c>
      <c r="G10130" t="inlineStr">
        <is>
          <t>2020-07-04 12:22:05</t>
        </is>
      </c>
      <c r="H10130" t="inlineStr"/>
    </row>
    <row r="10131">
      <c r="A10131" t="inlineStr">
        <is>
          <t>hlcnkl</t>
        </is>
      </c>
      <c r="B10131" t="inlineStr">
        <is>
          <t>Acute vs chronic</t>
        </is>
      </c>
      <c r="C10131" t="inlineStr">
        <is>
          <t>Some of us are diagnosed wirh acute aggressive cancers that are very dangerous and require immediate aggressive intervention. 
Others are diagnosed with chronic slow growing cancers that we are told are “indolent” and just need watching and waiting till they get worse and we feel worse then treatment will be offered. 
When you are first told there is no treatment for you it is easy to think that means there is no hope and there is nothing to be done. The doctors of course do not mean that and they think they are telling you good news. 
But one year into my own chronic cancer journey I exchanged stories with someone who had a classic acute story. As a young person they’d had to endure half their jaw bone being removed, chemo, radio, reconstructive treatment. Activity. Action. Care. 
When I shared my story of waiting, inaction, and what could be perceived as neglect I felt almost like I didn’t have a real cancer. 
But my new found cancer colleague had just been given the all clear. Something that will never happen to me. They’d just been told that the hope was that the cancer will never come back that they may well have been cured. Something that will never happen with me. Mine will always come back no matter what we do to try and contain it. Mine has also given me symptoms that are a constant reminder my old life has gone. 
And my new friend then said something I didn’t expect to hear them say “I would never want to trade places with you”. “Why not?” I asked feeling somewhat like I didn’t even deserve to be talking with this cancer warrior. After all I’d not even had chemotherapy yet though that was to be in my future. And my cancer journey is in slow motion compared to theirs. Death by a thousand cuts some call it. 
The reason they didn’t want to swap places is actually the reason why some studies suggest chronic cancer can actually be associated with worse mental health consequences. 
“The only thing that kept me sane this past year was knowing that we had a plan. That there was a goal to get the cancer out of me. To be told I had cancer and that if had spread everywhere but nothing was to be done. I have no idea how you could possibly cope wirh that.”
And in that moment I resolved never to do the mental “comparison” again. It’s not some kind of competition. And yes some people’s journey is harder or more dangerous than others. But each persons journey is unique and what each person has to bear is unique. And for some people a slow growing chronic cancer that will never go away would be much harder to deal with than an acute one that in some cases with aggressive action has a reasonable chance of being cured. 
There is no such thing as a good cancer. 
It’s like asking us to grade whether we’d rather be robbed at knife point or gun point. Me I’d rather not be robbed at all! 
Don’t feel guilty for how you feel about your cancer journey. Don’t try and deny or supprsss the emotions your experiences bring up. This cancer story you are in the middle of is most likely the most challenging thing you have ever faced. Do not make it harder on Yourself by judging yourself and trying to decide if you are coping “well” or “badly”. Coping well is each period of five or ten minutes you manage not to be thinking about it and perhaps even accomplish some small thing. It’s each time you are able to reach out and offer love and support to someone else’s who’s also suffering with something they are finding hard but which the big C word has made it shrink in your mind.  Their burden is still hard for them even if you do really wish you could switch yours for theirs. 
If we can somehow learn to carry one another’s burdens even accros that great chasm between those with cancer and those without then just maybe these journeys of ours will become just slightly easier to walk along as perhaps we might feel slightly less alone.</t>
        </is>
      </c>
      <c r="D10131" t="n">
        <v>3</v>
      </c>
      <c r="E10131" t="n">
        <v>10</v>
      </c>
      <c r="F10131">
        <f>HYPERLINK("https://www.reddit.com/r/cancer/comments/hlcnkl/acute_vs_chronic/")</f>
        <v/>
      </c>
      <c r="G10131" t="inlineStr">
        <is>
          <t>2020-07-04 16:13:04</t>
        </is>
      </c>
      <c r="H10131" t="inlineStr"/>
    </row>
    <row r="10132">
      <c r="A10132" t="inlineStr">
        <is>
          <t>hlecun</t>
        </is>
      </c>
      <c r="B10132" t="inlineStr">
        <is>
          <t>It’s over. Cancer absolutely sucks.</t>
        </is>
      </c>
      <c r="C10132" t="inlineStr">
        <is>
          <t>My mother was diagnosed with Stage IV esophageal adenocarcinoma on 9/11/19. 
After two rounds of chemo and immunotherapy, we are now at the very final end. She’s at the very, very end of her life (after many scares) and has been asleep for basically 2 days. She can not communicate really and cannot eat or drink. Hospice care have been good people, but there is nothing left to do. 
I am fucking heartbroken.</t>
        </is>
      </c>
      <c r="D10132" t="n">
        <v>1</v>
      </c>
      <c r="E10132" t="n">
        <v>19</v>
      </c>
      <c r="F10132">
        <f>HYPERLINK("https://www.reddit.com/r/cancer/comments/hlecun/its_over_cancer_absolutely_sucks/")</f>
        <v/>
      </c>
      <c r="G10132" t="inlineStr">
        <is>
          <t>2020-07-04 18:18:20</t>
        </is>
      </c>
      <c r="H10132" t="inlineStr"/>
    </row>
    <row r="10133">
      <c r="A10133" t="inlineStr">
        <is>
          <t>hlkuj8</t>
        </is>
      </c>
      <c r="B10133" t="inlineStr">
        <is>
          <t>EGFR, ALK, ROS1, RET, BRAF in layman's terms?</t>
        </is>
      </c>
      <c r="C10133" t="inlineStr">
        <is>
          <t>I am wondering what these different mutations mean, and how prognosis is affected due to the presence of each one?
I am still awaiting these results of my mom's NSCLC but just want to be a bit more in the know before our next oncologist appointment.
Thanks!</t>
        </is>
      </c>
      <c r="D10133" t="n">
        <v>1</v>
      </c>
      <c r="E10133" t="n">
        <v>9</v>
      </c>
      <c r="F10133">
        <f>HYPERLINK("https://www.reddit.com/r/cancer/comments/hlkuj8/egfr_alk_ros1_ret_braf_in_laymans_terms/")</f>
        <v/>
      </c>
      <c r="G10133" t="inlineStr">
        <is>
          <t>2020-07-05 04:03:30</t>
        </is>
      </c>
      <c r="H10133" t="inlineStr"/>
    </row>
    <row r="10134">
      <c r="A10134" t="inlineStr">
        <is>
          <t>hln14r</t>
        </is>
      </c>
      <c r="B10134" t="inlineStr">
        <is>
          <t>To the ones that had or has sarcoma especially chondrosarcoma, how fast did the tumor grow since the day you noticed it?</t>
        </is>
      </c>
      <c r="C10134" t="inlineStr">
        <is>
          <t>The title.</t>
        </is>
      </c>
      <c r="D10134" t="n">
        <v>1</v>
      </c>
      <c r="E10134" t="n">
        <v>3</v>
      </c>
      <c r="F10134">
        <f>HYPERLINK("https://www.reddit.com/r/cancer/comments/hln14r/to_the_ones_that_had_or_has_sarcoma_especially/")</f>
        <v/>
      </c>
      <c r="G10134" t="inlineStr">
        <is>
          <t>2020-07-05 06:56:13</t>
        </is>
      </c>
      <c r="H10134" t="inlineStr"/>
    </row>
    <row r="10135">
      <c r="A10135" t="inlineStr">
        <is>
          <t>hlohv9</t>
        </is>
      </c>
      <c r="B10135" t="inlineStr">
        <is>
          <t>Cancer in the time of Covid!</t>
        </is>
      </c>
      <c r="C10135" t="inlineStr">
        <is>
          <t>I was diagnosed with rectal Cancer last year, stage 3. I had undergone radiation+ chemo tablets for one month, followed by LAR surgery, adjuvant chemotherapy cycle 1, and ileostomy closure. By this time Covid was almost at our doorsteps. I was also prescribed to undergo 5 cycles of adjuvant chemotherapy, after LAR surgery, which I "somehow" managed to complete by June. 
I've decided to wait for further consultation until Covid settles - primarily to not risk those around me, with the hospital being quite far and travel restrictions in place. I'm thinking I'll handle whatever comes when it comes - probably because I think I've lost interest. It'd have been a different story without Covid I guess.</t>
        </is>
      </c>
      <c r="D10135" t="n">
        <v>0</v>
      </c>
      <c r="E10135" t="n">
        <v>6</v>
      </c>
      <c r="F10135">
        <f>HYPERLINK("https://www.reddit.com/r/cancer/comments/hlohv9/cancer_in_the_time_of_covid/")</f>
        <v/>
      </c>
      <c r="G10135" t="inlineStr">
        <is>
          <t>2020-07-05 08:32:12</t>
        </is>
      </c>
      <c r="H10135" t="inlineStr"/>
    </row>
    <row r="10136">
      <c r="A10136" t="inlineStr">
        <is>
          <t>hlpw3m</t>
        </is>
      </c>
      <c r="B10136" t="inlineStr">
        <is>
          <t>The only person I have left is might die</t>
        </is>
      </c>
      <c r="C10136" t="inlineStr">
        <is>
          <t>I’ll start off by saying, my entire family is dead. I have nobody. Parents, siblings, half siblings, step parents, all gone. Nobody is related to me at all. But, I have 1 person, and a dog. This one person, Is Danny. Danny is the only person I love. He’s awesome, he is my primary reason for living. He’s very outgoing, funny, and really cool to be around. He lights up your day, he is the greatest person I have ever met. He also has very little friends, surprisingly, he’s my buddy. 
But 2 days ago, We found out, that he has had stage 2 lung cancer. This was horrible news, no, THE WORST, NEWS. I can only imagine how he feels, comparing to myself. Knowing that there is a high chance your going to die, is probably horrible.
I don’t know what to do. I’m not able to visit the hospital that much, because I have a job. As of right now, I’m siting at home just thinking. I’m thinking about what I’ll do if he dies.
He shouldn’t of gotten the lung cancer, why couldn’t it have been ANYBODY ELSE, Me, or just, nobody. He can still live so I have a little ounce of hope. He is so good, he is nice, caring, funny, and just great, he has a good job, and everything’s been going pretty well for both of us. So why. Why of ALL THE PEOPLE, does HE have to get it, I should’ve got it, or just somebody in jail for life should’ve got it. 
He tries SO HARD, to be kind, and wonderful, and he was doing a fantastic job at being a person, I should’ve tried harder to be his friend, but now, he’s in the hospital, and besides his family, I’m the only one who visits.
If he dies, I’ll have no reason to live besides my dog. When I try to think of a life without him, I can’t. He’s my reason to push forward, and try harder. Without him, I’ll have. Nobody, nobody to laugh with, nobody to talk to, nobody to have fun with. He probably doesn’t realize how much he means to me. 
There is still hope, there’s a chance he lives, it’s relatively low, as it’s stage 2, but, if he dies... I’ll only have my dog, sorry it was so long I’m just typing I’m not asking anything I’m just ranting away</t>
        </is>
      </c>
      <c r="D10136" t="n">
        <v>17</v>
      </c>
      <c r="E10136" t="n">
        <v>11</v>
      </c>
      <c r="F10136">
        <f>HYPERLINK("https://www.reddit.com/r/cancer/comments/hlpw3m/the_only_person_i_have_left_is_might_die/")</f>
        <v/>
      </c>
      <c r="G10136" t="inlineStr">
        <is>
          <t>2020-07-05 09:57:05</t>
        </is>
      </c>
      <c r="H10136" t="inlineStr"/>
    </row>
    <row r="10137">
      <c r="A10137" t="inlineStr">
        <is>
          <t>hlqnn7</t>
        </is>
      </c>
      <c r="B10137" t="inlineStr">
        <is>
          <t>Cancer Reoccurrence</t>
        </is>
      </c>
      <c r="C10137" t="inlineStr">
        <is>
          <t>Last year I (39f) was diagnosed with stage 3c triple negative breast cancer (2.5 cm tumor and 12 lymph nodes in chest, axillary and arm). No cool hormonal therapy so I got 5 months of brutal chemo. My last chemo, I was so sick I had to be pushed to my appointment in a wheel chair because I was so weak I couldn’t walk. I’ve had 6 weeks of radiation and many surgeries. The chemo was so bad they had to put a port in because my veins would melt. Well that damaged my heart. I told my family if the cancer came back I’d not have chemo again. 
Well my last visit the doc said my liver enzymes are off the charts (not a drinker) and my cancer markers are up. If it’s back, I won’t fight it again. 
My reasons for this are simply I’ve had a good life. I met my husband at 15. I’ve had two great loves him (42m) and my daughter (22f). I’ve enjoyed a career I’ve loved but am still to weak to go back to. I’m so tired of being poked and prodded. If this is really the end, I don’t want to spend it miserable. I’d rather enjoy my time left. Am I being selfish? I don’t want to die but I also don’t want to spend the time I have left so sick I can enjoy what’s left of my life. 
My husband hates his job but keeps it because I need the health insurance. My daughter can’t move from our city (recently moved back home to help after my last surgery) because she helps to care for me. I want them to be able to have an enjoyable life. I want them happy. I’m just at a loss and need advice.</t>
        </is>
      </c>
      <c r="D10137" t="n">
        <v>10</v>
      </c>
      <c r="E10137" t="n">
        <v>12</v>
      </c>
      <c r="F10137">
        <f>HYPERLINK("https://www.reddit.com/r/cancer/comments/hlqnn7/cancer_reoccurrence/")</f>
        <v/>
      </c>
      <c r="G10137" t="inlineStr">
        <is>
          <t>2020-07-05 10:40:49</t>
        </is>
      </c>
      <c r="H10137" t="inlineStr"/>
    </row>
    <row r="10138">
      <c r="A10138" t="inlineStr">
        <is>
          <t>hltk5o</t>
        </is>
      </c>
      <c r="B10138" t="inlineStr">
        <is>
          <t>Medical Cannabis non-profit</t>
        </is>
      </c>
      <c r="C10138" t="inlineStr">
        <is>
          <t>Hey everyone,
I’m starting a non-profit and wanted to ask this community about some of their experiences. My partner and I are planning to use the medical cannabis we’re cultivating to donate to low income or otherwise cannabis inaccessible cancer patients. Is there a need for something like this in California? Anyone know how we should go about finding people to help? We’re licensed and have the regulatory side of things complete, just wanted some guidance on how best to provide value this way. Thanks!</t>
        </is>
      </c>
      <c r="D10138" t="n">
        <v>3</v>
      </c>
      <c r="E10138" t="n">
        <v>3</v>
      </c>
      <c r="F10138">
        <f>HYPERLINK("https://www.reddit.com/r/cancer/comments/hltk5o/medical_cannabis_nonprofit/")</f>
        <v/>
      </c>
      <c r="G10138" t="inlineStr">
        <is>
          <t>2020-07-05 13:27:00</t>
        </is>
      </c>
      <c r="H10138" t="inlineStr"/>
    </row>
    <row r="10139">
      <c r="A10139" t="inlineStr">
        <is>
          <t>hltq8g</t>
        </is>
      </c>
      <c r="B10139" t="inlineStr">
        <is>
          <t>I (35M) have been diagnosed with squamous cell carcinoma of the tongue. Next steps</t>
        </is>
      </c>
      <c r="C10139" t="inlineStr">
        <is>
          <t>I was diagnosed with SCC of the tongue (moderately differentiated) on Monday 6/29/2020. I know that this isn’t common for someone my age to be diagnosed with this, as the oral surgeon that did my biopsy told me that I am the youngest person that he had to tell that they have SCC, but it is what it is. 
I have a surgery date of July 14th, I still need to do my CT and PET scans, those are coming up this week. The surgeon has given me the details of what they have planned to do, remove 20-25% of my tongue, replace it with my forearm muscle and artery (crazy that they can do this), and removing my right lymph nodes (possibly my left side if the right side doesn’t look good). They didn’t mention chemo and/or radiation, I am guessing that this is determined after surgery? I didn’t go and get a second opinion as I felt comfortable with the surgeon — he heads the division for head and neck cancer surgery at the hospital I am going to and has authored books on how to do the surgery. 
I am as positive as I can be dealing with this, and I’m looking forward to getting into surgery and starting the road to recovery. 
If anyone has any advice for recovery I would greatly appreciate that. Maybe some item that made life easier that I should go and get beforehand. 
For others that have had their forearm muscle and artery removed has it hindered the use of your arm?</t>
        </is>
      </c>
      <c r="D10139" t="n">
        <v>8</v>
      </c>
      <c r="E10139" t="n">
        <v>11</v>
      </c>
      <c r="F10139">
        <f>HYPERLINK("https://www.reddit.com/r/cancer/comments/hltq8g/i_35m_have_been_diagnosed_with_squamous_cell/")</f>
        <v/>
      </c>
      <c r="G10139" t="inlineStr">
        <is>
          <t>2020-07-05 13:36:50</t>
        </is>
      </c>
      <c r="H10139" t="inlineStr"/>
    </row>
    <row r="10140">
      <c r="A10140" t="inlineStr">
        <is>
          <t>hlw236</t>
        </is>
      </c>
      <c r="B10140" t="inlineStr">
        <is>
          <t>Today I was diagnosed.</t>
        </is>
      </c>
      <c r="C10140" t="inlineStr">
        <is>
          <t>Hi, just looking for support I guess, today I got notice I have endometrial cancer. 
My husband, mom and sister don’t let me cry, they say I have to be strong, have faith and be positive.
Last Sunday I went to the hospital and almost don’t made it, after 4 days I at home feeling good and lucky.
We went to eat to my grandma’s house today,  and she started telling how lucky I am, to be grateful because I have all my life ahead of me; I burst in tears in front of everyone, my husband grabbed my hand and told me to breath and tried to calm me.
My mother came to hug me and smile awkwardly saying that I got emotional and to stop crying and whispered at my ear to “stop crying, you’re going to scare grandma”. My grandma tried to calm me down saying more positive stuff.
I felt so conflicted with my emotions, they said it’s as hard for them as it is for me and that I HAVE to be strong for them, but is it?
I don’t know what to do. If you have any advice on how to handle my emotions, I’ll appreciate it.</t>
        </is>
      </c>
      <c r="D10140" t="n">
        <v>35</v>
      </c>
      <c r="E10140" t="n">
        <v>46</v>
      </c>
      <c r="F10140">
        <f>HYPERLINK("https://www.reddit.com/r/cancer/comments/hlw236/today_i_was_diagnosed/")</f>
        <v/>
      </c>
      <c r="G10140" t="inlineStr">
        <is>
          <t>2020-07-05 15:53:28</t>
        </is>
      </c>
      <c r="H10140" t="inlineStr"/>
    </row>
    <row r="10141">
      <c r="A10141" t="inlineStr">
        <is>
          <t>hm1g42</t>
        </is>
      </c>
      <c r="B10141" t="inlineStr">
        <is>
          <t>Question: What are Chemo Night terrors like?</t>
        </is>
      </c>
      <c r="C10141" t="inlineStr">
        <is>
          <t>So my mom got diagnosed with breast cancer 3 months ago. She is battling with it every day getting chemotherapy. She's on he last 2 treatments.
On the first night  of Chemo she had night terrors.  I felt sad for her.  But these where so terrifying that she cannot tell me.
But do tell. What are these nightmares like? I'm just wondering.</t>
        </is>
      </c>
      <c r="D10141" t="n">
        <v>0</v>
      </c>
      <c r="E10141" t="n">
        <v>2</v>
      </c>
      <c r="F10141">
        <f>HYPERLINK("https://www.reddit.com/r/cancer/comments/hm1g42/question_what_are_chemo_night_terrors_like/")</f>
        <v/>
      </c>
      <c r="G10141" t="inlineStr">
        <is>
          <t>2020-07-05 22:07:05</t>
        </is>
      </c>
      <c r="H10141" t="inlineStr"/>
    </row>
    <row r="10142">
      <c r="A10142" t="inlineStr">
        <is>
          <t>hm5d0l</t>
        </is>
      </c>
      <c r="B10142" t="inlineStr">
        <is>
          <t>Awaiting biopsy results in wake of mass under jaw</t>
        </is>
      </c>
      <c r="C10142" t="inlineStr">
        <is>
          <t>Hope someone could privy me to the process of awaiting biopsy results and in post, as well as possible referrals to EMT, further specialists in the event of malignancy:
• Hard, movable mass under jaw corresponding with infection but unchanged over the course of antibiotics.
• Average wait time for FNA biopsy, perhaps a range?
• Kind words or advice to help me tread through the anxiety (kind of wish they’d just tell me I have cancer instead of making me anxious over it).
Thank you.</t>
        </is>
      </c>
      <c r="D10142" t="n">
        <v>1</v>
      </c>
      <c r="E10142" t="n">
        <v>2</v>
      </c>
      <c r="F10142">
        <f>HYPERLINK("https://www.reddit.com/r/cancer/comments/hm5d0l/awaiting_biopsy_results_in_wake_of_mass_under_jaw/")</f>
        <v/>
      </c>
      <c r="G10142" t="inlineStr">
        <is>
          <t>2020-07-06 03:43:11</t>
        </is>
      </c>
      <c r="H10142" t="inlineStr"/>
    </row>
    <row r="10143">
      <c r="A10143" t="inlineStr">
        <is>
          <t>hm5ejh</t>
        </is>
      </c>
      <c r="B10143" t="inlineStr">
        <is>
          <t>Looking for ways to help honor my dad</t>
        </is>
      </c>
      <c r="C10143" t="inlineStr">
        <is>
          <t>It was my birthday a few days ago and it was the first birthday I spent without my dad after he passed from cancer. So, instead of getting gifts for my birthday this year I wanted to give back in some way. I want to donate to cancer foundations but don't even know where to begin. I don't want to give it away blindly to foundations that sound good but actually don't really benefit cancer patients. I was just wondering if you guys had any reliable resources I can turn to for things like this or if you know any organizations I should look up to make donations to. 
I've just been so grateful for receiving so many things these past years that I now want to give back and after losing my dad my emotions are heightened and I want to help others fight cancer.</t>
        </is>
      </c>
      <c r="D10143" t="n">
        <v>1</v>
      </c>
      <c r="E10143" t="n">
        <v>0</v>
      </c>
      <c r="F10143">
        <f>HYPERLINK("https://www.reddit.com/r/cancer/comments/hm5ejh/looking_for_ways_to_help_honor_my_dad/")</f>
        <v/>
      </c>
      <c r="G10143" t="inlineStr">
        <is>
          <t>2020-07-06 03:46:55</t>
        </is>
      </c>
      <c r="H10143" t="inlineStr"/>
    </row>
    <row r="10144">
      <c r="A10144" t="inlineStr">
        <is>
          <t>hm738a</t>
        </is>
      </c>
      <c r="B10144" t="inlineStr">
        <is>
          <t>My mom got the "we're stopping treatment" news today. What to expect?</t>
        </is>
      </c>
      <c r="C10144" t="inlineStr">
        <is>
          <t>My mom was diagnosed with an aggressive and rare type of breast cancer in January 2019. Chemo worked. She was operated. They gave radiation to decrease the chance of recurrence, but before the treatment was over the cancer had spread to her lungs. We found this out in October 2019. They gave another trearment. In February this year we found out it spread to her liver. She got an experimental treatment that didn't work for her during which the cancer spread to her eyes and brain. Her liver had worsened as well. She got the same chemotreatment as the one she was on first. It seemed to help a little but they stopped it for some time so they could give radiation treatment for her brain. Today the chemo was supposed to start again. My mom has been having a lot of pain from her liver this weekend and she has been feeling very tired. So she expected her bloodcount would be too low for chemo and she expected to get a blood transfusion. To our surprise, we get the news that they're stopping treatment and they're starting up morfine to reduce the pain (palliative care).
This feels like such a whirlwind. Up until when she was getting the radiation for her brain (which ended a week ago) the doctors kept telling us not to give up hope and not to panick. I knew she couldn't be cured, but with the message they were giving I assumed she still had months (at least), especially since the chemo seemed to be working somewhat. I don't really know what to expect. The doctor said she would slip into a coma at some point, but he said he couldn't really indicate how long she still has. I know they're giving her medication to keep the pain under control, but I just keep asking myself whether the body might not give some kind of stress reaction in the end making her feel anxious or something. I just hope she is comfortable...
I'm still sitting with her in the hospital atm while she's sleeping. She hasn't said a lot since she got the news. My dad was very worried this morning, but due to corona only one person could come with her. I don't live with my parents anymore, so I was unaware of how much it had worsened in a few days. If I knew what was up and how worried my dad was, I would have given my spot to him. We haven't informed him yet since I don't want to tell him over the phone. The whole thing feels very weird and tense, sitting here, being the only one that knows and trying not to be too emotional because I don't want to burden my mom any further. (She has said before that she feels it's a burden telling some relatives who react emotional).</t>
        </is>
      </c>
      <c r="D10144" t="n">
        <v>1</v>
      </c>
      <c r="E10144" t="n">
        <v>49</v>
      </c>
      <c r="F10144">
        <f>HYPERLINK("https://www.reddit.com/r/cancer/comments/hm738a/my_mom_got_the_were_stopping_treatment_news_today/")</f>
        <v/>
      </c>
      <c r="G10144" t="inlineStr">
        <is>
          <t>2020-07-06 05:52:47</t>
        </is>
      </c>
      <c r="H10144" t="inlineStr"/>
    </row>
    <row r="10145">
      <c r="A10145" t="inlineStr">
        <is>
          <t>hm8ucr</t>
        </is>
      </c>
      <c r="B10145" t="inlineStr">
        <is>
          <t>I had my vulvar biopsy today and it wasn't as bad as I had imagined.</t>
        </is>
      </c>
      <c r="C10145" t="inlineStr">
        <is>
          <t>2 months ago, I noticed some color changes on my vulva near my vaginal opening. It was ulcer-like. I was itchy but other than that, it wasn't overly painful or noticeable. My last pap a year ago was normal. 
The doctor thought it might be a yeast infection and prescribed an antifungal medication. That didn't help and the area was growing. A second doctor did a swab and urine culture and ruled out herpes, BV, gonorrhea, chlamydia and UTI. I was then prescribed a steroid cream which I had to use 3 times a day for a month. That didn't help either. 
At my follow up appointment (which was today), I asked for a biopsy. I had researched it before and all I found were horror stories about how painful and traumatic their biopsies were. I was terrified. I had the worst nightmares last night just anticipating the worst. 
I'm writing this post because I want to give hope to others in the same situation as me- I put off getting the biopsy for a month because I was so worried about the pain. The whole thing took maybe 10 minutes. He started off with an alcohol swab to clean the area, then he injected lidocaine with a really small needle which hurt a little bit but wasn't terrible. After that, the area was numb and he took the sample and cauterized it to stop the bleeding. That was it. The sample he took was right by my vaginal opening which is probably one of the most sensitive areas apart from the clitoris.  I don't know if the recovery will be painful but for right now, I feel ok.</t>
        </is>
      </c>
      <c r="D10145" t="n">
        <v>2</v>
      </c>
      <c r="E10145" t="n">
        <v>2</v>
      </c>
      <c r="F10145">
        <f>HYPERLINK("https://www.reddit.com/r/cancer/comments/hm8ucr/i_had_my_vulvar_biopsy_today_and_it_wasnt_as_bad/")</f>
        <v/>
      </c>
      <c r="G10145" t="inlineStr">
        <is>
          <t>2020-07-06 07:40:22</t>
        </is>
      </c>
      <c r="H10145" t="inlineStr"/>
    </row>
    <row r="10146">
      <c r="A10146" t="inlineStr">
        <is>
          <t>hm9u2r</t>
        </is>
      </c>
      <c r="B10146" t="inlineStr">
        <is>
          <t>Scared Dad has Cancer</t>
        </is>
      </c>
      <c r="C10146" t="inlineStr">
        <is>
          <t xml:space="preserve"> I been starring at This new mole my dad has it for a week or so and never did the thought of cancer enter my head. He also has a small bump on his neck area. 
He’s been feeling sick for 1-2 weeks, got tested for corona and it came back negative. He still thinks he has corona because he has flu, stomach pains, and every now and then breathing issues.
Now I think it’s melanoma after researching. We are going Monday to get him looked at. Out of 7 of his brothers and sisters only one has passed from cancer. He keeps on insisting it’s Covid or a stomach flu, I fear the worst. My mom passed away four years ago. I’m not close with my brother. I don’t really have friends. I’m scared for my future. 
He’s 68 and say he has cancer what are the chances he beats it and/or how long does he have left?
Thank you to anyone who helps.</t>
        </is>
      </c>
      <c r="D10146" t="n">
        <v>2</v>
      </c>
      <c r="E10146" t="n">
        <v>1</v>
      </c>
      <c r="F10146">
        <f>HYPERLINK("https://www.reddit.com/r/cancer/comments/hm9u2r/scared_dad_has_cancer/")</f>
        <v/>
      </c>
      <c r="G10146" t="inlineStr">
        <is>
          <t>2020-07-06 08:34:50</t>
        </is>
      </c>
      <c r="H10146" t="inlineStr"/>
    </row>
    <row r="10147">
      <c r="A10147" t="inlineStr">
        <is>
          <t>hmaavg</t>
        </is>
      </c>
      <c r="B10147" t="inlineStr">
        <is>
          <t>Mom has stage 4 breast cancer</t>
        </is>
      </c>
      <c r="C10147" t="inlineStr">
        <is>
          <t>Got chemotherapy done 5-6 days back.
Is breathing heavily, has low platelet count as well as low haemoglobin( got the reports a few minutes back)
Doctor has been contacted and they have said to admit her which we would.
Anyone has experience with this or knows?
In how many days will she be fine again?
Thank u</t>
        </is>
      </c>
      <c r="D10147" t="n">
        <v>1</v>
      </c>
      <c r="E10147" t="n">
        <v>2</v>
      </c>
      <c r="F10147">
        <f>HYPERLINK("https://www.reddit.com/r/cancer/comments/hmaavg/mom_has_stage_4_breast_cancer/")</f>
        <v/>
      </c>
      <c r="G10147" t="inlineStr">
        <is>
          <t>2020-07-06 09:00:32</t>
        </is>
      </c>
      <c r="H10147" t="inlineStr"/>
    </row>
    <row r="10148">
      <c r="A10148" t="inlineStr">
        <is>
          <t>hmc7ek</t>
        </is>
      </c>
      <c r="B10148" t="inlineStr">
        <is>
          <t>Squamous Cell Carcinoma Stage 1</t>
        </is>
      </c>
      <c r="C10148" t="inlineStr">
        <is>
          <t>Wondering what people's experiences have been with this if the situation fits. My dad was diagnosed back in March. Did 7 weeks of treatment. 1 day a week of chemo, 5 days radiation. His treatment ended June 16th. He goes back in July 16th to check and see if anything is still there. Obviously I'm hoping there's nothing there. One, because why wouldn't I? But two, because this whole treatment has really gotten him in a super depressed mood. It's gotten a little better since his treatment has actually ended. Not by much since there's still the residual side effects and everything still tastes like shit. But me and my sister doesn't know if he'd do anymore treatment if they told him something was still there. That's honestly my biggest worry. He's only 62.
Edited to add: when he was first diagnosed they looked into cutting it out, but because of where it was, they said they would've had to removed part of his jaw to do so. So that would be absolute last resort option. It used to be a big knot in his neck. Now there's nothing visibly there. Would they be able to cut it out with it being so small now IF that were the case or would it probably still be the same situation with the jaw?</t>
        </is>
      </c>
      <c r="D10148" t="n">
        <v>1</v>
      </c>
      <c r="E10148" t="n">
        <v>1</v>
      </c>
      <c r="F10148">
        <f>HYPERLINK("https://www.reddit.com/r/cancer/comments/hmc7ek/squamous_cell_carcinoma_stage_1/")</f>
        <v/>
      </c>
      <c r="G10148" t="inlineStr">
        <is>
          <t>2020-07-06 10:39:17</t>
        </is>
      </c>
      <c r="H10148" t="inlineStr"/>
    </row>
    <row r="10149">
      <c r="A10149" t="inlineStr">
        <is>
          <t>hmd4p7</t>
        </is>
      </c>
      <c r="B10149" t="inlineStr">
        <is>
          <t>Dumb things people say to sick people/ cancer survivors</t>
        </is>
      </c>
      <c r="C10149" t="inlineStr">
        <is>
          <t>Hey yall,
I'm a brain cancer survivor and I'm trying to cope with my experience through writing. It's a way of coping with ptsd.
One thing that has come up in my mind is all the dumb shit people have said to me in regards to my illness. here are some examples
If I were you id kill myself
do you appreciate every day now?
Oh so you're like, fine now
Can anyone relate or do people just feel empowered to say dumb shit to me?</t>
        </is>
      </c>
      <c r="D10149" t="n">
        <v>1</v>
      </c>
      <c r="E10149" t="n">
        <v>75</v>
      </c>
      <c r="F10149">
        <f>HYPERLINK("https://www.reddit.com/r/cancer/comments/hmd4p7/dumb_things_people_say_to_sick_people_cancer/")</f>
        <v/>
      </c>
      <c r="G10149" t="inlineStr">
        <is>
          <t>2020-07-06 11:28:55</t>
        </is>
      </c>
      <c r="H10149" t="inlineStr"/>
    </row>
    <row r="10150">
      <c r="A10150" t="inlineStr">
        <is>
          <t>hmdcou</t>
        </is>
      </c>
      <c r="B10150" t="inlineStr">
        <is>
          <t>Cancer takes...never gives</t>
        </is>
      </c>
      <c r="C10150" t="inlineStr">
        <is>
          <t>I did musicals growing up, I did professional vocal coaching, I had plans to sing on Broadway. it was my dream to do the struggle, even though I knew it was a small chance. It was the gift I was given. The thing that made me special. I now feel what makes me special is my cancer battle. I don't want to be remembered for that...
I miss the feeling of being able sing more than the sound of it. I used to be able to stand on a stage and sing so loud that I didn't need a mic in performances. I could feel it in every fiber of my being. Every nerve ending would wake up and sing with me. 
Ever since my first surgery, it was never the same as I went 8 months with no voice at all. Now, I can barely raise my voice in a crowded room. I can feel the stir sometimes, in my gut, that wishes I could still sing. However, I have tried...and it just doesn't work. When I ask my doctors, we scope my vocal cords, they look the same.... and the docs just kind of laugh and say "well lets just be thankful you can still talk!". Of course this is now 6 surgeries later from the first one.
I am very thankful to talk, but I would love to be able to sing to you instead. &amp;lt;3
I'm okay. Just a moment of mourning. &amp;lt;3 to all, I'm here with you!</t>
        </is>
      </c>
      <c r="D10150" t="n">
        <v>2</v>
      </c>
      <c r="E10150" t="n">
        <v>19</v>
      </c>
      <c r="F10150">
        <f>HYPERLINK("https://www.reddit.com/r/cancer/comments/hmdcou/cancer_takesnever_gives/")</f>
        <v/>
      </c>
      <c r="G10150" t="inlineStr">
        <is>
          <t>2020-07-06 11:44:41</t>
        </is>
      </c>
      <c r="H10150" t="inlineStr"/>
    </row>
    <row r="10151">
      <c r="A10151" t="inlineStr">
        <is>
          <t>hmeow7</t>
        </is>
      </c>
      <c r="B10151" t="inlineStr">
        <is>
          <t>Health Insurance Help (US - Medicare - Obamacare)</t>
        </is>
      </c>
      <c r="C10151" t="inlineStr">
        <is>
          <t>I am fairly certain I am about to be offered a new job in a much better work environment than my current one. However, my husband has cancer and this new job does not include health insurance. It's a small employer and instead they offer a credit to purchase insurance on the marketplace (Obamacare). My husband is on social security disability and has Medicare A. My understanding is he could elect B without penalty if there is a change in my work situation (especially to an employer with under 50 employees). 
Has anyone here had experience getting "private" insurance in the US with cancer? What are some things I should be aware of? Could we potentially just rely on Medicare (A and B plus prescription coverage) for my husband and then get a lower cost health insurance for me (who has no medical conditions and just uses preventative care)?
If anyone has experience with this specifically in Connecticut that would be willing to PM me I would be very grateful, but I know that's unlikely.</t>
        </is>
      </c>
      <c r="D10151" t="n">
        <v>1</v>
      </c>
      <c r="E10151" t="n">
        <v>12</v>
      </c>
      <c r="F10151">
        <f>HYPERLINK("https://www.reddit.com/r/cancer/comments/hmeow7/health_insurance_help_us_medicare_obamacare/")</f>
        <v/>
      </c>
      <c r="G10151" t="inlineStr">
        <is>
          <t>2020-07-06 12:31:06</t>
        </is>
      </c>
      <c r="H10151" t="inlineStr"/>
    </row>
    <row r="10152">
      <c r="A10152" t="inlineStr">
        <is>
          <t>hmiyes</t>
        </is>
      </c>
      <c r="B10152" t="inlineStr">
        <is>
          <t>17 and fear of colon cancer</t>
        </is>
      </c>
      <c r="C10152" t="inlineStr">
        <is>
          <t>Hello, I’m currently a 17 year old male. I’m terrified that I might have colon cancer. Nobody in my family has had it (only paternal grandfather). I have been getting stomach cramps, and on/off diarrhea and constipation. My stomach was normal until I got food poisoning about a week ago, since then my stomach has been like this and I am fearing for my life. I have also had small rectal bleeding. I went and got a sigmoidoscopy about 3 years ago because of this was told it was an anal fissure. I have noticed that my bowels are good until I begin to panic and worry about the possibility of it being cancer. Can anyone please look at these images and help me out? (Toilet paper with blood, and poop). Edit: forgot to mention that I had a ct scan a month ago of my abdomen because of “hernia” turned out to be because of my back strain. Last colonoscopy was about 7-8 years ago, everything was fine.
https://ibb.co/2kQ6MH4
https://ibb.co/Lz1G7sb</t>
        </is>
      </c>
      <c r="D10152" t="n">
        <v>0</v>
      </c>
      <c r="E10152" t="n">
        <v>4</v>
      </c>
      <c r="F10152">
        <f>HYPERLINK("https://www.reddit.com/r/cancer/comments/hmiyes/17_and_fear_of_colon_cancer/")</f>
        <v/>
      </c>
      <c r="G10152" t="inlineStr">
        <is>
          <t>2020-07-06 16:18:45</t>
        </is>
      </c>
      <c r="H10152" t="inlineStr"/>
    </row>
    <row r="10153">
      <c r="A10153" t="inlineStr">
        <is>
          <t>hmjhbu</t>
        </is>
      </c>
      <c r="B10153" t="inlineStr">
        <is>
          <t>[Question] Regarding Surgery with large tumors</t>
        </is>
      </c>
      <c r="C10153" t="inlineStr">
        <is>
          <t>Hello first and foremost I hope all is well and safe.
My Dad was diagnosed stage 4 lung cancer, it took us by surprise because he never smoked a cigarette and he always lead a healthy life style. He was diagnosed in the October of 2020 and is doing immunotherapy treatements once a month and draining his 1st tumor three times a week. 
However in June, 2 new tumors came out. The doctor wants to put him on three types of radiation, (Chemo, Radiation and, Immunotherapy) and my Dad wants to get the sugery to either remove the tumors or cut the lung off entirety.
I'm not asking for medical advice or what to do but i'm wondering if anyone here has experience with someone who decided to remove larger tumors or a lung, how did that turn out in the end? 
Thank you very much and God bless.</t>
        </is>
      </c>
      <c r="D10153" t="n">
        <v>1</v>
      </c>
      <c r="E10153" t="n">
        <v>9</v>
      </c>
      <c r="F10153">
        <f>HYPERLINK("https://www.reddit.com/r/cancer/comments/hmjhbu/question_regarding_surgery_with_large_tumors/")</f>
        <v/>
      </c>
      <c r="G10153" t="inlineStr">
        <is>
          <t>2020-07-06 16:49:15</t>
        </is>
      </c>
      <c r="H10153" t="inlineStr"/>
    </row>
    <row r="10154">
      <c r="A10154" t="inlineStr">
        <is>
          <t>hmkbfb</t>
        </is>
      </c>
      <c r="B10154" t="inlineStr">
        <is>
          <t>How do I offer support?</t>
        </is>
      </c>
      <c r="C10154" t="inlineStr">
        <is>
          <t>My boyfriend of 4.5 yrs received news that his dad was diagnosed with cancer a month ago. He's been pushing me away ever since then. His father passed away this morning. It breaks my heart. How can I support him and his family? He is barely talking. We are long distance... thanks for any advice.</t>
        </is>
      </c>
      <c r="D10154" t="n">
        <v>1</v>
      </c>
      <c r="E10154" t="n">
        <v>2</v>
      </c>
      <c r="F10154">
        <f>HYPERLINK("https://www.reddit.com/r/cancer/comments/hmkbfb/how_do_i_offer_support/")</f>
        <v/>
      </c>
      <c r="G10154" t="inlineStr">
        <is>
          <t>2020-07-06 17:40:48</t>
        </is>
      </c>
      <c r="H10154" t="inlineStr"/>
    </row>
    <row r="10155">
      <c r="A10155" t="inlineStr">
        <is>
          <t>hml7ez</t>
        </is>
      </c>
      <c r="B10155" t="inlineStr">
        <is>
          <t>My dad was diagnosed with glioblastoma stage 4 and i feel like dying inside.</t>
        </is>
      </c>
      <c r="C10155" t="inlineStr">
        <is>
          <t>I want to start by apologizing for my english level. 
We're from Colombia. My dad is 52, and he's diagnosed with Glioblastoma stage IV since january. The doctors 'removed it all' on february and my dad went to a difficult radio and Temozolomida treatment. Last month he didn't woke up and we we're told that he problably wouldn't wake up anymore, but he did and now he's in bed, he doesn't have strenght to move, and sometimes is conscious and sometimes not.
I can't stop crying when i research for this diagnosis on internet, and I desperately need the testimony of someone who has overcome this disease. Do you know any cases? 
I refuse to think i'm gonna lose him and live most of my life without my lovely daddy, i love him so much, he's my favorite person in the world and i've always have a loved and strong relationship with him, he calls me ''his baby girl''. Pls, i need to read them. Ty all in adv.</t>
        </is>
      </c>
      <c r="D10155" t="n">
        <v>1</v>
      </c>
      <c r="E10155" t="n">
        <v>14</v>
      </c>
      <c r="F10155">
        <f>HYPERLINK("https://www.reddit.com/r/cancer/comments/hml7ez/my_dad_was_diagnosed_with_glioblastoma_stage_4/")</f>
        <v/>
      </c>
      <c r="G10155" t="inlineStr">
        <is>
          <t>2020-07-06 18:37:50</t>
        </is>
      </c>
      <c r="H10155" t="inlineStr"/>
    </row>
    <row r="10156">
      <c r="A10156" t="inlineStr">
        <is>
          <t>hmlfc3</t>
        </is>
      </c>
      <c r="B10156" t="inlineStr">
        <is>
          <t>Melanoma.org asking for address and zip code?</t>
        </is>
      </c>
      <c r="C10156" t="inlineStr">
        <is>
          <t>Uh... why? I’m trying to sign my parent up but like why do they need their address? Doesn’t seem pertinent.</t>
        </is>
      </c>
      <c r="D10156" t="n">
        <v>1</v>
      </c>
      <c r="E10156" t="n">
        <v>5</v>
      </c>
      <c r="F10156">
        <f>HYPERLINK("https://www.reddit.com/r/cancer/comments/hmlfc3/melanomaorg_asking_for_address_and_zip_code/")</f>
        <v/>
      </c>
      <c r="G10156" t="inlineStr">
        <is>
          <t>2020-07-06 18:52:50</t>
        </is>
      </c>
      <c r="H10156" t="inlineStr"/>
    </row>
    <row r="10157">
      <c r="A10157" t="inlineStr">
        <is>
          <t>hmo4d7</t>
        </is>
      </c>
      <c r="B10157" t="inlineStr">
        <is>
          <t>Marjorie</t>
        </is>
      </c>
      <c r="C10157" t="inlineStr">
        <is>
          <t>It's been hours and we miss you.
We miss your voice,
Your long silences,
your quiet smiles, 
your loud stares.
That create a big presence. 
The proud matriarch in the room
Silently doting on all her blessings.
Our eyes can no longer trail
The knots in your fingers, 
The roll of your eyes, 
The bend in your back, 
And the breath in your chest.
And all of the rest. 
Fuck cancer.</t>
        </is>
      </c>
      <c r="D10157" t="n">
        <v>1</v>
      </c>
      <c r="E10157" t="n">
        <v>1</v>
      </c>
      <c r="F10157">
        <f>HYPERLINK("https://www.reddit.com/r/cancer/comments/hmo4d7/marjorie/")</f>
        <v/>
      </c>
      <c r="G10157" t="inlineStr">
        <is>
          <t>2020-07-06 21:58:27</t>
        </is>
      </c>
      <c r="H10157" t="inlineStr"/>
    </row>
    <row r="10158">
      <c r="A10158" t="inlineStr">
        <is>
          <t>hmq19w</t>
        </is>
      </c>
      <c r="B10158" t="inlineStr">
        <is>
          <t>I am grateful for my wife and daughter.</t>
        </is>
      </c>
      <c r="C10158" t="inlineStr">
        <is>
          <t>This is my second round with cancer a year apart. I am headed to the hospital in a couple weeks for my bone marrow transplant. I have a lot of dr appointments and medical stuff to do before then. I looked at the schedule this morning and immediately became furious. I’m so fucking tired of this shit. Not to mention I’m scared shitless and have crazy anxiety. Anyway I was so angry today I really upset my wife. I just vented all day and really fucked us both up. Cancer is so stupid for all who are affected, and the people on the outside don’t get it at all. I’m grateful I have support from my wife and little girl. I got this, fuck cancer.</t>
        </is>
      </c>
      <c r="D10158" t="n">
        <v>1</v>
      </c>
      <c r="E10158" t="n">
        <v>10</v>
      </c>
      <c r="F10158">
        <f>HYPERLINK("https://www.reddit.com/r/cancer/comments/hmq19w/i_am_grateful_for_my_wife_and_daughter/")</f>
        <v/>
      </c>
      <c r="G10158" t="inlineStr">
        <is>
          <t>2020-07-07 00:32:53</t>
        </is>
      </c>
      <c r="H10158" t="inlineStr"/>
    </row>
    <row r="10159">
      <c r="A10159" t="inlineStr">
        <is>
          <t>hmqdgm</t>
        </is>
      </c>
      <c r="B10159" t="inlineStr">
        <is>
          <t>Seeking a little positivity for my friend</t>
        </is>
      </c>
      <c r="C10159" t="inlineStr">
        <is>
          <t>Hello, all.
I want to start off saying that I don't have cancer (as far as I know) and that I've never really posted anywhere before, so please forgive me if I've made a faux pas.
My friend (who I'll call Kat here) recently had to go to the hospital and had a lot of issues which culminated in surgeons removing a 40-pound (18.1 kg) tumor.  This is her second cancer diagnosis and she's stuck in the hospital for the foreseeable future until she stabilizes more. Although the prognosis looks good right now, she's scared and stressed and I feel terrible that I can't visit her.
I was hoping that people wouldn't mind posting some supportive comments to help her get through this tough time.  I'm sure it would help her and it would mean the world to me.  
I know that there have been some issues with people faking recently, but this is my normal account and I really don't want any upvotes or awards or anything like that; just some support for my friend. (Honestly I don't understand the obsession with pretend points on reddit.)
P.S. If I've made a mistake or offended someone, please feel free to remove this, mods.</t>
        </is>
      </c>
      <c r="D10159" t="n">
        <v>1</v>
      </c>
      <c r="E10159" t="n">
        <v>7</v>
      </c>
      <c r="F10159">
        <f>HYPERLINK("https://www.reddit.com/r/cancer/comments/hmqdgm/seeking_a_little_positivity_for_my_friend/")</f>
        <v/>
      </c>
      <c r="G10159" t="inlineStr">
        <is>
          <t>2020-07-07 01:02:17</t>
        </is>
      </c>
      <c r="H10159" t="inlineStr"/>
    </row>
    <row r="10160">
      <c r="A10160" t="inlineStr">
        <is>
          <t>hmqs20</t>
        </is>
      </c>
      <c r="B10160" t="inlineStr">
        <is>
          <t>Kind request for participation in survey for people with chronic pain</t>
        </is>
      </c>
      <c r="C10160" t="inlineStr">
        <is>
          <t xml:space="preserve">Hello fellow chronic pain sufferers! We are a group of researchers from the UK (Middlesex University and City, University of London) and Sweden (Uppsala University) and have launched a survey aiming to explore the impact of COVID19 for people with chronic pain (i.e. back, neck, shoulder, nerve pain etc.). 
If you are an adult suffering from chronic pain and would be willing to spare a few minutes, please answer the questionnaire which can be found here: 
https://mdxl.eu.qualtrics.com/jfe/form/SV_aWVZ3WKtZaMJydv
Your participation is highly valuable and will allow research to proceed further. Thank you in advance for your help and time! </t>
        </is>
      </c>
      <c r="D10160" t="n">
        <v>1</v>
      </c>
      <c r="E10160" t="n">
        <v>0</v>
      </c>
      <c r="F10160">
        <f>HYPERLINK("https://www.reddit.com/r/cancer/comments/hmqs20/kind_request_for_participation_in_survey_for/")</f>
        <v/>
      </c>
      <c r="G10160" t="inlineStr">
        <is>
          <t>2020-07-07 01:37:32</t>
        </is>
      </c>
      <c r="H10160" t="inlineStr"/>
    </row>
    <row r="10161">
      <c r="A10161" t="inlineStr">
        <is>
          <t>hmtcot</t>
        </is>
      </c>
      <c r="B10161" t="inlineStr">
        <is>
          <t>Where can I find cancer patients or cancer survivors who are willing to participate in usability tests?</t>
        </is>
      </c>
      <c r="C10161" t="inlineStr">
        <is>
          <t>We are currently developing a tool for cancer patients, to help them managing the disease.
We need cancer patients or survivors willing to take part in one of our usability test, and give some feedback. If you want to take part or know someone. Please contact me at: [info@vaehk.com](mailto:info@vaehk.com)
Thank you all.</t>
        </is>
      </c>
      <c r="D10161" t="n">
        <v>1</v>
      </c>
      <c r="E10161" t="n">
        <v>3</v>
      </c>
      <c r="F10161">
        <f>HYPERLINK("https://www.reddit.com/r/cancer/comments/hmtcot/where_can_i_find_cancer_patients_or_cancer/")</f>
        <v/>
      </c>
      <c r="G10161" t="inlineStr">
        <is>
          <t>2020-07-07 05:09:41</t>
        </is>
      </c>
      <c r="H10161" t="inlineStr"/>
    </row>
    <row r="10162">
      <c r="A10162" t="inlineStr">
        <is>
          <t>hmtf24</t>
        </is>
      </c>
      <c r="B10162" t="inlineStr">
        <is>
          <t>Radiation burn/pain?</t>
        </is>
      </c>
      <c r="C10162" t="inlineStr">
        <is>
          <t>Have you had radiation, then had pain or burning for months after?
My mom is recovering from Hers 2 breast cancer and had a double mastectomy. Hasn’t had radiation in months. If you even lightly touch her radiation spot it causes excessive pain.
Doctor dismisses it. 
Curious if anyone else has experienced this, if it got better, what alleviated it, etc.
Thank you!</t>
        </is>
      </c>
      <c r="D10162" t="n">
        <v>1</v>
      </c>
      <c r="E10162" t="n">
        <v>8</v>
      </c>
      <c r="F10162">
        <f>HYPERLINK("https://www.reddit.com/r/cancer/comments/hmtf24/radiation_burnpain/")</f>
        <v/>
      </c>
      <c r="G10162" t="inlineStr">
        <is>
          <t>2020-07-07 05:14:15</t>
        </is>
      </c>
      <c r="H10162" t="inlineStr"/>
    </row>
    <row r="10163">
      <c r="A10163" t="inlineStr">
        <is>
          <t>hmw9ut</t>
        </is>
      </c>
      <c r="B10163" t="inlineStr">
        <is>
          <t>Mom with breast cancer stage 4, got admitted to hospital because if low haemoglobin</t>
        </is>
      </c>
      <c r="C10163" t="inlineStr">
        <is>
          <t>She also been feeling weak, will she feel better after the blood transfusion finishes?
Rn it's taking place and next day it would do as well.</t>
        </is>
      </c>
      <c r="D10163" t="n">
        <v>1</v>
      </c>
      <c r="E10163" t="n">
        <v>4</v>
      </c>
      <c r="F10163">
        <f>HYPERLINK("https://www.reddit.com/r/cancer/comments/hmw9ut/mom_with_breast_cancer_stage_4_got_admitted_to/")</f>
        <v/>
      </c>
      <c r="G10163" t="inlineStr">
        <is>
          <t>2020-07-07 08:08:17</t>
        </is>
      </c>
      <c r="H10163" t="inlineStr"/>
    </row>
    <row r="10164">
      <c r="A10164" t="inlineStr">
        <is>
          <t>hmznei</t>
        </is>
      </c>
      <c r="B10164" t="inlineStr">
        <is>
          <t>My grandma who I was very close to died two weeks ago after her cancer spread and I’m finding I can’t cope.</t>
        </is>
      </c>
      <c r="C10164" t="inlineStr">
        <is>
          <t>If this is the wrong sub, I’ll move it. 
Two weeks ago, my grandma passed away after her ovarian cancer spread. Although we were told she had three weeks and I was able to see her before she died, I am really struggling at the moment. I keep feeling either numb or weepy and sometimes I have panic attacks about if I’ll get cancer.  Does anyone have any tips on how to deal with grief?</t>
        </is>
      </c>
      <c r="D10164" t="n">
        <v>1</v>
      </c>
      <c r="E10164" t="n">
        <v>16</v>
      </c>
      <c r="F10164">
        <f>HYPERLINK("https://www.reddit.com/r/cancer/comments/hmznei/my_grandma_who_i_was_very_close_to_died_two_weeks/")</f>
        <v/>
      </c>
      <c r="G10164" t="inlineStr">
        <is>
          <t>2020-07-07 11:04:15</t>
        </is>
      </c>
      <c r="H10164" t="inlineStr"/>
    </row>
    <row r="10165">
      <c r="A10165" t="inlineStr">
        <is>
          <t>hmzw9q</t>
        </is>
      </c>
      <c r="B10165" t="inlineStr">
        <is>
          <t>Help me motivate someone with cancer</t>
        </is>
      </c>
      <c r="C10165" t="inlineStr">
        <is>
          <t>Yesterday I cut my hair in order to give it to a NGO which makes wigs for cancer patients. I have to write a motivational note and I thought you could tell me what inspired and motivated you along this journey (quotes maybe). Thank you so much and I hope the best for you all.
P. S. : I'm currently studying medicine in my home country so I can actively help some day. 🙏</t>
        </is>
      </c>
      <c r="D10165" t="n">
        <v>1</v>
      </c>
      <c r="E10165" t="n">
        <v>3</v>
      </c>
      <c r="F10165">
        <f>HYPERLINK("https://www.reddit.com/r/cancer/comments/hmzw9q/help_me_motivate_someone_with_cancer/")</f>
        <v/>
      </c>
      <c r="G10165" t="inlineStr">
        <is>
          <t>2020-07-07 11:16:48</t>
        </is>
      </c>
      <c r="H10165" t="inlineStr"/>
    </row>
    <row r="10166">
      <c r="A10166" t="inlineStr">
        <is>
          <t>hn15ha</t>
        </is>
      </c>
      <c r="B10166" t="inlineStr">
        <is>
          <t>Newly Diagnosed, How do I tell those around me.</t>
        </is>
      </c>
      <c r="C10166" t="inlineStr">
        <is>
          <t>Hi All, 
I have been diagnosed with a Stage 2 Astrocytoma in my brain. It is unfortunately inoperable as it is too deep in the brain. However my team is hopeful that I can blast it with a chemo/radiation cycle and then a year of maintenance chemo. 
My family knows, but I’m seeking advice for how to tell those around me - close friends etc. I’m really struggling to come up with words, I had a bit of a dramatic year as I actually survived a really bad accident. I’ve only just returned to normalcy and now I feel like the breaks are being halted again. 
I want my friends to understand the seriousness but I don’t want to be undermined with the ‘You’re so brave, my grandma had it and was fine blah blah blah’. 
If folks could share some advice - I would so appreciate it.</t>
        </is>
      </c>
      <c r="D10166" t="n">
        <v>1</v>
      </c>
      <c r="E10166" t="n">
        <v>6</v>
      </c>
      <c r="F10166">
        <f>HYPERLINK("https://www.reddit.com/r/cancer/comments/hn15ha/newly_diagnosed_how_do_i_tell_those_around_me/")</f>
        <v/>
      </c>
      <c r="G10166" t="inlineStr">
        <is>
          <t>2020-07-07 12:22:00</t>
        </is>
      </c>
      <c r="H10166" t="inlineStr"/>
    </row>
    <row r="10167">
      <c r="A10167" t="inlineStr">
        <is>
          <t>hn1f6a</t>
        </is>
      </c>
      <c r="B10167" t="inlineStr">
        <is>
          <t>How do I help him?</t>
        </is>
      </c>
      <c r="C10167" t="inlineStr">
        <is>
          <t>So ling story short, back in May my Dad (between ages of 45-50), was diagnosed with penile cancer. They went in late may to do a partial penectomy. He went back to work June 30th, he went to the doctor today due to pain, and they think it may be back. He's going in for cat scans soon. They think it may be back. They'd probably be having to do a full penectomy this time. I just want to know how I can help him through this? Now we don't know if it was just irritation from being back at work, it not being fully healed, or if the cancer is back.
My other concern is well, mental health. We are a very pro 2A household, and have multiple firearms (all within 15 feet of his bed/recliner/desktop. Now, Im just a teenager myself (between ages of 13-15), how can I make sure that his mental health doesn't push him over into suicide. His work has a counselor set up for him, but he doesn't think he needs it.
Were really hoping that it was just irritation or not fully healed, but we gotta prepare for the worse.</t>
        </is>
      </c>
      <c r="D10167" t="n">
        <v>1</v>
      </c>
      <c r="E10167" t="n">
        <v>16</v>
      </c>
      <c r="F10167">
        <f>HYPERLINK("https://www.reddit.com/r/cancer/comments/hn1f6a/how_do_i_help_him/")</f>
        <v/>
      </c>
      <c r="G10167" t="inlineStr">
        <is>
          <t>2020-07-07 12:36:07</t>
        </is>
      </c>
      <c r="H10167" t="inlineStr"/>
    </row>
    <row r="10168">
      <c r="A10168" t="inlineStr">
        <is>
          <t>hn2yqi</t>
        </is>
      </c>
      <c r="B10168" t="inlineStr">
        <is>
          <t>New sibling of a cancer fighter</t>
        </is>
      </c>
      <c r="C10168" t="inlineStr">
        <is>
          <t>Amazed at all the inspiring stories here and super grateful that there is a community out there for those of us associated/diagnosed with this horrible disease.
My sister was just diagnosed with cancer the beginning of this year and she just started her treatment today. What are some things my family and I can do to help keep her comfortable and sanitary, especially in this current covid situation. We’re all so afraid to touch her without washing our hands or bring anything into the house that might not be sanitized.
I appreciate the tips in advance!</t>
        </is>
      </c>
      <c r="D10168" t="n">
        <v>1</v>
      </c>
      <c r="E10168" t="n">
        <v>6</v>
      </c>
      <c r="F10168">
        <f>HYPERLINK("https://www.reddit.com/r/cancer/comments/hn2yqi/new_sibling_of_a_cancer_fighter/")</f>
        <v/>
      </c>
      <c r="G10168" t="inlineStr">
        <is>
          <t>2020-07-07 13:58:21</t>
        </is>
      </c>
      <c r="H10168" t="inlineStr"/>
    </row>
    <row r="10169">
      <c r="A10169" t="inlineStr">
        <is>
          <t>hn3ppy</t>
        </is>
      </c>
      <c r="B10169" t="inlineStr">
        <is>
          <t>Was diagnosed with kidney cancer today</t>
        </is>
      </c>
      <c r="C10169" t="inlineStr">
        <is>
          <t>Hi folks,
New here and as the title says, I just found out I have kidney cancer.
I went into hospital a few weeks back with a pain in my right kidney (which ended up being a kidney stone) had a CT scan and was told that they have discovered a bulge on my left kidney.
Had to go back for a 2nd CT scan where they injected me with a dye and got the results today. I have to go for another CT scan on my chest as they have to check if it has spread (they seem to think it hasn't spread though)
I'll be honest, I'm shitting myself. Has anyone here had any experience with this personally or any family members that have? I just dont know what to expect operation wise, what medication I might go onto, how it will make me feel etc.
I looked online (probably the worst thing I could do) and there appears to be a LOT of possible medications etc.
All my close family now know, but I will not tell my kids unless it gets to a stage where i really have to.
Anyway, thanks for listening/reading and if anyone can offer any advice or words of wisdom it would be most appreciated.</t>
        </is>
      </c>
      <c r="D10169" t="n">
        <v>1</v>
      </c>
      <c r="E10169" t="n">
        <v>41</v>
      </c>
      <c r="F10169">
        <f>HYPERLINK("https://www.reddit.com/r/cancer/comments/hn3ppy/was_diagnosed_with_kidney_cancer_today/")</f>
        <v/>
      </c>
      <c r="G10169" t="inlineStr">
        <is>
          <t>2020-07-07 14:38:47</t>
        </is>
      </c>
      <c r="H10169" t="inlineStr"/>
    </row>
    <row r="10170">
      <c r="A10170" t="inlineStr">
        <is>
          <t>hn5wk7</t>
        </is>
      </c>
      <c r="B10170" t="inlineStr">
        <is>
          <t>Is cancer a form of population control by God?</t>
        </is>
      </c>
      <c r="C10170" t="inlineStr">
        <is>
          <t>Many people who get cancer had an unhealthy lifestyle, had bad genes, or they had something else wrong with them.  Is cancer God's way of thinning the weak from the herd, leaving the rest of the herd stronger?  I know this isn't always the case because sometimes cancer is random, but in many cases it could have been prevented or there was something wrong with the person.</t>
        </is>
      </c>
      <c r="D10170" t="n">
        <v>1</v>
      </c>
      <c r="E10170" t="n">
        <v>0</v>
      </c>
      <c r="F10170">
        <f>HYPERLINK("https://www.reddit.com/r/cancer/comments/hn5wk7/is_cancer_a_form_of_population_control_by_god/")</f>
        <v/>
      </c>
      <c r="G10170" t="inlineStr">
        <is>
          <t>2020-07-07 16:39:52</t>
        </is>
      </c>
      <c r="H10170" t="inlineStr"/>
    </row>
    <row r="10171">
      <c r="A10171" t="inlineStr">
        <is>
          <t>hn5wlp</t>
        </is>
      </c>
      <c r="B10171" t="inlineStr">
        <is>
          <t>Teen support groups</t>
        </is>
      </c>
      <c r="C10171" t="inlineStr">
        <is>
          <t>Does anyone know any support groups for teens with cancer? I have a discord, but I’m trying to find other kids who are also dealing with cancer</t>
        </is>
      </c>
      <c r="D10171" t="n">
        <v>1</v>
      </c>
      <c r="E10171" t="n">
        <v>3</v>
      </c>
      <c r="F10171">
        <f>HYPERLINK("https://www.reddit.com/r/cancer/comments/hn5wlp/teen_support_groups/")</f>
        <v/>
      </c>
      <c r="G10171" t="inlineStr">
        <is>
          <t>2020-07-07 16:39:56</t>
        </is>
      </c>
      <c r="H10171" t="inlineStr"/>
    </row>
    <row r="10172">
      <c r="A10172" t="inlineStr">
        <is>
          <t>hn6btk</t>
        </is>
      </c>
      <c r="B10172" t="inlineStr">
        <is>
          <t>Finishing treatment!!</t>
        </is>
      </c>
      <c r="C10172" t="inlineStr">
        <is>
          <t>I was diagnosed with Ewing's Sarcoma about 9 months ago now. It's really been an awful 9 months but at least I now know that all the chemotherapy and radiotherapy has been worth it!
&amp;amp;#x200B;
I had a meeting with my oncologist yesterday who told me that there is no evidence of disease on my scans! He's happy for me to finish treatment. I just have a few days of radiotherapy left to help prevent any recurrence in my spine. But then I'm done. 
&amp;amp;#x200B;
Felt really weird when instead of telling me when my next chemo session was, he just told me to make an appointment with the receptionist to see him in September for a check up. Fingers crossed for my scans in September to be all good. I really thought I would never see the day I would finish treatment. The doctors weren't really sure about it in the beginning either. If anyone is looking for hope today, I hope this gives you some and keep on fighting &amp;lt;3</t>
        </is>
      </c>
      <c r="D10172" t="n">
        <v>1</v>
      </c>
      <c r="E10172" t="n">
        <v>14</v>
      </c>
      <c r="F10172">
        <f>HYPERLINK("https://www.reddit.com/r/cancer/comments/hn6btk/finishing_treatment/")</f>
        <v/>
      </c>
      <c r="G10172" t="inlineStr">
        <is>
          <t>2020-07-07 17:04:36</t>
        </is>
      </c>
      <c r="H10172" t="inlineStr"/>
    </row>
    <row r="10173">
      <c r="A10173" t="inlineStr">
        <is>
          <t>hn727c</t>
        </is>
      </c>
      <c r="B10173" t="inlineStr">
        <is>
          <t>Doea anyone know if Carboplatin is normally used to treat breast cancer?</t>
        </is>
      </c>
      <c r="C10173" t="inlineStr">
        <is>
          <t>My mom has been getting weekly doses of taxol and carboplatin, but I read that carbo is used for ovarian cancer, so I'm a bit confused.</t>
        </is>
      </c>
      <c r="D10173" t="n">
        <v>1</v>
      </c>
      <c r="E10173" t="n">
        <v>5</v>
      </c>
      <c r="F10173">
        <f>HYPERLINK("https://www.reddit.com/r/cancer/comments/hn727c/doea_anyone_know_if_carboplatin_is_normally_used/")</f>
        <v/>
      </c>
      <c r="G10173" t="inlineStr">
        <is>
          <t>2020-07-07 17:49:42</t>
        </is>
      </c>
      <c r="H10173" t="inlineStr"/>
    </row>
    <row r="10174">
      <c r="A10174" t="inlineStr">
        <is>
          <t>hn7aqf</t>
        </is>
      </c>
      <c r="B10174" t="inlineStr">
        <is>
          <t>As of Friday, my dad will be finished with his treatment!</t>
        </is>
      </c>
      <c r="C10174" t="inlineStr">
        <is>
          <t>I wanted to share my good news because the past year has been rough. Last spring my dad was diagnosed with stage 3 colorectal cancer that had spread to his lymph nodes. He started chemo and chemo/radiotherapy treatment, which he responded to really well. The tumor shrank and the nodes were clean. He had some bumps along the road and a few hospital stays, lost a lot of weight (and he was already skinny), etc.
In April he had his first surgery and an ileostomy, and again we had complications. He kept having blockages in his stoma and we had to take him back to the hospital a couple times which was nerve-wracking with the pandemic going on and living in a major city. He had to keep a catheter to prevent the blockages and things seemed to be working out pretty well apart from an incident when he passed out in the hallway and for a traumatic few moments I was irrationally convinced he had somehow died-- I've never known fear like that in my life.
Well, after a little over a year of treatment and love and worry and stress, this Friday he will be getting his last surgery, the reversal of his ileostomy, and only 20% of his colon had to be removed so once he recovers from the surgery he will be fully recovered! They were able to remove all of the cancer the first time around.
I wanted to share my good news and preferably offer some hope to those of you who are still going through this. When we first heard the diagnosis we were hopeful but terrified, and now we are finally almost on the other side.</t>
        </is>
      </c>
      <c r="D10174" t="n">
        <v>1</v>
      </c>
      <c r="E10174" t="n">
        <v>3</v>
      </c>
      <c r="F10174">
        <f>HYPERLINK("https://www.reddit.com/r/cancer/comments/hn7aqf/as_of_friday_my_dad_will_be_finished_with_his/")</f>
        <v/>
      </c>
      <c r="G10174" t="inlineStr">
        <is>
          <t>2020-07-07 18:04:44</t>
        </is>
      </c>
      <c r="H10174" t="inlineStr"/>
    </row>
    <row r="10175">
      <c r="A10175" t="inlineStr">
        <is>
          <t>hn7o9e</t>
        </is>
      </c>
      <c r="B10175" t="inlineStr">
        <is>
          <t>Going to chemo therapy with my boyfriends mum</t>
        </is>
      </c>
      <c r="C10175" t="inlineStr">
        <is>
          <t>In a few weeks I'm going to be taking the day off to go to chemo therapy with my boyfriends mum, it'll just be us two because of covid restrictions. She has a rare form of terminal breast cancer.
I'm going because she wants to get to know me better since I've been dating her son for a year &amp;amp; we don't talk much due to my anxiety &amp;amp; ASD. Also I don't want to bother her because she's often resting or being a mum. I was meant to go over today for lunch but I decided not to because she had chemo two days ago &amp;amp; she already said no to me staying over because she was uncomfortable with me seeing her sick &amp;amp; in her pj's. I didn't want her to feel like she has to do anything today for anyone else. She doesn't know my mum is also dying because I feel weird bringing that stuff up. Anyways.
I'm not sure what to expect. I was a bit uncomfortable when my boyfriend said his mum would like to do that because death kinda triggers me &amp;amp; I've had two family members recently pass from cancer but I accept that it's just life. Cancer unfortunately is really common &amp;amp; she would see it as supportive if I go with her, so I want to.</t>
        </is>
      </c>
      <c r="D10175" t="n">
        <v>1</v>
      </c>
      <c r="E10175" t="n">
        <v>10</v>
      </c>
      <c r="F10175">
        <f>HYPERLINK("https://www.reddit.com/r/cancer/comments/hn7o9e/going_to_chemo_therapy_with_my_boyfriends_mum/")</f>
        <v/>
      </c>
      <c r="G10175" t="inlineStr">
        <is>
          <t>2020-07-07 18:28:13</t>
        </is>
      </c>
      <c r="H10175" t="inlineStr"/>
    </row>
    <row r="10176">
      <c r="A10176" t="inlineStr">
        <is>
          <t>hn86j8</t>
        </is>
      </c>
      <c r="B10176" t="inlineStr">
        <is>
          <t>What do you think? Would would you do? What can I do? I'm curious</t>
        </is>
      </c>
      <c r="C10176" t="inlineStr">
        <is>
          <t>This is kind of a part two to another post I made on r/cancer
In a few weeks, I'm going to chemo therapy with my boyfriends mum &amp;amp; it will just be us. She's asked me to come because she wants to get to know me better since I've been dating her son for year yet her &amp;amp; I don't talk much because I have a lot of anxiety &amp;amp; ASD. Mostly I just don't want to bother her because if she's not resting, she's doing mum things. I know she'd see it as supportive if I asked how treatments going or other related questions but I don't know how to ask or go about it because my mums also terminally ill (not with cancer, &amp;amp; his mum is unaware) &amp;amp; I recently had two family members pass of cancer. Its triggering &amp;amp; I don't want to ask any rude questions or ask at the wrong time because personally If I were watching a movie with my family or having a nice day at the beach I wouldn't want to be reminded I have cancer. That's when my boyfriend tells me to ask how treatment is going.
I guess my main purpose of this post though is to see what others think. Her &amp;amp; I are similar in a lot of ways but also very different, what's taboo for her is far from taboo for me which makes a lot of topics questionable &amp;amp; she might think I'm a bad influence or I'm more messed up than I am. I don't know what to talk about while we be at chemo, I guess we'll just go with the flow but I'm still curious to see what others think. I know that not everyone sees the same things as supportive but I'm also just curious to what you guys see as supportive? I'm the kind of person who tries to distract people. How would you go about it if you were going to chemo with your technically mother in law but you guys weren't close. Stupid question maybe but Im curious.
Anyways thanks for any advice I appreciate it.</t>
        </is>
      </c>
      <c r="D10176" t="n">
        <v>1</v>
      </c>
      <c r="E10176" t="n">
        <v>4</v>
      </c>
      <c r="F10176">
        <f>HYPERLINK("https://www.reddit.com/r/cancer/comments/hn86j8/what_do_you_think_would_would_you_do_what_can_i/")</f>
        <v/>
      </c>
      <c r="G10176" t="inlineStr">
        <is>
          <t>2020-07-07 18:59:41</t>
        </is>
      </c>
      <c r="H10176" t="inlineStr"/>
    </row>
    <row r="10177">
      <c r="A10177" t="inlineStr">
        <is>
          <t>hn9q6u</t>
        </is>
      </c>
      <c r="B10177" t="inlineStr">
        <is>
          <t>Did you feel better being awake or asleep during chemotherapy iv?</t>
        </is>
      </c>
      <c r="C10177" t="inlineStr">
        <is>
          <t>I did 4xbep wich is about 2 months of chemo, most of the days i was awake during the therapy, only 1 day i feel asleep and woke up feeling all fuzzy.
What has been your experience with that perspective of the threatment? 
I felt falling asleep was a bad idea</t>
        </is>
      </c>
      <c r="D10177" t="n">
        <v>1</v>
      </c>
      <c r="E10177" t="n">
        <v>4</v>
      </c>
      <c r="F10177">
        <f>HYPERLINK("https://www.reddit.com/r/cancer/comments/hn9q6u/did_you_feel_better_being_awake_or_asleep_during/")</f>
        <v/>
      </c>
      <c r="G10177" t="inlineStr">
        <is>
          <t>2020-07-07 20:37:34</t>
        </is>
      </c>
      <c r="H10177" t="inlineStr"/>
    </row>
    <row r="10178">
      <c r="A10178" t="inlineStr">
        <is>
          <t>hnb2j1</t>
        </is>
      </c>
      <c r="B10178" t="inlineStr">
        <is>
          <t>Feeling guilty. Sorry for long post</t>
        </is>
      </c>
      <c r="C10178" t="inlineStr">
        <is>
          <t>I'm the primary caregiver for my mum (48) who has been diagnosed with malignant adenocarcinoma. She is going through chemo cycles with radiation coming up a few months down the line. She and my father (50) both are hearing impaired and we live with my grandmother (70+).
I lost my job during the pandemic and since my grandmother and mother are at high risk and my father can't communicate effectively with everyone's mask on, all responsibilities have fallen on me (24). Domestic as well as hospital, insurance related. I'm trying to do odd jobs which keep me occupied otherwise.
My mother gets better in the break between two chemos and starts working around in the kitchen. She is torn between wanting to help and getting tired soon. This leads to frustration and flares which subside eventually. She is usually very sweet and mild tempered, but has been getting angry quite frequently lately. I'm guessing it is because of the treatment. We also lost a close relative, same age as her to cancer and it has been hard on us. 
Today I was supposed to take my mum for a test but I was working on an assignment. I got a little ticked off and asked her to go with my father. She said okay angrily initially but then I finished my work and took her.
I'm feeling guilty I made her feel bad. It's just that there's just noone else to help and I could really do with some attention. My SO lives in another town and is busy with work, and nobody can visit us because we have vulnerable people at home and are trying to keep any risk of Covid 19 away. My emotional needs are clearly not being met, not even going to mention other needs here. It keeps me grumpy and depressed all the time. Therapy hasn't helped because where there's emotional need unfulfilled, it can't be compensated. 
I'm tired of putting on a happy face all the time. I feel helpless,  exhausted and annoyed. And guilty because I do.
Once in a while everyone says I'm taking good care of my mum. But I feel like I need to be taken care of. I want to be pampered. I miss my friends, my SO.</t>
        </is>
      </c>
      <c r="D10178" t="n">
        <v>1</v>
      </c>
      <c r="E10178" t="n">
        <v>0</v>
      </c>
      <c r="F10178">
        <f>HYPERLINK("https://www.reddit.com/r/cancer/comments/hnb2j1/feeling_guilty_sorry_for_long_post/")</f>
        <v/>
      </c>
      <c r="G10178" t="inlineStr">
        <is>
          <t>2020-07-07 22:12:21</t>
        </is>
      </c>
      <c r="H10178" t="inlineStr"/>
    </row>
    <row r="10179">
      <c r="A10179" t="inlineStr">
        <is>
          <t>hnce8a</t>
        </is>
      </c>
      <c r="B10179" t="inlineStr">
        <is>
          <t>How to help my friend whose mom is dying of cancer</t>
        </is>
      </c>
      <c r="C10179" t="inlineStr">
        <is>
          <t>Hi there everyone,
I wasn’t sure where exactly to go to ask for help since I don’t really know many people personally who have gone through a similar situation (with their family members I mean.)
Long story short, her mom is planning on using euthanasia later this month since she can’t handle the pain anymore, she’s been struggling for a while.
I’ve known my friend for 8 years but only in the past 2 has she started confiding in me in regards to her situation. I always want to help her but I never know how.
I’m meeting her tomorrow and I just want to know what to say to help her with coping and what to say if/when she decides to talk about it. I’m not good at dealing with others’ sadness because I don’t want to dismiss their pain but I also don’t want them to lament in it.
Her family situation is difficult and she’ll also be without parents entirely by then, I’m not sure what her housing situation will be following it either, I want to help but I can’t do much either since I’ve just graduated high school and am still dependent on my parents for things. I don’t know what to ask them to do if we’re able to do anything for her.
Thanks for everything, best of luck for all of you as well</t>
        </is>
      </c>
      <c r="D10179" t="n">
        <v>1</v>
      </c>
      <c r="E10179" t="n">
        <v>8</v>
      </c>
      <c r="F10179">
        <f>HYPERLINK("https://www.reddit.com/r/cancer/comments/hnce8a/how_to_help_my_friend_whose_mom_is_dying_of_cancer/")</f>
        <v/>
      </c>
      <c r="G10179" t="inlineStr">
        <is>
          <t>2020-07-08 00:03:40</t>
        </is>
      </c>
      <c r="H10179" t="inlineStr"/>
    </row>
    <row r="10180">
      <c r="A10180" t="inlineStr">
        <is>
          <t>hngeip</t>
        </is>
      </c>
      <c r="B10180" t="inlineStr">
        <is>
          <t>Recurrent Breast Cancer (triple negative) life expectancy</t>
        </is>
      </c>
      <c r="C10180" t="inlineStr">
        <is>
          <t>Hello,
My mother was diagnosed an early stage of breast cancer back in 2015. She (with doctor's advice) decided to do breast conserving surgery and experienced 4 treatments of chemotherapy and several radiation therapy. She seemed to be cured but recently her cancer came back. She did mastectomy and is diagnosed of "triple negative" breast cancer. As far as I know in the report it has spread to at least 1 lymph node.
As a 14 middle school student I'm very confused and worried,  will she die soon? I will update more information soon. Thank you. If this is off-topic I'm very sorry. Sorry for bad English.</t>
        </is>
      </c>
      <c r="D10180" t="n">
        <v>1</v>
      </c>
      <c r="E10180" t="n">
        <v>4</v>
      </c>
      <c r="F10180">
        <f>HYPERLINK("https://www.reddit.com/r/cancer/comments/hngeip/recurrent_breast_cancer_triple_negative_life/")</f>
        <v/>
      </c>
      <c r="G10180" t="inlineStr">
        <is>
          <t>2020-07-08 05:45:13</t>
        </is>
      </c>
      <c r="H10180" t="inlineStr"/>
    </row>
    <row r="10181">
      <c r="A10181" t="inlineStr">
        <is>
          <t>hngp1g</t>
        </is>
      </c>
      <c r="B10181" t="inlineStr">
        <is>
          <t>Could I have Esophageal cancer?</t>
        </is>
      </c>
      <c r="C10181" t="inlineStr">
        <is>
          <t>So I have gerd and I’m 18 and healthy weight. I’ve been on nexium and my heartburn only goes away when I take nexium. I’ve tried going off nexium but it just comes back after a few days. My nexium is all gone now and now I’ve been having chest pains when I lie down on my back and slight breathing problems. I booked an appointment for the doctor but I’m afraid it is Esophageal cancer or something. I don’t have difficulty swallowing or I’m not vomiting or anything and no lymph nodes</t>
        </is>
      </c>
      <c r="D10181" t="n">
        <v>1</v>
      </c>
      <c r="E10181" t="n">
        <v>2</v>
      </c>
      <c r="F10181">
        <f>HYPERLINK("https://www.reddit.com/r/cancer/comments/hngp1g/could_i_have_esophageal_cancer/")</f>
        <v/>
      </c>
      <c r="G10181" t="inlineStr">
        <is>
          <t>2020-07-08 06:05:03</t>
        </is>
      </c>
      <c r="H10181" t="inlineStr"/>
    </row>
    <row r="10182">
      <c r="A10182" t="inlineStr">
        <is>
          <t>hnhadb</t>
        </is>
      </c>
      <c r="B10182" t="inlineStr">
        <is>
          <t>Mom diagnosed with colorectal cancer, stage IV.</t>
        </is>
      </c>
      <c r="C10182" t="inlineStr">
        <is>
          <t>Hello, 
Two months ago my mother (65) did colonoscopy and they saw colorectal cancer with metastasis on liver after scan. One month after colonoscopy we got pathology results that it s indeed cancer cells. Surgeon did colostomy and council told her that they will try with chemotherapy first. 4 cycles on two weeks. 
She has 3 spots on liver, the biggest one is 5cm she is in pain now around rectum area. Due to priority of other patients and coronavirus situation, they still didn't start the therapy, and I don't think it will be soon. They told her they LL let her know. This is all happening in Serbia. If there is any Clinic around in a neighborhood country that you know or you heard about, let me know guys. Stay healthy!</t>
        </is>
      </c>
      <c r="D10182" t="n">
        <v>1</v>
      </c>
      <c r="E10182" t="n">
        <v>5</v>
      </c>
      <c r="F10182">
        <f>HYPERLINK("https://www.reddit.com/r/cancer/comments/hnhadb/mom_diagnosed_with_colorectal_cancer_stage_iv/")</f>
        <v/>
      </c>
      <c r="G10182" t="inlineStr">
        <is>
          <t>2020-07-08 06:43:25</t>
        </is>
      </c>
      <c r="H10182" t="inlineStr"/>
    </row>
    <row r="10183">
      <c r="A10183" t="inlineStr">
        <is>
          <t>hnkeff</t>
        </is>
      </c>
      <c r="B10183" t="inlineStr">
        <is>
          <t>Loved one w/cancer extremely unhappy</t>
        </is>
      </c>
      <c r="C10183" t="inlineStr">
        <is>
          <t>My husband is going through cancer treatments and is very uncomfortable all the time. It's to the point where, even between treatments, he rarely has a good day. It has been weeks now where, at best, he'll have a few hours of feeling better (but still not good). He is extremely unhappy and negative about it and I don't know what to do to support him. I offer to do things like make his lunch, but he doesn't want me to do that. He is short-tempered and has basically told me he doesn't care about my feelings. He is hesitant to take any painkillers, even Tylenol, but he does sometimes. Basically, he is just miserable and doesn't want any positivity around him at all unless he decides we can be positive. This is a complete nightmare, and I know he is suffering, but he doesn't seem to realize that I'm going through this, too. I wake up in the morning and dread getting through the day.</t>
        </is>
      </c>
      <c r="D10183" t="n">
        <v>3</v>
      </c>
      <c r="E10183" t="n">
        <v>15</v>
      </c>
      <c r="F10183">
        <f>HYPERLINK("https://www.reddit.com/r/cancer/comments/hnkeff/loved_one_wcancer_extremely_unhappy/")</f>
        <v/>
      </c>
      <c r="G10183" t="inlineStr">
        <is>
          <t>2020-07-08 09:39:22</t>
        </is>
      </c>
      <c r="H10183" t="inlineStr"/>
    </row>
    <row r="10184">
      <c r="A10184" t="inlineStr">
        <is>
          <t>hnl4xa</t>
        </is>
      </c>
      <c r="B10184" t="inlineStr">
        <is>
          <t>Anyone else experience roid rage?</t>
        </is>
      </c>
      <c r="C10184" t="inlineStr">
        <is>
          <t>I’ve unfortunately had to go on high dose steroids for my 3rd time. Good ol GVHD. 
Each time I get a really short temper. A wash of anger can sweep over me, I’ll say or do something awful, then immediately it’s gone. I feel ashamed of myself and I am hurting loved ones around me. 
The excuse “I’m really sorry it’s the steroids.” Doesn’t exactly hold up over months. 
When I am off steroids (prednisone) I literally never get mad. It is so out of character for me, and I have a talent for making words cut deep. I’m really at a loss for what to do. 
The doctors just tell me to relax and try meditating. But the anger lasts only 5 seconds at lost. Hardly any time to meditate. The damage is already done.</t>
        </is>
      </c>
      <c r="D10184" t="n">
        <v>1</v>
      </c>
      <c r="E10184" t="n">
        <v>5</v>
      </c>
      <c r="F10184">
        <f>HYPERLINK("https://www.reddit.com/r/cancer/comments/hnl4xa/anyone_else_experience_roid_rage/")</f>
        <v/>
      </c>
      <c r="G10184" t="inlineStr">
        <is>
          <t>2020-07-08 10:18:35</t>
        </is>
      </c>
      <c r="H10184" t="inlineStr"/>
    </row>
    <row r="10185">
      <c r="A10185" t="inlineStr">
        <is>
          <t>hnma0l</t>
        </is>
      </c>
      <c r="B10185" t="inlineStr">
        <is>
          <t>Family dog acting very weird after starting chemotherapy.</t>
        </is>
      </c>
      <c r="C10185" t="inlineStr">
        <is>
          <t>Hello - My mother was recently diagnosed with stage 4 colon cancer about two weeks ago. It all seems so surreal as this new reality for my family sets in. My mother started treatment this week. Upon completion of her first session we noticed the family dog acting oddly towards her. She works from home so they are acquainted very well and he usually sits behind her all day in her home office. Since that first run of treatment we’ve all noticed the dog to be a bit anxious/nervous (panting, acting skittish) especially towards her. He won’t sleep near her and doesn’t sit with her in her office as he had done before. I was curious if anyone else had experienced something of this nature where they’ve noticed there pet behave differently after starting treatment. It may seemed far fetched but I know pets have ways of sensing changes in ways. I know there were all type of precautions that we had to be aware of in regards to washing clothes separately, sharing a drink etc. Maybe the dog picks up/smells the medication? Would be interested to hear the communities thoughts. Thank you.</t>
        </is>
      </c>
      <c r="D10185" t="n">
        <v>1</v>
      </c>
      <c r="E10185" t="n">
        <v>3</v>
      </c>
      <c r="F10185">
        <f>HYPERLINK("https://www.reddit.com/r/cancer/comments/hnma0l/family_dog_acting_very_weird_after_starting/")</f>
        <v/>
      </c>
      <c r="G10185" t="inlineStr">
        <is>
          <t>2020-07-08 11:18:09</t>
        </is>
      </c>
      <c r="H10185" t="inlineStr"/>
    </row>
    <row r="10186">
      <c r="A10186" t="inlineStr">
        <is>
          <t>hnmxn3</t>
        </is>
      </c>
      <c r="B10186" t="inlineStr">
        <is>
          <t>For people who get home care chemotherapy, what do you do while the nurse is there?</t>
        </is>
      </c>
      <c r="C10186" t="inlineStr">
        <is>
          <t>My infusions are 2 hours so I usually just sit and watch TV but I have no idea what the norm is. Do you talk? Do you go to a different room? Do you just do work, chores, etc? I’ve been getting treatment for 4 months but I still feel awkward with the nurses.</t>
        </is>
      </c>
      <c r="D10186" t="n">
        <v>1</v>
      </c>
      <c r="E10186" t="n">
        <v>3</v>
      </c>
      <c r="F10186">
        <f>HYPERLINK("https://www.reddit.com/r/cancer/comments/hnmxn3/for_people_who_get_home_care_chemotherapy_what_do/")</f>
        <v/>
      </c>
      <c r="G10186" t="inlineStr">
        <is>
          <t>2020-07-08 11:51:45</t>
        </is>
      </c>
      <c r="H10186" t="inlineStr"/>
    </row>
    <row r="10187">
      <c r="A10187" t="inlineStr">
        <is>
          <t>hnn7hj</t>
        </is>
      </c>
      <c r="B10187" t="inlineStr">
        <is>
          <t>My mom is having trouble getting her chemo script - pharmacy and doctor not talking to each other</t>
        </is>
      </c>
      <c r="C10187" t="inlineStr">
        <is>
          <t>Any suggestions for how to deal with this? She has been on the phone talking to people at the hospital and then the pharmacy but not getting anywhere. When she doesn’t take it, it makes her sick.</t>
        </is>
      </c>
      <c r="D10187" t="n">
        <v>2</v>
      </c>
      <c r="E10187" t="n">
        <v>11</v>
      </c>
      <c r="F10187">
        <f>HYPERLINK("https://www.reddit.com/r/cancer/comments/hnn7hj/my_mom_is_having_trouble_getting_her_chemo_script/")</f>
        <v/>
      </c>
      <c r="G10187" t="inlineStr">
        <is>
          <t>2020-07-08 12:05:19</t>
        </is>
      </c>
      <c r="H10187" t="inlineStr"/>
    </row>
    <row r="10188">
      <c r="A10188" t="inlineStr">
        <is>
          <t>hnq9tt</t>
        </is>
      </c>
      <c r="B10188" t="inlineStr">
        <is>
          <t>Partial Nephrectomy questions</t>
        </is>
      </c>
      <c r="C10188" t="inlineStr">
        <is>
          <t>I’ve just been diagnosed with stage 1 renal cell carcinoma, so much fun! I have a surgery at the end of the month and I have a few questions
-	I have to have a drain that’s in my side for a few days after surgery. How big is the tube and do they just pull it out and then I have a hole in my side?
-	How many days were you in bad pain?</t>
        </is>
      </c>
      <c r="D10188" t="n">
        <v>1</v>
      </c>
      <c r="E10188" t="n">
        <v>8</v>
      </c>
      <c r="F10188">
        <f>HYPERLINK("https://www.reddit.com/r/cancer/comments/hnq9tt/partial_nephrectomy_questions/")</f>
        <v/>
      </c>
      <c r="G10188" t="inlineStr">
        <is>
          <t>2020-07-08 14:43:44</t>
        </is>
      </c>
      <c r="H10188" t="inlineStr"/>
    </row>
    <row r="10189">
      <c r="A10189" t="inlineStr">
        <is>
          <t>hnqpdv</t>
        </is>
      </c>
      <c r="B10189" t="inlineStr">
        <is>
          <t>My mom has liver metastasis and a weird spot on her pancreas</t>
        </is>
      </c>
      <c r="C10189" t="inlineStr">
        <is>
          <t>My mom (58) went to the hospital because of stomach pain, the doctor thought it was gallstones, but instead of gallstones they saw a lot of liver metastasis. She had a CT scan and they saw no other metastasis or any tumor, only a small spot on her pancreas with the size of 1.2cm. They will do a biopsy on friday but it takes 2 WEEKS (!!!) to get the results. She also did a bloodtest and they saw a high cancer value at the pancreas. But the doctor said the high value can also be caused because of the liver metastasis. She also has a lot of calcium, which is causing her stomach pain. We asked the doctor, what if the small 1.2 cm spot on her pancreas is a tumor, is it normal to have so many metastasis on her liver with such a small tumor? She said: that’s nearly impossible. The doctor also told us that my mom’s organs are perfect.
Also my mom did not lose weight and she still had a big appetite! She eats a lot. 
I am devastated, frightened and so sad. I’m 28 and my mom is my everything. I’m having anxiety attacks every day. I’m just looking for people who experienced something similar. I have so many questions. Like Is it possible that it’s NOT pancreas cancer? Maybe NET cancer? I’m so scared she might die in a few months.</t>
        </is>
      </c>
      <c r="D10189" t="n">
        <v>1</v>
      </c>
      <c r="E10189" t="n">
        <v>1</v>
      </c>
      <c r="F10189">
        <f>HYPERLINK("https://www.reddit.com/r/cancer/comments/hnqpdv/my_mom_has_liver_metastasis_and_a_weird_spot_on/")</f>
        <v/>
      </c>
      <c r="G10189" t="inlineStr">
        <is>
          <t>2020-07-08 15:07:58</t>
        </is>
      </c>
      <c r="H10189" t="inlineStr"/>
    </row>
    <row r="10190">
      <c r="A10190" t="inlineStr">
        <is>
          <t>hnr47o</t>
        </is>
      </c>
      <c r="B10190" t="inlineStr">
        <is>
          <t>What cancer feels like</t>
        </is>
      </c>
      <c r="C10190" t="inlineStr">
        <is>
          <t>I like to post this every now and then as I think it's a great story and discribes cancer perfectly. 
What’s it like to go through cancer treatment? It’s something like this: one day, you’re minding your own business, you open the fridge to get some breakfast, and OH MY GOD THERE’S A MOUNTAIN LION IN YOUR FRIDGE.
Wait, what? How? Why is there a mountain lion in your fridge? NO TIME TO EXPLAIN. RUN! THE MOUNTAIN LION WILL KILL YOU! UNLESS YOU FIND SOMETHING EVEN MORE FEROCIOUS TO KILL IT FIRST!
So you take off running, and the mountain lion is right behind you. You know the only thing that can kill a mountain lion is a bear, and the only bear is on top of the mountain, so you better find that bear. You start running up the mountain in hopes of finding the bear. Your friends desperately want to help, but they are powerless against mountain lions, as mountain lions are godless killing machines. But they really want to help, so they’re cheering you on and bringing you paper cups of water and orange slices as you run up the mountain and yelling at the mountain lion - “GET LOST, MOUNTAIN LION, NO ONE LIKES YOU” - and you really appreciate the support, but the mountain lion is still coming.
Also, for some reason, there’s someone in the crowd who’s yelling “that’s not really a mountain lion, it’s a puma” and another person yelling “I read that mountain lions are allergic to kale, have you tried rubbing kale on it?”
As you’re running up the mountain, you see other people fleeing their own mountain lions. Some of the mountain lions seem comparatively wimpy - they’re half grown and only have three legs or whatever, and you think to yourself - why couldn’t I have gotten one of those mountain lions? But then you look over at the people who are fleeing mountain lions the size of a monster truck with huge prehistoric saber fangs, and you feel like an asshole for even thinking that - and besides, who in their right mind would want to fight a mountain lion, even a three-legged one?
Finally, the person closest to you, whose job it is to take care of you - maybe a parent or sibling or best friend or, in my case, my husband - comes barging out of the woods and jumps on the mountain lion, whaling on it and screaming “GODDAMMIT MOUNTAIN LION, STOP TRYING TO EAT MY WIFE,” and the mountain lion punches your husband right in the face. Now your husband (or whatever) is rolling around on the ground clutching his nose, and he’s bought you some time, but you still need to get to the top of the mountain.
Eventually you reach the top, finally, and the bear is there. Waiting. For both of you. You rush right up to the bear, and the bear rushes the mountain lion, but the bear has to go through you to get to the mountain lion, and in doing so, the bear TOTALLY KICKS YOUR ASS, but not before it also punches your husband in the face. And your husband is now staggering around with a black eye and bloody nose, and saying “can I get some help, I’ve been punched in the face by two apex predators and I think my nose is broken,” and all you can say is “I’M KIND OF BUSY IN CASE YOU HADN’T NOTICED I’M FIGHTING A MOUNTAIN LION.”
Then, IF YOU ARE LUCKY, the bear leaps on the mountain lion and they are locked in epic battle until finally the two of them roll off a cliff edge together, and the mountain lion is dead.
Maybe. You’re not sure - it fell off the cliff, but mountain lions are crafty. It could come back at any moment.
And all your friends come running up to you and say “that was amazing! You’re so brave, we’re so proud of you! You didn’t die! That must be a huge relief!”
Meanwhile, you blew out both your knees, you’re having an asthma attack, you twisted your ankle, and also you have been mauled by a bear. And everyone says “boy, you must be excited to walk down the mountain!” And all you can think as you stagger to your feet is “fuck this mountain, I never wanted to climb it in the first place.”
By hedgehog</t>
        </is>
      </c>
      <c r="D10190" t="n">
        <v>1</v>
      </c>
      <c r="E10190" t="n">
        <v>34</v>
      </c>
      <c r="F10190">
        <f>HYPERLINK("https://www.reddit.com/r/cancer/comments/hnr47o/what_cancer_feels_like/")</f>
        <v/>
      </c>
      <c r="G10190" t="inlineStr">
        <is>
          <t>2020-07-08 15:31:24</t>
        </is>
      </c>
      <c r="H10190" t="inlineStr"/>
    </row>
    <row r="10191">
      <c r="A10191" t="inlineStr">
        <is>
          <t>hnreor</t>
        </is>
      </c>
      <c r="B10191" t="inlineStr">
        <is>
          <t>Right colon removal</t>
        </is>
      </c>
      <c r="C10191" t="inlineStr">
        <is>
          <t>Hey peeps, I'm back! This group was so helpful and comforting through my squamous cell tongue cancer 4 years ago. Put that in the rearview and haven't looked back. But here I am again, this time with an apparently-unrelated appendiceal cancer. Not looking forward to this, but I'll be fine.
Anyhoo...my surgeon says he will probably recommend performing a right hemicolectomy (removing the right side of my colon). Has anyone here been through this procedure? What can I expect in the near and long term after the surgery? Thanks.</t>
        </is>
      </c>
      <c r="D10191" t="n">
        <v>1</v>
      </c>
      <c r="E10191" t="n">
        <v>6</v>
      </c>
      <c r="F10191">
        <f>HYPERLINK("https://www.reddit.com/r/cancer/comments/hnreor/right_colon_removal/")</f>
        <v/>
      </c>
      <c r="G10191" t="inlineStr">
        <is>
          <t>2020-07-08 15:48:06</t>
        </is>
      </c>
      <c r="H10191" t="inlineStr"/>
    </row>
    <row r="10192">
      <c r="A10192" t="inlineStr">
        <is>
          <t>hnrjlz</t>
        </is>
      </c>
      <c r="B10192" t="inlineStr">
        <is>
          <t>I was told I have melanoma today and I have questions</t>
        </is>
      </c>
      <c r="C10192" t="inlineStr">
        <is>
          <t>As the title says, I was called earlier this afternoon and told that a mole on my back is a melanoma and I must have surgery in the next couple of weeks to have the mole removed. I was told the biopsy sample was about 10 cm across and the melanoma is about 0.9 cm deep. (She may have said mm and not cm, honestly I was so shocked I forgot what she said)
All I know so far is that I have to have the mole removed, that I will probably have blood work done (I assume) to check my lymph nodes and another check of my skin to ensure there were no other spots missed. I’m a little worried and if I’m being honest, I’m scared. I have kidney disease, a previous transplant that has recently failed (about a year ago), and I am back on dialysis. My kidney disease’s isa result of an autoimmune disease named Granulomatosis with Polyangiitis (formerly known as Wegener’s Granulomatosis). 
My questions are: How bad is a melanoma of this size? Should I be prepared for chemo, radiation, etc? Is cancer in the lymph nodes common when a mole is cancerous?  Am I worrying too much? 
I haven’t told anyone yet because I’m not sure how worried I should be and I don’t want to make my stepmom or other family members worry if I’m just overreacting.</t>
        </is>
      </c>
      <c r="D10192" t="n">
        <v>1</v>
      </c>
      <c r="E10192" t="n">
        <v>15</v>
      </c>
      <c r="F10192">
        <f>HYPERLINK("https://www.reddit.com/r/cancer/comments/hnrjlz/i_was_told_i_have_melanoma_today_and_i_have/")</f>
        <v/>
      </c>
      <c r="G10192" t="inlineStr">
        <is>
          <t>2020-07-08 15:55:52</t>
        </is>
      </c>
      <c r="H10192" t="inlineStr"/>
    </row>
    <row r="10193">
      <c r="A10193" t="inlineStr">
        <is>
          <t>hntk5s</t>
        </is>
      </c>
      <c r="B10193" t="inlineStr">
        <is>
          <t>Mom has cancer</t>
        </is>
      </c>
      <c r="C10193" t="inlineStr">
        <is>
          <t>My mom has breast cancer that has spread to her lungs and spine. She has felt tired a lot lately. Someone suggested she drink something that replenished her electrolytes but she does not want to buy Gatorade because of extra plastic waste. Any suggestions?</t>
        </is>
      </c>
      <c r="D10193" t="n">
        <v>1</v>
      </c>
      <c r="E10193" t="n">
        <v>2</v>
      </c>
      <c r="F10193">
        <f>HYPERLINK("https://www.reddit.com/r/cancer/comments/hntk5s/mom_has_cancer/")</f>
        <v/>
      </c>
      <c r="G10193" t="inlineStr">
        <is>
          <t>2020-07-08 18:01:18</t>
        </is>
      </c>
      <c r="H10193" t="inlineStr"/>
    </row>
    <row r="10194">
      <c r="A10194" t="inlineStr">
        <is>
          <t>hnv4gi</t>
        </is>
      </c>
      <c r="B10194" t="inlineStr">
        <is>
          <t>high risk for cervical cancer -- thoughts on cancer insurance?</t>
        </is>
      </c>
      <c r="C10194" t="inlineStr">
        <is>
          <t>hey y'all. i recently just found out due to a cervical biopsy and thereafter some tissue removal that i'm at a high risk for developing cervical cancer. i'm a recent graduate and new teacher, and got my benefits package today and a voluntary option was this "Critical Illness/Cancer Insurance" through Trustmark Insurance. I was wondering if anyone has any experience with buying "cancer insurance". Secondly, for those of you having gone through the expenses that are involved with just having cancer -- is that something you, looking back perhaps, would enroll in?</t>
        </is>
      </c>
      <c r="D10194" t="n">
        <v>1</v>
      </c>
      <c r="E10194" t="n">
        <v>9</v>
      </c>
      <c r="F10194">
        <f>HYPERLINK("https://www.reddit.com/r/cancer/comments/hnv4gi/high_risk_for_cervical_cancer_thoughts_on_cancer/")</f>
        <v/>
      </c>
      <c r="G10194" t="inlineStr">
        <is>
          <t>2020-07-08 19:42:05</t>
        </is>
      </c>
      <c r="H10194" t="inlineStr"/>
    </row>
    <row r="10195">
      <c r="A10195" t="inlineStr">
        <is>
          <t>hnw2jy</t>
        </is>
      </c>
      <c r="B10195" t="inlineStr">
        <is>
          <t>No insurance</t>
        </is>
      </c>
      <c r="C10195" t="inlineStr">
        <is>
          <t>If they don’t have insurance can I my fame member still get treatment? We are dreading the ER bull but they don’t have insurance at all. I know cancer is not cheap to diagnose or fix. She doesn’t have a primary doctor and I’m terrified at her not being  able to be treated.</t>
        </is>
      </c>
      <c r="D10195" t="n">
        <v>1</v>
      </c>
      <c r="E10195" t="n">
        <v>8</v>
      </c>
      <c r="F10195">
        <f>HYPERLINK("https://www.reddit.com/r/cancer/comments/hnw2jy/no_insurance/")</f>
        <v/>
      </c>
      <c r="G10195" t="inlineStr">
        <is>
          <t>2020-07-08 20:46:01</t>
        </is>
      </c>
      <c r="H10195" t="inlineStr"/>
    </row>
    <row r="10196">
      <c r="A10196" t="inlineStr">
        <is>
          <t>hnwiyk</t>
        </is>
      </c>
      <c r="B10196" t="inlineStr">
        <is>
          <t>My best friend found out she has cancer today.</t>
        </is>
      </c>
      <c r="C10196" t="inlineStr">
        <is>
          <t>My best friend is also my coworker. 
About 2 months ago she went to the doctor because she noticed a small painful lump in her breast. She was unable to go to a doctor to get it further checked out until last week, because of covid-19 our hospitals were only taking in emergency visit. Things with covid calmed down, so they asked her to come in (after 2 months) to get a mammogram and an ultrasound. They found that there was an unusual mass, that was potentially a lymph node. 
Yesterday she went in for a follow up biopsy, and today at work she got a call with the results.
She has cancer. 
She is expecting a call tomorrow with more information and possible plan for setting up surgery to remove the mass ?
I don’t know what to do to help my friend.
We have few details right now.
I went to the store tonight and got her a bunch of treats. She’s taking the day off tomorrow to process everything and be at home with her husband (who recently got injured and broke his collarbone)
Food/ gifts seem like shallow gesture right now but it’s all I can think of.
What are your immediate and long term suggestions on how to be a strong resource for support for my friend.
Thank you.</t>
        </is>
      </c>
      <c r="D10196" t="n">
        <v>1</v>
      </c>
      <c r="E10196" t="n">
        <v>6</v>
      </c>
      <c r="F10196">
        <f>HYPERLINK("https://www.reddit.com/r/cancer/comments/hnwiyk/my_best_friend_found_out_she_has_cancer_today/")</f>
        <v/>
      </c>
      <c r="G10196" t="inlineStr">
        <is>
          <t>2020-07-08 21:18:24</t>
        </is>
      </c>
      <c r="H10196" t="inlineStr"/>
    </row>
    <row r="10197">
      <c r="A10197" t="inlineStr">
        <is>
          <t>hnxdbe</t>
        </is>
      </c>
      <c r="B10197" t="inlineStr">
        <is>
          <t>Newbie, my mom</t>
        </is>
      </c>
      <c r="C10197" t="inlineStr">
        <is>
          <t xml:space="preserve">
81 yr old diagnosed with stage 4b cervical cancer. Ureters were blocked and stents inserted to allow urine to flow as they were initially blocked. She is not doing well. Barely eating and urine flow via catheter is slowing despite drinking water pretty often. Oncologists wants to try low dose chemotherapy.  They said low dose would reduce risk of nausea and might slow growth of cancer.  Any thoughts on what to expect or what experiences you can share.  My siblings and I want her to give it a fight. But, I don't want her to suffer and extend the inevitable.</t>
        </is>
      </c>
      <c r="D10197" t="n">
        <v>1</v>
      </c>
      <c r="E10197" t="n">
        <v>2</v>
      </c>
      <c r="F10197">
        <f>HYPERLINK("https://www.reddit.com/r/cancer/comments/hnxdbe/newbie_my_mom/")</f>
        <v/>
      </c>
      <c r="G10197" t="inlineStr">
        <is>
          <t>2020-07-08 22:21:37</t>
        </is>
      </c>
      <c r="H10197" t="inlineStr"/>
    </row>
    <row r="10198">
      <c r="A10198" t="inlineStr">
        <is>
          <t>hnxtg3</t>
        </is>
      </c>
      <c r="B10198" t="inlineStr">
        <is>
          <t>Mom diagnosed today with ovarian cancer</t>
        </is>
      </c>
      <c r="C10198" t="inlineStr">
        <is>
          <t>She will be starting an aggressive chemo regimen in the next few days. She has her own apartment. (her partner kind of stays over/ not officially living together). I live in a townhouse (lots of stairs) with my small children. I want to be there for her when she gets home to help her and make sure she eats (she was recently in ER and has not been eating well for months) and the only way I can make sure she is eating is bringing her to my home even though I know my house is not ideal bc bathrooms are not conveniently located. I can only go to her place with my kids (2&amp;amp;4). Childcare doesn't exist bc of pandemic. Should I bring her to my place or let her manage in her apartment, possibly alone and visit when I can?</t>
        </is>
      </c>
      <c r="D10198" t="n">
        <v>1</v>
      </c>
      <c r="E10198" t="n">
        <v>2</v>
      </c>
      <c r="F10198">
        <f>HYPERLINK("https://www.reddit.com/r/cancer/comments/hnxtg3/mom_diagnosed_today_with_ovarian_cancer/")</f>
        <v/>
      </c>
      <c r="G10198" t="inlineStr">
        <is>
          <t>2020-07-08 22:58:34</t>
        </is>
      </c>
      <c r="H10198" t="inlineStr"/>
    </row>
    <row r="10199">
      <c r="A10199" t="inlineStr">
        <is>
          <t>hnyxar</t>
        </is>
      </c>
      <c r="B10199" t="inlineStr">
        <is>
          <t>You guys have any food you loved during chemo but can not put them in your mouth without vomiting anymore</t>
        </is>
      </c>
      <c r="C10199" t="inlineStr">
        <is>
          <t>It’s onion rings for me. God the thought of putting one in my mouth makes me sick. But before and during chemo I loved them. I’m curious about what foods you guys can’t eat after chemo</t>
        </is>
      </c>
      <c r="D10199" t="n">
        <v>1</v>
      </c>
      <c r="E10199" t="n">
        <v>11</v>
      </c>
      <c r="F10199">
        <f>HYPERLINK("https://www.reddit.com/r/cancer/comments/hnyxar/you_guys_have_any_food_you_loved_during_chemo_but/")</f>
        <v/>
      </c>
      <c r="G10199" t="inlineStr">
        <is>
          <t>2020-07-09 00:36:35</t>
        </is>
      </c>
      <c r="H10199" t="inlineStr"/>
    </row>
    <row r="10200">
      <c r="A10200" t="inlineStr">
        <is>
          <t>hnzsmh</t>
        </is>
      </c>
      <c r="B10200" t="inlineStr">
        <is>
          <t>My Dad and Cancer</t>
        </is>
      </c>
      <c r="C10200" t="inlineStr">
        <is>
          <t>My Dad has been confirmed with stage four colon and liver cancer.  They couldn't do surgery because they said he wouldn't make it off the table due to his other health problems.  He started chemo last week and went for his 2nd round today.  They couldn't do it due to low white cell count and a blood clot in his leg.  He is down to 110 lbs.  He's never been a big guy.  His usual weight was around 150 but now he looks like a walking skeleton.  We can barely get him to eat since his mouth is so sore.
We just found out today that it's stage four and my Mother is just devastated.  For me, it hasn't quite sunk in I think.  I feel so angry that this is happening to him.  He had lung cancer before and beat it.  But I know that this won't happen again.  I moved in with them to help care for him and I know I have to be the strong one.  He's been my boy's father figure all their lives and telling them today was horrible.  Lots of tears.
Those of you's who have went to support groups...Did it really help?  I was thinking that maybe myself, Mother and boys should go.  Thanks for letting me vent.</t>
        </is>
      </c>
      <c r="D10200" t="n">
        <v>1</v>
      </c>
      <c r="E10200" t="n">
        <v>2</v>
      </c>
      <c r="F10200">
        <f>HYPERLINK("https://www.reddit.com/r/cancer/comments/hnzsmh/my_dad_and_cancer/")</f>
        <v/>
      </c>
      <c r="G10200" t="inlineStr">
        <is>
          <t>2020-07-09 01:59:09</t>
        </is>
      </c>
      <c r="H10200" t="inlineStr"/>
    </row>
    <row r="10201">
      <c r="A10201" t="inlineStr">
        <is>
          <t>ho183t</t>
        </is>
      </c>
      <c r="B10201" t="inlineStr">
        <is>
          <t>The Odds.</t>
        </is>
      </c>
      <c r="C10201" t="inlineStr">
        <is>
          <t>Sometimes life is just..weird. Odds dont matter. At all.
My mother had cancer 20 years ago. Im an only child. Our closest relatives are my uncle-aunt-cousin. My Uncle had cancer before. Last year my dad was diagnosed with cancer. Last year my best friend was diagnosed with cancer. A week ago my aunt was diagnosed with cancer. Tomorrow im seeing a specialist for what might be ocular cancer.
They are all different cancers. So it not like something runs in the family(im adopted for example).
Its just the odds. Its hard to deal with, but in the end... you either kinda straighten up and maybe become slightly sociopathic to deal with all this, or quit.</t>
        </is>
      </c>
      <c r="D10201" t="n">
        <v>1</v>
      </c>
      <c r="E10201" t="n">
        <v>7</v>
      </c>
      <c r="F10201">
        <f>HYPERLINK("https://www.reddit.com/r/cancer/comments/ho183t/the_odds/")</f>
        <v/>
      </c>
      <c r="G10201" t="inlineStr">
        <is>
          <t>2020-07-09 04:08:37</t>
        </is>
      </c>
      <c r="H10201" t="inlineStr"/>
    </row>
    <row r="10202">
      <c r="A10202" t="inlineStr">
        <is>
          <t>ho1j2t</t>
        </is>
      </c>
      <c r="B10202" t="inlineStr">
        <is>
          <t>Radiotherapy help</t>
        </is>
      </c>
      <c r="C10202" t="inlineStr">
        <is>
          <t>My husband was diagnosed with non hodgkins lymphoma in February and has been told it's manageable but incurable.
Earlier this week we had an appointment with a Radiologist to talk about some treatment which he has decided he wants. 
Is there anyone who has had radiotherapy and can give a little more information about how they've dealt with it?</t>
        </is>
      </c>
      <c r="D10202" t="n">
        <v>1</v>
      </c>
      <c r="E10202" t="n">
        <v>9</v>
      </c>
      <c r="F10202">
        <f>HYPERLINK("https://www.reddit.com/r/cancer/comments/ho1j2t/radiotherapy_help/")</f>
        <v/>
      </c>
      <c r="G10202" t="inlineStr">
        <is>
          <t>2020-07-09 04:34:40</t>
        </is>
      </c>
      <c r="H10202" t="inlineStr"/>
    </row>
    <row r="10203">
      <c r="A10203" t="inlineStr">
        <is>
          <t>ho1jen</t>
        </is>
      </c>
      <c r="B10203" t="inlineStr">
        <is>
          <t>I don't know how to feel about this</t>
        </is>
      </c>
      <c r="C10203" t="inlineStr">
        <is>
          <t>Yesterday, at an appointment where I was supposed to schedule surgery (I was thought to have something called a plunging ranula) instead I was told that the CT scan came back and I have a tumor.   
That's all they told me though. They don't know if it's cancerous, and they said the biopsy is extremely complicated because it's in my chin area and that's really close to a lot of nerves. Only one doctor in town can do it. My ENT said I need to get the tumor removed in the next two months. The doctor who does the surgery in the biopsy is booked for the foreseeable future. We're now talking to people out of state.   
But I'm here because I don't know how to feel. Before this, 2 months ago, after working really hard for the last two years I just started college. I've been so excited to begin studying and now I'm looking at failing these classes I was so excited to be apart of because my life has been taken over by how sick I've been. I'm a ski instructor. I love my job. I'm 20 years old... But ever since yesterday I just feel empty. I try and do anything else and a voice in my head is just constantly telling me "you have a tumor. You have a tumor. You have a tumor. Nothing is okay." I feel like I'm going to throw up every time my mom or dad says the word tumor. My best friend can't even say what it is without crying.   
I'm just wondering if there's anyone who can tell me what to do. How can I forget for at least an hour? How do I try and get back to life? I can tell that it's not something that I can just... meditate away or whatever. I feel like I'm being dramatic. It's only been two days but the weight of it all is already unbearable. Everyone keeps telling me they understand but I just don't think they do. Any kind of thoughts help.</t>
        </is>
      </c>
      <c r="D10203" t="n">
        <v>1</v>
      </c>
      <c r="E10203" t="n">
        <v>9</v>
      </c>
      <c r="F10203">
        <f>HYPERLINK("https://www.reddit.com/r/cancer/comments/ho1jen/i_dont_know_how_to_feel_about_this/")</f>
        <v/>
      </c>
      <c r="G10203" t="inlineStr">
        <is>
          <t>2020-07-09 04:35:26</t>
        </is>
      </c>
      <c r="H10203" t="inlineStr"/>
    </row>
    <row r="10204">
      <c r="A10204" t="inlineStr">
        <is>
          <t>ho4aqf</t>
        </is>
      </c>
      <c r="B10204" t="inlineStr">
        <is>
          <t>Losing my hair AGAIN.</t>
        </is>
      </c>
      <c r="C10204" t="inlineStr">
        <is>
          <t>Hi Everyone,  
I'm on my second round of Chemotherapy (5FU with Irinotecan and folinic acid)  This is my second session which I started yesterday and my hair is falling out about quite badly already.  
The first time I was on 5FU was via my original oncology team wanting to deal with the metastatic cancers in my lungs before treating my primary tumour in my bowel.  
I responded really well and from the three visible mets in my lungs, and by the end of treatment, one was reduced by 50% and another was no longer visible at all.  
I changed oncologists in favour of using my private health care instead of the NHS. They immediately put me on chemo-radiotherapy on the main tumour site (My bowel/rectum) and I completed 28 sessions and I am pleased to report my main tumour site is no longer detectable on MRI and CT scans.  
It also meant that  I have access to other drugs and now with the new round of chemotherapy I receive Avastin (Bevacizumab) That and I receive my treatment at home which is amazing!
You know, I never expected to lose my hair again so quickly. Last time it was near the end of treatment, I think about two months in, maybe after four sessions.  
I completely shaved my head last time. Down to the bone, zero guard but it really made me feel  self-conscious. I just don't think I am one of those guys that looks good with a shaved head. Although it was shaved so close, I ended up wearing a baseball cap the whole time or a bandanna. I know, I know... Such a cliché.   
I'm down about 3KG right now, I know it's going to be more by the end of the 3 months, (possibly 6 months) but uch....  
Do I do it again? Do I shave it off or have a patchy scalp. It made me feel so bad previously, the patchiness.  
Anyone got a two-penneth on this one?
&amp;amp;#x200B;
\-AngelOYS</t>
        </is>
      </c>
      <c r="D10204" t="n">
        <v>1</v>
      </c>
      <c r="E10204" t="n">
        <v>6</v>
      </c>
      <c r="F10204">
        <f>HYPERLINK("https://www.reddit.com/r/cancer/comments/ho4aqf/losing_my_hair_again/")</f>
        <v/>
      </c>
      <c r="G10204" t="inlineStr">
        <is>
          <t>2020-07-09 07:43:55</t>
        </is>
      </c>
      <c r="H10204" t="inlineStr"/>
    </row>
    <row r="10205">
      <c r="A10205" t="inlineStr">
        <is>
          <t>ho61up</t>
        </is>
      </c>
      <c r="B10205" t="inlineStr">
        <is>
          <t>Does anyone know?</t>
        </is>
      </c>
      <c r="C10205" t="inlineStr">
        <is>
          <t>My uncle has got lung and bone cancer on his hip. He has previously had lung cancer and got some of his lung removed (around 2yrs ago I think). I don't know much but know he getting doses of chemotherapy soon. Can anyone help,  I'm pretty certain he wont make it.</t>
        </is>
      </c>
      <c r="D10205" t="n">
        <v>1</v>
      </c>
      <c r="E10205" t="n">
        <v>5</v>
      </c>
      <c r="F10205">
        <f>HYPERLINK("https://www.reddit.com/r/cancer/comments/ho61up/does_anyone_know/")</f>
        <v/>
      </c>
      <c r="G10205" t="inlineStr">
        <is>
          <t>2020-07-09 09:22:51</t>
        </is>
      </c>
      <c r="H10205" t="inlineStr"/>
    </row>
    <row r="10206">
      <c r="A10206" t="inlineStr">
        <is>
          <t>ho6oxf</t>
        </is>
      </c>
      <c r="B10206" t="inlineStr">
        <is>
          <t>Has anyone felt "high" after first session of Chemo?</t>
        </is>
      </c>
      <c r="C10206" t="inlineStr">
        <is>
          <t>This is not my first cycle of chemotherapy so I'm somewhat used to a different chemo cocktail however first time in both first session of each cycle I had similar experience. After first session of the cycle, I feel that my brain sort of "shuts down" and I can only stare at walls. However, I feel and have good thoughts, feel positive and content. As in a state of bliss and happiness. It feels that my brain shuts down and I just exist, but in a happy state. Feels a bit like if I'm high. I'm wondering if anyone has felt this way?</t>
        </is>
      </c>
      <c r="D10206" t="n">
        <v>1</v>
      </c>
      <c r="E10206" t="n">
        <v>12</v>
      </c>
      <c r="F10206">
        <f>HYPERLINK("https://www.reddit.com/r/cancer/comments/ho6oxf/has_anyone_felt_high_after_first_session_of_chemo/")</f>
        <v/>
      </c>
      <c r="G10206" t="inlineStr">
        <is>
          <t>2020-07-09 09:57:12</t>
        </is>
      </c>
      <c r="H10206" t="inlineStr"/>
    </row>
    <row r="10207">
      <c r="A10207" t="inlineStr">
        <is>
          <t>ho6tqc</t>
        </is>
      </c>
      <c r="B10207" t="inlineStr">
        <is>
          <t>My dad only has “a few weeks”</t>
        </is>
      </c>
      <c r="C10207" t="inlineStr">
        <is>
          <t>I just got back from taking care of my dad and my mom told me today that he only has a few more weeks left. He is in the worst state I think any human being can be in. He went from being a strong guy to now having the bottom half of his face blown up due to the treatment and two tumors growing out his face. His eye is swollen almost shut and he has a feeding tube and a trach. He is completely mute and yesterday he wrote on the paper “I don’t want to suffer”. I can feel it i my bones that all he is doing is suffering. I hope there is peace for him in his last days. What should I do? This is his first time out of a hospital and nursing home since January. I’m going to spend as much time as I can with him. Yesterday we watched the news like we always used to.</t>
        </is>
      </c>
      <c r="D10207" t="n">
        <v>2</v>
      </c>
      <c r="E10207" t="n">
        <v>9</v>
      </c>
      <c r="F10207">
        <f>HYPERLINK("https://www.reddit.com/r/cancer/comments/ho6tqc/my_dad_only_has_a_few_weeks/")</f>
        <v/>
      </c>
      <c r="G10207" t="inlineStr">
        <is>
          <t>2020-07-09 10:04:16</t>
        </is>
      </c>
      <c r="H10207" t="inlineStr"/>
    </row>
    <row r="10208">
      <c r="A10208" t="inlineStr">
        <is>
          <t>ho6yu2</t>
        </is>
      </c>
      <c r="B10208" t="inlineStr">
        <is>
          <t>Diagnosed 3 weeks ago, given 2 months to live.</t>
        </is>
      </c>
      <c r="C10208" t="inlineStr">
        <is>
          <t>My mom is almost 64. She was diagnosed with Small Cell Lung Cancer (SCLC) three weeks ago. She cant walk. She’s too weak for chemo which would likely kill her at this point. We have no options. We’ve been offered hospice and to make her comfortable. 
I am so lost. I don’t even know what to do. She is the head of house. She runs everything. She handles all the finances and anything important. I just don’t know how to handle any of this news. 
She was sick in April, and was tested for Covid-19 multiple times - negative. Then eventually sent to ER for “pneumonia.” Nope, try again doctors. She spent at least two months growing ill before the cancer was found. All during quarantine where I couldn’t be with her. 
I’m just lost.</t>
        </is>
      </c>
      <c r="D10208" t="n">
        <v>1</v>
      </c>
      <c r="E10208" t="n">
        <v>39</v>
      </c>
      <c r="F10208">
        <f>HYPERLINK("https://www.reddit.com/r/cancer/comments/ho6yu2/diagnosed_3_weeks_ago_given_2_months_to_live/")</f>
        <v/>
      </c>
      <c r="G10208" t="inlineStr">
        <is>
          <t>2020-07-09 10:11:44</t>
        </is>
      </c>
      <c r="H10208" t="inlineStr"/>
    </row>
    <row r="10209">
      <c r="A10209" t="inlineStr">
        <is>
          <t>hoafii</t>
        </is>
      </c>
      <c r="B10209" t="inlineStr">
        <is>
          <t>Best friend (f 27) has been diagnosed with cancer and I’m scared</t>
        </is>
      </c>
      <c r="C10209" t="inlineStr">
        <is>
          <t>Hi all,
Sorry if this isn’t the right place to post, but a few days ago my best friend told me she has been diagnosed with chronic lymphocytic leukaemia. She starts treatment in a few weeks. 
I’m heart broken for her because she is the nicest, most selfless woman I know. She is supposed to be getting married next year. She is like the sister I never had and I just feel so sad about it.
Is it normal to feel this depressed about it? She is my family and I’m just so terrified I’m going to lose her now.. I don’t want to say the wrong thing or do the wrong thing, I just want to be there for her as much as I can but I’m just so scared about what’s going to happen to her now. :(</t>
        </is>
      </c>
      <c r="D10209" t="n">
        <v>2</v>
      </c>
      <c r="E10209" t="n">
        <v>9</v>
      </c>
      <c r="F10209">
        <f>HYPERLINK("https://www.reddit.com/r/cancer/comments/hoafii/best_friend_f_27_has_been_diagnosed_with_cancer/")</f>
        <v/>
      </c>
      <c r="G10209" t="inlineStr">
        <is>
          <t>2020-07-09 13:16:09</t>
        </is>
      </c>
      <c r="H10209" t="inlineStr"/>
    </row>
    <row r="10210">
      <c r="A10210" t="inlineStr">
        <is>
          <t>hoazyu</t>
        </is>
      </c>
      <c r="B10210" t="inlineStr">
        <is>
          <t>I'm numb.</t>
        </is>
      </c>
      <c r="C10210" t="inlineStr">
        <is>
          <t>A few hours ago I was told my step-dad has inoperable lung cancer. His doctors are talking with palliative care, and I think he's going to die soon. I cried like a bitch and now I am numb. I feel like I should do something, but I can't do anything to fix him, or even go see him because of covid. I'm just sitting in my house and it feels like it is wrong to do anything to try and get my mind off the fact he's likely going to die, and there was so much we did not do together.</t>
        </is>
      </c>
      <c r="D10210" t="n">
        <v>1</v>
      </c>
      <c r="E10210" t="n">
        <v>4</v>
      </c>
      <c r="F10210">
        <f>HYPERLINK("https://www.reddit.com/r/cancer/comments/hoazyu/im_numb/")</f>
        <v/>
      </c>
      <c r="G10210" t="inlineStr">
        <is>
          <t>2020-07-09 13:47:17</t>
        </is>
      </c>
      <c r="H10210" t="inlineStr"/>
    </row>
    <row r="10211">
      <c r="A10211" t="inlineStr">
        <is>
          <t>hocymk</t>
        </is>
      </c>
      <c r="B10211" t="inlineStr">
        <is>
          <t>Is it norma to feel something like long and kinda hard after tumor breast removal surgery?</t>
        </is>
      </c>
      <c r="C10211" t="inlineStr">
        <is>
          <t>My mom is done with her chemo and radiation it’s been 6 months but she felt something hard and long just under the stitched erea  so we went to her dr and they did mammogram and ultrasound the dr said they didn’t find anything and the thing that she feels it a tissue from the surgery should we get second opinion or believe the dr?</t>
        </is>
      </c>
      <c r="D10211" t="n">
        <v>1</v>
      </c>
      <c r="E10211" t="n">
        <v>2</v>
      </c>
      <c r="F10211">
        <f>HYPERLINK("https://www.reddit.com/r/cancer/comments/hocymk/is_it_norma_to_feel_something_like_long_and_kinda/")</f>
        <v/>
      </c>
      <c r="G10211" t="inlineStr">
        <is>
          <t>2020-07-09 15:34:52</t>
        </is>
      </c>
      <c r="H10211" t="inlineStr"/>
    </row>
    <row r="10212">
      <c r="A10212" t="inlineStr">
        <is>
          <t>hofsds</t>
        </is>
      </c>
      <c r="B10212" t="inlineStr">
        <is>
          <t>I have been fed the wrong radioactive iodine for my cancer</t>
        </is>
      </c>
      <c r="C10212" t="inlineStr">
        <is>
          <t>Hi everyone,
Back story: I was diagnosed with thyroid cancer last year and I went through the first radioactive iodine 6 months ago. Last week was supposed to be my last radioactive iodine therapy to check if there is any thyroid cells left.
This week: During my radioactive iodine treatment, I got two shots of *Levothyroxine Sodium* ( I think) to suppress T3 because first time i had to stop taking synthroid and when i went hypo i was vomiting all the time so the doctor recommended the injections this time.
After getting my injections, I went to drink the radioactive iodine, but they gave me the wrong one. They gave me the one for adrenaline gland cancer.
My doctor came and apologized, she was so nervous and said that the hospital will personally apologized for the mistake. But then she said don't worry it won't affect you because it s a small done. In between lines she also said it was her mistake but moved on very quickly and said that it was the mistake of the hospital who confused me with another patient.
I asked another doctor and he told me that this is very bad and it will actually do affect me whether it's small or big dose. I am meeting my doctor next week. What should i discuss with her?
Should the hospital take responsibility for future cancer i get because of this or like she said drinking that radioactive iodine solution won't affect me? Anyone been in this position?
BTW I received a CBD Diff blood test today. I am not sure why she asked for one.</t>
        </is>
      </c>
      <c r="D10212" t="n">
        <v>1</v>
      </c>
      <c r="E10212" t="n">
        <v>6</v>
      </c>
      <c r="F10212">
        <f>HYPERLINK("https://www.reddit.com/r/cancer/comments/hofsds/i_have_been_fed_the_wrong_radioactive_iodine_for/")</f>
        <v/>
      </c>
      <c r="G10212" t="inlineStr">
        <is>
          <t>2020-07-09 18:25:57</t>
        </is>
      </c>
      <c r="H10212" t="inlineStr"/>
    </row>
    <row r="10213">
      <c r="A10213" t="inlineStr">
        <is>
          <t>hogqbx</t>
        </is>
      </c>
      <c r="B10213" t="inlineStr">
        <is>
          <t>My best friend was diagnosed with invasive ductal carcinoma</t>
        </is>
      </c>
      <c r="C10213" t="inlineStr">
        <is>
          <t>She got the diagnosis yesterday, and has a consultation tomorrow at 10am. 
We don’t know what stage she’s in yet.
Her lump is about 1 1/2 inches in size. 
What are your thoughts, experiences, insights?</t>
        </is>
      </c>
      <c r="D10213" t="n">
        <v>1</v>
      </c>
      <c r="E10213" t="n">
        <v>0</v>
      </c>
      <c r="F10213">
        <f>HYPERLINK("https://www.reddit.com/r/cancer/comments/hogqbx/my_best_friend_was_diagnosed_with_invasive_ductal/")</f>
        <v/>
      </c>
      <c r="G10213" t="inlineStr">
        <is>
          <t>2020-07-09 19:26:39</t>
        </is>
      </c>
      <c r="H10213" t="inlineStr"/>
    </row>
    <row r="10214">
      <c r="A10214" t="inlineStr">
        <is>
          <t>hojmb5</t>
        </is>
      </c>
      <c r="B10214" t="inlineStr">
        <is>
          <t>Hi. My dad was just diagnosed with HCC and not sure what to really do.</t>
        </is>
      </c>
      <c r="C10214" t="inlineStr">
        <is>
          <t>Hello. My dad was just diagnosed with unresectable HCC. It’s a single tumor on his liver and it’s large (15cm). We haven’t gotten an exact prognosis but his oncologist wants to treat him with Opvido. From my internet research it seems like its 7-8 months to live. My dad hasn’t really experienced any pain but he has lost ALOT of weight.
I don’t really know how to feel. I am his adult child as a 1st generation filipino and don’t exactly have a great relationship with him.
My family comes from extreme poverty and he’s never really been an exemplary dad. He gambled away my college tuition and I’ve never learned anything from him, kind of leeched off my mother but he doesn’t have a bad heart or anything. 
He’s a really nice guy and a bit dumb but I’m having really conflicting feelings with his diagnosis. I’ve always viewed him as someone who is happy go lucky but has never had any real goals or things he wanted in life. He’s a groundskeeper in a highschool and lives paycheck to paycheck renting a room from my childhood friend. His main thing he does is... play poker and drink. 
And while I’ve always tried to retain some kind of relationship with him for the past 10 years (which has mostly been centered around playing poker and taking him to get dinner every now and then) - I feel an insane sense of obligation to take care of him as he undergoes treatment. I love my dad, I know that, but I don’t have any respect for how he’s lived his life.
I am just not really sure what to do. I am worried if i keep my distance and just offer help every now and then I’ll regret it and if I take care of him it’ll put alot of emotional strain and fuck me up mentally. I also dont want to air any grievance I have with him on the last days I have with him.
I know the overwhelming advice is try to have moments of joy with your parents before they die - but I can’t remember a time I’ve ever associated my parents with joy. It’s mostly been misery that I’ve tolerated.</t>
        </is>
      </c>
      <c r="D10214" t="n">
        <v>1</v>
      </c>
      <c r="E10214" t="n">
        <v>1</v>
      </c>
      <c r="F10214">
        <f>HYPERLINK("https://www.reddit.com/r/cancer/comments/hojmb5/hi_my_dad_was_just_diagnosed_with_hcc_and_not/")</f>
        <v/>
      </c>
      <c r="G10214" t="inlineStr">
        <is>
          <t>2020-07-09 23:00:03</t>
        </is>
      </c>
      <c r="H10214" t="inlineStr"/>
    </row>
    <row r="10215">
      <c r="A10215" t="inlineStr">
        <is>
          <t>holbg7</t>
        </is>
      </c>
      <c r="B10215" t="inlineStr">
        <is>
          <t>Protein powder recipe</t>
        </is>
      </c>
      <c r="C10215" t="inlineStr">
        <is>
          <t>Hi,
A dear family member has liver cancer and he lives in China. I sent him ONNIT protein powder - from New Zealand cows and it's organic. He doesn't like the taste, is not allowed to eat bananas (sugars) and doesn't drink cold water. So he mixes the protein powder with warm water - which does not taste good at all.
Does anyone here have some good protein powder recipes to make it better to intake? 
Thanks,
Smyth</t>
        </is>
      </c>
      <c r="D10215" t="n">
        <v>1</v>
      </c>
      <c r="E10215" t="n">
        <v>1</v>
      </c>
      <c r="F10215">
        <f>HYPERLINK("https://www.reddit.com/r/cancer/comments/holbg7/protein_powder_recipe/")</f>
        <v/>
      </c>
      <c r="G10215" t="inlineStr">
        <is>
          <t>2020-07-10 01:32:03</t>
        </is>
      </c>
      <c r="H10215" t="inlineStr"/>
    </row>
    <row r="10216">
      <c r="A10216" t="inlineStr">
        <is>
          <t>hon4ic</t>
        </is>
      </c>
      <c r="B10216" t="inlineStr">
        <is>
          <t>Online Social Activity Group For Young Adults (18-38) Who Have Ever Had A Cancer Diagnosis - First Social Night 24th July</t>
        </is>
      </c>
      <c r="C10216" t="inlineStr">
        <is>
          <t xml:space="preserve"> 
Hi everyone!
I'm Matthew
After being diagnosed with 2 germinoma brain tumours in 2017 after months of treatment I got the all clear. The main struggle I had after treatment was the social isolation I faced, so after a couple of years I decided to do something about it.
I made a post a couple of months ago about an online social group for young adults (18 - 38) who've ever had a cancer diagnosis and I wanted to let everyone know that the group is now up and running and we are having the first activity, a social night on the 24th July 5pm GMT.
let me tell you a little bit about the group! Unlike other online social groups for young adults we don't **Just** stick to a forum. The whole idea of the group is to get young adults socialising again, so starting from the 24th we'll be having regularly scheduled activities including: Game nights, Movie watch-alongs, Board games, Social nights and if there's anything else you'd like to do then I'm open to suggestions!
During the period between scheduled activities we provide you with a platform (our forum) to organise your own activities with other young people.
We will also have smaller activities on our forum and social media pages as well.
We have lots of exciting projects underway that will enable us to help you as much as possible!
If you'd like to join the forum then click [here!](https://energy-out.mn.co/feed)
If you'd like more info then click [here!](https://energyout.co.uk/)
Or if you have any questions for me then feel free to PM me or ask in the comments!
Hope to see some of you at our social night on the 24th!</t>
        </is>
      </c>
      <c r="D10216" t="n">
        <v>1</v>
      </c>
      <c r="E10216" t="n">
        <v>6</v>
      </c>
      <c r="F10216">
        <f>HYPERLINK("https://www.reddit.com/r/cancer/comments/hon4ic/online_social_activity_group_for_young_adults/")</f>
        <v/>
      </c>
      <c r="G10216" t="inlineStr">
        <is>
          <t>2020-07-10 04:16:46</t>
        </is>
      </c>
      <c r="H10216" t="inlineStr"/>
    </row>
    <row r="10217">
      <c r="A10217" t="inlineStr">
        <is>
          <t>hooxzm</t>
        </is>
      </c>
      <c r="B10217" t="inlineStr">
        <is>
          <t>My Dad is now in hospice after 2 years of fighting colon cancer</t>
        </is>
      </c>
      <c r="C10217" t="inlineStr">
        <is>
          <t>I’m feeling a wide range of emotions, angry, lost, confused and sad. I’ve been affected ever since his diagnosis but now it has really has made me emotional to a point I can’t make sense of it all. He can barely eat, he is throwing up his feces and he has lost so much weight.
I’m 26 now and I never expected this to happen so early. Seeing his face when I have to leave his apartment breaks my heart every time and I wish I could just be there all day, until the very end. I’m sorry I just needed a place to vent.. I can’t take the pain 😔</t>
        </is>
      </c>
      <c r="D10217" t="n">
        <v>1</v>
      </c>
      <c r="E10217" t="n">
        <v>17</v>
      </c>
      <c r="F10217">
        <f>HYPERLINK("https://www.reddit.com/r/cancer/comments/hooxzm/my_dad_is_now_in_hospice_after_2_years_of/")</f>
        <v/>
      </c>
      <c r="G10217" t="inlineStr">
        <is>
          <t>2020-07-10 06:28:43</t>
        </is>
      </c>
      <c r="H10217" t="inlineStr"/>
    </row>
    <row r="10218">
      <c r="A10218" t="inlineStr">
        <is>
          <t>hoozh4</t>
        </is>
      </c>
      <c r="B10218" t="inlineStr">
        <is>
          <t>28 yr old wife starting hospice soon</t>
        </is>
      </c>
      <c r="C10218" t="inlineStr">
        <is>
          <t>I posted many many months ago about my wife who has recurring Ewing’s Sarcoma. Last year her doctor gave her until this August (2020). It started in her spine at age 7. It came back in 2018 and spread to her lungs, heart, brain, and hip.
She has begun rapidly deteriorating and there is nothing that can be done. Her metastasis uses all the calories she consumes, assuming she can even keep it down
I’m a cannabis cultivator and have her on *heavy* CBD and THC oils, as well as flower for immediate relief, which basically knocks her out all day. She has 0 quality of life and is utterly miserable. She has been avoiding it, but will likely be starting home hospice soon for comfort.
We have a 6 year old and 2 year old daughter. I am constantly torn between who to give more attention to - her or our daughters, and it is not fair to either of them. I feel guilt regardless of what I do. I’m a rational person and understand that I shouldn’t feel this way. Hospice is the best move so someone can keep an eye on her and keep her comfortable, so my daughters aren’t having a poor quality life. We have an amazing support circle with endless help.
I don’t even know why I’m posting. Probably just to vent. If anyone has been in a similar situation, being young with kids and losing their spouse, feel free to send me some advice &amp;lt;3</t>
        </is>
      </c>
      <c r="D10218" t="n">
        <v>1</v>
      </c>
      <c r="E10218" t="n">
        <v>15</v>
      </c>
      <c r="F10218">
        <f>HYPERLINK("https://www.reddit.com/r/cancer/comments/hoozh4/28_yr_old_wife_starting_hospice_soon/")</f>
        <v/>
      </c>
      <c r="G10218" t="inlineStr">
        <is>
          <t>2020-07-10 06:31:26</t>
        </is>
      </c>
      <c r="H10218" t="inlineStr"/>
    </row>
    <row r="10219">
      <c r="A10219" t="inlineStr">
        <is>
          <t>hop9mg</t>
        </is>
      </c>
      <c r="B10219" t="inlineStr">
        <is>
          <t>What do you think of your port scar?</t>
        </is>
      </c>
      <c r="C10219" t="inlineStr">
        <is>
          <t>Do you ever look at your scars? When I put my hand on my scar to see how I feel if I wouldn't have my scar, I wonder what my life would've been like if I never dealt with cancer.
It's easy to think life would've been different, but I remember reading an amazing quote which said: "just because things were different, doesn't mean they were better."
That sticks to me, it's good to remember that because when we are dealing with being in a bad place, and we wish things were different that doesn't mean they are better.
Having a scar is a reminder of the cancer diagnose, the misdiagnose, the suffering from chemo therapy, and everything that comes with it.
But it's also a reminder of the power of survival, dealing with the worst medication I could imagine and having survived that, meeting new incredble people who understand me, who are the best people I could've only wished to have met, having the power to help others, to be here, to be appreciated of (the little things in) life.
As I have said before, a scar is a survival tattoo and a reminder that things will heal and be okay.
How do you deal with your scars? What do you think of them?</t>
        </is>
      </c>
      <c r="D10219" t="n">
        <v>1</v>
      </c>
      <c r="E10219" t="n">
        <v>26</v>
      </c>
      <c r="F10219">
        <f>HYPERLINK("https://www.reddit.com/r/cancer/comments/hop9mg/what_do_you_think_of_your_port_scar/")</f>
        <v/>
      </c>
      <c r="G10219" t="inlineStr">
        <is>
          <t>2020-07-10 06:50:03</t>
        </is>
      </c>
      <c r="H10219" t="inlineStr"/>
    </row>
    <row r="10220">
      <c r="A10220" t="inlineStr">
        <is>
          <t>horndf</t>
        </is>
      </c>
      <c r="B10220" t="inlineStr">
        <is>
          <t>Mila's last round of chemo is today!</t>
        </is>
      </c>
      <c r="C10220" t="inlineStr">
        <is>
          <t>My niece was diagnosed with cancer at 3 weeks old. Yes, 3 weeks. She developed a lump on her shoulder that grew to a golf ball. We were told it was RMS. They were able to get her started on chemo before she even hit 1 month old. 
They were able to cut out the tumor but weren't successful in getting clean margins on the first pass. It had developed tentacles that were touching her spine making another pass necessary. 
More chemo and now radiation on her spine. Shes handled it all with a smile on her face. She's an amazing baby. So resilient and just happy all the time. 
Today is her last round of chemotherapy. She's 10 months old and I am already so proud of her. 
Thank you Mila for being an amazing little human and making this nightmare so much easier to get through. You are an inspiration and I am beyond thrilled I get to watch you grow up. I know this journey isn't over but the hard part is. I love you little nugget.
https://imgur.com/a/IVYTOam</t>
        </is>
      </c>
      <c r="D10220" t="n">
        <v>1</v>
      </c>
      <c r="E10220" t="n">
        <v>26</v>
      </c>
      <c r="F10220">
        <f>HYPERLINK("https://www.reddit.com/r/cancer/comments/horndf/milas_last_round_of_chemo_is_today/")</f>
        <v/>
      </c>
      <c r="G10220" t="inlineStr">
        <is>
          <t>2020-07-10 09:06:43</t>
        </is>
      </c>
      <c r="H10220" t="inlineStr"/>
    </row>
    <row r="10221">
      <c r="A10221" t="inlineStr">
        <is>
          <t>hovtcs</t>
        </is>
      </c>
      <c r="B10221" t="inlineStr">
        <is>
          <t>Diagnosed With Ovarian Cancer Yesterday</t>
        </is>
      </c>
      <c r="C10221" t="inlineStr">
        <is>
          <t>The title says it all. I'm so scared and need someone to talk to..
I went to the ER after having severe abdominal pain and feeling like no one was taking me seriously. I knew it was cancer.. just knew it. Have been healthy my entire life, only 30, never even get colds, and I somehow get this.
They find a huge 17.5 cm mass on my right ovary. I'm at an absolute loss for words. The doctor said he thinks it's definitely cancer by the way it looks, but I will need a biopsy of course. But it's basically confirmed. 
I'm terrified right now but even more terrified because my body keeps twitching uncontrollably. It has been for a few days now. I read that body twitching means end of life cancer. Could I be at the end?
I've barely lost any weight.. I'm really overweight if I'll be perfectly honest and have only gained weight over the last year.. my blood work came back perfect.. all organ functions are great.. could I just be overwhelmed with pain or anxiety or dehydrated? I don't know what to do..
Please help me</t>
        </is>
      </c>
      <c r="D10221" t="n">
        <v>1</v>
      </c>
      <c r="E10221" t="n">
        <v>14</v>
      </c>
      <c r="F10221">
        <f>HYPERLINK("https://www.reddit.com/r/cancer/comments/hovtcs/diagnosed_with_ovarian_cancer_yesterday/")</f>
        <v/>
      </c>
      <c r="G10221" t="inlineStr">
        <is>
          <t>2020-07-10 12:48:46</t>
        </is>
      </c>
      <c r="H10221" t="inlineStr"/>
    </row>
    <row r="10222">
      <c r="A10222" t="inlineStr">
        <is>
          <t>hoxw27</t>
        </is>
      </c>
      <c r="B10222" t="inlineStr">
        <is>
          <t>What were the first symptoms you noticed before being diagnosed with non-Hodgkins lymphoma?</t>
        </is>
      </c>
      <c r="C10222" t="inlineStr">
        <is>
          <t>When I first went into the doctor I was a whopping 100lbs, so obviously weight loss was a symptom of mine, I experienced bad night sweats, fatigue, and had 4 swollen lymph nodes in my neck (2 of the left, 2 on the right).
I’m just wondering what other symptoms people have experienced that may or may not have pointed directly to cancer before being diagnosed?
If that makes sense.</t>
        </is>
      </c>
      <c r="D10222" t="n">
        <v>1</v>
      </c>
      <c r="E10222" t="n">
        <v>2</v>
      </c>
      <c r="F10222">
        <f>HYPERLINK("https://www.reddit.com/r/cancer/comments/hoxw27/what_were_the_first_symptoms_you_noticed_before/")</f>
        <v/>
      </c>
      <c r="G10222" t="inlineStr">
        <is>
          <t>2020-07-10 14:44:31</t>
        </is>
      </c>
      <c r="H10222" t="inlineStr"/>
    </row>
    <row r="10223">
      <c r="A10223" t="inlineStr">
        <is>
          <t>hoxy7e</t>
        </is>
      </c>
      <c r="B10223" t="inlineStr">
        <is>
          <t>Best friend's mom has cancer...</t>
        </is>
      </c>
      <c r="C10223" t="inlineStr">
        <is>
          <t>My best friend's mom was recently diagnosed with cancer. She is a pretty tough gal, but I really want to give her a nice functional gift for her recovery. I looked at some chemo documents posted by doctors and they've suggested Epsom salt baths can be very helpful and  I've also read treatment can make you very cold, so I was thinking a blanket + Epsom salts. 
Thoughts on this? 
Also, I don't even know what to say. Everything that comes out in a card sounds super patronizing. I don't want to tell her how strong she is or how much of a fighter she is-- I don't know if that's what she needs to hear. Also, I don't know her super well, but I love her in the way you love your friend's parents. 
Any advice? I want to be sensitive to the situation.
Thank you in advance!</t>
        </is>
      </c>
      <c r="D10223" t="n">
        <v>1</v>
      </c>
      <c r="E10223" t="n">
        <v>0</v>
      </c>
      <c r="F10223">
        <f>HYPERLINK("https://www.reddit.com/r/cancer/comments/hoxy7e/best_friends_mom_has_cancer/")</f>
        <v/>
      </c>
      <c r="G10223" t="inlineStr">
        <is>
          <t>2020-07-10 14:48:00</t>
        </is>
      </c>
      <c r="H10223" t="inlineStr"/>
    </row>
    <row r="10224">
      <c r="A10224" t="inlineStr">
        <is>
          <t>hoy008</t>
        </is>
      </c>
      <c r="B10224" t="inlineStr">
        <is>
          <t>When is it too early to test?</t>
        </is>
      </c>
      <c r="C10224" t="inlineStr">
        <is>
          <t>I noticed this morning at the top of my throat/above my Adam's apple, it feels slightly swollen and hurts. I have a history of cancer in my family, someone had thyroid cancer as well, and during my last blood test my thyroid level was in the high range (but I believe I have a family history of that as well, so it may be normal).
Due to the pandemic and issues with my insurance, I'm trying to limit visits to my urgent care. I'm not trying to ask for a diagnosis here (hope it didn't come off that way with me listing my symptoms and family history, just wanted to show I have reason for concern), but just going by a sore throat and swelling, would it be too early to test for cancer? I'd hate to get tested, have it come back negative, then it gets worse and I need to be tested again. At the same time, I don't want to not get tested and let it get worse.</t>
        </is>
      </c>
      <c r="D10224" t="n">
        <v>1</v>
      </c>
      <c r="E10224" t="n">
        <v>11</v>
      </c>
      <c r="F10224">
        <f>HYPERLINK("https://www.reddit.com/r/cancer/comments/hoy008/when_is_it_too_early_to_test/")</f>
        <v/>
      </c>
      <c r="G10224" t="inlineStr">
        <is>
          <t>2020-07-10 14:50:55</t>
        </is>
      </c>
      <c r="H10224" t="inlineStr"/>
    </row>
    <row r="10225">
      <c r="A10225" t="inlineStr">
        <is>
          <t>hoyrx9</t>
        </is>
      </c>
      <c r="B10225" t="inlineStr">
        <is>
          <t>How can I help support my boyfriend who just lost his mum to cancer?</t>
        </is>
      </c>
      <c r="C10225" t="inlineStr">
        <is>
          <t>Me and my long distance boyfriend have been together for almost a year, although we haven't actually met, we were planning to meet at the start of the year but covid came along and ruined that. His mum got diagnosed with lung cancer around his 19th birthday last year but this week she sadly lost her battle. This obviously has taken a huge effect on my boyfriend and I feel so helpless because I'm unable to see him as Wales is shut and I live in England. I guess my question is, how can I help support my boyfriend who's grieving the loss of his mum? I know I can't do much but I'm worried I'm going to say the wrong thing and upset him, I'm just unsure what to do. Any advice would be really helpful, thanks :)</t>
        </is>
      </c>
      <c r="D10225" t="n">
        <v>1</v>
      </c>
      <c r="E10225" t="n">
        <v>3</v>
      </c>
      <c r="F10225">
        <f>HYPERLINK("https://www.reddit.com/r/cancer/comments/hoyrx9/how_can_i_help_support_my_boyfriend_who_just_lost/")</f>
        <v/>
      </c>
      <c r="G10225" t="inlineStr">
        <is>
          <t>2020-07-10 15:35:52</t>
        </is>
      </c>
      <c r="H10225" t="inlineStr"/>
    </row>
    <row r="10226">
      <c r="A10226" t="inlineStr">
        <is>
          <t>hp0nh5</t>
        </is>
      </c>
      <c r="B10226" t="inlineStr">
        <is>
          <t>Caregiver burnout</t>
        </is>
      </c>
      <c r="C10226" t="inlineStr">
        <is>
          <t>I’m the main (only) caregiver for my husband who has stage 4 sarcoma. He’s mostly doing well and is still getting treatment which we think is actually working right now. Since COVID it’s been pretty much just him and I in our apartment and going to appointments. I also can’t leave him for very long because he sometimes has sudden medical emergencies. 
I manage all his medications, appointments, etc. We haven’t seen anyone due to COVID, and he’s reluctant to see anyone at all because he’s so paranoid about contracting it. Due to family conflict, the only family that we have close by, he no longer speaks to (had a really toxic relationship with his dad.. it’s for the best..) 
I’m feeling extremely burnt out. This is my best friend and the love of my life, we are only 25, I feel guilty even saying I’m burnt out. BUT- I’m starting to forget to refill his medications, I forgot about 2 appointments this week. Im exhausted all the time, I feel numb to emotions, I go all day without eating because I’m so preoccupied with making phone calls/coordinating his care everyday. I’m not sure if it’s safe for me to be his only caregiver. We also have a dog who previously I was doing most of the caretaking for but honestly Even she is exhausting me. He does not want anyone involved, especially his father, and other family lives far away. 
When he has energy he also has a long to do list of things he wants to get done (errands, stuff around the house) which I honestly just don’t have the energy for. Today he even told me that I’ve been difficult this week - that’s the last thing I want to be for him, but I’m truly overwhelmed. I feel awful that I’m even typing this out, but I tried to tell him I need more help and he was really closed off to it. I think part of him hates other people to see him bald/tired too.
I will add he is not dying so please don’t suggest hospice.
Any idea how I can talk to him to get him to let me involve SOMEONE to help? Or to sit with him once in a while so I can go outside or something? Prior to getting sick we had a large friend group who we saw often, he doesn’t want to see them now... family is very willing to help he just doesn’t want them here. Agh. Advice welcomed! Or just any other similar experiences!</t>
        </is>
      </c>
      <c r="D10226" t="n">
        <v>1</v>
      </c>
      <c r="E10226" t="n">
        <v>0</v>
      </c>
      <c r="F10226">
        <f>HYPERLINK("https://www.reddit.com/r/cancer/comments/hp0nh5/caregiver_burnout/")</f>
        <v/>
      </c>
      <c r="G10226" t="inlineStr">
        <is>
          <t>2020-07-10 17:35:04</t>
        </is>
      </c>
      <c r="H10226" t="inlineStr"/>
    </row>
    <row r="10227">
      <c r="A10227" t="inlineStr">
        <is>
          <t>hp0rqz</t>
        </is>
      </c>
      <c r="B10227" t="inlineStr">
        <is>
          <t>What helped you or a loved one while undergoing chemo treatments</t>
        </is>
      </c>
      <c r="C10227" t="inlineStr">
        <is>
          <t>Hi all, 
As the title suggest I was wondering what helped you or a loved one during chemo. Was there anything that helped with the numerous side effects and the stress of going through the treatments? What helped and made you or then more comfortable and what did not? Thank you in advance!</t>
        </is>
      </c>
      <c r="D10227" t="n">
        <v>1</v>
      </c>
      <c r="E10227" t="n">
        <v>8</v>
      </c>
      <c r="F10227">
        <f>HYPERLINK("https://www.reddit.com/r/cancer/comments/hp0rqz/what_helped_you_or_a_loved_one_while_undergoing/")</f>
        <v/>
      </c>
      <c r="G10227" t="inlineStr">
        <is>
          <t>2020-07-10 17:42:53</t>
        </is>
      </c>
      <c r="H10227" t="inlineStr"/>
    </row>
    <row r="10228">
      <c r="A10228" t="inlineStr">
        <is>
          <t>hp1yax</t>
        </is>
      </c>
      <c r="B10228" t="inlineStr">
        <is>
          <t>Stepdad diagnosed with kidney, stomach, and bone cancer. Has decided against chemo. Natural options needed</t>
        </is>
      </c>
      <c r="C10228" t="inlineStr">
        <is>
          <t>My stepdad is almost eighty, but up until this year was very active and strong for his age. About 2 months he started feeling fatigued and having pains all over his body. He finally went to the doctor last week and we got the news he has "advanced" cancer. They didn't say yet what stage yet, he has to go to see another doctor next week.
Anyway, he's decided against any chemo. He's of sound mind and has always maintained this sentiment. The only option he would consider is natural healing, and I'm sure with this advanced stage, his age, the treatment path, there isn't much hope. I'm just here for a hail mary and any resources you can point me towards.
He's already committed to cleaning up his diet. Any other suggestions, supplements would be welcomed. I've done a bit of research as is, but nothing really stands out as the best path for natural. Thank you</t>
        </is>
      </c>
      <c r="D10228" t="n">
        <v>1</v>
      </c>
      <c r="E10228" t="n">
        <v>25</v>
      </c>
      <c r="F10228">
        <f>HYPERLINK("https://www.reddit.com/r/cancer/comments/hp1yax/stepdad_diagnosed_with_kidney_stomach_and_bone/")</f>
        <v/>
      </c>
      <c r="G10228" t="inlineStr">
        <is>
          <t>2020-07-10 19:05:19</t>
        </is>
      </c>
      <c r="H10228" t="inlineStr"/>
    </row>
    <row r="10229">
      <c r="A10229" t="inlineStr">
        <is>
          <t>hp3mhq</t>
        </is>
      </c>
      <c r="B10229" t="inlineStr">
        <is>
          <t>Wife is all done with chemo</t>
        </is>
      </c>
      <c r="C10229" t="inlineStr">
        <is>
          <t>Today she got her last granix shot, and now we just have the follow up and scan to confirm she is in remission. Her oncologists are normally glass half empty type of people, and they have both stated they are confident the chemo got the little bits they didn't in surgery. I obviously won't be relieved until they are done analyzing the scan images, but there is obviously a lot less stress right now.
Her body took the chemo no problem until this last week when it finally crashed. Her levels were technically too low for her final infusion, but they decided to push her through and just complete it. Just had to get a couple transfusions (1 unit before this infusion, and 2 day after) to boost her through it. Now just rest, maybe another IV or 2 of magnesium, and let her recover.
All I can say is, FUCK CANCER!</t>
        </is>
      </c>
      <c r="D10229" t="n">
        <v>1</v>
      </c>
      <c r="E10229" t="n">
        <v>2</v>
      </c>
      <c r="F10229">
        <f>HYPERLINK("https://www.reddit.com/r/cancer/comments/hp3mhq/wife_is_all_done_with_chemo/")</f>
        <v/>
      </c>
      <c r="G10229" t="inlineStr">
        <is>
          <t>2020-07-10 21:05:03</t>
        </is>
      </c>
      <c r="H10229" t="inlineStr"/>
    </row>
    <row r="10230">
      <c r="A10230" t="inlineStr">
        <is>
          <t>hp3n9t</t>
        </is>
      </c>
      <c r="B10230" t="inlineStr">
        <is>
          <t>I feel so broken and I need help or advice or anything really</t>
        </is>
      </c>
      <c r="C10230" t="inlineStr">
        <is>
          <t>I honestly don’t know what to do anymore I need so much help but my world feels like it’s closing and like there is no one to reach out to 
Let me give a little backstory. There’s me (20F) my sister (24) and my dad (55). My family and I are incredibly close to each other they are basically my world 
November 3, 2018 my mother (58) passed away from cervical cancer. It was 6 weeks between the diagnosis to her death and to say it left us all a bit shell shocked is an understatement. I quit school that year and came back home and worked part time and my family began to heal. This past March 2020 my father was formally diagnosed with esophageal cancer. 
Since my mom’s illness and death was so quick we had no idea what we were getting into treatment wise and now he only has one cycle of chemo left as well as radiation for the next two weeks. 
Over the past months I’ve had to watch my dad deteriorate from the strong, lovable, goofy and hardworking guy he was into this just total shell of him 
He’s lost so much weight and all of his hair and he looks so lifeless and empty 
There are so good days sure but there are so many many more bad days where he’s just so sick and he’s shaking and crying saying he wants to give up and die because he’s in so much pain. The type of tumour he has is extremely rare and extremely aggressive therefore the doctors cannot give us a timeline of what his life will look like and how long doing the treatment will get him. 
Every morning I wake up wishing I weren’t alive and every night I go to bed hoping I won’t wake up. I’m so numb and tired and empty. I know this is my depression talking (was diagnosed when I was 16) but it’s honestly never been this bad. I’m seeing a counsellor every other week but it’s just not helping because when it comes down to it I’m going to be parentless very soon and no one can help that or change that 
I just don’t know who to turn to or talk to and I feel so incredibly alone in all of this 
I don’t want my dad to die 
I wanted my parents to see me grow up and graduate university and get married and live a good life and I am not dealing well with the fact that that will never be true 
I’m being forced to grow up so quickly that I feel completely isolated from my friends who have never gone through anything like this and while they will always listen to me vent they can’t understand and can’t help me 
It just feels like I can’t catch a break and I’m drowning 
I’m sorry this is so long I just started writing and couldn’t stop. If you’ve made it all this way thank you for listening to my story</t>
        </is>
      </c>
      <c r="D10230" t="n">
        <v>1</v>
      </c>
      <c r="E10230" t="n">
        <v>6</v>
      </c>
      <c r="F10230">
        <f>HYPERLINK("https://www.reddit.com/r/cancer/comments/hp3n9t/i_feel_so_broken_and_i_need_help_or_advice_or/")</f>
        <v/>
      </c>
      <c r="G10230" t="inlineStr">
        <is>
          <t>2020-07-10 21:06:38</t>
        </is>
      </c>
      <c r="H10230" t="inlineStr"/>
    </row>
    <row r="10231">
      <c r="A10231" t="inlineStr">
        <is>
          <t>hp3v98</t>
        </is>
      </c>
      <c r="B10231" t="inlineStr">
        <is>
          <t>Fuck you; Still here</t>
        </is>
      </c>
      <c r="C10231" t="inlineStr">
        <is>
          <t>After a month of thinking treatment was working and starting to make long-term plans again, I'm now in the ICU due to tamponade. The hope was it was rare side effect to keytruda. Cytology from drained fluid came back this evening that it's malignant. So the lining around my heart is growing tumors. The mountain lion let me think the bear was winning. It was not and the mountain lion now looks to be the inevitable victor. 
I guess I'll just enjoy the view from the top of this mountain while the mountain lion finishes off the bear. At least for now: fuck you; still here.</t>
        </is>
      </c>
      <c r="D10231" t="n">
        <v>1</v>
      </c>
      <c r="E10231" t="n">
        <v>6</v>
      </c>
      <c r="F10231">
        <f>HYPERLINK("https://www.reddit.com/r/cancer/comments/hp3v98/fuck_you_still_here/")</f>
        <v/>
      </c>
      <c r="G10231" t="inlineStr">
        <is>
          <t>2020-07-10 21:23:28</t>
        </is>
      </c>
      <c r="H10231" t="inlineStr"/>
    </row>
    <row r="10232">
      <c r="A10232" t="inlineStr">
        <is>
          <t>hp3veg</t>
        </is>
      </c>
      <c r="B10232" t="inlineStr">
        <is>
          <t>My best friend was diagnosed with stage one invasive ductal carcinoma. Ive been listening to this podcast and it’s been super helpful.</t>
        </is>
      </c>
      <c r="C10232" t="inlineStr">
        <is>
          <t>Found the show “breast cancer is boring” on Spotify. It’s 2 gals who have cancer and talk about experiences in various topics. It’s been helping me learn about things my friend might be experiencing without putting the labor on her to inform me.
Thought I’d share in case other people are interested.
Is anyone else currently listening to this show already?</t>
        </is>
      </c>
      <c r="D10232" t="n">
        <v>1</v>
      </c>
      <c r="E10232" t="n">
        <v>1</v>
      </c>
      <c r="F10232">
        <f>HYPERLINK("https://www.reddit.com/r/cancer/comments/hp3veg/my_best_friend_was_diagnosed_with_stage_one/")</f>
        <v/>
      </c>
      <c r="G10232" t="inlineStr">
        <is>
          <t>2020-07-10 21:23:47</t>
        </is>
      </c>
      <c r="H10232" t="inlineStr"/>
    </row>
    <row r="10233">
      <c r="A10233" t="inlineStr">
        <is>
          <t>hp4uks</t>
        </is>
      </c>
      <c r="B10233" t="inlineStr">
        <is>
          <t>Friend (29M) and I (31 M) going to Phoenix for his month-long stem cell transplant and looking for best options to find a place to stay for 1.5 months at cheapest rate with 2 small dogs. Any suggestions?</t>
        </is>
      </c>
      <c r="C10233" t="inlineStr">
        <is>
          <t>We've been trying Air BnB and Extended Stay hotels. Haven't had tremendous luck. Figured people here might have some experience in helping us find a place within budget ($1500-2000). Any suggestions? Thanks so much.</t>
        </is>
      </c>
      <c r="D10233" t="n">
        <v>1</v>
      </c>
      <c r="E10233" t="n">
        <v>15</v>
      </c>
      <c r="F10233">
        <f>HYPERLINK("https://www.reddit.com/r/cancer/comments/hp4uks/friend_29m_and_i_31_m_going_to_phoenix_for_his/")</f>
        <v/>
      </c>
      <c r="G10233" t="inlineStr">
        <is>
          <t>2020-07-10 22:43:58</t>
        </is>
      </c>
      <c r="H10233" t="inlineStr"/>
    </row>
    <row r="10234">
      <c r="A10234" t="inlineStr">
        <is>
          <t>hp5j0y</t>
        </is>
      </c>
      <c r="B10234" t="inlineStr">
        <is>
          <t>I have kidney cancer</t>
        </is>
      </c>
      <c r="C10234" t="inlineStr">
        <is>
          <t>I’m in too much shock to write much now. But the doctor just called and said I have a kidney stone and lesion. I had a CT scan yesterday. I’ll see him next week. I’m terrified.</t>
        </is>
      </c>
      <c r="D10234" t="n">
        <v>1</v>
      </c>
      <c r="E10234" t="n">
        <v>8</v>
      </c>
      <c r="F10234">
        <f>HYPERLINK("https://www.reddit.com/r/cancer/comments/hp5j0y/i_have_kidney_cancer/")</f>
        <v/>
      </c>
      <c r="G10234" t="inlineStr">
        <is>
          <t>2020-07-10 23:45:16</t>
        </is>
      </c>
      <c r="H10234" t="inlineStr"/>
    </row>
    <row r="10235">
      <c r="A10235" t="inlineStr">
        <is>
          <t>hp5rgi</t>
        </is>
      </c>
      <c r="B10235" t="inlineStr">
        <is>
          <t>My mother (59F) was diagnosed with breast cancer 2 yrs ago she is now NED. But whenever she gets sick (cold, bug) she panics. How can I (25F) help her???</t>
        </is>
      </c>
      <c r="C10235" t="inlineStr">
        <is>
          <t>Sorry if this is wrong place but I’m desperate.
As title says she’s now been cleared with NoEvidence of Disease as of a year ago. 
She’s always been a panicker, hated being sick and would freak if she had to vomit. She had gastro a few years back and she didn’t handle it well. During chemo she was pretty sick, hospitalised twice. I’d try to help her, get her heat packs and water, rub her back etc. but I may as well have comforted the brick wall.
My issue is since the diagnosis when she gets sick now she gets so into her head that all she does is go “oh god I’m going to die” “I can’t do this” “just let me die” and mantras like this. She’s always done similar even before cancer but now it’s just 10X worse. I try to get her to take deep breaths and sip water and everything but she panics herself into going cold with shock! Which then makes her panic more!!! She did this during chemo and honestly I thought she was dying. We called the ambulance as she kept saying she was going to faint and was in the worst pain. The ambulance people arrived and she sat up and chatted with them!! She was still feeble but it was like she was 50% better. They took her in and it turned out she had an infection from her mastectomy. This happened once more but it was diarrhoea and nausea, I had to get her to the hospital as she was on chemo and she wouldn’t move and I’d called an emergency number and they insisted she come in, so ambulance again... once again she perked up and chatted and when they got her to the hospital it turned out she was dehydrated. 
She’s currently got a tummy bug. And it’s the same as above. She was on the toilet going “i want to go back to bed!” And I’d be like do you need a heat pack? Can you sip this for me please? What about an anti-nausea  tablet? And she ignores this and repeats “I want to go to bed!” Have you finished going to the toilet? “I don’t know I want to go to bed”.
I haven’t had cancer and she’s the only person I’ve known who has had it. Is this normal?? How do I help her?? What do I do?? I love her so much but I’m just so lost and frustrated. 
Oh and yes she saw a psychologist for a year for panic attacks. It helped, she’s learnt to deep breathe but times like this it goes out the window..</t>
        </is>
      </c>
      <c r="D10235" t="n">
        <v>1</v>
      </c>
      <c r="E10235" t="n">
        <v>2</v>
      </c>
      <c r="F10235">
        <f>HYPERLINK("https://www.reddit.com/r/cancer/comments/hp5rgi/my_mother_59f_was_diagnosed_with_breast_cancer_2/")</f>
        <v/>
      </c>
      <c r="G10235" t="inlineStr">
        <is>
          <t>2020-07-11 00:07:02</t>
        </is>
      </c>
      <c r="H10235" t="inlineStr"/>
    </row>
    <row r="10236">
      <c r="A10236" t="inlineStr">
        <is>
          <t>hp67z2</t>
        </is>
      </c>
      <c r="B10236" t="inlineStr">
        <is>
          <t>Activities to do with my brother before the end of his life</t>
        </is>
      </c>
      <c r="C10236" t="inlineStr">
        <is>
          <t>My brother is coming to the end of his life. He is in his 30s and has a stage 4 glioblastoma. He has limited mobility because of the placement of his tumour and not much use of one of his hands. His memory is patchy at best. 
I want to make his last few months as fun and interesting as possible. He doesn’t have a bucket list of things he wants to do, but is getting bored and frustrated sitting at home which is impacting his mental health. He used to be very active, loved surfing, road trips and photography. Unfortunately he has difficulty doing any of these things now. 
I would love some suggestions about things we could do that would be fun or exciting or even just keep him entertained. So far we’ve planned to do a camping trip by the beach, and a dumpling night where we make his favourite foods. 
Any suggestions about how we can ease him through these difficult months would be greatly appreciated.</t>
        </is>
      </c>
      <c r="D10236" t="n">
        <v>1</v>
      </c>
      <c r="E10236" t="n">
        <v>7</v>
      </c>
      <c r="F10236">
        <f>HYPERLINK("https://www.reddit.com/r/cancer/comments/hp67z2/activities_to_do_with_my_brother_before_the_end/")</f>
        <v/>
      </c>
      <c r="G10236" t="inlineStr">
        <is>
          <t>2020-07-11 00:50:41</t>
        </is>
      </c>
      <c r="H10236" t="inlineStr"/>
    </row>
    <row r="10237">
      <c r="A10237" t="inlineStr">
        <is>
          <t>hp6x3h</t>
        </is>
      </c>
      <c r="B10237" t="inlineStr">
        <is>
          <t>What is your very best life advice on staying "mentally tough" after a diagnosis, especially when you wake up every morning and feel like you've been punched in the gut?</t>
        </is>
      </c>
      <c r="C10237" t="inlineStr">
        <is>
          <t>Just wanted your advice, be it books, videos, quotes, personal anecdotes.  
This whole thing feels like you're being repeatedly punched in the gut but to no avail. I've been experiencing many vasovagal syncope responses (last one on Thursday) and I just feel like it's so draining. I'll spare you the details because I'm not looking for physical things I can do or take (I have that covered), but rather the mental aspect of it.  
How do you stay positive? How do you stay mentally tough? Cancer is the proverbial cancer in the room and is constantly defining you at what feels like every moment, how do you overcome that?   
Thank you for any and all advice.</t>
        </is>
      </c>
      <c r="D10237" t="n">
        <v>1</v>
      </c>
      <c r="E10237" t="n">
        <v>10</v>
      </c>
      <c r="F10237">
        <f>HYPERLINK("https://www.reddit.com/r/cancer/comments/hp6x3h/what_is_your_very_best_life_advice_on_staying/")</f>
        <v/>
      </c>
      <c r="G10237" t="inlineStr">
        <is>
          <t>2020-07-11 01:59:19</t>
        </is>
      </c>
      <c r="H10237" t="inlineStr"/>
    </row>
    <row r="10238">
      <c r="A10238" t="inlineStr">
        <is>
          <t>hp7ipb</t>
        </is>
      </c>
      <c r="B10238" t="inlineStr">
        <is>
          <t>How living in the shadow of cancer led me to a change in a career before 30.</t>
        </is>
      </c>
      <c r="C10238" t="inlineStr">
        <is>
          <t>tl;dr: I got cancer in my early 20s, and I couldn't resume or live a normal life. Ultimately leading to change in a career before the age of 30. (Followed by encouragement to listen to your body post-cancer) 
# If anyone would also like to share some unexpected things they experienced post-treatment, I encourage you to do so! I hate feeling like I'm the only one who had to change their life after treatment sometimes.
\_\_\_\_\_\_\_\_\_\_\_\_\_\_\_\_\_\_\_\_\_\_\_\_\_\_\_\_\_\_\_\_\_\_\_\_\_\_\_\_\_\_\_\_\_\_\_\_\_\_\_\_\_\_\_\_\_\_\_\_\_\_
My twenty-third birthday was spent with the side effects of chemotherapy. Diagnosed with Hodgkins Lymphoma, bi-weekly trips to a room filled with mostly elderly individuals receiving similar treatments to mine and the smell of antiseptic remains a clear memory today. There was so much out there to prepare me for the fight of a lifetime, but nothing prepared me for life *after*. Was it because cancer is for older people, like some of my doctors had said?
Personally, I feel like I live in limbo. After treatment, you'd expect to move on as if you were to feel the same as life *before* cancer. They didn't tell me about the potential effects after chemo ended. I resumed my job working with disabled adults and those 6.5-7 hour days doing mild activities like shopping, play board games, and having a casual stroll became taxing. I felt like I ached at the end of the day, every day for two years post-chemotherapy at this job. I inevitably decided to leave this job to work as a Behavior Therapist for children with Autism. The company that poached me from my previous position was ready to accommodate my new found needs of a low-impact day with a child that was also low in energy. There shouldn't be much surprise that a 4-hour workday playing with puzzles and waiting out tantrums was also found to be physically exhausting. I remember coming home to need a hot shower immediately or to soak in hot water and crawl into bed for the remainder of the day most days. The other days when left alone to work on other hobbies such as art, or dabbling in programming, The evenings were greeted with enough energy to do things like exercise or be able to live outside the bed in general. This is what led me to the decision to quit my job and pursue my degree full time in college in Computer Science. While we closely watch my LDH and tumor growth for a second time.
Why did I choose Computer Science (programming)? I decided I did not want to push for disability. I felt that I needed a job that allowed me to work from home that wasn't going to be a scam or a pyramid scheme pushing product. I wasn't fond of the idea of being a telemarketer or call representative, as I didn't want to deal with several hundred angry people a day. After research and some trials with learning programming for free online, I decided to go the traditional route and get a degree in it, for the work-from-home jobs with the highest earning potential was for programmers or developers.  Boot-Camps for programming seemed like a type of situation I'd like to avoid with 12 hour days in an office setting (pre-COVID).
At the age of twenty-six, I dared to enroll and chase that education "late," as my counselor called it. Yet, my grandmother went back to school at the age of 72, so I'd say I'm right on time.  With distance-learning already being leaps and bounds better than my physical job, the confidence in the idea of continuing working this way rises. And the hopes of an increase of more work-from-home opportunities due to COVID-19 as we become accustomed to telecommuting and working/learning at a distance.
I urge all survivors of cancer to listen to what their bodies say, and not to force it to function at that same level pre-cancer if it's not getting more comfortable. It's's never too late to figure something else out, and in time things can change if you're accepting of what changes you can make to get to whatever you want your goal to be in the long run.</t>
        </is>
      </c>
      <c r="D10238" t="n">
        <v>1</v>
      </c>
      <c r="E10238" t="n">
        <v>9</v>
      </c>
      <c r="F10238">
        <f>HYPERLINK("https://www.reddit.com/r/cancer/comments/hp7ipb/how_living_in_the_shadow_of_cancer_led_me_to_a/")</f>
        <v/>
      </c>
      <c r="G10238" t="inlineStr">
        <is>
          <t>2020-07-11 02:57:12</t>
        </is>
      </c>
      <c r="H10238" t="inlineStr"/>
    </row>
    <row r="10239">
      <c r="A10239" t="inlineStr">
        <is>
          <t>hp89nj</t>
        </is>
      </c>
      <c r="B10239" t="inlineStr">
        <is>
          <t>Fuck corona and fuck cancer</t>
        </is>
      </c>
      <c r="C10239" t="inlineStr">
        <is>
          <t>It’s the end of my life. It’s the last few months of my life. I want to be fucking outside. I want to go get coffee and chat with regulars. I want to get a train down to London and see my friends. I want to see my fucking friends!!!! I had to tell my BFF that I was terminal over 5 feet and she couldn’t fucking hug me. I’m trapped in my house. I’m gonna die in my house. I cannot feel normal ever again. 
Terminal cancer at 23 was already bullshit. The pandemic couldn’t have waited a fucking year??? Sick of it today.</t>
        </is>
      </c>
      <c r="D10239" t="n">
        <v>1</v>
      </c>
      <c r="E10239" t="n">
        <v>37</v>
      </c>
      <c r="F10239">
        <f>HYPERLINK("https://www.reddit.com/r/cancer/comments/hp89nj/fuck_corona_and_fuck_cancer/")</f>
        <v/>
      </c>
      <c r="G10239" t="inlineStr">
        <is>
          <t>2020-07-11 04:09:04</t>
        </is>
      </c>
      <c r="H10239" t="inlineStr"/>
    </row>
    <row r="10240">
      <c r="A10240" t="inlineStr">
        <is>
          <t>hp8qok</t>
        </is>
      </c>
      <c r="B10240" t="inlineStr">
        <is>
          <t>Mother in law has brain cancer (GBM)</t>
        </is>
      </c>
      <c r="C10240" t="inlineStr">
        <is>
          <t>I'm not really sure what I'm looking for here other than support? My husband's family doesn't communicate well at all. I am struggling to cope with this diagnosis without knowing anything other than the tidbits they choose to share. I understand waiting to stay positive but how do I process this without the information.
The most comprehensive thing I've been told is that it is late stage and she will be having 20 chemo treatments in the coming month. They also said its likely the most common type of brain cancer, unfortunately. This leads me to believe it's GBM. 
We live three hours away and my husband has been visiting them on and off for the past two weeks leading up to surgery and diagnosis this week. I have a 21 month old. 
How do I help? I feel like they're all in denial and won't have the hard conversations.</t>
        </is>
      </c>
      <c r="D10240" t="n">
        <v>1</v>
      </c>
      <c r="E10240" t="n">
        <v>3</v>
      </c>
      <c r="F10240">
        <f>HYPERLINK("https://www.reddit.com/r/cancer/comments/hp8qok/mother_in_law_has_brain_cancer_gbm/")</f>
        <v/>
      </c>
      <c r="G10240" t="inlineStr">
        <is>
          <t>2020-07-11 04:51:27</t>
        </is>
      </c>
      <c r="H10240" t="inlineStr"/>
    </row>
    <row r="10241">
      <c r="A10241" t="inlineStr">
        <is>
          <t>hp9jem</t>
        </is>
      </c>
      <c r="B10241" t="inlineStr">
        <is>
          <t>Wife was just diagnosed with cervical cancer</t>
        </is>
      </c>
      <c r="C10241" t="inlineStr">
        <is>
          <t>Not sure if it’s localized or spread yet, we have oncologists reaching out to us next week to do imaging. This was caught by her OBGYN after bleeding excessively for the last 8 weeks. Did a biopsy and it came back as malignant cancerous growth. She’s taking it much better than I am and am here looking for support and insight if there are any survivors of cervical cancer here. Obvious best case is that it’s localized and a hysterectomy is all it takes. We weren’t planning on having kids so it makes that easier to deal with, but if it’s spread I have no idea what she’s in for. Thanks I’m advance</t>
        </is>
      </c>
      <c r="D10241" t="n">
        <v>1</v>
      </c>
      <c r="E10241" t="n">
        <v>8</v>
      </c>
      <c r="F10241">
        <f>HYPERLINK("https://www.reddit.com/r/cancer/comments/hp9jem/wife_was_just_diagnosed_with_cervical_cancer/")</f>
        <v/>
      </c>
      <c r="G10241" t="inlineStr">
        <is>
          <t>2020-07-11 05:56:52</t>
        </is>
      </c>
      <c r="H10241" t="inlineStr"/>
    </row>
    <row r="10242">
      <c r="A10242" t="inlineStr">
        <is>
          <t>hpadhv</t>
        </is>
      </c>
      <c r="B10242" t="inlineStr">
        <is>
          <t>Long term side effects of Keytruda</t>
        </is>
      </c>
      <c r="C10242" t="inlineStr">
        <is>
          <t>My dad, nsclc, has very positive response to keytruda after 3 cycles. We are continuing keytruda as a mono treatment until further notice. I'm now suddenly concern of the long term effects it might have. The oncologist said that if nothing happens the 1st or 2nd cycle then it's very rare that anything will happen.
Has anyone had experience with long term keytruda side effects? From what I've read it does happen and it seems catastrophic if it does happen.</t>
        </is>
      </c>
      <c r="D10242" t="n">
        <v>1</v>
      </c>
      <c r="E10242" t="n">
        <v>4</v>
      </c>
      <c r="F10242">
        <f>HYPERLINK("https://www.reddit.com/r/cancer/comments/hpadhv/long_term_side_effects_of_keytruda/")</f>
        <v/>
      </c>
      <c r="G10242" t="inlineStr">
        <is>
          <t>2020-07-11 06:55:54</t>
        </is>
      </c>
      <c r="H10242" t="inlineStr"/>
    </row>
    <row r="10243">
      <c r="A10243" t="inlineStr">
        <is>
          <t>hpf433</t>
        </is>
      </c>
      <c r="B10243" t="inlineStr">
        <is>
          <t>Why a Will is important even for a young person</t>
        </is>
      </c>
      <c r="C10243" t="inlineStr">
        <is>
          <t>My sister was twenty-two when cancer took her.  Even as we watched her fade, we were unprepared for how her death would effect our family.  
In her last months,  she began to give personal items away and verbalized her final wishes. She never wrote those wishes down,  trusting that her family and friends would simply choose to honor them; honor her.  I wish she had been correct.  
During these same months,  our father, a paranoid schizophrenic, suffered a relapse. He was not living in reality and ... difficult. Always a selfish,  passively-aggressive figure,  his relapse only made him more so. So when she died, he demanded that her body be buried in the family plot rather than her ashes be scattered into the ocean surrounding Hawaii (her final wish). To keep him happy,  my mother agreed.  
They dug a hole and buried her ashes in the plastic bag provided by the mortuary.  My mother, believing that my father would soon be buried there as well,  promised that once he passed,  her ashes would be exhumed and taken to Hawaii.  
That was eight years ago.  
My father's health is just now beginning to fail and so I remind my mother of her promise. She  did not take it well,  accusing me of wanting to desecrate my sister's grave and trying to make her feel guilty for not having honored my sister's final wish in the first place.  "The dead don't care!,' she told me, 'she's a brick by now anyway."
As the legal owners of the plot and her foremost surviving relatives,  under the law,  there is nothing I can do.  My sister will remain underground,  in a plastic bag.  
It is a grotesque injustice but one which could have been avoided by a legal Will. 
Please,  consider the unimaginable when making your final preparations.  Grief changes people and often they will act in selfish ways,  disregarding the wishes of the dead.</t>
        </is>
      </c>
      <c r="D10243" t="n">
        <v>1</v>
      </c>
      <c r="E10243" t="n">
        <v>3</v>
      </c>
      <c r="F10243">
        <f>HYPERLINK("https://www.reddit.com/r/cancer/comments/hpf433/why_a_will_is_important_even_for_a_young_person/")</f>
        <v/>
      </c>
      <c r="G10243" t="inlineStr">
        <is>
          <t>2020-07-11 11:34:57</t>
        </is>
      </c>
      <c r="H10243" t="inlineStr"/>
    </row>
    <row r="10244">
      <c r="A10244" t="inlineStr">
        <is>
          <t>hpgq90</t>
        </is>
      </c>
      <c r="B10244" t="inlineStr">
        <is>
          <t>It's my friend's birthday (F18- leukemia) and I want to use my Ulta gift card to buy her some stuff!</t>
        </is>
      </c>
      <c r="C10244" t="inlineStr">
        <is>
          <t>Any recommendations? I don't want to get her anything that will make her nauseous/uncomfortable, so thought I would ask here! I know she has a bunch of body lotions and lip balms already. Thank you in advance!</t>
        </is>
      </c>
      <c r="D10244" t="n">
        <v>1</v>
      </c>
      <c r="E10244" t="n">
        <v>7</v>
      </c>
      <c r="F10244">
        <f>HYPERLINK("https://www.reddit.com/r/cancer/comments/hpgq90/its_my_friends_birthday_f18_leukemia_and_i_want/")</f>
        <v/>
      </c>
      <c r="G10244" t="inlineStr">
        <is>
          <t>2020-07-11 13:08:00</t>
        </is>
      </c>
      <c r="H10244" t="inlineStr"/>
    </row>
    <row r="10245">
      <c r="A10245" t="inlineStr">
        <is>
          <t>hpgx5y</t>
        </is>
      </c>
      <c r="B10245" t="inlineStr">
        <is>
          <t>A negative and a positive result.</t>
        </is>
      </c>
      <c r="C10245" t="inlineStr">
        <is>
          <t>5 days ago I was diagnosed, I made a post and have to say thank you for all your support and your advice.
This was a rough week for me, on Monday I had my reunion with my oncologist, the first thing he did was send my sample? (Sorry not native) with his pathologist just to be sure about my diagnosis and the next steps on my treatment.
Today I went to get my results, it’s negative, I don’t know what to feel, he said that he trust his pathologist because has never give him a bad result, so I can almost be sure that I don’t have cancer, but now I have two results one positive one negative, so while I feel relieved there’s still one test that need to be done to be completely sure about the negative result, I’ll have to wait 15 days to get the results.
I don’t know if I should be happy or worried, because in 15 days it could be a nightmare all over again. My family it’s overjoyed with the news, but I honestly don’t know how to feel.
Have anyone experienced the same as me? Thank you.</t>
        </is>
      </c>
      <c r="D10245" t="n">
        <v>1</v>
      </c>
      <c r="E10245" t="n">
        <v>4</v>
      </c>
      <c r="F10245">
        <f>HYPERLINK("https://www.reddit.com/r/cancer/comments/hpgx5y/a_negative_and_a_positive_result/")</f>
        <v/>
      </c>
      <c r="G10245" t="inlineStr">
        <is>
          <t>2020-07-11 13:18:56</t>
        </is>
      </c>
      <c r="H10245" t="inlineStr"/>
    </row>
    <row r="10246">
      <c r="A10246" t="inlineStr">
        <is>
          <t>hpjg9i</t>
        </is>
      </c>
      <c r="B10246" t="inlineStr">
        <is>
          <t>Should all types of cancer be considered as only 1 disease in the context of comparing total deaths by year vs other diseases? (for example, vs covid)</t>
        </is>
      </c>
      <c r="C10246" t="inlineStr">
        <is>
          <t>Hello, i was talking to a friend about the diferences between covid deaths and other diseases.
when comparing cancer, knowing there are a lot of types of the disease, as they are a familiy of diseases, should all them be considered as 1 disease vs covid? or given the differences between various cancer types, should them be considered separated?
&amp;amp;#x200B;
thanks for the info :)</t>
        </is>
      </c>
      <c r="D10246" t="n">
        <v>1</v>
      </c>
      <c r="E10246" t="n">
        <v>5</v>
      </c>
      <c r="F10246">
        <f>HYPERLINK("https://www.reddit.com/r/cancer/comments/hpjg9i/should_all_types_of_cancer_be_considered_as_only/")</f>
        <v/>
      </c>
      <c r="G10246" t="inlineStr">
        <is>
          <t>2020-07-11 15:47:15</t>
        </is>
      </c>
      <c r="H10246" t="inlineStr"/>
    </row>
    <row r="10247">
      <c r="A10247" t="inlineStr">
        <is>
          <t>hpk3el</t>
        </is>
      </c>
      <c r="B10247" t="inlineStr">
        <is>
          <t>My mum's best friend died tonight of secondary breast cancer</t>
        </is>
      </c>
      <c r="C10247" t="inlineStr">
        <is>
          <t>My mum's best friend of over thirty years, someone she knew even before my dad died last night. She had breast cancer a year ago, was cleared ish and then has been shielding since lockdown. 
2 weeks ago she felt unwell and was basically admitted to the oncology ward immediately, had tests done and was riddled with tumours in her lungs, liver, bowels etc. 
She was given worst case scenario a year, but more likely 2 to 3 years to live which was heartbreaking. 
She made plans to write letters for her children, to go wedding dress shopping for her daughter's eventual wedding and to travel.
Tonight my mum received a phone call from her friend's husband saying she was dead. 
Just like that she's dead only a couple of days after starting treatment. And a few days before that she wasn't terminal. She was shielding away from even her immediate family for weeks and finally she was reunited for a fraction of the time she had spent alone.
I'm beyond devastated for her family and my mum. This disease sucks and a year left was horrible enough but for her to depart so soon is just cruel. She sent my mum a paragraph the day before about what an amazing friend she is. I think deep down she knew. She said she wouldn't live to see Christmas. 
She was an amazing person. Rest in Peace.</t>
        </is>
      </c>
      <c r="D10247" t="n">
        <v>1</v>
      </c>
      <c r="E10247" t="n">
        <v>5</v>
      </c>
      <c r="F10247">
        <f>HYPERLINK("https://www.reddit.com/r/cancer/comments/hpk3el/my_mums_best_friend_died_tonight_of_secondary/")</f>
        <v/>
      </c>
      <c r="G10247" t="inlineStr">
        <is>
          <t>2020-07-11 16:25:37</t>
        </is>
      </c>
      <c r="H10247" t="inlineStr"/>
    </row>
    <row r="10248">
      <c r="A10248" t="inlineStr">
        <is>
          <t>hpn7k7</t>
        </is>
      </c>
      <c r="B10248" t="inlineStr">
        <is>
          <t>Something My 9 Year Old Said To Me Today</t>
        </is>
      </c>
      <c r="C10248" t="inlineStr">
        <is>
          <t>Maybe a short silly story for a change of pace.. today I was swimming with my 9 year old. It was getting to the time we had to get out to reapply sunscreen, and so the bargaining process began. I told him he needed to get out, and dry off so I could put sunscreen on again. He asked me why. I told him because I had cancer, and I don't want him to go through that. 
He looked me dead in the eye and said "what, DiD yOu GeT sUn CaNcEr???" What a brat, hahaha</t>
        </is>
      </c>
      <c r="D10248" t="n">
        <v>1</v>
      </c>
      <c r="E10248" t="n">
        <v>1</v>
      </c>
      <c r="F10248">
        <f>HYPERLINK("https://www.reddit.com/r/cancer/comments/hpn7k7/something_my_9_year_old_said_to_me_today/")</f>
        <v/>
      </c>
      <c r="G10248" t="inlineStr">
        <is>
          <t>2020-07-11 19:55:54</t>
        </is>
      </c>
      <c r="H10248" t="inlineStr"/>
    </row>
    <row r="10249">
      <c r="A10249" t="inlineStr">
        <is>
          <t>hpnzlv</t>
        </is>
      </c>
      <c r="B10249" t="inlineStr">
        <is>
          <t>Rant</t>
        </is>
      </c>
      <c r="C10249" t="inlineStr">
        <is>
          <t>During my last trip on the Cancer Train I told someone that I hoped God is real because when I die, I want the satisfaction of spitting in his face before I go to Hell. Not that Hell is a huge worry unless it means perpetually reliving my own misbegotten life. I feel like whoever is in charge - God, the Universe, Karma, Fate - is a real son-of-a-bitch. It not only isn’t letting me die in peace, it’s not letting me die at all. Instead I have to stand here while surgeons carve various pieces out of me. I’m guessing it will keep going until all that’s left is my brain, because what’s the good of torture if the subject isn’t hyperaware of what’s happening.
I know I’m an ungrateful bitch because there are other people who have it worse and who would gladly trade places with me if it meant leaving their own shitty pain-filled lives behind, but tonight I have zero fucks to give for anyone but myself at my personal pity party. I want there to be something out there responsible for this that I could flip off, hit, kick, or hurt and the fact that there isn’t anyone or anything I can point to and blame except myself just makes it worse.</t>
        </is>
      </c>
      <c r="D10249" t="n">
        <v>1</v>
      </c>
      <c r="E10249" t="n">
        <v>7</v>
      </c>
      <c r="F10249">
        <f>HYPERLINK("https://www.reddit.com/r/cancer/comments/hpnzlv/rant/")</f>
        <v/>
      </c>
      <c r="G10249" t="inlineStr">
        <is>
          <t>2020-07-11 20:55:42</t>
        </is>
      </c>
      <c r="H10249" t="inlineStr"/>
    </row>
    <row r="10250">
      <c r="A10250" t="inlineStr">
        <is>
          <t>hpqup5</t>
        </is>
      </c>
      <c r="B10250" t="inlineStr">
        <is>
          <t>I need help with my mum</t>
        </is>
      </c>
      <c r="C10250" t="inlineStr">
        <is>
          <t>Hi everyone, first of all I'm Spanish and my English is not very good but I will try my best to make it sense.
My mother has brain cancer, that one that new tumors appears quickly, so now she are half blinded, can't see for the sides of her vision, ( panoramic vision ), and have a constant "headache" without pain but a feeling like she is drunk.
Now, with a new tumor detected in November and intervened in January with radiosurgery, she presented now new symptoms which are that her left side, the one she has worst ( she can see more with her right side but totally blinded on her left side),is totally without strength, weak, she can't move very well her left hand and her left leg, she can't walk too much for her own.
With all the covid situation, we didn't know yet what is happening in her head, sanity has been collapsed so resonance it's not be done ( they called us to do the resonance the 22th of this month), but until 3 or 4 from August we won't know anything.
So, why I need help? Well, it's for the weakness in his leg and her hand, my brother and I work almost the whole day, and she is alone until we back home at 18pm, so we are afraid that she fell off and hurt her self fataly. My question is.. We are searching for something wearable like a band, with a simple button or very simple function, that in the case she fell off and no one of us is with her, she can call us just by pressing that button, because she don't always have her phone with her. Any idea? I don't see anything like that in internet right now..
Thank you very much for read this testament holy shit.</t>
        </is>
      </c>
      <c r="D10250" t="n">
        <v>1</v>
      </c>
      <c r="E10250" t="n">
        <v>3</v>
      </c>
      <c r="F10250">
        <f>HYPERLINK("https://www.reddit.com/r/cancer/comments/hpqup5/i_need_help_with_my_mum/")</f>
        <v/>
      </c>
      <c r="G10250" t="inlineStr">
        <is>
          <t>2020-07-12 01:09:40</t>
        </is>
      </c>
      <c r="H10250" t="inlineStr"/>
    </row>
    <row r="10251">
      <c r="A10251" t="inlineStr">
        <is>
          <t>hpqvtm</t>
        </is>
      </c>
      <c r="B10251" t="inlineStr">
        <is>
          <t>What are the foods that are commonly bad for cancer patients?</t>
        </is>
      </c>
      <c r="C10251" t="inlineStr">
        <is>
          <t>Also is it true that eating peanut leads to cancer metastasis as a couple of studies says? What can even cancer patients eat in this freaking world?! 
[Link to the study findings] (https://www.huffingtonpost.ca/harriet-sugarmiller/peanuts-cancer_b_6135224.html)
[Another link] (https://foodforbreastcancer.com/foods/peanuts)</t>
        </is>
      </c>
      <c r="D10251" t="n">
        <v>1</v>
      </c>
      <c r="E10251" t="n">
        <v>13</v>
      </c>
      <c r="F10251">
        <f>HYPERLINK("https://www.reddit.com/r/cancer/comments/hpqvtm/what_are_the_foods_that_are_commonly_bad_for/")</f>
        <v/>
      </c>
      <c r="G10251" t="inlineStr">
        <is>
          <t>2020-07-12 01:12:35</t>
        </is>
      </c>
      <c r="H10251" t="inlineStr"/>
    </row>
    <row r="10252">
      <c r="A10252" t="inlineStr">
        <is>
          <t>hpr6dz</t>
        </is>
      </c>
      <c r="B10252" t="inlineStr">
        <is>
          <t>Cancer, you suicidal bastard.</t>
        </is>
      </c>
      <c r="C10252" t="inlineStr">
        <is>
          <t>I’m getting close to my BMT and started mobilization. Holy shit, they said your bones would hurt but this is crazy. My thighs, head, jaw, and my lower back is having bad spasms. I’m twisting and turning. Shit sucks.</t>
        </is>
      </c>
      <c r="D10252" t="n">
        <v>1</v>
      </c>
      <c r="E10252" t="n">
        <v>12</v>
      </c>
      <c r="F10252">
        <f>HYPERLINK("https://www.reddit.com/r/cancer/comments/hpr6dz/cancer_you_suicidal_bastard/")</f>
        <v/>
      </c>
      <c r="G10252" t="inlineStr">
        <is>
          <t>2020-07-12 01:40:11</t>
        </is>
      </c>
      <c r="H10252" t="inlineStr"/>
    </row>
    <row r="10253">
      <c r="A10253" t="inlineStr">
        <is>
          <t>hpteqn</t>
        </is>
      </c>
      <c r="B10253" t="inlineStr">
        <is>
          <t>If we're going for lighter stories I got one</t>
        </is>
      </c>
      <c r="C10253" t="inlineStr">
        <is>
          <t>Little back story in February I was diagnosed with testicular cancer that has spread basically all throughout me at only 22. On Monday I had a seizure that put me back in the hospital and I don't remember much but apparently I was being pretty rowdy and a social worker told me to "Jacob you need to chill you have cancer" to which my response was "fuck cancer you know what's cancerous? The health care system" this all took place on the designated cancer floor of the hospital. 
Hope this can brighten someones day it made me laugh when my girlfriend told me what happened</t>
        </is>
      </c>
      <c r="D10253" t="n">
        <v>1</v>
      </c>
      <c r="E10253" t="n">
        <v>8</v>
      </c>
      <c r="F10253">
        <f>HYPERLINK("https://www.reddit.com/r/cancer/comments/hpteqn/if_were_going_for_lighter_stories_i_got_one/")</f>
        <v/>
      </c>
      <c r="G10253" t="inlineStr">
        <is>
          <t>2020-07-12 05:09:14</t>
        </is>
      </c>
      <c r="H10253" t="inlineStr"/>
    </row>
    <row r="10254">
      <c r="A10254" t="inlineStr">
        <is>
          <t>hpv8bd</t>
        </is>
      </c>
      <c r="B10254" t="inlineStr">
        <is>
          <t>HEART ATTACK</t>
        </is>
      </c>
      <c r="C10254" t="inlineStr">
        <is>
          <t>Anyone who's brilliant should recommend pills that give heart attack and kills in some few minutes</t>
        </is>
      </c>
      <c r="D10254" t="n">
        <v>1</v>
      </c>
      <c r="E10254" t="n">
        <v>0</v>
      </c>
      <c r="F10254">
        <f>HYPERLINK("https://www.reddit.com/r/cancer/comments/hpv8bd/heart_attack/")</f>
        <v/>
      </c>
      <c r="G10254" t="inlineStr">
        <is>
          <t>2020-07-12 07:27:48</t>
        </is>
      </c>
      <c r="H10254" t="inlineStr"/>
    </row>
    <row r="10255">
      <c r="A10255" t="inlineStr">
        <is>
          <t>hpvdyg</t>
        </is>
      </c>
      <c r="B10255" t="inlineStr">
        <is>
          <t>My dad lost his brave and admirable four year fight against esophageal cancer on Thursday</t>
        </is>
      </c>
      <c r="C10255" t="inlineStr">
        <is>
          <t>We just found out about a month ago that my dads neuroendocrine esophageal cancer had metastasized to his liver. I was able to get through my first week of surgical residency (intern year) before having to go home. 
He went into severe hypovolemic and septic shock. It was fast, on the night he was admitted to the ICU he was up talking and I spoke with him at 11:00 PM. His last words to me were “I love you babygirl, don’t worry about me and have a great day at work tomorrow”. Less than 24 hours later he was intubated, maxed out on four pressors, on CRRT (continuous dialysis), was hypothermic and in shock liver. I asked for a sign from my dad that he was ready to go and a couple minutes later he started bleeding from his central line site. I asked the palliative care doctor, who confirmed he’d gone into DIC - essentially his blood stopped clotting. I’d had a patient of my own go into DIC and it was extremely traumatic for providers and family. I knew it was his time. 
My dad was the greatest man in the world. He was loved by every single person that met him. He was a lover of a well mixed Canadian club cocktail, his Weber grill, his tritoon and cleaning the countertops. He was the most organized and responsible person I’ve ever known and it led him down the path to great prosperity and happiness. I made several promises to him on Thursday - that I’d take care of my mom, always keep my house clean and treat every single one of my patients in his honor. 
We are devastated, and shocked by his absence. I posted here about a month ago and got great support so I want to thank you all for that. I decided to go into radiation oncology as a result of dads fight and I’m so glad my life and career will be spent fighting this awful disease. Thanks for reading ❤️</t>
        </is>
      </c>
      <c r="D10255" t="n">
        <v>1</v>
      </c>
      <c r="E10255" t="n">
        <v>11</v>
      </c>
      <c r="F10255">
        <f>HYPERLINK("https://www.reddit.com/r/cancer/comments/hpvdyg/my_dad_lost_his_brave_and_admirable_four_year/")</f>
        <v/>
      </c>
      <c r="G10255" t="inlineStr">
        <is>
          <t>2020-07-12 07:38:20</t>
        </is>
      </c>
      <c r="H10255" t="inlineStr"/>
    </row>
    <row r="10256">
      <c r="A10256" t="inlineStr">
        <is>
          <t>hpwzvj</t>
        </is>
      </c>
      <c r="B10256" t="inlineStr">
        <is>
          <t>Mom diagnosed with grade 4 glioblastoma and in a matter of days has lost her ability to read.</t>
        </is>
      </c>
      <c r="C10256" t="inlineStr">
        <is>
          <t>Does anyone have any advice? I’m so lost. She is the image of health otherwise. She is my best friend.</t>
        </is>
      </c>
      <c r="D10256" t="n">
        <v>1</v>
      </c>
      <c r="E10256" t="n">
        <v>12</v>
      </c>
      <c r="F10256">
        <f>HYPERLINK("https://www.reddit.com/r/cancer/comments/hpwzvj/mom_diagnosed_with_grade_4_glioblastoma_and_in_a/")</f>
        <v/>
      </c>
      <c r="G10256" t="inlineStr">
        <is>
          <t>2020-07-12 09:16:44</t>
        </is>
      </c>
      <c r="H10256" t="inlineStr"/>
    </row>
    <row r="10257">
      <c r="A10257" t="inlineStr">
        <is>
          <t>hpypuf</t>
        </is>
      </c>
      <c r="B10257" t="inlineStr">
        <is>
          <t>Tumor found accidentally, awaiting diagnosis. Feelings of mortality</t>
        </is>
      </c>
      <c r="C10257" t="inlineStr">
        <is>
          <t>Hey,
I'm really young, less than 25 years old. No drinking, no smoking, regular exercise, BMI about 20, not allergic to anything. ASA 1. Mild depression, but I've got a great therapist. Yet here I am.
Suffering from pneumonia I was put in a hospital, yet it quickly showed there are some things unexplained by that diagnosis. This week, a tumor was found in my lungs among other things.
Now, it doesn't have to be cancer. It's likely, but it could definitely be benign. Maybe it's operable. But in this moment, I'm lost, so lost. Survival rates are bad.
I'm so young, I spent so much time studying, improving myself, fostering relationships, working out plans for the future. I lived in and for the future. Suddenly, all of that seems in danger. I want to have children, leave a small mark on the world. I always thought my girlfriend would die first due to her preexisting conditions. 
On the other hand, it's incredibly freeing.  So many responsibilities gone, so little planning to do. I'm in a good financial state, healthcare is great where I live. I could do fun things jeopardizing long-term health. 
I really hope it isn't cancer. But the way I  look at live took a huge turn today. And I'm so very anxious awaiting tomorrow's talk with the hospital staff. I don't fear death, but I want all of my hard work to pay off. 
I hooe this kind of pre-diagnosis post is permitted. Either way, writing this down helps a lot. Stay strong everyone.</t>
        </is>
      </c>
      <c r="D10257" t="n">
        <v>1</v>
      </c>
      <c r="E10257" t="n">
        <v>0</v>
      </c>
      <c r="F10257">
        <f>HYPERLINK("https://www.reddit.com/r/cancer/comments/hpypuf/tumor_found_accidentally_awaiting_diagnosis/")</f>
        <v/>
      </c>
      <c r="G10257" t="inlineStr">
        <is>
          <t>2020-07-12 10:57:02</t>
        </is>
      </c>
      <c r="H10257" t="inlineStr"/>
    </row>
    <row r="10258">
      <c r="A10258" t="inlineStr">
        <is>
          <t>hpyzwa</t>
        </is>
      </c>
      <c r="B10258" t="inlineStr">
        <is>
          <t>Any tips to share on caring for a cancer patient?</t>
        </is>
      </c>
      <c r="C10258" t="inlineStr">
        <is>
          <t>My mom was diagnosed with stage 1 breast cancer around May. It is aggressive; she had a mammogram December and did not find anything but a sizeable lump grew from then. She had surgery to remove the lump and just had her first round of chemo. Since the cancer is aggressive she has to do chemo, the hormone pills, and radiation treatment. 
Today I watched her violently hurl in the bathtub and am anticipating the worst. She has an incredibly weak constitution: a simple cold will flatten her for 1-2 months. Currently, we haven't gotten to hair loss, loss of appetite etc. I am trying to things I should expect, prepare for, and generally how to make her feel more comfortable but there's so much I don't know where to start. I know she's immunocompromised so I have been bleaching the restroom, mainly the bathtub to try to keep things clean. Any suggestions or links will be greatly appreciated. Especially  ones on foods she should/can eat or products that will make her life better, if only a little.</t>
        </is>
      </c>
      <c r="D10258" t="n">
        <v>1</v>
      </c>
      <c r="E10258" t="n">
        <v>13</v>
      </c>
      <c r="F10258">
        <f>HYPERLINK("https://www.reddit.com/r/cancer/comments/hpyzwa/any_tips_to_share_on_caring_for_a_cancer_patient/")</f>
        <v/>
      </c>
      <c r="G10258" t="inlineStr">
        <is>
          <t>2020-07-12 11:12:45</t>
        </is>
      </c>
      <c r="H10258" t="inlineStr"/>
    </row>
    <row r="10259">
      <c r="A10259" t="inlineStr">
        <is>
          <t>hq1d1m</t>
        </is>
      </c>
      <c r="B10259" t="inlineStr">
        <is>
          <t>Sores on tongue</t>
        </is>
      </c>
      <c r="C10259" t="inlineStr">
        <is>
          <t>My 3 year old has a sore on his tongue. Mucosistis was always mentioned as a possible side effect but he's never had a sore on his tongue before.
I will speak to his team tomorrow but from memory they can prescribe a spray. 
Anyone have experience of sores on their tongue?</t>
        </is>
      </c>
      <c r="D10259" t="n">
        <v>1</v>
      </c>
      <c r="E10259" t="n">
        <v>12</v>
      </c>
      <c r="F10259">
        <f>HYPERLINK("https://www.reddit.com/r/cancer/comments/hq1d1m/sores_on_tongue/")</f>
        <v/>
      </c>
      <c r="G10259" t="inlineStr">
        <is>
          <t>2020-07-12 13:26:09</t>
        </is>
      </c>
      <c r="H10259" t="inlineStr"/>
    </row>
    <row r="10260">
      <c r="A10260" t="inlineStr">
        <is>
          <t>hq2mgl</t>
        </is>
      </c>
      <c r="B10260" t="inlineStr">
        <is>
          <t>How to deal with extended family.</t>
        </is>
      </c>
      <c r="C10260" t="inlineStr">
        <is>
          <t>Hi everyone, 
So my dad was diagnosed with stage 4 stomach cancer 6 weeks ago and it’s spread to his liver, lymph nodes and chest. It’s not curable, but the Drs have said there’s a 40% chance that chemo might stop the spread. It’s improbable due to my dads complicated health history. In the last 18 months he has undergone 2 major life saving operations unrelated to cancer. They’ve given us maybe 6-9 months if we’re lucky. 
My mum and dad have very large families and I’m finding it hard to deal with them all, as it’s normally me that has to ring them all to be the bearer of bad new. 
Once he starts chemo (this week) I want to lay out ground rules for all of the extended family members to follow, especially since COVID-19 cases are still high where we are. 
This is what I have so far, 
**To our family and friends,
As most of you know dad will be starting his chemo this week and his immune system will be highly compromised, so we ask that you will stick to the following measures to ensure his safety.
•When coming to visit him wear a face mask around him, wash your hands in the kitchen before you go in to see him. 
•If you or your children have a cough/cold/high temperature/chicken pox/any health issues that can be transmitted we kindly ask that you don’t come and visit him until everyone in your household is symptom free. Even a tiny cold is genuinely dangerous for him at this time and could put him in serious harm. 
•If you’re flying into England that you wait for 5-7 days to see him. 
•When you do want to round and see him can you please call/text either myself, my sister or my mum before you do. 
We don’t want to have loads of visitors in one day as he gets very tired. He’s also going to have good days and bad days, and on those bad days he might not want visitors, so we have to respect his wishes.
He’s also started to get very forgetful and he gets very upset when he can’t remember who he’s arranged things with. But do call him to see how he’s doing, he loves talking to you all, so carry on sending him stupid jokes and pictures of your kids. It makes him smile so much. 
**
Do I need to add anything else? Most of my family have been amazing, but don’t have just being downright rude and stupid. So I need to send this to people who we like and people who I can’t stand. I don’t want anyone to say that we’re being assholes and keeping dad from them. 
Thank you in advance for your help</t>
        </is>
      </c>
      <c r="D10260" t="n">
        <v>1</v>
      </c>
      <c r="E10260" t="n">
        <v>8</v>
      </c>
      <c r="F10260">
        <f>HYPERLINK("https://www.reddit.com/r/cancer/comments/hq2mgl/how_to_deal_with_extended_family/")</f>
        <v/>
      </c>
      <c r="G10260" t="inlineStr">
        <is>
          <t>2020-07-12 14:38:45</t>
        </is>
      </c>
      <c r="H10260" t="inlineStr"/>
    </row>
    <row r="10261">
      <c r="A10261" t="inlineStr">
        <is>
          <t>hq2zdg</t>
        </is>
      </c>
      <c r="B10261" t="inlineStr">
        <is>
          <t>5 Common Questions About Cancer, Answered</t>
        </is>
      </c>
      <c r="C10261" t="inlineStr">
        <is>
          <t>1. Who gets cancer?
Anyone can get cancer, although the risk goes up with age. Your individual risk depends on factors such as whether you smoke, lifestyle choices such as what you eat and how much you exercise, your family history of cancer, and factors in your workplace and environment.
2. How does cancer start?
Your body is made up of many different types of cells. Under normal conditions, cells grow, divide, become old, and die. Then, in most cases, they’re replaced by new cells. But sometimes cells mutate grow out of control, and form a mass, or tumor, instead of dying.
Tumors can be benign (noncancerous) or malignant (cancerous). Cancerous tumors can attack and kill your body’s tissues. They can also spread to other parts of the body, causing new tumors to form there. This process is called metastasis and it represents cancer that has advanced to a late stage.
3. Is cancer genetic?
Cancer is, in fact, a genetic disease. This is because cancer is caused by mutations or changes to genes that control the way our cells function, causing them to behave irregularly. These mutations can be inherited, as they are in about 5-10 percent of all cancer cases, but it’s much more likely that these gene changes occur during a person’s lifetime due to other factors besides genetics.
When someone has a known family history of hereditary cancer, genetic testing is often recommended.
4.Is cancer contagious?
No. Cancer isn’t like the flu or a cold. You can’t catch cancer from someone who has the disease.
5. Is there a vaccine for cancer?
There is no vaccine for cancer. But there are vaccines for some viruses that are known to cause cancer, such as the human papillomavirus (HPV) and hepatitis B.
HPV can cause cancer and getting vaccinated against it can help protect against the types of HPV that can lead to cervical, anal, throat, and penile cancers, along with some other forms of cancer. The HPV vaccine protects against many strains of the virus that can cause these cancers.
The same is true for infection with the hepatitis B virus, which has been linked to liver cancer. Getting vaccinated against hepatitis B can reduce your risk for getting liver cancer. But just like the HPV vaccine, the hepatitis B vaccine doesn’t protect against liver cancer itself. It only protects against the virus that might lead to liver cancer.
&amp;amp;#x200B;
To read more about other questions  [https://discourse.medecio.com/t/10-common-questions-about-cancer-answered/210](https://discourse.medecio.com/t/10-common-questions-about-cancer-answered/210)  is a helpful link! It includes 5 more common questions!</t>
        </is>
      </c>
      <c r="D10261" t="n">
        <v>1</v>
      </c>
      <c r="E10261" t="n">
        <v>0</v>
      </c>
      <c r="F10261">
        <f>HYPERLINK("https://www.reddit.com/r/cancer/comments/hq2zdg/5_common_questions_about_cancer_answered/")</f>
        <v/>
      </c>
      <c r="G10261" t="inlineStr">
        <is>
          <t>2020-07-12 14:59:55</t>
        </is>
      </c>
      <c r="H10261" t="inlineStr"/>
    </row>
    <row r="10262">
      <c r="A10262" t="inlineStr">
        <is>
          <t>hq44qp</t>
        </is>
      </c>
      <c r="B10262" t="inlineStr">
        <is>
          <t>My grandmother is sad from her terminal cancer.</t>
        </is>
      </c>
      <c r="C10262" t="inlineStr">
        <is>
          <t>My grandmother has stage four colon cancer and she is at the end of her life. 
I am watching her right now (due to hospice) and she keeps telling me she is down and miserable. 
I suggest certain things and she doesn’t want to do them. 
I know I can’t ease her pain &amp;amp; the fact that this is probably the worst time possible to be going through this I am not sure what to do. 
What have you done to ease a family member/friend’s mind in these times?
I’m trying to keep my tears in because it breaks my heart. 
I wish I could take it all away.</t>
        </is>
      </c>
      <c r="D10262" t="n">
        <v>1</v>
      </c>
      <c r="E10262" t="n">
        <v>3</v>
      </c>
      <c r="F10262">
        <f>HYPERLINK("https://www.reddit.com/r/cancer/comments/hq44qp/my_grandmother_is_sad_from_her_terminal_cancer/")</f>
        <v/>
      </c>
      <c r="G10262" t="inlineStr">
        <is>
          <t>2020-07-12 16:09:48</t>
        </is>
      </c>
      <c r="H10262" t="inlineStr"/>
    </row>
    <row r="10263">
      <c r="A10263" t="inlineStr">
        <is>
          <t>hq4wa9</t>
        </is>
      </c>
      <c r="B10263" t="inlineStr">
        <is>
          <t>I only have 3 weeks of chemo till I beat cancer :D</t>
        </is>
      </c>
      <c r="C10263" t="inlineStr">
        <is>
          <t>So when I was 10 I was diagnosed with brain cancer and I would spend most of my days watching YouTube or looking for friends on an app called roblox (irrelevant but slightly not) and I would have a friend who will play with me for most days that I wasn’t doing the tests and he would always keep me happy and tell me jokes and he believed I could beat it and he was right I’m so exited to beat cancer within 3 weeks (thanks for reading love you all)</t>
        </is>
      </c>
      <c r="D10263" t="n">
        <v>1</v>
      </c>
      <c r="E10263" t="n">
        <v>14</v>
      </c>
      <c r="F10263">
        <f>HYPERLINK("https://www.reddit.com/r/cancer/comments/hq4wa9/i_only_have_3_weeks_of_chemo_till_i_beat_cancer_d/")</f>
        <v/>
      </c>
      <c r="G10263" t="inlineStr">
        <is>
          <t>2020-07-12 16:58:10</t>
        </is>
      </c>
      <c r="H10263" t="inlineStr"/>
    </row>
    <row r="10264">
      <c r="A10264" t="inlineStr">
        <is>
          <t>hq9qza</t>
        </is>
      </c>
      <c r="B10264" t="inlineStr">
        <is>
          <t>Guy I have been dating given 1 month to live</t>
        </is>
      </c>
      <c r="C10264" t="inlineStr">
        <is>
          <t xml:space="preserve">
Hi. I met “David” last winter on an app designed for matching people looking for casual dating/sexual relationships. He was just recovering from a year-long serious battle with cancer and had only recently returned to work and re-entered the dating scene. We hit it off right away, although at the time, for various reasons, we were both mostly interested in something not too serious. 
Fast forward a few months and his cancer returned in a metastasis to his lung. This was pre-Covid and he liked for me to come and hang out with him and just watch movies and sit next to him to hold his hand. He had surgery, yet more metastases showed up. Covid arrived, so we mostly social distanced (breaking it once or twice when he was feeling better and needing physical/sexual comfort). When we were socially distancing, I brought him groceries and cooked some meals, we went for six-feet apart masked walks, and talked about our families and politics and life. The circumstances of our relationship changed quickly. He was supposed to start chemo (for second time) last Thursday.
However, on Wednesday he had to go to ER with breathing problems and they found yet another large metastasis that has grown into his heart. There is nothing left to do. They’ve given him a month to live. I am so sad. I have developed feelings for him but we have never really  discussed anything like this. I haven’t really even understood what our relationship is since it started under very different circumstances both in our lives and in the world. Our last time hanging out (two weekends ago) was mostly socially distancing but also just sitting and holding hands.
He called me soon after he got his most recent diagnosis. We both cried and he ended up thanking me for all that I’ve done for him. He said it’s rare to meet a strong and wonderful person but that I am that to him and he said that he is sad that we won’t have the chance to see what we could have been. I agreed. It was so nice to hear him say this—our conversation was terribly sad yet also very validating for me. It’s such a bittersweet situation. I’m just so damn heartbroken. I asked him if I could come and visit soon and he said definitely.
We’ve talked on the phone a few times since then but not about specifics of me visiting. I know things are crazy for him. A lot of family is in town and friends are stopping by in his little apartment. He’s in a lot of pain he told me, but not wanting to take morphine too much since he wants to stay lucid. Should I just wait for him to  bring up topic of me visiting or is it ok if I ask about it? I don’t want to overwhelm him but I’m scared of losing my chance before it’s too late. 
Thank you!</t>
        </is>
      </c>
      <c r="D10264" t="n">
        <v>1</v>
      </c>
      <c r="E10264" t="n">
        <v>5</v>
      </c>
      <c r="F10264">
        <f>HYPERLINK("https://www.reddit.com/r/cancer/comments/hq9qza/guy_i_have_been_dating_given_1_month_to_live/")</f>
        <v/>
      </c>
      <c r="G10264" t="inlineStr">
        <is>
          <t>2020-07-12 22:44:49</t>
        </is>
      </c>
      <c r="H10264" t="inlineStr"/>
    </row>
    <row r="10265">
      <c r="A10265" t="inlineStr">
        <is>
          <t>hq9t38</t>
        </is>
      </c>
      <c r="B10265" t="inlineStr">
        <is>
          <t>Are the Supraclavicular nodes usually bigger than the Posterior cervical nodes?</t>
        </is>
      </c>
      <c r="C10265" t="inlineStr">
        <is>
          <t>I notice my soft, moveable node on my left side (Supraclavicular region) is larger than the tiny ones on the Posterior cervical region. The mobile and texture is the same. I read that any swollen Supraclavicular node is high risk for malignancy regardless of age. Also, on the opposite, right side of my neck in the (deep cervical area) there is a lymph node that is almost the exact size and texture as the Supraclavicular node) I’m 24. 6,2. Male.</t>
        </is>
      </c>
      <c r="D10265" t="n">
        <v>1</v>
      </c>
      <c r="E10265" t="n">
        <v>1</v>
      </c>
      <c r="F10265">
        <f>HYPERLINK("https://www.reddit.com/r/cancer/comments/hq9t38/are_the_supraclavicular_nodes_usually_bigger_than/")</f>
        <v/>
      </c>
      <c r="G10265" t="inlineStr">
        <is>
          <t>2020-07-12 22:49:48</t>
        </is>
      </c>
      <c r="H10265" t="inlineStr"/>
    </row>
    <row r="10266">
      <c r="A10266" t="inlineStr">
        <is>
          <t>hqacul</t>
        </is>
      </c>
      <c r="B10266" t="inlineStr">
        <is>
          <t>When people pass away does it happen suddenly or gradual ?</t>
        </is>
      </c>
      <c r="C10266" t="inlineStr">
        <is>
          <t>Sorry if this sounds disrespectful  but I was just curious. Like what happens or goes on with the patient till the end. I don't know much and I want to educate myself.</t>
        </is>
      </c>
      <c r="D10266" t="n">
        <v>1</v>
      </c>
      <c r="E10266" t="n">
        <v>3</v>
      </c>
      <c r="F10266">
        <f>HYPERLINK("https://www.reddit.com/r/cancer/comments/hqacul/when_people_pass_away_does_it_happen_suddenly_or/")</f>
        <v/>
      </c>
      <c r="G10266" t="inlineStr">
        <is>
          <t>2020-07-12 23:36:52</t>
        </is>
      </c>
      <c r="H10266" t="inlineStr"/>
    </row>
    <row r="10267">
      <c r="A10267" t="inlineStr">
        <is>
          <t>hqbgp7</t>
        </is>
      </c>
      <c r="B10267" t="inlineStr">
        <is>
          <t>How does hormonal birth control cause cervical cancer?</t>
        </is>
      </c>
      <c r="C10267" t="inlineStr">
        <is>
          <t>From what I understand, cervical cancer is overwhelmingly caused by HPV. However, hormonal birth control has been linked to an increased risk of cervical cancer, and I'm wondering whether the ingredients in hormonal birth control actually cause the cancer, or whether cervical cancer is simply more likely to be found in women who use hormonal birth control (e.g. due to more regular screening, requiring screening to access hormonal birth control, different sexual practices, etc). I've been trying to do research but have found three different responses:
* From US government websites and my doctor: hormonal birth control 'causes' cervical cancer, but no explanation why.
* From one study: use of hormonal birth control correlated with cervical cancer, but not necessarily a causative relationship.
* [From another study](https://link.springer.com/article/10.1186/s13048-020-00626-7): hormonal birth control can only cause cervical cancer in the presence of HPV, but without HPV, the cancer cannot develop.
(I found this information in the 'introduction' section.)
I'm asking because in my country, the HPV test has replaced the pap smear for cervical cancer screening with the promise that women will not 'fall through the cracks.' I think the answer to this question has important implications for the use of hormonal birth control, whether or not to engage in regular cervical screening, and whether long-term menstrual suppression is possible/desirable. 
Thanks in advance for any assistance, and please recommend any subreddit that would be more appropriate.</t>
        </is>
      </c>
      <c r="D10267" t="n">
        <v>1</v>
      </c>
      <c r="E10267" t="n">
        <v>1</v>
      </c>
      <c r="F10267">
        <f>HYPERLINK("https://www.reddit.com/r/cancer/comments/hqbgp7/how_does_hormonal_birth_control_cause_cervical/")</f>
        <v/>
      </c>
      <c r="G10267" t="inlineStr">
        <is>
          <t>2020-07-13 01:17:44</t>
        </is>
      </c>
      <c r="H10267" t="inlineStr"/>
    </row>
    <row r="10268">
      <c r="A10268" t="inlineStr">
        <is>
          <t>hqbplk</t>
        </is>
      </c>
      <c r="B10268" t="inlineStr">
        <is>
          <t>"Currently, you no longer have cancer cells in your body" is one of the best news I've ever heard in my life!</t>
        </is>
      </c>
      <c r="C10268" t="inlineStr">
        <is>
          <t>I was diagnosed with ovarian cancer stage 2b and a rare cancer, pseudomyxoma peritonei, last year. Having cancer at a young age, or at any age for that matter, is an awful experience.
I was afraid of surgery but I had no choice but to undergo a major one to remove my right ovary, appendix, some omentum &amp;amp; lymph nodes. I have also just finished with my chemotherapy this year.
And when my doctor told me, "Currently, you no longer have cancer cells in your body," I wanted to cry.
F*ck cancer! It ruined my life. I don't understand other people who say "cancer is a gift." No way! Cancer will never be a gift. Or maybe it is, but it is a bad gift. I have missed so many opportunities because of it. And the COVID-19 pandemic makes it worse. I still can't go back to my usual life. 
But hearing the phrase, "you no longer have cancer" makes me feel invincible again. Although there is still a risk that cancer might recur. 
I am very grateful to my supportive family &amp;amp; friends. If not for them, I would be suffering more. I am also indebted to the medical team for their support. 
I hope everyone here who has cancer will also hear the beautiful words, "you no longer have cancer."
What's the best news you have heard so far?</t>
        </is>
      </c>
      <c r="D10268" t="n">
        <v>1</v>
      </c>
      <c r="E10268" t="n">
        <v>57</v>
      </c>
      <c r="F10268">
        <f>HYPERLINK("https://www.reddit.com/r/cancer/comments/hqbplk/currently_you_no_longer_have_cancer_cells_in_your/")</f>
        <v/>
      </c>
      <c r="G10268" t="inlineStr">
        <is>
          <t>2020-07-13 01:40:21</t>
        </is>
      </c>
      <c r="H10268" t="inlineStr"/>
    </row>
    <row r="10269">
      <c r="A10269" t="inlineStr">
        <is>
          <t>hqbqn6</t>
        </is>
      </c>
      <c r="B10269" t="inlineStr">
        <is>
          <t>My sister (33F) got diagnosed with a brain tumour. Looking for tips and suggestions on how to support.</t>
        </is>
      </c>
      <c r="C10269" t="inlineStr">
        <is>
          <t>So, last week my sister had a seizure, which led to the discovery of a brain tumour.
At the moment, it's a type 2 tumour, slow growing. It's just above the motor center, so it might be tricky to remove, or remove without consequences like loss of function.
She's of course very concerned about her children and very afraid of whatever is coming next.
I want to be able to support her as well as I can. I already gave her permission to shave off my hair and beard when the time comes, which she wanted to do for the last few years, but I'm in no way prepared enough for what comes next. And I want to do everything I can.
So this is where I turn to you reddit. I'm looking for ways to support her, to make her smile as much as possible and I would be honoured if you guys and girls have any tips, suggestions or do's and don'ts you would be willing to share.</t>
        </is>
      </c>
      <c r="D10269" t="n">
        <v>1</v>
      </c>
      <c r="E10269" t="n">
        <v>1</v>
      </c>
      <c r="F10269">
        <f>HYPERLINK("https://www.reddit.com/r/cancer/comments/hqbqn6/my_sister_33f_got_diagnosed_with_a_brain_tumour/")</f>
        <v/>
      </c>
      <c r="G10269" t="inlineStr">
        <is>
          <t>2020-07-13 01:43:07</t>
        </is>
      </c>
      <c r="H10269" t="inlineStr"/>
    </row>
    <row r="10270">
      <c r="A10270" t="inlineStr">
        <is>
          <t>hqbuyw</t>
        </is>
      </c>
      <c r="B10270" t="inlineStr">
        <is>
          <t>Really bad headaches 9 months after chemo</t>
        </is>
      </c>
      <c r="C10270" t="inlineStr">
        <is>
          <t>Hi,
In short, my girlfriend finished chemo 9 months ago and she has been experiencing really bad headaches for the past month. She’s gone in to doctors and been told she is ok and that they will pass. Looking for any tips and remedies for this. Thank you!!
More info...
My girlfriend finished a long and hard fight against breast cancer, and had to undergo many rounds of chemo which took a real toll on her as she was secluded in a private room for some time when her blood count was so low.</t>
        </is>
      </c>
      <c r="D10270" t="n">
        <v>1</v>
      </c>
      <c r="E10270" t="n">
        <v>4</v>
      </c>
      <c r="F10270">
        <f>HYPERLINK("https://www.reddit.com/r/cancer/comments/hqbuyw/really_bad_headaches_9_months_after_chemo/")</f>
        <v/>
      </c>
      <c r="G10270" t="inlineStr">
        <is>
          <t>2020-07-13 01:54:46</t>
        </is>
      </c>
      <c r="H10270" t="inlineStr"/>
    </row>
    <row r="10271">
      <c r="A10271" t="inlineStr">
        <is>
          <t>hqc7ix</t>
        </is>
      </c>
      <c r="B10271" t="inlineStr">
        <is>
          <t>Well is there any other hope honestly?</t>
        </is>
      </c>
      <c r="C10271" t="inlineStr">
        <is>
          <t>Just had surgery Saturday to take out the tumor in my colon and what opened me up he found out that there were actually 3 tumors that have spread to liver and stomach.
He could take them out cause I was bleeing too much so he stopped.
After waking I asked what happened and was obviously upset,I asked my oncologist what my options were and he said I need to got out of town and figure out out with a better cancer center cage has given me 2 different champs that seemed to be working on paper work but no in the body.
I also asked the surgeon what I should do in that situation in his opinion,and he said I may have to look into making some hard decisions if I can't find anything since more chemo could just lower my quality of life for the days I have left
No ideo what to,I knows immunotherapy is out of the question,and anymore can't could wait time,but any help or suggestions would be appreciated.</t>
        </is>
      </c>
      <c r="D10271" t="n">
        <v>1</v>
      </c>
      <c r="E10271" t="n">
        <v>4</v>
      </c>
      <c r="F10271">
        <f>HYPERLINK("https://www.reddit.com/r/cancer/comments/hqc7ix/well_is_there_any_other_hope_honestly/")</f>
        <v/>
      </c>
      <c r="G10271" t="inlineStr">
        <is>
          <t>2020-07-13 02:27:11</t>
        </is>
      </c>
      <c r="H10271" t="inlineStr"/>
    </row>
    <row r="10272">
      <c r="A10272" t="inlineStr">
        <is>
          <t>hqd9az</t>
        </is>
      </c>
      <c r="B10272" t="inlineStr">
        <is>
          <t>Is it normal that skin cancer patients to have excess dead skin on their entire body?</t>
        </is>
      </c>
      <c r="C10272" t="inlineStr">
        <is>
          <t>I drive a taxi and recently twice picked up a female that both times shredded skin in my back seats leaving me to take time off to clean up. She claims to have skin cancer. She have peeling dead skin on her face and visible parts of her body. Can anyone with skin cancer share if my passenger is normal?</t>
        </is>
      </c>
      <c r="D10272" t="n">
        <v>1</v>
      </c>
      <c r="E10272" t="n">
        <v>1</v>
      </c>
      <c r="F10272">
        <f>HYPERLINK("https://www.reddit.com/r/cancer/comments/hqd9az/is_it_normal_that_skin_cancer_patients_to_have/")</f>
        <v/>
      </c>
      <c r="G10272" t="inlineStr">
        <is>
          <t>2020-07-13 04:00:37</t>
        </is>
      </c>
      <c r="H10272" t="inlineStr"/>
    </row>
    <row r="10273">
      <c r="A10273" t="inlineStr">
        <is>
          <t>hqd9e8</t>
        </is>
      </c>
      <c r="B10273" t="inlineStr">
        <is>
          <t>Helping my mom after treatment changed her appearance</t>
        </is>
      </c>
      <c r="C10273" t="inlineStr">
        <is>
          <t>hi! My mom was diagnosed with breast cancer about 10 years ago and had a period of remission before it came back- it’s now stage IV metastatic. She did chemo and radiation the first time around and is taking a pill now instead. She’s beautiful, and was slim and has always been conventionally pretty. Because of one/some/all factors of her cancer and treatments, her appearance has changed. She’s put on a noticeable amount of weight; her skin looks good but not glowing like it did before; her hair grew back but doesn’t go much longer than a pixie cut, and it’s thinner and sparser and goes in every direction and is overall difficult to manage- this is definitely her biggest insecurity. 
She loves her hairstylist, which I think is largely due to her kindness and effort and less about the actual result. She doesn’t do/buy anything for herself anymore but I got her some products so she feels pretty or pampered or just to encourage self-care and I haven’t heard anything about them but hopefully they did :\^)
I’m not sure how to help. Beauty is on the inside etc. but she’s struggling with her confidence. She’s vegan and eats well and goes on bike rides every day and I think generally feels good in that regard, but whenever I’m home and we’re going somewhere she’s worried about whether her hair or outfit looks presentable and is somewhat self-deprecating. This sounds morbid maybe but I don’t want her to die not feeling beautiful. All advice is appreciated :)</t>
        </is>
      </c>
      <c r="D10273" t="n">
        <v>1</v>
      </c>
      <c r="E10273" t="n">
        <v>6</v>
      </c>
      <c r="F10273">
        <f>HYPERLINK("https://www.reddit.com/r/cancer/comments/hqd9e8/helping_my_mom_after_treatment_changed_her/")</f>
        <v/>
      </c>
      <c r="G10273" t="inlineStr">
        <is>
          <t>2020-07-13 04:00:50</t>
        </is>
      </c>
      <c r="H10273" t="inlineStr"/>
    </row>
    <row r="10274">
      <c r="A10274" t="inlineStr">
        <is>
          <t>hqdkx9</t>
        </is>
      </c>
      <c r="B10274" t="inlineStr">
        <is>
          <t>CANCER HAIR REGROWTH POST CHEMO</t>
        </is>
      </c>
      <c r="C10274" t="inlineStr">
        <is>
          <t>Hi I’m a 14 year old male and have about 2 weeks left of chemotherapy for stage 4 classical Hodgkins Lymphoma. I went the path of not shaving my head completely and just seeing how it went throughout treatment. I have lost most my hair but sort of have a peach fuzz covering my head. Anybody have stories of how their hair came back or a timetable of which . High school starts in 2 months so I’d like to grow something back before then. Thanks</t>
        </is>
      </c>
      <c r="D10274" t="n">
        <v>1</v>
      </c>
      <c r="E10274" t="n">
        <v>9</v>
      </c>
      <c r="F10274">
        <f>HYPERLINK("https://www.reddit.com/r/cancer/comments/hqdkx9/cancer_hair_regrowth_post_chemo/")</f>
        <v/>
      </c>
      <c r="G10274" t="inlineStr">
        <is>
          <t>2020-07-13 04:27:27</t>
        </is>
      </c>
      <c r="H10274" t="inlineStr"/>
    </row>
    <row r="10275">
      <c r="A10275" t="inlineStr">
        <is>
          <t>hqeg57</t>
        </is>
      </c>
      <c r="B10275" t="inlineStr">
        <is>
          <t>46F-4th breast &amp;amp; ab reconstruction scar revision</t>
        </is>
      </c>
      <c r="C10275" t="inlineStr">
        <is>
          <t>Oh so nervous! Tired of surgeries!!! And apparently they don’t plan on pain meds after. I’m a tough cookie but he is going to scrape/shave away some TRAM flap, and scar tissue. 
Doesn’t sound painful. No. Not at all. 
Most of my core is numb. With patches here n there of sensation. Yea....there will be pain meds ToNiGhT!</t>
        </is>
      </c>
      <c r="D10275" t="n">
        <v>1</v>
      </c>
      <c r="E10275" t="n">
        <v>0</v>
      </c>
      <c r="F10275">
        <f>HYPERLINK("https://www.reddit.com/r/cancer/comments/hqeg57/46f4th_breast_ab_reconstruction_scar_revision/")</f>
        <v/>
      </c>
      <c r="G10275" t="inlineStr">
        <is>
          <t>2020-07-13 05:33:38</t>
        </is>
      </c>
      <c r="H10275" t="inlineStr"/>
    </row>
    <row r="10276">
      <c r="A10276" t="inlineStr">
        <is>
          <t>hqeh6s</t>
        </is>
      </c>
      <c r="B10276" t="inlineStr">
        <is>
          <t>Having surgery for thyroid cancer Thursday</t>
        </is>
      </c>
      <c r="C10276" t="inlineStr">
        <is>
          <t>This all started back in late February when I noticed the lump on my neck.. I like to think I'm well prepared &amp;amp; informed about what to expect but there is still a background nervousness about the unexpected.</t>
        </is>
      </c>
      <c r="D10276" t="n">
        <v>1</v>
      </c>
      <c r="E10276" t="n">
        <v>9</v>
      </c>
      <c r="F10276">
        <f>HYPERLINK("https://www.reddit.com/r/cancer/comments/hqeh6s/having_surgery_for_thyroid_cancer_thursday/")</f>
        <v/>
      </c>
      <c r="G10276" t="inlineStr">
        <is>
          <t>2020-07-13 05:35:50</t>
        </is>
      </c>
      <c r="H10276" t="inlineStr"/>
    </row>
    <row r="10277">
      <c r="A10277" t="inlineStr">
        <is>
          <t>hqfhap</t>
        </is>
      </c>
      <c r="B10277" t="inlineStr">
        <is>
          <t>First op next week to remove Mr Lumpy - Nervous</t>
        </is>
      </c>
      <c r="C10277" t="inlineStr">
        <is>
          <t>I was told over the phone a few weeks ago that a random lump I have in my cheek came back positive for cancer after a fine needle biopsy. They are unsure at the moment as to what type of cancer it is so have scheduled me in for an op next week. I'm nervous about the current situation, and my local hospital is a bit rubbish too. Spending the next week trying to get things organised so I can rest when I get home. Any advice for coping in the early stages would be appreciated. I hate the not knowing part.</t>
        </is>
      </c>
      <c r="D10277" t="n">
        <v>1</v>
      </c>
      <c r="E10277" t="n">
        <v>3</v>
      </c>
      <c r="F10277">
        <f>HYPERLINK("https://www.reddit.com/r/cancer/comments/hqfhap/first_op_next_week_to_remove_mr_lumpy_nervous/")</f>
        <v/>
      </c>
      <c r="G10277" t="inlineStr">
        <is>
          <t>2020-07-13 06:42:54</t>
        </is>
      </c>
      <c r="H10277" t="inlineStr"/>
    </row>
    <row r="10278">
      <c r="A10278" t="inlineStr">
        <is>
          <t>hqfnja</t>
        </is>
      </c>
      <c r="B10278" t="inlineStr">
        <is>
          <t>Questions about Radiation therapy.</t>
        </is>
      </c>
      <c r="C10278" t="inlineStr">
        <is>
          <t>My mom is to undergo Radiation therapy from 25th of this month. Before Covid we were given a prescription of 25 day radiation therapy plan. But given the epidemic our doctor has suggested a 15 day therapy plan with increased dosage in each visit.
1) Are there any side effects of increased radiation dosage? 
2) Has any of you tried something like this?
She had metastatic Breast cancer on left side. Tumors have been removed through surgery. 
3) Which method of radiation therapy is best - IMRT, IGRT, VMAT?
4) Can any precautions be taken to protect her heart?</t>
        </is>
      </c>
      <c r="D10278" t="n">
        <v>1</v>
      </c>
      <c r="E10278" t="n">
        <v>6</v>
      </c>
      <c r="F10278">
        <f>HYPERLINK("https://www.reddit.com/r/cancer/comments/hqfnja/questions_about_radiation_therapy/")</f>
        <v/>
      </c>
      <c r="G10278" t="inlineStr">
        <is>
          <t>2020-07-13 06:54:01</t>
        </is>
      </c>
      <c r="H10278" t="inlineStr"/>
    </row>
    <row r="10279">
      <c r="A10279" t="inlineStr">
        <is>
          <t>hqgl42</t>
        </is>
      </c>
      <c r="B10279" t="inlineStr">
        <is>
          <t>How should I support my sister?</t>
        </is>
      </c>
      <c r="C10279" t="inlineStr">
        <is>
          <t>Hello everyone,
after a month of going for different examinations, it was confirmed today to my "step" sister, that she has lung cancer. So far they found one benign formation (doing more tests but it is unlikely it is somewhere else). They already said they can't perform surgery so the only option is chemotherapy. I am actually not that concerned, because she is young (27) and never seen her have something worse than a regular flue. She is non-smoker, naturally thin and quite active. What I am worried more about is her psychological health and the rest of the family. She currently lives in a household with her mom, brother (24) and my dad (we are sisters by marriage). 
I know there is nothing I can do in curing her cancer, but I'd like to know, I guess mainly from the cancer survivors, **what should I do to lessen the stress on her and her mother?** I don't believe in telling her "it is going to be fine" over and over again, because everyone says that and even though I do believe she will make it (and already told her so), I don't see the point in repeating it. She has a lot of friends who will support her as well, but I'd like to do at least something for her. I am up for any advice. Making something, making gesture ... anything. I want to give her courage.
Thank you all in advance</t>
        </is>
      </c>
      <c r="D10279" t="n">
        <v>1</v>
      </c>
      <c r="E10279" t="n">
        <v>8</v>
      </c>
      <c r="F10279">
        <f>HYPERLINK("https://www.reddit.com/r/cancer/comments/hqgl42/how_should_i_support_my_sister/")</f>
        <v/>
      </c>
      <c r="G10279" t="inlineStr">
        <is>
          <t>2020-07-13 07:49:20</t>
        </is>
      </c>
      <c r="H10279" t="inlineStr"/>
    </row>
    <row r="10280">
      <c r="A10280" t="inlineStr">
        <is>
          <t>hqgspk</t>
        </is>
      </c>
      <c r="B10280" t="inlineStr">
        <is>
          <t>Requesting sick leave for cancer treatment?</t>
        </is>
      </c>
      <c r="C10280" t="inlineStr">
        <is>
          <t>Long story short, my mom recently diagnosis with cancer and require chemo treatment for possibility 3 months. She have a part time job at a office and she doesn't want to resign yet but to request 3 month sick leave for the treatment. She ask me to write a letter to the human resources department and I am not sure how to do that. Is there any kind of special form she need or something? Any advice is appreciated.</t>
        </is>
      </c>
      <c r="D10280" t="n">
        <v>1</v>
      </c>
      <c r="E10280" t="n">
        <v>8</v>
      </c>
      <c r="F10280">
        <f>HYPERLINK("https://www.reddit.com/r/cancer/comments/hqgspk/requesting_sick_leave_for_cancer_treatment/")</f>
        <v/>
      </c>
      <c r="G10280" t="inlineStr">
        <is>
          <t>2020-07-13 08:01:18</t>
        </is>
      </c>
      <c r="H10280" t="inlineStr"/>
    </row>
    <row r="10281">
      <c r="A10281" t="inlineStr">
        <is>
          <t>hqhgba</t>
        </is>
      </c>
      <c r="B10281" t="inlineStr">
        <is>
          <t>Mom has stage 4 neuroendocrine cancer - tips on how to cope and prepare?</t>
        </is>
      </c>
      <c r="C10281" t="inlineStr">
        <is>
          <t>Two years ago my mom was diagnosed with stage 3 breast cancer and stage 4 neuroendocrine cancer in her liver. We tackled the breast cancer first since the doctors said the neuroendocrine tumors in her liver were slow growing, and after over a year of treatment and a double mastectomy, the breast cancer seems to be under control.
However, the treatment for her neuroendocrine tumors has been extremely tough on her body. Her liver has become enlarged and she’s suffering from a blood clot near her lungs that makes her winded just from doing light activity, like walking around the hospital wing. Her spirits are down and she’s exhausted. Even my typically happy-go-lucky dad has started to get worried. 
I’m absolutely terrified. What can I do to make her feel better, or even just bring a little positivity back? How do I prepare for the possibility of her passing away sooner than expected? I’m really struggling because when she’s hospitalized, she’s only allowed one visitor per day and usually my dad is there with her since he’s retired. 
I feel so, so lost.</t>
        </is>
      </c>
      <c r="D10281" t="n">
        <v>1</v>
      </c>
      <c r="E10281" t="n">
        <v>3</v>
      </c>
      <c r="F10281">
        <f>HYPERLINK("https://www.reddit.com/r/cancer/comments/hqhgba/mom_has_stage_4_neuroendocrine_cancer_tips_on_how/")</f>
        <v/>
      </c>
      <c r="G10281" t="inlineStr">
        <is>
          <t>2020-07-13 08:37:19</t>
        </is>
      </c>
      <c r="H10281" t="inlineStr"/>
    </row>
    <row r="10282">
      <c r="A10282" t="inlineStr">
        <is>
          <t>hqmt6k</t>
        </is>
      </c>
      <c r="B10282" t="inlineStr">
        <is>
          <t>Done with first treatment plan. Oncologist requested insurance approval for more chemo, but we don't know I need it yet - I think. Haven't done PET scan yet. Is this standard practice just in case, or does it indicate they believe I'll need it?</t>
        </is>
      </c>
      <c r="C10282" t="inlineStr">
        <is>
          <t>I've completed my first treatment plan for Stage 3C cervical cancer. Chemo, external radiation, internal radiation, and immunotherapy.
The treatments continue to work for a while after you've completed them, so the PET scan to see how successful it was isn't scheduled until e/o August (3 months post treatment).
The communication from my oncologists has been near zero. They won't tell me anything - despite a lot of interim ability for them to see progress, such as internal radiation/brachytherapy is assisted via CT Scan.
Now, I understand the treatments continue to work, but my belief is that these docs have enough experience to predict success rate as the treatments progress, particularly when they have a view at last treatment. For example, if the cancer was 'conquered' by 60% during last treatment, then the residual impact won't be able to make up the 40%. Meaning, depending what they saw at last glance, they should have a generally good idea how much it will all work; if I'll likely need to do more treatments. **This is my assumption/perception.
I received notice from my insurance company that my doc's request for more chemo (starting 1 week after my PET scan) has been approved. I hadn't known they even requested that. Only received insurance's response.
Is it standard protocol to request more chemo meds BEFORE we know we'll need it, or is it likely they believe I WILL need them, and so went ahead and requested?
TLDR: Received notice my insurance approved my doc's request for more chemo before we have even done the PET/know PET results following 1st round of treatments. Is this standard protocol or is it likely docs believe I WILL need them, and so went ahead and requested?</t>
        </is>
      </c>
      <c r="D10282" t="n">
        <v>1</v>
      </c>
      <c r="E10282" t="n">
        <v>1</v>
      </c>
      <c r="F10282">
        <f>HYPERLINK("https://www.reddit.com/r/cancer/comments/hqmt6k/done_with_first_treatment_plan_oncologist/")</f>
        <v/>
      </c>
      <c r="G10282" t="inlineStr">
        <is>
          <t>2020-07-13 13:13:36</t>
        </is>
      </c>
      <c r="H10282" t="inlineStr"/>
    </row>
    <row r="10283">
      <c r="A10283" t="inlineStr">
        <is>
          <t>hqnx4a</t>
        </is>
      </c>
      <c r="B10283" t="inlineStr">
        <is>
          <t>Immunotherapy &amp;amp; Sex</t>
        </is>
      </c>
      <c r="C10283" t="inlineStr">
        <is>
          <t>I've (35F) been scouring the internet looking for info about relations while on immunotherapy. My oncologist had told me to make sure my partner and I use condoms and her reasoning was that it can affect treatment.   
Pregnancy is off the table and she knows this. One of my melanoma tumours was actually on my right ovary. I had a complete hysterectomy at the end of April so absolutely no chance of pregnancy.   
Condoms give me bladder infections. It took my husband and I forever to figure this one out. The last thing I want right now is a bladder infection.  
All the info I've read is based on Chemo treatments and avoiding pregnancy.   
Does anyone have any different info? I'll ask my oncologist again (3rd time's the charm I guess) but I don't see her until the end of the month. Thanks bunches.</t>
        </is>
      </c>
      <c r="D10283" t="n">
        <v>1</v>
      </c>
      <c r="E10283" t="n">
        <v>4</v>
      </c>
      <c r="F10283">
        <f>HYPERLINK("https://www.reddit.com/r/cancer/comments/hqnx4a/immunotherapy_sex/")</f>
        <v/>
      </c>
      <c r="G10283" t="inlineStr">
        <is>
          <t>2020-07-13 14:12:20</t>
        </is>
      </c>
      <c r="H10283" t="inlineStr"/>
    </row>
    <row r="10284">
      <c r="A10284" t="inlineStr">
        <is>
          <t>hqq3bj</t>
        </is>
      </c>
      <c r="B10284" t="inlineStr">
        <is>
          <t>I think my mom lying about having cancer and I need some insight</t>
        </is>
      </c>
      <c r="C10284" t="inlineStr">
        <is>
          <t>Yes, you read it, I think my mom is lying about a very serious thing that took the life of my dad. Here is why I think she isn’t being truthful:
She lives in California and is married to a man in Kentucky, says her insurance will not cover treatments at a reasonable cost in California, so she travels. She says she has Renal Cell Carcinoma and that she receives both cryotherapy, radiation and that they have tried FRT but the last time she went to Kentucky was in January and she just went over the holiday weekend. She also works in a dental office where I went to visit her last Friday and she was not wearing a mask, a patient asked her about this and she told them that her doctor recommended she not wear one at work because she has distanced interactions with patients. I believe she would lie about this to help her with her finances, and get money from this man for medications and treatments she does not actually need. She also said she takes some sort of medication that depletes her potassium. I’m just curious if anyone who has had this type of cancer thinks the fact that she gets on a plane, doesn’t wear a mask, actively uses tanning beds and actively smokes cigarettes isn’t a little off? It’s a horrible thing to lie about and I am trying to get down to if she needs mental help or if she really has cancer. Thank you guys.</t>
        </is>
      </c>
      <c r="D10284" t="n">
        <v>1</v>
      </c>
      <c r="E10284" t="n">
        <v>7</v>
      </c>
      <c r="F10284">
        <f>HYPERLINK("https://www.reddit.com/r/cancer/comments/hqq3bj/i_think_my_mom_lying_about_having_cancer_and_i/")</f>
        <v/>
      </c>
      <c r="G10284" t="inlineStr">
        <is>
          <t>2020-07-13 16:13:24</t>
        </is>
      </c>
      <c r="H10284" t="inlineStr"/>
    </row>
    <row r="10285">
      <c r="A10285" t="inlineStr">
        <is>
          <t>hqr8a8</t>
        </is>
      </c>
      <c r="B10285" t="inlineStr">
        <is>
          <t>Going to get my results today, they found a lesion</t>
        </is>
      </c>
      <c r="C10285" t="inlineStr">
        <is>
          <t>I have been having pain for a long time and despite going to ED and several doctors nothing has been diagnosed. They found a lesion when I had a CT last week and took bloods for cancer cells. Today I’ll see my doctor. I’m terrified. I can hardly breathe</t>
        </is>
      </c>
      <c r="D10285" t="n">
        <v>1</v>
      </c>
      <c r="E10285" t="n">
        <v>2</v>
      </c>
      <c r="F10285">
        <f>HYPERLINK("https://www.reddit.com/r/cancer/comments/hqr8a8/going_to_get_my_results_today_they_found_a_lesion/")</f>
        <v/>
      </c>
      <c r="G10285" t="inlineStr">
        <is>
          <t>2020-07-13 17:22:17</t>
        </is>
      </c>
      <c r="H10285" t="inlineStr"/>
    </row>
    <row r="10286">
      <c r="A10286" t="inlineStr">
        <is>
          <t>hqsffh</t>
        </is>
      </c>
      <c r="B10286" t="inlineStr">
        <is>
          <t>Life is a lot right now , advice on coping ?</t>
        </is>
      </c>
      <c r="C10286" t="inlineStr">
        <is>
          <t xml:space="preserve">
Hi. I’m 22. About a week ago my 2 year relationship with my boyfriend ended and he moved out the next day. We aren’t on bad terms , we just couldn’t compromise on what we wanted in our life’s on the future. A day later I went to my grandmas funeral. I know a bit of this is unrelated to the forum I apologize .And now a week later I found out my step mom has pancreatic cancer. I’ve known her since I was 5 and she’s an awesome person. I’ve had a lot of change in my life , starting a new job as well in the last month. My step mum is going on for surgery to have the mass in her pancreas and also have her gall bladder removed as well. She lives in a different province then me . I can’t stop crying the last 2 days and I feel so bad for my dad who had his mom die and his wife be diagnosed with a very low survival rate cancer all in the same week. How can I get my shit together enough to go to work and deal with this all? It’s all a lot . Thanks .</t>
        </is>
      </c>
      <c r="D10286" t="n">
        <v>1</v>
      </c>
      <c r="E10286" t="n">
        <v>7</v>
      </c>
      <c r="F10286">
        <f>HYPERLINK("https://www.reddit.com/r/cancer/comments/hqsffh/life_is_a_lot_right_now_advice_on_coping/")</f>
        <v/>
      </c>
      <c r="G10286" t="inlineStr">
        <is>
          <t>2020-07-13 18:39:41</t>
        </is>
      </c>
      <c r="H10286" t="inlineStr"/>
    </row>
    <row r="10287">
      <c r="A10287" t="inlineStr">
        <is>
          <t>hqsgf6</t>
        </is>
      </c>
      <c r="B10287" t="inlineStr">
        <is>
          <t>How long before you found out?</t>
        </is>
      </c>
      <c r="C10287" t="inlineStr">
        <is>
          <t>Recently started seeing a hematologists for my blood counts. Took my first test I assume I’ll have to go for more before a diagnosis. Of course reading webmd dosent help. I’m just curious how many test or how long before a diagnosis is determined?</t>
        </is>
      </c>
      <c r="D10287" t="n">
        <v>1</v>
      </c>
      <c r="E10287" t="n">
        <v>1</v>
      </c>
      <c r="F10287">
        <f>HYPERLINK("https://www.reddit.com/r/cancer/comments/hqsgf6/how_long_before_you_found_out/")</f>
        <v/>
      </c>
      <c r="G10287" t="inlineStr">
        <is>
          <t>2020-07-13 18:41:39</t>
        </is>
      </c>
      <c r="H10287" t="inlineStr"/>
    </row>
    <row r="10288">
      <c r="A10288" t="inlineStr">
        <is>
          <t>hqw19a</t>
        </is>
      </c>
      <c r="B10288" t="inlineStr">
        <is>
          <t>Please help I'm at witts end.</t>
        </is>
      </c>
      <c r="C10288" t="inlineStr">
        <is>
          <t>I was diagnosed with Burketts lymphoma about 8 months ago and have gone through treatment but on that horny I ran though all my savings and now am struggling to get back on my feet and feeling like the suffering caused by treatment was better than the depression and stress caused by having to restart my life. I don't know what to do anymore it feels like the system is rigged to keep me down at this point and I want it to end. Please any advice will be much appreciated at this point.</t>
        </is>
      </c>
      <c r="D10288" t="n">
        <v>1</v>
      </c>
      <c r="E10288" t="n">
        <v>6</v>
      </c>
      <c r="F10288">
        <f>HYPERLINK("https://www.reddit.com/r/cancer/comments/hqw19a/please_help_im_at_witts_end/")</f>
        <v/>
      </c>
      <c r="G10288" t="inlineStr">
        <is>
          <t>2020-07-13 22:56:51</t>
        </is>
      </c>
      <c r="H10288" t="inlineStr"/>
    </row>
    <row r="10289">
      <c r="A10289" t="inlineStr">
        <is>
          <t>hqx80w</t>
        </is>
      </c>
      <c r="B10289" t="inlineStr">
        <is>
          <t>Cancer sucks! Drug companies suck too!</t>
        </is>
      </c>
      <c r="C10289" t="inlineStr">
        <is>
          <t>I have been living with a rare form of incurable stomach cancer since I was 15, I'm now 33 its never gone away in all that time. Most people when they hear I've had cancer for nearly 18 years think it must have gone and come back but nope. 
On one hand I'm incredibly lucky to be alive still on the other i can honestly say I have been in pain everyday for 18 years and my life has not really changed much in all that time. I've been too unwell to work. I haven't done the things my friends have like get married and have kids and travel.
The one time I did travel on my own i ended up nearly bleeding to death in a country without a blood bank and had to get a blood transfusion from an Irish guy who lived on the tiny Caribbean island but had been in the pub all day drinking guiness and I was terribly sick but that's a whole other long story.
This post is about how crap drug companies are. My type of cancer is rare and the drug companies have literally told my doctor and the group trying to raise awareness that they won't make a chemo for this because there's not enough people to buy it!! Yep you heard me right they only care about money. I knew that anyway but I was still shocked when I heard this. 
The three drugs that my cancer uses to barely hold it stable for a few years if your lucky are what I call second hand chemo's because they were made for other cancers and then found to kind of help us which is why I'm still here. 
They don't shrink the tumours only hold them stable for a little while. 
It really truly sucks!</t>
        </is>
      </c>
      <c r="D10289" t="n">
        <v>1</v>
      </c>
      <c r="E10289" t="n">
        <v>25</v>
      </c>
      <c r="F10289">
        <f>HYPERLINK("https://www.reddit.com/r/cancer/comments/hqx80w/cancer_sucks_drug_companies_suck_too/")</f>
        <v/>
      </c>
      <c r="G10289" t="inlineStr">
        <is>
          <t>2020-07-14 00:39:41</t>
        </is>
      </c>
      <c r="H10289" t="inlineStr"/>
    </row>
    <row r="10290">
      <c r="A10290" t="inlineStr">
        <is>
          <t>hqzhnj</t>
        </is>
      </c>
      <c r="B10290" t="inlineStr">
        <is>
          <t>Back again, perhaps?</t>
        </is>
      </c>
      <c r="C10290" t="inlineStr">
        <is>
          <t>Three years ago, I was diagnosed with tongue cancer. Operation and radiotherapy were successful, even if the radiotherapy left some lasting damage. Did all my follow up checks, all were fine, the last one in April.
I am now waiting for biopsy results for a growth in my oesophagus which looks malign. There's a chance it's not, but I am not getting my hopes up.
God this sucks.</t>
        </is>
      </c>
      <c r="D10290" t="n">
        <v>3</v>
      </c>
      <c r="E10290" t="n">
        <v>3</v>
      </c>
      <c r="F10290">
        <f>HYPERLINK("https://www.reddit.com/r/cancer/comments/hqzhnj/back_again_perhaps/")</f>
        <v/>
      </c>
      <c r="G10290" t="inlineStr">
        <is>
          <t>2020-07-14 04:04:39</t>
        </is>
      </c>
      <c r="H10290" t="inlineStr"/>
    </row>
    <row r="10291">
      <c r="A10291" t="inlineStr">
        <is>
          <t>hr2772</t>
        </is>
      </c>
      <c r="B10291" t="inlineStr">
        <is>
          <t>Any new info on that experimental cancer medicine?</t>
        </is>
      </c>
      <c r="C10291" t="inlineStr">
        <is>
          <t>Some months ago it was announced that scientists "accidentaly" discovered a new form of T-cell that can destroy most cancer cells if activated, even very advanced forms. The research had potential and tests of terminally ill patients were supposed to begin sometime soon, so... will it actually happen, or has this already been called off?</t>
        </is>
      </c>
      <c r="D10291" t="n">
        <v>2</v>
      </c>
      <c r="E10291" t="n">
        <v>1</v>
      </c>
      <c r="F10291">
        <f>HYPERLINK("https://www.reddit.com/r/cancer/comments/hr2772/any_new_info_on_that_experimental_cancer_medicine/")</f>
        <v/>
      </c>
      <c r="G10291" t="inlineStr">
        <is>
          <t>2020-07-14 07:10:05</t>
        </is>
      </c>
      <c r="H10291" t="inlineStr"/>
    </row>
    <row r="10292">
      <c r="A10292" t="inlineStr">
        <is>
          <t>hr3kah</t>
        </is>
      </c>
      <c r="B10292" t="inlineStr">
        <is>
          <t>We're building a better cancer diagnostic</t>
        </is>
      </c>
      <c r="C10292" t="inlineStr">
        <is>
          <t>I'm not sure if this counts as a solicitation, if it is, my sincere apologies. I work for a startup building a better, very different cancer diagnostic but we're having some trouble pinpointing our customer pain points. If there are any patients with a diagnostic experience they'd be willing to share, we are attempting to conduct 15-minute interviews with former or current patients as a part of a National Science Foundation program. If anyone is interested please feel free to send me a private message, and if this goes against community guidelines, again, my sincere apologies.</t>
        </is>
      </c>
      <c r="D10292" t="n">
        <v>7</v>
      </c>
      <c r="E10292" t="n">
        <v>3</v>
      </c>
      <c r="F10292">
        <f>HYPERLINK("https://www.reddit.com/r/cancer/comments/hr3kah/were_building_a_better_cancer_diagnostic/")</f>
        <v/>
      </c>
      <c r="G10292" t="inlineStr">
        <is>
          <t>2020-07-14 08:28:11</t>
        </is>
      </c>
      <c r="H10292" t="inlineStr"/>
    </row>
    <row r="10293">
      <c r="A10293" t="inlineStr">
        <is>
          <t>hr3pce</t>
        </is>
      </c>
      <c r="B10293" t="inlineStr">
        <is>
          <t>Hydration Products</t>
        </is>
      </c>
      <c r="C10293" t="inlineStr">
        <is>
          <t>Good morning everyone, this may be an odd question - I know with cancer and colon cancer that hydration is super important! Or that is what we have been told .. have you been told different? 
Does anyone have any recommendations on a brand that they have used? I have gotten my BFF a few kinda but I have read online that Liquid IV is super beneficial .. has anyone else heard of this or used it? If so, what flavours tastes the best?
Or so you have any other reason recommendations? Surgery is soon! He has consumed water well to this point but was told he may have less a desire to drink as much after surgery so heard these things are helpful!
Thanks in advance!
Much health and happiness!
[note ; you will see this in the colon cancer group so sorry for the duplication]</t>
        </is>
      </c>
      <c r="D10293" t="n">
        <v>1</v>
      </c>
      <c r="E10293" t="n">
        <v>12</v>
      </c>
      <c r="F10293">
        <f>HYPERLINK("https://www.reddit.com/r/cancer/comments/hr3pce/hydration_products/")</f>
        <v/>
      </c>
      <c r="G10293" t="inlineStr">
        <is>
          <t>2020-07-14 08:36:01</t>
        </is>
      </c>
      <c r="H10293" t="inlineStr"/>
    </row>
    <row r="10294">
      <c r="A10294" t="inlineStr">
        <is>
          <t>hr4g3v</t>
        </is>
      </c>
      <c r="B10294" t="inlineStr">
        <is>
          <t>Can you live independently with stage IV cancer?</t>
        </is>
      </c>
      <c r="C10294" t="inlineStr">
        <is>
          <t>My brother started having having trouble walking and his text messages were jumbled up. After several visits to the hospital he had CT scans done and they did a biopsy on his esophagus. He was diagnosed with stage IV esophageal cancer that had spread to his brain causing 5 tumors, his lymph nodes and into bone marrow in one hip and one arm. 
He finished brain radiation last week and is able to walk but he isn’t stable enough to be left alone yet. He starts chemo on his esophagus next week. He’s a very independent person and keep things to himself. He doesn’t always tell us what his doctors tell him either. 
Will he be able to live completely independent again if not how much care should he have?
He starts physical therapy soon to help his instability.</t>
        </is>
      </c>
      <c r="D10294" t="n">
        <v>2</v>
      </c>
      <c r="E10294" t="n">
        <v>9</v>
      </c>
      <c r="F10294">
        <f>HYPERLINK("https://www.reddit.com/r/cancer/comments/hr4g3v/can_you_live_independently_with_stage_iv_cancer/")</f>
        <v/>
      </c>
      <c r="G10294" t="inlineStr">
        <is>
          <t>2020-07-14 09:16:19</t>
        </is>
      </c>
      <c r="H10294" t="inlineStr"/>
    </row>
    <row r="10295">
      <c r="A10295" t="inlineStr">
        <is>
          <t>hr6t5k</t>
        </is>
      </c>
      <c r="B10295" t="inlineStr">
        <is>
          <t>Hello, any advice for a lung cancer patient?</t>
        </is>
      </c>
      <c r="C10295" t="inlineStr">
        <is>
          <t>My Mom is 73 years old. She was diagnosed with small cell lung cancer in March. We are almost to the finish line with chemo, 1 more round and 7 more radiation treatments left. For the past 2 weeks she’s having stomach issues. She can’t eat anything or drink anything without it burning her stomach. The oncologist said it was due to the radiation. My question is, has anyone else been through this? If so was there any foods that you could handle? My mom has an appetite she just can’t eat because it hurts her so bad. Any help or suggestions would be greatly appreciated. Thanks in advance.</t>
        </is>
      </c>
      <c r="D10295" t="n">
        <v>2</v>
      </c>
      <c r="E10295" t="n">
        <v>9</v>
      </c>
      <c r="F10295">
        <f>HYPERLINK("https://www.reddit.com/r/cancer/comments/hr6t5k/hello_any_advice_for_a_lung_cancer_patient/")</f>
        <v/>
      </c>
      <c r="G10295" t="inlineStr">
        <is>
          <t>2020-07-14 11:20:20</t>
        </is>
      </c>
      <c r="H10295" t="inlineStr"/>
    </row>
    <row r="10296">
      <c r="A10296" t="inlineStr">
        <is>
          <t>hr9i40</t>
        </is>
      </c>
      <c r="B10296" t="inlineStr">
        <is>
          <t>Can I have unrelated surgery?</t>
        </is>
      </c>
      <c r="C10296" t="inlineStr">
        <is>
          <t>Sorry if this is inappropriate for this sub but I really need advice. So I’m currently being tested for lymphoma it’s possible I have it but certainly not definite. My doctors were definitely concerned so they referred me to an ent but bc of corona I have to wait a while. I have also had chest pains after eating for over 5 years which have recently gotten to the point where I can’t eat without pain so next times it happens I’m going to go to the er. I’m almost certain it’s a gallbladder problem and so they will likely just remove my gallbladder. My question is if I did infact have lymphoma,would it be safe to have surgery before it’s diagnosed?</t>
        </is>
      </c>
      <c r="D10296" t="n">
        <v>3</v>
      </c>
      <c r="E10296" t="n">
        <v>4</v>
      </c>
      <c r="F10296">
        <f>HYPERLINK("https://www.reddit.com/r/cancer/comments/hr9i40/can_i_have_unrelated_surgery/")</f>
        <v/>
      </c>
      <c r="G10296" t="inlineStr">
        <is>
          <t>2020-07-14 13:40:04</t>
        </is>
      </c>
      <c r="H10296" t="inlineStr"/>
    </row>
    <row r="10297">
      <c r="A10297" t="inlineStr">
        <is>
          <t>hra3q9</t>
        </is>
      </c>
      <c r="B10297" t="inlineStr">
        <is>
          <t>Both of my boyfriends parents have cancer... again</t>
        </is>
      </c>
      <c r="C10297" t="inlineStr">
        <is>
          <t>So when I met my boyfriend and his amazing parents, he told me that both of his parents are cancer survivors. His mother survived breast cancer, his father survived some type of mouth cancer. I should mention my boyfriends family is very close, just like mine, which is one of the things I love about him. Then about a year ago, we found out his mother had a new type of cancer, Non-Hodgkins Lymphoma. They started her on a relatively new, I think experimental form of treatment, to which she has responded very well. The growths have shrunk significantly, and she is not cancer free but the cancer is not progressing either which her doctors have told us is basically the best case scenario for her right now. She is in good spirits and has so far had no side-effects from her treatment.
The problem really began when we found out two weeks ago that, as a result of the radiation from his first round of cancer treatment, his father now has spindle cell carcinoma (I believe that is the correct one) and his prognosis is not looking good. They are already planning a major surgery for him but this has really taken a toll on the whole family. My boyfriend, who loves his parents dearly (they truly are lovely people) just feels cheated. He keeps talking about how it’s not fair, they beat the odds and beat their cancer last time, only to both get different types of cancer only a few years later? He said he feels like his family is cursed, and although I don’t believe in that sort of thing, I also don’t blame him for feeling that way. 
This also worries me for my boyfriend’s future as well. He has never had a physical as an adult (he is 29) and after essentially giving him an ultimatum he promised me he would go get a check up, only to start making excuses about why he has to wait. He just refuses to go. I keep reminding him that his parents have had 4 different types of cancer between them and he should be taking precautionary measures but he thinks I’m overreacting or being over dramatic. 
How can I be there and support my boyfriend who I know is dealing with a lot of emotional pain right now, but also get him to take his own health seriously? I know he is hurting and possibly going to lose his father soon, but I don’t want to lose him too because he is too stubborn or willfully ignorant to go to the doctor and get checked out.</t>
        </is>
      </c>
      <c r="D10297" t="n">
        <v>19</v>
      </c>
      <c r="E10297" t="n">
        <v>9</v>
      </c>
      <c r="F10297">
        <f>HYPERLINK("https://www.reddit.com/r/cancer/comments/hra3q9/both_of_my_boyfriends_parents_have_cancer_again/")</f>
        <v/>
      </c>
      <c r="G10297" t="inlineStr">
        <is>
          <t>2020-07-14 14:11:31</t>
        </is>
      </c>
      <c r="H10297" t="inlineStr"/>
    </row>
    <row r="10298">
      <c r="A10298" t="inlineStr">
        <is>
          <t>hrfmus</t>
        </is>
      </c>
      <c r="B10298" t="inlineStr">
        <is>
          <t>Can I vent and get some advice?</t>
        </is>
      </c>
      <c r="C10298" t="inlineStr">
        <is>
          <t>My grandma (71) had stage 3 breast cancer, it's been an ongoing battle the last few months with chemotherapy and 5 days ago she got her third one, first one after she went into selective specialist care for some kinda mouth infection, I recall hearing something about saline poisoning but I'm not sure what that is.
Until we can get a caretaker that comes and helps her out a few hours a day, I've been her caretaker.
The first few days after the last treatment were going well, and then she started to do what she did last time - not moving around enough, sleeping all the time under like 5 quilts, not eating enough, etc. Well, now she's been pissing the bed and she doesn't understand she needs to move so I can change them. I live here but I have a full time job, which is why I'm getting a caretaker, for when I'm not here.
Before I called the ambulance due to her inability to eat and talking over her head, and I'm seeing those signs again.. and I'm just, not sure what to do.. because she really wants to live, and her going back to the emergency room will.. you know.. 
Sorry.. I'm just trying to vent and maybe get some advice.. or to just talk to someone</t>
        </is>
      </c>
      <c r="D10298" t="n">
        <v>2</v>
      </c>
      <c r="E10298" t="n">
        <v>7</v>
      </c>
      <c r="F10298">
        <f>HYPERLINK("https://www.reddit.com/r/cancer/comments/hrfmus/can_i_vent_and_get_some_advice/")</f>
        <v/>
      </c>
      <c r="G10298" t="inlineStr">
        <is>
          <t>2020-07-14 19:50:09</t>
        </is>
      </c>
      <c r="H10298" t="inlineStr"/>
    </row>
    <row r="10299">
      <c r="A10299" t="inlineStr">
        <is>
          <t>hri6la</t>
        </is>
      </c>
      <c r="B10299" t="inlineStr">
        <is>
          <t>What should you write in a "Get Well Soon" card for someone who has cancer?</t>
        </is>
      </c>
      <c r="C10299" t="inlineStr">
        <is>
          <t>It shouldn't be this hard to think of something, but it is. Especially if its terminal.</t>
        </is>
      </c>
      <c r="D10299" t="n">
        <v>0</v>
      </c>
      <c r="E10299" t="n">
        <v>18</v>
      </c>
      <c r="F10299">
        <f>HYPERLINK("https://www.reddit.com/r/cancer/comments/hri6la/what_should_you_write_in_a_get_well_soon_card_for/")</f>
        <v/>
      </c>
      <c r="G10299" t="inlineStr">
        <is>
          <t>2020-07-14 22:59:45</t>
        </is>
      </c>
      <c r="H10299" t="inlineStr"/>
    </row>
    <row r="10300">
      <c r="A10300" t="inlineStr">
        <is>
          <t>hriv6o</t>
        </is>
      </c>
      <c r="B10300" t="inlineStr">
        <is>
          <t>Brown fat cell activation in PET scan</t>
        </is>
      </c>
      <c r="C10300" t="inlineStr">
        <is>
          <t>Talk about unlucky.  My cancer treatment has knocked the shit out of my ability to handle the cold.  In southern Australia we're in the depths of winter, and I've felt the cold in my bones like never before.  I went in today to have my final scans to see if I'm clear of cancer in my neck and tongue.  Halfway through the second scan the tech came in and told me I had brown fat cell activation, which is caused by me being so damn cold all the time, and more importantly, meant the scans were undiagnostic.  
It's been seven months of hell as they tortured the cancer out of me, and now my final scan was useless.  I'm back in on Friday, which isn't the the of the world, but I really didn't need the extra days of waiting nor the now double dose of radiation.  
Despite all this, I'm still calm about the outcome - I see no reason why the treatment didn't work, but I'm bummed about the extra wait before I can put this nightmare behind me (to the extent any of us can, and particularly with the side-effects of head and neck cancer...).
Cheers</t>
        </is>
      </c>
      <c r="D10300" t="n">
        <v>1</v>
      </c>
      <c r="E10300" t="n">
        <v>4</v>
      </c>
      <c r="F10300">
        <f>HYPERLINK("https://www.reddit.com/r/cancer/comments/hriv6o/brown_fat_cell_activation_in_pet_scan/")</f>
        <v/>
      </c>
      <c r="G10300" t="inlineStr">
        <is>
          <t>2020-07-14 23:58:10</t>
        </is>
      </c>
      <c r="H10300" t="inlineStr"/>
    </row>
    <row r="10301">
      <c r="A10301" t="inlineStr">
        <is>
          <t>hrj8jm</t>
        </is>
      </c>
      <c r="B10301" t="inlineStr">
        <is>
          <t>Does "the good cancer" come with free kale smoothies?</t>
        </is>
      </c>
      <c r="C10301" t="inlineStr">
        <is>
          <t>Apparently I have "the good cancer"??? What is this "good cancer" I keep hearing about? Is there such a thing? How does one get it? Is it delivered by magical pixies or rainbow-haired unicorns? Is it something you can win, like a carnival prize or the lottery? Does it come with a lifetime supply of kale and essential oils? Is there a cancer that will give me back my strength and make it so I'm not so utterly exhausted all the time? Perhaps heal the various scars from my three surgeries? Maybe regrow my hair the way it used to look before chemo? Undo the damage done by radiation? Is there a cancer that will give me back my ability to have children? A cancer that will make it so I don't have to go through menopause in my thirties? Will the "good cancer" enable me to get my old job back, restore my life savings, and erase all my medical debt? I mean, if there really is a "good cancer" out there I sure would like to hear about it, because the one I got sucked, it damn near killed me, and may very well come back someday to try to finish the job.  
Tl;dr - People can be insensitive asshats, there is no such thing as "the good cancer"...or unicorns.</t>
        </is>
      </c>
      <c r="D10301" t="n">
        <v>14</v>
      </c>
      <c r="E10301" t="n">
        <v>69</v>
      </c>
      <c r="F10301">
        <f>HYPERLINK("https://www.reddit.com/r/cancer/comments/hrj8jm/does_the_good_cancer_come_with_free_kale_smoothies/")</f>
        <v/>
      </c>
      <c r="G10301" t="inlineStr">
        <is>
          <t>2020-07-15 00:30:39</t>
        </is>
      </c>
      <c r="H10301" t="inlineStr"/>
    </row>
    <row r="10302">
      <c r="A10302" t="inlineStr">
        <is>
          <t>hrjaxq</t>
        </is>
      </c>
      <c r="B10302" t="inlineStr">
        <is>
          <t>Cancer sucks. RIP Dad.</t>
        </is>
      </c>
      <c r="C10302" t="inlineStr">
        <is>
          <t>This disease is a sneaky bitch. My father passed away today after battling multiple myeloma for 5 years. He was only 61. I honestly don't know what to do, I've never experienced such mental pain before. Take my advice if you or a family member has this cancer, take every last second you can get with them. Get them professional specialized help at a major hospital. This is a tricky fickel beast and it can't be tamed by a general oncologist.
And if you have this cancer and happened to be in NYC around 9/11 breathing in dust you can get money from the 9/11 fund. You will also get secondary insurance.
I hope no one ever has to go through what my father went through.</t>
        </is>
      </c>
      <c r="D10302" t="n">
        <v>9</v>
      </c>
      <c r="E10302" t="n">
        <v>7</v>
      </c>
      <c r="F10302">
        <f>HYPERLINK("https://www.reddit.com/r/cancer/comments/hrjaxq/cancer_sucks_rip_dad/")</f>
        <v/>
      </c>
      <c r="G10302" t="inlineStr">
        <is>
          <t>2020-07-15 00:36:47</t>
        </is>
      </c>
      <c r="H10302" t="inlineStr"/>
    </row>
    <row r="10303">
      <c r="A10303" t="inlineStr">
        <is>
          <t>hrmfgl</t>
        </is>
      </c>
      <c r="B10303" t="inlineStr">
        <is>
          <t>I need to vent. And I have questions.</t>
        </is>
      </c>
      <c r="C10303" t="inlineStr">
        <is>
          <t>How long did it take for all of you to get diagnosed?
Were you ever told it was possibly benign and felt hopeful just to be let down?
How did you deal with the pain while you were waiting for results?
My husband has been experiencing severe upper arm pain along with fatigue, nausea, and night sweats since February. For four months several doctors kept telling us that it was probably just a rotator cuff injury, to do stretches, and that everything would be fine. The radiologist in the ER even missed his bone tumor on his xray. Everyone blew off his pain because he is young.
Fast forward to June - we finally got to see an orthopedist and he ordered an MRI. That's when we got the news that he has a bone tumor. The orthopedist referred us to an oncologist for possible osteosarcoma.
The oncologist sounded very hopeful though. He said it didn't scream out osteosarcoma to him, but he wasn't sure. We are currently waiting for him to receive my husband's recent CT and MRI images and call to schedule a biopsy.
This whole thing has been such a rollercoaster for us.. we went from extremely worried and scared to feeling hopeful and now we aren't sure how to feel. The oncologist refuses to give him anything for pain until he knows his diagnosis for sure, but his pain lately has been a consistent 9/10.
I just feel SO frustrated with the waiting. Waiting to get in to see a doctor, waiting for insurance to approve tests, waiting for the doctor to give results. And my husband has been having to just deal with the pain this whole time with nothing to help. And I'm just so frustrated with the misdiagnosis in the beginning. I work in the medical field, but I'm starting to lose hope in it from the patient point of view, and I know he hasn't even been waiting as long as others have for a diagnosis.
Thank you in advance for answering questions, sharing your stories, and allowing me to rant!</t>
        </is>
      </c>
      <c r="D10303" t="n">
        <v>2</v>
      </c>
      <c r="E10303" t="n">
        <v>31</v>
      </c>
      <c r="F10303">
        <f>HYPERLINK("https://www.reddit.com/r/cancer/comments/hrmfgl/i_need_to_vent_and_i_have_questions/")</f>
        <v/>
      </c>
      <c r="G10303" t="inlineStr">
        <is>
          <t>2020-07-15 05:12:55</t>
        </is>
      </c>
      <c r="H10303" t="inlineStr"/>
    </row>
    <row r="10304">
      <c r="A10304" t="inlineStr">
        <is>
          <t>hrnnby</t>
        </is>
      </c>
      <c r="B10304" t="inlineStr">
        <is>
          <t>What to do with over $30,000 worth of Tagrisso (lung cancer medicine)</t>
        </is>
      </c>
      <c r="C10304" t="inlineStr">
        <is>
          <t>We have a two unopened boxes of this stuff (basically 2 months worth) sitting around after my mom left us a few days ago. It was paid for by insurance, so it doesn't matter what we do with it now. But I was wondering if it was possible to give it away to another cancer patient. Is it against the law?</t>
        </is>
      </c>
      <c r="D10304" t="n">
        <v>1</v>
      </c>
      <c r="E10304" t="n">
        <v>6</v>
      </c>
      <c r="F10304">
        <f>HYPERLINK("https://www.reddit.com/r/cancer/comments/hrnnby/what_to_do_with_over_30000_worth_of_tagrisso_lung/")</f>
        <v/>
      </c>
      <c r="G10304" t="inlineStr">
        <is>
          <t>2020-07-15 06:34:52</t>
        </is>
      </c>
      <c r="H10304" t="inlineStr"/>
    </row>
    <row r="10305">
      <c r="A10305" t="inlineStr">
        <is>
          <t>hrows2</t>
        </is>
      </c>
      <c r="B10305" t="inlineStr">
        <is>
          <t>My momma’s battle ended on July 13.</t>
        </is>
      </c>
      <c r="C10305" t="inlineStr">
        <is>
          <t>The hospital staff called me at 6am on July 13 to tell me to come because it was time. She held on until I got there and was repeating herself a lot but when I told her I loved her she was able to say “I love you too” and then she began calling for her own mom who passed away when my mom was 7. She’s no longer in pain and that’s the only thing that’ll ever keep me going is remembering how much she was suffering in her last few months. Sending love and hugs to all those still fighting the battle and those who are beside them hurting as well. 
Last night something weird happened. I would save all these little notes my mom wrote to me. She would write me good luck or I love you in the morning before leaving for work on the days she knew I had an exam and I have all the notes in the drawer by my bed. I haven’t opened that drawer in the last few days, nothing I needed from there. Somehow a green note ended up outside the drawer facing down, thinking it was garbage I got to pick it up as I was tidying my room and I look and it said “good luck (my name) ❤️” it was on a bright green sticky note that I didn’t notice earlier. It sent chills through my body. 
They will always be here with us forever in our hearts .. always watching over us. 
I don’t know what the rest of my life holds without my sweet mama to guide me and be there for me. But what can I do? I can’t change anything.  
I love you forever mama.</t>
        </is>
      </c>
      <c r="D10305" t="n">
        <v>2</v>
      </c>
      <c r="E10305" t="n">
        <v>13</v>
      </c>
      <c r="F10305">
        <f>HYPERLINK("https://www.reddit.com/r/cancer/comments/hrows2/my_mommas_battle_ended_on_july_13/")</f>
        <v/>
      </c>
      <c r="G10305" t="inlineStr">
        <is>
          <t>2020-07-15 07:48:25</t>
        </is>
      </c>
      <c r="H10305" t="inlineStr"/>
    </row>
    <row r="10306">
      <c r="A10306" t="inlineStr">
        <is>
          <t>hrsixn</t>
        </is>
      </c>
      <c r="B10306" t="inlineStr">
        <is>
          <t>quick question about hair loss</t>
        </is>
      </c>
      <c r="C10306" t="inlineStr">
        <is>
          <t>its been 3 months since my dad's targeted/spot radiation treatment for brain mets. he originally only lost hair around those spots and it's been growing back (as gray hair but growing back). recently he's been losing a bit here and there from different spots. Is this normal?
I would imagine they gave him high dosage of radiations so is there a chance he wont get everything back?</t>
        </is>
      </c>
      <c r="D10306" t="n">
        <v>1</v>
      </c>
      <c r="E10306" t="n">
        <v>2</v>
      </c>
      <c r="F10306">
        <f>HYPERLINK("https://www.reddit.com/r/cancer/comments/hrsixn/quick_question_about_hair_loss/")</f>
        <v/>
      </c>
      <c r="G10306" t="inlineStr">
        <is>
          <t>2020-07-15 11:01:16</t>
        </is>
      </c>
      <c r="H10306" t="inlineStr"/>
    </row>
    <row r="10307">
      <c r="A10307" t="inlineStr">
        <is>
          <t>hrsuso</t>
        </is>
      </c>
      <c r="B10307" t="inlineStr">
        <is>
          <t>Hey all, I'm new here. Also seeking some advice?</t>
        </is>
      </c>
      <c r="C10307" t="inlineStr">
        <is>
          <t>My mom had some cramping 2-3 weeks ago, and she decided to go to the ER since she couldn't see her doctor until the next week. Scan initially seemed to show a ruptured appendix, but the laparoscopy revealed a tumor the next day. Now, she's been diagnosed with Stage IV cancer. She'll be getting her port put in tomorrow, then starting chemo the next day. They said they have to do that first to try to shrink the tumor, that way they'll be able to do surgery to get everything they can out. The doctor sounded optimistic, but ut's so scary, she's the last person who this should be happening to, I wish I'd realized it sooner. Thank God she trusted her instincts and went to the ER, I've been feeling guilty for thinking she was overreacting and just being paranoid. I know that there's no way I could have known, but still.
My mom has already ordered and received some headwraps. She said that her hair could start falling out 2-4 weeks after starting chemo, and said she was going to contact a hairdresser who's cut out hair before so she can donate it before that happens, and also shave her head. I told her that I was also going to ask the hairdresser to cut my hair to donate as well. What my mom doesn't know is that I've also asked the hairdresser to shave my head as well, and keep it a surprise until it happens. I'm honestly excited. I've had my head shaved before, when a boy at my school had leukemia, and I've been growing my hair out since I did so almost six years ago. However, I had asked for a buzzcut, and now I'm going to have it shaved to the scalp.
A friend of mine suggested that I might get some wigs for both of us to try on together once our heads are shaved. I thought it was a fantastic idea, a way for us to bond, and something fun for us to do together. My mom has already said that she was thinking about getting a wig anyways. I did some research, and I know that synthetic is probably the way to go. I was curious if anyone had suggestions about where to look for some, and which brands/sellers are the best. 
Good luck to all of you here, and I'll be praying/thinking about you all.</t>
        </is>
      </c>
      <c r="D10307" t="n">
        <v>2</v>
      </c>
      <c r="E10307" t="n">
        <v>6</v>
      </c>
      <c r="F10307">
        <f>HYPERLINK("https://www.reddit.com/r/cancer/comments/hrsuso/hey_all_im_new_here_also_seeking_some_advice/")</f>
        <v/>
      </c>
      <c r="G10307" t="inlineStr">
        <is>
          <t>2020-07-15 11:18:04</t>
        </is>
      </c>
      <c r="H10307" t="inlineStr"/>
    </row>
    <row r="10308">
      <c r="A10308" t="inlineStr">
        <is>
          <t>hruros</t>
        </is>
      </c>
      <c r="B10308" t="inlineStr">
        <is>
          <t>Cancer body odor?</t>
        </is>
      </c>
      <c r="C10308" t="inlineStr">
        <is>
          <t>I was recently remembering something about when my dad was battling with prostate cancer. Around 2 weeks before he passed he had this really strong stench to him. It wasn’t pleasant to say the least but I was wondering if this was caused by the cancer or maybe from other circumstances? My mother didn’t have this scent when she passed but to be fair I was 3 or so years old so I may not remember. Thanks.</t>
        </is>
      </c>
      <c r="D10308" t="n">
        <v>1</v>
      </c>
      <c r="E10308" t="n">
        <v>12</v>
      </c>
      <c r="F10308">
        <f>HYPERLINK("https://www.reddit.com/r/cancer/comments/hruros/cancer_body_odor/")</f>
        <v/>
      </c>
      <c r="G10308" t="inlineStr">
        <is>
          <t>2020-07-15 12:56:07</t>
        </is>
      </c>
      <c r="H10308" t="inlineStr"/>
    </row>
    <row r="10309">
      <c r="A10309" t="inlineStr">
        <is>
          <t>hry33t</t>
        </is>
      </c>
      <c r="B10309" t="inlineStr">
        <is>
          <t>I was diagnosed with an invasive ductal carcinoma (breast cancer) today</t>
        </is>
      </c>
      <c r="C10309" t="inlineStr">
        <is>
          <t>Hello r/cancer, I’m new here, so I’ll introduce myself and explain my situation. My name is Eva, I’m an 18-year-old girl living in the midwestern United States. I graduated high school a few months ago and was planning to go to college to study chemistry. Unfortunately, those plans will have to be put on hold. As you can see by the title, I was diagnosed with breast cancer today. Thankfully we caught it while it’s still small and I have a very good chance of survival. I hope that I can find a good community on this subreddit to get in touch with people like me or people who know my struggles. Feel free to ask questions.</t>
        </is>
      </c>
      <c r="D10309" t="n">
        <v>1</v>
      </c>
      <c r="E10309" t="n">
        <v>34</v>
      </c>
      <c r="F10309">
        <f>HYPERLINK("https://www.reddit.com/r/cancer/comments/hry33t/i_was_diagnosed_with_an_invasive_ductal_carcinoma/")</f>
        <v/>
      </c>
      <c r="G10309" t="inlineStr">
        <is>
          <t>2020-07-15 15:54:03</t>
        </is>
      </c>
      <c r="H10309" t="inlineStr">
        <is>
          <t xml:space="preserve">Patient </t>
        </is>
      </c>
    </row>
    <row r="10310">
      <c r="A10310" t="inlineStr">
        <is>
          <t>hrymol</t>
        </is>
      </c>
      <c r="B10310" t="inlineStr">
        <is>
          <t>How long does “Chemo brain” last?</t>
        </is>
      </c>
      <c r="C10310" t="inlineStr">
        <is>
          <t>My mom has stage 4 peritoneal cancer. She has done 6 rounds of chemo. She has LOTS of trouble remembering. She tends to repeat stories 3 or 4 times. And will tell us about something that just happened as if we werent there with her. Its hard to see her like this and im just really concerned in general. She gets tired and falls asleep random places and is very weak but she insists on doing things on her own and continuing like normal. I dont want to take away her independence or upset her. I just dont want anything to happen to her. Im scared im being too optimistic and assuming things will go back to normal once chemo is over. However just found out she will be continuing chemo til December. I know each person is different and reacts to chemo differently, just really dont want to see her get worst. So any advice on how they adapted and helped someone who’s getting chemo?</t>
        </is>
      </c>
      <c r="D10310" t="n">
        <v>1</v>
      </c>
      <c r="E10310" t="n">
        <v>7</v>
      </c>
      <c r="F10310">
        <f>HYPERLINK("https://www.reddit.com/r/cancer/comments/hrymol/how_long_does_chemo_brain_last/")</f>
        <v/>
      </c>
      <c r="G10310" t="inlineStr">
        <is>
          <t>2020-07-15 16:26:43</t>
        </is>
      </c>
      <c r="H10310" t="inlineStr"/>
    </row>
    <row r="10311">
      <c r="A10311" t="inlineStr">
        <is>
          <t>hrz9bp</t>
        </is>
      </c>
      <c r="B10311" t="inlineStr">
        <is>
          <t>Why would you ever want take advantage of the sick?</t>
        </is>
      </c>
      <c r="C10311" t="inlineStr">
        <is>
          <t>Today I received the diary my mom left for me before she passed away. It broke my heart to read but, more than anything it got me thinking about both her and my father. 
My mom passed away many years ago when I was 3 and for that reason I was able to recover from her death very quickly. My father however, died in 2018 which is fairly recent. I remembered something about his case that was just so odd to me. 
He began to watch videos on YouTube about how to fix his problem  because he was desperate for an answer or a cure. And lord and behold he found this video that was his “holy grail”. It was this location in Tijuana that just seemed to be the perfect solution to his problem. He wanted nothing more than to go there, to get better. He begged my mother and my brothers to take him there believing it would have been the best thing ever. 
It wasn’t. It was dog shit. He sold a property so that he could go there in hopes of finding something better. They fed him rabbit food and took away the food he loved to eat so much. We spent thousands on this “natural medicine” that the doctors there promised would work. It didn’t work, and he came back a month later worse than ever. Why would you ever take advantage of someone like this. He was so sure. My mind is so scattered I can’t even type this formally. I’m so angry why would you ever give the illusion of healing when you know it won’t help. You steal thousands knowing that families are desperate. He wanted to live so badly I want to hear him I don’t understand why I feel like this but I do. He was an old man he didn’t know any better and we didn’t want to shatter his hopes. I walk into his room and I think of how it once looked and smelled and I just remember everything and it hurts so much. I feel like I can’t cry I’ve never been good at crying and I should be able to cry for him I want to but I can’t.</t>
        </is>
      </c>
      <c r="D10311" t="n">
        <v>1</v>
      </c>
      <c r="E10311" t="n">
        <v>16</v>
      </c>
      <c r="F10311">
        <f>HYPERLINK("https://www.reddit.com/r/cancer/comments/hrz9bp/why_would_you_ever_want_take_advantage_of_the_sick/")</f>
        <v/>
      </c>
      <c r="G10311" t="inlineStr">
        <is>
          <t>2020-07-15 17:05:05</t>
        </is>
      </c>
      <c r="H10311" t="inlineStr"/>
    </row>
    <row r="10312">
      <c r="A10312" t="inlineStr">
        <is>
          <t>hrzso1</t>
        </is>
      </c>
      <c r="B10312" t="inlineStr">
        <is>
          <t>Lost, scared, alone, can't take the wait and the knowing it will be the worst..</t>
        </is>
      </c>
      <c r="C10312" t="inlineStr">
        <is>
          <t>I posted here last week after being "diagnosed" with ovarian cancer at the ER after finding a 17.5 cm mass on my right ovary. My discharge papers literally say that I was being discharged with ovarian cancer.
I was also concerned about my liver after feeling a lot of pain (still feeling it and it's in fact gotten worse) and being told my enzyme levels were elevated. Ultrasound apparently showed nothing in November. CT scan apparently showed nothing last week. The enzymes did apparently appear lower than they did when I had bloodwork done a little over a month and a half ago.
My first oncology appointment for the mass was yesterday. My wonderful and lovely doctor tried to ease my fears right away and said she found absolutely nothing to indicate it's cancer. She seemed just horrified by the ER doctor and told me that I'm not the first and certainly not the last patient they will do that to in the ER.
She told me she wants me to get surgery within 2-3 weeks to remove it and ordered me new blood tests yesterday because she was concerned about my liver (something the ER doctor just didn't even mention again and threw me out on my way with his diagnosis).. some of the tests include the tumor marker test, tests for hepatitis, the cancer antigen 125, and quite a few others (11 total)..
I recieved the results to 5 of the tests this morning around 10am and have yet to receive the 6 others. All of them appeared to be in normal range, including the tumor test. But I'm still waiting on the hepatitis b and c results and the cancer one.
I've just been tossing and turning and pacing all around because I don't understand why they wouldn't release all of the lab work at once. It was done through labcorp through my local hospital. I don't know if my doctor would withhold this information from me until she was able to tell me in person over bad news, or what, but I'm an absolute wreck beyond words. I really believe that's what's going on because I always get my blood work results all at once, not split up like this. 
I know it's going to be bad. I just know it. I don't know how to get through this. No one in my life knows what this is like and it's just, "stop worrying" and "everything will be fine" .. easy for them to say. I can't stop crying.</t>
        </is>
      </c>
      <c r="D10312" t="n">
        <v>1</v>
      </c>
      <c r="E10312" t="n">
        <v>9</v>
      </c>
      <c r="F10312">
        <f>HYPERLINK("https://www.reddit.com/r/cancer/comments/hrzso1/lost_scared_alone_cant_take_the_wait_and_the/")</f>
        <v/>
      </c>
      <c r="G10312" t="inlineStr">
        <is>
          <t>2020-07-15 17:38:33</t>
        </is>
      </c>
      <c r="H10312" t="inlineStr"/>
    </row>
    <row r="10313">
      <c r="A10313" t="inlineStr">
        <is>
          <t>hs3n9f</t>
        </is>
      </c>
      <c r="B10313" t="inlineStr">
        <is>
          <t>PRP and history of cancer</t>
        </is>
      </c>
      <c r="C10313" t="inlineStr">
        <is>
          <t>Hi everyone
My doctor started PRP for my scalp (hair loss). She knows i am going through my 2nd round of scanning to check if i have any thyroid cancer left. I just found out today going through internet that i should not do PRP if i have cancer.
Is that true? Thank you</t>
        </is>
      </c>
      <c r="D10313" t="n">
        <v>1</v>
      </c>
      <c r="E10313" t="n">
        <v>1</v>
      </c>
      <c r="F10313">
        <f>HYPERLINK("https://www.reddit.com/r/cancer/comments/hs3n9f/prp_and_history_of_cancer/")</f>
        <v/>
      </c>
      <c r="G10313" t="inlineStr">
        <is>
          <t>2020-07-15 22:05:17</t>
        </is>
      </c>
      <c r="H10313" t="inlineStr"/>
    </row>
    <row r="10314">
      <c r="A10314" t="inlineStr">
        <is>
          <t>hs528i</t>
        </is>
      </c>
      <c r="B10314" t="inlineStr">
        <is>
          <t>My dad passed away tonight.</t>
        </is>
      </c>
      <c r="C10314" t="inlineStr">
        <is>
          <t xml:space="preserve"> My outstanding 61 year old father had stage 4 colon cancer for two and a half years. It spread to his peritoneal lining which doctors kept telling us is harder to treat than if it were on a vital organ. We all kept positive throughout that time. My dad especially. He’s a tough as nails USMC vet who never complained, never gave up and always gave us so much love. Endless love. It doesn’t feel real. Me and my mom were lucky enough to be there with him and hold his hands, telling him how much we love him and that we’ll be okay without him. I kept crying on and off. He originally went to the ER yesterday for a bowel obstruction, uncontrollably committing the entire night and day. Then the palliative care doctor called me around 3 PM. It happened so fast. He had an oxygen mask on and wasn’t receiving fluids since it was filling up his lungs and his heart wasn’t responding well to it. I knew he hated the mask. I asked him to confirm if he wanted hospice care, he nodded his head. He knew it was the end. I did too. My mom was more in shock, in denial of it. As soon as they removed the oxygen mask and put an oxygen tube through his nose (cannula I think,) his breathing immediately shortened and shallowed. He couldn’t breathe on his own. They gave him morphine, so he wasn’t in any pain. The sweet nurse offered him a Coke, but he was too weak. The palliative care doctor was very kind to my family and my dad as well, which I’m so appreciative of. My mom held his hand the entire time while praying with him. Then my dad suddenly stopped breathing. I know people always say “it happened so fast,” but it’s taken me enduring this to realize it’s true. Time wasn’t real in the hospital. They were supposed to move him to an upper floor, but we stayed with him in the dark ER room. When I realized how quickly he stopped breathing, I panicked and ran outside to the nurse station just shouting that my dad stopped breathing. Three of them came inside and immediacy began doing CPR, and my mom started bawling. I’ve never ever seen my mom cry like that before. My sadness turned into shock, and I wrapped my arms around my mom to comfort her while she sobbed. She was staring the whole time as they were trying to revive him. I told her to look away if it was too hard. I was crying a little bit, but knew I needed to comfort her. I’m still shocked. I went through his cellphone and found old videos and pictures of me and him. They made me breakdown. It dawned on me that I’ll never get a text from him again. Never go to the grocery store with him again. Never get advice from him again. Never hear his dark, yet endearing marine humor again. It feels like I’m not living my own life. I’m going through the motions. I’m scared of the future. I’m 20 years old, barely about to begin college this fall. My brother is only 15. My boyfriend is also in the Marine Corp, and only got to meet my dad once last year. It’s all so confusing and I feel lost and broken. I know with time me and my family will be okay again. But a part of me has died with my dad. The only thing that gives me peace is knowing he wasn’t in pain when he went, and that he’s no longer suffering but whole again in the kingdom of heaven. If anyone out there is going through something similar, or if you’re blessed enough to have your loved one still alive and breathing, please be with them. Take pictures of them and with them. Take videos. Record their voice. Tell them you love them. Life can be cruel and short for some. I never thought I wouldn’t have my dad around at 20 years old. I’m his girl. He taught me so much and loved me so much and I’ll strive everyday to be the kind of person he’d be proud of. I’m sorry if this post is all over the place. My brain is hazy right now. Sending my love out there to everyone being affected by this ugly, unfair disease. May we all find peace in our hearts.</t>
        </is>
      </c>
      <c r="D10314" t="n">
        <v>1</v>
      </c>
      <c r="E10314" t="n">
        <v>27</v>
      </c>
      <c r="F10314">
        <f>HYPERLINK("https://www.reddit.com/r/cancer/comments/hs528i/my_dad_passed_away_tonight/")</f>
        <v/>
      </c>
      <c r="G10314" t="inlineStr">
        <is>
          <t>2020-07-16 00:07:23</t>
        </is>
      </c>
      <c r="H10314" t="inlineStr"/>
    </row>
    <row r="10315">
      <c r="A10315" t="inlineStr">
        <is>
          <t>hs5uez</t>
        </is>
      </c>
      <c r="B10315" t="inlineStr">
        <is>
          <t>grandpa diagnosed with stage 4 liver cancer (vent)</t>
        </is>
      </c>
      <c r="C10315" t="inlineStr">
        <is>
          <t>my grandpa is in the philippines and im the usa, he just got diagnosed with stage 4 liver cancer. because of travel restricions and how weak he’s become, i worry about how much time he has left.
the doctors have decided to not operate because of how much the cancer has spread and so i guess i’m wondering if i can get there on time. 
my mom had stage 2 colon cancer and that was honestly so terrible and now we’re going through another one and i just hate it. i hate the timing. i hate that it happened in my family again. i just hate it. 
how do you cope with this, knowing you might not see your loved one again?</t>
        </is>
      </c>
      <c r="D10315" t="n">
        <v>1</v>
      </c>
      <c r="E10315" t="n">
        <v>5</v>
      </c>
      <c r="F10315">
        <f>HYPERLINK("https://www.reddit.com/r/cancer/comments/hs5uez/grandpa_diagnosed_with_stage_4_liver_cancer_vent/")</f>
        <v/>
      </c>
      <c r="G10315" t="inlineStr">
        <is>
          <t>2020-07-16 01:20:17</t>
        </is>
      </c>
      <c r="H10315" t="inlineStr"/>
    </row>
    <row r="10316">
      <c r="A10316" t="inlineStr">
        <is>
          <t>hs6my6</t>
        </is>
      </c>
      <c r="B10316" t="inlineStr">
        <is>
          <t>My dad was diagnosed with cancer and it's hitting me really hard</t>
        </is>
      </c>
      <c r="C10316" t="inlineStr">
        <is>
          <t>About two and a half months ago my dad was diagnosed with colon cancer. They think he has one metastaze on his liver, but the lymph nodes are most affected, so surgery is pointless. He finished today with his 3rd roud of chemo. Because of his tumor he is losing blood, he is constantly tired and has fever almost all the time, except when he is receiving chemo. That shit kills everything. Oncologist says that is a side affect of chemo. 
Anyway, I havent seen him for last two weeks, and when i saw him yesterday he lost almost all of his hair. And it hit me so bad. I know that losing hair means nothing to him, but it was just so real you know.
I just think that watching someone of your own with this disease is so god damn hard. I try be there for him, but is hard. It is hard for all of us. Fuck you cancer!!</t>
        </is>
      </c>
      <c r="D10316" t="n">
        <v>1</v>
      </c>
      <c r="E10316" t="n">
        <v>2</v>
      </c>
      <c r="F10316">
        <f>HYPERLINK("https://www.reddit.com/r/cancer/comments/hs6my6/my_dad_was_diagnosed_with_cancer_and_its_hitting/")</f>
        <v/>
      </c>
      <c r="G10316" t="inlineStr">
        <is>
          <t>2020-07-16 02:35:53</t>
        </is>
      </c>
      <c r="H10316" t="inlineStr"/>
    </row>
    <row r="10317">
      <c r="A10317" t="inlineStr">
        <is>
          <t>hs9aan</t>
        </is>
      </c>
      <c r="B10317" t="inlineStr">
        <is>
          <t>Fuckety fucksticks</t>
        </is>
      </c>
      <c r="C10317" t="inlineStr">
        <is>
          <t>Just in case I had any fantasies of surviving this thing, the results of my MRI were given to me today. Not content with giving me a very rare cancer in the first place with no known cure - primary cardiac Angiosarcoma, IF I managed to get my lungs clear of the metastases which is a big If, my doctor now tells me that the tumour in my heart is not just sitting there waiting to be cut out but instead has embedded itself into the wall of my heart. Tumour - you utter c**t!</t>
        </is>
      </c>
      <c r="D10317" t="n">
        <v>1</v>
      </c>
      <c r="E10317" t="n">
        <v>21</v>
      </c>
      <c r="F10317">
        <f>HYPERLINK("https://www.reddit.com/r/cancer/comments/hs9aan/fuckety_fucksticks/")</f>
        <v/>
      </c>
      <c r="G10317" t="inlineStr">
        <is>
          <t>2020-07-16 06:06:38</t>
        </is>
      </c>
      <c r="H10317" t="inlineStr"/>
    </row>
    <row r="10318">
      <c r="A10318" t="inlineStr">
        <is>
          <t>hsb9el</t>
        </is>
      </c>
      <c r="B10318" t="inlineStr">
        <is>
          <t>my mother still hasn't told me that she has breast cancer.</t>
        </is>
      </c>
      <c r="C10318" t="inlineStr">
        <is>
          <t>my mom suddenly started going to the hospital really frequently. i wanted to respect her privacy so i didn’t ask, plus i expected her to tell me in her own time. about a month after the doctor’s appointments started, she had to go for a surgery (she told me and my siblings because you cant really hide that esp when you live in the same house. ), but she still didn’t tell me what was up. i obviously suspected that she had breast cancer but i just couldn’t bring myself to ask her or my father - honestly, how do you go about asking “do you have cancer?” like wtf how do you even sit down and have these conversations???? so because i really needed to know what was happening, i stole her phone and looked through her messages. i wish i didn’t have to find out through her messages because it is invading her privacy, but i really couldn’t stand it anymore. 
honestly, the worst part about it wasn’t learning that she had breast cancer from snooping through her iphone. the conversation between her and her friend went something like this:
for the sake of privacy, i’ll be ashley (f15), my younger sister will be clara (f11)
friend : so have you told the kids yet?
mom : no. I only told clara. 
friend : how about ashley? since shes the oldest, 
             she may resent you for not telling her
mom : clara’s a worrier. like me.
*two of them continue to talk about sth else*
reading that conversation really broke my heart. the fact that my mom literally ignored her friend when she warned my mom that i may resent her???? what am i to her? and why does she only care about clara?? and the “like me” is the icing on the cake. am i not your daughter? and why would she tell clara and not me when i’m 4 years older than clara? but reading this conversation really punched me in the gut. I had to lock myself in my room because i was sobbing so hard and i didnt want anybody to know. 
I love my mom so much, but I just wish she could have trusted me enough to tell me. This honestly made me feel really conflicted because I love her so much and i’m terrified of losing her but im also angry that she didnt tell me and she told my 11 year old sister instead. so i also felt guilty on top of all the other emotions i had because i want to hate her for keeping me in the dark about everything. but i cant because i should love her especially during this period of time.
also the fact that she said clara was a worrier. that really really really hurt me because that doesn’t cancel out my feelings too. plus i think i’m more sensitive to these things than my sister. she cries in front of my parents more often because of things like not wanting to eat her vegetables, not doing her homework, things like that. maybe its because they dont see me cry as much, but i wish they knew how much i cry when im alone in my room. 
I wish she knew how painful it was to be in my position. I wish she knows how many nights i spent crying and screaming into my blanket so that she wouldn’t hear. but at the same time, i hope she never knows how much pain i felt because i know that will hurt her too.
tldr: my mom didnt tell me about her cancer but told my 11 year old sister instead.</t>
        </is>
      </c>
      <c r="D10318" t="n">
        <v>1</v>
      </c>
      <c r="E10318" t="n">
        <v>0</v>
      </c>
      <c r="F10318">
        <f>HYPERLINK("https://www.reddit.com/r/cancer/comments/hsb9el/my_mother_still_hasnt_told_me_that_she_has_breast/")</f>
        <v/>
      </c>
      <c r="G10318" t="inlineStr">
        <is>
          <t>2020-07-16 08:06:58</t>
        </is>
      </c>
      <c r="H10318" t="inlineStr"/>
    </row>
    <row r="10319">
      <c r="A10319" t="inlineStr">
        <is>
          <t>hsdndu</t>
        </is>
      </c>
      <c r="B10319" t="inlineStr">
        <is>
          <t>Ovarian Cancer Spread to Lymph Nodes - Doctors not Giving Prognosis?</t>
        </is>
      </c>
      <c r="C10319" t="inlineStr">
        <is>
          <t>A close family member had Stage 4 Ovarian Cancer two years ago. She had operations and chemotherapy, along with long periods of taking Avastin. They thought they got it all, and things dared to look good for a while.
Recently her markers have been slowly rising, and now a new scan suddenly shows "microscopic" traces of cancer cells in her lymph nodes, around the pelvis and neck.
For some reason, her doctors are not being straight with her about prognosis, but their call to announce the results of the scan was very somber. It's very difficult to know whether to be optimistic with reason, or to be preparing practically for something ultimately unpleasant. 
Can anyone offer any words of advice, or experience, or recommend literature/studies about the treatments and prognoses in such situations?
This is all I've found so far:  [https://www.tandfonline.com/doi/full/10.1080/0284186X.2017.1400691](https://www.tandfonline.com/doi/full/10.1080/0284186X.2017.1400691)   
&amp;gt;The five-year OS for the entire serous stage IV cohort was 19%; 32% for the LN only group, 11% for pleura only and 22% for patients with other/multiple metastatic sites. Consequently, the LN only group lived considerably longer than cases with either pleura or other sites of stage IV disease, with a median survival of 41.4 months compared to 25.2 and 26.8 months, respectively (*p* = .007).
Any advice or help is enormously appreciated.</t>
        </is>
      </c>
      <c r="D10319" t="n">
        <v>1</v>
      </c>
      <c r="E10319" t="n">
        <v>6</v>
      </c>
      <c r="F10319">
        <f>HYPERLINK("https://www.reddit.com/r/cancer/comments/hsdndu/ovarian_cancer_spread_to_lymph_nodes_doctors_not/")</f>
        <v/>
      </c>
      <c r="G10319" t="inlineStr">
        <is>
          <t>2020-07-16 10:11:21</t>
        </is>
      </c>
      <c r="H10319" t="inlineStr"/>
    </row>
    <row r="10320">
      <c r="A10320" t="inlineStr">
        <is>
          <t>hsf5yw</t>
        </is>
      </c>
      <c r="B10320" t="inlineStr">
        <is>
          <t>DNA lab on a chip</t>
        </is>
      </c>
      <c r="C10320" t="inlineStr">
        <is>
          <t>Hey everyone! So I am currently taking a nanotechnology class and we have a project on making a DNA Lab-on-a-chip to detect breast cancer. If anyone has any helpful information, that would be absolutely amazing, as the internet actually offers little help on this subject.</t>
        </is>
      </c>
      <c r="D10320" t="n">
        <v>1</v>
      </c>
      <c r="E10320" t="n">
        <v>1</v>
      </c>
      <c r="F10320">
        <f>HYPERLINK("https://www.reddit.com/r/cancer/comments/hsf5yw/dna_lab_on_a_chip/")</f>
        <v/>
      </c>
      <c r="G10320" t="inlineStr">
        <is>
          <t>2020-07-16 11:25:11</t>
        </is>
      </c>
      <c r="H10320" t="inlineStr"/>
    </row>
    <row r="10321">
      <c r="A10321" t="inlineStr">
        <is>
          <t>hsfg30</t>
        </is>
      </c>
      <c r="B10321" t="inlineStr">
        <is>
          <t>Second Opinions for breast cancer</t>
        </is>
      </c>
      <c r="C10321" t="inlineStr">
        <is>
          <t>I am breast cancer triple positive, grade 1, 35F, have one older cousin has been diagnosed 5 years ago. Took a quiz [here](https://web.liyfeclinic.com/second-opinion) , got 20% recommendation rate to do a second opinion. Share with yall.</t>
        </is>
      </c>
      <c r="D10321" t="n">
        <v>1</v>
      </c>
      <c r="E10321" t="n">
        <v>3</v>
      </c>
      <c r="F10321">
        <f>HYPERLINK("https://www.reddit.com/r/cancer/comments/hsfg30/second_opinions_for_breast_cancer/")</f>
        <v/>
      </c>
      <c r="G10321" t="inlineStr">
        <is>
          <t>2020-07-16 11:39:26</t>
        </is>
      </c>
      <c r="H10321" t="inlineStr"/>
    </row>
    <row r="10322">
      <c r="A10322" t="inlineStr">
        <is>
          <t>hshrkf</t>
        </is>
      </c>
      <c r="B10322" t="inlineStr">
        <is>
          <t>Hospice for Dad</t>
        </is>
      </c>
      <c r="C10322" t="inlineStr">
        <is>
          <t>My Dad has stage 4 cancer. He's been battling and suffering for 3.5 years, which is about 3 years longer than anyone thought he would since he was already in stage 4 when he was diagnosed. The future has always been one huge question mark. But he's been in terrible pain recently, and the scans he had last week provided a visual as to why. Tumors all over his back and some other extremities. This time, rather than suggest another new drug or radiation, his doctor said the focus should be on pain management. So my parents have been in contact with hospice today. 
We all knew this was coming. It still doesn't make it any easier. He's had quite the strong will to live all this time -- I can't imagine what is going through his mind at this point. If it were me, I'd be pissed off, scared, and feeling alone. I am hoping he at least finds some real pain relief for a little while. But I'm concerned that will be at the cost of him no longer being truly present due to such high doses of strong meds. Since his diagnosis and then immediate surgery, he hasn't been able to do everything he once loved due to having rods in his spine. He was once an avid gardener, gym goer, grandchild cuddler and rough houser, and baseball coach. The death of all of that was hard enough for him and the rest of us to endure. But at least he's been able to contribute intellectually and emotionally for the past few years. He's a very smart, well-read man from whom I've always sought advice because I trust his judgment. Once hospice starts, I'm bracing for the loss of real conversation with him before we lose him from this world entirely. 
I hate cancer so much. I'm so sorry to all of you who are also battling or have a loved one who is. The injustice is almost too much to bear sometimes. 
Thanks for letting me rant. Sending good vibes out today to you all.</t>
        </is>
      </c>
      <c r="D10322" t="n">
        <v>1</v>
      </c>
      <c r="E10322" t="n">
        <v>5</v>
      </c>
      <c r="F10322">
        <f>HYPERLINK("https://www.reddit.com/r/cancer/comments/hshrkf/hospice_for_dad/")</f>
        <v/>
      </c>
      <c r="G10322" t="inlineStr">
        <is>
          <t>2020-07-16 13:32:29</t>
        </is>
      </c>
      <c r="H10322" t="inlineStr"/>
    </row>
    <row r="10323">
      <c r="A10323" t="inlineStr">
        <is>
          <t>hsjcir</t>
        </is>
      </c>
      <c r="B10323" t="inlineStr">
        <is>
          <t>Mom just got diagnosed</t>
        </is>
      </c>
      <c r="C10323" t="inlineStr">
        <is>
          <t>It’s non-melanoma and it’s near her right tear duct, anything I should know?</t>
        </is>
      </c>
      <c r="D10323" t="n">
        <v>1</v>
      </c>
      <c r="E10323" t="n">
        <v>3</v>
      </c>
      <c r="F10323">
        <f>HYPERLINK("https://www.reddit.com/r/cancer/comments/hsjcir/mom_just_got_diagnosed/")</f>
        <v/>
      </c>
      <c r="G10323" t="inlineStr">
        <is>
          <t>2020-07-16 14:58:42</t>
        </is>
      </c>
      <c r="H10323" t="inlineStr">
        <is>
          <t xml:space="preserve">Patient </t>
        </is>
      </c>
    </row>
    <row r="10324">
      <c r="A10324" t="inlineStr">
        <is>
          <t>hskp7y</t>
        </is>
      </c>
      <c r="B10324" t="inlineStr">
        <is>
          <t>Grumpy stage 4 breast cancer patient</t>
        </is>
      </c>
      <c r="C10324" t="inlineStr">
        <is>
          <t>I have so many chores I need to do, but my treatment makes me so tired. Is 7pm and I think I’m just going to go to bed without taking care of my home. I hate how messy and disorganized it is, but I am fighting to find the energy to get up and brush my teeth. Life really feels too hard right now, and there is no respite in sight.</t>
        </is>
      </c>
      <c r="D10324" t="n">
        <v>1</v>
      </c>
      <c r="E10324" t="n">
        <v>29</v>
      </c>
      <c r="F10324">
        <f>HYPERLINK("https://www.reddit.com/r/cancer/comments/hskp7y/grumpy_stage_4_breast_cancer_patient/")</f>
        <v/>
      </c>
      <c r="G10324" t="inlineStr">
        <is>
          <t>2020-07-16 16:19:11</t>
        </is>
      </c>
      <c r="H10324" t="inlineStr"/>
    </row>
    <row r="10325">
      <c r="A10325" t="inlineStr">
        <is>
          <t>hslnt3</t>
        </is>
      </c>
      <c r="B10325" t="inlineStr">
        <is>
          <t>Small Cell spread to liver &amp;amp; stomach</t>
        </is>
      </c>
      <c r="C10325" t="inlineStr">
        <is>
          <t>I’ve never posted here before. But I needed to just word vomit and have other people tell me maybe it’s not as bad as it seems.
My Mom was diagnosed with SCLC in Oct 2016. She went through chemo and immunotherapy and by Aug 2018, things were good! She was in remission. Then in Aug 2019, the cancer came back in her adrenal gland. started localized radiation that October. She had an appt yesterday with her oncologist to go over her latest CT scan. The SCLC has spread to her liver and stomach. He described it as “aggressive and mean.” He let us know if she declines treatment her health will rapidly decline in the next 3-4 months and with treatment she would have a 25% chance of making it one more year. 
Her odds were never good at the beginning, but it seems the odds she beat may be the only luck she had. I just feel sad. And numb. And I don’t know how to help as I live out of state (sister lives next to her). I don’t want my mom to go through awful side effects and I don’t want her to die either. I just feel very lost. 
She can make it past this, right? She beat odds once why not again?
😞</t>
        </is>
      </c>
      <c r="D10325" t="n">
        <v>1</v>
      </c>
      <c r="E10325" t="n">
        <v>4</v>
      </c>
      <c r="F10325">
        <f>HYPERLINK("https://www.reddit.com/r/cancer/comments/hslnt3/small_cell_spread_to_liver_stomach/")</f>
        <v/>
      </c>
      <c r="G10325" t="inlineStr">
        <is>
          <t>2020-07-16 17:19:17</t>
        </is>
      </c>
      <c r="H10325" t="inlineStr"/>
    </row>
    <row r="10326">
      <c r="A10326" t="inlineStr">
        <is>
          <t>hsm0n6</t>
        </is>
      </c>
      <c r="B10326" t="inlineStr">
        <is>
          <t>Can different MRI machines yield different results?</t>
        </is>
      </c>
      <c r="C10326" t="inlineStr">
        <is>
          <t>So my soon to be 11 year old grandson had surgery 6 - 7 years ago to have a juvenile pilocytic astrocytoma removed from behind his left ear. He went in for a routine annual followup MRI last week and his parents received the results today - some changes were seen. The physician thinks that maybe these changes are due to this most recent MRI being done at the local hospital, where previous ones were performed at Yale.
So can different machines yield different results?
Either way they are repeating the scan in 6 months.</t>
        </is>
      </c>
      <c r="D10326" t="n">
        <v>1</v>
      </c>
      <c r="E10326" t="n">
        <v>9</v>
      </c>
      <c r="F10326">
        <f>HYPERLINK("https://www.reddit.com/r/cancer/comments/hsm0n6/can_different_mri_machines_yield_different_results/")</f>
        <v/>
      </c>
      <c r="G10326" t="inlineStr">
        <is>
          <t>2020-07-16 17:42:29</t>
        </is>
      </c>
      <c r="H10326" t="inlineStr"/>
    </row>
    <row r="10327">
      <c r="A10327" t="inlineStr">
        <is>
          <t>hsmali</t>
        </is>
      </c>
      <c r="B10327" t="inlineStr">
        <is>
          <t>I might have cancer and I'm not sure what to do about it</t>
        </is>
      </c>
      <c r="C10327" t="inlineStr">
        <is>
          <t>( A little bit of backstory I'm a 19-year-old male and I don't know my family history) So this all started around March 15th. I had just gotten home from work and I was having severe back pain. So the next day I went to my doctor suggested I got to the hospital to get a cat scan of my back. I admitted myself to the hospital and they first thought it was kidney stones so they did the cat scan. They found out I have hydronephrosis and they also found something on my left femur. They did not tell me about that and then a week later my doctor called and told me the results and I was shocked. I never thought something like this would happen to me. Then my doctor had me get an X-ray. the X-ray showed it was quite a bit bigger than I thought. then I went to the urologist and he looked at my charts and said wow that big. Then I went for an MRI and my doctor said she called in an oncologist to take a look and they both said it didn't look good. So I'm waiting to get a biopsy done and I so lost and I don't know how I should feel and I'm not sure what to do</t>
        </is>
      </c>
      <c r="D10327" t="n">
        <v>1</v>
      </c>
      <c r="E10327" t="n">
        <v>1</v>
      </c>
      <c r="F10327">
        <f>HYPERLINK("https://www.reddit.com/r/cancer/comments/hsmali/i_might_have_cancer_and_im_not_sure_what_to_do/")</f>
        <v/>
      </c>
      <c r="G10327" t="inlineStr">
        <is>
          <t>2020-07-16 18:01:03</t>
        </is>
      </c>
      <c r="H10327" t="inlineStr"/>
    </row>
    <row r="10328">
      <c r="A10328" t="inlineStr">
        <is>
          <t>hso59z</t>
        </is>
      </c>
      <c r="B10328" t="inlineStr">
        <is>
          <t>HL and genetics?</t>
        </is>
      </c>
      <c r="C10328" t="inlineStr">
        <is>
          <t>Do we know about how much more likely it is when you have Hodgkin's Lymphoma to pass it onto children? My oncologist assured me that once I was off Chemo that it wouldn't negatively interfere with me possibly having kids with birth defects. one of my biggest fears is passing on cancer I went through in my early 20s to possible children. I am NOT pregnant but given the fact that I have lived through Hodgkin's Lymphoma (I have no idea of my own family history with who had what disease because I'm adopted) , one thing that would terrify me / make me feel super guilty is passing on this disease to a possible child of mine if I ever had biological children.</t>
        </is>
      </c>
      <c r="D10328" t="n">
        <v>1</v>
      </c>
      <c r="E10328" t="n">
        <v>2</v>
      </c>
      <c r="F10328">
        <f>HYPERLINK("https://www.reddit.com/r/cancer/comments/hso59z/hl_and_genetics/")</f>
        <v/>
      </c>
      <c r="G10328" t="inlineStr">
        <is>
          <t>2020-07-16 20:07:01</t>
        </is>
      </c>
      <c r="H10328" t="inlineStr"/>
    </row>
    <row r="10329">
      <c r="A10329" t="inlineStr">
        <is>
          <t>hsog44</t>
        </is>
      </c>
      <c r="B10329" t="inlineStr">
        <is>
          <t>Rainforest Herbs</t>
        </is>
      </c>
      <c r="C10329" t="inlineStr">
        <is>
          <t>Has anyone tried Jim Gordon's Rainforest Herbs? Lots of success stories.</t>
        </is>
      </c>
      <c r="D10329" t="n">
        <v>1</v>
      </c>
      <c r="E10329" t="n">
        <v>0</v>
      </c>
      <c r="F10329">
        <f>HYPERLINK("https://www.reddit.com/r/cancer/comments/hsog44/rainforest_herbs/")</f>
        <v/>
      </c>
      <c r="G10329" t="inlineStr">
        <is>
          <t>2020-07-16 20:28:17</t>
        </is>
      </c>
      <c r="H10329" t="inlineStr"/>
    </row>
    <row r="10330">
      <c r="A10330" t="inlineStr">
        <is>
          <t>hspsds</t>
        </is>
      </c>
      <c r="B10330" t="inlineStr">
        <is>
          <t>My story</t>
        </is>
      </c>
      <c r="C10330" t="inlineStr">
        <is>
          <t>Tl;dr: Basically I beat Stage 4 brain cancer.
If y’all would like more details or some pics let me know
So back in August 2015 I was diagnosed with the equivalent of stage 4 (the type of cancer I had wasn’t measured in stages) brain cancer. I had two tumors, which were malignant, one on my pituitary and the other on my hypothalamus. I got treated at the University of Virginia, had biopsy brain surgery, chemotherapy, and radiation. And am close to 5 years in remission</t>
        </is>
      </c>
      <c r="D10330" t="n">
        <v>1</v>
      </c>
      <c r="E10330" t="n">
        <v>40</v>
      </c>
      <c r="F10330">
        <f>HYPERLINK("https://www.reddit.com/r/cancer/comments/hspsds/my_story/")</f>
        <v/>
      </c>
      <c r="G10330" t="inlineStr">
        <is>
          <t>2020-07-16 22:06:53</t>
        </is>
      </c>
      <c r="H10330" t="inlineStr"/>
    </row>
    <row r="10331">
      <c r="A10331" t="inlineStr">
        <is>
          <t>hspug7</t>
        </is>
      </c>
      <c r="B10331" t="inlineStr">
        <is>
          <t>Fuck Cancer</t>
        </is>
      </c>
      <c r="C10331" t="inlineStr">
        <is>
          <t>Do you know what really sucks is having cancer at age 16 and ruining every vacation you go to with your family. My mom was going to surprise us with my uncle coming to visit us with his boat but of course I had to ruin it because I have a low grade fever. I can’t deal with it anymore my sister are always happy to go on vacation but I have to ruin it for them to. I really hope in the future that there are smooth vacations. Also my mom never gets a brake she is dealing with a cancer patient(me) and a daughter that has so many health’s problems I can’t count. I feel so bad for her she need to go to the hospitals least 4 times a month with us. Why can’t anything go as planned. Why.</t>
        </is>
      </c>
      <c r="D10331" t="n">
        <v>1</v>
      </c>
      <c r="E10331" t="n">
        <v>22</v>
      </c>
      <c r="F10331">
        <f>HYPERLINK("https://www.reddit.com/r/cancer/comments/hspug7/fuck_cancer/")</f>
        <v/>
      </c>
      <c r="G10331" t="inlineStr">
        <is>
          <t>2020-07-16 22:11:12</t>
        </is>
      </c>
      <c r="H10331" t="inlineStr">
        <is>
          <t xml:space="preserve">Patient </t>
        </is>
      </c>
    </row>
    <row r="10332">
      <c r="A10332" t="inlineStr">
        <is>
          <t>hssada</t>
        </is>
      </c>
      <c r="B10332" t="inlineStr">
        <is>
          <t>A tough week</t>
        </is>
      </c>
      <c r="C10332" t="inlineStr">
        <is>
          <t>I've got leukemia (ALL). After my second round of chemo I got a fever in out patient. Get admitted. Fever isn't going down but test are coming up negative for anything else. Sounding like a neutropenic fever. My doc comes in and tells me they found blast in my blood meaning the chemo treatment failed and I'm in refractory.
In a couple of days I'll be heading to another local hospital with clinical trials and bone marrow transplant. I'm not done fighting I'm gonna kick this Cancers ass!</t>
        </is>
      </c>
      <c r="D10332" t="n">
        <v>1</v>
      </c>
      <c r="E10332" t="n">
        <v>1</v>
      </c>
      <c r="F10332">
        <f>HYPERLINK("https://www.reddit.com/r/cancer/comments/hssada/a_tough_week/")</f>
        <v/>
      </c>
      <c r="G10332" t="inlineStr">
        <is>
          <t>2020-07-17 01:50:14</t>
        </is>
      </c>
      <c r="H10332" t="inlineStr"/>
    </row>
    <row r="10333">
      <c r="A10333" t="inlineStr">
        <is>
          <t>hswkdy</t>
        </is>
      </c>
      <c r="B10333" t="inlineStr">
        <is>
          <t>Would my doctor schedule my surgery before getting all of my bloodwork back?</t>
        </is>
      </c>
      <c r="C10333" t="inlineStr">
        <is>
          <t>I've posted here a couple of times since an ER doctor "diagnosed" me with ovarian cancer just based on a CT scan. I went to see an oncologist Tuesday and she said she sees nothing in anything of mine that points to cancer..
She ordered additional blood work that day and by 9am the next morning, I had 5 of those results, all coming back normal. The other 6 tests were tests for hepatitis, some other things, and the dreaded cancer antigen 125.  
I have not received these results yet and it's been 3 days now. I was trying to go off of everyone's advice saying that tests can take time and trickle in, but they called this morning to schedule my surgery. It's August 3rd.
So now I'm an even worse wreck than I've been this entire time because why would my doctor want to schedule my procedure before having all of my bloodwork in. Why would she not release those tests back to me unless they are bad news? I can't take this.</t>
        </is>
      </c>
      <c r="D10333" t="n">
        <v>1</v>
      </c>
      <c r="E10333" t="n">
        <v>13</v>
      </c>
      <c r="F10333">
        <f>HYPERLINK("https://www.reddit.com/r/cancer/comments/hswkdy/would_my_doctor_schedule_my_surgery_before/")</f>
        <v/>
      </c>
      <c r="G10333" t="inlineStr">
        <is>
          <t>2020-07-17 07:24:25</t>
        </is>
      </c>
      <c r="H10333" t="inlineStr"/>
    </row>
    <row r="10334">
      <c r="A10334" t="inlineStr">
        <is>
          <t>hswnyp</t>
        </is>
      </c>
      <c r="B10334" t="inlineStr">
        <is>
          <t>Ostheosarcoma Progress report #2</t>
        </is>
      </c>
      <c r="C10334" t="inlineStr">
        <is>
          <t>Thanks for the support at my AMA done shortly after operation. It’s now over a month since I’ve got an endoptorhesis. Rehabilitation is going very well, my arm can now move a lot better than in June.
I am currently on chemo (doxorubicin and cisplatin) and suprisingly I haven’t vomitted once yet, when previously I was able to throw up 9-17 times per chemo, so it’s a big success considering that AP contains two of the most aggressive cythostatics.
Sadly I have problems with weight loss. When I started taking chemo I had 47kg, and now I have under 35, which is absolutely not right. I think it might be a reason why I feel weak sometimes. I love food, but even though I eat a lot when I can, it just doesn’t help at all. I gain like 2kg of weight, and then I lose them within the first days of new chemo cycle. What can I do about that? Should I wait till I fully recover or contact with someone like dietetician?</t>
        </is>
      </c>
      <c r="D10334" t="n">
        <v>1</v>
      </c>
      <c r="E10334" t="n">
        <v>6</v>
      </c>
      <c r="F10334">
        <f>HYPERLINK("https://www.reddit.com/r/cancer/comments/hswnyp/ostheosarcoma_progress_report_2/")</f>
        <v/>
      </c>
      <c r="G10334" t="inlineStr">
        <is>
          <t>2020-07-17 07:30:34</t>
        </is>
      </c>
      <c r="H10334" t="inlineStr">
        <is>
          <t xml:space="preserve">Patient </t>
        </is>
      </c>
    </row>
    <row r="10335">
      <c r="A10335" t="inlineStr">
        <is>
          <t>hswrum</t>
        </is>
      </c>
      <c r="B10335" t="inlineStr">
        <is>
          <t>My brother has cancer.Waiting for biopsy results.</t>
        </is>
      </c>
      <c r="C10335" t="inlineStr">
        <is>
          <t>It's been just a year after we lost our mother from it and now I just can't believe how cruel life can be(we also lost our grandma and our auntie from it).I found myself this time not asking God or universe "why" but wondering if our whole family is on borrowed time.Last time my brother was the strong one but this time I need to be the one who's gonna be calm and strong and keep everything in place.Any sort of advise would be appreciated.</t>
        </is>
      </c>
      <c r="D10335" t="n">
        <v>1</v>
      </c>
      <c r="E10335" t="n">
        <v>0</v>
      </c>
      <c r="F10335">
        <f>HYPERLINK("https://www.reddit.com/r/cancer/comments/hswrum/my_brother_has_cancerwaiting_for_biopsy_results/")</f>
        <v/>
      </c>
      <c r="G10335" t="inlineStr">
        <is>
          <t>2020-07-17 07:37:01</t>
        </is>
      </c>
      <c r="H10335" t="inlineStr"/>
    </row>
    <row r="10336">
      <c r="A10336" t="inlineStr">
        <is>
          <t>hswtli</t>
        </is>
      </c>
      <c r="B10336" t="inlineStr">
        <is>
          <t>If you guys know any motivational videos or something nice to listen to while anxious or in pain please share 💕</t>
        </is>
      </c>
      <c r="C10336" t="inlineStr">
        <is>
          <t>My mother is diagnosed with stage 4 lung cancer. I want to help her ease her anxiety.</t>
        </is>
      </c>
      <c r="D10336" t="n">
        <v>1</v>
      </c>
      <c r="E10336" t="n">
        <v>7</v>
      </c>
      <c r="F10336">
        <f>HYPERLINK("https://www.reddit.com/r/cancer/comments/hswtli/if_you_guys_know_any_motivational_videos_or/")</f>
        <v/>
      </c>
      <c r="G10336" t="inlineStr">
        <is>
          <t>2020-07-17 07:39:52</t>
        </is>
      </c>
      <c r="H10336" t="inlineStr"/>
    </row>
    <row r="10337">
      <c r="A10337" t="inlineStr">
        <is>
          <t>hsxlx0</t>
        </is>
      </c>
      <c r="B10337" t="inlineStr">
        <is>
          <t>Inoperable cancer success stories?</t>
        </is>
      </c>
      <c r="C10337" t="inlineStr">
        <is>
          <t>Does anyone know any stories of people beating cancer through chemo alone? I was scouring the internet for survivor stories but it seems like they all involve surgery and then chemo / radiation afterwards to make sure it doesn't come back. Surgery is no longer an option for me, it would be nice to hear it's still possible to be cured even if the odds are low.</t>
        </is>
      </c>
      <c r="D10337" t="n">
        <v>1</v>
      </c>
      <c r="E10337" t="n">
        <v>4</v>
      </c>
      <c r="F10337">
        <f>HYPERLINK("https://www.reddit.com/r/cancer/comments/hsxlx0/inoperable_cancer_success_stories/")</f>
        <v/>
      </c>
      <c r="G10337" t="inlineStr">
        <is>
          <t>2020-07-17 08:24:29</t>
        </is>
      </c>
      <c r="H10337" t="inlineStr"/>
    </row>
    <row r="10338">
      <c r="A10338" t="inlineStr">
        <is>
          <t>ht00mc</t>
        </is>
      </c>
      <c r="B10338" t="inlineStr">
        <is>
          <t>PICC line - to cover or not to cover?</t>
        </is>
      </c>
      <c r="C10338" t="inlineStr">
        <is>
          <t>Who here has a PICC line? Do you wear a cover over it? Or let it dangle free? What are the dis/advantages of this?</t>
        </is>
      </c>
      <c r="D10338" t="n">
        <v>1</v>
      </c>
      <c r="E10338" t="n">
        <v>11</v>
      </c>
      <c r="F10338">
        <f>HYPERLINK("https://www.reddit.com/r/cancer/comments/ht00mc/picc_line_to_cover_or_not_to_cover/")</f>
        <v/>
      </c>
      <c r="G10338" t="inlineStr">
        <is>
          <t>2020-07-17 10:34:00</t>
        </is>
      </c>
      <c r="H10338" t="inlineStr"/>
    </row>
    <row r="10339">
      <c r="A10339" t="inlineStr">
        <is>
          <t>ht1o0o</t>
        </is>
      </c>
      <c r="B10339" t="inlineStr">
        <is>
          <t>Managing your Risk for Hereditary Cancers</t>
        </is>
      </c>
      <c r="C10339" t="inlineStr">
        <is>
          <t>Certain inherited gene mutations can put you at an increased risk of developing one or more cancers in the future, but knowing you have these mutations can help personalize your preventative care, and help you manage your future cancer risks. Out of the following 11 gene mutations, BRCA1 and BRCA2 are the most researched, and have been linked to hereditary breast and ovarian cancer syndrome, which put women at increased risk of having multiple breast cancers, as well as ovarian cancer in a lifetime. However, having one of these mutations doesn't guarantee you will develop cancer.
For those who have already been diagnosed with one or more cancers, multi-gene panel genetic testing may be a useful resource for you to understand your risk of future cancers, diagnose possible hereditary cancer syndromes (ex: HBOC and Lynch syndrome), learn of opportunities for targeted therapies, and discover inherent risks to children. Staying informed can lead to early detection, prophylactic surgeries, and curated treatments. If you want to learn more about multi-gene panel genetic testing, I will provide a CLIA certified resource through Concierge Health: [https://kit.myconciergehealth.org/cgx?a=adv](https://kit.myconciergehealth.org/cgx?a=adv). Something to remember as well: genetic testing for young people who have NOT been previously diagnosed with cancer may lead to impacted long-term insurances. GINA (The Genetic Information Nondiscrimination Act) protects against health-insurance and employment discrimination due to genetic information. I hope you all find this chart useful, I encourage you to research, discuss, ask questions, and stay informed!
https://preview.redd.it/t49wrgsvogb51.png?width=646&amp;amp;format=png&amp;amp;auto=webp&amp;amp;s=dd450f60c83ea4d9bff32f3d28027e0c9f89ddae</t>
        </is>
      </c>
      <c r="D10339" t="n">
        <v>1</v>
      </c>
      <c r="E10339" t="n">
        <v>0</v>
      </c>
      <c r="F10339">
        <f>HYPERLINK("https://www.reddit.com/r/cancer/comments/ht1o0o/managing_your_risk_for_hereditary_cancers/")</f>
        <v/>
      </c>
      <c r="G10339" t="inlineStr">
        <is>
          <t>2020-07-17 12:02:55</t>
        </is>
      </c>
      <c r="H10339" t="inlineStr"/>
    </row>
    <row r="10340">
      <c r="A10340" t="inlineStr">
        <is>
          <t>ht37tv</t>
        </is>
      </c>
      <c r="B10340" t="inlineStr">
        <is>
          <t>Is Asbestos dangerous if sealed in garbage bags?</t>
        </is>
      </c>
      <c r="C10340" t="inlineStr">
        <is>
          <t>Sorry if this isn't a very good sub to post this, but I don't know where else to put it. There's asbestos material wrapped up in garbage bags in our backyard, left undisturbed. If we leave it alone, are we in any risk?</t>
        </is>
      </c>
      <c r="D10340" t="n">
        <v>1</v>
      </c>
      <c r="E10340" t="n">
        <v>2</v>
      </c>
      <c r="F10340">
        <f>HYPERLINK("https://www.reddit.com/r/cancer/comments/ht37tv/is_asbestos_dangerous_if_sealed_in_garbage_bags/")</f>
        <v/>
      </c>
      <c r="G10340" t="inlineStr">
        <is>
          <t>2020-07-17 13:26:55</t>
        </is>
      </c>
      <c r="H10340" t="inlineStr"/>
    </row>
    <row r="10341">
      <c r="A10341" t="inlineStr">
        <is>
          <t>ht3arf</t>
        </is>
      </c>
      <c r="B10341" t="inlineStr">
        <is>
          <t>allah gave me ass cancer</t>
        </is>
      </c>
      <c r="C10341" t="inlineStr">
        <is>
          <t>the jews did 911</t>
        </is>
      </c>
      <c r="D10341" t="n">
        <v>1</v>
      </c>
      <c r="E10341" t="n">
        <v>0</v>
      </c>
      <c r="F10341">
        <f>HYPERLINK("https://www.reddit.com/r/cancer/comments/ht3arf/allah_gave_me_ass_cancer/")</f>
        <v/>
      </c>
      <c r="G10341" t="inlineStr">
        <is>
          <t>2020-07-17 13:31:24</t>
        </is>
      </c>
      <c r="H10341" t="inlineStr"/>
    </row>
    <row r="10342">
      <c r="A10342" t="inlineStr">
        <is>
          <t>ht3hdl</t>
        </is>
      </c>
      <c r="B10342" t="inlineStr">
        <is>
          <t>My Journey</t>
        </is>
      </c>
      <c r="C10342" t="inlineStr">
        <is>
          <t>Day 1
I have spent the last 6 months hobbling around with a sore knee. An MRI revealed I have a very small tear behind my knee cap. I have been working hard at physio with no progression. Everything I try to do with it results in pain. 
Yesterday while cleaning the bathroom I dislocated my knee. The bottom half of my leg was half way up my thigh. After a panic stricken yelling match, my wife managed to pop it back in. Or so I thought.
A long and painful ambulance ride hospital was brightened up with a heavy dose of Ketamine. A hospital X-ray revealed I had actually snapped my femur due to a tumour in the bone. I was raced off for a CT scan which revealed several similar Tumors in other bones.
The doctor has told me the quantity means the tumours are malignant.
The thought of my three young children loosing their father scares the hell out of me.
I have an operation this morning to remove the tumour from the bone and bolt my femur back together.
I’m heavily sedated, so I apologise about the typos.</t>
        </is>
      </c>
      <c r="D10342" t="n">
        <v>1</v>
      </c>
      <c r="E10342" t="n">
        <v>9</v>
      </c>
      <c r="F10342">
        <f>HYPERLINK("https://www.reddit.com/r/cancer/comments/ht3hdl/my_journey/")</f>
        <v/>
      </c>
      <c r="G10342" t="inlineStr">
        <is>
          <t>2020-07-17 13:41:49</t>
        </is>
      </c>
      <c r="H10342" t="inlineStr"/>
    </row>
    <row r="10343">
      <c r="A10343" t="inlineStr">
        <is>
          <t>ht3vb6</t>
        </is>
      </c>
      <c r="B10343" t="inlineStr">
        <is>
          <t>Nightmares</t>
        </is>
      </c>
      <c r="C10343" t="inlineStr">
        <is>
          <t>My mom has lung cancer stage 4.
Since then, I feel like cancer is everywhere. Sometimes even in my sleep. Lately Im having nightmares about my mom and this stupid cancer.
I cant sleep. I wake up in the middle of the night/ morning in panic. There are times that I start crying cuz im so afraid that someday this dream would become true. Sometimes the dream feels so real that I go check if my mom is breathing. 
It happend to me once in the past, and I talked with a friend and it really helped, but I dont want to involve them.
If anyone has been through this and has an advice it will help a lot.</t>
        </is>
      </c>
      <c r="D10343" t="n">
        <v>1</v>
      </c>
      <c r="E10343" t="n">
        <v>10</v>
      </c>
      <c r="F10343">
        <f>HYPERLINK("https://www.reddit.com/r/cancer/comments/ht3vb6/nightmares/")</f>
        <v/>
      </c>
      <c r="G10343" t="inlineStr">
        <is>
          <t>2020-07-17 14:03:42</t>
        </is>
      </c>
      <c r="H10343" t="inlineStr"/>
    </row>
    <row r="10344">
      <c r="A10344" t="inlineStr">
        <is>
          <t>ht3xxo</t>
        </is>
      </c>
      <c r="B10344" t="inlineStr">
        <is>
          <t>Stage IV Colon Cancer Metastasis to Liver &amp;gt; Liver Lymph Nodes</t>
        </is>
      </c>
      <c r="C10344" t="inlineStr">
        <is>
          <t>Hi All,
&amp;amp;#x200B;
Hope all is going as well as it can in your worlds.
&amp;amp;#x200B;
My Father got diagnosed with Stage IV Colon Cancer Metastasis to Liver over a year ago.
&amp;amp;#x200B;
Chemotherapy initially shrank the cancer, however it seems the treatments stopped working and the cancer grew and has spread into his Liver's Lymph Nodes.
&amp;amp;#x200B;
He has been given a prognosis of an 12-18 month expected lifespan.
&amp;amp;#x200B;
Has anyone else has experience in this type and progression of cancer that can offer any insight, advice or their experience?
&amp;amp;#x200B;
Also, for those that have lost a loved one knowing time is short or are going through the same - do you have any advice on how to best spend the remaining time? Anything you wish you had done which you hadn't? Know this depends on what my Father want's to do but always good to get the experiences of others.
&amp;amp;#x200B;
Thanks in advance.</t>
        </is>
      </c>
      <c r="D10344" t="n">
        <v>1</v>
      </c>
      <c r="E10344" t="n">
        <v>2</v>
      </c>
      <c r="F10344">
        <f>HYPERLINK("https://www.reddit.com/r/cancer/comments/ht3xxo/stage_iv_colon_cancer_metastasis_to_liver_liver/")</f>
        <v/>
      </c>
      <c r="G10344" t="inlineStr">
        <is>
          <t>2020-07-17 14:07:43</t>
        </is>
      </c>
      <c r="H10344" t="inlineStr"/>
    </row>
    <row r="10345">
      <c r="A10345" t="inlineStr">
        <is>
          <t>ht3ys0</t>
        </is>
      </c>
      <c r="B10345" t="inlineStr">
        <is>
          <t>Finished treatment a year ago</t>
        </is>
      </c>
      <c r="C10345" t="inlineStr">
        <is>
          <t>And chemo has permanently (I mean, it’s been a year) made my hair look dead. Like compare grass to dead grass, my hair to normal hair. I hate it, I’m 17, and now it’s quite long, but still flat, ugly color, u can basically see my scalp from anywhere on my head, and I have a awful receding hair line. Is there any way to fix or treat this? So many things are fucked on my body I wish my appearance wasn’t as well. I’ll prolly just kill my self some day anyway, but it’s worth asking.</t>
        </is>
      </c>
      <c r="D10345" t="n">
        <v>1</v>
      </c>
      <c r="E10345" t="n">
        <v>14</v>
      </c>
      <c r="F10345">
        <f>HYPERLINK("https://www.reddit.com/r/cancer/comments/ht3ys0/finished_treatment_a_year_ago/")</f>
        <v/>
      </c>
      <c r="G10345" t="inlineStr">
        <is>
          <t>2020-07-17 14:09:03</t>
        </is>
      </c>
      <c r="H10345" t="inlineStr"/>
    </row>
    <row r="10346">
      <c r="A10346" t="inlineStr">
        <is>
          <t>ht4zdi</t>
        </is>
      </c>
      <c r="B10346" t="inlineStr">
        <is>
          <t>What helps best with bone pain?</t>
        </is>
      </c>
      <c r="C10346" t="inlineStr">
        <is>
          <t>(15M) Halfway through my second of hopefully only four cycles of chemo for Stage 2 Hogkin's Lymphoma. These injections that I'm on to stimulate my bone marrow have caused some serious bone pain in my knees, thighs, and sometimes my lower back to the point where I can't walk. My oncologist wants me to stay on the shot because I'm about to hit my low and I was given painkillers but I absolutely fucking hate the way they make me feel with a passion so I refuse to take them. Other than Tylenol and ice, are there any non opoid ways to relieve at least some of the pain?</t>
        </is>
      </c>
      <c r="D10346" t="n">
        <v>1</v>
      </c>
      <c r="E10346" t="n">
        <v>14</v>
      </c>
      <c r="F10346">
        <f>HYPERLINK("https://www.reddit.com/r/cancer/comments/ht4zdi/what_helps_best_with_bone_pain/")</f>
        <v/>
      </c>
      <c r="G10346" t="inlineStr">
        <is>
          <t>2020-07-17 15:05:12</t>
        </is>
      </c>
      <c r="H10346" t="inlineStr"/>
    </row>
    <row r="10347">
      <c r="A10347" t="inlineStr">
        <is>
          <t>ht5fih</t>
        </is>
      </c>
      <c r="B10347" t="inlineStr">
        <is>
          <t>After Chemo hair regeneration</t>
        </is>
      </c>
      <c r="C10347" t="inlineStr">
        <is>
          <t>I’ve been in remission for over a year and a half now, but I still have a fairly large bald spot on the top of my head. Any tips to gain the lost hair back? (18 yr old male)</t>
        </is>
      </c>
      <c r="D10347" t="n">
        <v>1</v>
      </c>
      <c r="E10347" t="n">
        <v>3</v>
      </c>
      <c r="F10347">
        <f>HYPERLINK("https://www.reddit.com/r/cancer/comments/ht5fih/after_chemo_hair_regeneration/")</f>
        <v/>
      </c>
      <c r="G10347" t="inlineStr">
        <is>
          <t>2020-07-17 15:31:17</t>
        </is>
      </c>
      <c r="H10347" t="inlineStr">
        <is>
          <t xml:space="preserve">Patient </t>
        </is>
      </c>
    </row>
    <row r="10348">
      <c r="A10348" t="inlineStr">
        <is>
          <t>ht6pmo</t>
        </is>
      </c>
      <c r="B10348" t="inlineStr">
        <is>
          <t>My mother was Diagnosed with Liver Cancer</t>
        </is>
      </c>
      <c r="C10348" t="inlineStr">
        <is>
          <t>Hey everyone,
my mother was diagnosed with Liver Cancer by the oncologist today. She was feeling pain in her stomach for about three weeks and we took her to the emergency room because she couldn't bare the pain. They did a CT Scan and found a tumor in her Pancreas and two on the side of her liver. They're malignant and Tuesday they're going to set up everything for her first Chemo. I'm terrified and hopefully for my mother because she's being very positive about it. Can anyone give me any advice on how to handle this. They said she's going to be on it for about 3 months, do another CT Scan then and take it from there. Again any advice would be greatly appreciated it and thank you :).</t>
        </is>
      </c>
      <c r="D10348" t="n">
        <v>1</v>
      </c>
      <c r="E10348" t="n">
        <v>2</v>
      </c>
      <c r="F10348">
        <f>HYPERLINK("https://www.reddit.com/r/cancer/comments/ht6pmo/my_mother_was_diagnosed_with_liver_cancer/")</f>
        <v/>
      </c>
      <c r="G10348" t="inlineStr">
        <is>
          <t>2020-07-17 16:48:52</t>
        </is>
      </c>
      <c r="H10348" t="inlineStr"/>
    </row>
    <row r="10349">
      <c r="A10349" t="inlineStr">
        <is>
          <t>ht7ei3</t>
        </is>
      </c>
      <c r="B10349" t="inlineStr">
        <is>
          <t>Mother died 2 months ago of meningioma and my dad has stage 4 “everywhere” cancer.....</t>
        </is>
      </c>
      <c r="C10349" t="inlineStr">
        <is>
          <t>Fuck me for real!!!!! I’m just venting here, but seriously wtf!!!!! From the start of symptoms to her death was at most 4 months but from her 1st hospital trip to death was 2 months. I’m just now starting to grieve and I’m starting therapy next week so that’s nice. Yet my dad is straight up disappearing in front of me. His cancer started 6 years ago in his thyroid and 3 years ago he had some pretty big chunks of spine removed. Thought it was the end back then and he’s soldiered on for way longer than we thought he would. Now with his spouses death and chemo therapy kicking his ass life just fucking sucks for him and the rest of the family. It’s in his lungs and bones (dr. said at least one of his ribs has been totally eaten by tumors) and probably a few more places. He’s lost so much weight and has zero energy. Just sitting watching a movie is starting to be too taxing for him. As far as I know he’s just “on” chemo from now till he dies. The chemo is just holding the cancer back and if he stops that’s basically it. He was doing really well before the chemo and this has just wrecked him. Soon enough we’re gonna have to have the talk about at what point is the chemo even worth it. His quality of life is non exist want at this point and his biggest advocate/love of his life just died. This all just fucking sucks so bad.</t>
        </is>
      </c>
      <c r="D10349" t="n">
        <v>1</v>
      </c>
      <c r="E10349" t="n">
        <v>4</v>
      </c>
      <c r="F10349">
        <f>HYPERLINK("https://www.reddit.com/r/cancer/comments/ht7ei3/mother_died_2_months_ago_of_meningioma_and_my_dad/")</f>
        <v/>
      </c>
      <c r="G10349" t="inlineStr">
        <is>
          <t>2020-07-17 17:33:43</t>
        </is>
      </c>
      <c r="H10349" t="inlineStr"/>
    </row>
    <row r="10350">
      <c r="A10350" t="inlineStr">
        <is>
          <t>ht8ars</t>
        </is>
      </c>
      <c r="B10350" t="inlineStr">
        <is>
          <t>Losing Weight</t>
        </is>
      </c>
      <c r="C10350" t="inlineStr">
        <is>
          <t>Since February of this year, I’ve lost about 85 pounds. This was because of losing my appetite and having trouble keeping any food down whatsoever for months. Being a 6’1” female and having a big frame, I’ve always been a little on the heavier side. So anytime I see someone I haven’t for a while, especially because of COVID, they always compliment me and say, “Oh you look so good! What did you do to lose all the weight?” 
All I want to reply with is, “Thanks. It’s cancer, 10/10 don’t recommend it.” 
Sure, losing weight is an awesome thing to most people, and at first I’d be lying if I said I wasn’t a little excited to lose weight, until it started to get to a couple of pounds a day and I was absolutely terrified to step on the scale and see how much more I had lost. I’m finally to a stable weight and I haven’t lost any for a few weeks, and thanks to steroids I’m finally able to keep food down and I have somewhat of an appetite, but boy has it been a ride. I just wish some people could put two and two together why a cancer patient is losing weight..</t>
        </is>
      </c>
      <c r="D10350" t="n">
        <v>1</v>
      </c>
      <c r="E10350" t="n">
        <v>15</v>
      </c>
      <c r="F10350">
        <f>HYPERLINK("https://www.reddit.com/r/cancer/comments/ht8ars/losing_weight/")</f>
        <v/>
      </c>
      <c r="G10350" t="inlineStr">
        <is>
          <t>2020-07-17 18:36:26</t>
        </is>
      </c>
      <c r="H10350" t="inlineStr"/>
    </row>
    <row r="10351">
      <c r="A10351" t="inlineStr">
        <is>
          <t>hta9zm</t>
        </is>
      </c>
      <c r="B10351" t="inlineStr">
        <is>
          <t>I never talked to anyone about the reality of moms death, I poured my heart and soul out on /r/confessions and not a single person saw it lol. Please read this, I've never got to share this before.</t>
        </is>
      </c>
      <c r="C10351" t="inlineStr">
        <is>
          <t>Since I was a little boy she had cancer on and off until my late teens. She had cancer when she was 25 before I was alive and beat it. When I was 8 she got breast cancer and they had to mangle her breasts to save her life. she beat it, and then it came back years later, they removed the breasts and she was cancer free again.
Then she got it in her lungs, it spread everywhere and made her body waste away for years and years, her dying was my biggest fear and I planned to kill myself as a little kid after she finally died, I couldn't imagine excepting her death, she was my only parent because my dad is dead too. I slept in the same bed as her until I was like 13.
As it got worse and worse, she persisted on doing anything possible to survive, I never thought in a million years I'd get to the point where I was wishing she would just die and stop fighting, it was very very clear she was going to die at any moment. Yet she told doctors to keep her **off** the "do not resuscitate" list. If her heart stopped, by law they would have to give cpr.
And then she persisted beyond the point of *inspiring*. The day before she died, she was telling me in a gravely choppy voice (She could only speak whilst inhaling) that my sister was giving up on her for telling her "it's okay to let go, you are going to die". 
It was an unspoken rule that we don't tell her she will die, the doctors have been saying otherwise for years. She went on to start shooting ideas on how to survive. I'm a late teenager at this point, it wasn't too long ago.
She believes in god so I told her "if you do die, you are going to realize you had nothing to fear after all. This isn't the end of you, or anyone in the slightest bit. You will be at such peace, you might even look back think being scared of death was silly! We aren't going to be separated and we never will be," etc. Etc.
My moms reaction? "Please get me some vitamin C I need to survive". (The vitamin C/alternative treatment is a whole other thing, she got desperate.)
The next day, her body is shutting down and she can't speak, her eyes are wide open and all the doctors are telling us she is dying and needs to get taken to another room where she will pass. My sister and I are asking her if she knows what's happening, and she is *barely* able to nod for "yes" she looked so scared and cried almost every day for the last few months, up until her last day. The doctors pump her full of morphine and took her off oxygen. It all happened so suddenly.
As she lay there breathing her last, awful breaths, the nurse suddenly starts looking for more morphine, and then runs out of the room to get more (it wasn't dramatic, I'm sure only I noticed.) She quietly rushes back in and injects more morphine. I think my mom was showing signs of distress, I was very focused on the nurse. She Injected even more at a certain point. I was the only one who walked away and couldn't bare to watch.
When my mom was on her last 5 - 10 breaths or so, she fucking suddenly opens her eyes, and leans her head forward and looked around at the people standing around her, everyone yelled for me to come over so she could look at me, and let her see I was there. but I was on the other side of the room and didn't get back in time. I saw her though, she looked aware and scared. She looked like she couldn't breathe. it was horrific.
Throughout the **entire** time, my mom refused to die, was scared to die, and suffered the whole way through and I've never talked about it. There was no "farewell, it's my time now" shit. If I was to use a metaphor to describe it, she was ripped away by the ankles leaving nothing but claw mark's across the floor.</t>
        </is>
      </c>
      <c r="D10351" t="n">
        <v>1</v>
      </c>
      <c r="E10351" t="n">
        <v>14</v>
      </c>
      <c r="F10351">
        <f>HYPERLINK("https://www.reddit.com/r/cancer/comments/hta9zm/i_never_talked_to_anyone_about_the_reality_of/")</f>
        <v/>
      </c>
      <c r="G10351" t="inlineStr">
        <is>
          <t>2020-07-17 21:00:16</t>
        </is>
      </c>
      <c r="H10351" t="inlineStr"/>
    </row>
    <row r="10352">
      <c r="A10352" t="inlineStr">
        <is>
          <t>htam62</t>
        </is>
      </c>
      <c r="B10352" t="inlineStr">
        <is>
          <t>My friend thinks she has an MRI burn</t>
        </is>
      </c>
      <c r="C10352" t="inlineStr">
        <is>
          <t>She was diagnosed with cancer a week ago and had to get an MRI yesterday to make sure it hasn’t spread.
She said the whole time her head was burning, and the doctors were like “hmmmm weird, that happens sometimes but it’s rare”. 
It’s been 24 hours and her head is still burning.
Has anyone heard of this?</t>
        </is>
      </c>
      <c r="D10352" t="n">
        <v>1</v>
      </c>
      <c r="E10352" t="n">
        <v>3</v>
      </c>
      <c r="F10352">
        <f>HYPERLINK("https://www.reddit.com/r/cancer/comments/htam62/my_friend_thinks_she_has_an_mri_burn/")</f>
        <v/>
      </c>
      <c r="G10352" t="inlineStr">
        <is>
          <t>2020-07-17 21:26:42</t>
        </is>
      </c>
      <c r="H10352" t="inlineStr"/>
    </row>
    <row r="10353">
      <c r="A10353" t="inlineStr">
        <is>
          <t>htaxs7</t>
        </is>
      </c>
      <c r="B10353" t="inlineStr">
        <is>
          <t>Does blood word show any cancer signs?</t>
        </is>
      </c>
      <c r="C10353" t="inlineStr">
        <is>
          <t>So my dad just took his second convid test and had blood work taken from him to see why he is sick. I kept telling him its not covid and instead lets go to a doctor and get this lump and mole checked out. He says no. 
I'm hoping the blood work shows something wrong because I'm certain its cancer. I hope it isnt, but I figure if we find out what it is, we can start some treatment on it and he can live another 5-10 years. 
My mom passed away 4 fours ago...losing my dad at age 29, I would feel alone and have no reason to live...I need my dad in my life. Sigh, life sucks.</t>
        </is>
      </c>
      <c r="D10353" t="n">
        <v>1</v>
      </c>
      <c r="E10353" t="n">
        <v>6</v>
      </c>
      <c r="F10353">
        <f>HYPERLINK("https://www.reddit.com/r/cancer/comments/htaxs7/does_blood_word_show_any_cancer_signs/")</f>
        <v/>
      </c>
      <c r="G10353" t="inlineStr">
        <is>
          <t>2020-07-17 21:52:20</t>
        </is>
      </c>
      <c r="H10353" t="inlineStr">
        <is>
          <t xml:space="preserve">Patient </t>
        </is>
      </c>
    </row>
    <row r="10354">
      <c r="A10354" t="inlineStr">
        <is>
          <t>htbezo</t>
        </is>
      </c>
      <c r="B10354" t="inlineStr">
        <is>
          <t>Joint pain post chemo.</t>
        </is>
      </c>
      <c r="C10354" t="inlineStr">
        <is>
          <t>I finished chemo like a year and a half ago then did radiation and beat the cancer but now at 17 im struggling with joint pain, in my ancles, lower back, and knees. Could this be a post chemo symptom? Or have any of you experienced it after chemo? And it cant be my weight because im perfectly healthy in that department. Im just weirded out by this. It happened during chemo but it was so much worse. Please let me know if any of you have experienced this.
Id love to talk about our experiences especially if your a teen going through it or beat it.</t>
        </is>
      </c>
      <c r="D10354" t="n">
        <v>1</v>
      </c>
      <c r="E10354" t="n">
        <v>3</v>
      </c>
      <c r="F10354">
        <f>HYPERLINK("https://www.reddit.com/r/cancer/comments/htbezo/joint_pain_post_chemo/")</f>
        <v/>
      </c>
      <c r="G10354" t="inlineStr">
        <is>
          <t>2020-07-17 22:31:47</t>
        </is>
      </c>
      <c r="H10354" t="inlineStr">
        <is>
          <t xml:space="preserve">Patient </t>
        </is>
      </c>
    </row>
    <row r="10355">
      <c r="A10355" t="inlineStr">
        <is>
          <t>htcyxy</t>
        </is>
      </c>
      <c r="B10355" t="inlineStr">
        <is>
          <t>Does anyone have experience with late diagnosis melanomas?</t>
        </is>
      </c>
      <c r="C10355" t="inlineStr">
        <is>
          <t>My mom (63F) was diagnosed on Wednesday with a melanoma that has spread to her liver, lungs, gallbladder, bones and most likely brain (the oncologist was waiting for the scan but he says the changes in behavior very likely brain). 
She is very thin 1,74 (5’8) and 45kgs (100 pounds) she stopped eating the beginning of the month, maybe on a good day she gets in 200-400 cals and the doctor basically said she needs to pick up weight for quality of life, he won’t even consider any type of treatment because she’s too weak. he suggested we do 8 small egg cups with a spoon or two of things she likes repeated every 2 hours - we tried that she burst into tears- we’ve tried counting her calories over the past couple of days fighting her to eat oats, smoothies, scrambled eggs, anything and managed to get her to about 800 calories today she seemed like she has more energy but when we tried to feed her today she cried and fought us. He also said she needs to get moving because she has no circulation in her hands and her legs are so swollen, we’ve tried to encourage her but she just puts her head in her hands and begs us to just leave her. She just wants to sleep all the time. She’s started to hallucinate a little bit and I made the terrible error of googling that and they say that means she’s coming to the end of her battle. 
Basically what I’m asking is, is there any hope or am I hurting her more than I’m helping by forcing her to walk and forcing her to eat - is she already too far gone?</t>
        </is>
      </c>
      <c r="D10355" t="n">
        <v>1</v>
      </c>
      <c r="E10355" t="n">
        <v>3</v>
      </c>
      <c r="F10355">
        <f>HYPERLINK("https://www.reddit.com/r/cancer/comments/htcyxy/does_anyone_have_experience_with_late_diagnosis/")</f>
        <v/>
      </c>
      <c r="G10355" t="inlineStr">
        <is>
          <t>2020-07-18 00:57:30</t>
        </is>
      </c>
      <c r="H10355" t="inlineStr"/>
    </row>
    <row r="10356">
      <c r="A10356" t="inlineStr">
        <is>
          <t>htdh3p</t>
        </is>
      </c>
      <c r="B10356" t="inlineStr">
        <is>
          <t>I [25F] have my estranged father [48F] weed gummies for his cancer</t>
        </is>
      </c>
      <c r="C10356" t="inlineStr">
        <is>
          <t>My dad and I haven’t really talked since I turned 18. I grew up with him, he is still married to my mom and they live in my childhood home. He’s just a dick and we don’t get along. That’s a story for another reddit. 
He was recently diagnosed with cancer I think some type of lymphoma. My mom says it’s highly treatable. Everything seemed normal at the start of chemo but then he dropped 50lbs in a weekend and woke up without a beard. Now I’m freaked out.
I’m turning 26 this month and regularly smoke marijuana. As a joke I gave my mom some cannabis infused gummies to give him. He told her he hasn’t smoked weed in 20 years and is scared to try what’s currently out there. He says when he was coming up there was two types of weed “skunk” and “crippy” now he’s overwhelmed by the variety and is steering clear of weed out of fear. 
We live in Florida where weed is essentially decriminalized and the gummies were purchased locally at a convention in Kissimmee. 
Personally, I am pro recreational use but skeptical about about medicinal use. In the past I’ve viewed medical marijuana as a facade with little science to back it up but now I believe that at the very least weed will increase his appetite and reduce some of his nasesu and anxiety. 
Initially I was afraid that he would be upset that I brought drugs into his house and had my mother transport them but my mom said he mearly laughed and thanked me for the gesture. 
While I liked that I could make him laugh Id also him to try what I consider  medication to treat his post chemo condition . 
How can I convince my estranged father to try what he would otherwise condemn as drug abuse to treat his cancer?</t>
        </is>
      </c>
      <c r="D10356" t="n">
        <v>1</v>
      </c>
      <c r="E10356" t="n">
        <v>0</v>
      </c>
      <c r="F10356">
        <f>HYPERLINK("https://www.reddit.com/r/cancer/comments/htdh3p/i_25f_have_my_estranged_father_48f_weed_gummies/")</f>
        <v/>
      </c>
      <c r="G10356" t="inlineStr">
        <is>
          <t>2020-07-18 01:46:49</t>
        </is>
      </c>
      <c r="H10356" t="inlineStr"/>
    </row>
    <row r="10357">
      <c r="A10357" t="inlineStr">
        <is>
          <t>htdi17</t>
        </is>
      </c>
      <c r="B10357" t="inlineStr">
        <is>
          <t>I [25F] gave my estranged father [48M] weed gummies for his cancer</t>
        </is>
      </c>
      <c r="C10357" t="inlineStr">
        <is>
          <t>My dad and I haven’t really talked since I turned 18. I grew up with him, he is still married to my mom and they live in my childhood home. He’s just a dick and we don’t get along. That’s a story for another reddit. 
He was recently diagnosed with cancer I think some type of lymphoma. My mom says it’s highly treatable. Everything seemed normal at the start of chemo but then he dropped 50lbs in a weekend and woke up without a beard. Now I’m freaked out.
I’m turning 26 this month and regularly smoke marijuana. As a joke I gave my mom some cannabis infused gummies to give him. He told her he hasn’t smoked weed in 20 years and is scared to try what’s currently out there. He says when he was coming up there was two types of weed “skunk” and “crippy” now he’s overwhelmed by the variety is is steering clear of weed out of fear. 
We live in Florida where weed is essentially decriminalized and the gummies were purchased locally at a convention in Kissimmee. 
Personally, I am pro recreational use but skeptical about about medicinal use. In the past I’ve viewed medical marijuana as a facade with little science to back it up but now I believe that at the very least weed will increase his appetite and reduce some of his nasesu and anxiety. 
Initially I was afraid that he would be upset that I brought drugs into his house and had my mother transport them but my mom said he mearly laughed and thanked me for the gesture. 
While I liked that I could make him laugh I am forreal about him taking what I consider  medication to treat his post chemo condition . 
How should I convince my estranged father to try what he would otherwise condemn as drug abuse to treat his cancer?</t>
        </is>
      </c>
      <c r="D10357" t="n">
        <v>1</v>
      </c>
      <c r="E10357" t="n">
        <v>9</v>
      </c>
      <c r="F10357">
        <f>HYPERLINK("https://www.reddit.com/r/cancer/comments/htdi17/i_25f_gave_my_estranged_father_48m_weed_gummies/")</f>
        <v/>
      </c>
      <c r="G10357" t="inlineStr">
        <is>
          <t>2020-07-18 01:49:31</t>
        </is>
      </c>
      <c r="H10357" t="inlineStr"/>
    </row>
    <row r="10358">
      <c r="A10358" t="inlineStr">
        <is>
          <t>htj78q</t>
        </is>
      </c>
      <c r="B10358" t="inlineStr">
        <is>
          <t>Question about RCC treatment.</t>
        </is>
      </c>
      <c r="C10358" t="inlineStr">
        <is>
          <t>Hey everyone.
So I have a question that'll I ask at the end but a quick summary about me.
I'm coming up on my 1 year anniversary on being diagnosed with stage 4 kidney cancer (RCC).
I  was diagnosed after a trip to the ER last year. I had been at work earlier that day using the bathroom when my urine was suddenly red. It had cleared up after that, so I figured I'd go to the doctor after my work weekend. Well, I woke up later that night because I couldn't urinate. I had blood clots. ER did a CT and showed me my massive kidney tumor.
I have tumors on my lungs, chest lymph nodes, and of course my kidney.
I've been doing Keytruda and Inlyta since last year and I've had roughly a 70% decrease in size, by volume, of my kidney tumor.
My oncologist is happy with my progress. I've had minimal side effects so he's interested in trying a new protocol. Basically doubling my dose of  Keytruda to go every 6 weeks instead of every 3. Has anyone done this protocol? I  would love to only go every 6 weeks, so I went ahead and going to try it, but was just curious if anyone else had been on this?
Thanks.
Baaric</t>
        </is>
      </c>
      <c r="D10358" t="n">
        <v>1</v>
      </c>
      <c r="E10358" t="n">
        <v>0</v>
      </c>
      <c r="F10358">
        <f>HYPERLINK("https://www.reddit.com/r/cancer/comments/htj78q/question_about_rcc_treatment/")</f>
        <v/>
      </c>
      <c r="G10358" t="inlineStr">
        <is>
          <t>2020-07-18 09:15:50</t>
        </is>
      </c>
      <c r="H10358" t="inlineStr">
        <is>
          <t xml:space="preserve">Patient </t>
        </is>
      </c>
    </row>
    <row r="10359">
      <c r="A10359" t="inlineStr">
        <is>
          <t>htjctj</t>
        </is>
      </c>
      <c r="B10359" t="inlineStr">
        <is>
          <t>I love my "good" week.</t>
        </is>
      </c>
      <c r="C10359" t="inlineStr">
        <is>
          <t>I get an infusion of FOLFOX and Vectibix every two weeks. The first week is really hard with lots of fatigue and upset stomach. Somewhere around day five or six my energy returns in my stomach settles down and that's how I can tell my "good" week is starting. The sun shines a little brighter, my food tastes a little better, and I remember what I'm fighting for. My optimism gets stronger and all the suffering seems worth it. Little things like a chill from goosebumps are treasured moments, and I'm thrilled to still be here.
I'm wishing you all strength, and lots of good days ahead.</t>
        </is>
      </c>
      <c r="D10359" t="n">
        <v>57</v>
      </c>
      <c r="E10359" t="n">
        <v>31</v>
      </c>
      <c r="F10359">
        <f>HYPERLINK("https://www.reddit.com/r/cancer/comments/htjctj/i_love_my_good_week/")</f>
        <v/>
      </c>
      <c r="G10359" t="inlineStr">
        <is>
          <t>2020-07-18 09:24:59</t>
        </is>
      </c>
      <c r="H10359" t="inlineStr"/>
    </row>
    <row r="10360">
      <c r="A10360" t="inlineStr">
        <is>
          <t>htk0dy</t>
        </is>
      </c>
      <c r="B10360" t="inlineStr">
        <is>
          <t>Stage 4 and work</t>
        </is>
      </c>
      <c r="C10360" t="inlineStr">
        <is>
          <t>I have stage 4 cancer. Just finished chemo for the third time. This time it was taxol and two other drugs. Im mentally bored out of my mind. I want to work again but its been 3 years since ive been out of  my chosen career. IT video streaming ect. Is my specialty. 
Whats the reality of me getting a well paid job again? Its important for my mental health i find a way to be productive. Do people hire people like me? Ive tried to keep up with my craft while fighting cancer but it hasnt been easy. Thoughts? I also lost my left arm so thats an obstacle too. People will see me as truly disabled which i am but im still able to work to a degree. Is there an organization that  offers assistance getting back to a productive career? I cant take any job due to financial considerations. I previously made 150k per year. Id be willing to work for half that if the position was good and the opportunity was there to move back into a higher level position once i got my feet wet again. Any advice (esp in the IT field) is much appreciated. Part of me regrets the fact i didnt try to work during treatment but its only recently im feeling good enough to work.
Ideally it would be part time but i dunno if thats a real option or if im just dreaming.</t>
        </is>
      </c>
      <c r="D10360" t="n">
        <v>3</v>
      </c>
      <c r="E10360" t="n">
        <v>15</v>
      </c>
      <c r="F10360">
        <f>HYPERLINK("https://www.reddit.com/r/cancer/comments/htk0dy/stage_4_and_work/")</f>
        <v/>
      </c>
      <c r="G10360" t="inlineStr">
        <is>
          <t>2020-07-18 10:03:34</t>
        </is>
      </c>
      <c r="H10360" t="inlineStr"/>
    </row>
    <row r="10361">
      <c r="A10361" t="inlineStr">
        <is>
          <t>htmmij</t>
        </is>
      </c>
      <c r="B10361" t="inlineStr">
        <is>
          <t>Body Modification post cancer treatment?</t>
        </is>
      </c>
      <c r="C10361" t="inlineStr">
        <is>
          <t>I've been off chemo and radiation for a little over a year at this point and got declared in remission. I was wondering - has anyone done something like scarification after their treatment was complete? I know I'm kind of a unique case in the sense that my skin's been altered from the chemo and radiation (I notice I bruise and scar a lot easier than before treatments/cancer for example). 
The only time a wound has keloid was over my port but I think that's a unique case. Would a visit to the dermatologist help clear things up? I don't think mine has dealt with a scarification patient and I just feel like I'm going to be negatively judged if I brought this up with her.</t>
        </is>
      </c>
      <c r="D10361" t="n">
        <v>1</v>
      </c>
      <c r="E10361" t="n">
        <v>9</v>
      </c>
      <c r="F10361">
        <f>HYPERLINK("https://www.reddit.com/r/cancer/comments/htmmij/body_modification_post_cancer_treatment/")</f>
        <v/>
      </c>
      <c r="G10361" t="inlineStr">
        <is>
          <t>2020-07-18 12:34:57</t>
        </is>
      </c>
      <c r="H10361" t="inlineStr"/>
    </row>
    <row r="10362">
      <c r="A10362" t="inlineStr">
        <is>
          <t>hto6hn</t>
        </is>
      </c>
      <c r="B10362" t="inlineStr">
        <is>
          <t>Just a rant</t>
        </is>
      </c>
      <c r="C10362" t="inlineStr">
        <is>
          <t>I was diagnosed with stage IV Melanoma two days after Christmas 2019. Had surgery to remove the two biggest tumors on my back but have activity in my lymph nodes and a nodule on my right lung. I've done four rounds of Yervoy and Opdivo followed by two rounds of just Opdivo by itself but we've had to stop treatment because I developed autoimmune hepatitis. 
My last PET scan showed the nodule on my lung has shrunk by more than half but my lymph nodes were more active, my oncologist was not worried about that though he thinks my immune system is really ramped up and just dealing with a lot of infection. I'm just so frustrated right now since we've had to stop treatment. I hate my body for attacking itself. I've been on disability for a few months and just feel so worthless not being able to contribute more.
I'm stuck in bed most days or if I feel ok and I try to clean or just do things like I used to the next day I'm racked with pain in my knees and ankles. My thyroid is shot, my ALT levels are high right now and it just sucks. I'm having a pity party for myself right now and just wanted to vent about it! 
Thank you for coming to my TED talk haha and fuck cancer.</t>
        </is>
      </c>
      <c r="D10362" t="n">
        <v>53</v>
      </c>
      <c r="E10362" t="n">
        <v>42</v>
      </c>
      <c r="F10362">
        <f>HYPERLINK("https://www.reddit.com/r/cancer/comments/hto6hn/just_a_rant/")</f>
        <v/>
      </c>
      <c r="G10362" t="inlineStr">
        <is>
          <t>2020-07-18 14:05:20</t>
        </is>
      </c>
      <c r="H10362" t="inlineStr">
        <is>
          <t xml:space="preserve">Patient </t>
        </is>
      </c>
    </row>
    <row r="10363">
      <c r="A10363" t="inlineStr">
        <is>
          <t>htqzs0</t>
        </is>
      </c>
      <c r="B10363" t="inlineStr">
        <is>
          <t>Grandmother is losing the fight and I need a place to vent</t>
        </is>
      </c>
      <c r="C10363" t="inlineStr">
        <is>
          <t>My grandmother was diagnosed 3 years ago with a brain tumor, along with a lung tumor. Back then, they gave her half a year to live, because removing it would be dangerous at her age. They eventually did do the procedure and just before Covid started in my country, they declared her clean and she'd needed to come back in 6 months for a checkup. 
Things turned bad last month and when they did a scan to see what's causing the pain, they found way more metastates. This wednesday, my mom called during my workhours (which she never does) and the only thing she could say was "grandma is not doing well. Please come by tomorrow asap" Went over and we were told she's pretty much on her last couple days right now. She can barely speak a word, can't eat or walk anymore. Every movement hurts and she is highly on morphine along with other meds to keep her comfortable. But even that isn't even enough to numb to pain.
My grandfather told me in tears that she was screaming it out in pain when the ambulance came to get her on Monday, because she wasn't responding to him. They took her to the hospital and it took them 4 hours to give her the proper treatment and attention. My mom told me that police were called, because my grandfather flipped out in anger because he feels like everyone in the healthcare failed him.
I'm just so full of shit emotions right now. I feel his frustrations and the sense of having absolutely no power in this process. And I feel so heartbroken seeing my grandmother in such a state. 
And I feel like I'm not prepared for that inevitable call... It sucks hard...</t>
        </is>
      </c>
      <c r="D10363" t="n">
        <v>10</v>
      </c>
      <c r="E10363" t="n">
        <v>5</v>
      </c>
      <c r="F10363">
        <f>HYPERLINK("https://www.reddit.com/r/cancer/comments/htqzs0/grandmother_is_losing_the_fight_and_i_need_a/")</f>
        <v/>
      </c>
      <c r="G10363" t="inlineStr">
        <is>
          <t>2020-07-18 17:02:37</t>
        </is>
      </c>
      <c r="H10363" t="inlineStr"/>
    </row>
    <row r="10364">
      <c r="A10364" t="inlineStr">
        <is>
          <t>htu6a9</t>
        </is>
      </c>
      <c r="B10364" t="inlineStr">
        <is>
          <t>Seeking support in RI for a family member</t>
        </is>
      </c>
      <c r="C10364" t="inlineStr">
        <is>
          <t>A family member (37F) has recently been diagnosed with cancer. She's in Providence. I'd like to be able to direct her to some support groups or resources (not financial, just information and discussion). We're trying to be as supportive as possible but I think it might help for her to have people who have been there and who understand.
I thought Gilda's Club might be a good resource but they don't seem to have a chapter in RI. Can anyone recommend anything? I realize a lot is available online right now and in that sense location isn't always important. But we don't know how long this journey might be and I think there are benefits to talking to people who are familiar with the local hospitals and doctors and have those shared experiences.
Hopefully this doesn't break the rule against solicitations. I'm just not sure where to turn and she and I already have such completely different experiences with interacting with the medical system (she hates medical tests etc.)</t>
        </is>
      </c>
      <c r="D10364" t="n">
        <v>6</v>
      </c>
      <c r="E10364" t="n">
        <v>4</v>
      </c>
      <c r="F10364">
        <f>HYPERLINK("https://www.reddit.com/r/cancer/comments/htu6a9/seeking_support_in_ri_for_a_family_member/")</f>
        <v/>
      </c>
      <c r="G10364" t="inlineStr">
        <is>
          <t>2020-07-18 20:49:52</t>
        </is>
      </c>
      <c r="H10364" t="inlineStr"/>
    </row>
    <row r="10365">
      <c r="A10365" t="inlineStr">
        <is>
          <t>hu1d7e</t>
        </is>
      </c>
      <c r="B10365" t="inlineStr">
        <is>
          <t>Any glioblastoma survivors here?</t>
        </is>
      </c>
      <c r="C10365" t="inlineStr">
        <is>
          <t>Hi all, recently got a glioblastoma diagnosis, and have a biopsy scheduled. What I wanted to ask was any glioblastoma survivors here?</t>
        </is>
      </c>
      <c r="D10365" t="n">
        <v>14</v>
      </c>
      <c r="E10365" t="n">
        <v>23</v>
      </c>
      <c r="F10365">
        <f>HYPERLINK("https://www.reddit.com/r/cancer/comments/hu1d7e/any_glioblastoma_survivors_here/")</f>
        <v/>
      </c>
      <c r="G10365" t="inlineStr">
        <is>
          <t>2020-07-19 07:29:27</t>
        </is>
      </c>
      <c r="H10365" t="inlineStr">
        <is>
          <t xml:space="preserve">Patient </t>
        </is>
      </c>
    </row>
    <row r="10366">
      <c r="A10366" t="inlineStr">
        <is>
          <t>hu1euf</t>
        </is>
      </c>
      <c r="B10366" t="inlineStr">
        <is>
          <t>How to stay sane?</t>
        </is>
      </c>
      <c r="C10366" t="inlineStr">
        <is>
          <t>I’m a 24 year old male who is having a hard time keeping it together. At 23 I was diagnosed with colon cancer stage three. I had a total colectomy and then six months of chemo. I got through it all and thought I was in the clear. My first CT afterwards showed a spot to watch in my lymph nodes but was still considered normal. I just went in for my second scan though and all of the sudden I have 2 peritoneal masses, one on each side of my body. Along with that I now need a PET scan to see where else it is even though last CT said everything besides those masses look fine. 
I just have to know good strategies other people who had recurrent cancer used to stay sane and put together. This was my worst fear, even the idea of it happening made me want to lose it and now it’s actually here.
TL/DR: I have recurrent colon cancer and I feel very defeated and upset. What are tips from other people with recurrent cancer in order to not completely breakdown?</t>
        </is>
      </c>
      <c r="D10366" t="n">
        <v>57</v>
      </c>
      <c r="E10366" t="n">
        <v>61</v>
      </c>
      <c r="F10366">
        <f>HYPERLINK("https://www.reddit.com/r/cancer/comments/hu1euf/how_to_stay_sane/")</f>
        <v/>
      </c>
      <c r="G10366" t="inlineStr">
        <is>
          <t>2020-07-19 07:32:19</t>
        </is>
      </c>
      <c r="H10366" t="inlineStr">
        <is>
          <t xml:space="preserve">Patient </t>
        </is>
      </c>
    </row>
    <row r="10367">
      <c r="A10367" t="inlineStr">
        <is>
          <t>hu23ca</t>
        </is>
      </c>
      <c r="B10367" t="inlineStr">
        <is>
          <t>Testicular Cancer: Chance of Survival</t>
        </is>
      </c>
      <c r="C10367" t="inlineStr">
        <is>
          <t>Hi guys,
Wondering if anyone can help me out here. Someone I know was diagnosed with testicular cancer earlier this month. They’ve been displaying symptoms since March (inc. lower back pain), and the cancer has spread to his lungs.
He’s waiting for more information, but expects to start Chemotherapy next week and is quite optimistic. Does anyone know I should expect, after what I’ve described?
Sorry, I don’t know any more - only what I’ve described above. Thanks so much guys.</t>
        </is>
      </c>
      <c r="D10367" t="n">
        <v>0</v>
      </c>
      <c r="E10367" t="n">
        <v>6</v>
      </c>
      <c r="F10367">
        <f>HYPERLINK("https://www.reddit.com/r/cancer/comments/hu23ca/testicular_cancer_chance_of_survival/")</f>
        <v/>
      </c>
      <c r="G10367" t="inlineStr">
        <is>
          <t>2020-07-19 08:16:54</t>
        </is>
      </c>
      <c r="H10367" t="inlineStr"/>
    </row>
    <row r="10368">
      <c r="A10368" t="inlineStr">
        <is>
          <t>hu28j0</t>
        </is>
      </c>
      <c r="B10368" t="inlineStr">
        <is>
          <t>Getting my port out tomorrow!</t>
        </is>
      </c>
      <c r="C10368" t="inlineStr">
        <is>
          <t>Just so happy I can hopefully fully move on and get back to the gym and playing football when everything reopens! Really relived as well because I thought I’d be waiting for ages with the huge waiting lists at the moment.</t>
        </is>
      </c>
      <c r="D10368" t="n">
        <v>30</v>
      </c>
      <c r="E10368" t="n">
        <v>19</v>
      </c>
      <c r="F10368">
        <f>HYPERLINK("https://www.reddit.com/r/cancer/comments/hu28j0/getting_my_port_out_tomorrow/")</f>
        <v/>
      </c>
      <c r="G10368" t="inlineStr">
        <is>
          <t>2020-07-19 08:26:09</t>
        </is>
      </c>
      <c r="H10368" t="inlineStr"/>
    </row>
    <row r="10369">
      <c r="A10369" t="inlineStr">
        <is>
          <t>hu2bhp</t>
        </is>
      </c>
      <c r="B10369" t="inlineStr">
        <is>
          <t>If you've spent significant time in the hospital...</t>
        </is>
      </c>
      <c r="C10369" t="inlineStr">
        <is>
          <t>I just spent 10 days in the hospital and now that I'm back home, I'm having trouble sleeping. In order to help me adjust to the non-hospital environment, I'm designing a white noise machine to simulate the hospital ambiance:
\- Lots of beeping  
\- Every couple of hours, it yells "NURSE. HELP ME. NURSE"  
\- As an alarm clock feature, it stabs you at 5 am. You cannot change the alarm time.
&amp;amp;#x200B;
Any other features that you think such a device would need?</t>
        </is>
      </c>
      <c r="D10369" t="n">
        <v>39</v>
      </c>
      <c r="E10369" t="n">
        <v>43</v>
      </c>
      <c r="F10369">
        <f>HYPERLINK("https://www.reddit.com/r/cancer/comments/hu2bhp/if_youve_spent_significant_time_in_the_hospital/")</f>
        <v/>
      </c>
      <c r="G10369" t="inlineStr">
        <is>
          <t>2020-07-19 08:31:23</t>
        </is>
      </c>
      <c r="H10369" t="inlineStr"/>
    </row>
    <row r="10370">
      <c r="A10370" t="inlineStr">
        <is>
          <t>hu41mf</t>
        </is>
      </c>
      <c r="B10370" t="inlineStr">
        <is>
          <t>Stream of consciousness.</t>
        </is>
      </c>
      <c r="C10370" t="inlineStr">
        <is>
          <t>I just needed a place to talk.  My 10yo son just started his second fight against Ewing’s Sarcoma after regressing after only 3months from the end of his first treatment.  We were told 5-10% chance of survival, 6mo-2yr that we likely have left.  I know we shouldn’t listen to those numbers, but it’s hard not to.  This round of treatments, which really have no end in sight, just seems so much harder.  Last time we had so much optimism, this time it’s like every day is so hard to just stand.  I know I’m preparing myself for his death, as much as I try not to think that way I don’t know that I can stop.  My mom died of cancer after her 8year battle when I was 21, and I can’t get her last night out of my mind.  I don’t know how I’m going to survive this, how to stay strong for him when I feel like I’m dying myself.  I need to go now, I don’t even know what I’m looking for from this.  Thanks for, well, whatever.</t>
        </is>
      </c>
      <c r="D10370" t="n">
        <v>3</v>
      </c>
      <c r="E10370" t="n">
        <v>16</v>
      </c>
      <c r="F10370">
        <f>HYPERLINK("https://www.reddit.com/r/cancer/comments/hu41mf/stream_of_consciousness/")</f>
        <v/>
      </c>
      <c r="G10370" t="inlineStr">
        <is>
          <t>2020-07-19 10:15:54</t>
        </is>
      </c>
      <c r="H10370" t="inlineStr"/>
    </row>
    <row r="10371">
      <c r="A10371" t="inlineStr">
        <is>
          <t>hu5w71</t>
        </is>
      </c>
      <c r="B10371" t="inlineStr">
        <is>
          <t>Undifferentiated Uterine Sarcoma</t>
        </is>
      </c>
      <c r="C10371" t="inlineStr">
        <is>
          <t>I recently had a close family member be diagnosed with stage 3 undifferentiated uterine sarcoma.
She is 45F, diagnosed three weeks ago (no symptoms before that), and received surgery two weeks ago to remove the uterus, ovaries, fallopian tubes, and numerous infected lymph nodes. She is starting chemo soon but has experienced extreme weight loss (\~10kg) due to the surgery alone.
It seems to be a quite rare and extremely aggressive cancer and I would love some more insight into what we might be dealing with from here on out.. 
If anyone here has had experience with this cancer (personally or through family/acquaintances), would you mind sharing your story (I would also love to PM you)? Thank you.</t>
        </is>
      </c>
      <c r="D10371" t="n">
        <v>5</v>
      </c>
      <c r="E10371" t="n">
        <v>2</v>
      </c>
      <c r="F10371">
        <f>HYPERLINK("https://www.reddit.com/r/cancer/comments/hu5w71/undifferentiated_uterine_sarcoma/")</f>
        <v/>
      </c>
      <c r="G10371" t="inlineStr">
        <is>
          <t>2020-07-19 11:58:11</t>
        </is>
      </c>
      <c r="H10371" t="inlineStr"/>
    </row>
    <row r="10372">
      <c r="A10372" t="inlineStr">
        <is>
          <t>hu6vyp</t>
        </is>
      </c>
      <c r="B10372" t="inlineStr">
        <is>
          <t>I worked on oncology clinical trial and every patient is just a number</t>
        </is>
      </c>
      <c r="C10372" t="inlineStr">
        <is>
          <t>I have been working in various clinical trials as IT guy. Creates reports to submit to fda so drug gets approval, I create the overall survival and progression free survival curves, calculate if disease is stable, progressed or complete response or partial. 
I always says it is greed of Pharma companies that they want to invest more in finding drug for better quality of life than cure cancer, because cure is one time customer, and profitable business needs repeated customer 😔. 
My paternal grand father had cancer, my maternal grand mother had cancer. Recently my mom diagnosed with colorectal cancer. I feel so helpless, I can’t find cure for this disease, I am not educated in medical field, I wish I can cure this. Silly me before going to bed I pray to god every night that please give me powers so I can cure this disease and I will heal each and every one of human from this disease on my own expenses. I hate this disease, i know we all will die but cancer is mentally and physically painful. I wish this can be easily treatable.</t>
        </is>
      </c>
      <c r="D10372" t="n">
        <v>7</v>
      </c>
      <c r="E10372" t="n">
        <v>20</v>
      </c>
      <c r="F10372">
        <f>HYPERLINK("https://www.reddit.com/r/cancer/comments/hu6vyp/i_worked_on_oncology_clinical_trial_and_every/")</f>
        <v/>
      </c>
      <c r="G10372" t="inlineStr">
        <is>
          <t>2020-07-19 12:54:04</t>
        </is>
      </c>
      <c r="H10372" t="inlineStr"/>
    </row>
    <row r="10373">
      <c r="A10373" t="inlineStr">
        <is>
          <t>hu7xpy</t>
        </is>
      </c>
      <c r="B10373" t="inlineStr">
        <is>
          <t>It's been six months.</t>
        </is>
      </c>
      <c r="C10373" t="inlineStr">
        <is>
          <t>It's been six months since my dad passed.
Man, everything feels so unreal. It's like he's just out on a vacation or something. I keep waiting for him to come bursting through our front door.
Is my mind in denial?
This is a hard subject to talk about even with trusted adults, so i won't talk much about him right now- unless i feel extra sad. Depends.
I feel like garbage. It's so lonely in this godforsaken house. I'm actually getting into group therapy, so that's good...but not an ideal thing, (to me at least) 
Thanks for reading my vent.</t>
        </is>
      </c>
      <c r="D10373" t="n">
        <v>10</v>
      </c>
      <c r="E10373" t="n">
        <v>10</v>
      </c>
      <c r="F10373">
        <f>HYPERLINK("https://www.reddit.com/r/cancer/comments/hu7xpy/its_been_six_months/")</f>
        <v/>
      </c>
      <c r="G10373" t="inlineStr">
        <is>
          <t>2020-07-19 13:53:45</t>
        </is>
      </c>
      <c r="H10373" t="inlineStr"/>
    </row>
    <row r="10374">
      <c r="A10374" t="inlineStr">
        <is>
          <t>hu8m23</t>
        </is>
      </c>
      <c r="B10374" t="inlineStr">
        <is>
          <t>Should I contact a friend with cancer?</t>
        </is>
      </c>
      <c r="C10374" t="inlineStr">
        <is>
          <t>My friend is struggling with advanced bone and liver cancer following breast cancer.  I just found out today.  It doesn't sound like there's much good news. I want to reach out to say goodbye. I can't visit because of covid (She's in Kansas; I am in Europe), but her blog is about focusing on being positive and surviving. Can any cancer victims/survivors guide me on how to not be an asshole? I want to tell her how much she means to me, but I don't want to put her in a position where she has to comfort me on top of trying to get through her treatment. She is surrounded with loving parents, children, husband, and friends, and we haven't been terribly close in the last 20 years.  Should I contact her at all?</t>
        </is>
      </c>
      <c r="D10374" t="n">
        <v>34</v>
      </c>
      <c r="E10374" t="n">
        <v>61</v>
      </c>
      <c r="F10374">
        <f>HYPERLINK("https://www.reddit.com/r/cancer/comments/hu8m23/should_i_contact_a_friend_with_cancer/")</f>
        <v/>
      </c>
      <c r="G10374" t="inlineStr">
        <is>
          <t>2020-07-19 14:32:08</t>
        </is>
      </c>
      <c r="H10374" t="inlineStr"/>
    </row>
    <row r="10375">
      <c r="A10375" t="inlineStr">
        <is>
          <t>hub70s</t>
        </is>
      </c>
      <c r="B10375" t="inlineStr">
        <is>
          <t>HL tx trigger lupus?</t>
        </is>
      </c>
      <c r="C10375" t="inlineStr">
        <is>
          <t>I'm about 1 year post op for chemo and radiation. I've noticed lately my face (nose and around cheek bones) chronically are looking flushed. IDK if it's because my skin just became hella more sensitive to sunlight or if it's a classic sign of lupus? I had hodgkins lymphoma stage 2.
My question is: had lupus triggered for anyone post treatment? My HL was considered a blood cancer. IDK if I have other signs/symptoms because I have multiple chronic illnesses that seem to have symptoms similar to lupus :/ 
I have zero idea what my family history is because I'm adopted.</t>
        </is>
      </c>
      <c r="D10375" t="n">
        <v>0</v>
      </c>
      <c r="E10375" t="n">
        <v>0</v>
      </c>
      <c r="F10375">
        <f>HYPERLINK("https://www.reddit.com/r/cancer/comments/hub70s/hl_tx_trigger_lupus/")</f>
        <v/>
      </c>
      <c r="G10375" t="inlineStr">
        <is>
          <t>2020-07-19 17:11:05</t>
        </is>
      </c>
      <c r="H10375" t="inlineStr"/>
    </row>
    <row r="10376">
      <c r="A10376" t="inlineStr">
        <is>
          <t>hud6x9</t>
        </is>
      </c>
      <c r="B10376" t="inlineStr">
        <is>
          <t>Appendix Cancer and ranitidine question.</t>
        </is>
      </c>
      <c r="C10376" t="inlineStr">
        <is>
          <t>Hello all, I recently noticed appendix cancer falls inline with the gastro intestinal cancers that all of these lawsuits against Zantac and ranitidine have been talking about.  Since appendix cancer is so rare there is not a whole lot of information on it out there.  I’ve taken Zantac and it’s generics for the better part of my adult life and now I’m wondering if it may have a part to play in why I had appendix cancer.  So I was wondering has anyone who has been diagnosed with appendix cancer also been using Zantac products?  I suppose like a lot of people I want answers as to why this happened to me.</t>
        </is>
      </c>
      <c r="D10376" t="n">
        <v>1</v>
      </c>
      <c r="E10376" t="n">
        <v>9</v>
      </c>
      <c r="F10376">
        <f>HYPERLINK("https://www.reddit.com/r/cancer/comments/hud6x9/appendix_cancer_and_ranitidine_question/")</f>
        <v/>
      </c>
      <c r="G10376" t="inlineStr">
        <is>
          <t>2020-07-19 19:25:36</t>
        </is>
      </c>
      <c r="H10376" t="inlineStr"/>
    </row>
    <row r="10377">
      <c r="A10377" t="inlineStr">
        <is>
          <t>hudn48</t>
        </is>
      </c>
      <c r="B10377" t="inlineStr">
        <is>
          <t>First Reddit Post! Recently started Chemo for HL II b, and had a few questions for other women going through treatments. (25F)</t>
        </is>
      </c>
      <c r="C10377" t="inlineStr">
        <is>
          <t>Hi there, this is my first reddit post as a lurker since my diagnosis. 
I started my first round of chemotherapy two weeks ago, and my oncoloy team is insanely busy dealing with COVID-19 protocols, overwhelmed etc. It's hard to ask them questions about certain things when they're so busy, I don't want to take another patient's time away. I'm a 25 year old female, previously healthy and in great shape.
Right now I've started experiencing general malaise, extreme fatigue, constant nausea, and as of this morning about 40% of my hair came out in the shower.
I wanted to reach out and ask some general comfort questions, and I'd be happy to answer any as well! I'm not very fair into treatment, but any advice will help going forward.
 Are there any vitams/supplements or medications I can take to knock any edge off of the fatigue? My husband goes out of town for work every 2 weeks, and I feel guilty being able to contribute almost nothing socially to my friends and family, and general house work. 
 What helps you personally with nausea? I have emetrol and dromamine, but they do nothing that I've noticed. Im sticking to my usual diet, with a few cutbacks in high sugar and carb foods, as per my doctor's recommendations.  Are there any solutions you've found to combat the constant terrible feeling swirling in your stomach?
 I've been dropping weight rapidly, I weighed 97 lbs prior to starting chemo, and two weeks in I'm teetering at 88.  My mom cries constantly when she sees me, and it breaks my heart. Ill take any weight gain situation I can stomach.
Lastly, I think it's time to start investing in some natural looking, easy-to-use wigs in case of company, to feel a little more confident etc.  What are some companies you've had good feedback with that make wigs that don't look like they came from the spirit Halloween store 😂 I have no experience with them, and would love to start ordering now.
Thank you so, so much reddit 💕 I feel for everyone affected by this life sucking parasite of a disease, and I'm only beginning my journey.</t>
        </is>
      </c>
      <c r="D10377" t="n">
        <v>2</v>
      </c>
      <c r="E10377" t="n">
        <v>35</v>
      </c>
      <c r="F10377">
        <f>HYPERLINK("https://www.reddit.com/r/cancer/comments/hudn48/first_reddit_post_recently_started_chemo_for_hl/")</f>
        <v/>
      </c>
      <c r="G10377" t="inlineStr">
        <is>
          <t>2020-07-19 19:56:54</t>
        </is>
      </c>
      <c r="H10377" t="inlineStr"/>
    </row>
    <row r="10378">
      <c r="A10378" t="inlineStr">
        <is>
          <t>hudz4t</t>
        </is>
      </c>
      <c r="B10378" t="inlineStr">
        <is>
          <t>The American Red Cross has changed its guidelines on who can donate blood - this is integral for helping cancer patients. MSM, women who have sex with MSM, former IVDU can now donate!</t>
        </is>
      </c>
      <c r="C10378" t="inlineStr">
        <is>
          <t>Hi friends. I'm not sure if this is the right sub for this, but I just learned that the American Red Cross updated its donation guidelines (as of last month). This will allow some people, who may have had a more stringent 12 month ban, or even lifetime ban on blood donation, to donate blood. Anyone who has gone through chemo or watched a loved one go through it may be familiar with the hit it can have on your counts, and how donating blood can be part of a lifesaving treatment for cancer patients. I was just so excited to hear this news, and I wanted to share it, in hopes that people who have been turned down for blood donations in the past go make that effort to help another person again.</t>
        </is>
      </c>
      <c r="D10378" t="n">
        <v>13</v>
      </c>
      <c r="E10378" t="n">
        <v>8</v>
      </c>
      <c r="F10378">
        <f>HYPERLINK("https://www.reddit.com/r/cancer/comments/hudz4t/the_american_red_cross_has_changed_its_guidelines/")</f>
        <v/>
      </c>
      <c r="G10378" t="inlineStr">
        <is>
          <t>2020-07-19 20:20:21</t>
        </is>
      </c>
      <c r="H10378" t="inlineStr"/>
    </row>
    <row r="10379">
      <c r="A10379" t="inlineStr">
        <is>
          <t>hufyiu</t>
        </is>
      </c>
      <c r="B10379" t="inlineStr">
        <is>
          <t>Tell me your story</t>
        </is>
      </c>
      <c r="C10379" t="inlineStr">
        <is>
          <t>I imagine things are tough right now. Maybe you've never told your story or never got the chance. If you feel comfortable enough please tell me what your story is and how you've been able to overcome and/it about the support you've gotten from those around you. Maybe this could help someone else going through what you're going through. I wish you all the best and hope you're able to live a happy and loving life! You're so strong for making it this far</t>
        </is>
      </c>
      <c r="D10379" t="n">
        <v>5</v>
      </c>
      <c r="E10379" t="n">
        <v>15</v>
      </c>
      <c r="F10379">
        <f>HYPERLINK("https://www.reddit.com/r/cancer/comments/hufyiu/tell_me_your_story/")</f>
        <v/>
      </c>
      <c r="G10379" t="inlineStr">
        <is>
          <t>2020-07-19 22:52:06</t>
        </is>
      </c>
      <c r="H10379" t="inlineStr"/>
    </row>
    <row r="10380">
      <c r="A10380" t="inlineStr">
        <is>
          <t>hugy93</t>
        </is>
      </c>
      <c r="B10380" t="inlineStr">
        <is>
          <t>First signs of breast cancer for you?</t>
        </is>
      </c>
      <c r="C10380" t="inlineStr">
        <is>
          <t>What were the first things you noticed before being diagnosed</t>
        </is>
      </c>
      <c r="D10380" t="n">
        <v>0</v>
      </c>
      <c r="E10380" t="n">
        <v>16</v>
      </c>
      <c r="F10380">
        <f>HYPERLINK("https://www.reddit.com/r/cancer/comments/hugy93/first_signs_of_breast_cancer_for_you/")</f>
        <v/>
      </c>
      <c r="G10380" t="inlineStr">
        <is>
          <t>2020-07-20 00:16:40</t>
        </is>
      </c>
      <c r="H10380" t="inlineStr"/>
    </row>
    <row r="10381">
      <c r="A10381" t="inlineStr">
        <is>
          <t>huh5d5</t>
        </is>
      </c>
      <c r="B10381" t="inlineStr">
        <is>
          <t>Hpv throat cancer</t>
        </is>
      </c>
      <c r="C10381" t="inlineStr">
        <is>
          <t>What was your symptoms of hpv throat cancer??</t>
        </is>
      </c>
      <c r="D10381" t="n">
        <v>0</v>
      </c>
      <c r="E10381" t="n">
        <v>4</v>
      </c>
      <c r="F10381">
        <f>HYPERLINK("https://www.reddit.com/r/cancer/comments/huh5d5/hpv_throat_cancer/")</f>
        <v/>
      </c>
      <c r="G10381" t="inlineStr">
        <is>
          <t>2020-07-20 00:35:01</t>
        </is>
      </c>
      <c r="H10381" t="inlineStr"/>
    </row>
    <row r="10382">
      <c r="A10382" t="inlineStr">
        <is>
          <t>hui2a2</t>
        </is>
      </c>
      <c r="B10382" t="inlineStr">
        <is>
          <t>How to prepare my body for chemo??</t>
        </is>
      </c>
      <c r="C10382" t="inlineStr">
        <is>
          <t>Hello!
Quick backstory - I'm 27 and I have stage 4 bowel cancer with met to ovary. I've had tumours removed from bowel and ovary, and a ileostomy formed, across 3 laparotomies in the space of 6 weeks. The 3rd op almost killed me off, it was brutal and I spent 3 weeks in hospital. I've lost 2 stone, I only weigh 8 stone currently and struggling to put weight on but generally starting to feel stronger since my last surgery (21st of June).
I am starting chemo soon and wondering what I can do to best prepare my body? Obviously I really need to get some weight on, I'm drinking a Skandishake each day and eating 3 meals plus snacks but not really seeing much gain at the moment. I'm also going out for a 20-30 minute walk each day to try and build my muscles up. I'm still pretty weak (I was very fit before all of this). Anything else I can do? I was in such a bad way after my 3rd surgery, I am dreading feeling that deathly again so want to give myself a fighting chance!!</t>
        </is>
      </c>
      <c r="D10382" t="n">
        <v>2</v>
      </c>
      <c r="E10382" t="n">
        <v>49</v>
      </c>
      <c r="F10382">
        <f>HYPERLINK("https://www.reddit.com/r/cancer/comments/hui2a2/how_to_prepare_my_body_for_chemo/")</f>
        <v/>
      </c>
      <c r="G10382" t="inlineStr">
        <is>
          <t>2020-07-20 02:03:15</t>
        </is>
      </c>
      <c r="H10382" t="inlineStr"/>
    </row>
    <row r="10383">
      <c r="A10383" t="inlineStr">
        <is>
          <t>huiu4l</t>
        </is>
      </c>
      <c r="B10383" t="inlineStr">
        <is>
          <t>Stage 4 lung cancer</t>
        </is>
      </c>
      <c r="C10383" t="inlineStr">
        <is>
          <t>Hey guys.   My grandma on my dads side was just diagnosed Thursday afternoon with stage 4. She’s 92. It’s also spread to her liver. There is nothing they can really do given her age. 
I personally feel like a pos.  Because of my dad and how horrible he’s treated me I cut all of his side of the family off, so I haven’t even spoken to my grandparents for almost 2 years, give or take a couple of months.  
She will he coming back to her home today to be on hospice.  No one knows exactly how long she has and because of that and my work schedule I plan on seeing her on Thursday not to say goodbye but just to see her and let her know I do in fact love her.  Other than that I have no clue what to say.  My dad, I know, is a wreck inside.  And so is my older sister who lived with my grandparents for a while.  Neither is saying much but they’re both people who just don’t let emotions get the best of them.  I’m a wreck.  
I’m just wanting advice as to what to say to my grandma and also be a sounding board for my dad and sister.  I know they’ll be somewhat lost without her for a while.</t>
        </is>
      </c>
      <c r="D10383" t="n">
        <v>20</v>
      </c>
      <c r="E10383" t="n">
        <v>27</v>
      </c>
      <c r="F10383">
        <f>HYPERLINK("https://www.reddit.com/r/cancer/comments/huiu4l/stage_4_lung_cancer/")</f>
        <v/>
      </c>
      <c r="G10383" t="inlineStr">
        <is>
          <t>2020-07-20 03:17:18</t>
        </is>
      </c>
      <c r="H10383" t="inlineStr"/>
    </row>
    <row r="10384">
      <c r="A10384" t="inlineStr">
        <is>
          <t>hum0kr</t>
        </is>
      </c>
      <c r="B10384" t="inlineStr">
        <is>
          <t>I have had really bad feeling on my scrotum (ballsack) for a year now</t>
        </is>
      </c>
      <c r="C10384" t="inlineStr">
        <is>
          <t>Its really bad feeling, i can't do anything and it has increased alot in few months and i cant take it anymore..  the thing is i know i need to go to doctor but im afraid and idk can i handle the bad news if there is any.. Im 18 years old boy, and im really shy so i really dont know how to tell my parents about this, it would be big shock...</t>
        </is>
      </c>
      <c r="D10384" t="n">
        <v>0</v>
      </c>
      <c r="E10384" t="n">
        <v>12</v>
      </c>
      <c r="F10384">
        <f>HYPERLINK("https://www.reddit.com/r/cancer/comments/hum0kr/i_have_had_really_bad_feeling_on_my_scrotum/")</f>
        <v/>
      </c>
      <c r="G10384" t="inlineStr">
        <is>
          <t>2020-07-20 07:17:17</t>
        </is>
      </c>
      <c r="H10384" t="inlineStr"/>
    </row>
    <row r="10385">
      <c r="A10385" t="inlineStr">
        <is>
          <t>hum4rl</t>
        </is>
      </c>
      <c r="B10385" t="inlineStr">
        <is>
          <t>Fear of Secondary Cancer from Radioactive Iodine Therapy</t>
        </is>
      </c>
      <c r="C10385" t="inlineStr">
        <is>
          <t>Hello all, 22M here diagnosed with mixed papillary/follicular thyroid cancer 3 months ago. I've posted here before when I was diagnosed but now I'm worried about treatment. Had both of my surgeries previously and had my first thyrogen injection today, another tomorrow then I will receive the treatment. Before the injection I was told all the side effects that can happen and it's just stuck in my head that I can get a secondary cancer (One that's most likely not going to be as treatable). It just seems so counter intuitive to put something inside my body that could cause cancer... Anyone have any positive stories that can keep me going?</t>
        </is>
      </c>
      <c r="D10385" t="n">
        <v>0</v>
      </c>
      <c r="E10385" t="n">
        <v>15</v>
      </c>
      <c r="F10385">
        <f>HYPERLINK("https://www.reddit.com/r/cancer/comments/hum4rl/fear_of_secondary_cancer_from_radioactive_iodine/")</f>
        <v/>
      </c>
      <c r="G10385" t="inlineStr">
        <is>
          <t>2020-07-20 07:24:13</t>
        </is>
      </c>
      <c r="H10385" t="inlineStr"/>
    </row>
    <row r="10386">
      <c r="A10386" t="inlineStr">
        <is>
          <t>hurzln</t>
        </is>
      </c>
      <c r="B10386" t="inlineStr">
        <is>
          <t>Good news from the surgeon today</t>
        </is>
      </c>
      <c r="C10386" t="inlineStr">
        <is>
          <t>Background: 
37m stage IV colon cancer. Colon tumor removed, but ~11 mets on the liver. 9 rounds of FOLFOX + Vectibix so far. Before chemo the surgeon said he couldn't do anything about the liver mets because they were evenly distributed across the liver, but maybe if the chemo worked he could do something down the road.
Today I saw the surgeon (surgical oncologist) again. He looked at my most recent CT scan, and said my response to chemo was "miraculous" and I'm having as good of a response that we could hope for. The biggest spot is the size of a thumbnail, and many of the smaller spots are no longer visible. There's a few scar-like spots he can see.
He wants to do surgery to remove 1/3 of my liver, and also ablate (burn off) any abnormal spots or scar tissue on the remaining liver. He'll also remove my gall bladder because it's in the way. He wants to pause chemo until after I'm recovered from the surgery.
This is what I've been hoping for since the start. I'm a bit nervous about going into surgery again and the recovery. I'm excited to get a couple months off of chemo. If everything goes well, maybe I'll be done with cancer by the end of the year!</t>
        </is>
      </c>
      <c r="D10386" t="n">
        <v>104</v>
      </c>
      <c r="E10386" t="n">
        <v>62</v>
      </c>
      <c r="F10386">
        <f>HYPERLINK("https://www.reddit.com/r/cancer/comments/hurzln/good_news_from_the_surgeon_today/")</f>
        <v/>
      </c>
      <c r="G10386" t="inlineStr">
        <is>
          <t>2020-07-20 12:33:49</t>
        </is>
      </c>
      <c r="H10386" t="inlineStr">
        <is>
          <t xml:space="preserve">Patient </t>
        </is>
      </c>
    </row>
    <row r="10387">
      <c r="A10387" t="inlineStr">
        <is>
          <t>husp3u</t>
        </is>
      </c>
      <c r="B10387" t="inlineStr">
        <is>
          <t>I don't know how to comfort my dying mother</t>
        </is>
      </c>
      <c r="C10387" t="inlineStr">
        <is>
          <t>My mom has been battling Stage IV lung cancer for almost a year now. I've been her primary caregiver for most of that time. She has been declining rapidly the past few weeks and her doctor decided to stop treatment. She sleeps most of the day and she's in a lot of pain. I go visit her almost every week and try to spend as much time with her as possible, but she hardly even talks anymore. She had a doctor appointment today and they said she likely only has weeks left. I knew she was nearing the end but I was still devastated to hear that. I've always been very close to my mom so I'm having a really hard time coping at this point. I can tell she is severely depressed and I feel so helpless because I don't know how to help. It's hard to even have a simple conversation with her. I can't imagine how scared and alone she must feel but I don't know what to do to comfort her. I'm struggling to keep myself together. Any advice on what I can do or say to help her in any way would be appreciated..</t>
        </is>
      </c>
      <c r="D10387" t="n">
        <v>12</v>
      </c>
      <c r="E10387" t="n">
        <v>13</v>
      </c>
      <c r="F10387">
        <f>HYPERLINK("https://www.reddit.com/r/cancer/comments/husp3u/i_dont_know_how_to_comfort_my_dying_mother/")</f>
        <v/>
      </c>
      <c r="G10387" t="inlineStr">
        <is>
          <t>2020-07-20 13:09:44</t>
        </is>
      </c>
      <c r="H10387" t="inlineStr"/>
    </row>
    <row r="10388">
      <c r="A10388" t="inlineStr">
        <is>
          <t>huty91</t>
        </is>
      </c>
      <c r="B10388" t="inlineStr">
        <is>
          <t>Father stopped taking medicine. Now not doing anything at all. Advice welcome.</t>
        </is>
      </c>
      <c r="C10388" t="inlineStr">
        <is>
          <t>My father has kidney cancer. He's had it for a long time now, over 5 years definitely, perhaps even 10. I cannot really remember the exact time, but he got it when I was a teen, and now I'm 26. There's this cancer fund where I live, called "Gifted Life", which basically supports cancer patients with funding for medicine, for which the country hasn't given its approval. I can only be thankful for that fund, as it has really made his illness a chronic disease, which can be kept under control.
Nevertheless, it seems that his time is nearing its end. He's 63 years old, and while so far he was relatively well, all things considered, this past month he's really deteriorated. Over a month and a half ago he stopped taking his cancer medicine. While the drugs kept his cancer "stable", his overall state was nevertheless quite miserable: hand-feet syndrome, diarrhea, nausea etc. While the doctor said, that he won't die right away, and until his next appointment in August he should be fine, I can see that something has definitely changed.
He hardly ever moves or eats now. Most of the moving he has done these past few weeks, is to the toilet and back to bed. His routine now basically consists of taking some painkillers, sleeping, drink one beer a day, go to toilet - repeat. I don't know what it is, but it seems like he's drunk constantly - his tongue is soft and most of what he's saying doesn't make sense or is very incoherent. He's forgetting things he should do, like shaving, taking some medicine etc, forgets things which were said or done yesterday and so on. Basically he seems like he is constantly drunk.
I suspect that combination of taking oxycontin and xanax is what might cause his current situation. I tried telling him to try to go a week without one of those, but he keeps saying that he's in pain and gets agitated when this subject is brought up. Yeah, I know I'm no doctor, but when your whole day consists of sleeping and taking drugs, and speaking nonsense, I remain cautious. 
My other theory is that he's suffered a stroke. One day he was having cold sweats during a warm day, and the other night he complained about pain in chest. Considering his age, that wouldn't be too surprising either. Still, that wouldn't explain his complete passiveness before that.
Fuck, I hate this. I don't want to speak or look at him, because he isn't the same person as I expect him to be. At the same time, I feel sadness and the need to somehow help him. When he stopped taking the cancer drug, I hoped that he would be able to be his normal, somewhat active self, at least for a month, so we could spend some time together. That was usually the case when he stopped taking his drugs for a few days before doctors appointments. But now, it seems I was wrong and if anything, he has completely given up. 
Sorry if I don't make sense, but I need to get it off my chest. It's been eating me for weeks and has made me depressed. If anyone has any advice how to improve his condition for even a short while, I would be more than happy to hear that. 
But for now, I hate everything about this, and I would just want to get drunk and scream out loud.</t>
        </is>
      </c>
      <c r="D10388" t="n">
        <v>3</v>
      </c>
      <c r="E10388" t="n">
        <v>2</v>
      </c>
      <c r="F10388">
        <f>HYPERLINK("https://www.reddit.com/r/cancer/comments/huty91/father_stopped_taking_medicine_now_not_doing/")</f>
        <v/>
      </c>
      <c r="G10388" t="inlineStr">
        <is>
          <t>2020-07-20 14:15:44</t>
        </is>
      </c>
      <c r="H10388" t="inlineStr"/>
    </row>
    <row r="10389">
      <c r="A10389" t="inlineStr">
        <is>
          <t>huumlb</t>
        </is>
      </c>
      <c r="B10389" t="inlineStr">
        <is>
          <t>Looking for Gastro doctor in Austin, TX</t>
        </is>
      </c>
      <c r="C10389" t="inlineStr">
        <is>
          <t xml:space="preserve">
My brother is having an issue in Austin, TX with bleeding from his rectum and he has familial polyposis so it’s a big deal. He went to the hospital but they didn’t know about the disease and said he was fine after checking his blood. His doctor in Philly wants him to come back to get checked out but obviously with the pandemic he can’t. Does anyone know of a doctor in Austin that knows about this disease?</t>
        </is>
      </c>
      <c r="D10389" t="n">
        <v>1</v>
      </c>
      <c r="E10389" t="n">
        <v>8</v>
      </c>
      <c r="F10389">
        <f>HYPERLINK("https://www.reddit.com/r/cancer/comments/huumlb/looking_for_gastro_doctor_in_austin_tx/")</f>
        <v/>
      </c>
      <c r="G10389" t="inlineStr">
        <is>
          <t>2020-07-20 14:51:54</t>
        </is>
      </c>
      <c r="H10389" t="inlineStr"/>
    </row>
    <row r="10390">
      <c r="A10390" t="inlineStr">
        <is>
          <t>huuy0k</t>
        </is>
      </c>
      <c r="B10390" t="inlineStr">
        <is>
          <t>I can't take it any more</t>
        </is>
      </c>
      <c r="C10390" t="inlineStr">
        <is>
          <t>He's gone. He's never coming back. I'll never get to see him again. These past two months have been a living hell. I just miss my dad. I can't do it any more. I can't.</t>
        </is>
      </c>
      <c r="D10390" t="n">
        <v>5</v>
      </c>
      <c r="E10390" t="n">
        <v>10</v>
      </c>
      <c r="F10390">
        <f>HYPERLINK("https://www.reddit.com/r/cancer/comments/huuy0k/i_cant_take_it_any_more/")</f>
        <v/>
      </c>
      <c r="G10390" t="inlineStr">
        <is>
          <t>2020-07-20 15:08:36</t>
        </is>
      </c>
      <c r="H10390" t="inlineStr"/>
    </row>
    <row r="10391">
      <c r="A10391" t="inlineStr">
        <is>
          <t>hux40z</t>
        </is>
      </c>
      <c r="B10391" t="inlineStr">
        <is>
          <t>We need help building a better cancer diagnostic</t>
        </is>
      </c>
      <c r="C10391" t="inlineStr">
        <is>
          <t>I'm not sure if this counts as a solicitation, if it is, my sincere apologies. I'm a college student working to build a better, very different cancer diagnostic but I'm having some trouble pinpointing customer pain points within the diagnostic ecosystem. If there are any patients or physicians with a diagnostic experience they'd be willing to share, we are attempting to conduct 15-minute interviews with former or current patients and health care workers as a part of a National Science Foundation program. If anyone is interested please feel free to send me a private message or schedule a brief interview here: [https://calendly.com/\_cs/national-science-foundation-patient-interview](https://calendly.com/_cs/national-science-foundation-patient-interview) and if this goes against community guidelines, again, my sincere apologies.</t>
        </is>
      </c>
      <c r="D10391" t="n">
        <v>0</v>
      </c>
      <c r="E10391" t="n">
        <v>0</v>
      </c>
      <c r="F10391">
        <f>HYPERLINK("https://www.reddit.com/r/cancer/comments/hux40z/we_need_help_building_a_better_cancer_diagnostic/")</f>
        <v/>
      </c>
      <c r="G10391" t="inlineStr">
        <is>
          <t>2020-07-20 17:14:24</t>
        </is>
      </c>
      <c r="H10391" t="inlineStr"/>
    </row>
    <row r="10392">
      <c r="A10392" t="inlineStr">
        <is>
          <t>huxf1t</t>
        </is>
      </c>
      <c r="B10392" t="inlineStr">
        <is>
          <t>Supporting loved ones during Covid</t>
        </is>
      </c>
      <c r="C10392" t="inlineStr">
        <is>
          <t>My girlfriend has recently been diagnosed with Leukemia and has been going through chemo the last month. Due to Covid restrictions, only immediate family members are able to visit her in the hospital. We’ve been FaceTiming almost every day and she’s been saying how excited she is to see me again and be with me when she gets out.
In about two weeks she is likely going home for some time before her next round of chemo. I want nothing more than to see her and be with her in person, but I’m also very tentative due to Covid. Of course I plan on getting tested before I’d see her, but I’m still undecided if this is a good idea. I’ve thought of going to see her in person with no hugging, kissing, etc, but I think that might just make things more painful for her. 
How has everyone else been dealing with supporting loved ones during Covid? Have you avoided physical contact altogether? I really appreciate any advice.</t>
        </is>
      </c>
      <c r="D10392" t="n">
        <v>1</v>
      </c>
      <c r="E10392" t="n">
        <v>7</v>
      </c>
      <c r="F10392">
        <f>HYPERLINK("https://www.reddit.com/r/cancer/comments/huxf1t/supporting_loved_ones_during_covid/")</f>
        <v/>
      </c>
      <c r="G10392" t="inlineStr">
        <is>
          <t>2020-07-20 17:34:12</t>
        </is>
      </c>
      <c r="H10392" t="inlineStr"/>
    </row>
    <row r="10393">
      <c r="A10393" t="inlineStr">
        <is>
          <t>huyb8u</t>
        </is>
      </c>
      <c r="B10393" t="inlineStr">
        <is>
          <t>Being comprehensive of those who do not understand cancer.</t>
        </is>
      </c>
      <c r="C10393" t="inlineStr">
        <is>
          <t>Hello, 24F breast cancer, initially late stage 2 now in early stage 4.
This is nothing more than a rant.
I've been getting a little frustrated at those who don't understand how cancer works. Initially comments on photos of women without nipples, normally they all ask "Where are your boobs/nipples?" And I don't want to get mad at those because they remind me that many people when pre-cancer, guilty of it myself, really did not know this as it was unecessary until I had it.
Then a wave and phase of guilt washed over me, like it's so selfish to not care about a disease you at least know it's fatal because you didn't think about it. Why? Because I didn't care enough. Since getting it, I just felt like the best way to compensate was to understand the other side too. Those who are ignorant of it and I should expect them from all sort of calibers, from not understanding why I don't have hair, to how awful treatment can be, losing body parts, and just life not going back to how it was.
So I try to defend healthy people who shave their heads. In fact, I learned how to make my wigs look good thanks to videos from healthy people who simply lost their hair because of salon accidents or hair bleaching at home.
But it really gets in my nerves when people just assume things while knowing how ignorant they are about it, they choose to be skeptic about someone who claims to have cancer based on some murky memory fact. Like this "karen video" of a woman saying she was sorry about not pushing her grocery cart back in place because she was in a hurry, had cancer, but she'll do it next time when she's not in a hurry. But her husband is smoking besides her and the comments get all "Oh really???????? Then why is your husband smoking next to you?" Like holy shit, common internet controversy is always about "Don't joke with cancer." Then they pull this? I think even in ignorance you can put together that cancer isn't exclusive to smoking and just for that you think someone doesn't have cancer even thought they had the right to the handicap parking?
Then following this young lady on instagram who isn't afraid to show her post mastectomy scars while fighting stage 4 breast cancer with only a year and a half left to live, she gets hate comments like "Aren't you supposed to be dead yet? Are you sure you have cancer?", "Oh since you are alive still means that you must have beat cancer. You don't have it anymore. Why did you choose to be such a hoe after surviving cancer?" It's awful, when in doubt of something, why not ask first? Not this.
And I live in a 3rd world country, people don't even know that some cancer treatments may mean losing their hair or that it's deadly. So I go out to the pharmacy  hairless but with a scarf on my head and people stare and sometimes straight up ask me "Why do you shave your head? You're a girl". Actually, this is tolerable because I get offended first, take a second to think, ok this is an opportunity to raise a bit of awareness and explain. It's great when they are surprised, admit not knowing, and start asking more questions out of curiousity. But other times were middle aged people who only stare and shake their head at me.
What was your experience with people being ignorant? And how did you handle it?</t>
        </is>
      </c>
      <c r="D10393" t="n">
        <v>4</v>
      </c>
      <c r="E10393" t="n">
        <v>4</v>
      </c>
      <c r="F10393">
        <f>HYPERLINK("https://www.reddit.com/r/cancer/comments/huyb8u/being_comprehensive_of_those_who_do_not/")</f>
        <v/>
      </c>
      <c r="G10393" t="inlineStr">
        <is>
          <t>2020-07-20 18:32:03</t>
        </is>
      </c>
      <c r="H10393" t="inlineStr"/>
    </row>
    <row r="10394">
      <c r="A10394" t="inlineStr">
        <is>
          <t>huyfml</t>
        </is>
      </c>
      <c r="B10394" t="inlineStr">
        <is>
          <t>for those of who’ve finished treatment for glioblastoma (brain tumor), how often do you get follow-up MRIs?</t>
        </is>
      </c>
      <c r="C10394" t="inlineStr">
        <is>
          <t>I got surgery in January and thankfully the doctors were able to get a gross total resection of the tumor, I then underwent a few months of chemo and radiotherapy and on April 30th I got my last MRI, which was clear. However I know there are most likely still some cancer cells in my brain and that it’s just a matter of time until there’s a reocurrence. But my doctor insists on only performing follow-up MRIs every six months, which seems like a really long interval for a tumor as aggressive as GBM. I called them today and said that I thought it was about time to I got a scan, but they claimed it was not necessary and referred me to a psychologist for anxiety. I know these things depend on lots of individual factors such as the location of the tumor (mine was in my frontal lobe) and other things, but just to get an idea fellow GBM patients how often do you get follow up MRIs?</t>
        </is>
      </c>
      <c r="D10394" t="n">
        <v>4</v>
      </c>
      <c r="E10394" t="n">
        <v>8</v>
      </c>
      <c r="F10394">
        <f>HYPERLINK("https://www.reddit.com/r/cancer/comments/huyfml/for_those_of_whove_finished_treatment_for/")</f>
        <v/>
      </c>
      <c r="G10394" t="inlineStr">
        <is>
          <t>2020-07-20 18:40:19</t>
        </is>
      </c>
      <c r="H10394" t="inlineStr">
        <is>
          <t xml:space="preserve">Patient </t>
        </is>
      </c>
    </row>
    <row r="10395">
      <c r="A10395" t="inlineStr">
        <is>
          <t>huzlpf</t>
        </is>
      </c>
      <c r="B10395" t="inlineStr">
        <is>
          <t>How to find a good oncologist?</t>
        </is>
      </c>
      <c r="C10395" t="inlineStr">
        <is>
          <t>Hello, a close friend of mine has testicular cancer and I wanted to help them find an oncologist that will take good care of them. I’ve never had to navigate through the healthcare system before so I’m new to all this. So I wanted to know what criteria, websites or other factors do/did you use to choose an oncologist? Thank you.</t>
        </is>
      </c>
      <c r="D10395" t="n">
        <v>0</v>
      </c>
      <c r="E10395" t="n">
        <v>20</v>
      </c>
      <c r="F10395">
        <f>HYPERLINK("https://www.reddit.com/r/cancer/comments/huzlpf/how_to_find_a_good_oncologist/")</f>
        <v/>
      </c>
      <c r="G10395" t="inlineStr">
        <is>
          <t>2020-07-20 19:58:58</t>
        </is>
      </c>
      <c r="H10395" t="inlineStr"/>
    </row>
    <row r="10396">
      <c r="A10396" t="inlineStr">
        <is>
          <t>hv1zff</t>
        </is>
      </c>
      <c r="B10396" t="inlineStr">
        <is>
          <t>Bloods too low for Chemo this week</t>
        </is>
      </c>
      <c r="C10396" t="inlineStr">
        <is>
          <t>Hi Everyone,
I had the nurses come and take my bloods for chemo yesterday and I received a phone call a few hours later to say that my neutrophils and white blood cell counts (0.74 and 1.9) were too low for Chemo this week and we will have to skip a week. I had also been experiencing some pain from my main tumour site (Lower Rectum/bowels) and a tiny bit of blood after passing anything. So the nurses said they would get my oncologist to call me yesterday evening.
I know I need to be strong and keep at it. We preferably don't want to have any pauses in the chemo However, after speaking with my oncologist he said that I don't have to have chemo this week. I am only on session 3 of a current 6 session treatment plan (I usually have chemo every two weeks) and I am just so relieved that I don't have to have chemo this week. I'm exhausted, I don't have energy for anything. The nurses had told my oncologist that I looked 'Grey and battered and bruised'   
Gonna have a week of R&amp;amp;R and get blood tests again next monday to make sure I can continue chemo again.</t>
        </is>
      </c>
      <c r="D10396" t="n">
        <v>1</v>
      </c>
      <c r="E10396" t="n">
        <v>15</v>
      </c>
      <c r="F10396">
        <f>HYPERLINK("https://www.reddit.com/r/cancer/comments/hv1zff/bloods_too_low_for_chemo_this_week/")</f>
        <v/>
      </c>
      <c r="G10396" t="inlineStr">
        <is>
          <t>2020-07-20 22:55:24</t>
        </is>
      </c>
      <c r="H10396" t="inlineStr"/>
    </row>
    <row r="10397">
      <c r="A10397" t="inlineStr">
        <is>
          <t>hv27b4</t>
        </is>
      </c>
      <c r="B10397" t="inlineStr">
        <is>
          <t>My cancer diagnosis, my most recent story</t>
        </is>
      </c>
      <c r="C10397" t="inlineStr">
        <is>
          <t>It was Christmas day, 2019.  We went to our friend’s house to celebrate.  It was their first time hosting and their inexperience showed.  As we sat down for a seven year tradition we could sense that things weren’t right.
For years we would watch Christmas themed horror movies and drink to excess.  As the day went on we would move onto dinner at our favorite Chinese restaurant.  This year, however, we were greeted with a lackluster reception.  I quickly fell asleep on the couch.
I was jolted awake; it was time for dinner.  At dinner I couldn’t stand it.  The experience was still off, it wasn’t what it was supposed to be.  Here we were at a different restaurant, surrounded by delivery drivers at their wits end.  I couldn’t even sit at the table for more than ten minutes.
We finally escaped.  The shadow of our usual experience in the rear view mirror.  I went home and tried to go to sleep.  I had thrown out my back earlier and I couldn’t seem to fall asleep, always uncomfortable.  
It is midnight, the first moments of the 26th.  I can’t bear the pain anymore.  My back is agonizing, I can’t be still, I can’t fall asleep, it has been months and I can’t do it for another minute.  I wish I was dead!
It is 1 am when we arrive to the emergency room.  For the first time I tell them my pain level is 10.  I can’t think through the pain.  I need help! Please!
It is 2 am when the doctors can actually talk to me.  The pain medication has taken effect.  I feel like me for the first time in 8 weeks.  I tell them about my symptoms, just a crippling pain in my back.  It has gotten progressively worse.
It is 3 am and the imaging is back, X-rays rule out damage to my joints or spine.  The CT shows swelling in my abdomen. The nurses say the doctor will be in shortly.  What a relief, some forward momentum.  I can’t wait for this to feel better.
The doctor comes into my room.  I have spent weeks in the hospital before.  Been in the doctors office countless times.  I have never seen a doctor in such a somber mood.  He enters and tells me that the lymph nodes that surround my spine are all swollen.  “Either you have a major infection or cancer”.
He goes over the potential of surgery to scrape the infection out of my spine, and extensive surgery that would require me to spend days in the hospital.  And then he leaves the room.  We cry, we debate which would be preferable.  We decide cancer would be better, not having any idea what it would mean.
The doctor comes back into the room, “the blood tests came back clear”. What he means is clear of infection.  “You’ll need to see an oncologist, soon”. 
I have cancer.</t>
        </is>
      </c>
      <c r="D10397" t="n">
        <v>26</v>
      </c>
      <c r="E10397" t="n">
        <v>8</v>
      </c>
      <c r="F10397">
        <f>HYPERLINK("https://www.reddit.com/r/cancer/comments/hv27b4/my_cancer_diagnosis_my_most_recent_story/")</f>
        <v/>
      </c>
      <c r="G10397" t="inlineStr">
        <is>
          <t>2020-07-20 23:12:36</t>
        </is>
      </c>
      <c r="H10397" t="inlineStr"/>
    </row>
    <row r="10398">
      <c r="A10398" t="inlineStr">
        <is>
          <t>hv5x9y</t>
        </is>
      </c>
      <c r="B10398" t="inlineStr">
        <is>
          <t>I am halfway treatment and my relationship is falling apart.</t>
        </is>
      </c>
      <c r="C10398" t="inlineStr">
        <is>
          <t>Hey there. I need some advice.
I have been together with my partner for 6 years now. We love each other very much. Two years ago i had surgery for cancer in my spinal canal, but it keeps coming back. Surgery is too risky now and i am undergoing radiation treatment daily, which costs a lot of energy.
My partner and i keep fighting about everything, since about a week. I feel abandoned because he shuts off and walks away when it becomes too much or he needs space. This causes him to feel that he is not allowed to have some space. know i have not been the easiest to deal with, and i know he would not walk away if he did not have to. It's just too much for him to deal with me. I know he feels very alone and does not have someone to really talk to.
I am feeling desperate and don't know what to do. I want to give him some space and listen to him, but i also need his support. He is being so frustrated with me lately. And he keeps on trying to be there for me while it costs him too much energy. This only cahses problems. We cannot afford a relationship therapist, my medical bills are expansive enough already. I feel like my relationship is falling apart right before me, and i don't know what i can do.
Please, did someone experience something like this and hoe did you handle it?</t>
        </is>
      </c>
      <c r="D10398" t="n">
        <v>38</v>
      </c>
      <c r="E10398" t="n">
        <v>67</v>
      </c>
      <c r="F10398">
        <f>HYPERLINK("https://www.reddit.com/r/cancer/comments/hv5x9y/i_am_halfway_treatment_and_my_relationship_is/")</f>
        <v/>
      </c>
      <c r="G10398" t="inlineStr">
        <is>
          <t>2020-07-21 04:45:26</t>
        </is>
      </c>
      <c r="H10398" t="inlineStr">
        <is>
          <t xml:space="preserve">Patient </t>
        </is>
      </c>
    </row>
    <row r="10399">
      <c r="A10399" t="inlineStr">
        <is>
          <t>hv7yvu</t>
        </is>
      </c>
      <c r="B10399" t="inlineStr">
        <is>
          <t>6 months or less to live,what shoukd I do know?</t>
        </is>
      </c>
      <c r="C10399" t="inlineStr">
        <is>
          <t>Can barely type so sorry in advance,but yeah just got told by my oncologist that I got less then 6 months to live at her my failed surgery to cut out my tumour in my colon,apparently there were two more tumors they didnt see before...crap.
So was wondering  if I got any opinion as I was told by my second oncologist that was working on me the chemo,rad,immuno isn't an option cause of the amount of spread,but if there is any way I can continue to fight this cancer with a chance than I'm all up for it,any help would be appreciated!</t>
        </is>
      </c>
      <c r="D10399" t="n">
        <v>11</v>
      </c>
      <c r="E10399" t="n">
        <v>17</v>
      </c>
      <c r="F10399">
        <f>HYPERLINK("https://www.reddit.com/r/cancer/comments/hv7yvu/6_months_or_less_to_livewhat_shoukd_i_do_know/")</f>
        <v/>
      </c>
      <c r="G10399" t="inlineStr">
        <is>
          <t>2020-07-21 07:09:26</t>
        </is>
      </c>
      <c r="H10399" t="inlineStr"/>
    </row>
    <row r="10400">
      <c r="A10400" t="inlineStr">
        <is>
          <t>hv9rzq</t>
        </is>
      </c>
      <c r="B10400" t="inlineStr">
        <is>
          <t>My dad has just been diagnosed by stage 4 cancer (Liver).</t>
        </is>
      </c>
      <c r="C10400" t="inlineStr">
        <is>
          <t>So, he had been complaining about dark yellow urine since before the lockdown begun in February. It was on and off however. We were initially hesitant to visit hospitals during that time but did it anyway later. First the CT scan and MRCP came almost normal. Then, the blood tests showed elevated levels of CA 19-9 serum. After some more diagnosis, they decided on right hepactomy. But when they send both the lymph nodes to biopsy, both were found malignant. And hence the surgery had to be terminated. Just a month before the surgery, the CA 19-9 serum came down to 15.67 from 102. The CEA levels were below 3 too. 
We are still waiting for the biopsy. But the doctors say that he would have a max of 4-5 months without chemo.
Can we really determine the time someone has without a biopsy? Also, does anyone know anything about the sudden lowering of the tumor markers and still being cancer?</t>
        </is>
      </c>
      <c r="D10400" t="n">
        <v>7</v>
      </c>
      <c r="E10400" t="n">
        <v>4</v>
      </c>
      <c r="F10400">
        <f>HYPERLINK("https://www.reddit.com/r/cancer/comments/hv9rzq/my_dad_has_just_been_diagnosed_by_stage_4_cancer/")</f>
        <v/>
      </c>
      <c r="G10400" t="inlineStr">
        <is>
          <t>2020-07-21 08:50:47</t>
        </is>
      </c>
      <c r="H10400" t="inlineStr"/>
    </row>
    <row r="10401">
      <c r="A10401" t="inlineStr">
        <is>
          <t>hvbfah</t>
        </is>
      </c>
      <c r="B10401" t="inlineStr">
        <is>
          <t>If you’ve gone through chemo (or know someone who has), what would you have liked to get in a chemo care package?</t>
        </is>
      </c>
      <c r="C10401" t="inlineStr">
        <is>
          <t>One of my best friends has started chemo treatment, and I want to surprise her with a little care package. Based on your experience, what items would be most helpful for me to include? I’m thinking some lip balm and hand cream for dry skin, fuzzy socks that she likes for warmth, her favorite candy, and a hat. Anything I should be thinking of specifically? Hydration, upset stomach issues, considering potential hair loss, etc? Thanks!</t>
        </is>
      </c>
      <c r="D10401" t="n">
        <v>17</v>
      </c>
      <c r="E10401" t="n">
        <v>102</v>
      </c>
      <c r="F10401">
        <f>HYPERLINK("https://www.reddit.com/r/cancer/comments/hvbfah/if_youve_gone_through_chemo_or_know_someone_who/")</f>
        <v/>
      </c>
      <c r="G10401" t="inlineStr">
        <is>
          <t>2020-07-21 10:14:32</t>
        </is>
      </c>
      <c r="H10401" t="inlineStr"/>
    </row>
    <row r="10402">
      <c r="A10402" t="inlineStr">
        <is>
          <t>hvd32k</t>
        </is>
      </c>
      <c r="B10402" t="inlineStr">
        <is>
          <t>I just found out I might have cancer and I’m just trying to prepare myself and those around me</t>
        </is>
      </c>
      <c r="C10402" t="inlineStr">
        <is>
          <t>Hi y’all. I’m a nearly 25 year old female and I just found out that I probably have cancer. Surgery will be scheduled soon but so far my situation doesn’t look great. I went in with pretty minor symptoms that I honestly felt ridiculous bringing up, but they were similar to what I’d seen in family members with cancer and I just had this nagging “feeling” that something was wrong. (Did anyone else get that feeling? I felt crazy for even vocalizing it, but I just felt this dread. Turned out that “feeling” wasn’t quite unfounded). 
I’ve always been a “prepare for the worst and hope for the best” type of person. I want people to give it to me straight and I hate feeling pitied or treated like I’m fragile. If I have cancer, I can accept it and I’m prepared to fight it. But I really don’t know how I’d cope with people walking on eggshells around me or suddenly treating me differently. Cancer is really strong in my family history and every time I’ve watched a family member go through it I remember thinking it would drive me insane, the way people treat you. Some people might appreciate the coddling, old acquaintances coming out of the woodwork to “offer support”, constant questions about how you’re doing, etc. And if it helped you that’s fine. But I’m not even diagnosed and I’m already dreading it. I’m not very close with my family and I know it would be hard on them, but I honestly think I’d just want my life to continue as normally as possible. Maybe I’d change my mind if it really is dire, but I don’t know.
I was out of work for 3 weeks with suspected Covid in March and my bosses called me every day to check in and see how I was “holding up” and it drove me nuts. I can’t imagine how it would be if I have cancer. 
There’s also the doctors. I appreciate they’re all trying to be compassionate but I just want facts and truth. I don’t need or want all the extra fluff. I’m not sure how to explain this to them in a way that makes sense. Or how I’ll lay boundaries with my family if I do in fact have cancer, because I don’t want to be disrespectful of their emotions or anxiety. It might be too early to be thinking this way, but again, “prepare for the worst” mindset.</t>
        </is>
      </c>
      <c r="D10402" t="n">
        <v>10</v>
      </c>
      <c r="E10402" t="n">
        <v>30</v>
      </c>
      <c r="F10402">
        <f>HYPERLINK("https://www.reddit.com/r/cancer/comments/hvd32k/i_just_found_out_i_might_have_cancer_and_im_just/")</f>
        <v/>
      </c>
      <c r="G10402" t="inlineStr">
        <is>
          <t>2020-07-21 11:40:24</t>
        </is>
      </c>
      <c r="H10402" t="inlineStr"/>
    </row>
    <row r="10403">
      <c r="A10403" t="inlineStr">
        <is>
          <t>hvf40r</t>
        </is>
      </c>
      <c r="B10403" t="inlineStr">
        <is>
          <t>Support for Young Cancer Survivors</t>
        </is>
      </c>
      <c r="C10403" t="inlineStr">
        <is>
          <t>Hi! My name is Helen and I am a research coordinator for the Bounce Back Study at the Massachusetts General Hospital Cancer Center, an affiliate of Harvard Medical School. We are recruiting adolescent and young adults who were diagnosed with cancer (any type!) between the ages of 14-29, still fall within this age range, and have completed treatment in the past 5 years. Bounce Back is a FREE virtual group stress management and resilience program that takes place over 8-weeks. The goal of the program is to help young cancer survivors learn skills to cope with the stress and emotions that arise during the post treatment transition. Participants will be paid up to $90 for their time. Please send me a message or email [mghbounceback@mgh.harvard.edu](mailto:mghbounceback@mgh.harvard.edu) if you are interested in learning more or have any questions 😊</t>
        </is>
      </c>
      <c r="D10403" t="n">
        <v>3</v>
      </c>
      <c r="E10403" t="n">
        <v>17</v>
      </c>
      <c r="F10403">
        <f>HYPERLINK("https://www.reddit.com/r/cancer/comments/hvf40r/support_for_young_cancer_survivors/")</f>
        <v/>
      </c>
      <c r="G10403" t="inlineStr">
        <is>
          <t>2020-07-21 13:26:09</t>
        </is>
      </c>
      <c r="H10403" t="inlineStr"/>
    </row>
    <row r="10404">
      <c r="A10404" t="inlineStr">
        <is>
          <t>hvff4n</t>
        </is>
      </c>
      <c r="B10404" t="inlineStr">
        <is>
          <t>My 9 year old has Medulloblastoma, type 4.</t>
        </is>
      </c>
      <c r="C10404" t="inlineStr">
        <is>
          <t>The tumour was removed almost a month ago, now. We finally had our first official meeting with oncology and have the exact diagnosis. The MRIs show that it’s spread to the spine, which is obviously upsetting. We’re waiting to get ports in and then start with radiation and chemo after that. Anyone else go through this?</t>
        </is>
      </c>
      <c r="D10404" t="n">
        <v>49</v>
      </c>
      <c r="E10404" t="n">
        <v>36</v>
      </c>
      <c r="F10404">
        <f>HYPERLINK("https://www.reddit.com/r/cancer/comments/hvff4n/my_9_year_old_has_medulloblastoma_type_4/")</f>
        <v/>
      </c>
      <c r="G10404" t="inlineStr">
        <is>
          <t>2020-07-21 13:41:48</t>
        </is>
      </c>
      <c r="H10404" t="inlineStr"/>
    </row>
    <row r="10405">
      <c r="A10405" t="inlineStr">
        <is>
          <t>hvfzi2</t>
        </is>
      </c>
      <c r="B10405" t="inlineStr">
        <is>
          <t>My mom has been diagnosed with metastatic pancreas cancer</t>
        </is>
      </c>
      <c r="C10405" t="inlineStr">
        <is>
          <t>3 weeks ago my mom went to the hospital to make a scan because they thought she had gallstones. Instead, they found liver metastasis. Today we had the official diagnosis that it’s pancreas cancer. I am so scared and sad, I can’t imagine that she might die this year. I can’t imagine a new years eve or christmas without her, my mom is my best friend. I’m 28, she’s 58. Sorry, I feel like screaming out loud in public and posting this on reddit feels the same I think. I hope she can still live long. Anyone here who have experience with pancreas cancer?</t>
        </is>
      </c>
      <c r="D10405" t="n">
        <v>17</v>
      </c>
      <c r="E10405" t="n">
        <v>20</v>
      </c>
      <c r="F10405">
        <f>HYPERLINK("https://www.reddit.com/r/cancer/comments/hvfzi2/my_mom_has_been_diagnosed_with_metastatic/")</f>
        <v/>
      </c>
      <c r="G10405" t="inlineStr">
        <is>
          <t>2020-07-21 14:11:37</t>
        </is>
      </c>
      <c r="H10405" t="inlineStr"/>
    </row>
    <row r="10406">
      <c r="A10406" t="inlineStr">
        <is>
          <t>hvg5bq</t>
        </is>
      </c>
      <c r="B10406" t="inlineStr">
        <is>
          <t>Sarcoma</t>
        </is>
      </c>
      <c r="C10406" t="inlineStr">
        <is>
          <t>I noticed a difference in size between my right arm and left a while back - actually a friend pointed it out to me. I shrugged it off and attributed it to me being right handed, but the swelling got worse and now I'm waiting on an MRI and a few more tests next week to see if my doctor's hunch is correct that it could be sarcoma. Anyone who has had sarcoma that manifested in their arm, what was your experience? Anything you can tell me? I'm quickly learning that the waiting is just awful.</t>
        </is>
      </c>
      <c r="D10406" t="n">
        <v>11</v>
      </c>
      <c r="E10406" t="n">
        <v>6</v>
      </c>
      <c r="F10406">
        <f>HYPERLINK("https://www.reddit.com/r/cancer/comments/hvg5bq/sarcoma/")</f>
        <v/>
      </c>
      <c r="G10406" t="inlineStr">
        <is>
          <t>2020-07-21 14:20:43</t>
        </is>
      </c>
      <c r="H10406" t="inlineStr"/>
    </row>
    <row r="10407">
      <c r="A10407" t="inlineStr">
        <is>
          <t>hvh7b9</t>
        </is>
      </c>
      <c r="B10407" t="inlineStr">
        <is>
          <t>Joe Tippens</t>
        </is>
      </c>
      <c r="C10407" t="inlineStr">
        <is>
          <t>Did anyone heard about this guy, or even tried his protocol? It sounds very promising after reading his post.</t>
        </is>
      </c>
      <c r="D10407" t="n">
        <v>0</v>
      </c>
      <c r="E10407" t="n">
        <v>6</v>
      </c>
      <c r="F10407">
        <f>HYPERLINK("https://www.reddit.com/r/cancer/comments/hvh7b9/joe_tippens/")</f>
        <v/>
      </c>
      <c r="G10407" t="inlineStr">
        <is>
          <t>2020-07-21 15:16:48</t>
        </is>
      </c>
      <c r="H10407" t="inlineStr"/>
    </row>
    <row r="10408">
      <c r="A10408" t="inlineStr">
        <is>
          <t>hvhmig</t>
        </is>
      </c>
      <c r="B10408" t="inlineStr">
        <is>
          <t>What are some of your treatment’s side effects and how did you cope with it?</t>
        </is>
      </c>
      <c r="C10408" t="inlineStr">
        <is>
          <t>Hi all. I’m on my second cycle of chemo and things have been pretty controlled today than the first round of my chemo. I’m always nauseated and vomiting but the medications kept me at bay. I also tend to not sleep properly and seem to be feeing super sad after treatment, then after days of rest I became okay. Now my fingers are kinda getting numb.
In regards of that, without getting thoroughly crazy from the monstrous side effects, how do you cope and manage them? I also want to ask as a tip. Thank you.</t>
        </is>
      </c>
      <c r="D10408" t="n">
        <v>8</v>
      </c>
      <c r="E10408" t="n">
        <v>19</v>
      </c>
      <c r="F10408">
        <f>HYPERLINK("https://www.reddit.com/r/cancer/comments/hvhmig/what_are_some_of_your_treatments_side_effects_and/")</f>
        <v/>
      </c>
      <c r="G10408" t="inlineStr">
        <is>
          <t>2020-07-21 15:39:52</t>
        </is>
      </c>
      <c r="H10408" t="inlineStr">
        <is>
          <t xml:space="preserve">Patient </t>
        </is>
      </c>
    </row>
    <row r="10409">
      <c r="A10409" t="inlineStr">
        <is>
          <t>hvhtiu</t>
        </is>
      </c>
      <c r="B10409" t="inlineStr">
        <is>
          <t>My mum has been diagnosed cancer and I dont know what to do</t>
        </is>
      </c>
      <c r="C10409" t="inlineStr">
        <is>
          <t>my mum has small cell lung cancer &amp;amp; im terrified. I know I need to appear strong in front of her but apart from her mental health (and treatment from the hospital) what do i do?</t>
        </is>
      </c>
      <c r="D10409" t="n">
        <v>7</v>
      </c>
      <c r="E10409" t="n">
        <v>10</v>
      </c>
      <c r="F10409">
        <f>HYPERLINK("https://www.reddit.com/r/cancer/comments/hvhtiu/my_mum_has_been_diagnosed_cancer_and_i_dont_know/")</f>
        <v/>
      </c>
      <c r="G10409" t="inlineStr">
        <is>
          <t>2020-07-21 15:51:03</t>
        </is>
      </c>
      <c r="H10409" t="inlineStr"/>
    </row>
    <row r="10410">
      <c r="A10410" t="inlineStr">
        <is>
          <t>hvi4l8</t>
        </is>
      </c>
      <c r="B10410" t="inlineStr">
        <is>
          <t>Mom has stage 4 non small cell lung cancer</t>
        </is>
      </c>
      <c r="C10410" t="inlineStr">
        <is>
          <t>Hi,
My mom (59) got diagnosed with stage 4 nsclc this month and has been identified to have egfr mutation 19. She’s on tagrisso and has been improving since her visit to the hospital. We have 3 sessions of radiotherapy scheduled to deal with two tumors in the spine. We’re waiting on the result of the lumbar puncture to see if there is leptomeningeal as she has metastasis of the spine and brain. I’m terrified. My mom leads our household and she doesn’t have any prior medical problems. My two year plan has been thrown out the window and I have been watching over her with my family. We try to remain normal like shopping but I just feel so hopeless sometimes. I know tagrisso has around a 18month progression free survival, but I can’t shake the feeling it might not be the case. She says she’ll fight it with all she can. She so brave and yet here I am, crying whenever I’m not with her. Sorry for the rant. 
I love you mom.</t>
        </is>
      </c>
      <c r="D10410" t="n">
        <v>25</v>
      </c>
      <c r="E10410" t="n">
        <v>12</v>
      </c>
      <c r="F10410">
        <f>HYPERLINK("https://www.reddit.com/r/cancer/comments/hvi4l8/mom_has_stage_4_non_small_cell_lung_cancer/")</f>
        <v/>
      </c>
      <c r="G10410" t="inlineStr">
        <is>
          <t>2020-07-21 16:08:57</t>
        </is>
      </c>
      <c r="H10410" t="inlineStr"/>
    </row>
    <row r="10411">
      <c r="A10411" t="inlineStr">
        <is>
          <t>hvidgu</t>
        </is>
      </c>
      <c r="B10411" t="inlineStr">
        <is>
          <t>Chemo care package ideas for a two year old?</t>
        </is>
      </c>
      <c r="C10411" t="inlineStr">
        <is>
          <t>Hello everyone.  My friend's two year old daughter recently began chemo and her family will be living at the hospital for while.  What items would a 2 year old and her parents appreciate while going through this?
Some items I'm considering:
1. Satin pillowcase
2. Puzzle toy
3. Lollipops
4. Soft hat
5. Lip balm and lotion (Are there any special kinds I should get?)
6. Small whiteboard and markers
7. Crayons and coloring book
8. Picture book
9. Maybe a stuffed animal
Do these sound like good options?</t>
        </is>
      </c>
      <c r="D10411" t="n">
        <v>7</v>
      </c>
      <c r="E10411" t="n">
        <v>18</v>
      </c>
      <c r="F10411">
        <f>HYPERLINK("https://www.reddit.com/r/cancer/comments/hvidgu/chemo_care_package_ideas_for_a_two_year_old/")</f>
        <v/>
      </c>
      <c r="G10411" t="inlineStr">
        <is>
          <t>2020-07-21 16:23:27</t>
        </is>
      </c>
      <c r="H10411" t="inlineStr"/>
    </row>
    <row r="10412">
      <c r="A10412" t="inlineStr">
        <is>
          <t>hvk956</t>
        </is>
      </c>
      <c r="B10412" t="inlineStr">
        <is>
          <t>What are things/food you were told you “should have tried to avoid” or “should have eaten” by your doctor?</t>
        </is>
      </c>
      <c r="C10412" t="inlineStr">
        <is>
          <t>Hey. Title says it all. Please believe me, The title sounds a lot more aggressive than it does curious.
Background for my question: My dad passed away from Stage IV NSLC last January after a two fight. Not sure if anyone else who witnessed someone they love pass away from cancer become really paranoid(for lack of better words) about getting cancer? That’s me, currently.
The one question I have for you was what was one thing your doctor/team of medical professionals say you(or a loved one) should have done/eaten/avoid to help avoid cancer? 
Currently reading up that foods high in antioxidants(blueberries, raspberries) are the way to go. Any other useful hints?
Appreciate your time!</t>
        </is>
      </c>
      <c r="D10412" t="n">
        <v>6</v>
      </c>
      <c r="E10412" t="n">
        <v>34</v>
      </c>
      <c r="F10412">
        <f>HYPERLINK("https://www.reddit.com/r/cancer/comments/hvk956/what_are_thingsfood_you_were_told_you_should_have/")</f>
        <v/>
      </c>
      <c r="G10412" t="inlineStr">
        <is>
          <t>2020-07-21 18:17:56</t>
        </is>
      </c>
      <c r="H10412" t="inlineStr"/>
    </row>
    <row r="10413">
      <c r="A10413" t="inlineStr">
        <is>
          <t>hvlefo</t>
        </is>
      </c>
      <c r="B10413" t="inlineStr">
        <is>
          <t>How do you deal with the nausea?</t>
        </is>
      </c>
      <c r="C10413" t="inlineStr">
        <is>
          <t>I hope this is an ok question to ask.  I (23F) was diagnosed with Hodgkin's Lymphoma recently and had my first chemotherapy session today.  Even with Zofran my nausea and vomiting has been absolutely miserable.  I've already made a note about talking to my doctor about it in the morning but I was wondering if anyone had any tips or tricks to try to feel better until then?</t>
        </is>
      </c>
      <c r="D10413" t="n">
        <v>2</v>
      </c>
      <c r="E10413" t="n">
        <v>33</v>
      </c>
      <c r="F10413">
        <f>HYPERLINK("https://www.reddit.com/r/cancer/comments/hvlefo/how_do_you_deal_with_the_nausea/")</f>
        <v/>
      </c>
      <c r="G10413" t="inlineStr">
        <is>
          <t>2020-07-21 19:30:40</t>
        </is>
      </c>
      <c r="H10413" t="inlineStr"/>
    </row>
    <row r="10414">
      <c r="A10414" t="inlineStr">
        <is>
          <t>hvz3hp</t>
        </is>
      </c>
      <c r="B10414" t="inlineStr">
        <is>
          <t>RE-POCH for 4 days straight at home every 3 weeks</t>
        </is>
      </c>
      <c r="C10414" t="inlineStr">
        <is>
          <t>My dads oncologist said he will have his treatment at home and just have everything set up at the hospital. He will come back after the 4 days of RE-POCH through his port. I’m just confused because shouldn’t he be an inpatient during those 4 days. The drive to the hospital is 2-3 hours one way as well. What if something happens? Does anyone have similar experience? Thank you. ( Diffuse large B cell lymphoma)</t>
        </is>
      </c>
      <c r="D10414" t="n">
        <v>0</v>
      </c>
      <c r="E10414" t="n">
        <v>0</v>
      </c>
      <c r="F10414">
        <f>HYPERLINK("https://www.reddit.com/r/cancer/comments/hvz3hp/repoch_for_4_days_straight_at_home_every_3_weeks/")</f>
        <v/>
      </c>
      <c r="G10414" t="inlineStr">
        <is>
          <t>2020-07-22 11:25:35</t>
        </is>
      </c>
      <c r="H10414" t="inlineStr"/>
    </row>
    <row r="10415">
      <c r="A10415" t="inlineStr">
        <is>
          <t>hvz7x9</t>
        </is>
      </c>
      <c r="B10415" t="inlineStr">
        <is>
          <t>Is multiple myeloma cancer curable?</t>
        </is>
      </c>
      <c r="C10415" t="inlineStr">
        <is>
          <t>My 44 y/o mom just got diagnosed with multiple myeloma. I don’t know much about it yet, but I was wondering if it is curable or not. When I read about it online it said it is incurable, and their is a 50% chance the patient will die within 5 years, with no cases of the patient lasting more than 20 years.  Someone also told me about immunotherapy, which is supposedly a cure for multiple myeloma. So I’m confused on whether it is curable or not. Thanks!</t>
        </is>
      </c>
      <c r="D10415" t="n">
        <v>1</v>
      </c>
      <c r="E10415" t="n">
        <v>14</v>
      </c>
      <c r="F10415">
        <f>HYPERLINK("https://www.reddit.com/r/cancer/comments/hvz7x9/is_multiple_myeloma_cancer_curable/")</f>
        <v/>
      </c>
      <c r="G10415" t="inlineStr">
        <is>
          <t>2020-07-22 11:31:54</t>
        </is>
      </c>
      <c r="H10415" t="inlineStr"/>
    </row>
    <row r="10416">
      <c r="A10416" t="inlineStr">
        <is>
          <t>hw0vbm</t>
        </is>
      </c>
      <c r="B10416" t="inlineStr">
        <is>
          <t>Can't Eat Because of Cancer Pain</t>
        </is>
      </c>
      <c r="C10416" t="inlineStr">
        <is>
          <t>My aunt has cervical cancer. It is really bad. She is now under 90 lbs and has had terrible abdominal pain and can't eat. She has lost weight and a few of her chemo therapy sessions had to be rescheduled because of low blood count (?)
She has a hard time eating because her stomach hurts too much when she eats and it is unbearable. We've tried Ensure and now that even hurts her too. I hate seeing her in pain but we need her to eat so that she can be strong enough for her chemo therapy. 
Has anyone had any experience with this who might have some advice on how we can help her? CBD helps her appetite and helps her sleep. Her doctor has prescribed her pain meds for her abdominal pain but they don't help when she eats. She told me that she feels bad because she doesn't want to eat because of the unbearable pain. I'm afraid she's giving up. 
Can anyone please offer some advice? I don't know what to do.</t>
        </is>
      </c>
      <c r="D10416" t="n">
        <v>32</v>
      </c>
      <c r="E10416" t="n">
        <v>50</v>
      </c>
      <c r="F10416">
        <f>HYPERLINK("https://www.reddit.com/r/cancer/comments/hw0vbm/cant_eat_because_of_cancer_pain/")</f>
        <v/>
      </c>
      <c r="G10416" t="inlineStr">
        <is>
          <t>2020-07-22 12:58:11</t>
        </is>
      </c>
      <c r="H10416" t="inlineStr"/>
    </row>
    <row r="10417">
      <c r="A10417" t="inlineStr">
        <is>
          <t>hw1hcf</t>
        </is>
      </c>
      <c r="B10417" t="inlineStr">
        <is>
          <t>Can ovarian mass or dilated kidney cause upper abdominal pain?</t>
        </is>
      </c>
      <c r="C10417" t="inlineStr">
        <is>
          <t>I don't know if this is the right place to post, but I've posted here a few times over the last couple of weeks and I feel badly to continuously do so, but I can't stop worrying about everything.
I currently have a 17.5 cm mass on my right ovary. I also have a dilated right kidney. I initially presented to the ER with pain in my liver region and my back when they found it. Liver pain hasn't gone away. My oncologist is saying that the pain is from the mass but I just don't see how that's possible with how I feel. It's like a sharp shooting pain in a few places not too far down from my right breast and it feels swollen and enlarged. 
She said all of the tests came back fine aside from liver enzymes being "mildly" elevated (I had been drinking quite a bit due to coping with the cancer diagnosis and taking a lot of otc pain medication prior to the blood tests, both of which I have completely cut out, so chalked it up to that) AFP tumor marker came back normal, allegedly nothing was seen in the CT scan in the ER, hepatitis all negative. 
Do I trust these tests and my doctor or do I trust my own body? My surgery for the mass is in less than 2 weeks. I feel like I'm not being taken seriously and my concerns are being overlooked.</t>
        </is>
      </c>
      <c r="D10417" t="n">
        <v>3</v>
      </c>
      <c r="E10417" t="n">
        <v>21</v>
      </c>
      <c r="F10417">
        <f>HYPERLINK("https://www.reddit.com/r/cancer/comments/hw1hcf/can_ovarian_mass_or_dilated_kidney_cause_upper/")</f>
        <v/>
      </c>
      <c r="G10417" t="inlineStr">
        <is>
          <t>2020-07-22 13:29:40</t>
        </is>
      </c>
      <c r="H10417" t="inlineStr"/>
    </row>
    <row r="10418">
      <c r="A10418" t="inlineStr">
        <is>
          <t>hw1pjq</t>
        </is>
      </c>
      <c r="B10418" t="inlineStr">
        <is>
          <t>Anyone have experience with hormone replacement</t>
        </is>
      </c>
      <c r="C10418" t="inlineStr">
        <is>
          <t>I am a 21 year old lady who has anaplastic large cell lymphoma and am now in remission. Due to chemo, clinical trial drugs, and a stem cell transplant I am going to need to have estrogen supplements. If anyone has had any experience with this. My doctor said I would have an estrogen patch and probably pills to go along. Im just curious about different side effects related to that.</t>
        </is>
      </c>
      <c r="D10418" t="n">
        <v>2</v>
      </c>
      <c r="E10418" t="n">
        <v>2</v>
      </c>
      <c r="F10418">
        <f>HYPERLINK("https://www.reddit.com/r/cancer/comments/hw1pjq/anyone_have_experience_with_hormone_replacement/")</f>
        <v/>
      </c>
      <c r="G10418" t="inlineStr">
        <is>
          <t>2020-07-22 13:41:32</t>
        </is>
      </c>
      <c r="H10418" t="inlineStr"/>
    </row>
    <row r="10419">
      <c r="A10419" t="inlineStr">
        <is>
          <t>hw1s5v</t>
        </is>
      </c>
      <c r="B10419" t="inlineStr">
        <is>
          <t>My dad has stage 4 esophagus cancer</t>
        </is>
      </c>
      <c r="C10419" t="inlineStr">
        <is>
          <t>Wondering if you guys know of anyone else who has or had it and what there treatments were like!?</t>
        </is>
      </c>
      <c r="D10419" t="n">
        <v>8</v>
      </c>
      <c r="E10419" t="n">
        <v>16</v>
      </c>
      <c r="F10419">
        <f>HYPERLINK("https://www.reddit.com/r/cancer/comments/hw1s5v/my_dad_has_stage_4_esophagus_cancer/")</f>
        <v/>
      </c>
      <c r="G10419" t="inlineStr">
        <is>
          <t>2020-07-22 13:45:18</t>
        </is>
      </c>
      <c r="H10419" t="inlineStr"/>
    </row>
    <row r="10420">
      <c r="A10420" t="inlineStr">
        <is>
          <t>hw26lx</t>
        </is>
      </c>
      <c r="B10420" t="inlineStr">
        <is>
          <t>Why Would My Dad's Doctor Stop Chemotherapy When it Was Working?</t>
        </is>
      </c>
      <c r="C10420" t="inlineStr">
        <is>
          <t>My father is diagnosed with Stage IV Small Cell Lung Cancer and he's been taking immunotherapy and chemotherapy for a few months and it has reduced the size of his tumors quite well, but recently his doctor stopped his treatments. It's been a little over a month since he stopped and now he developed two more tumors. 
When I asked him if that could be attributed to him stopping his treatments, he said they would have developed anyway. Does this sound right??
Thanks for any help!</t>
        </is>
      </c>
      <c r="D10420" t="n">
        <v>2</v>
      </c>
      <c r="E10420" t="n">
        <v>4</v>
      </c>
      <c r="F10420">
        <f>HYPERLINK("https://www.reddit.com/r/cancer/comments/hw26lx/why_would_my_dads_doctor_stop_chemotherapy_when/")</f>
        <v/>
      </c>
      <c r="G10420" t="inlineStr">
        <is>
          <t>2020-07-22 14:06:24</t>
        </is>
      </c>
      <c r="H10420" t="inlineStr"/>
    </row>
    <row r="10421">
      <c r="A10421" t="inlineStr">
        <is>
          <t>hw2nx7</t>
        </is>
      </c>
      <c r="B10421" t="inlineStr">
        <is>
          <t>Increase white blood cell count?</t>
        </is>
      </c>
      <c r="C10421" t="inlineStr">
        <is>
          <t>Hey folks, 
My dad is going through chemotherapy and radiation and obviously it’s extra stressful with Covid-19. It seems that his white blood cell count is dangerously low. This has me worried about Covid and also it means he may not be able to complete his third and final chemotherapy. 
Has anyone found anything that helps them increase their white blood cell count? I know vitamin c is good for it but is there anything else? He really can’t ingest anything besides a spoon full of yogurt every now and then. 
Thanks!</t>
        </is>
      </c>
      <c r="D10421" t="n">
        <v>1</v>
      </c>
      <c r="E10421" t="n">
        <v>16</v>
      </c>
      <c r="F10421">
        <f>HYPERLINK("https://www.reddit.com/r/cancer/comments/hw2nx7/increase_white_blood_cell_count/")</f>
        <v/>
      </c>
      <c r="G10421" t="inlineStr">
        <is>
          <t>2020-07-22 14:33:28</t>
        </is>
      </c>
      <c r="H10421" t="inlineStr"/>
    </row>
    <row r="10422">
      <c r="A10422" t="inlineStr">
        <is>
          <t>hw3oat</t>
        </is>
      </c>
      <c r="B10422" t="inlineStr">
        <is>
          <t>Any tips for growing hair back quickly?</t>
        </is>
      </c>
      <c r="C10422" t="inlineStr">
        <is>
          <t>I miss having long hair and feeling feminine... I’ve heard that taking biotin will help you grow healthy hair a little quicker, but is that my only option? Any tips out there?</t>
        </is>
      </c>
      <c r="D10422" t="n">
        <v>2</v>
      </c>
      <c r="E10422" t="n">
        <v>12</v>
      </c>
      <c r="F10422">
        <f>HYPERLINK("https://www.reddit.com/r/cancer/comments/hw3oat/any_tips_for_growing_hair_back_quickly/")</f>
        <v/>
      </c>
      <c r="G10422" t="inlineStr">
        <is>
          <t>2020-07-22 15:29:51</t>
        </is>
      </c>
      <c r="H10422" t="inlineStr"/>
    </row>
    <row r="10423">
      <c r="A10423" t="inlineStr">
        <is>
          <t>hw4h1u</t>
        </is>
      </c>
      <c r="B10423" t="inlineStr">
        <is>
          <t>Post-chemo port scar/hair changes</t>
        </is>
      </c>
      <c r="C10423" t="inlineStr">
        <is>
          <t>I should start by saying I was diagnosed with testicular cancer on my 22nd birthday in July of 2018, had a couple surgeries and finished chemo in early March of 2019 and have thankfully been cancer free since then. However my chemo port scar is still pretty big and looks like it healed pretty thick and it’s raised. When I got my port removed, they had a hard time getting it out cause of the scar tissue. Does anyone have the same thing or know of a surgery to make it less pronounced? I had an RPLND surgery before chemo which also leaves you with a giant scar running along your abdomen, but that one doesn’t even bother me; only the port scar does. (Kind of weird I know)
Also, I have noticed a couple different things since being off of chemo for almost a year and a half. One thing is that I seem to sweat a lot easier than I did before ever having chemo. Whether I’m working out or it’s hot outside, my body just seems to want to sweat more and more easily than it did before. Does anyone else have this? Kind of related, my hair gets more greasy throughout the day way easier than it ever did before chemo. I’m just wondering if anyone else goes through this too and knows of anything that helps. The greasy hair thing is probably the most bothersome cause everyone can see it and I’ve tried changing shampoos once but it didn’t seem to help a whole lot, maybe only a little. Sometimes I do a quick wash of my hair mid-day or wait to shower until right before I have to be seen by others so that my hair doesn’t look sloppy. If anyone has any tips to combat this, I’d appreciate it a lot. 
Lastly If you or anyone you know is going through cancer, both you and they are strong and you’re in my thoughts.</t>
        </is>
      </c>
      <c r="D10423" t="n">
        <v>2</v>
      </c>
      <c r="E10423" t="n">
        <v>15</v>
      </c>
      <c r="F10423">
        <f>HYPERLINK("https://www.reddit.com/r/cancer/comments/hw4h1u/postchemo_port_scarhair_changes/")</f>
        <v/>
      </c>
      <c r="G10423" t="inlineStr">
        <is>
          <t>2020-07-22 16:15:16</t>
        </is>
      </c>
      <c r="H10423" t="inlineStr"/>
    </row>
    <row r="10424">
      <c r="A10424" t="inlineStr">
        <is>
          <t>hw51k1</t>
        </is>
      </c>
      <c r="B10424" t="inlineStr">
        <is>
          <t>I just found out my baby cousin was diagnosed with cancer, and I don't know what to do.</t>
        </is>
      </c>
      <c r="C10424" t="inlineStr">
        <is>
          <t>My parents told me today that my cousin (under the age of one) was diagnosed with neuroblastoma around two months ago, and the tumor is on her spine. I love that family with all my heart and all I want is to be there for them and help them through this - but they don't live in the same country. 
Is there anything I can do to help? Also, I've been diving into research, but I have very limited information, I can't ask for more because I don't want to put my Aunt and Uncle through the pain of talking about it, but it's driving me insane. 
This is, for the most part, a rant, but I would appreciate anything anyone has to say.</t>
        </is>
      </c>
      <c r="D10424" t="n">
        <v>33</v>
      </c>
      <c r="E10424" t="n">
        <v>17</v>
      </c>
      <c r="F10424">
        <f>HYPERLINK("https://www.reddit.com/r/cancer/comments/hw51k1/i_just_found_out_my_baby_cousin_was_diagnosed/")</f>
        <v/>
      </c>
      <c r="G10424" t="inlineStr">
        <is>
          <t>2020-07-22 16:47:37</t>
        </is>
      </c>
      <c r="H10424" t="inlineStr"/>
    </row>
    <row r="10425">
      <c r="A10425" t="inlineStr">
        <is>
          <t>hw5rj3</t>
        </is>
      </c>
      <c r="B10425" t="inlineStr">
        <is>
          <t>Colon cancer survivors, what were your symptoms?</t>
        </is>
      </c>
      <c r="C10425" t="inlineStr">
        <is>
          <t>I’ve was diagnosed with Ulcerative Colitis about 5 years ago. I’ve been having extreme pain and bloody stool. It’s hard to differentiate between my disease and that of colon cancer. Therefore, to those of you who had colon cancer, what were your symptoms? Specifically, what type of pain did you have? Where was the pain if you had any? Was it consistent?
Thank you in advance</t>
        </is>
      </c>
      <c r="D10425" t="n">
        <v>6</v>
      </c>
      <c r="E10425" t="n">
        <v>39</v>
      </c>
      <c r="F10425">
        <f>HYPERLINK("https://www.reddit.com/r/cancer/comments/hw5rj3/colon_cancer_survivors_what_were_your_symptoms/")</f>
        <v/>
      </c>
      <c r="G10425" t="inlineStr">
        <is>
          <t>2020-07-22 17:32:07</t>
        </is>
      </c>
      <c r="H10425" t="inlineStr"/>
    </row>
    <row r="10426">
      <c r="A10426" t="inlineStr">
        <is>
          <t>hw6qdc</t>
        </is>
      </c>
      <c r="B10426" t="inlineStr">
        <is>
          <t>Need Help Deciding Treatment Plan Stage III Lung Cancer</t>
        </is>
      </c>
      <c r="C10426" t="inlineStr">
        <is>
          <t>Background: I was officially diagnosed with stage 3 Non Small Cell Adenocarcinoma Lung Cancer last week. Tumor is small at 2.3 cm and is in upper right lung. My lymphnode station 7 is cancerous making it stage 3. I’m a 36 year old male. I’m down to 137 lbs. 
Options: these are the treatment options from the multidisciplinary panel:
1. Six weekly chemo and radiation rounds with immunotherapy at end. No surgery 
2. 12 weeks of chemo and immunotherapy at same time. Rounds every three weeks. Then surgery to remove cancer. Follow up radiation.
3. 7 weeks of chemo radiation and then surgery. No immunotherapy 
They said survival odds are 50% for three years on all three. Drs said number two is newer but seem more excited about #2. 
My take: I just want to beat this but the idea of not having invasive surgery is appealing. I’m worried about six or seven weekly rounds. With my fragile weight state and weakness I worry the chemo and radiation will kill me before the cancer does. I’m leaning towards #2 because I can get a bounce back week between rounds. 
Any input is greatly appreciated. Thank You for reading</t>
        </is>
      </c>
      <c r="D10426" t="n">
        <v>3</v>
      </c>
      <c r="E10426" t="n">
        <v>19</v>
      </c>
      <c r="F10426">
        <f>HYPERLINK("https://www.reddit.com/r/cancer/comments/hw6qdc/need_help_deciding_treatment_plan_stage_iii_lung/")</f>
        <v/>
      </c>
      <c r="G10426" t="inlineStr">
        <is>
          <t>2020-07-22 18:34:25</t>
        </is>
      </c>
      <c r="H10426" t="inlineStr"/>
    </row>
    <row r="10427">
      <c r="A10427" t="inlineStr">
        <is>
          <t>hw7chd</t>
        </is>
      </c>
      <c r="B10427" t="inlineStr">
        <is>
          <t>what should I do when the hospital discharges my fiance?</t>
        </is>
      </c>
      <c r="C10427" t="inlineStr">
        <is>
          <t>Long-time lurker, first-time poster. 
My (28F) fiance (37M) has had stage iv colon cancer for over three years and is pretty much out of treatment options (not looking for that kind of advice, his oncology doc is great and tried everything he could). The cancer spread to his lungs and liver. The tumors in his lungs responded well to treatment, but it has wreaked havoc on his liver. 
Recently, thanks to a less than helpful urologist, he ended up in septic shock due to a bladder infection, which lead to a 911 call and a week in ICU. They got him out of kidney failure but they're still working on the liver failure that it caused. My problem is that they are talking about discharging him in a few days and I'm not sure what to do. We live in a small apartment in the city and neither of us has family close by. 
Until two weeks ago he was feeling "normal", still able to sit up and move around on his own, even continuing to work from home on his laptop. As of today, he can barely lift his own head. We live on the 3rd floor of a walkup. We had been talking about finding a new place on a lower level but hadn't gotten around to it yet when this all happened unexpectedly last week. I've been asked about hospice by the hospital but we hadn't made any real plans (ironically we had a palliative care appointment to talk about it at the cancer center later this week). Our options right now are: have an EMS team carry him back up the stairs leaving him trapped in the small one-bedroom apartment we call home (not great), find a local hospice for him to stay at (better but it kills me because I know that's the last thing he wants), or use a non-emergency transport service/rent an accessible van to move him four hours down to his father's ranch so he can spend the time he has left somewhere he enjoys and I can get some help taking care of him. His parents are offering to help however they can but I'm worried that moving him that far is going to be expensive and difficult. I guess I'm wondering if this is a crazy idea or is it actually doable?</t>
        </is>
      </c>
      <c r="D10427" t="n">
        <v>15</v>
      </c>
      <c r="E10427" t="n">
        <v>12</v>
      </c>
      <c r="F10427">
        <f>HYPERLINK("https://www.reddit.com/r/cancer/comments/hw7chd/what_should_i_do_when_the_hospital_discharges_my/")</f>
        <v/>
      </c>
      <c r="G10427" t="inlineStr">
        <is>
          <t>2020-07-22 19:15:13</t>
        </is>
      </c>
      <c r="H10427" t="inlineStr"/>
    </row>
    <row r="10428">
      <c r="A10428" t="inlineStr">
        <is>
          <t>hw7xxm</t>
        </is>
      </c>
      <c r="B10428" t="inlineStr">
        <is>
          <t>Surgery Day</t>
        </is>
      </c>
      <c r="C10428" t="inlineStr">
        <is>
          <t>Hi everyone. I'm so sorry all of us are here..
I have my surgery to remove this giant ovarian mass in 12 days. My oncologist told me that I should expect a 2-5 day stay.. 
Can anyone offer me any tips prior to surgery and post surgery recovery? What questions should I ask on the day of surgery? What should I bring with me?
Prior to October of 2019 I had never had a single health issue, had never been to the hospital aside from birth, so everything is so foreign to me (just like this stupid mass) .. and I'm not sure what to expect.
I'm curious about a lot, like what does anesthesia entail? Will someone have to clean me after a bowel movement? Will I have a catheter and how is the pain of it being removed? Will I be able to shower there? Will I be okay being placed on morphine? Will my stitches pop when my oncologist makes me walk 2 hours after surgery?</t>
        </is>
      </c>
      <c r="D10428" t="n">
        <v>1</v>
      </c>
      <c r="E10428" t="n">
        <v>23</v>
      </c>
      <c r="F10428">
        <f>HYPERLINK("https://www.reddit.com/r/cancer/comments/hw7xxm/surgery_day/")</f>
        <v/>
      </c>
      <c r="G10428" t="inlineStr">
        <is>
          <t>2020-07-22 19:55:53</t>
        </is>
      </c>
      <c r="H10428" t="inlineStr"/>
    </row>
    <row r="10429">
      <c r="A10429" t="inlineStr">
        <is>
          <t>hw7zfw</t>
        </is>
      </c>
      <c r="B10429" t="inlineStr">
        <is>
          <t>Picking between two trials.</t>
        </is>
      </c>
      <c r="C10429" t="inlineStr">
        <is>
          <t>Hi all,
I have stage 4 colon cancer that has spread to the lining in my abdomen (Peritoneal cavity). I have the option for two trials. My oncologist will not give his opinion on what he feels is best. They are a phase 1 and a phase 1B/2 respectively. Does anyone have any experience making this choice? Any questions I should be asking?
Thank you all.</t>
        </is>
      </c>
      <c r="D10429" t="n">
        <v>4</v>
      </c>
      <c r="E10429" t="n">
        <v>3</v>
      </c>
      <c r="F10429">
        <f>HYPERLINK("https://www.reddit.com/r/cancer/comments/hw7zfw/picking_between_two_trials/")</f>
        <v/>
      </c>
      <c r="G10429" t="inlineStr">
        <is>
          <t>2020-07-22 19:58:51</t>
        </is>
      </c>
      <c r="H10429" t="inlineStr"/>
    </row>
    <row r="10430">
      <c r="A10430" t="inlineStr">
        <is>
          <t>hw8ksi</t>
        </is>
      </c>
      <c r="B10430" t="inlineStr">
        <is>
          <t>Venting about scans</t>
        </is>
      </c>
      <c r="C10430" t="inlineStr">
        <is>
          <t>Today I got my scan results back. My abdominal cavity is filled with new and/or now enlarged lesions on my kidneys, adrenal glands, and liver. Luckily, I now have an explanation for the excruciating abdominal pains I’ve been experiencing. The only good news was that my brain met is shrinking and there aren’t any new ones. 
I’m not entirely surprised, because I’ve learned to expect the worst, but god dammit. 
Fuck cancer.</t>
        </is>
      </c>
      <c r="D10430" t="n">
        <v>6</v>
      </c>
      <c r="E10430" t="n">
        <v>16</v>
      </c>
      <c r="F10430">
        <f>HYPERLINK("https://www.reddit.com/r/cancer/comments/hw8ksi/venting_about_scans/")</f>
        <v/>
      </c>
      <c r="G10430" t="inlineStr">
        <is>
          <t>2020-07-22 20:39:31</t>
        </is>
      </c>
      <c r="H10430" t="inlineStr"/>
    </row>
    <row r="10431">
      <c r="A10431" t="inlineStr">
        <is>
          <t>hw9bhe</t>
        </is>
      </c>
      <c r="B10431" t="inlineStr">
        <is>
          <t>Mom has Stage 4 lung cancer, I live across the country</t>
        </is>
      </c>
      <c r="C10431" t="inlineStr">
        <is>
          <t>My mom was diagnosed with Stage 4 non small cell lung cancer about 2 weeks ago. It has spread to her brain and to some bones in her body as well as her heart. I live &amp;gt;1000 miles away but flew to her last week and already she can’t stand on her own, can barely walk, and isn’t able to hold much food down. She just finished radiation to her hips and brain which had helped her pain, but she is no longer the person I normally talk to every day. Her speech and cognition are impaired due to the cancer and the pain meds she is on. I am afraid she will be too weak for chemo treatment and this is near the end for her. However she has not received a prognosis that includes how long she might have left. 
Feeling hopeless, helpless, and unsure what to do as I will return home to care for my home/get back to working in a couple of days but I also feel that I should be caring for her as well. She is the person I go to for everything. Wondering if anyone has been in a similar position.</t>
        </is>
      </c>
      <c r="D10431" t="n">
        <v>2</v>
      </c>
      <c r="E10431" t="n">
        <v>4</v>
      </c>
      <c r="F10431">
        <f>HYPERLINK("https://www.reddit.com/r/cancer/comments/hw9bhe/mom_has_stage_4_lung_cancer_i_live_across_the/")</f>
        <v/>
      </c>
      <c r="G10431" t="inlineStr">
        <is>
          <t>2020-07-22 21:33:45</t>
        </is>
      </c>
      <c r="H10431" t="inlineStr"/>
    </row>
    <row r="10432">
      <c r="A10432" t="inlineStr">
        <is>
          <t>hwcpwx</t>
        </is>
      </c>
      <c r="B10432" t="inlineStr">
        <is>
          <t>Dad diagnosed with incurable cancer</t>
        </is>
      </c>
      <c r="C10432" t="inlineStr">
        <is>
          <t>I’m 28F, he is 66. 
He was diagnosed with stage 4 cancer out of the blue last week. The lymph nodes around his lower stomach area started swelling 2 months ago. We had been going to the hospital to run tests the past few months.
The doctors said it’s cancer that has spread from some place else, but they cannot find the source (we did PET-scans) aka “cancer of unknown primary”
Yesterday the hospital told us they suggest he doesn’t go through chemo treatment, because the chances of curing it are very low, and he would be happier living the rest of his days without harsh treatments.
He has 2 years at most. Heartbreak doesn’t begin to describe what I am feeling. My mother passed away last year, and now I am going to lose my father in the next few years.</t>
        </is>
      </c>
      <c r="D10432" t="n">
        <v>2</v>
      </c>
      <c r="E10432" t="n">
        <v>10</v>
      </c>
      <c r="F10432">
        <f>HYPERLINK("https://www.reddit.com/r/cancer/comments/hwcpwx/dad_diagnosed_with_incurable_cancer/")</f>
        <v/>
      </c>
      <c r="G10432" t="inlineStr">
        <is>
          <t>2020-07-23 02:31:52</t>
        </is>
      </c>
      <c r="H10432" t="inlineStr"/>
    </row>
    <row r="10433">
      <c r="A10433" t="inlineStr">
        <is>
          <t>hwdeie</t>
        </is>
      </c>
      <c r="B10433" t="inlineStr">
        <is>
          <t>How to support family member going through chemo?</t>
        </is>
      </c>
      <c r="C10433" t="inlineStr">
        <is>
          <t>Hey guys, my sister in law was diagnosed with breast cancer in January. She had a lumpectomy and is in chemo and radiation now. She is struggling with some depression and issues with self image. She wanted to do portraits to celebrate herself anyway but she backed out saying she just hates how she looks. My husband and I both work in healthcare so we feel uncomfortable spending a lot of time with her in case we were to get her sick, but she insists on visiting with us because it helps. Also she and her husband are out of work. I just don’t know how to support her. In your experience what has been helpful?</t>
        </is>
      </c>
      <c r="D10433" t="n">
        <v>3</v>
      </c>
      <c r="E10433" t="n">
        <v>7</v>
      </c>
      <c r="F10433">
        <f>HYPERLINK("https://www.reddit.com/r/cancer/comments/hwdeie/how_to_support_family_member_going_through_chemo/")</f>
        <v/>
      </c>
      <c r="G10433" t="inlineStr">
        <is>
          <t>2020-07-23 03:35:26</t>
        </is>
      </c>
      <c r="H10433" t="inlineStr"/>
    </row>
    <row r="10434">
      <c r="A10434" t="inlineStr">
        <is>
          <t>hwdf0v</t>
        </is>
      </c>
      <c r="B10434" t="inlineStr">
        <is>
          <t>My sister neurologist said she has malignant tumor more details below</t>
        </is>
      </c>
      <c r="C10434" t="inlineStr">
        <is>
          <t>My sister’s MRI showed a malignant tumor at least that is what the neurologist said and asked to check with neurooncologist 
Can anyone point to any links where I can read more or have experience with this. I know I may need more details before Making any conclusion but we are scared and hoping neurologist analysis is not correct without any actual cell check.
Any pointers will be helpful. Thank you</t>
        </is>
      </c>
      <c r="D10434" t="n">
        <v>1</v>
      </c>
      <c r="E10434" t="n">
        <v>2</v>
      </c>
      <c r="F10434">
        <f>HYPERLINK("https://www.reddit.com/r/cancer/comments/hwdf0v/my_sister_neurologist_said_she_has_malignant/")</f>
        <v/>
      </c>
      <c r="G10434" t="inlineStr">
        <is>
          <t>2020-07-23 03:36:45</t>
        </is>
      </c>
      <c r="H10434" t="inlineStr"/>
    </row>
    <row r="10435">
      <c r="A10435" t="inlineStr">
        <is>
          <t>hwecdt</t>
        </is>
      </c>
      <c r="B10435" t="inlineStr">
        <is>
          <t>My Mom Has Mesothelioma</t>
        </is>
      </c>
      <c r="C10435" t="inlineStr">
        <is>
          <t>Back in June, my mom(64) started getting a bit short of breath and was resting more than usual. She got to the point of not being able to walk at all without being out of breath. My dad has a variety of health issues too after having a heart attack and two strokes a few years ago, so I thought it might be something heart related. At the hospital they said that her lungs were filled with fluid, and after testing the fluid and doing a bronchoscopy, they found cancer.
They haven't said anything about timelines or any of that, but I know the outlook isn't good for people with mesothelioma. She told me a week after they told her because she didn't know how to break it to me. Even a month later, it still feels like a terrible nightmare. I'm her only child(31M) and honestly have no idea what to do. She is my mom, but also my best friend, and has always been there to talk to about anything and everything.
Is there anything I should be doing for her besides just being there with her and helping around the house? I'm trying to make every day feel as normal as possible and not talk about her illness unless she chooses to. It's all so overwhelming and I feel helpless.</t>
        </is>
      </c>
      <c r="D10435" t="n">
        <v>10</v>
      </c>
      <c r="E10435" t="n">
        <v>8</v>
      </c>
      <c r="F10435">
        <f>HYPERLINK("https://www.reddit.com/r/cancer/comments/hwecdt/my_mom_has_mesothelioma/")</f>
        <v/>
      </c>
      <c r="G10435" t="inlineStr">
        <is>
          <t>2020-07-23 04:56:42</t>
        </is>
      </c>
      <c r="H10435" t="inlineStr"/>
    </row>
    <row r="10436">
      <c r="A10436" t="inlineStr">
        <is>
          <t>hwhdry</t>
        </is>
      </c>
      <c r="B10436" t="inlineStr">
        <is>
          <t>I didn't recognize my dad</t>
        </is>
      </c>
      <c r="C10436" t="inlineStr">
        <is>
          <t>My dad was diagnosed with a retroperitoneal liposarcoma which is a rare fatty tissue cancer (less than 1% in adults) back in April after experiencing a fever and abdominal pain.
&amp;amp;nbsp;
I believe that when he was diagnosed it was already too late, his cancer had gone untreated for very long and the tumor had actually burst, which is why he had a fever. But we didn't know this back then. 
&amp;amp;nbsp;
He had surgery immediately after the diagnosis in April, but they couldn't get everything out. He went back home with my mom 3 weeks later and wasn't really careful enough and ate whatever he wanted, he had a bowel obstruction a couple of weeks later. 
&amp;amp;nbsp;
He was taken to a bigger hospital in June and had emergency surgery for the bowel obstruction. The main surgeon told us how bad it actually was and that he really thought he wasn't going to make it through the surgery. He was given 6 months to live in June. 
&amp;amp;nbsp;
This was awful to process, I don't live with my parents, I live and work in a different country so I couldn't just go see them whenever. But I was able to take two weeks off work from July 20 until July 31. HR was understanding. 
&amp;amp;nbsp;
He was put on a lot of painkillers after the second surgery, the recovery process was delicate but he was discharged and allowed to go into hospice at home on July 9 which was the only thing he wanted.
&amp;amp;nbsp;
Unfortunately, the painkillers he was prescribed for the home hospice weren't nearly as strong as the ones he was administered inside the hospital unit, nor was the administration as effective.
&amp;amp;nbsp;
He developed an infection during his home stay and his health declined very quickly. He was taken back to the first clinic in order to receive palliative/end-of-life care on July 14.
&amp;amp;nbsp;
It was finally time for me to take time off work and travel to go see him on Monday. It was a long trip and I went to the clinic directly.
&amp;amp;nbsp;
My mom walked me to his room, I'll never forget the number N°206. When she opened the door my first reaction was to turn back because I thought my mom made a mistake and walked into the wrong room.
&amp;amp;nbsp;
She looked at me wondering what I was doing, I could only whisper "Is that him?", "Yes dear, that's him", she said.
&amp;amp;nbsp;
I broke down crying like a literal child, I couldn't breath, talk or even cry properly for a whole minute. He was barely conscious, he was pale and full of bruises, he was extremely skinny but the tumors had taken over his abdominal area. He could barely breathe through his wide open mouth. His face looked nothing like him. I did not recognize my dad. He had no life left in him.
&amp;amp;nbsp;
But, somehow, when I called his name and said it was me he mustered up enough strength to open his eyes and lightly smile as if he was telling me that he heard me and that he was happy to see me. I told him I loved him, I thanked him for everything he has done for me and I promised him I was going to be strong for myself and for my mom.
&amp;amp;nbsp;
I told him it was okay if he wanted to rest, I told him it was okay to let go. He was heavily sedated on both a benzodiapezine and morphine, so I don't know if he actually processed or remembered anything. But I like to believe so.
&amp;amp;nbsp;
Me and my mom went back home and I cried my eyes out until I went to bed. My mother has surprisingly been handling the whole thing very well. I was the one who was a mess. 
&amp;amp;nbsp;
The next morning my mom got a call at 11:45am, he passed away peacefully and without pain on Tuesday, July 21st at 11:40am. The doctors say he waited until I got there to let go. I hope it's true. I am still very sad.</t>
        </is>
      </c>
      <c r="D10436" t="n">
        <v>51</v>
      </c>
      <c r="E10436" t="n">
        <v>38</v>
      </c>
      <c r="F10436">
        <f>HYPERLINK("https://www.reddit.com/r/cancer/comments/hwhdry/i_didnt_recognize_my_dad/")</f>
        <v/>
      </c>
      <c r="G10436" t="inlineStr">
        <is>
          <t>2020-07-23 08:14:15</t>
        </is>
      </c>
      <c r="H10436" t="inlineStr"/>
    </row>
    <row r="10437">
      <c r="A10437" t="inlineStr">
        <is>
          <t>hwhvxa</t>
        </is>
      </c>
      <c r="B10437" t="inlineStr">
        <is>
          <t>I found out my cousin has cancer, and I feel like I have failed her. What do I do?</t>
        </is>
      </c>
      <c r="C10437" t="inlineStr">
        <is>
          <t>I just found out my cousin who I am so close with has stage 1 breast cancer. We have no family history, she is the first and I am so taken aback. I feel terrible, I have been so busy sith school, so I haven't been able to talk to her so much. School has depressed me so much, so I didn't want to talk to my family when I didn't feel like myself. I just ended up facetiming my dad who was talking to her, and that's when she told me. I'm so heartbroken, I can't imagine not having her. She said she's responding well to chemo, but I'm in shock. She lives in another country, but I just visited her in December for a month. I didn't know how fast things could change, I am so sad. I don't know how to feel. How could I have not known. I don't know what to do, how can I support her when traveling isn't an option. I know nothing</t>
        </is>
      </c>
      <c r="D10437" t="n">
        <v>1</v>
      </c>
      <c r="E10437" t="n">
        <v>4</v>
      </c>
      <c r="F10437">
        <f>HYPERLINK("https://www.reddit.com/r/cancer/comments/hwhvxa/i_found_out_my_cousin_has_cancer_and_i_feel_like/")</f>
        <v/>
      </c>
      <c r="G10437" t="inlineStr">
        <is>
          <t>2020-07-23 08:42:35</t>
        </is>
      </c>
      <c r="H10437" t="inlineStr"/>
    </row>
    <row r="10438">
      <c r="A10438" t="inlineStr">
        <is>
          <t>hwhzzb</t>
        </is>
      </c>
      <c r="B10438" t="inlineStr">
        <is>
          <t>Is it insensitive to get someone with terminal cancer a "get well soon" card?</t>
        </is>
      </c>
      <c r="C10438" t="inlineStr">
        <is>
          <t>I want to get him a card of that nature but they all say "get well soon", I think he'd like a card but I don't want it to make him sad if he knows he won't get better</t>
        </is>
      </c>
      <c r="D10438" t="n">
        <v>1</v>
      </c>
      <c r="E10438" t="n">
        <v>16</v>
      </c>
      <c r="F10438">
        <f>HYPERLINK("https://www.reddit.com/r/cancer/comments/hwhzzb/is_it_insensitive_to_get_someone_with_terminal/")</f>
        <v/>
      </c>
      <c r="G10438" t="inlineStr">
        <is>
          <t>2020-07-23 08:49:01</t>
        </is>
      </c>
      <c r="H10438" t="inlineStr"/>
    </row>
    <row r="10439">
      <c r="A10439" t="inlineStr">
        <is>
          <t>hwklgy</t>
        </is>
      </c>
      <c r="B10439" t="inlineStr">
        <is>
          <t>Any help? Possible permanent Alopecia, looking for advice</t>
        </is>
      </c>
      <c r="C10439" t="inlineStr">
        <is>
          <t xml:space="preserve"> 
Hello! I'm desperate, and wanted to try here, to see if any of you had any input. I'm now a 32 year olf man, and I'm 3 1/2 years in remission from stage 4 Non-Hodgkins. I received 6 rounds of R-Epoch chemo, as well as intrathecal injections for preventative measures. While I am thankful to be alive from having such a severe case of Lymphoma, my treatment's side effects well, affect me every day.
I was 28 years old at the time of diagnosis, with a head full of extremely thick hair. In fact, no one in my family suffers from pattern baldness (my grandfathers both had full heads of hair when they died!), so I expect what I'm experiencing is a direct result of the chemo.
When my hair grew back, it was standard for most chemo patients, at the start, but there remained large patches the were especially thin at the crown of my head, and the sides. My hair is even patchy and thin still all over my entire body, still.
Now, years later, I've tried supplements, hair masks, [Hims.com](https://hims.com/), rogaine, and maximizing my diet, and I can't seem to get my hair to fill in. Genuinely, I'm afraid to go to a dermatologist to see if my chemo-induced alopecia is permanent.
I'm desperate. I'm a musician by trade, and my appearance means a lot to me in performing. Not having a head full of shoulder length curls feels wrong to me, and now, my confidence is my own appearance is completely gone. I feel like I've gone from looking like Robert Plant, to Wallace Shawn.
So rant aside, my question is- has anyone else experienced seemingly permanent hair loss from R-Epoch? Or, has anyone experienced similar patchy regrowth? Has anything helped you at all? This morning I put eggs and castor oil on my scalp and just realized how ridiculous it's becoming. I'm putting my breakfast on my own head in hopes it would do ANYTHING.
Well, thanks for reading. Any input at all would be appreciated. I'm just struggling so much, I haven't felt like myself in years, at this point.</t>
        </is>
      </c>
      <c r="D10439" t="n">
        <v>3</v>
      </c>
      <c r="E10439" t="n">
        <v>13</v>
      </c>
      <c r="F10439">
        <f>HYPERLINK("https://www.reddit.com/r/cancer/comments/hwklgy/any_help_possible_permanent_alopecia_looking_for/")</f>
        <v/>
      </c>
      <c r="G10439" t="inlineStr">
        <is>
          <t>2020-07-23 11:03:59</t>
        </is>
      </c>
      <c r="H10439" t="inlineStr"/>
    </row>
    <row r="10440">
      <c r="A10440" t="inlineStr">
        <is>
          <t>hwq89m</t>
        </is>
      </c>
      <c r="B10440" t="inlineStr">
        <is>
          <t>Mt first post, but needed somewhere to empty</t>
        </is>
      </c>
      <c r="C10440" t="inlineStr">
        <is>
          <t>So today my 2 year old son had his eye removed after having to throw the towel in for his retinablastoma. I still have my little boy with me, but after 9 months  of fighting this, it kinda feels like we have lost.
Over the course of his treatment he has had 6 chemo treatments and a mix of lazer and cry therapy. All appeared to be working until 2 weeks ago at his last check up when a couple of new tumours were found in the eye. And growing aggressively. The doctor checked again today and there had been significant growth to enforce we made the right decision. 
The doctor is 99% sure the cancer was in just the eye as a previous MRI showed this, but have to wait for the results of the biopsy.</t>
        </is>
      </c>
      <c r="D10440" t="n">
        <v>10</v>
      </c>
      <c r="E10440" t="n">
        <v>8</v>
      </c>
      <c r="F10440">
        <f>HYPERLINK("https://www.reddit.com/r/cancer/comments/hwq89m/mt_first_post_but_needed_somewhere_to_empty/")</f>
        <v/>
      </c>
      <c r="G10440" t="inlineStr">
        <is>
          <t>2020-07-23 16:04:46</t>
        </is>
      </c>
      <c r="H10440" t="inlineStr"/>
    </row>
    <row r="10441">
      <c r="A10441" t="inlineStr">
        <is>
          <t>hwr4i2</t>
        </is>
      </c>
      <c r="B10441" t="inlineStr">
        <is>
          <t>Anybody have an idea......based on your past experiences.</t>
        </is>
      </c>
      <c r="C10441" t="inlineStr">
        <is>
          <t>We have an uncle that had prostate cancer about five years ago. He beat it.
He's been feeling lousy and tired the last six months so he went in for a check up, they made him do an MRI, and after that a biopsy. The doctor called on Wednesday and told him to come in that day or Thursday. He went in Thursday and they told him the cancer has returned and has spread. He starts Radiation on Monday.   It's 5 straight days, two days off and then five straight days again.
He is mid-70s and is a stubborn old guy who doesn't want people knowing his business. So he won't tell us exactly what the doctor said. That doesn't necessarily mean it's horrible news. He wouldn't tell us if the doctor said "this is pretty normal, this has a 95% chance to kill the cancer, you'll probably be here for at least five more years." So we can't assume his silence means the doctor gave him terrible news.
All he will tell us is "the doctor said the cancer is back and is spreading."  That's literally it.  
Why the question here???   Other than his bout with the cancer a few years ago, we have ZERO experience and knowledge of the cancer world.   This 10 radiation treatments in 12 days, after coming clean from prostate cancer a few years ago, in a guy in his 70s.......we don't know if that's totally normal and happens all the time and is the normal treatment, and he's probably going to be OK. OR.....we don't know if that is a huge dose and only happens in extreme cases when the patient is close to death. 
We don't know if this treatment is normal, bad, great, horrible, nothing to worry about or a sign that he's about to die. 
I was hoping somebody on here might have a better idea.   Thank you.</t>
        </is>
      </c>
      <c r="D10441" t="n">
        <v>1</v>
      </c>
      <c r="E10441" t="n">
        <v>7</v>
      </c>
      <c r="F10441">
        <f>HYPERLINK("https://www.reddit.com/r/cancer/comments/hwr4i2/anybody_have_an_ideabased_on_your_past_experiences/")</f>
        <v/>
      </c>
      <c r="G10441" t="inlineStr">
        <is>
          <t>2020-07-23 16:56:42</t>
        </is>
      </c>
      <c r="H10441" t="inlineStr"/>
    </row>
    <row r="10442">
      <c r="A10442" t="inlineStr">
        <is>
          <t>hwr6ka</t>
        </is>
      </c>
      <c r="B10442" t="inlineStr">
        <is>
          <t>Lung cancer</t>
        </is>
      </c>
      <c r="C10442" t="inlineStr">
        <is>
          <t>Doctors think my Dad has lung cancer. Does it mean it is over?</t>
        </is>
      </c>
      <c r="D10442" t="n">
        <v>1</v>
      </c>
      <c r="E10442" t="n">
        <v>17</v>
      </c>
      <c r="F10442">
        <f>HYPERLINK("https://www.reddit.com/r/cancer/comments/hwr6ka/lung_cancer/")</f>
        <v/>
      </c>
      <c r="G10442" t="inlineStr">
        <is>
          <t>2020-07-23 17:00:10</t>
        </is>
      </c>
      <c r="H10442" t="inlineStr"/>
    </row>
    <row r="10443">
      <c r="A10443" t="inlineStr">
        <is>
          <t>hwsh00</t>
        </is>
      </c>
      <c r="B10443" t="inlineStr">
        <is>
          <t>Reproduction question for women with cancer</t>
        </is>
      </c>
      <c r="C10443" t="inlineStr">
        <is>
          <t>Hello ladies! (And men who have had partners that have dealt with this!) 
So a little back story- last year I was diagnosed with bile duct cancer. I was told it was inoperable and we would stick to chemo to hopefully shrink the tumor enough to have surgery. It hasn’t shrunk, but there is a surgeon where I get treated who has developed a new procedure to be able to operate. I haven’t gotten the ok yet but it looks hopeful. 
Before surgery- the outlook was pretty grim, so I wasn’t really thinking much about my long term future because I didn’t have much of one. Now that that’s changed, I’m starting to think about future plans. 
I’m not married, or in a serious relationship. I’m 31, and I do believe that one day I might want kids, but I’m not sure yet. Having biological children has never been important to me, to be honest the thought of being pregnant and giving birth doesn’t sound fun. Ive always been very open to the idea of adoption. Also, the chance of a cancer reoccurrence and having to wait for treatment due to being pregnant scares me. 
So my question is- have any of you had a hysterectomy after getting rid of your cancer because of these concerns? I know a surgery like this takes a pretty big tole on your body and I’m not even sure if doctors will agree to do it when I’m this young. I would love to hear your experiences/ thoughts on this. 
Thank you!</t>
        </is>
      </c>
      <c r="D10443" t="n">
        <v>1</v>
      </c>
      <c r="E10443" t="n">
        <v>9</v>
      </c>
      <c r="F10443">
        <f>HYPERLINK("https://www.reddit.com/r/cancer/comments/hwsh00/reproduction_question_for_women_with_cancer/")</f>
        <v/>
      </c>
      <c r="G10443" t="inlineStr">
        <is>
          <t>2020-07-23 18:22:13</t>
        </is>
      </c>
      <c r="H10443" t="inlineStr"/>
    </row>
    <row r="10444">
      <c r="A10444" t="inlineStr">
        <is>
          <t>hwttlr</t>
        </is>
      </c>
      <c r="B10444" t="inlineStr">
        <is>
          <t>3 weeks pain free (Loss)</t>
        </is>
      </c>
      <c r="C10444" t="inlineStr">
        <is>
          <t>My dad (61 years old) passed away on July 7th after being diagnosed with advanced liver cancer in February. He suffered a lot at the end—couldn’t eat, couldn’t stay hydrated, esophageal bleeding, kidney failure, more.
We last visited in March, literally the weekend before COVID shut everything down. I’m thankful we got that visit.
He did not get to meet my new daughter, 6 weeks old when he passed. She is named after his mother, who is heartbroken right now. My 18 month old won’t remember him.
It is hard for me to think about how awful it was for him. His body turned on him. It is also hard for me to come to terms with him being gone forever. Selfishly I can’t say which I prefer. 
I am still surprised when I realize I am grieving. I know that sounds stupid. Of course I am. But then I feel guilty for not having the energy to cook dinner for my family.
I wish you all the best.</t>
        </is>
      </c>
      <c r="D10444" t="n">
        <v>4</v>
      </c>
      <c r="E10444" t="n">
        <v>6</v>
      </c>
      <c r="F10444">
        <f>HYPERLINK("https://www.reddit.com/r/cancer/comments/hwttlr/3_weeks_pain_free_loss/")</f>
        <v/>
      </c>
      <c r="G10444" t="inlineStr">
        <is>
          <t>2020-07-23 19:50:21</t>
        </is>
      </c>
      <c r="H10444" t="inlineStr"/>
    </row>
    <row r="10445">
      <c r="A10445" t="inlineStr">
        <is>
          <t>hwttv4</t>
        </is>
      </c>
      <c r="B10445" t="inlineStr">
        <is>
          <t>Trying to find company to buy ovarian cancer apparel from who donates/supports</t>
        </is>
      </c>
      <c r="C10445" t="inlineStr">
        <is>
          <t>My mother recently went through surgery for ovarian cancer (very positive results!) and both her and I (her son) want to buy tshirts or hoodies for awareness but from a company who actually donates/gives money with at least a proportion of the sale. A lot of what I found are for profit companies who just create awareness by selling the products, no actual donations or foundations ect. I could find a lot of validated sellers who actually support breast cancer but not so much for ovarian cancer. Any recommendations? At least some female apparel for her but a men’s T-shirt would be great too!</t>
        </is>
      </c>
      <c r="D10445" t="n">
        <v>2</v>
      </c>
      <c r="E10445" t="n">
        <v>3</v>
      </c>
      <c r="F10445">
        <f>HYPERLINK("https://www.reddit.com/r/cancer/comments/hwttv4/trying_to_find_company_to_buy_ovarian_cancer/")</f>
        <v/>
      </c>
      <c r="G10445" t="inlineStr">
        <is>
          <t>2020-07-23 19:50:49</t>
        </is>
      </c>
      <c r="H10445" t="inlineStr"/>
    </row>
    <row r="10446">
      <c r="A10446" t="inlineStr">
        <is>
          <t>hwu6em</t>
        </is>
      </c>
      <c r="B10446" t="inlineStr">
        <is>
          <t>I’m exteremely worries I have testicular cancer</t>
        </is>
      </c>
      <c r="C10446" t="inlineStr">
        <is>
          <t>I’m really worried I have testicular cancer I know this type has a high survival rate but I can’t deal with the mental effect it would have on me if I do get checked out tomorrow. I want to just drink myself to death tonight I’m not strong enough like a lot of survivors on here. Ive dealt with so much shit in my life so far from bullying to herpes from my first love to this abnormality in my sack. I know it seems pathetic but trauma effects everyone differently. Idk if I’ll wake up tomorrow but if i do I’ll probably delete this post</t>
        </is>
      </c>
      <c r="D10446" t="n">
        <v>0</v>
      </c>
      <c r="E10446" t="n">
        <v>2</v>
      </c>
      <c r="F10446">
        <f>HYPERLINK("https://www.reddit.com/r/cancer/comments/hwu6em/im_exteremely_worries_i_have_testicular_cancer/")</f>
        <v/>
      </c>
      <c r="G10446" t="inlineStr">
        <is>
          <t>2020-07-23 20:14:45</t>
        </is>
      </c>
      <c r="H10446" t="inlineStr"/>
    </row>
    <row r="10447">
      <c r="A10447" t="inlineStr">
        <is>
          <t>hwugk2</t>
        </is>
      </c>
      <c r="B10447" t="inlineStr">
        <is>
          <t>My friend is getting her first round of chemo tomorrow</t>
        </is>
      </c>
      <c r="C10447" t="inlineStr">
        <is>
          <t>I know she’s going to be tired. She had her port surgery 2 days ago and is still recovering.
I’m curious what to expect?
I premade her a meal for when she’s done so she doesn’t have to cook.
I read that usually people want very easy to digest, bland foods. So I made mashed potatoes and mushroom gravy with only a tiny bit of salt and pepper in the gravy.
She’s gonna be there for 6-8 hours.
She packed a bag for herself and is ready to go.
What are some common things she might experience after?</t>
        </is>
      </c>
      <c r="D10447" t="n">
        <v>5</v>
      </c>
      <c r="E10447" t="n">
        <v>30</v>
      </c>
      <c r="F10447">
        <f>HYPERLINK("https://www.reddit.com/r/cancer/comments/hwugk2/my_friend_is_getting_her_first_round_of_chemo/")</f>
        <v/>
      </c>
      <c r="G10447" t="inlineStr">
        <is>
          <t>2020-07-23 20:34:30</t>
        </is>
      </c>
      <c r="H10447" t="inlineStr"/>
    </row>
    <row r="10448">
      <c r="A10448" t="inlineStr">
        <is>
          <t>hwupqo</t>
        </is>
      </c>
      <c r="B10448" t="inlineStr">
        <is>
          <t>Liver biopsy</t>
        </is>
      </c>
      <c r="C10448" t="inlineStr">
        <is>
          <t>For the results of my liver biopsy today. I’m clear! No signs of cancer. After breast cancer and a bilateral mastectomy I was expecting the worst, but for once it was good news. Just have a brain MRI and a chest CT in the next week and hopefully I can go back to living my life. I’m so grateful.</t>
        </is>
      </c>
      <c r="D10448" t="n">
        <v>22</v>
      </c>
      <c r="E10448" t="n">
        <v>8</v>
      </c>
      <c r="F10448">
        <f>HYPERLINK("https://www.reddit.com/r/cancer/comments/hwupqo/liver_biopsy/")</f>
        <v/>
      </c>
      <c r="G10448" t="inlineStr">
        <is>
          <t>2020-07-23 20:52:34</t>
        </is>
      </c>
      <c r="H10448" t="inlineStr"/>
    </row>
    <row r="10449">
      <c r="A10449" t="inlineStr">
        <is>
          <t>hwv7g2</t>
        </is>
      </c>
      <c r="B10449" t="inlineStr">
        <is>
          <t>Endoscopic biopsy</t>
        </is>
      </c>
      <c r="C10449" t="inlineStr">
        <is>
          <t>My brother has had trouble swallowing and , had experienced significant weight loss. This could be attributed to the trouble eating , and when we talked to the doctor , they said it’s most likely achalasia. However , when we took him to the hospital , they did a biopsy of cells in his esophagus. 
I’ve been very worried and have had trouble concentrating on tasks. We will get the results in two weeks. They said it was achalasia most likely , but now are doing a biopsy. 
I’m afraid for the worst , but wondering if this is a normal procedure. He doesn’t appear to have any lump on his neck</t>
        </is>
      </c>
      <c r="D10449" t="n">
        <v>2</v>
      </c>
      <c r="E10449" t="n">
        <v>2</v>
      </c>
      <c r="F10449">
        <f>HYPERLINK("https://www.reddit.com/r/cancer/comments/hwv7g2/endoscopic_biopsy/")</f>
        <v/>
      </c>
      <c r="G10449" t="inlineStr">
        <is>
          <t>2020-07-23 21:26:29</t>
        </is>
      </c>
      <c r="H10449" t="inlineStr"/>
    </row>
    <row r="10450">
      <c r="A10450" t="inlineStr">
        <is>
          <t>hwvng5</t>
        </is>
      </c>
      <c r="B10450" t="inlineStr">
        <is>
          <t>I’m 17 and had cancer</t>
        </is>
      </c>
      <c r="C10450" t="inlineStr">
        <is>
          <t>Honestly when I’m with people and laughing it just feels weird. I can’t really just laugh a lot and with people idk 😐</t>
        </is>
      </c>
      <c r="D10450" t="n">
        <v>2</v>
      </c>
      <c r="E10450" t="n">
        <v>20</v>
      </c>
      <c r="F10450">
        <f>HYPERLINK("https://www.reddit.com/r/cancer/comments/hwvng5/im_17_and_had_cancer/")</f>
        <v/>
      </c>
      <c r="G10450" t="inlineStr">
        <is>
          <t>2020-07-23 22:00:03</t>
        </is>
      </c>
      <c r="H10450" t="inlineStr"/>
    </row>
    <row r="10451">
      <c r="A10451" t="inlineStr">
        <is>
          <t>hwx79u</t>
        </is>
      </c>
      <c r="B10451" t="inlineStr">
        <is>
          <t>Mom recently diagnosed with endometrial cancer, would appreciate support and some direction</t>
        </is>
      </c>
      <c r="C10451" t="inlineStr">
        <is>
          <t>I picked up my mom's D&amp;amp;C biopsy results this morning from the hospital alone. The results state a diagnosis of **"well-differentiated endometrial endometroid adenocarcinoma."** We haven't been able to talk to a doctor yet for further explanation; we're preparing a visit soon.
I understand this points to endometrial cancer and that we really do need to see a doctor. However, I am an only child and I know so little about dealing with this kind of situation. As a result, at the moment I am a mess. I am struggling to understand it but I really want to be able to move forward soon. I have been taking it a bit rough, but I'm also hoping that there may be "positive" aspects to this kind of diagnosis.   
**If anyone can provide me with some explanation (and if possible, hopeful outlooks) based on the diagnostic description above, that would be helpful. Also, I was hoping for your insights and advice on (1) what steps we can take as a family after this; (2) how I can better support my mother; and (3) how I can also support myself because this is difficult for me. Thank you very much.**</t>
        </is>
      </c>
      <c r="D10451" t="n">
        <v>2</v>
      </c>
      <c r="E10451" t="n">
        <v>8</v>
      </c>
      <c r="F10451">
        <f>HYPERLINK("https://www.reddit.com/r/cancer/comments/hwx79u/mom_recently_diagnosed_with_endometrial_cancer/")</f>
        <v/>
      </c>
      <c r="G10451" t="inlineStr">
        <is>
          <t>2020-07-24 00:03:11</t>
        </is>
      </c>
      <c r="H10451" t="inlineStr"/>
    </row>
    <row r="10452">
      <c r="A10452" t="inlineStr">
        <is>
          <t>hwzd2g</t>
        </is>
      </c>
      <c r="B10452" t="inlineStr">
        <is>
          <t>Played Hooky From Chemo This Week</t>
        </is>
      </c>
      <c r="C10452" t="inlineStr">
        <is>
          <t>I'm a 56 year old woman who was diagnosed in 2018 with stage iv liver cancer, metastasized from a single tumor in my colon. (As a public service, GET THOSE COLONOSCOPIES, KIDS! They're not so bad and they give you the really good drugs to get you through it. If I hadn't cancelled one I had scheduled about five years ago we could have caught this before it spread.) 
Anyhoo, I was on the folfox 6 chemo program - cetuximab, oxalyplatin, leucovorin folic acid, and a 5fu flouroricil pump that I despise because I have to wear it home for 46 hours - until this past spring when they had to switch me to folfiri because the platinum was causing allergic reactions. Folfiri is the same chemicals but withbevacizumab replacing the cetuximab and irinotecan replacing oxalyplatin. I've been on chemo every other week for two years total. This week I woke up Wednesday morning and just couldn't bear the idea of dragging that goddam pump around in this humidity and heat. I was initially just going to push the treatment back a week but I have a progress scan next Friday and didn't want to fuck that up. So I just cancelled and told them I'd see them week after next at my next scheduled appointment.
I know I should just suck it up and be grateful. I was very, very advanced when we found this cancer and by rights I should be dead now. This chemo has been a miracle for me, giving me untold extra years of life. But goddammit I can't stand that pump anymore. 
Anybody got any coping strategies for being burned out on this shit? I'm already dreading week after next.</t>
        </is>
      </c>
      <c r="D10452" t="n">
        <v>15</v>
      </c>
      <c r="E10452" t="n">
        <v>20</v>
      </c>
      <c r="F10452">
        <f>HYPERLINK("https://www.reddit.com/r/cancer/comments/hwzd2g/played_hooky_from_chemo_this_week/")</f>
        <v/>
      </c>
      <c r="G10452" t="inlineStr">
        <is>
          <t>2020-07-24 03:26:05</t>
        </is>
      </c>
      <c r="H10452" t="inlineStr"/>
    </row>
    <row r="10453">
      <c r="A10453" t="inlineStr">
        <is>
          <t>hx14uj</t>
        </is>
      </c>
      <c r="B10453" t="inlineStr">
        <is>
          <t>Accepting help from my Dad may put him at risk of radiation exposure</t>
        </is>
      </c>
      <c r="C10453" t="inlineStr">
        <is>
          <t>This is going to be a wall of text, so I apologize in advance. Just venting a little, here.
I have an aggressive variant of Papillary Thyroid Cancer (Tall Cell). Thyroid cancer, though, is generally well managed, with a clear treatment path and a really high survival rate. I’ve heard someone refer to Tall Cell as being “the most aggressive guppy in the fishbowl,” because it lowers the rate of survival fro 97% to something like 83%, but I know that my little guppy is nothing so dangerous as the sharks swimming out there in deeper waters.  My tumor was fairly large (3.3cm) and growing around my vocal nerve, and had spread to at least 6 lymph nodes, but because I am 34 years old and thyroid cancer is staged by age, this makes me Stage 1, Intermediate risk. 
My question is about my parents. They want to help, and my Dad wants to drive me to my Radiation Iodine treatment. The RAI is being given to me at a cancer center which is 5 1/2 hours away (I live in a very rural area in northern Canada). 
They were a little rocked by this diagnosis.  A couple of Grandparents have died from various types of cancer, but I’m the first of their children to be seriously ill, the first of all my cousins (and there are 54 of us) to have any kind of major illness/injury, and not even any of my 25+ aunts and uncles have had cancer (except one aunt currently battling breast cancer). Just writing this out, I can see how incredibly blessed we have been as a family. 
My mom and dad are great, and want to support me as best they can. The problem is that I don’t really need the help. I’m a 34 year old woman, and normally I’m very independent (single, no kids, great career, own my own house). Other than the surgery recovery time (2 weeks - and 6 weeks with a paralyzed vocal cord that has recently recovered), all has been good.  So, for my dad, the idea of driving me to my appointment, helping me navigate the city, etc, is the one way he can feel like he is being supportive, I think. I’m grateful for the help, but at the same time, I used to LIVE in a city (a different one, but still). For 12 years. I can drive myself. I’ve done it tones of times. But I don’t mind dad driving, if it makes him feel better. And I love road-tripping with him. Long talks in the car is one of my favorite things to do with him, and are some of the best memories I have of my dad.
But there are complications to this. RAI makes you radioactive.  As in, I will be giving off radioactive gamma rays, and my bodily fluids (spit, sweat, etc) will be radioactive for a portion of time.  When I get home, I will be In extreme isolation for 7 days. My doctors recommended that, if someone had to dive me, I have to sit 6 feet away (in the back of the van on the passenger side), and that it not be for more than 2 hours. So, at 5 1/2 hours, we are over the limit.  
But there’s another factor: Many people (who live closer) do get a ride to/from the hospital because RAI can make you dizzy, nauseous and fatigued. Normally, they keep you in the hospital for 1-2 hours to make sure this doesn’t happen, but new COVID protocols are that you take the radioactive pill and then you get hustled right out the door.  I don’t want to have to drive nearly 6 hours in that state if I do have an adverse reaction. If I get nauseous, the doctor wants me to take gravol (because you CANNOT throw up, because your vomit is radioactive, and especially that first day, they won’t know how much radiation you actually absorb if you throw up), which makes you sleepy, which is again dangerous for driving. On top of that, because the trip is so long I will HAVE to stop at least once to go to the bathroom (they need you to eliminate body waste every 2 hours). And the doctor was pretty nonchalant about exposing other people via the bathroom break (as long as I take care to flush twice and clean up after myself) or even getting food from a drive through.  
So...I don’t know what to do, and I have all these conflicting emotions about it. I can take care of myself. But I might need the help. But accepting help from my dad may put him at risk for radiation exposure. But he really, really wants to help, and says he has accepted the risk. But I COULD drive myself and not take the risk. Gah!
Does anyone have any advice? I am basically using this forum as an open diary, but if anyone can give me a better perspective or share your wisdom, I would take it. 
If there are any radiation experts out  there, here are some additional factors:
1. I will be given a low dose. Likely 30-50 Mci.
2. My dad is already on Synthroid for an under-active thyroid, and he says if the RAI negatively affects his thyroid gland, they’ll just up his dose 
3. He plans to borrow one one those lead-lined collars from a dentist buddy. Would that even help? I asked my docs, and they said they don’t recommend them, but only because they can trap radiation (if I, for example, spit on my dads neck and then he put the collar on top). But if I stay well away from him, would that not offer some protection? 
 For the record, I asked my doctors, and they said that they prefer I drive myself. However, if I have to be driven, the way we’re planning on doing it (6 feet away in the backside of a van) is the only way to do it. I can’t help but feel I’m not the only one whose done this. This cancer center services all of northern Alberta, the Yukon, and the Northwest Territories. What if I was a little old lady who couldn’t drive herself? 
Ps. Apparently, isolating at the hospital is not an option for anything other than extreme cases and/or special circumstances. 
Any ideas, good people of Reddit?
TLDR: May dad wants to drive me to my radiation treatment for thyroid cancer, which puts him at risk for radiation exposure. I can drive myself, but may need the help if I get dizzy, fatigued, or nauseous. And it is a very long drive (5 1/2 hours). What to do?</t>
        </is>
      </c>
      <c r="D10453" t="n">
        <v>2</v>
      </c>
      <c r="E10453" t="n">
        <v>5</v>
      </c>
      <c r="F10453">
        <f>HYPERLINK("https://www.reddit.com/r/cancer/comments/hx14uj/accepting_help_from_my_dad_may_put_him_at_risk_of/")</f>
        <v/>
      </c>
      <c r="G10453" t="inlineStr">
        <is>
          <t>2020-07-24 05:45:38</t>
        </is>
      </c>
      <c r="H10453" t="inlineStr"/>
    </row>
    <row r="10454">
      <c r="A10454" t="inlineStr">
        <is>
          <t>hx15bv</t>
        </is>
      </c>
      <c r="B10454" t="inlineStr">
        <is>
          <t>Bleeding Nose After Deatg</t>
        </is>
      </c>
      <c r="C10454" t="inlineStr">
        <is>
          <t>My mom was suffering from brain cancer for last 2 years. She was unable to walk or speak. Her hairs and body colour did not change and was as any normal person would have. 
On her last day, she was fine at 5 AM and slept. After some time, when we check her at 8:30 AM, her body Colour was kind of blueish and there was blood from her nose. She was in the same position as she was when she slept. 
What can be the reason for her death? I know its of no use but I just want to know.</t>
        </is>
      </c>
      <c r="D10454" t="n">
        <v>1</v>
      </c>
      <c r="E10454" t="n">
        <v>2</v>
      </c>
      <c r="F10454">
        <f>HYPERLINK("https://www.reddit.com/r/cancer/comments/hx15bv/bleeding_nose_after_deatg/")</f>
        <v/>
      </c>
      <c r="G10454" t="inlineStr">
        <is>
          <t>2020-07-24 05:46:36</t>
        </is>
      </c>
      <c r="H10454" t="inlineStr"/>
    </row>
    <row r="10455">
      <c r="A10455" t="inlineStr">
        <is>
          <t>hx1ewz</t>
        </is>
      </c>
      <c r="B10455" t="inlineStr">
        <is>
          <t>love, life and tears, memories of a child by his father</t>
        </is>
      </c>
      <c r="C10455" t="inlineStr">
        <is>
          <t>*Disclaimer: Sorry for any grammatical mistakes. English is not my native language
There will be small parts, I apologize, I want to tell my son’s story but it is so hard to write in one time.*
I have been hesitating to write on this since a year. It is a too personal, and so terrible to think about. I am writing for memories, a walk down memory lane, may this help me never forget.
**Part1**
My son had a high grade Glioblastoma diagnosed on 2014 (he was at high scool). He followed radiotherapy + two years a chemotherapy (Temodal, also called Temozolomide). The treatment stopped in October 2016 after the showing positive result (tumor size and its activity). 
My son just turned 18 in December 2016, and he was a 1st year medicine student. He worked so hard, I do not remember how many times I saw him crying in his room because of the immediate memory loss issues due to the tumor. We had no choice but to keep thinking positively, as if we will live forever. My son was so dedicated and determined since he was little kid. He has always been a wise child, I see him playing quietly on his Nintendo or Xbox for hours you can barely notice his presence, and at the same time, he has a natural presence and lot of charisma when he talks. His entire education was flawless, and we barely saw any negative sign of his adolescence.
I cannot describe this feeling, there are no schools to teach how to become a parent, and our first child taught us everything. I was an apprentice dad at 23 and a young graduate in engineering, my new life has been built around our son and daughter. I was deeply grateful, I was filled with happiness, I was lucky to have lovely wonderful parents, brother and sisters, wife and children. I have never been venal or opportunist; I have never felt the need to have lot of friends. We never used to get bored at home. One day our children asked us to get out for one to one romantic dinner; we ended up talking about them all the evening.
Beginning of 2017, the descent into the abyss started, the MRI showed that the tumor has recurred plus two other tumors. We immediately started a new chemotherapy protocol based on Avastin + Bellustine. All the medical professionals were supporting and encouraging us, they gave us the feeling that the situation is still under control. 
A week later, my son called me, in a suffering and weary voice “father, can you pick me up” he immediately hung up the phone. I knew something bad had happened. He sat in the car after I arrived, he was very pale, he said nothing, and after minutes of driving I heard, “I am going to die father”. These words chilled my blood, and still echo in my head today; I parked the car trying to understand. He told me that, while in the university classroom, that happens to be right next the hospital, his radiologist and his cancerologist summoned him. Due to the fact that he is an adult now (18 years and one week), they are compelled by law to tell their patient the truth, and the truth is that the Avastin + Bellustine protocol is a palliative treatment. The different tumors have reached a very advanced stage of development, which left him with only 2 to 3 months to live in the best scenario.
It was full of rage and bruised, why did they took him aside for such thing, we almost lived in that hospital for the past 4 years, why they changed their speech? why they’re protecting themselves by protocols, why are they so indifferent now? why didn't they call my son by his name anymore (they use the case number)? I have thousands of questions, but the most important is to talk to my son, there's no possible consolation words. I asked him to stop thinking, I told him that no one knows the future, that we need to continue our fight, I promised him to try every single possible thing.</t>
        </is>
      </c>
      <c r="D10455" t="n">
        <v>10</v>
      </c>
      <c r="E10455" t="n">
        <v>18</v>
      </c>
      <c r="F10455">
        <f>HYPERLINK("https://www.reddit.com/r/cancer/comments/hx1ewz/love_life_and_tears_memories_of_a_child_by_his/")</f>
        <v/>
      </c>
      <c r="G10455" t="inlineStr">
        <is>
          <t>2020-07-24 06:04:16</t>
        </is>
      </c>
      <c r="H10455" t="inlineStr"/>
    </row>
    <row r="10456">
      <c r="A10456" t="inlineStr">
        <is>
          <t>hx72tb</t>
        </is>
      </c>
      <c r="B10456" t="inlineStr">
        <is>
          <t>Dealing with family members</t>
        </is>
      </c>
      <c r="C10456" t="inlineStr">
        <is>
          <t>10 years ago I cut my brother out of my life when he disapproved of my now husband. Our toddler now has cancer and my brother sends the odd message offering help. 
I feel he's only doing it to make himself feel better. Initially I responded with 1 word answers. He doesn't know my kid's diagnosis, treatment plan only what my parents tell him. 
What would you do?</t>
        </is>
      </c>
      <c r="D10456" t="n">
        <v>6</v>
      </c>
      <c r="E10456" t="n">
        <v>34</v>
      </c>
      <c r="F10456">
        <f>HYPERLINK("https://www.reddit.com/r/cancer/comments/hx72tb/dealing_with_family_members/")</f>
        <v/>
      </c>
      <c r="G10456" t="inlineStr">
        <is>
          <t>2020-07-24 11:23:14</t>
        </is>
      </c>
      <c r="H10456" t="inlineStr"/>
    </row>
    <row r="10457">
      <c r="A10457" t="inlineStr">
        <is>
          <t>hx86jn</t>
        </is>
      </c>
      <c r="B10457" t="inlineStr">
        <is>
          <t>Birthday blues</t>
        </is>
      </c>
      <c r="C10457" t="inlineStr">
        <is>
          <t>This is a bit of rant to clear my mind.
I was diagnosed with cancer few months ago. Hopefully I’m half way my chemo plan and after that I’ll have surgery. My doctors are super optimistic and I have responded well to the treatments.
I think I have been handling all this relatively well. I have been working normally, kept my routines as normal as possible and the biggest thing I have been able to sleep as usual.
But every time my 30th birthday comes up the tears start coming and it’s really hard not to start crying. People keep on saying that I should do something special on that day but I really dont want to and I think I have right to feel that way, I mean almost everything tastes bad and I feel tired as hell. I just wish people wold stop making me cry with their good Intentions! 
(I did give my SO permission to make me a cake as it’s our tradition, so I’m not 100% denying the day, others should just back off)</t>
        </is>
      </c>
      <c r="D10457" t="n">
        <v>17</v>
      </c>
      <c r="E10457" t="n">
        <v>18</v>
      </c>
      <c r="F10457">
        <f>HYPERLINK("https://www.reddit.com/r/cancer/comments/hx86jn/birthday_blues/")</f>
        <v/>
      </c>
      <c r="G10457" t="inlineStr">
        <is>
          <t>2020-07-24 12:21:46</t>
        </is>
      </c>
      <c r="H10457" t="inlineStr"/>
    </row>
    <row r="10458">
      <c r="A10458" t="inlineStr">
        <is>
          <t>hx9bsz</t>
        </is>
      </c>
      <c r="B10458" t="inlineStr">
        <is>
          <t>Questions regarding my father</t>
        </is>
      </c>
      <c r="C10458" t="inlineStr">
        <is>
          <t>The cancer in question is my fathers, I hope I am not running afoul of the rules by posting.  The family is struggling to deal with his health and I am hoping to find people who have dealt with similar situations.
My father is a stage 4 cancer patient and a side effect of his cancer is a very rapid impact on his cognition.  He has both lung and kidney cancer and it appears that contributed to a nasty case of hypercalcemia, culminating in an 8-day stay in the hospital last week and part of this.  His blood chemistry has been normalized but I talked to the doctors at the hospital and they said his cognition is unlikely to improve.
My question for this forum is how do we go about helping him?
My mother and father live together, both in their 60's.  The cancer diagnosis was in the last month and treatment has not yet started.  He was to begin Keytruda a week ago but he required hospitalization to stabilize his condition. 
He just got out of the hospital for the hypercalcemia and he checked himself out of a skilled care facility almost 2 weeks early.  He doesn't appear to be able to manage his medication and is an extremely brittle diabetic.  
Today he found a spare set of keys we hadn't yet hidden and drove himself to his doctors office for a non-existent appointment.  While in the waiting room he managed to lose his keys so Mom had to drive him home again, leaving the car at the doctor's office.
We are utterly beside ourselves with worry about his condition, treatment, and financial security.  Mom still works and the strain of maintaining him while working her new job is taking its toll.  She started this job the day he first went to the ER for what we thought was an infection but months later proved to be cancer.  She's already burned all of her sick time as a new employee in a few months of his appointments.  
On top of this, he managed all of the family finances and doesn't want to share that burden.  At one point a telemarketer got ahold of him on his cell and my aunt had to snatch the phone away as he started giving them his credit card information.
I'm trying to supplement by volunteering to help as much as is possible but with dad's sudden loss of cognition it's hard to keep up when he's home alone all day and unwilling to consider a care facility.  Our extended family is volunteering to help as much as they can but with the pandemic we also have to be mindful that Dad's condition is a perfect storm for a COVID-19 horror story.
Any advice or suggestions are appreciated greatly.</t>
        </is>
      </c>
      <c r="D10458" t="n">
        <v>3</v>
      </c>
      <c r="E10458" t="n">
        <v>0</v>
      </c>
      <c r="F10458">
        <f>HYPERLINK("https://www.reddit.com/r/cancer/comments/hx9bsz/questions_regarding_my_father/")</f>
        <v/>
      </c>
      <c r="G10458" t="inlineStr">
        <is>
          <t>2020-07-24 13:24:25</t>
        </is>
      </c>
      <c r="H10458" t="inlineStr"/>
    </row>
    <row r="10459">
      <c r="A10459" t="inlineStr">
        <is>
          <t>hxalw7</t>
        </is>
      </c>
      <c r="B10459" t="inlineStr">
        <is>
          <t>Planning your own funeral</t>
        </is>
      </c>
      <c r="C10459" t="inlineStr">
        <is>
          <t>Anyone going through this?
I sometimes get emotional and start crying when I think about it but other times it's a lot of crying and a bit of joy when I first got an idea of what to put on my headstone.</t>
        </is>
      </c>
      <c r="D10459" t="n">
        <v>1</v>
      </c>
      <c r="E10459" t="n">
        <v>4</v>
      </c>
      <c r="F10459">
        <f>HYPERLINK("https://www.reddit.com/r/cancer/comments/hxalw7/planning_your_own_funeral/")</f>
        <v/>
      </c>
      <c r="G10459" t="inlineStr">
        <is>
          <t>2020-07-24 14:36:07</t>
        </is>
      </c>
      <c r="H10459" t="inlineStr"/>
    </row>
    <row r="10460">
      <c r="A10460" t="inlineStr">
        <is>
          <t>hxaybl</t>
        </is>
      </c>
      <c r="B10460" t="inlineStr">
        <is>
          <t>How to get back to see step-dad and help during COVID?</t>
        </is>
      </c>
      <c r="C10460" t="inlineStr">
        <is>
          <t>Hi all, 
I was wondering if anyone had suggestions.  My step dad has stage 4 metastatic lung cancer. He found out 2.5 years ago. He lives in Illinois and I live in California.  I am very close with my parents.  I've driven back before to help because I have two dogs they both love.  
I want to go back again.  I feel that I need to go back. He told me last night that he is done with treatments.  A dr told him more radiation would only give him 2 additional months (irritates me she even said this because it causes him to lose hope - she can't say for sure).  It's also very wearing on my mom. I am currently working from home due to COVID/SIP.  I'd like to drive back and help, be encouraging, hopefully uplift spirits, etc.  
**The challenge is**... I can't take any chances of him getting COVID.  I'd have to stay in hotel two nights on drive back.  I was just tested for COVID this week (negative) and have been very serious about wearing mask, etc. I am just struggling with ***how to go back and isolate for 2 weeks when I don't have anywhere to isolate.***  
Any suggestions? Thanks a lot!</t>
        </is>
      </c>
      <c r="D10460" t="n">
        <v>4</v>
      </c>
      <c r="E10460" t="n">
        <v>0</v>
      </c>
      <c r="F10460">
        <f>HYPERLINK("https://www.reddit.com/r/cancer/comments/hxaybl/how_to_get_back_to_see_stepdad_and_help_during/")</f>
        <v/>
      </c>
      <c r="G10460" t="inlineStr">
        <is>
          <t>2020-07-24 14:58:25</t>
        </is>
      </c>
      <c r="H10460" t="inlineStr"/>
    </row>
    <row r="10461">
      <c r="A10461" t="inlineStr">
        <is>
          <t>hxb072</t>
        </is>
      </c>
      <c r="B10461" t="inlineStr">
        <is>
          <t>my mom just got diagnosed with breast cancer. Idk what to do. Idk how to support her emotional and physically. Idk what to expect.</t>
        </is>
      </c>
      <c r="C10461" t="inlineStr">
        <is>
          <t xml:space="preserve"> I keep thinking negatively. I keep crying. Im scared of the things that is gonna happen. I do not want her to suffer and going through pain. I need advice on how i can help her. And what can i expect. Thanks in advance</t>
        </is>
      </c>
      <c r="D10461" t="n">
        <v>2</v>
      </c>
      <c r="E10461" t="n">
        <v>12</v>
      </c>
      <c r="F10461">
        <f>HYPERLINK("https://www.reddit.com/r/cancer/comments/hxb072/my_mom_just_got_diagnosed_with_breast_cancer_idk/")</f>
        <v/>
      </c>
      <c r="G10461" t="inlineStr">
        <is>
          <t>2020-07-24 15:01:44</t>
        </is>
      </c>
      <c r="H10461" t="inlineStr"/>
    </row>
    <row r="10462">
      <c r="A10462" t="inlineStr">
        <is>
          <t>hxbz5j</t>
        </is>
      </c>
      <c r="B10462" t="inlineStr">
        <is>
          <t>Losing your support system so early on..</t>
        </is>
      </c>
      <c r="C10462" t="inlineStr">
        <is>
          <t>Has anyone dealt with everyone in their life abandoning them? My own dad, who has bent over backwards for me, just told me he's sick of me going back and forth with my fears and to stop worrying so much. He said, "why do you always think of the worst case scenario" and told me I should be happy that therapy will be covered by my insurance after "all of this is over." News flash: this is the worst case scenario. Wtf?
I'm horrified. I feel so alone. It was just the icing on the cake to days of all of my friends in my life seemingly cutting me off and not having any interest in talking to me anymore.
I'm always there for everyone else. Always. I put everyone else before me and I don't understand what i did. It took all of them less than a month to dip out of my life. Like, sorry cancer is too much of a burden for you.</t>
        </is>
      </c>
      <c r="D10462" t="n">
        <v>6</v>
      </c>
      <c r="E10462" t="n">
        <v>19</v>
      </c>
      <c r="F10462">
        <f>HYPERLINK("https://www.reddit.com/r/cancer/comments/hxbz5j/losing_your_support_system_so_early_on/")</f>
        <v/>
      </c>
      <c r="G10462" t="inlineStr">
        <is>
          <t>2020-07-24 16:03:37</t>
        </is>
      </c>
      <c r="H10462" t="inlineStr"/>
    </row>
    <row r="10463">
      <c r="A10463" t="inlineStr">
        <is>
          <t>hxcj7r</t>
        </is>
      </c>
      <c r="B10463" t="inlineStr">
        <is>
          <t>Waiting to find out what my future holds.</t>
        </is>
      </c>
      <c r="C10463" t="inlineStr">
        <is>
          <t>The past 3 years I've had quite a few symptoms. Small things would happen and I kept brushing them off due too my life style choices. I cook for a living and anyone who's worked in the restaurant would now understand what I mean by "my life style choices". About 2 months back though was the kicker. I woke up and my face was tingly and numb. Over the course of a few days it got paralyzed and I was diagnosed with bells palsy. The last few weeks I've been getting dizzy, my focus, memory, reflexs, eye sight, smell taste all dipped drastically and I started having muscle spasm that keep getting worse. I went to a clinic and they advised me to go to an urgent Care or er as they don't have the proper resources there for my situation. At the er the doctor ordered a CT scan  too make sure I didn't have a stroke or a brain bleed and went through all my records. Had blood work done aswell. The CT showed that here is a mass in my brain, and my white blood cell count was concerning. With all my ongoing medical issues and my WBC count he was alarmed. Now this is still a maybe and I'm trying to keep my mind on that but it's honestly been the only thing I can think about. My region is still shut down I have a bunch of appointments coming up in late August about  biopsy, meeting with neurologist ect.  A full body MRI that was ordered could take a while, I was told even priority cases are backed up between 1 too 3 months. Honestly I'm so fucking scared but I always had to be the rock for my family I've taken care of em since I was young I always had to be the strong one  I haven't told them yet just 2 close friends and honestly idk. This has been eating me up and each day gets worse staying positive is so fucking hard after your told you this type of news. Again it's a maybe I've been spending most of my time locked in my room so my nephew's and parents don't see me like this I honestly just feel lost right now I wish I can just go to bed and wake up in August or whenever I'll know for sure cause then there won't be this uncertainty. This just fucking sucks</t>
        </is>
      </c>
      <c r="D10463" t="n">
        <v>1</v>
      </c>
      <c r="E10463" t="n">
        <v>5</v>
      </c>
      <c r="F10463">
        <f>HYPERLINK("https://www.reddit.com/r/cancer/comments/hxcj7r/waiting_to_find_out_what_my_future_holds/")</f>
        <v/>
      </c>
      <c r="G10463" t="inlineStr">
        <is>
          <t>2020-07-24 16:38:02</t>
        </is>
      </c>
      <c r="H10463" t="inlineStr"/>
    </row>
    <row r="10464">
      <c r="A10464" t="inlineStr">
        <is>
          <t>hxcrq7</t>
        </is>
      </c>
      <c r="B10464" t="inlineStr">
        <is>
          <t>Brain cancer.</t>
        </is>
      </c>
      <c r="C10464" t="inlineStr">
        <is>
          <t>Update but don’t know how too. My oncologist called and I’m dying. While my liver biopsy was clear, the migraines I’ve been having for the last 2 weeks are from 10 (minimum) brain tumors. Inoperable. I get to have more radiation to hopefully slow it but I’m dying. I knew cancer was going to kill me but this is unexpected.</t>
        </is>
      </c>
      <c r="D10464" t="n">
        <v>10</v>
      </c>
      <c r="E10464" t="n">
        <v>31</v>
      </c>
      <c r="F10464">
        <f>HYPERLINK("https://www.reddit.com/r/cancer/comments/hxcrq7/brain_cancer/")</f>
        <v/>
      </c>
      <c r="G10464" t="inlineStr">
        <is>
          <t>2020-07-24 16:53:11</t>
        </is>
      </c>
      <c r="H10464" t="inlineStr"/>
    </row>
    <row r="10465">
      <c r="A10465" t="inlineStr">
        <is>
          <t>hxcwq3</t>
        </is>
      </c>
      <c r="B10465" t="inlineStr">
        <is>
          <t>Anyone had personal experience with chemo not working for months but then working?</t>
        </is>
      </c>
      <c r="C10465" t="inlineStr">
        <is>
          <t>The title of this post probably sounds like I'm in denial, but it's kind of what my husband's oncologist has tried to lead us to believe.
Last year husband was diagnosed with stage IV colon cancer and after three months of FOLFOX, he was NED. He took about two months off chemo, but it was obvious the disease was rapidly coming back, so he went back on treatment. At first his oncologist only put him on maintenance, but then after a few rounds my husband insisted the oxaliplatin be added back in. The oncologist kept saying they're "putting the brakes" on the cancer, but his CEA kept going up and up and up. It never went down or even stabilized. He had some "good" scan results in May, but really the scans just showed stability, not slowing the disease down. He finally switched to FOLFIRI two treatments ago, but his last CEA had gone up by over 30 points again. It has now been five months since he started treatment again.
Is there any possibility that this is going to turn around or is this most likely proof the FOLFIRI isn't working? The oncologist has been saying that the treatment will eventually "catch up" to the disease and it's going to turn around, it will just take time because the disease got out of hand so quickly. My husband and I don't think this is likely. Last year his CEA continually went down and never went up more than a few tenths of a point. This time it hasn't gone down at all. The treatment might be having some effect, but it seems clear that overall it's not working.
Has anyone ever been in this situation and eventually get the disease to slow down, or is the best we can hope for that the treatment just slows the disease down a little bit?</t>
        </is>
      </c>
      <c r="D10465" t="n">
        <v>1</v>
      </c>
      <c r="E10465" t="n">
        <v>0</v>
      </c>
      <c r="F10465">
        <f>HYPERLINK("https://www.reddit.com/r/cancer/comments/hxcwq3/anyone_had_personal_experience_with_chemo_not/")</f>
        <v/>
      </c>
      <c r="G10465" t="inlineStr">
        <is>
          <t>2020-07-24 17:02:14</t>
        </is>
      </c>
      <c r="H10465" t="inlineStr"/>
    </row>
    <row r="10466">
      <c r="A10466" t="inlineStr">
        <is>
          <t>hxdqrs</t>
        </is>
      </c>
      <c r="B10466" t="inlineStr">
        <is>
          <t>Built up the courage to get checked need help with anxiety</t>
        </is>
      </c>
      <c r="C10466" t="inlineStr">
        <is>
          <t>I’ve been worried about testicular cancer as I’ve noticed righty is slightly firmer than lefty upon checking for the first time. I’m going to book an appointment to get checked by a doctor. I’m terrified and can’t stop googling. I hope I haven’t noticed too late and I’m scared about the treatment that can come with it. I had a friend who passed away to bone cancer and chemotherapy looked horrible I’m not sure I’d have the strength for it. I might be overthinking a bit much saying I already have it but the anxiety is killing me. Can anyone help me calm down a bit?</t>
        </is>
      </c>
      <c r="D10466" t="n">
        <v>2</v>
      </c>
      <c r="E10466" t="n">
        <v>5</v>
      </c>
      <c r="F10466">
        <f>HYPERLINK("https://www.reddit.com/r/cancer/comments/hxdqrs/built_up_the_courage_to_get_checked_need_help/")</f>
        <v/>
      </c>
      <c r="G10466" t="inlineStr">
        <is>
          <t>2020-07-24 17:56:23</t>
        </is>
      </c>
      <c r="H10466" t="inlineStr"/>
    </row>
    <row r="10467">
      <c r="A10467" t="inlineStr">
        <is>
          <t>hxdtme</t>
        </is>
      </c>
      <c r="B10467" t="inlineStr">
        <is>
          <t>I might have a brain tumor</t>
        </is>
      </c>
      <c r="C10467" t="inlineStr">
        <is>
          <t>I don't know if this is the right place but I need to just... talk. I can't worry my family any more.
I went to an ophthalmologist today to get a possible case of pseudotumor cerebri checked out, as my optic nerve is moving. I got all my scans and stuff done and the doctor told me that I need to have an MRI done to scan for a brain tumor. He said it's an incredibly low chance, but we have to be able to rule it out first.
I'm so scared. I know it's a low chance, but I can't stop freaking out. I am a 17 year old girl. I have an amazing family. I attend a great high school with great friends. I have the possibility to go to a great college.
But now I'm so scared about this. I don't know anything about anything. I don't know if I should be scared or not. I don't know. I'm scared. That's all I know. I have a severe anxiety disorder, so that's not helping.
I don't know. I'm scared. More scared than I've ever been, even if it's just a miniscule chance. I feel like a young child. All I want to do is cry in my parents' and siblings' arms, and I've not even been told anything. The MRI is Thursday. I fly out for school Friday. I will be on a plane when my dad gets the results. I'm so scared. I'm sorry if this makes no sense, I'm just terrified. I've been crying for hours.</t>
        </is>
      </c>
      <c r="D10467" t="n">
        <v>2</v>
      </c>
      <c r="E10467" t="n">
        <v>7</v>
      </c>
      <c r="F10467">
        <f>HYPERLINK("https://www.reddit.com/r/cancer/comments/hxdtme/i_might_have_a_brain_tumor/")</f>
        <v/>
      </c>
      <c r="G10467" t="inlineStr">
        <is>
          <t>2020-07-24 18:01:46</t>
        </is>
      </c>
      <c r="H10467" t="inlineStr">
        <is>
          <t xml:space="preserve">Patient </t>
        </is>
      </c>
    </row>
    <row r="10468">
      <c r="A10468" t="inlineStr">
        <is>
          <t>hxi353</t>
        </is>
      </c>
      <c r="B10468" t="inlineStr">
        <is>
          <t>Symptoms</t>
        </is>
      </c>
      <c r="C10468" t="inlineStr">
        <is>
          <t>Hi, i wanted to ask if anyone has had a pre-diagnosis symptom of burning where a brain tumor was present. It can feel like burning, warmness etc.</t>
        </is>
      </c>
      <c r="D10468" t="n">
        <v>0</v>
      </c>
      <c r="E10468" t="n">
        <v>1</v>
      </c>
      <c r="F10468">
        <f>HYPERLINK("https://www.reddit.com/r/cancer/comments/hxi353/symptoms/")</f>
        <v/>
      </c>
      <c r="G10468" t="inlineStr">
        <is>
          <t>2020-07-24 23:24:54</t>
        </is>
      </c>
      <c r="H10468" t="inlineStr"/>
    </row>
    <row r="10469">
      <c r="A10469" t="inlineStr">
        <is>
          <t>hxk6j7</t>
        </is>
      </c>
      <c r="B10469" t="inlineStr">
        <is>
          <t>Fuck Cancer Fuck Covid-19...</t>
        </is>
      </c>
      <c r="C10469" t="inlineStr">
        <is>
          <t>First of all, English is not my primary language, so I apologize for my poor grammar, and overly simple sentences.
During this unforeseen global pandemic, I decided to see my sister, who has fought Stage 4 cancer in the last 3 years. This is mainly due to her being extra lethargic, and in decline of her health lately, so it could be my last chance to meet her in person, and have a conversation. 
Less than 16 hours ago, everything went as planned; me seeing her after 14 days of quarantine. 
But, my world has turned upside down in 1 hour after my arrival; my sister is currently on her last breath, linked to life supporter, and signed not to be get cpr or any other attempt to bring her back..
Doctors said by tomorrow, she will be passed. 
I tried to hear her voice over the phone, but all I heard was the sound of her exhales...
Now, because of the goddamn quarantine, I am not allowed to be part of her funeral......
Fuck Cancer!!! 
Fuck Covid-19!!!</t>
        </is>
      </c>
      <c r="D10469" t="n">
        <v>1</v>
      </c>
      <c r="E10469" t="n">
        <v>12</v>
      </c>
      <c r="F10469">
        <f>HYPERLINK("https://www.reddit.com/r/cancer/comments/hxk6j7/fuck_cancer_fuck_covid19/")</f>
        <v/>
      </c>
      <c r="G10469" t="inlineStr">
        <is>
          <t>2020-07-25 02:48:59</t>
        </is>
      </c>
      <c r="H10469" t="inlineStr"/>
    </row>
    <row r="10470">
      <c r="A10470" t="inlineStr">
        <is>
          <t>hxktng</t>
        </is>
      </c>
      <c r="B10470" t="inlineStr">
        <is>
          <t>DAE notice that people tend to run the other way when you mention cancer?</t>
        </is>
      </c>
      <c r="C10470" t="inlineStr">
        <is>
          <t>When I mention my mum has cancer to anyone they almost always tend to go silent and pretty much run the other way. Does anyone else experience this?</t>
        </is>
      </c>
      <c r="D10470" t="n">
        <v>1</v>
      </c>
      <c r="E10470" t="n">
        <v>7</v>
      </c>
      <c r="F10470">
        <f>HYPERLINK("https://www.reddit.com/r/cancer/comments/hxktng/dae_notice_that_people_tend_to_run_the_other_way/")</f>
        <v/>
      </c>
      <c r="G10470" t="inlineStr">
        <is>
          <t>2020-07-25 03:51:53</t>
        </is>
      </c>
      <c r="H10470" t="inlineStr"/>
    </row>
    <row r="10471">
      <c r="A10471" t="inlineStr">
        <is>
          <t>hxmi14</t>
        </is>
      </c>
      <c r="B10471" t="inlineStr">
        <is>
          <t>How long does nausea last?</t>
        </is>
      </c>
      <c r="C10471" t="inlineStr">
        <is>
          <t>My grandmother had a chemo treatment this past Monday and around Wednesday developed an upset stomach that doesn’t seem to be letting up at all. She’s been receiving treatments for a year (this was her 3rd or 4th of this specific type of chemo) and she’s never had any nausea or sickness before. Just curious if it’s likely to be chemo related this many days after treatment? Thanks</t>
        </is>
      </c>
      <c r="D10471" t="n">
        <v>1</v>
      </c>
      <c r="E10471" t="n">
        <v>5</v>
      </c>
      <c r="F10471">
        <f>HYPERLINK("https://www.reddit.com/r/cancer/comments/hxmi14/how_long_does_nausea_last/")</f>
        <v/>
      </c>
      <c r="G10471" t="inlineStr">
        <is>
          <t>2020-07-25 06:13:07</t>
        </is>
      </c>
      <c r="H10471" t="inlineStr"/>
    </row>
    <row r="10472">
      <c r="A10472" t="inlineStr">
        <is>
          <t>hxsena</t>
        </is>
      </c>
      <c r="B10472" t="inlineStr">
        <is>
          <t>January clear x-ray - July Stage 4 lung cancer.</t>
        </is>
      </c>
      <c r="C10472" t="inlineStr">
        <is>
          <t>I'm sure like many of you, being diagnosed or a loved one being diagnosed has brought you to this subreddit. My father, age 63 went from a clear x-ray in January to stage 4 lung cancer in July. We just checked into the Mayo-Clinic Jacksonville two days ago and this has honestly been the scariest thing I've gone through in my entire life. We're still waiting on a biopsy to confirm what type of cancer it is, but it appears to be small cell and  has spread from his lungs to his brain, adrenal gland and bones. His biggest fear is dying alone in a hospital... But during the age of Covid-19, we are not allowed to visit him aside from FaceTime. Almost every Dr is saying is small cell, I've just never heard of it spreading this quickly.
Until the results are in, the Drs understandably can't give us a course of treatment or action... Every type of therapy is running through my head from Chemotherapy, radiation and immunotherapy to exploring clinical trials... I don't honestly know what I'm looking for from this subreddit, but I know and believe in the power of information and communication, and reddit has been my sanctuary for many traumatic times.
He has always had an incredibly high white blood cell count, so maybe immunotherapy can help or save him?...
If anyone has any sort of experience or something..  anything they can offer in the way of how I should approach this, I would be eternally grateful. I know there are miracle stories out there, you hear about then every day... But as an athiest, I'm trying to keep my mind clear and focus on the facts of the situation along with statistics to help my family make decisions.
I don't want to restrict the type of answers anyone can give so any responses would be most appreciated... But I just keep finding myself running around in circles. I want and wish for there to be a cure, but I know only a handful survive the initial diagnosis and even fewer are around to tell their story in the aftermath.
Please, anyone... I'm looking for a miracle but every time I see him or speak with the Dr, I just keep coming to the same conclusion, no matter what, I'm going to loose my hero and my best friend. I don't have children yet, but all I've ever wanted with my father is for him to look at my child the way my grandfather looked at me.</t>
        </is>
      </c>
      <c r="D10472" t="n">
        <v>1</v>
      </c>
      <c r="E10472" t="n">
        <v>8</v>
      </c>
      <c r="F10472">
        <f>HYPERLINK("https://www.reddit.com/r/cancer/comments/hxsena/january_clear_xray_july_stage_4_lung_cancer/")</f>
        <v/>
      </c>
      <c r="G10472" t="inlineStr">
        <is>
          <t>2020-07-25 12:16:07</t>
        </is>
      </c>
      <c r="H10472" t="inlineStr"/>
    </row>
    <row r="10473">
      <c r="A10473" t="inlineStr">
        <is>
          <t>hxsybu</t>
        </is>
      </c>
      <c r="B10473" t="inlineStr">
        <is>
          <t>Sister passed 3 hours ago....</t>
        </is>
      </c>
      <c r="C10473" t="inlineStr">
        <is>
          <t>Thank you everyone for your support on my previous post.
About 3 hours ago, my sister passed.
I feel okay now, but my guess is that I am still in denial; no tears yet... 
I have so many things in my head to express, but I don't have power to do so.
Just call your loved one with or without cancer, and tell them that you love them. 
Cancer sucks.
Fuck Covid-19..</t>
        </is>
      </c>
      <c r="D10473" t="n">
        <v>1</v>
      </c>
      <c r="E10473" t="n">
        <v>11</v>
      </c>
      <c r="F10473">
        <f>HYPERLINK("https://www.reddit.com/r/cancer/comments/hxsybu/sister_passed_3_hours_ago/")</f>
        <v/>
      </c>
      <c r="G10473" t="inlineStr">
        <is>
          <t>2020-07-25 12:48:31</t>
        </is>
      </c>
      <c r="H10473" t="inlineStr"/>
    </row>
    <row r="10474">
      <c r="A10474" t="inlineStr">
        <is>
          <t>hxu34v</t>
        </is>
      </c>
      <c r="B10474" t="inlineStr">
        <is>
          <t>How did you find getting back in the gym after a liver resection?</t>
        </is>
      </c>
      <c r="C10474" t="inlineStr">
        <is>
          <t>Had a liver resection dec 31st then 8 cycles of adjuvant chemo. Planning on going back to the gym tomorrow but I still have a bit of stomach pain and am worried about damaging myself.</t>
        </is>
      </c>
      <c r="D10474" t="n">
        <v>1</v>
      </c>
      <c r="E10474" t="n">
        <v>6</v>
      </c>
      <c r="F10474">
        <f>HYPERLINK("https://www.reddit.com/r/cancer/comments/hxu34v/how_did_you_find_getting_back_in_the_gym_after_a/")</f>
        <v/>
      </c>
      <c r="G10474" t="inlineStr">
        <is>
          <t>2020-07-25 13:56:29</t>
        </is>
      </c>
      <c r="H10474" t="inlineStr"/>
    </row>
    <row r="10475">
      <c r="A10475" t="inlineStr">
        <is>
          <t>hxxp2a</t>
        </is>
      </c>
      <c r="B10475" t="inlineStr">
        <is>
          <t>Advice for Dealing With Dry Heaves?</t>
        </is>
      </c>
      <c r="C10475" t="inlineStr">
        <is>
          <t>Hi everyone, my dad is undergoing infusions right now to deal with his liver cancer, and along with the treatment he has been experiencing lots of side effects. One of the worst and most prominent is dry heaves. It seems like he has dry heaving episodes at least 1-2 times a day (he never actually throws up, but it is a very painful process for him). He is taking Zofran, but I'm not sure if it's really helping him.
Has anyone else experienced this? And, if you have, do you have any advice on how to deal with it? Or is it just kind of something we have to learn to accept?
Thank you so much in advance.</t>
        </is>
      </c>
      <c r="D10475" t="n">
        <v>1</v>
      </c>
      <c r="E10475" t="n">
        <v>5</v>
      </c>
      <c r="F10475">
        <f>HYPERLINK("https://www.reddit.com/r/cancer/comments/hxxp2a/advice_for_dealing_with_dry_heaves/")</f>
        <v/>
      </c>
      <c r="G10475" t="inlineStr">
        <is>
          <t>2020-07-25 17:51:03</t>
        </is>
      </c>
      <c r="H10475" t="inlineStr"/>
    </row>
    <row r="10476">
      <c r="A10476" t="inlineStr">
        <is>
          <t>hxxvqa</t>
        </is>
      </c>
      <c r="B10476" t="inlineStr">
        <is>
          <t>PrepaPreparing for my death.</t>
        </is>
      </c>
      <c r="C10476" t="inlineStr">
        <is>
          <t>What ways did family prepare you for passing that made it easier. I’ve picked out my urn and I’m getting my cremation arrangements in place. I’m even working on which hospice will take care of me. My daughter will get my jewelry and clothes. What else can I do to make it easier for them. Any advice is appreciated!</t>
        </is>
      </c>
      <c r="D10476" t="n">
        <v>1</v>
      </c>
      <c r="E10476" t="n">
        <v>17</v>
      </c>
      <c r="F10476">
        <f>HYPERLINK("https://www.reddit.com/r/cancer/comments/hxxvqa/prepapreparing_for_my_death/")</f>
        <v/>
      </c>
      <c r="G10476" t="inlineStr">
        <is>
          <t>2020-07-25 18:03:58</t>
        </is>
      </c>
      <c r="H10476" t="inlineStr"/>
    </row>
    <row r="10477">
      <c r="A10477" t="inlineStr">
        <is>
          <t>hy13uw</t>
        </is>
      </c>
      <c r="B10477" t="inlineStr">
        <is>
          <t>Starting oral chemo again</t>
        </is>
      </c>
      <c r="C10477" t="inlineStr">
        <is>
          <t>I have stage four kidney cancer and I know that in the grand scheme of things I have it pretty good. 
I just had my right kidney and main tumor removed so I got to take a break from my oral chemo (Inlyta) in preparation for surgery.
I restart all of the treatment again on Wednesday and I am dreading it so much. The second I stopped taking it, my bowels were normal, I wasn’t nauseous EVER, no stomach aches, no painful rashes and scabs on my hands and feet, finally getting to be normal for a second. 
But now, I’ve got these incisions I’m still healing from and I have to start taking these poison pills again. I’m just so conflicted. I should be grateful because they’re working and the mets in my lung are smaller and I can actually breathe again. 
But god damn, I’m just really in my feelings about this. I’m not going to refuse taking them because I don’t want to quit something I can put up with but I just miss being healthy and normal. I wish I was healthy and normal and I’m mad that I have to go through this to survive.</t>
        </is>
      </c>
      <c r="D10477" t="n">
        <v>1</v>
      </c>
      <c r="E10477" t="n">
        <v>6</v>
      </c>
      <c r="F10477">
        <f>HYPERLINK("https://www.reddit.com/r/cancer/comments/hy13uw/starting_oral_chemo_again/")</f>
        <v/>
      </c>
      <c r="G10477" t="inlineStr">
        <is>
          <t>2020-07-25 22:04:09</t>
        </is>
      </c>
      <c r="H10477" t="inlineStr">
        <is>
          <t xml:space="preserve">Patient </t>
        </is>
      </c>
    </row>
    <row r="10478">
      <c r="A10478" t="inlineStr">
        <is>
          <t>hy22bw</t>
        </is>
      </c>
      <c r="B10478" t="inlineStr">
        <is>
          <t>Substitute for medical morphine?</t>
        </is>
      </c>
      <c r="C10478" t="inlineStr">
        <is>
          <t>Hello first and foremost I hope all is well and safe.
My Dad was diagnosed stage 4 lung cancer, it took us by surprise because he never smoked a cigarette and he always lead a healthy life style he was diagnosed in the October of 2020.
Things are difficult as he is now in pain and the hospital staff are injecting him with medical morphine 3 times a day. His pain is definitely better as he can now sit up, eat and talk but we are noticing him going through withdraws once the morphine wears off.  
We have hope for him 101% but we also don't want morphine addiction to be another problem my Dad has to face along side cancer, is there any alternatives to medical morphine that we can discuss with the doctor?
All the best</t>
        </is>
      </c>
      <c r="D10478" t="n">
        <v>1</v>
      </c>
      <c r="E10478" t="n">
        <v>0</v>
      </c>
      <c r="F10478">
        <f>HYPERLINK("https://www.reddit.com/r/cancer/comments/hy22bw/substitute_for_medical_morphine/")</f>
        <v/>
      </c>
      <c r="G10478" t="inlineStr">
        <is>
          <t>2020-07-25 23:25:41</t>
        </is>
      </c>
      <c r="H10478" t="inlineStr"/>
    </row>
    <row r="10479">
      <c r="A10479" t="inlineStr">
        <is>
          <t>hy24m7</t>
        </is>
      </c>
      <c r="B10479" t="inlineStr">
        <is>
          <t>(Question) Alternative to medical morphine injections?</t>
        </is>
      </c>
      <c r="C10479" t="inlineStr">
        <is>
          <t xml:space="preserve"> 
Hello first and foremost I hope all is well and safe.
My Dad was diagnosed stage 4 lung cancer, it took us by surprise because he never smoked a cigarette and he always lead a healthy life style he was diagnosed in the October of 2020.
Things are difficult as he is now in pain and the hospital staff are injecting him with medical morphine 3 times a day. His pain is definitely better as he can now sit up, eat and talk but we are noticing him going through withdraws once the morphine wears off.
We have hope for him 101% but we also don't want morphine addiction to be another problem my Dad has to face along side cancer, is there any alternatives to medical morphine that we can discuss with the doctor?
All the best</t>
        </is>
      </c>
      <c r="D10479" t="n">
        <v>1</v>
      </c>
      <c r="E10479" t="n">
        <v>7</v>
      </c>
      <c r="F10479">
        <f>HYPERLINK("https://www.reddit.com/r/cancer/comments/hy24m7/question_alternative_to_medical_morphine/")</f>
        <v/>
      </c>
      <c r="G10479" t="inlineStr">
        <is>
          <t>2020-07-25 23:31:20</t>
        </is>
      </c>
      <c r="H10479" t="inlineStr"/>
    </row>
    <row r="10480">
      <c r="A10480" t="inlineStr">
        <is>
          <t>hy5zwi</t>
        </is>
      </c>
      <c r="B10480" t="inlineStr">
        <is>
          <t>Buddy of mine got cancer</t>
        </is>
      </c>
      <c r="C10480" t="inlineStr">
        <is>
          <t>So a buddy of mine(male, aged 24) got a cancer which i heard is sized 25x23cm. It was in the upper torso somewhere. how lethal is it?</t>
        </is>
      </c>
      <c r="D10480" t="n">
        <v>1</v>
      </c>
      <c r="E10480" t="n">
        <v>0</v>
      </c>
      <c r="F10480">
        <f>HYPERLINK("https://www.reddit.com/r/cancer/comments/hy5zwi/buddy_of_mine_got_cancer/")</f>
        <v/>
      </c>
      <c r="G10480" t="inlineStr">
        <is>
          <t>2020-07-26 05:19:50</t>
        </is>
      </c>
      <c r="H10480" t="inlineStr"/>
    </row>
    <row r="10481">
      <c r="A10481" t="inlineStr">
        <is>
          <t>hy687z</t>
        </is>
      </c>
      <c r="B10481" t="inlineStr">
        <is>
          <t>Muscle spasm tricks?</t>
        </is>
      </c>
      <c r="C10481" t="inlineStr">
        <is>
          <t>I’m on zarxio injections due to low wbc’s and am having sucky muscle spasms. I know Claritin works great for bone pain but has anyone experienced this side effect and found a solution? I’d love to be able to play with my toddler today or at least push him on the swing-set but unless I find a magic bullet that’s not gonna happen.</t>
        </is>
      </c>
      <c r="D10481" t="n">
        <v>1</v>
      </c>
      <c r="E10481" t="n">
        <v>15</v>
      </c>
      <c r="F10481">
        <f>HYPERLINK("https://www.reddit.com/r/cancer/comments/hy687z/muscle_spasm_tricks/")</f>
        <v/>
      </c>
      <c r="G10481" t="inlineStr">
        <is>
          <t>2020-07-26 05:37:44</t>
        </is>
      </c>
      <c r="H10481" t="inlineStr"/>
    </row>
    <row r="10482">
      <c r="A10482" t="inlineStr">
        <is>
          <t>hy7coa</t>
        </is>
      </c>
      <c r="B10482" t="inlineStr">
        <is>
          <t>Grandmother (84) is having stent fitted following recent oesophagus cancer diagnosis.</t>
        </is>
      </c>
      <c r="C10482" t="inlineStr">
        <is>
          <t>Has anyone been through this? Will it make it more comfortable for her?  She can’t swallow anything other than runny liquids, she’s struggling with a nutrient milkshake the doctors gave her because it’s fairly thick in consistency.
Stent it being fitted Thursday 30th.
What’s the likelihood of her making it to our wedding on 29th August?
I’m sorry for all the questions, but I’ve (luckily?) never been through this before.
Thank you to anybody who finds the time to respond.</t>
        </is>
      </c>
      <c r="D10482" t="n">
        <v>1</v>
      </c>
      <c r="E10482" t="n">
        <v>1</v>
      </c>
      <c r="F10482">
        <f>HYPERLINK("https://www.reddit.com/r/cancer/comments/hy7coa/grandmother_84_is_having_stent_fitted_following/")</f>
        <v/>
      </c>
      <c r="G10482" t="inlineStr">
        <is>
          <t>2020-07-26 06:57:43</t>
        </is>
      </c>
      <c r="H10482" t="inlineStr"/>
    </row>
    <row r="10483">
      <c r="A10483" t="inlineStr">
        <is>
          <t>hy88ez</t>
        </is>
      </c>
      <c r="B10483" t="inlineStr">
        <is>
          <t>Anyone know any resources similar to a pen pal for cancer experiences?</t>
        </is>
      </c>
      <c r="C10483" t="inlineStr">
        <is>
          <t>Hello everyone! In my sophomore year of college I was diagnosed with Stage 3B Hodgkin's Lymphoma and went through both chemo and radiation for treatment. While I have been in remission for five years now, I have recently been reflecting on my experience (as I tend to do when the anniversary of my remission comes about) and I was looking to get involved more in the cancer community. While I have done professional work in emotional support for cancer patients, I was looking for a less formal opportunity to talk with others both as a source of support and someone who I can just talk through my own experiences with. Not really sure what type of format I would look for but felt this would be a good place to start!</t>
        </is>
      </c>
      <c r="D10483" t="n">
        <v>1</v>
      </c>
      <c r="E10483" t="n">
        <v>2</v>
      </c>
      <c r="F10483">
        <f>HYPERLINK("https://www.reddit.com/r/cancer/comments/hy88ez/anyone_know_any_resources_similar_to_a_pen_pal/")</f>
        <v/>
      </c>
      <c r="G10483" t="inlineStr">
        <is>
          <t>2020-07-26 07:53:09</t>
        </is>
      </c>
      <c r="H10483" t="inlineStr"/>
    </row>
    <row r="10484">
      <c r="A10484" t="inlineStr">
        <is>
          <t>hy9j7s</t>
        </is>
      </c>
      <c r="B10484" t="inlineStr">
        <is>
          <t>Should I take a test?</t>
        </is>
      </c>
      <c r="C10484" t="inlineStr">
        <is>
          <t>I'm 22m, I used to cycle for 30km daily for 2 months and barely lost 4kgs in that period. I then took a 2 month gap but was very active and walked for atleast 10kms daily. Then I resumed cycling and lost 7kgs in just 2 months. I lost noticeable amount of muscle mass and now I can feel bones just by touching wrists. 
Is this because of stress, because I am working 10hours daily and sleep for 6 hrs, or should I be more worried?</t>
        </is>
      </c>
      <c r="D10484" t="n">
        <v>1</v>
      </c>
      <c r="E10484" t="n">
        <v>3</v>
      </c>
      <c r="F10484">
        <f>HYPERLINK("https://www.reddit.com/r/cancer/comments/hy9j7s/should_i_take_a_test/")</f>
        <v/>
      </c>
      <c r="G10484" t="inlineStr">
        <is>
          <t>2020-07-26 09:11:11</t>
        </is>
      </c>
      <c r="H10484" t="inlineStr"/>
    </row>
    <row r="10485">
      <c r="A10485" t="inlineStr">
        <is>
          <t>hycey3</t>
        </is>
      </c>
      <c r="B10485" t="inlineStr">
        <is>
          <t>Looking to the future</t>
        </is>
      </c>
      <c r="C10485" t="inlineStr">
        <is>
          <t>Diagnosed with stage 4 Clear Cell RCC with Mets to both lungs.  Wondering what is coming with the progression of my disease.  Anyone here know what I am going to have to deal with?  I am more worried about pain.  I have had my right kidney remove but there is a small tumor on my left kidney as well.</t>
        </is>
      </c>
      <c r="D10485" t="n">
        <v>1</v>
      </c>
      <c r="E10485" t="n">
        <v>2</v>
      </c>
      <c r="F10485">
        <f>HYPERLINK("https://www.reddit.com/r/cancer/comments/hycey3/looking_to_the_future/")</f>
        <v/>
      </c>
      <c r="G10485" t="inlineStr">
        <is>
          <t>2020-07-26 11:53:46</t>
        </is>
      </c>
      <c r="H10485" t="inlineStr">
        <is>
          <t xml:space="preserve">Patient </t>
        </is>
      </c>
    </row>
    <row r="10486">
      <c r="A10486" t="inlineStr">
        <is>
          <t>hydlwl</t>
        </is>
      </c>
      <c r="B10486" t="inlineStr">
        <is>
          <t>Mother has a breast cancer tumor over 5 CM with KI67 at 50%; has not reached lymphnodes; doctor can only do surgery in about a month; is that safe to wait that long for surgery?</t>
        </is>
      </c>
      <c r="C10486" t="inlineStr">
        <is>
          <t xml:space="preserve"> My fear is it will spread and reach lymph nodes if we don't get a faster surgery.</t>
        </is>
      </c>
      <c r="D10486" t="n">
        <v>1</v>
      </c>
      <c r="E10486" t="n">
        <v>4</v>
      </c>
      <c r="F10486">
        <f>HYPERLINK("https://www.reddit.com/r/cancer/comments/hydlwl/mother_has_a_breast_cancer_tumor_over_5_cm_with/")</f>
        <v/>
      </c>
      <c r="G10486" t="inlineStr">
        <is>
          <t>2020-07-26 12:59:00</t>
        </is>
      </c>
      <c r="H10486" t="inlineStr"/>
    </row>
    <row r="10487">
      <c r="A10487" t="inlineStr">
        <is>
          <t>hye1bk</t>
        </is>
      </c>
      <c r="B10487" t="inlineStr">
        <is>
          <t>How to get rid of negative thoughts</t>
        </is>
      </c>
      <c r="C10487" t="inlineStr">
        <is>
          <t>I am taking care of my mom. Going with her to every visit to doctor and radiation. She is diagnosed with colorectal cancer stage 3 with pararectal lymph node involved. She is on treatment and improving. But every time I am alone I think negative, my brain always thinks what if disease will progress. Sometimes I feel, my worry will create negative energy in house. I don’t want it that way. I want to think positive, I don’t want to worry for something which didn’t even happen and invite that negative energy around her. I cry in nights because of her cancer, why she, why not god gave it to me instead of her. She is such a lovely lady, who help everyone and care about all needy person. God is very unfair. 
How you guys stay positive? Any help and suggestions appreciated.</t>
        </is>
      </c>
      <c r="D10487" t="n">
        <v>1</v>
      </c>
      <c r="E10487" t="n">
        <v>4</v>
      </c>
      <c r="F10487">
        <f>HYPERLINK("https://www.reddit.com/r/cancer/comments/hye1bk/how_to_get_rid_of_negative_thoughts/")</f>
        <v/>
      </c>
      <c r="G10487" t="inlineStr">
        <is>
          <t>2020-07-26 13:23:20</t>
        </is>
      </c>
      <c r="H10487" t="inlineStr"/>
    </row>
    <row r="10488">
      <c r="A10488" t="inlineStr">
        <is>
          <t>hyes9v</t>
        </is>
      </c>
      <c r="B10488" t="inlineStr">
        <is>
          <t>Scanxiety.</t>
        </is>
      </c>
      <c r="C10488" t="inlineStr">
        <is>
          <t>Someone tell me, how do you do it? I got the ultrasounds, MRI done but full on CT scan is coming up in august and I just dont know how the hell will I manage that. I get near dissociative just thinking about it.</t>
        </is>
      </c>
      <c r="D10488" t="n">
        <v>1</v>
      </c>
      <c r="E10488" t="n">
        <v>13</v>
      </c>
      <c r="F10488">
        <f>HYPERLINK("https://www.reddit.com/r/cancer/comments/hyes9v/scanxiety/")</f>
        <v/>
      </c>
      <c r="G10488" t="inlineStr">
        <is>
          <t>2020-07-26 14:05:22</t>
        </is>
      </c>
      <c r="H10488" t="inlineStr"/>
    </row>
    <row r="10489">
      <c r="A10489" t="inlineStr">
        <is>
          <t>hyfg7n</t>
        </is>
      </c>
      <c r="B10489" t="inlineStr">
        <is>
          <t>My dad's lung cancer</t>
        </is>
      </c>
      <c r="C10489" t="inlineStr">
        <is>
          <t>Hi everyone! 
English isn't my first language so sorry for any mistake.
It's the first I'm posting here.
It is not easy to come here.
I recently learned that my dad has a lung cancer. Maybe more. He already had a prostate cancer but he was "cured" several years ago. 
I don't know much about his lung cancer, he will see the doctors again in a week. 
I wanted to hear some stories of people who had/has it or people who has/had a family member who endured it.
Even if it's harsh to hear, I want to hear it to prepare myself and maybe find some people to talk to about that because I don't know where to turn to.</t>
        </is>
      </c>
      <c r="D10489" t="n">
        <v>1</v>
      </c>
      <c r="E10489" t="n">
        <v>4</v>
      </c>
      <c r="F10489">
        <f>HYPERLINK("https://www.reddit.com/r/cancer/comments/hyfg7n/my_dads_lung_cancer/")</f>
        <v/>
      </c>
      <c r="G10489" t="inlineStr">
        <is>
          <t>2020-07-26 14:42:50</t>
        </is>
      </c>
      <c r="H10489" t="inlineStr"/>
    </row>
    <row r="10490">
      <c r="A10490" t="inlineStr">
        <is>
          <t>hygtin</t>
        </is>
      </c>
      <c r="B10490" t="inlineStr">
        <is>
          <t>Effect on relationships</t>
        </is>
      </c>
      <c r="C10490" t="inlineStr">
        <is>
          <t>How has your diagnosis effected your relationship with your SO? How did you get through it? I love my partner with all I have but sometimes wonder if it would be easier doing it alone than feeling the constant guilt of putting him through this hell too.</t>
        </is>
      </c>
      <c r="D10490" t="n">
        <v>1</v>
      </c>
      <c r="E10490" t="n">
        <v>13</v>
      </c>
      <c r="F10490">
        <f>HYPERLINK("https://www.reddit.com/r/cancer/comments/hygtin/effect_on_relationships/")</f>
        <v/>
      </c>
      <c r="G10490" t="inlineStr">
        <is>
          <t>2020-07-26 16:05:43</t>
        </is>
      </c>
      <c r="H10490" t="inlineStr"/>
    </row>
    <row r="10491">
      <c r="A10491" t="inlineStr">
        <is>
          <t>hyir0d</t>
        </is>
      </c>
      <c r="B10491" t="inlineStr">
        <is>
          <t>I think I have bone cancer in my knee. Does this sound familiar?</t>
        </is>
      </c>
      <c r="C10491" t="inlineStr">
        <is>
          <t>I am 30, 5 ft 2 &amp;amp; normally 55 kgs. I was diagnosed with fibromyalgia last November after complaining of joint pain, night sweats, fever that comes &amp;amp; goes &amp;amp; a stabbing pain on my left side. I'm also anaemic &amp;amp; at the time my hair was falling out. He took an x ray of my left leg where the pain was worst &amp;amp; he said it looked fine. 11 months on I have a fluid-filled lump that's slowly hardening under my left knee, the same one he x rayed. I feel full a lot, nauseous after I eat &amp;amp; the knee pain is worse at night when I sleep on my side. I also have on &amp;amp; off pins &amp;amp; needles in that foot a lot &amp;amp; have a shooting pain up my rectum that comes &amp;amp; goes. Thw night sweats are unbearable too. My bowel habits have changed but that could be due to lock down/sitting in my chair a lot. The lump did come &amp;amp; go before when running/spending time on my feet but now it feels like its hardening &amp;amp; is cool, but tender to the touch. Does this sound like bone cancer? I've been referred to rheumatology for suspected psoriatic arthritis but I'm scared it could be something worse. Thanks guys!</t>
        </is>
      </c>
      <c r="D10491" t="n">
        <v>1</v>
      </c>
      <c r="E10491" t="n">
        <v>3</v>
      </c>
      <c r="F10491">
        <f>HYPERLINK("https://www.reddit.com/r/cancer/comments/hyir0d/i_think_i_have_bone_cancer_in_my_knee_does_this/")</f>
        <v/>
      </c>
      <c r="G10491" t="inlineStr">
        <is>
          <t>2020-07-26 18:10:51</t>
        </is>
      </c>
      <c r="H10491" t="inlineStr">
        <is>
          <t xml:space="preserve">Patient </t>
        </is>
      </c>
    </row>
    <row r="10492">
      <c r="A10492" t="inlineStr">
        <is>
          <t>hyjs41</t>
        </is>
      </c>
      <c r="B10492" t="inlineStr">
        <is>
          <t>lost my mom to triple negative breast cancer, looking for people with a similar story to connect with. TIA</t>
        </is>
      </c>
      <c r="C10492" t="inlineStr">
        <is>
          <t>im not sure how to write this post, so forgive me if its a rambling mess. on july 8th 2020 at 11:14pm my mom passed. it was about 4.5 years since she had been first diagnosed with triple negative breast cancer. it started in her breast and lymphnodes around her breast, and she received treatment and beat it about a year and a half later, and very strongly at that. she only suffered mild side effects, was still able to do all of her normal activites etc. she was “cancer free” for about a year or two, and then it came back late 2019 in her lymphnodes in her lungs. she went on two clinical trials, and it slowly spread to a couple spots on her spine. with the last clinical trial, she was okay for the first six weeks and then started to suffer from more side effects, like fatigue, neuropathy,  a bad cough, and difficulty breathing. and of course those side effects also caused other things. she just was not herself, and it was terrifying to see. and then after the next six weeks, after having to skip a couple treatments because her counts were too low, and towards the later end she skipped one or two because she couldnt handle it.  by then (late june) we found out there was a chemo treatment approved in april, which gave us some hope since nothing had worked. and then she got the scan back, showing the cancer had spread to more spots on her bones, and wrapped itself around her lung. 
when we found out, i will never forget coming home from work that day to hearing her and my dad crying in their bedroom. after they spoke, she called me in to tell me the news. she was so scared, said she felt like she was backed into this dark corner she couldnt get out of. we all still had hope (i think she did too), that this new chemo treatment might work. but then as the two weeks or so went by, she just got worse and worse. she had to sit down to catch her breath after walking from the bedroom to the kitchen (15 steps if that). and then, on july 4th, my aunt had a small family get together at her house (socially distancing of course). my mom dragged herself out of the house because she wanted to see family. i think she was scared this would be the last time. then that night, my parents decided she would go to the hospital to get oxygen, etc the next morning. when trying to go to sleep, she could not catch her breath at all. she was awake the whole night laboring. that morning of july 5th (sunday) the ambulance came to pick her up, and the moment she got on oxygen, she perked up a bit. we thought, great, maybe she just needs the oxygen. but upon being in the hospital after the multiple tests, they found there was fluid in her lungs, that her platelet counts were terribly low (doctor feared the cancer had spread to her bone marrow too), and that her heart may have had a leaky valve. she just was getting worse and worse, even more exhausted. they were talking about more tests monday and tuesday. thankfully, the hospital let my sisters and i come to see her tuesday. (i am 22F, and my sisters are 18) she was happy to see us of course. i think it was killing her to know we couldnt come see her. it scared me so much when they approved for us to come see her. meant nothing good. we all stayed for almost rhe whole day. visiting hours were only until 8pm. my sisters left a little earlier to eat, so it was just my dad and i with her. she was struggling so much and so anxious. and they had to test her for covid again, which made her even more anxious so they gave her xanax. she told my dad and i to leave and get something to eat, so we said goodbye and did.
her oncologist came that night, and talked to her. she then called my dad and said that she was going to go into hospice and to come back to the hospital the next morning (wednesday) my dad went in and shortly after told my sisters and i to come back to the hospital. this was around 10am. they moved her into the hospice room around 11am. she had a couple bites to eat for lunch, and said she was tired since she didnt sleep much the night before, so she closed her eyes to take a nap. she asked for us to pray the divine mercy prayer, which the chaplain came to help us say it. i told her we would start to pray it and she said okay. almost as soon as we were done praying, she started to throw up. once she was done she closed her eyes again. after so long, she threw up again, dry heaving. after that, she laid back and was comatose from then on (around 4pm). some additional family got to come see her, and they left around 1030. her breathing was getting heavier and slower. she waited until my sister was back in the room, and at 11:14pm she passed while just the four of us (dad, me, two sisters) we were all sitting around her. 
it was all so fast. she declined so rapidly in three weeks, and declined so rapidly in the hospital and then in hospice. we are all still so in shock, even after the wake and funeral. she was 53 years old and one of the healthiest people i knew. she always was healthy until the cancer. i still cannot wrap my head around that she will not be here for when i get married and have kids. i always pictured our lives of having her until 80 years old. we all did. 
we are trying to get involved in therapy. but i feel like its hard to bring ourselves to really get into it. i know i need it, we all know we need it, but at this time i feel so numb. i dont know what to think, and find myself avoiding thinking about it because i know i will be thinking about it for years and years to come which is terrifying. thinking about her upcoming birthday, thanksgiving, christmas, easter, so on and so forth. 
my dad tried a group therapy, which ended up being a very small group, but found the other members just were not in a similar boat and not able to relate to them. the true reason for my post is to try and find anyone with a similar story.  losing their spouse too young. my dad feels like he cant talk to anyone (besides the one counselor from the cancer support center my mom was involved in) because no one understands the same pain. 
if you made it this far, thank you so much. i know that was probably painful to read bc of the rambling terrible grammar. but again we are looking for someone with a similar story to connect with and talk to. i appreciate it in advance.</t>
        </is>
      </c>
      <c r="D10492" t="n">
        <v>1</v>
      </c>
      <c r="E10492" t="n">
        <v>5</v>
      </c>
      <c r="F10492">
        <f>HYPERLINK("https://www.reddit.com/r/cancer/comments/hyjs41/lost_my_mom_to_triple_negative_breast_cancer/")</f>
        <v/>
      </c>
      <c r="G10492" t="inlineStr">
        <is>
          <t>2020-07-26 19:20:10</t>
        </is>
      </c>
      <c r="H10492" t="inlineStr"/>
    </row>
    <row r="10493">
      <c r="A10493" t="inlineStr">
        <is>
          <t>hykyh7</t>
        </is>
      </c>
      <c r="B10493" t="inlineStr">
        <is>
          <t>Regrets about my mom</t>
        </is>
      </c>
      <c r="C10493" t="inlineStr">
        <is>
          <t>I am feeling so regretful lately. My momma passed away on July 13 after battling stage 4 colon cancer for just over a year. She was diagnosed in May of 2019 and now I am feeling so much regret. She was never one to go to a doctor regularly for a check up and it makes me so mad to think back on. I got my own family doctor, on my own, in 2013 when I was 18 but I’m angry that I didn’t fight harder to also force my mom to go to regular check ups. I’m just so mad at myself. I go regularly for yearly check ups but I never checked in on my moms health or forced her to do it too. She never wanted to unless she felt “sick” and then when she did she would visit a doctor and would do blood work and stuff but was never showing any symptoms until it was too late. And blood work was fine for the times she visited a dr, aka no sign of cancer. Idk. I’m just angry that no one pushed her harder to get her physicals more often and I could’ve been the one to do that. 
She was always so healthy that I guess I never felt the need to force her to do regular check ups. But how would I know how she actually feels? She always just looked good physically and never complained so there’s no way for me or anyone to know without tests and physical exams being done regularly. I literally didn’t even know colonoscopies were recommended after age 50 because obviously my doctor never spoke to me about that since I’m not in the age bracket. I remember a few years ago though, I said “mom you have to go to the doctor even when you’re not sick just to get checked up” and she said “why would I need to when I’m fine” :(  I wish I forced her to go. I wish I made an appointment and said you HAVE to go mom. It’s eating me alive thinking about what I could’ve done differently to prevent her getting sick and all it would’ve taken was just looking up doctors who were taking new patients and saying she has to go. 
The thing is, this happens a lot. People avoid the doctor until it’s too late. Please please please get checked up even when you don’t think you need to. The least that could be done is a yearly physical with blood work. That’s all. Please don’t leave anyone on this earth with regrets about what more they could’ve done to help you.  
:(</t>
        </is>
      </c>
      <c r="D10493" t="n">
        <v>1</v>
      </c>
      <c r="E10493" t="n">
        <v>13</v>
      </c>
      <c r="F10493">
        <f>HYPERLINK("https://www.reddit.com/r/cancer/comments/hykyh7/regrets_about_my_mom/")</f>
        <v/>
      </c>
      <c r="G10493" t="inlineStr">
        <is>
          <t>2020-07-26 20:43:54</t>
        </is>
      </c>
      <c r="H10493" t="inlineStr"/>
    </row>
    <row r="10494">
      <c r="A10494" t="inlineStr">
        <is>
          <t>hymg8a</t>
        </is>
      </c>
      <c r="B10494" t="inlineStr">
        <is>
          <t>Bitterness and Scanxiety</t>
        </is>
      </c>
      <c r="C10494" t="inlineStr">
        <is>
          <t>I'm almost 6 years out from my initial diagnosis. I was a model patient, my DLBC non-hodgkins lymphoma responded great and I sored through 5 years of follow up without a hiccup.  
Then last September I went in for what should've been my last scan. When I went for the follow-up/results appointment, my oncologist said that I had a small, but concerning lymphnode in my abdomen. Not "small" like normal small, but rather "on the cusp of too big to be normal but too small to be cancer". So she told me to go home, be good about my food allergies and take all of my medications and then get a PET scan. The stupid thing lit up... but a little bit... and ANY infection will light up on a PET scan, so... this wasn't special. So we did a biopsy with came back negative/inconclusive. The biopsy was clear, but the node was not big enough to get a "good sample from".   
A few days later my appendix exploded and tried to murder me. It was a giant mess that the ER missed and it nearly killed me. I now have a 12 inch incision scar down my stomach because the damn thing literally exploded and the infection was all over.   
By the time I recovered enough to start living again it was the holidays. Then it was "be illness free for 2 weeks so we can get that last follow up scan" that my oncologist wanted. I'm wondering now if maybe I'm allergic to my dog because I've literally had congestion since September. Any way. I didn't get a 2-week illness free period before the pandemic hit.   
Last Monday I finally scheduled the follow up scan. It feels like being thrown right back into the beginning of my cancer journey. I'm having multiple panic attacks every day. My scan isn't until Tuesday and I don't have my follow-up until Friday.   
I'm in my early 30s and have two beautiful young daughters. I keep breaking down over the idea of having to leave them to this world without me. Leaving my wonderful husband with so much already on his plate. The prospects for a relapse are not good. Like less than 2 years. And we can't even fuck off and go to Disney or Europe or do something exciting and memorable because there's a pandemic. I just got into grad school. I'm trying to go back to school to become a therapist. I have put so much of myself into making this world a good, decent place and raising my kids and just - it feels so insanely unfair and shitty.  
The scanxiety is bad. I just want the next week to disappear and to get this over with.</t>
        </is>
      </c>
      <c r="D10494" t="n">
        <v>1</v>
      </c>
      <c r="E10494" t="n">
        <v>7</v>
      </c>
      <c r="F10494">
        <f>HYPERLINK("https://www.reddit.com/r/cancer/comments/hymg8a/bitterness_and_scanxiety/")</f>
        <v/>
      </c>
      <c r="G10494" t="inlineStr">
        <is>
          <t>2020-07-26 22:40:41</t>
        </is>
      </c>
      <c r="H10494" t="inlineStr"/>
    </row>
    <row r="10495">
      <c r="A10495" t="inlineStr">
        <is>
          <t>hyn7zb</t>
        </is>
      </c>
      <c r="B10495" t="inlineStr">
        <is>
          <t>How do you guys afford medicines?</t>
        </is>
      </c>
      <c r="C10495" t="inlineStr">
        <is>
          <t>I’m looking to get neulasta injection for breast cancer of my grandmother as the doctor asked. The cost of that is very high in Nigeria, can you recommend any way to get it at an affordable rate? Or isn’t there any other way to it in time of need?  
Any help would be appreciated.</t>
        </is>
      </c>
      <c r="D10495" t="n">
        <v>1</v>
      </c>
      <c r="E10495" t="n">
        <v>7</v>
      </c>
      <c r="F10495">
        <f>HYPERLINK("https://www.reddit.com/r/cancer/comments/hyn7zb/how_do_you_guys_afford_medicines/")</f>
        <v/>
      </c>
      <c r="G10495" t="inlineStr">
        <is>
          <t>2020-07-26 23:46:51</t>
        </is>
      </c>
      <c r="H10495" t="inlineStr">
        <is>
          <t xml:space="preserve">Patient </t>
        </is>
      </c>
    </row>
    <row r="10496">
      <c r="A10496" t="inlineStr">
        <is>
          <t>hynbn0</t>
        </is>
      </c>
      <c r="B10496" t="inlineStr">
        <is>
          <t>Wanted to thank the mods</t>
        </is>
      </c>
      <c r="C10496" t="inlineStr">
        <is>
          <t>For staying on top of the quackery, snakeoil and other harmful, greedy, delusional rubbish. We don't need this kind of confusion, annoyance and false hope while battling cancer. Thank you for keeping this rubbish out of this place.</t>
        </is>
      </c>
      <c r="D10496" t="n">
        <v>1</v>
      </c>
      <c r="E10496" t="n">
        <v>15</v>
      </c>
      <c r="F10496">
        <f>HYPERLINK("https://www.reddit.com/r/cancer/comments/hynbn0/wanted_to_thank_the_mods/")</f>
        <v/>
      </c>
      <c r="G10496" t="inlineStr">
        <is>
          <t>2020-07-26 23:55:43</t>
        </is>
      </c>
      <c r="H10496" t="inlineStr"/>
    </row>
    <row r="10497">
      <c r="A10497" t="inlineStr">
        <is>
          <t>hypk7r</t>
        </is>
      </c>
      <c r="B10497" t="inlineStr">
        <is>
          <t>Stage 4 Terminal Cancer (dad)</t>
        </is>
      </c>
      <c r="C10497" t="inlineStr">
        <is>
          <t>Good morning, 
I'm looking for some insight. My dad has terminal stage 4 small-cell lung cancer and it's spread to his liver, bones, brain, one of his lungs and kidney. 
This was about 7 months ago with initial diagnosis and as time has progressed it has gotten worse, even with treatment. 
I'm just looking for some insight as to how much time you think he has left with us; we are trying to plan many things for the future and we just aren't sure how much we should do daily. 
Thanks.</t>
        </is>
      </c>
      <c r="D10497" t="n">
        <v>1</v>
      </c>
      <c r="E10497" t="n">
        <v>4</v>
      </c>
      <c r="F10497">
        <f>HYPERLINK("https://www.reddit.com/r/cancer/comments/hypk7r/stage_4_terminal_cancer_dad/")</f>
        <v/>
      </c>
      <c r="G10497" t="inlineStr">
        <is>
          <t>2020-07-27 03:07:14</t>
        </is>
      </c>
      <c r="H10497" t="inlineStr"/>
    </row>
    <row r="10498">
      <c r="A10498" t="inlineStr">
        <is>
          <t>hysemd</t>
        </is>
      </c>
      <c r="B10498" t="inlineStr">
        <is>
          <t>To prosthetic or not to prosthetic</t>
        </is>
      </c>
      <c r="C10498" t="inlineStr">
        <is>
          <t>To prosthetic or not to prosthetic, that is the question
A couple of masses were found in one of my testicles during an ultrasound. I've seen a urologist and am booked in for a orchiectomy in just over a week.
The urologist offered me the option of a prosthetic being put in during the same surgery and I'm not sure...
I think I want one in not so much for cosmetics, bit just to feel complete and balanced.
I'm 32 and married with 2 kids and not planning on having more.
Who has opted to get/not get the prosthetic and how do you feel about it now?</t>
        </is>
      </c>
      <c r="D10498" t="n">
        <v>1</v>
      </c>
      <c r="E10498" t="n">
        <v>4</v>
      </c>
      <c r="F10498">
        <f>HYPERLINK("https://www.reddit.com/r/cancer/comments/hysemd/to_prosthetic_or_not_to_prosthetic/")</f>
        <v/>
      </c>
      <c r="G10498" t="inlineStr">
        <is>
          <t>2020-07-27 06:37:28</t>
        </is>
      </c>
      <c r="H10498" t="inlineStr"/>
    </row>
    <row r="10499">
      <c r="A10499" t="inlineStr">
        <is>
          <t>hyv20z</t>
        </is>
      </c>
      <c r="B10499" t="inlineStr">
        <is>
          <t>I want your opinion on something</t>
        </is>
      </c>
      <c r="C10499" t="inlineStr">
        <is>
          <t>So I've been living in a boarding school for a year in another country so I don't fully know the language. Here's the thing I got treatment for my cancer and i misses a year of school. Do you guys think I should repeat the grade or move on? Because I don't know any people in the grade below me. But I also don't want to struggle and be stressed on studies.</t>
        </is>
      </c>
      <c r="D10499" t="n">
        <v>1</v>
      </c>
      <c r="E10499" t="n">
        <v>1</v>
      </c>
      <c r="F10499">
        <f>HYPERLINK("https://www.reddit.com/r/cancer/comments/hyv20z/i_want_your_opinion_on_something/")</f>
        <v/>
      </c>
      <c r="G10499" t="inlineStr">
        <is>
          <t>2020-07-27 09:04:13</t>
        </is>
      </c>
      <c r="H10499" t="inlineStr"/>
    </row>
    <row r="10500">
      <c r="A10500" t="inlineStr">
        <is>
          <t>hyzhqt</t>
        </is>
      </c>
      <c r="B10500" t="inlineStr">
        <is>
          <t>I feel a bit lost today.... I wanted to vent and share my story. Anyone with a baby have advice?</t>
        </is>
      </c>
      <c r="C10500" t="inlineStr">
        <is>
          <t>My story of fighting cancer began this March. My wife and I had just moved into our new house, We previously lived in a 2 family house that we kept as a rental, I updated, renovated, and painted both apartments. The 2nd floor apartment was horrendous from the previous tenant that we had just evicted so that was a complete and utter nightmare to work on. 
On days when I couldn't find it in me to go work on renovating I packed for our move, I would like to state that I was a fairly strong man so when my wife would help pack she wouldn't take into consideration the weight of the boxes she packed, I stored the packed items in our basement and that's when I first noticed a sharp pain in my back I've worked doing laborious and physical jobs my whole life and attributed the pain to a pulled muscle from the heavy boxes and having to carry them at awkward angles down into the basement. 
As time went on and our moving day neared I worked harder on finishing the apartment we currently lived in for our new tenants it was a mad dash I painted the whole apartment myself in one day (wife was 6 months pregnant so she couldn't help) and that's when the 2nd indication that something was wrong happened my right shoulder was causing me agonizing pain, it hurt so bad I went to see a doctor ( I'd like to note that I dislike going to the doctor's so I would only go if it's really bad my appendix almost burst from me telling myself it was something I ate that was causing the pain.) I was referred to an orthopedic specialist they looked at me and said it was a strain or possibly bursitis the doctor gave me a corticosteroid shot and naproxen.
The pain dissipated after a week but my back pain was getting worse and moving day was creeping up on us so I swallowed my pride and went to the doctor again they ran minor tests and concluded it was a strained muscle and I recieved 2 shots one steroid and one anti inflammatory. The pain subsided for a few days and came back with a different pain that radiated from my sternum to my spine. I self diagnosed and assumed it was an ulcer from taking the Naproxen for my shoulder on an empty stomach multiple times. 
Come moving day I'm a mess I gather all my strength to move everything I can into the 26 foot moving truck I rented, my friends and family that are with me tell me to take it easy after seeing the pain I'm in. It's March we're finally moved into our new home, my wife tells me I need to go get my possible ulcer checked and treated I agree and go see a gastroenterologist he suspects it's an ulcer gives me meds, the pain doesn't really go away and my back pain gets worse i suspect i herniated a disc from the heavy boxes I had been moving. 
I try stretches, I thought at the time that the stretches might've been helping but i start feeling tingling in my legs around mid March and my legs start spasming in my sleep around March 20th.
 Covid is taking off in New York where I live and my wife is very hesitant for me to go see a doctor since she's pregnant and not much is known about the virus and pregnant women. From March 21st onward I feel "funny" when i walk, i start to worry around March 27th i might become paralyzed but also think I'm being dramatic. On March 29th after a small argument with my wife I tell her with tears in my eyes that I'm afraid I might become paralyzed and I want to go to the ER but also know she's very scared of Covid. 
That night around 3am I get up out of bed to stretch because my leg spasms were greatly increasing I fall to the floor waking my wife up she's annoyed I woke her but says I should go to the ER i tell her I'll go in the morning. The next morning I go to the ER a neurologist is sent to see me. I get sent to do an MRI of my whole spine and a cat scan from neck to pelvis. My legs spasm and it takes 3 hours to do the MRI with mild sedation from my body uncontrollably moving. 
2 hours later a different doctor comes in and tells me I have multiple tumors on my spine and inside my abdomen... I'm told I'm on the verge of paralysis a tumor is pinching my spinal cord I need to have a laminectomy and even with that I might not get full use of my legs back at that point I was having an extremely difficult time walking. I get the surgery done, I go see an oncologist near me he tells me i have STAGE 4 Neuroblastoma it's very rare and his hopes aren't high. 
I go get a second opinion in NYC at Memorial Sloan Kettering they have a team that specializes in treating my specific cancer. The Chief of that department tells me he's going to do everything to achieve remission but states that it will be a very difficult process. Currently chemotherapy has merely stabilized my tumors not reduced them. Tomorrow I start immunotherapy and was told the pain is excruciating so much so that they'll administer ketamine to help take the edge off a bit.
My son was born in June he's happy, healthy and I love him so much. I love my wife she's my light in the darkness, but I feel like I've let her down. I hate that she has to see me deteriorate. I hate that she can't quit her job and be a stay at home mom like we planned. I don't like looking into the mirror, I feel like I look awful but my wife tells me that I'm handsome and not to talk bad about her husband. 
I don't know what the future holds but I'm giving it everything I've got</t>
        </is>
      </c>
      <c r="D10500" t="n">
        <v>1</v>
      </c>
      <c r="E10500" t="n">
        <v>15</v>
      </c>
      <c r="F10500">
        <f>HYPERLINK("https://www.reddit.com/r/cancer/comments/hyzhqt/i_feel_a_bit_lost_today_i_wanted_to_vent_and/")</f>
        <v/>
      </c>
      <c r="G10500" t="inlineStr">
        <is>
          <t>2020-07-27 12:52:44</t>
        </is>
      </c>
      <c r="H10500" t="inlineStr"/>
    </row>
    <row r="10501">
      <c r="A10501" t="inlineStr">
        <is>
          <t>hz0w2k</t>
        </is>
      </c>
      <c r="B10501" t="inlineStr">
        <is>
          <t>One Year</t>
        </is>
      </c>
      <c r="C10501" t="inlineStr">
        <is>
          <t>It’s been a year since I got this diagnosis and it has been a challenge so far with Stage 4 rectal cancer. The last two months have been the worst of it with bleeding and then the radiation treatment.
Adding to the woes has been a doctor who hasn’t gotten back to me about the next step to the plan. It has struck me that I was playing it too loosely for a bit and the first cycle seemed easy compared to now where I have to fight even further to get something.
The pandemic also threw a huge wrench to my usual plans of going out often to enjoy the day. I can’t even to it now with the pain and the constant feel of going to the bathroom. The location of the tumor makes it worse to sense anything with the constant struggling.
I also felt my mental health is shot as well which opens another door to seeing a doctor about it but with the pain, I can’t really leave to go that far. 
I’m doing okay overall without the stress. I’m fighting but it seems a bit long to not have the allies help you by your side</t>
        </is>
      </c>
      <c r="D10501" t="n">
        <v>1</v>
      </c>
      <c r="E10501" t="n">
        <v>3</v>
      </c>
      <c r="F10501">
        <f>HYPERLINK("https://www.reddit.com/r/cancer/comments/hz0w2k/one_year/")</f>
        <v/>
      </c>
      <c r="G10501" t="inlineStr">
        <is>
          <t>2020-07-27 14:06:40</t>
        </is>
      </c>
      <c r="H10501" t="inlineStr"/>
    </row>
    <row r="10502">
      <c r="A10502" t="inlineStr">
        <is>
          <t>hz16x3</t>
        </is>
      </c>
      <c r="B10502" t="inlineStr">
        <is>
          <t>How do I find an RPLND surgeon?</t>
        </is>
      </c>
      <c r="C10502" t="inlineStr">
        <is>
          <t>I’m a 19 y/o male that was diagnosed with testicular cancer stage 2 (embryonal carcinoma) back in March. Had an orchiectomy in April and I will be finishing my 4 rounds of chemo (cisplatin and etop) on July 31st. 
My oncologist said if my tumor markers are low and my lymph nodes are below 1 cm, she might discuss with my surgeon if surveillance is a better option than surgery. 
She referred me to an oncology surgeon for a consultation for an RPLND. However, I want to also look into finding a surgeon on my own. If you’ve had an RPLND, was it by a doctor referred to you by your doctor? Did you find your own? How? I’ve tried looking up urologist/oncologist with experience performing RPLNDs and nothing specific came up. How do I find one that’s also within my insurance network? I live 20 minutes away from UT Southwestern, which has a robust cancer treatment center. However, AFAIK their doctors aren’t in network with my insurance. What should I do? Thanks in advance!</t>
        </is>
      </c>
      <c r="D10502" t="n">
        <v>1</v>
      </c>
      <c r="E10502" t="n">
        <v>5</v>
      </c>
      <c r="F10502">
        <f>HYPERLINK("https://www.reddit.com/r/cancer/comments/hz16x3/how_do_i_find_an_rplnd_surgeon/")</f>
        <v/>
      </c>
      <c r="G10502" t="inlineStr">
        <is>
          <t>2020-07-27 14:22:31</t>
        </is>
      </c>
      <c r="H10502" t="inlineStr">
        <is>
          <t xml:space="preserve">Patient </t>
        </is>
      </c>
    </row>
    <row r="10503">
      <c r="A10503" t="inlineStr">
        <is>
          <t>hz27al</t>
        </is>
      </c>
      <c r="B10503" t="inlineStr">
        <is>
          <t>Found a lump</t>
        </is>
      </c>
      <c r="C10503" t="inlineStr">
        <is>
          <t>I’ve got an ultrasound on Wednesday afternoon, 48 hours away, to look at a lump in my breast. It’s likely nothing, but my mom and grandma have bad breast cancer so I decided to get it looked at. I’m nervous. Any advice? I’m not even 30, and haven’t had kids so there’s just so much going through my mind.</t>
        </is>
      </c>
      <c r="D10503" t="n">
        <v>1</v>
      </c>
      <c r="E10503" t="n">
        <v>3</v>
      </c>
      <c r="F10503">
        <f>HYPERLINK("https://www.reddit.com/r/cancer/comments/hz27al/found_a_lump/")</f>
        <v/>
      </c>
      <c r="G10503" t="inlineStr">
        <is>
          <t>2020-07-27 15:17:18</t>
        </is>
      </c>
      <c r="H10503" t="inlineStr"/>
    </row>
    <row r="10504">
      <c r="A10504" t="inlineStr">
        <is>
          <t>hz48yo</t>
        </is>
      </c>
      <c r="B10504" t="inlineStr">
        <is>
          <t>Happy Story</t>
        </is>
      </c>
      <c r="C10504" t="inlineStr">
        <is>
          <t>Hi all!  I know that when diagnosed with cancer, stories about survival can be helpful. 
It’s been many years since I posted to Reddit or even looked at it. But years ago I did an AMA about my diagnosis with terminal cancer. I had been given two years to live (approximately). 
I have had numerous surgeries, have done 7 or 8 chemos, but 11 years later, I am still here. 
I was diagnosed with breast cancer that spread to liver and lungs. It is HER2+, one of the more rare and deadly forms. However, that turned out to be a good thing, as a year or so after diagnosis they started to do research and came out with anti-HER2+ drugs. Not everybody responds, but I did. 
I still go to chemo and have many of the problems that come with that. I’m not healthy, but I’m still here. I went from having a 12 year old who I merely wanted to see graduate HS, to watching him graduate from Caltech and get a good job in tech. 
I saw my oldest, who was 22, also get a good job, married a wonderful woman and then have children. My hair is grey, and I’m getting old (Although I still look pretty young!). I’ve lived a pretty good life and got many years that others didn’t. I’m grateful but think about my friends who died every day. 
But it’s starting to change, progress is being made and others will get those years too. 
The point is, hang in there. Do your treatments. You never know what can happen, and what’s around the corner. 
My nurses call me a miracle. I don’t believe in miracles, but I was at the right place at the right time. And I never wrote myself out. You can do that too. Good luck to all of you!</t>
        </is>
      </c>
      <c r="D10504" t="n">
        <v>1</v>
      </c>
      <c r="E10504" t="n">
        <v>27</v>
      </c>
      <c r="F10504">
        <f>HYPERLINK("https://www.reddit.com/r/cancer/comments/hz48yo/happy_story/")</f>
        <v/>
      </c>
      <c r="G10504" t="inlineStr">
        <is>
          <t>2020-07-27 17:17:18</t>
        </is>
      </c>
      <c r="H10504" t="inlineStr">
        <is>
          <t xml:space="preserve">Patient </t>
        </is>
      </c>
    </row>
    <row r="10505">
      <c r="A10505" t="inlineStr">
        <is>
          <t>hz50c0</t>
        </is>
      </c>
      <c r="B10505" t="inlineStr">
        <is>
          <t>I want to give up. I need encouragement</t>
        </is>
      </c>
      <c r="C10505" t="inlineStr">
        <is>
          <t>I’m just so tired of the pain. I have a nephrostomy tube and it always hurts. My bowels DONT work and I can’t poop ever. So the straining I don’t even mean to do hurts my tube more. Or I shit my pants. I’m only 31. My cancer that may never go away doesn’t even hurt me. But treatment does. And side effects do. And I’m just worn out I can’t get up bc the pain is constant. Somedays I just want to eat the whole bottle of pain pills and not wake up. But I’d never do it. I have four beautiful little girls. I have to be here for them. I feel like I’m failing them but I’m FIghtimg. But I want to give up</t>
        </is>
      </c>
      <c r="D10505" t="n">
        <v>1</v>
      </c>
      <c r="E10505" t="n">
        <v>5</v>
      </c>
      <c r="F10505">
        <f>HYPERLINK("https://www.reddit.com/r/cancer/comments/hz50c0/i_want_to_give_up_i_need_encouragement/")</f>
        <v/>
      </c>
      <c r="G10505" t="inlineStr">
        <is>
          <t>2020-07-27 18:04:44</t>
        </is>
      </c>
      <c r="H10505" t="inlineStr"/>
    </row>
    <row r="10506">
      <c r="A10506" t="inlineStr">
        <is>
          <t>hz61r0</t>
        </is>
      </c>
      <c r="B10506" t="inlineStr">
        <is>
          <t>Encouragement Needed- Dad Diagnosed with Pancreatic Cancer</t>
        </is>
      </c>
      <c r="C10506" t="inlineStr">
        <is>
          <t>My dad was just diagnosed with stage 3 (maybe stage 4, not 100% sure yet) pancreatic cancer. It came out of nowhere--literally woke up jaundiced one day. 
My mother and I are (dad, too) are having a really hard time with this. I go between rage and crushing despair. My parents have worked so hard for their entire lives, and then this? I know life isn't fair, but godammit. At the risk of sounding ridiculous at the age of 31, I don't know how to live in a world that my dad is not in. 
I guess I just need some good vibes or positivity or guidance so I can lead my family in how to deal with this shit sandwich of a situation... :(</t>
        </is>
      </c>
      <c r="D10506" t="n">
        <v>1</v>
      </c>
      <c r="E10506" t="n">
        <v>6</v>
      </c>
      <c r="F10506">
        <f>HYPERLINK("https://www.reddit.com/r/cancer/comments/hz61r0/encouragement_needed_dad_diagnosed_with/")</f>
        <v/>
      </c>
      <c r="G10506" t="inlineStr">
        <is>
          <t>2020-07-27 19:11:18</t>
        </is>
      </c>
      <c r="H10506" t="inlineStr"/>
    </row>
    <row r="10507">
      <c r="A10507" t="inlineStr">
        <is>
          <t>hz6cqt</t>
        </is>
      </c>
      <c r="B10507" t="inlineStr">
        <is>
          <t>my sister (1yo) just got diagnosed with cancer</t>
        </is>
      </c>
      <c r="C10507" t="inlineStr">
        <is>
          <t>fuck cancer</t>
        </is>
      </c>
      <c r="D10507" t="n">
        <v>1</v>
      </c>
      <c r="E10507" t="n">
        <v>5</v>
      </c>
      <c r="F10507">
        <f>HYPERLINK("https://www.reddit.com/r/cancer/comments/hz6cqt/my_sister_1yo_just_got_diagnosed_with_cancer/")</f>
        <v/>
      </c>
      <c r="G10507" t="inlineStr">
        <is>
          <t>2020-07-27 19:31:23</t>
        </is>
      </c>
      <c r="H10507" t="inlineStr"/>
    </row>
    <row r="10508">
      <c r="A10508" t="inlineStr">
        <is>
          <t>hz7hk6</t>
        </is>
      </c>
      <c r="B10508" t="inlineStr">
        <is>
          <t>Cancer Fluid in Stomach?</t>
        </is>
      </c>
      <c r="C10508" t="inlineStr">
        <is>
          <t>My father (63) had a cyst on his testicle that was removed and then found to be cancerous. They did a CT scan and said there couldn't locate any cancer. A month later (today) he went to the ER and had another CT scan, and was then told he has fluid in his stomach that is cancerous. He briefly spoke with an Oncologist who mentioned chemotherapy may be needed, and will talk to him again later this week.
Any idea what kind of cancer this could be? He said the cyst they remove was Sarcoma. He said they didn't see a tumor, just the fluid.
Thanks in advance.</t>
        </is>
      </c>
      <c r="D10508" t="n">
        <v>1</v>
      </c>
      <c r="E10508" t="n">
        <v>0</v>
      </c>
      <c r="F10508">
        <f>HYPERLINK("https://www.reddit.com/r/cancer/comments/hz7hk6/cancer_fluid_in_stomach/")</f>
        <v/>
      </c>
      <c r="G10508" t="inlineStr">
        <is>
          <t>2020-07-27 20:49:04</t>
        </is>
      </c>
      <c r="H10508" t="inlineStr"/>
    </row>
    <row r="10509">
      <c r="A10509" t="inlineStr">
        <is>
          <t>hz9cpz</t>
        </is>
      </c>
      <c r="B10509" t="inlineStr">
        <is>
          <t>lymphoma</t>
        </is>
      </c>
      <c r="C10509" t="inlineStr">
        <is>
          <t>my mom just got diagnosed with lymphoma and she went to the ER a few days ago. she had a high fever, pneumonia, constant bitter taste, throwing up, shortness of breath. She went to the hospital for three days and all those symptoms went away. she got back home and everything is back. its so hard to stay strong for her because it hurts so much to see. i also have my own stress and its selfish of me to be complaining but this is so hard. i dont want to go to therapy because i dont want to make my mom feel bad. she now needs a walker and my heart is broken over her. i wish i could take her pain away. i want to be in her place instead of her, its not fair. i never thought i would experience a close person having cancer and now its my mom and im just losing it and im so sad and its hard to keep a positive face on for her. i really dont know much about the cancer process but we talked about chemo and the doctor said it would be once every 5 weeks. when i heard this my heart just dropped because i dont want her to be suffering for so long for it to be 5 weeks between every session. i dont know if i just needed to vent or if i need advice or comfort idk</t>
        </is>
      </c>
      <c r="D10509" t="n">
        <v>1</v>
      </c>
      <c r="E10509" t="n">
        <v>2</v>
      </c>
      <c r="F10509">
        <f>HYPERLINK("https://www.reddit.com/r/cancer/comments/hz9cpz/lymphoma/")</f>
        <v/>
      </c>
      <c r="G10509" t="inlineStr">
        <is>
          <t>2020-07-27 23:11:14</t>
        </is>
      </c>
      <c r="H10509" t="inlineStr"/>
    </row>
    <row r="10510">
      <c r="A10510" t="inlineStr">
        <is>
          <t>hzanax</t>
        </is>
      </c>
      <c r="B10510" t="inlineStr">
        <is>
          <t>Sharing the good news we received today</t>
        </is>
      </c>
      <c r="C10510" t="inlineStr">
        <is>
          <t>My dad currently has liver and bowel cancer. He was removed off the liver transplant list after the bowel cancer was discovered. 
The original prognosis was he would need his entire bowel removed and even then, would need to be cancer free for 5 years to qualify for the liver transplant.
But after a second opinion, he began radiation on the bowel cancer and is currently 10 days into a 28 day program. 
He has been taking CBD oil for approx. 2 months which he makes himself. Over the weekend, he shared how he was convinced that the bowel cancer would show as gone at his MRI scheduled on Monday. 
Although I am open to natural medicines (as well as the power of positive thinking) I was terrified that he would be disappointed at the result, especially as he was only half way through the radiation program and therefore it wouldn't have had the intended time to take affect. 
We received the results today and the cancer has shrunk from 4.8cm to 1.9cm! 
We could not be happier. Finally some good news in what has felt like a never ending barrage of bad news. 
Could it be the CBD oil? Or could the radiation have been so efficient in such a short amount of time? 
What is everyone's thoughts on CBD oil for the treatment of cancers? 
Although I want to be supportive of him trying alternatives treatments, I struggle with the idea that the treatments provided by the doctors aren't the best and most effective ways to beat this.. but are the results speaking for themselves?</t>
        </is>
      </c>
      <c r="D10510" t="n">
        <v>1</v>
      </c>
      <c r="E10510" t="n">
        <v>4</v>
      </c>
      <c r="F10510">
        <f>HYPERLINK("https://www.reddit.com/r/cancer/comments/hzanax/sharing_the_good_news_we_received_today/")</f>
        <v/>
      </c>
      <c r="G10510" t="inlineStr">
        <is>
          <t>2020-07-28 01:02:58</t>
        </is>
      </c>
      <c r="H10510" t="inlineStr"/>
    </row>
    <row r="10511">
      <c r="A10511" t="inlineStr">
        <is>
          <t>hzav45</t>
        </is>
      </c>
      <c r="B10511" t="inlineStr">
        <is>
          <t>How do you move on from a traumatic event like cancer at a younger age?</t>
        </is>
      </c>
      <c r="C10511" t="inlineStr">
        <is>
          <t>A few years ago I (m25) landed my dream job in San Francisco working as a programmer right as my bachelors came to an end. I was happy and thought I was on a path to a bright future. As time wore on I began to slow down and became quite ill. Doctors were outright baffled and I had to move home. I took up another job as a computer engineer locally, but as soon as my employer caught wind I was unwell I was let go. I believe this was due to wanting to save on insurance costs for medical usage. I eventually found out it was cancer after seeing a doctor at the Mayo Clinic. While other doctors were telling me it was in my head, Mayo believed me and found out what was wrong. 
I beat cancer and finished treatment, but here is where I stand. I have no job, neuropathy took my hands and made coding impossible and my savings plus my parents savings has been wiped. Unemployment won’t help due to me not making enough in the prior year (due to chemo) and disability won’t help as I am not technically “disabled.” I have registered with vocational rehabilitation and hope to learn some new skills and hopefully begin a new career. I feel like a drain on my family and that my dreams are dead. Any redditors who went through a similar situation who may have some advice?</t>
        </is>
      </c>
      <c r="D10511" t="n">
        <v>1</v>
      </c>
      <c r="E10511" t="n">
        <v>9</v>
      </c>
      <c r="F10511">
        <f>HYPERLINK("https://www.reddit.com/r/cancer/comments/hzav45/how_do_you_move_on_from_a_traumatic_event_like/")</f>
        <v/>
      </c>
      <c r="G10511" t="inlineStr">
        <is>
          <t>2020-07-28 01:22:51</t>
        </is>
      </c>
      <c r="H10511" t="inlineStr"/>
    </row>
    <row r="10512">
      <c r="A10512" t="inlineStr">
        <is>
          <t>hzcrqn</t>
        </is>
      </c>
      <c r="B10512" t="inlineStr">
        <is>
          <t>I need help getting a nice present for my friend before she’s going into chemo?</t>
        </is>
      </c>
      <c r="C10512" t="inlineStr">
        <is>
          <t>So my brother’s girlfriend (19F) who I’m close to is going into chemo for breast cancer next month. She’s often given me very nice gifts (like Mac cosmetics etc) and I really want to give something nice back to her I’m just so clueless as what to give a person who is going into chemo. She’s a model and loves dogs and fashion if that helps but other than that what could be an appropriate gift? I don’t mind spending a fair bit of money. Any suggestions?
Is there anything you would have enjoyed getting before going into chemo?</t>
        </is>
      </c>
      <c r="D10512" t="n">
        <v>1</v>
      </c>
      <c r="E10512" t="n">
        <v>4</v>
      </c>
      <c r="F10512">
        <f>HYPERLINK("https://www.reddit.com/r/cancer/comments/hzcrqn/i_need_help_getting_a_nice_present_for_my_friend/")</f>
        <v/>
      </c>
      <c r="G10512" t="inlineStr">
        <is>
          <t>2020-07-28 04:09:54</t>
        </is>
      </c>
      <c r="H10512" t="inlineStr"/>
    </row>
    <row r="10513">
      <c r="A10513" t="inlineStr">
        <is>
          <t>hzevvr</t>
        </is>
      </c>
      <c r="B10513" t="inlineStr">
        <is>
          <t>How to learn about, ask questions, and be a good friend to someone with cancer.</t>
        </is>
      </c>
      <c r="C10513" t="inlineStr">
        <is>
          <t>Story time:
I consider myself extremely fortunate that I’ve never really had to deal with myself or a loved one having cancer in my family. My grandfather did have lung cancer, and passed away at age 81, but I was barely a few years old at the time and have very few memories of him. My mother doesn’t talk about it at all, and won’t (even 25 years later), other than to say it was a very brief battle. This is all my way of saying that I don’t have any real experience dealing with the disease personally.
Fast forward to a couple of days ago, I meet Zack (not his real name, but works for the purposes of the story). We just met at a store, and had a fun conversation about a tabletop game with both play. About five minutes in, we exchange phone numbers because neither of us have anyone to talk about this game with or a community to play it with. Exciting stuff! I didn’t think people made friends like this anymore! Either way, it came up through our conversation that day that he has cancer, is going through chemo, and is bored at home (as I’m sure many are during the current pandemic situation). We’ve texted back and forth for a few days about the game, strategies, experiences, et cetera, and made a plan to hang out tomorrow which is super exciting!
Therein lies the biggest worries I have about this. Not having any experience with this makes me concerned that I’ll be insensitive to what he’s going through without meaning to. Is it okay or encouraged to ask questions about the condition or the treatment? Ignoring it doesn’t sound like the right option, but bringing it up unnecessarily seems wrong as well. I can see us being really good friends, and when I make friends with someone, I’m always in it for the long haul. Eventually he’ll have to deal with side effects of chemo, or maybe treatment not working, or the full force of the disease itself. 
In everyone’s experience, would he want someone to talk about it with? Does he not? I don’t know much about what kind of support system he already has or doesn’t have. I don’t see him as being different because of it, just a nice, cool, low-key guy who happens to have cancer. Is that even the right mentality or am I being insensitive? I want to be a good friend and support system to him if he ever needs it, but I also know nothing about this. What side effects are normal from undergoing chemo? Should hanging out be brief, would it be tough to have longer gaming sessions? 
Finally, just one more question. In the event asking him isn’t the right course of action, where can I go or what resources can I access to learn more and be a better friend? I already feel a bond with Zack and want to make his life better like I try to do with any true friend. If there’s any advice you could offer me to make this a positive thing for him, please do fire away!</t>
        </is>
      </c>
      <c r="D10513" t="n">
        <v>1</v>
      </c>
      <c r="E10513" t="n">
        <v>3</v>
      </c>
      <c r="F10513">
        <f>HYPERLINK("https://www.reddit.com/r/cancer/comments/hzevvr/how_to_learn_about_ask_questions_and_be_a_good/")</f>
        <v/>
      </c>
      <c r="G10513" t="inlineStr">
        <is>
          <t>2020-07-28 06:43:37</t>
        </is>
      </c>
      <c r="H10513" t="inlineStr"/>
    </row>
    <row r="10514">
      <c r="A10514" t="inlineStr">
        <is>
          <t>hzi8sn</t>
        </is>
      </c>
      <c r="B10514" t="inlineStr">
        <is>
          <t>Rides to treatment/work</t>
        </is>
      </c>
      <c r="C10514" t="inlineStr">
        <is>
          <t>Anyone know of organizations that can offer free/discounted rides to treatments and/or work? My tumor is in my right leg and prevents me from driving and it would be crazy expensive with Lyft/Uber getting rides to work and radiation treatments.</t>
        </is>
      </c>
      <c r="D10514" t="n">
        <v>2</v>
      </c>
      <c r="E10514" t="n">
        <v>21</v>
      </c>
      <c r="F10514">
        <f>HYPERLINK("https://www.reddit.com/r/cancer/comments/hzi8sn/rides_to_treatmentwork/")</f>
        <v/>
      </c>
      <c r="G10514" t="inlineStr">
        <is>
          <t>2020-07-28 09:54:24</t>
        </is>
      </c>
      <c r="H10514" t="inlineStr"/>
    </row>
    <row r="10515">
      <c r="A10515" t="inlineStr">
        <is>
          <t>hzjqkk</t>
        </is>
      </c>
      <c r="B10515" t="inlineStr">
        <is>
          <t>Just waiting</t>
        </is>
      </c>
      <c r="C10515" t="inlineStr">
        <is>
          <t>I’m posting this from the parking lot at Whole Foods after just leaving work and going to sit alone.
I’m 26 and went in for a routine yearly appointment with my gyno. I’ve had some of what I thought was severe bloating, but it turns out to be a 20cm/8in mass. Could be bigger but they couldn’t even see it all from the ultrasounds. I’m supposed to get a CT scan, but they said the referral can take days. My doctor already let me know that following the scan, she would take a few days to get the results and course of treatment. I got screening blood tests done, which will also take days. Once they know what it is and how big it is, I’ll wait some more for a treatment plan and to schedule a surgery. I was just talking baby names with my partner on Sunday and now we’re talking removal of the ovaries and cancer. The mass just feels so heavy now. It feels 20 lbs heavier than it did on my way into my appointment. Today just seems a blur of waiting. I’m trying hard not to call my doctor repeatedly until they give me something, but I know that’s not how this works. You never think it’s going to happen to you, but then you’re just stuck waiting around to see how your life is going to change forever</t>
        </is>
      </c>
      <c r="D10515" t="n">
        <v>1</v>
      </c>
      <c r="E10515" t="n">
        <v>17</v>
      </c>
      <c r="F10515">
        <f>HYPERLINK("https://www.reddit.com/r/cancer/comments/hzjqkk/just_waiting/")</f>
        <v/>
      </c>
      <c r="G10515" t="inlineStr">
        <is>
          <t>2020-07-28 11:12:22</t>
        </is>
      </c>
      <c r="H10515" t="inlineStr"/>
    </row>
    <row r="10516">
      <c r="A10516" t="inlineStr">
        <is>
          <t>hzk74a</t>
        </is>
      </c>
      <c r="B10516" t="inlineStr">
        <is>
          <t>I might have cancer</t>
        </is>
      </c>
      <c r="C10516" t="inlineStr">
        <is>
          <t>I have a lump on my sternum i guess it started in 5th grade but idk its that old or more because i gave lot of weight in 5th too its been 5 years and this week it started to get dizy and a bit painful Im a bit uncomfortable and go to doctor tomorrow wish me luck</t>
        </is>
      </c>
      <c r="D10516" t="n">
        <v>1</v>
      </c>
      <c r="E10516" t="n">
        <v>18</v>
      </c>
      <c r="F10516">
        <f>HYPERLINK("https://www.reddit.com/r/cancer/comments/hzk74a/i_might_have_cancer/")</f>
        <v/>
      </c>
      <c r="G10516" t="inlineStr">
        <is>
          <t>2020-07-28 11:36:51</t>
        </is>
      </c>
      <c r="H10516" t="inlineStr"/>
    </row>
    <row r="10517">
      <c r="A10517" t="inlineStr">
        <is>
          <t>hzkoou</t>
        </is>
      </c>
      <c r="B10517" t="inlineStr">
        <is>
          <t>Thoughts on my uncle's cancer situation (Update)</t>
        </is>
      </c>
      <c r="C10517" t="inlineStr">
        <is>
          <t>Hello
Last week I posted a question about my uncle's cancer situation, as he wouldn't tell us any information. Not because the info was necessarily bad. But because he didn't want to  personally know the severity. If it was deadly, he didn't want to spend his last months worrying.  But anyway.....I got a couple nice responses from people. Today he went in for his first radiation treatment and this time he shared with us more information.
We are new to the horrible world of Cancer. So because he isn't sharing everything, we were hoping some of you might be able to give us a clearer picture.
Brief history
\*Five years ago he had prostate cancer. Did all the treatments, has been fine since then.
\*About a month ago he started feeling tired all the time. Went to DR got an MRI and a biopsy, said cancer returned.  Immediately scheduled him to do a 12 days treatment of radiation (5 on, 2 days off, 5 on). 
\*Went in today for first round. But instead, they gave him a shot, said he had to do 42 sessions of radiation. He said they brought in two doctors to talk with him.  AND that it has spread to his lymph nodes.
That's literally all he told us. We asked how severe it was and he said "I didn't ask them, I don't want to know."
SO my friends out there. What do you think?
Prostate cancer five years ago. Last week MRI and biopsy showed the cancer was back in his prostate. Today they told him it's spread to his lymph nodes. And they upped his treatment from 10 sessions to 42 sessions.
Normal.....deadly.........will probably live five more years.......will probably only live five more months......this is the end, need to take care of him or this is just a set back and he should be back to normal in a few months...........we just have no idea, since he won't tell us or ask the questions and we can't talk to his doctor. 
Thank you for any thoughts you can share.</t>
        </is>
      </c>
      <c r="D10517" t="n">
        <v>1</v>
      </c>
      <c r="E10517" t="n">
        <v>6</v>
      </c>
      <c r="F10517">
        <f>HYPERLINK("https://www.reddit.com/r/cancer/comments/hzkoou/thoughts_on_my_uncles_cancer_situation_update/")</f>
        <v/>
      </c>
      <c r="G10517" t="inlineStr">
        <is>
          <t>2020-07-28 12:02:15</t>
        </is>
      </c>
      <c r="H10517" t="inlineStr"/>
    </row>
    <row r="10518">
      <c r="A10518" t="inlineStr">
        <is>
          <t>hzl3ju</t>
        </is>
      </c>
      <c r="B10518" t="inlineStr">
        <is>
          <t>Cancer Found Through Ascites</t>
        </is>
      </c>
      <c r="C10518" t="inlineStr">
        <is>
          <t>Hello and thank you in advance. 
Can anyone let me know how often cancer is first found through ascites? I'm reading that ascites can typically mean the final stage of cancer but I've also seen that others didn't know they had cancer until ascites.</t>
        </is>
      </c>
      <c r="D10518" t="n">
        <v>1</v>
      </c>
      <c r="E10518" t="n">
        <v>3</v>
      </c>
      <c r="F10518">
        <f>HYPERLINK("https://www.reddit.com/r/cancer/comments/hzl3ju/cancer_found_through_ascites/")</f>
        <v/>
      </c>
      <c r="G10518" t="inlineStr">
        <is>
          <t>2020-07-28 12:23:54</t>
        </is>
      </c>
      <c r="H10518" t="inlineStr"/>
    </row>
    <row r="10519">
      <c r="A10519" t="inlineStr">
        <is>
          <t>hzndow</t>
        </is>
      </c>
      <c r="B10519" t="inlineStr">
        <is>
          <t>Anyone had Xelox (Capox)??</t>
        </is>
      </c>
      <c r="C10519" t="inlineStr">
        <is>
          <t>I'm starting Xelox in 2 weeks for stage 4 colon cancer. I know everyone reacts differently etc but just thought it would be good to hear about other people's experiences with this type of chemo? What side effects did you experience and any tips on how to relieve or cope with them? 
My oncologist has opted for a 3 month regime rather than 6 months, he said research has shown that 6 months is only 1% more effective than 3 months so it's not really worth it for the added side effects. I'm just going to have to trust him on that.</t>
        </is>
      </c>
      <c r="D10519" t="n">
        <v>1</v>
      </c>
      <c r="E10519" t="n">
        <v>12</v>
      </c>
      <c r="F10519">
        <f>HYPERLINK("https://www.reddit.com/r/cancer/comments/hzndow/anyone_had_xelox_capox/")</f>
        <v/>
      </c>
      <c r="G10519" t="inlineStr">
        <is>
          <t>2020-07-28 14:22:48</t>
        </is>
      </c>
      <c r="H10519" t="inlineStr"/>
    </row>
    <row r="10520">
      <c r="A10520" t="inlineStr">
        <is>
          <t>hzovz1</t>
        </is>
      </c>
      <c r="B10520" t="inlineStr">
        <is>
          <t>cancer is a lie made up by icecream corps to sell more icecream</t>
        </is>
      </c>
      <c r="C10520" t="inlineStr">
        <is>
          <t>Hear me out...
Cancer is not real, anyone you know who has died from 'cancer' just had a really bad brain freeze. Think about it you sheep!!
It's all a ploy for Ben and Jerrys to sell more and more icecream to line their filthy pockets with all our hard earned money and government funding. 
It gets stranger. if you close you eyes and squint really closely, C A N C E R almost looks like I C E C R E A M from far away.
BTW click my bitcoin link to double your bitcoin in 15 mins: shorturl.at/luwOZ 3====D</t>
        </is>
      </c>
      <c r="D10520" t="n">
        <v>1</v>
      </c>
      <c r="E10520" t="n">
        <v>0</v>
      </c>
      <c r="F10520">
        <f>HYPERLINK("https://www.reddit.com/r/cancer/comments/hzovz1/cancer_is_a_lie_made_up_by_icecream_corps_to_sell/")</f>
        <v/>
      </c>
      <c r="G10520" t="inlineStr">
        <is>
          <t>2020-07-28 15:47:45</t>
        </is>
      </c>
      <c r="H10520" t="inlineStr"/>
    </row>
    <row r="10521">
      <c r="A10521" t="inlineStr">
        <is>
          <t>hzssx4</t>
        </is>
      </c>
      <c r="B10521" t="inlineStr">
        <is>
          <t>One Year After Losing my Mom</t>
        </is>
      </c>
      <c r="C10521" t="inlineStr">
        <is>
          <t>I lost my mom to stage 4 lung cancer almost a year ago, the funny thing is it's so much harder now than before. I remember asking this very same forum a year ago how to cope with anticipatory grief, at the time the doctors told me and my mom we had at least 6 months. That 6 months turned into less than a week, I was so shocked that I almost had no way of processing the emotions. I remember waking up a couple of days after her last hospital visit trying to wake her up. I wanted to make this post today because I just needed another place to vent my grief. 
One thing that I learned about the grieving process, it never really ends. One year has past and my sadness is just the same, this was the first year I wasn't able to go to the beach with my mom(with the covid19 I wouldn't have anyway), celebrate Christmas(she passed on before 2019 Christmas), and my birthday. Her birthday is coming up soon and the thought of spending her birthday without her is a bit gut-wrenching. I have tried to push out the bad memories, but as her birthday gets closer all I could think of is the morning she passed away. I never really took the time to grieve, right after her death I just continued working. I think that has finally caught up to me, I recently quit my job and going to take some time to really grieve for the first time. To be honest I am a bit scared because I don't know what emotions will surface. Anyway, I am going to wrap this up and end off by saying thank you all for the support. Also, fuck cancer.
TLDR: Lost my mom almost a year ago to stage 4 lung cancer, and I am still grieving. Her birthday is coming up, and it has made me into an emotional wreck. Quit my job and will finally take some time off to properly grieve.</t>
        </is>
      </c>
      <c r="D10521" t="n">
        <v>1</v>
      </c>
      <c r="E10521" t="n">
        <v>6</v>
      </c>
      <c r="F10521">
        <f>HYPERLINK("https://www.reddit.com/r/cancer/comments/hzssx4/one_year_after_losing_my_mom/")</f>
        <v/>
      </c>
      <c r="G10521" t="inlineStr">
        <is>
          <t>2020-07-28 19:55:30</t>
        </is>
      </c>
      <c r="H10521" t="inlineStr"/>
    </row>
    <row r="10522">
      <c r="A10522" t="inlineStr">
        <is>
          <t>hzsz4f</t>
        </is>
      </c>
      <c r="B10522" t="inlineStr">
        <is>
          <t>Advice for caring for a carer</t>
        </is>
      </c>
      <c r="C10522" t="inlineStr">
        <is>
          <t>Hi guys,
The partner of my best friend has cancer and after a hard round of chemo they found out the cancer is back and her partner requires emergency surgery, it is likely he will never cancer free.  I'm looking for the best resources or advice to be able to support her as I haven't met her partner before and I know she,  as a carer, needs support.
Does anyone know how I am able to best help her? We are in our early 20s so young and I can't see her in person due to restrictions in Australia.
I've thought of weekly food drops where I can prepare her meals to ensure she eats and drop them at her door while social distancing. Are there other services and help I can offer?
Thanks</t>
        </is>
      </c>
      <c r="D10522" t="n">
        <v>1</v>
      </c>
      <c r="E10522" t="n">
        <v>4</v>
      </c>
      <c r="F10522">
        <f>HYPERLINK("https://www.reddit.com/r/cancer/comments/hzsz4f/advice_for_caring_for_a_carer/")</f>
        <v/>
      </c>
      <c r="G10522" t="inlineStr">
        <is>
          <t>2020-07-28 20:06:56</t>
        </is>
      </c>
      <c r="H10522" t="inlineStr"/>
    </row>
    <row r="10523">
      <c r="A10523" t="inlineStr">
        <is>
          <t>hzt02z</t>
        </is>
      </c>
      <c r="B10523" t="inlineStr">
        <is>
          <t>How can workplaces help employees with cancer? We're seeking help from cancer survivors to complete our research survey (20-30 mins).</t>
        </is>
      </c>
      <c r="C10523" t="inlineStr">
        <is>
          <t>As part of a Masters thesis, my colleague and I are writing a research theses looking at the return to work process for cancer survivors and how different workplace factors can facilitate or hinder this process.
We would love it if anyone reading this could show support and share with your networks or someone you know who fits the eligibility criteria below.
Thank you so much!
[https://researchsurveys.deakin.edu.au/jfe/form/SV\_8eSbwLdIwHoYJNj](https://researchsurveys.deakin.edu.au/jfe/form/SV_8eSbwLdIwHoYJNj)</t>
        </is>
      </c>
      <c r="D10523" t="n">
        <v>1</v>
      </c>
      <c r="E10523" t="n">
        <v>1</v>
      </c>
      <c r="F10523">
        <f>HYPERLINK("https://www.reddit.com/r/cancer/comments/hzt02z/how_can_workplaces_help_employees_with_cancer/")</f>
        <v/>
      </c>
      <c r="G10523" t="inlineStr">
        <is>
          <t>2020-07-28 20:08:42</t>
        </is>
      </c>
      <c r="H10523" t="inlineStr"/>
    </row>
    <row r="10524">
      <c r="A10524" t="inlineStr">
        <is>
          <t>hzttt2</t>
        </is>
      </c>
      <c r="B10524" t="inlineStr">
        <is>
          <t>how to comfort my sister until the end</t>
        </is>
      </c>
      <c r="C10524" t="inlineStr">
        <is>
          <t>my sister was diagnosed with stage 4 colon cancer in november of 2018 at age 26. it hit all of us like an anvil to the chest and i've been trying to cope with the anticipatory grief since. there were ups and downs and moments of tiny hopes but a few weeks ago her oncologist essentially let her know that the few chemotherapy treatments available are no longer working against the cancer. her tumors are growing again and it causes her pain. she asked how long she had left but there are no clear answers. at this point any other medicine or treatment would just be extending her life, not saving it. she's chronically tired, as is to be expected, although there are days when she has her old energy and i can't believe that her body is losing the battle. i am five years younger than her and she's been the best older sister i could ask for; i don't know how i will live without her. i'm trying to be strong for her and not cry in front of her but having to watch my sister die and not be able to do anything to save her is crushing me. i don't know how much time we have left together and i want to make her as happy as i can but i don't know how. if any of you have any advice i would really appreciate it</t>
        </is>
      </c>
      <c r="D10524" t="n">
        <v>1</v>
      </c>
      <c r="E10524" t="n">
        <v>22</v>
      </c>
      <c r="F10524">
        <f>HYPERLINK("https://www.reddit.com/r/cancer/comments/hzttt2/how_to_comfort_my_sister_until_the_end/")</f>
        <v/>
      </c>
      <c r="G10524" t="inlineStr">
        <is>
          <t>2020-07-28 21:06:13</t>
        </is>
      </c>
      <c r="H10524" t="inlineStr"/>
    </row>
    <row r="10525">
      <c r="A10525" t="inlineStr">
        <is>
          <t>hzu5ma</t>
        </is>
      </c>
      <c r="B10525" t="inlineStr">
        <is>
          <t>OPINION bald head ass women with cancer hot as fuck</t>
        </is>
      </c>
      <c r="C10525" t="inlineStr">
        <is>
          <t>So yesterday I was jerking off and I saw a bald cancer woman, thoughts?</t>
        </is>
      </c>
      <c r="D10525" t="n">
        <v>1</v>
      </c>
      <c r="E10525" t="n">
        <v>0</v>
      </c>
      <c r="F10525">
        <f>HYPERLINK("https://www.reddit.com/r/cancer/comments/hzu5ma/opinion_bald_head_ass_women_with_cancer_hot_as/")</f>
        <v/>
      </c>
      <c r="G10525" t="inlineStr">
        <is>
          <t>2020-07-28 21:29:26</t>
        </is>
      </c>
      <c r="H10525" t="inlineStr"/>
    </row>
    <row r="10526">
      <c r="A10526" t="inlineStr">
        <is>
          <t>hzuhbv</t>
        </is>
      </c>
      <c r="B10526" t="inlineStr">
        <is>
          <t>A new resource for cancer patients &amp;amp; survivors</t>
        </is>
      </c>
      <c r="C10526" t="inlineStr">
        <is>
          <t>Hi, I wanted to share with the group a new resource I've found: it's a medical information crowd-sourcing platform, using AI to analyze the data and find new insights within. So far they've found some interesting insights in several medical conditions (100+ conditions on the system) and they're now opening cancer groups. Ones that are opened include mainly sarcoma (RMS, ES, OS) and Leukemia (ALL). You can search your type in the link below, fill out the survey and chat with others like you. I hope this helps!</t>
        </is>
      </c>
      <c r="D10526" t="n">
        <v>1</v>
      </c>
      <c r="E10526" t="n">
        <v>0</v>
      </c>
      <c r="F10526">
        <f>HYPERLINK("https://www.reddit.com/r/cancer/comments/hzuhbv/a_new_resource_for_cancer_patients_survivors/")</f>
        <v/>
      </c>
      <c r="G10526" t="inlineStr">
        <is>
          <t>2020-07-28 21:53:22</t>
        </is>
      </c>
      <c r="H10526" t="inlineStr"/>
    </row>
    <row r="10527">
      <c r="A10527" t="inlineStr">
        <is>
          <t>hzwyzg</t>
        </is>
      </c>
      <c r="B10527" t="inlineStr">
        <is>
          <t>Unaffordable Olaparib medication for Stage IV ovarian cancer</t>
        </is>
      </c>
      <c r="C10527" t="inlineStr">
        <is>
          <t>Hi everyone,
&amp;amp;#x200B;
We are a family from Nepal, currently receiving treatment in New Delhi, India for my mother's stage IV ovarian cancer, and breast cancer (second primary). My mum responded to chemo very well (adjuvant chemotherapy). Three rounds of chemo, followed by the surgery (bilateral salpingo-oophorectomy, total omentectomy, falciform ligament excision, and bilateral mastectomy, followed by 2 rounds of chemo. The last chemo is pending because of low platelets count. 
&amp;amp;#x200B;
But docs are now doing PET CT scan to see if we can directly go to radiation for the breast and skip the last chemo. Is that normal? 
&amp;amp;#x200B;
Mum responded and went through this whole journey like a CHAMPION. I cannot even explain and she is doing so much better than when this all started. 
&amp;amp;#x200B;
But during my study, I read about the planned Olaparib based maintenance (after chemo/radiation) in one of the documents from the hospital. And I researched a bit on its costs and to my surprise, it costs thousands of dollars per month. I work in the Netherlands, so with my European salary and the donations we received in GoFundMe, we could manage with the costs so far. 
&amp;amp;#x200B;
But the Olaparib treatment with thousands of dollars per month for two years is unaffordable. 
&amp;amp;#x200B;
Can I get some suggestions on how to deal with this situation? Are there alternative treatments that are cheaper? Better, are there any charities that help with this situation?</t>
        </is>
      </c>
      <c r="D10527" t="n">
        <v>1</v>
      </c>
      <c r="E10527" t="n">
        <v>1</v>
      </c>
      <c r="F10527">
        <f>HYPERLINK("https://www.reddit.com/r/cancer/comments/hzwyzg/unaffordable_olaparib_medication_for_stage_iv/")</f>
        <v/>
      </c>
      <c r="G10527" t="inlineStr">
        <is>
          <t>2020-07-29 01:23:39</t>
        </is>
      </c>
      <c r="H10527" t="inlineStr"/>
    </row>
    <row r="10528">
      <c r="A10528" t="inlineStr">
        <is>
          <t>hzx0vy</t>
        </is>
      </c>
      <c r="B10528" t="inlineStr">
        <is>
          <t>Suggestion for Olaparib PARP inhibitors for ovarian cancer</t>
        </is>
      </c>
      <c r="C10528" t="inlineStr">
        <is>
          <t>Hi everyone,
We are a family from Nepal, currently receiving treatment in New Delhi, India for my mother's stage IV ovarian cancer, and breast cancer (second primary). My mum responded to chemo very well (adjuvant chemotherapy). Three rounds of chemo, followed by the surgery (bilateral salpingo-oophorectomy, total omentectomy, falciform ligament excision, and bilateral mastectomy, followed by 2 rounds of chemo. The last chemo is pending because of low platelets count.
But docs did the PET CT scan where the conclusion was:
&amp;gt;Post op status with no metabolically active disease in the body in current study.
So right now, that means there is no evidence of disease for mum.
Mum responded and went through this whole journey like a CHAMPION. I cannot even explain and she is doing so much better than when this all started.
But they are suggesting Olaparib based maintenance chemotherapy(after chemo/radiation). And the cost involved is, to my surprise, thousands of dollars per month. I work in the Netherlands, so with my European salary and the donations we received in GoFundMe, we could manage with the costs so far.
But the Olaparib treatment with thousands of dollars per month for two years is unaffordable.
Can I get some suggestions on how to deal with this situation? Are there alternative treatments that are cheaper? Better, are there any charities that help with this situation?</t>
        </is>
      </c>
      <c r="D10528" t="n">
        <v>1</v>
      </c>
      <c r="E10528" t="n">
        <v>0</v>
      </c>
      <c r="F10528">
        <f>HYPERLINK("https://www.reddit.com/r/cancer/comments/hzx0vy/suggestion_for_olaparib_parp_inhibitors_for/")</f>
        <v/>
      </c>
      <c r="G10528" t="inlineStr">
        <is>
          <t>2020-07-29 01:28:38</t>
        </is>
      </c>
      <c r="H10528" t="inlineStr"/>
    </row>
    <row r="10529">
      <c r="A10529" t="inlineStr">
        <is>
          <t>hzxnd8</t>
        </is>
      </c>
      <c r="B10529" t="inlineStr">
        <is>
          <t>Anyone here remained fertile after bowel cancer chemo??</t>
        </is>
      </c>
      <c r="C10529" t="inlineStr">
        <is>
          <t>Hello!
I'm about to start chemo (4 cycles of Xelox) for colon cancer with ovarian met. Unfortunately I won't be able to have any fertility preserving treatment due to the fact I'm recovering from 3 major surgeries that happened in quick succession and my oncologist wants to start chemo ASAP. He said there is basically no research on how this chemo affects fertility due to the fact 95% of people with bowel cancer are aged 50+.
I also had to have one of my ovaries removed due to the cancer so I'm worried this will affect my chances of remaining fertile even more. I don't know if I definitely want to have kids but I would like the option. I'm only 27.
I was just looking for some stories of hope regarding women who have conceived or even just continued to have periods following treatment.</t>
        </is>
      </c>
      <c r="D10529" t="n">
        <v>1</v>
      </c>
      <c r="E10529" t="n">
        <v>11</v>
      </c>
      <c r="F10529">
        <f>HYPERLINK("https://www.reddit.com/r/cancer/comments/hzxnd8/anyone_here_remained_fertile_after_bowel_cancer/")</f>
        <v/>
      </c>
      <c r="G10529" t="inlineStr">
        <is>
          <t>2020-07-29 02:25:45</t>
        </is>
      </c>
      <c r="H10529" t="inlineStr"/>
    </row>
    <row r="10530">
      <c r="A10530" t="inlineStr">
        <is>
          <t>i01co1</t>
        </is>
      </c>
      <c r="B10530" t="inlineStr">
        <is>
          <t>Help with hot flashes</t>
        </is>
      </c>
      <c r="C10530" t="inlineStr">
        <is>
          <t>Hey all, I have been suffering from extreme hot flashes as a side effect from chemo. They put me on 1200mg of Gabapentin but I am not getting any relief. Has anyone got any suggestions for something that can help me get some relief?</t>
        </is>
      </c>
      <c r="D10530" t="n">
        <v>1</v>
      </c>
      <c r="E10530" t="n">
        <v>1</v>
      </c>
      <c r="F10530">
        <f>HYPERLINK("https://www.reddit.com/r/cancer/comments/i01co1/help_with_hot_flashes/")</f>
        <v/>
      </c>
      <c r="G10530" t="inlineStr">
        <is>
          <t>2020-07-29 07:10:46</t>
        </is>
      </c>
      <c r="H10530" t="inlineStr"/>
    </row>
    <row r="10531">
      <c r="A10531" t="inlineStr">
        <is>
          <t>i02ilg</t>
        </is>
      </c>
      <c r="B10531" t="inlineStr">
        <is>
          <t>My friend has stage two throat cancer and isn't texting me back.</t>
        </is>
      </c>
      <c r="C10531" t="inlineStr">
        <is>
          <t>She told me like three weeks ago and hasn't texted back since. My texts aren't even delivering. I'm worried. Her treatment should be over by now. I hope she's alright. Any advice?</t>
        </is>
      </c>
      <c r="D10531" t="n">
        <v>1</v>
      </c>
      <c r="E10531" t="n">
        <v>7</v>
      </c>
      <c r="F10531">
        <f>HYPERLINK("https://www.reddit.com/r/cancer/comments/i02ilg/my_friend_has_stage_two_throat_cancer_and_isnt/")</f>
        <v/>
      </c>
      <c r="G10531" t="inlineStr">
        <is>
          <t>2020-07-29 08:21:53</t>
        </is>
      </c>
      <c r="H10531" t="inlineStr"/>
    </row>
    <row r="10532">
      <c r="A10532" t="inlineStr">
        <is>
          <t>i032rx</t>
        </is>
      </c>
      <c r="B10532" t="inlineStr">
        <is>
          <t>when is remission used?</t>
        </is>
      </c>
      <c r="C10532" t="inlineStr">
        <is>
          <t>the term remission, partial remission, partial response can someone just summarize it all for me? all the things I've read are confusing. my dad had scans that indicated he is strong partial response and another scan where his Mets are inactive. are these terms interchangeable?</t>
        </is>
      </c>
      <c r="D10532" t="n">
        <v>1</v>
      </c>
      <c r="E10532" t="n">
        <v>6</v>
      </c>
      <c r="F10532">
        <f>HYPERLINK("https://www.reddit.com/r/cancer/comments/i032rx/when_is_remission_used/")</f>
        <v/>
      </c>
      <c r="G10532" t="inlineStr">
        <is>
          <t>2020-07-29 08:56:06</t>
        </is>
      </c>
      <c r="H10532" t="inlineStr"/>
    </row>
    <row r="10533">
      <c r="A10533" t="inlineStr">
        <is>
          <t>i04v7e</t>
        </is>
      </c>
      <c r="B10533" t="inlineStr">
        <is>
          <t>Recommended canadian charities? (particularly for childhood cancer, if possible)</t>
        </is>
      </c>
      <c r="C10533" t="inlineStr">
        <is>
          <t>Hi everyone! I hope you’re doing well today!
My 16th birthday is coming up, and I thought asking for donations was a great alternative to asking for gifts this year (especially since gifts from friends always tend to get awkward😂 ). Having a really close friend pass away from leukaemia when I was 12, and now having to also watch my younger sister also go through the pain of watching her best friend fight cancer, I decided I wanted to give the funds to help support others fighting alongside our friends. 
What charities would you recommend? I want the funds I can pull together (likely at least $400) to make the most impact they possibly can. Could donating to individual families be a better decision? 
Thank you so much for all the help. God bless all of you &amp;lt;3</t>
        </is>
      </c>
      <c r="D10533" t="n">
        <v>1</v>
      </c>
      <c r="E10533" t="n">
        <v>7</v>
      </c>
      <c r="F10533">
        <f>HYPERLINK("https://www.reddit.com/r/cancer/comments/i04v7e/recommended_canadian_charities_particularly_for/")</f>
        <v/>
      </c>
      <c r="G10533" t="inlineStr">
        <is>
          <t>2020-07-29 10:37:22</t>
        </is>
      </c>
      <c r="H10533" t="inlineStr"/>
    </row>
    <row r="10534">
      <c r="A10534" t="inlineStr">
        <is>
          <t>i04zha</t>
        </is>
      </c>
      <c r="B10534" t="inlineStr">
        <is>
          <t>Does moving up a treatment regimen decrease your survival rate?</t>
        </is>
      </c>
      <c r="C10534" t="inlineStr">
        <is>
          <t>If you have a partial response to group B treatment and get moved up to group C for more intensive chemo, does this affect your overall prognosis? 
Have had mixed responses from 2 oncologists so will ask them again.</t>
        </is>
      </c>
      <c r="D10534" t="n">
        <v>1</v>
      </c>
      <c r="E10534" t="n">
        <v>3</v>
      </c>
      <c r="F10534">
        <f>HYPERLINK("https://www.reddit.com/r/cancer/comments/i04zha/does_moving_up_a_treatment_regimen_decrease_your/")</f>
        <v/>
      </c>
      <c r="G10534" t="inlineStr">
        <is>
          <t>2020-07-29 10:43:48</t>
        </is>
      </c>
      <c r="H10534" t="inlineStr"/>
    </row>
    <row r="10535">
      <c r="A10535" t="inlineStr">
        <is>
          <t>i05c61</t>
        </is>
      </c>
      <c r="B10535" t="inlineStr">
        <is>
          <t>My stepdad has just been diagnosed with lung cancer which has spread to his liver. I'm seriously struggling.. oh and i'm 27 today but who bloody cares. i just want him well.</t>
        </is>
      </c>
      <c r="C10535" t="inlineStr">
        <is>
          <t>I have severe childhood Ptsd and severe depression and anxiety.
This man has been the dad I never had since I was 14. I'm 27 today.
My mum is in shock and in autopilot mode. We are waiting on results to see his life expectancy and other things.
He had a triple bypass about 3 years ago from a heart attack and it really changed him but he's still around at 64 years.
His sister died from cancer a couple years back. They were very close and I was very fond of her. It feels like deja vu. He's been the rock of the family. His son (stepbrother) is 23 but has global learning so the mind of a 10 year old (if that) amongst other problems.
Cancer is such an evil bastard. I'm scared, lost and just so afraid of losing him too. I've had to be strong over the years but I'm crumbling inside. It's all too much.</t>
        </is>
      </c>
      <c r="D10535" t="n">
        <v>1</v>
      </c>
      <c r="E10535" t="n">
        <v>10</v>
      </c>
      <c r="F10535">
        <f>HYPERLINK("https://www.reddit.com/r/cancer/comments/i05c61/my_stepdad_has_just_been_diagnosed_with_lung/")</f>
        <v/>
      </c>
      <c r="G10535" t="inlineStr">
        <is>
          <t>2020-07-29 11:03:14</t>
        </is>
      </c>
      <c r="H10535" t="inlineStr"/>
    </row>
    <row r="10536">
      <c r="A10536" t="inlineStr">
        <is>
          <t>i06alg</t>
        </is>
      </c>
      <c r="B10536" t="inlineStr">
        <is>
          <t>My mom’s story</t>
        </is>
      </c>
      <c r="C10536" t="inlineStr">
        <is>
          <t>I lost my mom to breast cancer 10 years ago. My mom was one those persons that will keep quiet about her not feeling well, until the pain it’s unbearable. That is what happened with her tumor, she didn’t say anything until she couldn’t take it and it was already too late. 
Doctor removed one of her breast, she went through chemotherapy and radiation. During her radiation my mom started to have occasional episodes, where she would say or do incoherent things. 
We let the doctors know, a couple of tests and scans later, they found out that now she had hundreds of tiny tumors in her brain. That’s where the real hell started. 
She went from having an episode here and there to not making any type of sense at all. At first, she would forget certain stuff and then things escalated to the point she wanted us to drive in our car half way through the country to visit her family that ‘was waiting for her’ (they weren’t).  
It was incredibly hard to watch that I was slowly losing my mom, I would look into her eyes and she just wasn’t there anymore, I could tell she wasn’t the same. 
She was like going backwards, she was having tantrums like a toddler and a couple of months later she turned into a baby that needed to be fed and taken care of. 
In her last month she was completely bed ridden, my dad got her a hospital bed that we installed in the living room. She wouldn’t talk or do anything, she was just there. My sister and I took care of her when she was like that. We would bathe in her bed and since she was always laying down, mucus accumulated in her throat and my sister would use some sort of little vacuum to get it out so she could somewhat breath. My mom would have seizures and we would rush her to the hospital, even though we knew there was nothing left to do. But my family and I were in denial. We just couldn’t accept or process what was happening, it was difficult to believe everything my mom went through. 
Until one morning, my sister and I saw her take her last breathe. All of this happened in a little more than a year. From the day she was diagnosed to the day she passed away. 
To this day I keep wondering; why her? Out of all the bad people in the world, this has to happen to her, one of the most kindest persons ever. 
It’s going to sound dumb, but we even got mad to God, my mom was a devoted religious person and she suffered so much. 
Anyways, her birthday it’s coming up which makes me think of her and miss her more this time of the year, and I thought I could share her story.</t>
        </is>
      </c>
      <c r="D10536" t="n">
        <v>1</v>
      </c>
      <c r="E10536" t="n">
        <v>7</v>
      </c>
      <c r="F10536">
        <f>HYPERLINK("https://www.reddit.com/r/cancer/comments/i06alg/my_moms_story/")</f>
        <v/>
      </c>
      <c r="G10536" t="inlineStr">
        <is>
          <t>2020-07-29 11:54:51</t>
        </is>
      </c>
      <c r="H10536" t="inlineStr"/>
    </row>
    <row r="10537">
      <c r="A10537" t="inlineStr">
        <is>
          <t>i06pfi</t>
        </is>
      </c>
      <c r="B10537" t="inlineStr">
        <is>
          <t>Best news we could get</t>
        </is>
      </c>
      <c r="C10537" t="inlineStr">
        <is>
          <t>I posted a few weeks ago about my wife’s diagnosis with cervical cancer and wanted to give an update. After a second biopsy and PET scan we got confirmation that she’s stage 1 non metastasized cervical cancer. Her oncologist said it’s the best case we could hope for and that with 5 weeks of chemo and radiation plus 2 weeks of immunal therapy that curable percentages are in the 90% range. It feels so weird to say that I’m so fucking happy right now but the last weeks have been mind wreckingly stressful thinking the worst. Onto positive vibes and hopefully a happy lifetime with my wife. Thank you all for your love and support</t>
        </is>
      </c>
      <c r="D10537" t="n">
        <v>1</v>
      </c>
      <c r="E10537" t="n">
        <v>9</v>
      </c>
      <c r="F10537">
        <f>HYPERLINK("https://www.reddit.com/r/cancer/comments/i06pfi/best_news_we_could_get/")</f>
        <v/>
      </c>
      <c r="G10537" t="inlineStr">
        <is>
          <t>2020-07-29 12:16:32</t>
        </is>
      </c>
      <c r="H10537" t="inlineStr"/>
    </row>
    <row r="10538">
      <c r="A10538" t="inlineStr">
        <is>
          <t>i08r3g</t>
        </is>
      </c>
      <c r="B10538" t="inlineStr">
        <is>
          <t>Scan Results, Great News</t>
        </is>
      </c>
      <c r="C10538" t="inlineStr">
        <is>
          <t>back in April I was diagnosed with stage IV Renal Cell carcinoma with metastasis. I have just completed a 4 dose Opdivo/Yervoy cocktail. (4th dose today). 
On Monday I had a scan to compare before and after. I was just told that all masses have been reduced by at least 50%. 
I am ecstatic. I have made it a point to stay positive and 'not worry' about things I cannot control, but I feel really good that the attitude paid off. 
I haven't beaten it, but I got this fucker on the Ropes.</t>
        </is>
      </c>
      <c r="D10538" t="n">
        <v>1</v>
      </c>
      <c r="E10538" t="n">
        <v>10</v>
      </c>
      <c r="F10538">
        <f>HYPERLINK("https://www.reddit.com/r/cancer/comments/i08r3g/scan_results_great_news/")</f>
        <v/>
      </c>
      <c r="G10538" t="inlineStr">
        <is>
          <t>2020-07-29 14:06:14</t>
        </is>
      </c>
      <c r="H10538" t="inlineStr"/>
    </row>
    <row r="10539">
      <c r="A10539" t="inlineStr">
        <is>
          <t>i0a7qx</t>
        </is>
      </c>
      <c r="B10539" t="inlineStr">
        <is>
          <t>Guidance Needed: Parent Recently Diagnosed and Pushing Everyone Away</t>
        </is>
      </c>
      <c r="C10539" t="inlineStr">
        <is>
          <t>My dad was recently diagnosed with stage 3 cancer. I am currently trying to get him to understand why it is important to have 1) a support group 2) know what resources are available 3) share who is caring for him (doctors), what the treatment is at the moment, and allow for assistance with help going to the appointments and/or chemo IV drip appointments. 
Any ideas on how to explain any of the 3 points above to a very stubborn person? 
He won’t say who his doctors are, the names of the medicine he is on, or the schedule for appts and treatments. He is determined to do everything alone and only rely on me and his two friends for emotional support. He refuses any assistance when it comes to figuring out how he will stop working (he has a store - no staff) and cover bills when the side effects of chemo kick in. He said I am his only support which sounds crazy because he talks with at least 2 friends on a daily basis and family about what is happening.  He is driving me crazy at this point, I can only hope that once the chemo side effects start kicking his butt ( fatigue, drowsiness, nausea, etc) then he will at least allow me to start driving him to and from the hospital.</t>
        </is>
      </c>
      <c r="D10539" t="n">
        <v>1</v>
      </c>
      <c r="E10539" t="n">
        <v>0</v>
      </c>
      <c r="F10539">
        <f>HYPERLINK("https://www.reddit.com/r/cancer/comments/i0a7qx/guidance_needed_parent_recently_diagnosed_and/")</f>
        <v/>
      </c>
      <c r="G10539" t="inlineStr">
        <is>
          <t>2020-07-29 15:29:14</t>
        </is>
      </c>
      <c r="H10539" t="inlineStr"/>
    </row>
    <row r="10540">
      <c r="A10540" t="inlineStr">
        <is>
          <t>i0fn8q</t>
        </is>
      </c>
      <c r="B10540" t="inlineStr">
        <is>
          <t>Could these be symptoms of cancer</t>
        </is>
      </c>
      <c r="C10540" t="inlineStr">
        <is>
          <t>Now i know this is far fetched.. but for years i always told my self i wish i had cancer so i could die a natural death and not humiliate my ego and my family. I believe that sometimes wishing for these kind of things God will actually let it happen at some point maybe as a punishment? I dont know... Im not here to be judged lets not talk about that. 
My symptoms include every day nausea for months already, at times i have diarrhea other times im constipated. Cramps pretty often. I feel like gas builds up inside or something cuz I have a silent fart so to say very constantly or the need to burp. have to use the bathroom both ways allot more then normal.. especially   taking a piss at night..
 I get full out of no where pretty often without actually eating much at all. I get shaky hands at times. bad shortness of breath pretty often. I cant gain weight no matter how hard i try infact i loose it faster then i gain it. Like if i dont force my self to eat more, so that i csn atleast keep it where im at now. Im a guy 18 years old 5'8 weighing at about 125lbs... i sweat at night hard sometimes. Trouble sleeping too, especially falling asleep. I dont vomit which is the only reason why id think its nothing.</t>
        </is>
      </c>
      <c r="D10540" t="n">
        <v>1</v>
      </c>
      <c r="E10540" t="n">
        <v>9</v>
      </c>
      <c r="F10540">
        <f>HYPERLINK("https://www.reddit.com/r/cancer/comments/i0fn8q/could_these_be_symptoms_of_cancer/")</f>
        <v/>
      </c>
      <c r="G10540" t="inlineStr">
        <is>
          <t>2020-07-29 21:27:59</t>
        </is>
      </c>
      <c r="H10540" t="inlineStr">
        <is>
          <t xml:space="preserve">Patient </t>
        </is>
      </c>
    </row>
    <row r="10541">
      <c r="A10541" t="inlineStr">
        <is>
          <t>i0g8r2</t>
        </is>
      </c>
      <c r="B10541" t="inlineStr">
        <is>
          <t>Trying to stay motivated while waiting for a diagnosis.</t>
        </is>
      </c>
      <c r="C10541" t="inlineStr">
        <is>
          <t>I have a bunch of enlarged lymph nodes in the submandibular area. No idea if it’s cancer, and I’m not asking anyone here to diagnose me, so I hope it’s not against the rules to post. I’m just wondering how to stay motivated and productive with work and life while I’m waiting.  I’ve spent the past two months in a stupor.  I’m a teacher, and I’m going back to school in a week. I can’t even look at my lessons. I’m taking graduate school classes online. I can’t focus on the lectures. 
I don’t have cancer yet. At the rate this is going, I may not know for another few months.  My doctor has been sending me on a wild goose chase to see different doctors before getting the biopsy.  Today he sent me to the dentist. Yes, the dentist. My teeth are normal. Now they are clean, too. That’s a perk.
I guess I just thought I would know by now.</t>
        </is>
      </c>
      <c r="D10541" t="n">
        <v>1</v>
      </c>
      <c r="E10541" t="n">
        <v>16</v>
      </c>
      <c r="F10541">
        <f>HYPERLINK("https://www.reddit.com/r/cancer/comments/i0g8r2/trying_to_stay_motivated_while_waiting_for_a/")</f>
        <v/>
      </c>
      <c r="G10541" t="inlineStr">
        <is>
          <t>2020-07-29 22:14:53</t>
        </is>
      </c>
      <c r="H10541" t="inlineStr"/>
    </row>
    <row r="10542">
      <c r="A10542" t="inlineStr">
        <is>
          <t>i0lriv</t>
        </is>
      </c>
      <c r="B10542" t="inlineStr">
        <is>
          <t>Next review on 7th August....nervous</t>
        </is>
      </c>
      <c r="C10542" t="inlineStr">
        <is>
          <t>I have ocular melanoma which seemingly won't budge. If this stupid thing doesn't start responding to my current treatment plan, I will then have to have treatment that will cause me lose my sight in the left eye and then if it still doesn't respond, the eye will be removed.
It's early days and I'm very lucky I have no spread but the last review showed very miniscule response and I'll find out on Friday if the last treatment has done any better. 
Already an anxious person and anxiety is through the roof</t>
        </is>
      </c>
      <c r="D10542" t="n">
        <v>1</v>
      </c>
      <c r="E10542" t="n">
        <v>19</v>
      </c>
      <c r="F10542">
        <f>HYPERLINK("https://www.reddit.com/r/cancer/comments/i0lriv/next_review_on_7th_augustnervous/")</f>
        <v/>
      </c>
      <c r="G10542" t="inlineStr">
        <is>
          <t>2020-07-30 06:09:55</t>
        </is>
      </c>
      <c r="H10542" t="inlineStr">
        <is>
          <t xml:space="preserve">Patient </t>
        </is>
      </c>
    </row>
    <row r="10543">
      <c r="A10543" t="inlineStr">
        <is>
          <t>i0ohdi</t>
        </is>
      </c>
      <c r="B10543" t="inlineStr">
        <is>
          <t>How to help as a college student?</t>
        </is>
      </c>
      <c r="C10543" t="inlineStr">
        <is>
          <t>My dad was just recently diagnosed with Stage IV colon cancer a couple of days ago and it's been really hard for my family. Both of my parents haven't been sleeping and eating, and I try to reassure them as much as possible.
I'm going into my senior year of college and my little sister is just starting her freshman year in college. My dad insists that we both go to school and focus on our grades and getting our degree. I'll be about 4 hours away from home, but I feel like I won't be able to drive home often and help out. I'm not really sure what to do as my dad is just getting engulfed by all the statistics of cancer and I want to be there for him so much, but I won't be able to. I only have a week left before I go, so I want to help as much as possible. What can I do to help both my parents eat and sleep? While I'm away, what can I do to be as supportive as possible? Thanks</t>
        </is>
      </c>
      <c r="D10543" t="n">
        <v>1</v>
      </c>
      <c r="E10543" t="n">
        <v>4</v>
      </c>
      <c r="F10543">
        <f>HYPERLINK("https://www.reddit.com/r/cancer/comments/i0ohdi/how_to_help_as_a_college_student/")</f>
        <v/>
      </c>
      <c r="G10543" t="inlineStr">
        <is>
          <t>2020-07-30 08:53:32</t>
        </is>
      </c>
      <c r="H10543" t="inlineStr"/>
    </row>
    <row r="10544">
      <c r="A10544" t="inlineStr">
        <is>
          <t>i0qlu8</t>
        </is>
      </c>
      <c r="B10544" t="inlineStr">
        <is>
          <t>Niny nodule in a lung in a ct. Anyone who had one and turned out NOT to be mets?</t>
        </is>
      </c>
      <c r="C10544" t="inlineStr">
        <is>
          <t>My mum had a total gastrectomy for her stomach cancer 7 months ago and today the oncologist called with ct results saying 'the scan is reassuring'. There is only a very tiny nodule that we need to monitor but it could be anything really. It could just disappear on its own if it's just a small infection or something. Is there really a chance it's nothing? I'm trying to stay positive but it's so hard. I guess I'm just hoping there is someone out there who can tell me that they heard that before but it did turn out not to be a metastasis.</t>
        </is>
      </c>
      <c r="D10544" t="n">
        <v>1</v>
      </c>
      <c r="E10544" t="n">
        <v>13</v>
      </c>
      <c r="F10544">
        <f>HYPERLINK("https://www.reddit.com/r/cancer/comments/i0qlu8/niny_nodule_in_a_lung_in_a_ct_anyone_who_had_one/")</f>
        <v/>
      </c>
      <c r="G10544" t="inlineStr">
        <is>
          <t>2020-07-30 10:49:45</t>
        </is>
      </c>
      <c r="H10544" t="inlineStr"/>
    </row>
    <row r="10545">
      <c r="A10545" t="inlineStr">
        <is>
          <t>i0tmyq</t>
        </is>
      </c>
      <c r="B10545" t="inlineStr">
        <is>
          <t>Scar cover-up</t>
        </is>
      </c>
      <c r="C10545" t="inlineStr">
        <is>
          <t>Hello! I recently had surgery for a testicular, cancer-like tumour called soft-tissue sarcoma and I am going through my chemo treatment right now. I had a port installed in order for me to receive the chemo medication. Problem is, I have two scars, one on my neck and one on my chest. Is there any good lie for me to cover up the scars? I don't want other people to know what really happened because I think it is embarrassing and I can't get a tattoo because I am still 17 and my mum would never allow me to. Any suggestions?</t>
        </is>
      </c>
      <c r="D10545" t="n">
        <v>1</v>
      </c>
      <c r="E10545" t="n">
        <v>15</v>
      </c>
      <c r="F10545">
        <f>HYPERLINK("https://www.reddit.com/r/cancer/comments/i0tmyq/scar_coverup/")</f>
        <v/>
      </c>
      <c r="G10545" t="inlineStr">
        <is>
          <t>2020-07-30 13:35:06</t>
        </is>
      </c>
      <c r="H10545" t="inlineStr"/>
    </row>
    <row r="10546">
      <c r="A10546" t="inlineStr">
        <is>
          <t>i0w7qo</t>
        </is>
      </c>
      <c r="B10546" t="inlineStr">
        <is>
          <t>Smoking on chemo</t>
        </is>
      </c>
      <c r="C10546" t="inlineStr">
        <is>
          <t>Hello, I was recently diagnosed with a testicular soft tissue sarcoma and had surgery to get it removed. I am on my second session of chemo right now and it’s very light (24 week programme) I was wondering if it’s fine to smoke cigarettes or to vape? are there any side effects? There’s a lot of stress right now and I was wondering if it’s fine to give in to the cravings once in a while.</t>
        </is>
      </c>
      <c r="D10546" t="n">
        <v>1</v>
      </c>
      <c r="E10546" t="n">
        <v>7</v>
      </c>
      <c r="F10546">
        <f>HYPERLINK("https://www.reddit.com/r/cancer/comments/i0w7qo/smoking_on_chemo/")</f>
        <v/>
      </c>
      <c r="G10546" t="inlineStr">
        <is>
          <t>2020-07-30 15:59:45</t>
        </is>
      </c>
      <c r="H10546" t="inlineStr"/>
    </row>
    <row r="10547">
      <c r="A10547" t="inlineStr">
        <is>
          <t>i0wijm</t>
        </is>
      </c>
      <c r="B10547" t="inlineStr">
        <is>
          <t>Is there such a thing as a general cancer screen/scan?</t>
        </is>
      </c>
      <c r="C10547" t="inlineStr">
        <is>
          <t>My wife is working her way through a breast cancer diagnosis that was detected by pure luck. We are now worried about recurrence and other cancers in the future. Is there any kind of general wellness cancer screening/scan/test that can be done going forward as a precaution (even if out of pocket), or is everything based on localized symptoms?
I love that there is such a huge push for a cure, but detection seems to be lagging behind from my very limited experience with our current situation.</t>
        </is>
      </c>
      <c r="D10547" t="n">
        <v>1</v>
      </c>
      <c r="E10547" t="n">
        <v>22</v>
      </c>
      <c r="F10547">
        <f>HYPERLINK("https://www.reddit.com/r/cancer/comments/i0wijm/is_there_such_a_thing_as_a_general_cancer/")</f>
        <v/>
      </c>
      <c r="G10547" t="inlineStr">
        <is>
          <t>2020-07-30 16:17:19</t>
        </is>
      </c>
      <c r="H10547" t="inlineStr"/>
    </row>
    <row r="10548">
      <c r="A10548" t="inlineStr">
        <is>
          <t>i0woco</t>
        </is>
      </c>
      <c r="B10548" t="inlineStr">
        <is>
          <t>I graduated uni today with honours!!</t>
        </is>
      </c>
      <c r="C10548" t="inlineStr">
        <is>
          <t>I didn't think I'd make it to this point... BUT I DID IT!!! I'm still in shock but I'm so ridiculously happy. I've learned to celebrate each little milestone I've made, but this is such a huge one and I'm so proud of myself!!</t>
        </is>
      </c>
      <c r="D10548" t="n">
        <v>1</v>
      </c>
      <c r="E10548" t="n">
        <v>13</v>
      </c>
      <c r="F10548">
        <f>HYPERLINK("https://www.reddit.com/r/cancer/comments/i0woco/i_graduated_uni_today_with_honours/")</f>
        <v/>
      </c>
      <c r="G10548" t="inlineStr">
        <is>
          <t>2020-07-30 16:26:59</t>
        </is>
      </c>
      <c r="H10548" t="inlineStr"/>
    </row>
    <row r="10549">
      <c r="A10549" t="inlineStr">
        <is>
          <t>i0yjzz</t>
        </is>
      </c>
      <c r="B10549" t="inlineStr">
        <is>
          <t>COVID + cancer</t>
        </is>
      </c>
      <c r="C10549" t="inlineStr">
        <is>
          <t>My mom was diagnosed with bile duct cancer the night before halloween 2019 and she was handling her chemo treatment great until the start of the pandemic. Come March and she is locked in the house, scared to leave, see her friends/family or even go for a walk around the block because of her compromised immune system and the risk of getting COVID. 
I feel like I have seen her slowly deteriorate over the last few months and am constantly thinking about how things would be different had the quarantine not happened? I truly feel the lack of social interaction and reduced physical activity is what is killing her. I’m just so angry at everything and wondering if anyone else is struggling with these thoughts? Luckily I live close to my parents and can see them often, but can only do socially distant visits in their backyard and am struggling with how else I can help.</t>
        </is>
      </c>
      <c r="D10549" t="n">
        <v>1</v>
      </c>
      <c r="E10549" t="n">
        <v>5</v>
      </c>
      <c r="F10549">
        <f>HYPERLINK("https://www.reddit.com/r/cancer/comments/i0yjzz/covid_cancer/")</f>
        <v/>
      </c>
      <c r="G10549" t="inlineStr">
        <is>
          <t>2020-07-30 18:27:40</t>
        </is>
      </c>
      <c r="H10549" t="inlineStr"/>
    </row>
    <row r="10550">
      <c r="A10550" t="inlineStr">
        <is>
          <t>i0z3wn</t>
        </is>
      </c>
      <c r="B10550" t="inlineStr">
        <is>
          <t>(Support) honest question</t>
        </is>
      </c>
      <c r="C10550" t="inlineStr">
        <is>
          <t>I have supported my mom over the last few years, we have been very fortunate that she far outlasted her prognosis. However we have arrived at a point where she struggles with pain almost daily. I greatly respect her will to live but I have reached a point where I question the value. Has anyone else approached a love one with this reality? How do to talk to this person about the fact that continuing only brings more pain? I feel terrible telling my mom to give up but I don't want to see her suffer more.</t>
        </is>
      </c>
      <c r="D10550" t="n">
        <v>1</v>
      </c>
      <c r="E10550" t="n">
        <v>2</v>
      </c>
      <c r="F10550">
        <f>HYPERLINK("https://www.reddit.com/r/cancer/comments/i0z3wn/support_honest_question/")</f>
        <v/>
      </c>
      <c r="G10550" t="inlineStr">
        <is>
          <t>2020-07-30 19:04:23</t>
        </is>
      </c>
      <c r="H10550" t="inlineStr"/>
    </row>
    <row r="10551">
      <c r="A10551" t="inlineStr">
        <is>
          <t>i0zheg</t>
        </is>
      </c>
      <c r="B10551" t="inlineStr">
        <is>
          <t>Glioblastoma. lOOKS LIKE i GET TO CHOOSE HOW i DIE.tHERE'S NO CURE FOR THIS CANCER.</t>
        </is>
      </c>
      <c r="C10551" t="inlineStr">
        <is>
          <t>i WPOULD LIKE TO FIND A DISCUSSION ON EXTENDING MY TIME BY A FEW MONTHSTHROUGH TREATMENTS OR JUST GETTING ON WITH IT . wHATEVER HAPPENS, i WILL BE SPENDING THE NEXT FEW MONTHS ON MY BACK WHILE NATURE TAKES ITS COURSE. i CAN'T ESCAPE THE FEELING THAT THE LAST WEEKS WOULD BE BETTER MANAGING PAIN, RATHER THAN BUYING AN EXTRAMONTH WHILE BEING SICK FROM TREATMENTS. pLEASE EXCUSE MY BREVITY. i HAVE ACCEPTED MY FATE.  sOME IN MY CIRCLE HAVE NOT. i'M JUST SWINGING IN THE DARK, HOPING TO GET A FEELING ON HOW MY LOVED ONES WILL FEEL ABOUT MY CHOICES THat i HAVE YET TO MAKE. AND HOW TO TELL THEM</t>
        </is>
      </c>
      <c r="D10551" t="n">
        <v>1</v>
      </c>
      <c r="E10551" t="n">
        <v>9</v>
      </c>
      <c r="F10551">
        <f>HYPERLINK("https://www.reddit.com/r/cancer/comments/i0zheg/glioblastoma_looks_like_i_get_to_choose_how_i/")</f>
        <v/>
      </c>
      <c r="G10551" t="inlineStr">
        <is>
          <t>2020-07-30 19:29:39</t>
        </is>
      </c>
      <c r="H10551" t="inlineStr"/>
    </row>
    <row r="10552">
      <c r="A10552" t="inlineStr">
        <is>
          <t>i0zjqy</t>
        </is>
      </c>
      <c r="B10552" t="inlineStr">
        <is>
          <t>What makes a woman</t>
        </is>
      </c>
      <c r="C10552" t="inlineStr">
        <is>
          <t>Sometimes I feel so tired. Survived stage 3 breast cancer 2 years ago. Scheduled ovarian removal next year. Unemployed. Alone. Take away ability to have children and produce sustenance for potential child, what makes a woman, a woman?</t>
        </is>
      </c>
      <c r="D10552" t="n">
        <v>1</v>
      </c>
      <c r="E10552" t="n">
        <v>9</v>
      </c>
      <c r="F10552">
        <f>HYPERLINK("https://www.reddit.com/r/cancer/comments/i0zjqy/what_makes_a_woman/")</f>
        <v/>
      </c>
      <c r="G10552" t="inlineStr">
        <is>
          <t>2020-07-30 19:34:04</t>
        </is>
      </c>
      <c r="H10552" t="inlineStr">
        <is>
          <t xml:space="preserve">Patient </t>
        </is>
      </c>
    </row>
    <row r="10553">
      <c r="A10553" t="inlineStr">
        <is>
          <t>i0zvjy</t>
        </is>
      </c>
      <c r="B10553" t="inlineStr">
        <is>
          <t>What's your biggest misconception about cancer?</t>
        </is>
      </c>
      <c r="C10553" t="inlineStr">
        <is>
          <t>While cancer is a really widespread topic talked about in every corner of the world, each and every one of us most likely had heard of or thought of seemingly factual information about cancer. As someone who knew who had cancer or as someone who has/had one, can you share here what is your biggest misconception about cancer? And how are you able to disprove it?</t>
        </is>
      </c>
      <c r="D10553" t="n">
        <v>1</v>
      </c>
      <c r="E10553" t="n">
        <v>9</v>
      </c>
      <c r="F10553">
        <f>HYPERLINK("https://www.reddit.com/r/cancer/comments/i0zvjy/whats_your_biggest_misconception_about_cancer/")</f>
        <v/>
      </c>
      <c r="G10553" t="inlineStr">
        <is>
          <t>2020-07-30 19:56:21</t>
        </is>
      </c>
      <c r="H10553" t="inlineStr"/>
    </row>
    <row r="10554">
      <c r="A10554" t="inlineStr">
        <is>
          <t>i10g1p</t>
        </is>
      </c>
      <c r="B10554" t="inlineStr">
        <is>
          <t>A long shot</t>
        </is>
      </c>
      <c r="C10554" t="inlineStr">
        <is>
          <t>Recently we have gotten involved with the family of a 4 year old with eye cancer in gujrat India. These people live well below the poverty line even in India and I was wondering if anyone could give me some  for them. Were looking for any charities or society's in India to help them pay for her chemo and any other treatment thank you</t>
        </is>
      </c>
      <c r="D10554" t="n">
        <v>1</v>
      </c>
      <c r="E10554" t="n">
        <v>0</v>
      </c>
      <c r="F10554">
        <f>HYPERLINK("https://www.reddit.com/r/cancer/comments/i10g1p/a_long_shot/")</f>
        <v/>
      </c>
      <c r="G10554" t="inlineStr">
        <is>
          <t>2020-07-30 20:35:43</t>
        </is>
      </c>
      <c r="H10554" t="inlineStr"/>
    </row>
    <row r="10555">
      <c r="A10555" t="inlineStr">
        <is>
          <t>i10g49</t>
        </is>
      </c>
      <c r="B10555" t="inlineStr">
        <is>
          <t>Cancer Genetics</t>
        </is>
      </c>
      <c r="C10555" t="inlineStr">
        <is>
          <t>My father and Grandfather both had Prostate cancer. So clearly I’m at high risk of it myself. Is there anything I can do now to either prevent future me from getting it and/or just helping the process along when it does happen (seems pretty inevitable at this point)?</t>
        </is>
      </c>
      <c r="D10555" t="n">
        <v>1</v>
      </c>
      <c r="E10555" t="n">
        <v>3</v>
      </c>
      <c r="F10555">
        <f>HYPERLINK("https://www.reddit.com/r/cancer/comments/i10g49/cancer_genetics/")</f>
        <v/>
      </c>
      <c r="G10555" t="inlineStr">
        <is>
          <t>2020-07-30 20:35:54</t>
        </is>
      </c>
      <c r="H10555" t="inlineStr"/>
    </row>
    <row r="10556">
      <c r="A10556" t="inlineStr">
        <is>
          <t>i11mpi</t>
        </is>
      </c>
      <c r="B10556" t="inlineStr">
        <is>
          <t>Experience with Calquence?</t>
        </is>
      </c>
      <c r="C10556" t="inlineStr">
        <is>
          <t>I have been a long time viewer of this community and wanted to get any advice on a new drug I am starting this weekend: calquence.
3rd go around with treatment. They have been spaced 5 yrs apart 2010, 2015 and 2020 for CLL.  I am a 48 yr old Male.  I have been on standard FCR for my first chemo treatment. They rituxan and gazyva.  Now starting on calquence.
Just looking for some side effects you may have experienced, ways you dealt with side effects, did you find to to be manageable?
I've read all the materials and looking for ctual patient experience.
Just want to know what I am in for.  Gotta do it anyway, but the insider cancer community always has some great insight.
Thanks for your reply!</t>
        </is>
      </c>
      <c r="D10556" t="n">
        <v>1</v>
      </c>
      <c r="E10556" t="n">
        <v>0</v>
      </c>
      <c r="F10556">
        <f>HYPERLINK("https://www.reddit.com/r/cancer/comments/i11mpi/experience_with_calquence/")</f>
        <v/>
      </c>
      <c r="G10556" t="inlineStr">
        <is>
          <t>2020-07-30 22:03:20</t>
        </is>
      </c>
      <c r="H10556" t="inlineStr"/>
    </row>
    <row r="10557">
      <c r="A10557" t="inlineStr">
        <is>
          <t>i11syy</t>
        </is>
      </c>
      <c r="B10557" t="inlineStr">
        <is>
          <t>Lymphoma stage 4 survivor don’t know how to deal with after cancer dramatic love life</t>
        </is>
      </c>
      <c r="C10557" t="inlineStr">
        <is>
          <t>I am a lymphoma cancer survivor during these time. I just officially did a bone marrow biopsy to make sure I am in remission since the virus in June. Supposed get it done in February. Btw I Met my bf In June and only been with him 14 days in July. He’s the first bf I ever been with since I healed so he mean a lot to me. I haven’t date for 1.5 year. But He left cuz his mum stroke in sudden n depression broke down. (He got depression before for two months already and need to take pills) I can not let go. 
After he said can’t handle a relationship. He said he need space and time to fix himself first and his mum situation, he said he don’t have right ask me to wait for him but he will come back if I can give him a chance and beg me if I still available. He said he don’t want to bring me unhappiness. I offer to been through this with him he said NO to me. He said I can’t help him. After break up a week he whatsapp me ask me if I have enough masks if not he give to me. I really don’t know what to do. I am so heartbroken. 
I can handle 6 cycles of chemo and target therapy last year but I can’t handle this much. I am 40F he’s 44M. Although I am 40F but I haven’t into social life for long time he made me feel like teenage and heart beat fast.</t>
        </is>
      </c>
      <c r="D10557" t="n">
        <v>1</v>
      </c>
      <c r="E10557" t="n">
        <v>0</v>
      </c>
      <c r="F10557">
        <f>HYPERLINK("https://www.reddit.com/r/cancer/comments/i11syy/lymphoma_stage_4_survivor_dont_know_how_to_deal/")</f>
        <v/>
      </c>
      <c r="G10557" t="inlineStr">
        <is>
          <t>2020-07-30 22:16:48</t>
        </is>
      </c>
      <c r="H10557" t="inlineStr"/>
    </row>
    <row r="10558">
      <c r="A10558" t="inlineStr">
        <is>
          <t>i11vao</t>
        </is>
      </c>
      <c r="B10558" t="inlineStr">
        <is>
          <t>The guy I’m newly dating is finding out tomorrow if he has cancer.</t>
        </is>
      </c>
      <c r="C10558" t="inlineStr">
        <is>
          <t>Hello all, 
I’m struggling to find the words to type this post. I met a guy about 4.5 months ago. We have yet to put a label on things but have been dating exclusively and taking things slow. We are happy together. 
He has several family members who’ve had a specific form of cancer. Tomorrow he is paying a visit to his doctor to see if he also has this same form of cancer as he has been showing the vast majority of the early signs and symptoms that his family members also showed. 
Of course, I am hoping that he is healthy and that there is nothing wrong, however I know that there is a chance we will get terrible news. What can I do/say to show support as someone who’s not exactly his girlfriend but also not someone’s he’s simply casually seeing either? Apologies if this is not the right place to post.. I’m just struggling to think of what I’d say if the doctor comes bearing bad news.</t>
        </is>
      </c>
      <c r="D10558" t="n">
        <v>1</v>
      </c>
      <c r="E10558" t="n">
        <v>4</v>
      </c>
      <c r="F10558">
        <f>HYPERLINK("https://www.reddit.com/r/cancer/comments/i11vao/the_guy_im_newly_dating_is_finding_out_tomorrow/")</f>
        <v/>
      </c>
      <c r="G10558" t="inlineStr">
        <is>
          <t>2020-07-30 22:22:23</t>
        </is>
      </c>
      <c r="H10558" t="inlineStr"/>
    </row>
    <row r="10559">
      <c r="A10559" t="inlineStr">
        <is>
          <t>i12hec</t>
        </is>
      </c>
      <c r="B10559" t="inlineStr">
        <is>
          <t>I just found out that my mom “likely” has myloproliferative neoplasm</t>
        </is>
      </c>
      <c r="C10559" t="inlineStr">
        <is>
          <t>Does anybody know anyone who had it and was treated? If ya, then what type of treatment?? Please help me.</t>
        </is>
      </c>
      <c r="D10559" t="n">
        <v>1</v>
      </c>
      <c r="E10559" t="n">
        <v>0</v>
      </c>
      <c r="F10559">
        <f>HYPERLINK("https://www.reddit.com/r/cancer/comments/i12hec/i_just_found_out_that_my_mom_likely_has/")</f>
        <v/>
      </c>
      <c r="G10559" t="inlineStr">
        <is>
          <t>2020-07-30 23:14:20</t>
        </is>
      </c>
      <c r="H10559" t="inlineStr"/>
    </row>
    <row r="10560">
      <c r="A10560" t="inlineStr">
        <is>
          <t>i15o55</t>
        </is>
      </c>
      <c r="B10560" t="inlineStr">
        <is>
          <t>Please help. Will my mom make it?</t>
        </is>
      </c>
      <c r="C10560" t="inlineStr">
        <is>
          <t>My mother was diagnosed with stage 2 breast cancer about 2 months back. She quickly had surgery to get her breast “removed”. 
She’s supposed to be undergoing chemo now as it’s coming to almost 8 weeks after the surgery but the insurance company isn’t getting back to her fast enough. Also considering they may even deny her request for chemo. 
I’m really worried now...that it’ll spread faster and will cause complications for her. Please someone help me understand how serious this is. I want to know if I have little time left with her.</t>
        </is>
      </c>
      <c r="D10560" t="n">
        <v>1</v>
      </c>
      <c r="E10560" t="n">
        <v>3</v>
      </c>
      <c r="F10560">
        <f>HYPERLINK("https://www.reddit.com/r/cancer/comments/i15o55/please_help_will_my_mom_make_it/")</f>
        <v/>
      </c>
      <c r="G10560" t="inlineStr">
        <is>
          <t>2020-07-31 04:07:52</t>
        </is>
      </c>
      <c r="H10560" t="inlineStr"/>
    </row>
    <row r="10561">
      <c r="A10561" t="inlineStr">
        <is>
          <t>i16i8z</t>
        </is>
      </c>
      <c r="B10561" t="inlineStr">
        <is>
          <t>Looking for a smol community</t>
        </is>
      </c>
      <c r="C10561" t="inlineStr">
        <is>
          <t>Hey friends &amp;lt;3  
I'm a childhood cancer survivor (leukemia at age 12). Currently in my 20s. I always felt appaled by talking to other people with cancer, because I didn't want to admit it was happening or had happened. Now that I'm getting older, I'm feeling the need to have people who can relate to me on "that" level. Especially with lockdown, it can get a little lonely. Would any people be down to make a small discord server of some sorts where we just hang out, maybe play games or whatever and hopefully become friends? :3  
Let me know! &amp;lt;3  
With love,  
Snips</t>
        </is>
      </c>
      <c r="D10561" t="n">
        <v>1</v>
      </c>
      <c r="E10561" t="n">
        <v>2</v>
      </c>
      <c r="F10561">
        <f>HYPERLINK("https://www.reddit.com/r/cancer/comments/i16i8z/looking_for_a_smol_community/")</f>
        <v/>
      </c>
      <c r="G10561" t="inlineStr">
        <is>
          <t>2020-07-31 05:17:16</t>
        </is>
      </c>
      <c r="H10561" t="inlineStr"/>
    </row>
    <row r="10562">
      <c r="A10562" t="inlineStr">
        <is>
          <t>i17auf</t>
        </is>
      </c>
      <c r="B10562" t="inlineStr">
        <is>
          <t>When the doctor says immunotherapy isn’t an option due to genetics, does that mean it’s completely out of the picture?</t>
        </is>
      </c>
      <c r="C10562" t="inlineStr">
        <is>
          <t>My girlfriend with Stage IV soft tissue sarcoma hasn’t responded at all to the doxorubicin chemo, and to hear this early on was sad. He gave her a referral to get a second opinion at MSK and her CT Medicaid will cover outpatient visits there so we’re excited to see what they have to say. Her doctor said she still likely has some years left so we can try other options. It started in her breast and is now on the clavicle and some spots have appeared on the lungs.
But can you really be locked out of *all* immunotherapy options? If the toughest, strongest chemo isn’t working we want to know there are other options to shrink these damn things.</t>
        </is>
      </c>
      <c r="D10562" t="n">
        <v>1</v>
      </c>
      <c r="E10562" t="n">
        <v>10</v>
      </c>
      <c r="F10562">
        <f>HYPERLINK("https://www.reddit.com/r/cancer/comments/i17auf/when_the_doctor_says_immunotherapy_isnt_an_option/")</f>
        <v/>
      </c>
      <c r="G10562" t="inlineStr">
        <is>
          <t>2020-07-31 06:14:13</t>
        </is>
      </c>
      <c r="H10562" t="inlineStr"/>
    </row>
    <row r="10563">
      <c r="A10563" t="inlineStr">
        <is>
          <t>i17snf</t>
        </is>
      </c>
      <c r="B10563" t="inlineStr">
        <is>
          <t>Slightly rising AFP Tumor Marker?</t>
        </is>
      </c>
      <c r="C10563" t="inlineStr">
        <is>
          <t>I've posted on here quite a few times in the last few weeks and I appreciate every single one of you who has dealt with my health anxiety and for replying to my concerns. 
I had blood drawn again since I have surgery on Monday and my AFP tumor marker went from 4.9 to 5.7 (0-10 is the normal range)
Am I being completely paranoid in this? Is this an insignificant increase or could I be watching something progress? Again, I have health anxiety, after being traumatized by an ER doctor, but I've been having pain in my liver region for the last couple of weeks. I have a huge ovarian mass that I have surgery scheduled for on Monday.
My CA125 levels dropped and I know they can fluctuate depending on many factors. Can an AFP marker fluctuate when it's within normal range as well and not be sinister? I can't find anything on the internet about it. They say they didn't find anything on my liver in the CT scan but I know stuff gets missed. I just don't understand what this pain is. 
Thank you so much ahead of time.</t>
        </is>
      </c>
      <c r="D10563" t="n">
        <v>1</v>
      </c>
      <c r="E10563" t="n">
        <v>8</v>
      </c>
      <c r="F10563">
        <f>HYPERLINK("https://www.reddit.com/r/cancer/comments/i17snf/slightly_rising_afp_tumor_marker/")</f>
        <v/>
      </c>
      <c r="G10563" t="inlineStr">
        <is>
          <t>2020-07-31 06:48:03</t>
        </is>
      </c>
      <c r="H10563" t="inlineStr"/>
    </row>
    <row r="10564">
      <c r="A10564" t="inlineStr">
        <is>
          <t>i1970u</t>
        </is>
      </c>
      <c r="B10564" t="inlineStr">
        <is>
          <t>Hey everyone. Turns out my wife (most likely) has cancer. We don't know the details yet but I was pointed to this sub earlier this week and wanted to drop in.</t>
        </is>
      </c>
      <c r="C10564" t="inlineStr">
        <is>
          <t>Just had her biopsy today, so as I said, we won't know the finer details until next week, but she's already got a surgery scheduled a couple weeks out.  And of course now she's freaking out about all the possible complications from the surgery, and I'm stuck behind packing up our old apartment, unable to comfort her in person. This sucks already and we've barely scratched the surface.
Honestly I'm not sure what my purpose is regarding this post beyond just an introduction and to say I may be in here quite often in the coming months.
A quick browse has told me I know very little about cancer compared to most of you, but I'm sure I'll learn as I go.  
Anyway thanks for reading my rambling mess.  Wish I didn't have a reason to talk to any of you, which sounds rude on its face but I'm sure you understand.  I'm just glad I've found a place to talk about this shit sometimes.</t>
        </is>
      </c>
      <c r="D10564" t="n">
        <v>1</v>
      </c>
      <c r="E10564" t="n">
        <v>29</v>
      </c>
      <c r="F10564">
        <f>HYPERLINK("https://www.reddit.com/r/cancer/comments/i1970u/hey_everyone_turns_out_my_wife_most_likely_has/")</f>
        <v/>
      </c>
      <c r="G10564" t="inlineStr">
        <is>
          <t>2020-07-31 08:13:30</t>
        </is>
      </c>
      <c r="H10564" t="inlineStr"/>
    </row>
    <row r="10565">
      <c r="A10565" t="inlineStr">
        <is>
          <t>i19ddl</t>
        </is>
      </c>
      <c r="B10565" t="inlineStr">
        <is>
          <t>treatment advises</t>
        </is>
      </c>
      <c r="C10565" t="inlineStr">
        <is>
          <t>I hope everyone is doing well.
Father have stomach cancer and peritoneal met, finished chemo, now is on No. 15 immunetherapy. Doing CT scan every 2 month. Each CT scan show everything is good, did not see anything spread. Current treatment  control well. Doctor also stick on the same plan. I am wondering is it the best thing to do now, should father consider ask for other doctors opinion like is it surgery a option now?
Thanks for your suggestion this time.</t>
        </is>
      </c>
      <c r="D10565" t="n">
        <v>1</v>
      </c>
      <c r="E10565" t="n">
        <v>1</v>
      </c>
      <c r="F10565">
        <f>HYPERLINK("https://www.reddit.com/r/cancer/comments/i19ddl/treatment_advises/")</f>
        <v/>
      </c>
      <c r="G10565" t="inlineStr">
        <is>
          <t>2020-07-31 08:23:27</t>
        </is>
      </c>
      <c r="H10565" t="inlineStr"/>
    </row>
    <row r="10566">
      <c r="A10566" t="inlineStr">
        <is>
          <t>i1a96f</t>
        </is>
      </c>
      <c r="B10566" t="inlineStr">
        <is>
          <t>Terminal women w. female reproductive cancers - Information for you &amp;lt;3</t>
        </is>
      </c>
      <c r="C10566" t="inlineStr">
        <is>
          <t>I am a former cervical cancer patient 2 years *out of remission* (nearly 8 years C free total)*.* I was diagnosed at Fico III C, underwent an indescribably hard treatment that 'worked' but the cancer came right back and was working its way through my lymph system which is when I was told I was terminal.
I tried several alternative treatments and one of them worked for me. I'm probably not allowed to name the treatment here but I feel like I can't go on with life reading about women dying of cancer when I may know of a very simple (and inexpensive!) treatment that might work. 
I am not selling anything, I don't live in the same country as the company that makes this supplement and I have no interest here except trying to help women in my position. This sweet oral supplement could provide the perfect balance for somebody in need.
If you are interested drop me a message/chat and I'll tell you the name so you can do the research yourself.</t>
        </is>
      </c>
      <c r="D10566" t="n">
        <v>1</v>
      </c>
      <c r="E10566" t="n">
        <v>2</v>
      </c>
      <c r="F10566">
        <f>HYPERLINK("https://www.reddit.com/r/cancer/comments/i1a96f/terminal_women_w_female_reproductive_cancers/")</f>
        <v/>
      </c>
      <c r="G10566" t="inlineStr">
        <is>
          <t>2020-07-31 09:12:33</t>
        </is>
      </c>
      <c r="H10566" t="inlineStr">
        <is>
          <t xml:space="preserve">Patient </t>
        </is>
      </c>
    </row>
    <row r="10567">
      <c r="A10567" t="inlineStr">
        <is>
          <t>i1aa7i</t>
        </is>
      </c>
      <c r="B10567" t="inlineStr">
        <is>
          <t>Loss of sense of smell and taste post chemo</t>
        </is>
      </c>
      <c r="C10567" t="inlineStr">
        <is>
          <t>My mum (49 F) is undergoing chemo for metastized adenocarcinoma (Nano Paclitaxel and Carboplatin), 2/6 cycles done, and even though she doesn't have the usual intense chemo symptoms of hair loss and severe weakness etc as two years ago (when she was on Genexol, 6 cycles), she has totally lost the sense of taste and smell since the last cycle 2 weeks ago. 
Half of my family tested positive for Covid 19 but she tested negative, so that doesn't seem to be due to covid. 
Has anyone else experienced loss of sense of taste and smell as a side effect of chemo? If so for how long? Did it fundamentally alter the eating experience?</t>
        </is>
      </c>
      <c r="D10567" t="n">
        <v>1</v>
      </c>
      <c r="E10567" t="n">
        <v>6</v>
      </c>
      <c r="F10567">
        <f>HYPERLINK("https://www.reddit.com/r/cancer/comments/i1aa7i/loss_of_sense_of_smell_and_taste_post_chemo/")</f>
        <v/>
      </c>
      <c r="G10567" t="inlineStr">
        <is>
          <t>2020-07-31 09:14:05</t>
        </is>
      </c>
      <c r="H10567" t="inlineStr"/>
    </row>
    <row r="10568">
      <c r="A10568" t="inlineStr">
        <is>
          <t>i1b2gu</t>
        </is>
      </c>
      <c r="B10568" t="inlineStr">
        <is>
          <t>Worried over getting cancer</t>
        </is>
      </c>
      <c r="C10568" t="inlineStr">
        <is>
          <t>Hey guys. Im 17 year old male. Ever since my uncle got suddenly diagnosed of stage 4 lung cancer I've gotten anxiety that I'll also get cancer any time.
Recently I've started feeling bloated, getting some constipation and indigestion.  I also feel full after a meal and feel the need to force myself to belch after meals. I also have some mild pain that has something like a pulling sensation that occurs occasionally (once a month) above my belly button, basically at the mid point of my abdomen (used to occur even before i became worried of getting cancer)
I also have high heart rate ranging from 80 to around 100. Last month i had high blood pressure 150/90 but its back to normal now without using any medication. 
I've told my parents and they took me to a general doctor who said its just some indigestion or ulcer and the heart rate and blood pressure was due to stress/anxiety and me being in puberty stage.He also stated that since i was on antibiotics very recently its normal for bloating to occur due to them. So should i be worried?</t>
        </is>
      </c>
      <c r="D10568" t="n">
        <v>1</v>
      </c>
      <c r="E10568" t="n">
        <v>5</v>
      </c>
      <c r="F10568">
        <f>HYPERLINK("https://www.reddit.com/r/cancer/comments/i1b2gu/worried_over_getting_cancer/")</f>
        <v/>
      </c>
      <c r="G10568" t="inlineStr">
        <is>
          <t>2020-07-31 09:57:11</t>
        </is>
      </c>
      <c r="H10568" t="inlineStr"/>
    </row>
    <row r="10569">
      <c r="A10569" t="inlineStr">
        <is>
          <t>i1behg</t>
        </is>
      </c>
      <c r="B10569" t="inlineStr">
        <is>
          <t>Full body MRI</t>
        </is>
      </c>
      <c r="C10569" t="inlineStr">
        <is>
          <t>Anyone have any experience with getting full body MRIs actually covered by insurance? Seems like a tough one but it is an option for my hereditary cancer monitoring program and was curious if anyone else has done this. Thanks.</t>
        </is>
      </c>
      <c r="D10569" t="n">
        <v>1</v>
      </c>
      <c r="E10569" t="n">
        <v>5</v>
      </c>
      <c r="F10569">
        <f>HYPERLINK("https://www.reddit.com/r/cancer/comments/i1behg/full_body_mri/")</f>
        <v/>
      </c>
      <c r="G10569" t="inlineStr">
        <is>
          <t>2020-07-31 10:14:59</t>
        </is>
      </c>
      <c r="H10569" t="inlineStr"/>
    </row>
    <row r="10570">
      <c r="A10570" t="inlineStr">
        <is>
          <t>i1bwp8</t>
        </is>
      </c>
      <c r="B10570" t="inlineStr">
        <is>
          <t>Keto diet for cancer</t>
        </is>
      </c>
      <c r="C10570" t="inlineStr">
        <is>
          <t>Has anyone done this? There's some legit evidence that it helps with cancer growth for certain cancers (and actually hurts for other types of cancers). Been tested on rats with promising results. The idea is that cancer cells feed off glucose so it's a way to starve the cancer cells out. My hospital has vouched for it as a potential option and gave me some literature on it, that I've since lost.
My main concern is with weight loss, keto diets involve weight loss. Combining typical cancer weight loss with keto diet seems like a recipe for disaster. Has anyone done this diet? Were you able to make it work?</t>
        </is>
      </c>
      <c r="D10570" t="n">
        <v>1</v>
      </c>
      <c r="E10570" t="n">
        <v>13</v>
      </c>
      <c r="F10570">
        <f>HYPERLINK("https://www.reddit.com/r/cancer/comments/i1bwp8/keto_diet_for_cancer/")</f>
        <v/>
      </c>
      <c r="G10570" t="inlineStr">
        <is>
          <t>2020-07-31 10:42:24</t>
        </is>
      </c>
      <c r="H10570" t="inlineStr"/>
    </row>
    <row r="10571">
      <c r="A10571" t="inlineStr">
        <is>
          <t>i1c0yc</t>
        </is>
      </c>
      <c r="B10571" t="inlineStr">
        <is>
          <t>My friend's SSI was denied. She needs resources and I don't know how to help.</t>
        </is>
      </c>
      <c r="C10571" t="inlineStr">
        <is>
          <t>My friend's cancer came back in October. We bonded more because I saw how awful her friends and Co workers were to her because they were essentially planning her funeral as soon as they heard the news. I called them out on it, especially since they made all sorts of promises to be there for her and help her. 
After the surgery, I was the only one besides her boyfriend that came to see her. She was feeling terrible and abandoned. Our employer and her friend for several years promised to throw a fundraiser for her because she has before for other cancer benefits. She hasn't even bothered to come see her in person. Yeah it's the middle of a pandemic, but I've come over and sit in the grass and talk to her.. I share my food and weed with her and throw her a few bucks when I have it. 
Her boyfriend also has no business drinking alcohol and is barely able to pay rent for the apartment. I can definitely see some resentment from him because she has cancer and can't do anything to work. She's had to call the cops on him. I think she wants to leave him but she doesn't have anywhere to go.
Today she messaged me saying that her SSI was denied. I don't really understand why, but I told her to appeal it right away. She lives off of $143 a month. That is absolutely unacceptable.
I'm pissed for her too because all these people that promised to help for months has done nothing. Minor gifts sent in the mail sure, but there was absolutely no effort and promises broken.
I'm wondering if there is any advice or resources that we may be overlooking. I hate seeing her suffer and I'm not in the position to help any more financially than I have. She's made friends and a support group on tik tok and they have sent a few bucks. She made her own GoFundMe a couple of months ago and that money went to catching up on bills so they wouldn't lose the apartment. 
Usually when people have cancer, I see a huge outpouring of support. Maybe it isn't always like that? I wish there was more I could do. If you have any direction or advice, please share your thoughts.</t>
        </is>
      </c>
      <c r="D10571" t="n">
        <v>1</v>
      </c>
      <c r="E10571" t="n">
        <v>12</v>
      </c>
      <c r="F10571">
        <f>HYPERLINK("https://www.reddit.com/r/cancer/comments/i1c0yc/my_friends_ssi_was_denied_she_needs_resources_and/")</f>
        <v/>
      </c>
      <c r="G10571" t="inlineStr">
        <is>
          <t>2020-07-31 10:48:51</t>
        </is>
      </c>
      <c r="H10571" t="inlineStr"/>
    </row>
    <row r="10572">
      <c r="A10572" t="inlineStr">
        <is>
          <t>i1cm1b</t>
        </is>
      </c>
      <c r="B10572" t="inlineStr">
        <is>
          <t>Chemo with no appetite bc loss of taste</t>
        </is>
      </c>
      <c r="C10572" t="inlineStr">
        <is>
          <t>The last time my aunt did chemo she had a metallic taste. This time she just doesn’t taste much at all and has lost too much weight.
Any suggestions for weight gain foods that might be palatable? We have a nutritionist appointment but it’s still three weeks away.</t>
        </is>
      </c>
      <c r="D10572" t="n">
        <v>1</v>
      </c>
      <c r="E10572" t="n">
        <v>15</v>
      </c>
      <c r="F10572">
        <f>HYPERLINK("https://www.reddit.com/r/cancer/comments/i1cm1b/chemo_with_no_appetite_bc_loss_of_taste/")</f>
        <v/>
      </c>
      <c r="G10572" t="inlineStr">
        <is>
          <t>2020-07-31 11:20:34</t>
        </is>
      </c>
      <c r="H10572" t="inlineStr"/>
    </row>
    <row r="10573">
      <c r="A10573" t="inlineStr">
        <is>
          <t>i1cpb7</t>
        </is>
      </c>
      <c r="B10573" t="inlineStr">
        <is>
          <t>One more month.</t>
        </is>
      </c>
      <c r="C10573" t="inlineStr">
        <is>
          <t>Jesus was this unexpected. 
All treatments have failed and my body is slowly diminishing.. 
I’m hoping for longer than that, but fuck.</t>
        </is>
      </c>
      <c r="D10573" t="n">
        <v>1</v>
      </c>
      <c r="E10573" t="n">
        <v>16</v>
      </c>
      <c r="F10573">
        <f>HYPERLINK("https://www.reddit.com/r/cancer/comments/i1cpb7/one_more_month/")</f>
        <v/>
      </c>
      <c r="G10573" t="inlineStr">
        <is>
          <t>2020-07-31 11:25:17</t>
        </is>
      </c>
      <c r="H10573" t="inlineStr"/>
    </row>
    <row r="10574">
      <c r="A10574" t="inlineStr">
        <is>
          <t>i1epi0</t>
        </is>
      </c>
      <c r="B10574" t="inlineStr">
        <is>
          <t>Currently have an Uncle in Japan who was diagnosed with Leukemia</t>
        </is>
      </c>
      <c r="C10574" t="inlineStr">
        <is>
          <t>Currently in the U.S. and is really hard to go to Japan with Corona pandemic. In a month they will start to look for a stem cell transplant recipient and am wondering if there is any way for me to run tests in the U.S. and send it to Japan to see if I am a viable donor.</t>
        </is>
      </c>
      <c r="D10574" t="n">
        <v>1</v>
      </c>
      <c r="E10574" t="n">
        <v>2</v>
      </c>
      <c r="F10574">
        <f>HYPERLINK("https://www.reddit.com/r/cancer/comments/i1epi0/currently_have_an_uncle_in_japan_who_was/")</f>
        <v/>
      </c>
      <c r="G10574" t="inlineStr">
        <is>
          <t>2020-07-31 13:16:26</t>
        </is>
      </c>
      <c r="H10574" t="inlineStr"/>
    </row>
    <row r="10575">
      <c r="A10575" t="inlineStr">
        <is>
          <t>i1g5cy</t>
        </is>
      </c>
      <c r="B10575" t="inlineStr">
        <is>
          <t>I'm getting there</t>
        </is>
      </c>
      <c r="C10575" t="inlineStr">
        <is>
          <t>Resilience and personal fortitude will not get you everywhere.  
It has been a year since my original diagnosis.  I have gone from an older, but somewhat active person, to one that has to focus on standing up.  I can see so clearly how I have become a financial burden to my wife and son, and it is only getting worse.
I sleep 12 - 16 hours per day.
I am feeling useless.
I don't want to be remembered like this.</t>
        </is>
      </c>
      <c r="D10575" t="n">
        <v>1</v>
      </c>
      <c r="E10575" t="n">
        <v>6</v>
      </c>
      <c r="F10575">
        <f>HYPERLINK("https://www.reddit.com/r/cancer/comments/i1g5cy/im_getting_there/")</f>
        <v/>
      </c>
      <c r="G10575" t="inlineStr">
        <is>
          <t>2020-07-31 14:37:40</t>
        </is>
      </c>
      <c r="H10575" t="inlineStr"/>
    </row>
    <row r="10576">
      <c r="A10576" t="inlineStr">
        <is>
          <t>i1hgkm</t>
        </is>
      </c>
      <c r="B10576" t="inlineStr">
        <is>
          <t>Today my best friend found out he has cancer, what are some ways that I can offer him emotional support?</t>
        </is>
      </c>
      <c r="C10576" t="inlineStr">
        <is>
          <t>I (31 F) have been close friends him (32 M)  for 17 years, and he is also my cousin. He  recently had surgery to remove a suspicious lump, and the biopsy results came back to be lymphoma. I was floored, as we kept our hopes up thinking it was just some sort of benign cyst. 
Soon he has to go see a specialist and inquire about the details, but he knows he has to go through chemotherapy. 
I do my best to try and not say the wrong things and keep an open mind about what others are going through,  but this is new.
 I don't know what to say or do.
 He's a wonderful person, worked so hard to get where he is today, family oriented,  has been there for me when I needed someone to talk to.  
We are going to go for a drive on Sunday so we can talk about it and he can vent. 
I just want to help keep his spirits high. So if you have any advice, please your comments are welcome.</t>
        </is>
      </c>
      <c r="D10576" t="n">
        <v>1</v>
      </c>
      <c r="E10576" t="n">
        <v>7</v>
      </c>
      <c r="F10576">
        <f>HYPERLINK("https://www.reddit.com/r/cancer/comments/i1hgkm/today_my_best_friend_found_out_he_has_cancer_what/")</f>
        <v/>
      </c>
      <c r="G10576" t="inlineStr">
        <is>
          <t>2020-07-31 15:56:04</t>
        </is>
      </c>
      <c r="H10576" t="inlineStr"/>
    </row>
    <row r="10577">
      <c r="A10577" t="inlineStr">
        <is>
          <t>i1iwdc</t>
        </is>
      </c>
      <c r="B10577" t="inlineStr">
        <is>
          <t>Scan frequency</t>
        </is>
      </c>
      <c r="C10577" t="inlineStr">
        <is>
          <t>So it turns out that treatment decisions are a bit like "sliding doors" (film reference).
Since starting chemo, I pushed them to do a scan after 2 cycles (approx 8 weeks) and they ended up doing another one last weekend because of breathlessness (approx 15 weeks)
The first scan showed improvement, the second shows tumours are growing again. So the conclusion is that my chemo no longer works and I need to be switched to a new treatment.
But, if I had stuck to the original schedule that they proposed, they would have done a scan after 12 weeks and concluded that the drug was working and kept me on it for another 12 weeks.
Pretty significant time wastage when they've only given you 9 months to live. So random. And shows how scan frequency can lead to 2 totally opposite conclusions with the same data which quite frankly is a bit scary.</t>
        </is>
      </c>
      <c r="D10577" t="n">
        <v>1</v>
      </c>
      <c r="E10577" t="n">
        <v>3</v>
      </c>
      <c r="F10577">
        <f>HYPERLINK("https://www.reddit.com/r/cancer/comments/i1iwdc/scan_frequency/")</f>
        <v/>
      </c>
      <c r="G10577" t="inlineStr">
        <is>
          <t>2020-07-31 17:27:17</t>
        </is>
      </c>
      <c r="H10577" t="inlineStr"/>
    </row>
    <row r="10578">
      <c r="A10578" t="inlineStr">
        <is>
          <t>i1k65j</t>
        </is>
      </c>
      <c r="B10578" t="inlineStr">
        <is>
          <t>How long until my hair falls out?</t>
        </is>
      </c>
      <c r="C10578" t="inlineStr">
        <is>
          <t>I’m on a treatment of Ifosfamide and Doxorubicin. The internet generically says people tend to start losing their hair 2-3 weeks after starting chemo treatment. However, I was wondering if anyone who was on one or both of these chemos had a personal experience with when hair loss starts. 
I’ve already cut my hair short and plan on shaving it once it starts to fall out. And I’ve toyed with shaving a Mohawk first just for kicks and giggles. So I’m wondering when I should anticipate doing that.</t>
        </is>
      </c>
      <c r="D10578" t="n">
        <v>1</v>
      </c>
      <c r="E10578" t="n">
        <v>11</v>
      </c>
      <c r="F10578">
        <f>HYPERLINK("https://www.reddit.com/r/cancer/comments/i1k65j/how_long_until_my_hair_falls_out/")</f>
        <v/>
      </c>
      <c r="G10578" t="inlineStr">
        <is>
          <t>2020-07-31 18:55:17</t>
        </is>
      </c>
      <c r="H10578" t="inlineStr">
        <is>
          <t xml:space="preserve">Patient </t>
        </is>
      </c>
    </row>
    <row r="10579">
      <c r="A10579" t="inlineStr">
        <is>
          <t>i1ki14</t>
        </is>
      </c>
      <c r="B10579" t="inlineStr">
        <is>
          <t>What to do when FMLA is not applicable to you...</t>
        </is>
      </c>
      <c r="C10579" t="inlineStr">
        <is>
          <t>I recently found out someone I hold dear has Stage 1 lymphoma and in less than 3 weeks that person will undergo treatment.
I am his only family (not blood related) in the area. FMLA doesn’t apply to me but I want to take some time off to care for this person (3 weeks)
My job is hectic, chaotic and stressful and I don’t think I can function at my role while he is facing this thing.
How do I request this time off without losing my job?</t>
        </is>
      </c>
      <c r="D10579" t="n">
        <v>1</v>
      </c>
      <c r="E10579" t="n">
        <v>5</v>
      </c>
      <c r="F10579">
        <f>HYPERLINK("https://www.reddit.com/r/cancer/comments/i1ki14/what_to_do_when_fmla_is_not_applicable_to_you/")</f>
        <v/>
      </c>
      <c r="G10579" t="inlineStr">
        <is>
          <t>2020-07-31 19:19:12</t>
        </is>
      </c>
      <c r="H10579" t="inlineStr"/>
    </row>
    <row r="10580">
      <c r="A10580" t="inlineStr">
        <is>
          <t>i1l9f8</t>
        </is>
      </c>
      <c r="B10580" t="inlineStr">
        <is>
          <t>Dad has brain cancer and is going to die soon</t>
        </is>
      </c>
      <c r="C10580" t="inlineStr">
        <is>
          <t>Sorry for bad English... I just need to vent. 
My dad was diagnosed with brain tumor (or, cancer, in his frontal lobe) in the end on June. The symptoms were so little so no one of us in my family thought it would be cancer. Never... He talked funny, a bit weird stuff and was a little out of this reality what we thought was caused by the heat wave or perhaps some memory disorder. It was only two or three days that he seemed out of ordinary himself. But we got worried. He thought he was fine.
So, into the hospital we went. They took blood work and CT-scan revealed a tumor. He was taken into the neurology ward and doctors said he's unlikely to survive. My dad is 67. We got him back home.
They began cortisone treatment to reduce the swelling and pressure in the brain. Some doctor decided that the cortisone level was too high so the dosage was reduced and immediately my dad got more ill so he spent a week in the neurology ward. We insisted to give him more cortisone and he went back to "normal" and we got him home again.
Two weeks ago they took a biopsy and said they can't surgically operate the tumor so only radiotherapy and medication was left for treatment. Until this day the pathologist hasn't told us yet what kind of tumor it is but my suspect is that it's some sort of glioma.
A week after the biopsy he got a terrible headache and it turned out to be meningitis. He had got a hospital related bacterial infection, we think it's from the biopsy. He was in intensive care for three days and then transferred into the infection ward where he currently remains. He recovered the infection and was supposed to begin the radiotherapy on August 14th. We were supposed to take him home this weekend.
Last night we were told after the new CT-scan that the tumor has grown. Do don't resuscitate and no intubation was forced. He's sleepy all the time. Only a few days ago he was smiling and laughing with us.
He has maybe a several days left, maybe a week or so. But it's unlikely he'll make it to the radiotherapy.
It's too much, too soon. I'm not ready. Myself, I work in the hospital where he's currently inpatient so I can visit him anytime I want but it's not easy seeing him kind of gone already. 
I'm praying so hard he makes it to the radiotherapy. It would be so unfair if he died now before we could even try out that option.</t>
        </is>
      </c>
      <c r="D10580" t="n">
        <v>1</v>
      </c>
      <c r="E10580" t="n">
        <v>9</v>
      </c>
      <c r="F10580">
        <f>HYPERLINK("https://www.reddit.com/r/cancer/comments/i1l9f8/dad_has_brain_cancer_and_is_going_to_die_soon/")</f>
        <v/>
      </c>
      <c r="G10580" t="inlineStr">
        <is>
          <t>2020-07-31 20:14:50</t>
        </is>
      </c>
      <c r="H10580" t="inlineStr"/>
    </row>
    <row r="10581">
      <c r="A10581" t="inlineStr">
        <is>
          <t>i1ldmu</t>
        </is>
      </c>
      <c r="B10581" t="inlineStr">
        <is>
          <t>Fraudulent</t>
        </is>
      </c>
      <c r="C10581" t="inlineStr">
        <is>
          <t>I just found out about this sub and I havent felt more like a fraud. I had a paraganglioma removed from my carotid artery in 2018 and, because it was discovered quickly and removed within a few months of discovery. No symptoms, barely any side effects. I feel like such a fraud. Surgery was the answer. Not chemo or radiation or any other trials that you have gone through.
I have the SDHB gene causing neuroendocrine tumors to be more likely to reoccur and metastasize. Its terrifying and I feel like I cant say anything because at the same time, well, they dont know when it will reoccur. I need yearly scans for life. I'm only 31. I don't know what to do and dont feel like I can open up to many about it. I feel ashamed and lonely.</t>
        </is>
      </c>
      <c r="D10581" t="n">
        <v>1</v>
      </c>
      <c r="E10581" t="n">
        <v>6</v>
      </c>
      <c r="F10581">
        <f>HYPERLINK("https://www.reddit.com/r/cancer/comments/i1ldmu/fraudulent/")</f>
        <v/>
      </c>
      <c r="G10581" t="inlineStr">
        <is>
          <t>2020-07-31 20:23:25</t>
        </is>
      </c>
      <c r="H10581" t="inlineStr"/>
    </row>
    <row r="10582">
      <c r="A10582" t="inlineStr">
        <is>
          <t>i1lmgo</t>
        </is>
      </c>
      <c r="B10582" t="inlineStr">
        <is>
          <t>My grandma has bladder cancer</t>
        </is>
      </c>
      <c r="C10582" t="inlineStr">
        <is>
          <t>Basically the title. I don’t know how to support her.
I F13 live with my parents and grandparents. And my siblings. My grandma F65 (smoker)was peeing blood last week, went straight to the ER. Was told she has small tumors and to schedule an appointment for more tests. We suspected cancer. That appointment was today and we were right...
They’re still tiny and she has a surgery to remove them scheduled but I’m terrified. How can I support her?</t>
        </is>
      </c>
      <c r="D10582" t="n">
        <v>1</v>
      </c>
      <c r="E10582" t="n">
        <v>0</v>
      </c>
      <c r="F10582">
        <f>HYPERLINK("https://www.reddit.com/r/cancer/comments/i1lmgo/my_grandma_has_bladder_cancer/")</f>
        <v/>
      </c>
      <c r="G10582" t="inlineStr">
        <is>
          <t>2020-07-31 20:40:52</t>
        </is>
      </c>
      <c r="H10582" t="inlineStr"/>
    </row>
    <row r="10583">
      <c r="A10583" t="inlineStr">
        <is>
          <t>i1m4n6</t>
        </is>
      </c>
      <c r="B10583" t="inlineStr">
        <is>
          <t>PTSD for my fight?</t>
        </is>
      </c>
      <c r="C10583" t="inlineStr">
        <is>
          <t>I've had a long fight.. 26 months on different chemos, radiation, surgeries etc. And I've won, last chemo was around 10.15.19. Last PET scan was in June 2020 and clear. My experiences could fill a book. I feel like I've had it easy. Watching those skeletons walking and gurneys rolling past my room has stuck with me. The late nights walking halls in the hospital as inpatient. The constant blood draws every 4 hours non stop for longer than I can remember. Pissing every 1.5 hours all day, all night from getting pumped full of fluids. And that God damn pump alarm. E-POCH+R was part of my experience. An uncle in law was just diagnosed w. Leukemia. I can't even think about his name without tearing up. I have other triggers that make me just start crying a lot like how great my employer has treated me. Weird right? I cry because of how good my employer has treated me. They never let me go. I can't imagine where I would be without them. I'm posting just to see if any else has similar feelings? At least I can still feel.. Life.</t>
        </is>
      </c>
      <c r="D10583" t="n">
        <v>1</v>
      </c>
      <c r="E10583" t="n">
        <v>16</v>
      </c>
      <c r="F10583">
        <f>HYPERLINK("https://www.reddit.com/r/cancer/comments/i1m4n6/ptsd_for_my_fight/")</f>
        <v/>
      </c>
      <c r="G10583" t="inlineStr">
        <is>
          <t>2020-07-31 21:17:57</t>
        </is>
      </c>
      <c r="H10583" t="inlineStr"/>
    </row>
    <row r="10584">
      <c r="A10584" t="inlineStr">
        <is>
          <t>i1npdu</t>
        </is>
      </c>
      <c r="B10584" t="inlineStr">
        <is>
          <t>How do i get back to my normal life after treatment</t>
        </is>
      </c>
      <c r="C10584" t="inlineStr">
        <is>
          <t>I finished my treatments a few months ago but now I'm just in a slump. I'm on the couch with my phone 24/7. I don't seem to have the motivation to do anything. How do I get up from this slump and return to my normal life?</t>
        </is>
      </c>
      <c r="D10584" t="n">
        <v>1</v>
      </c>
      <c r="E10584" t="n">
        <v>5</v>
      </c>
      <c r="F10584">
        <f>HYPERLINK("https://www.reddit.com/r/cancer/comments/i1npdu/how_do_i_get_back_to_my_normal_life_after/")</f>
        <v/>
      </c>
      <c r="G10584" t="inlineStr">
        <is>
          <t>2020-07-31 23:30:29</t>
        </is>
      </c>
      <c r="H10584" t="inlineStr"/>
    </row>
    <row r="10585">
      <c r="A10585" t="inlineStr">
        <is>
          <t>i1p7fs</t>
        </is>
      </c>
      <c r="B10585" t="inlineStr">
        <is>
          <t>Neuroblastoma</t>
        </is>
      </c>
      <c r="C10585" t="inlineStr">
        <is>
          <t>Does anyone know the lifespan for someone diagnosed with Neuroblastoma? Can they life a normal, healthy lifespan??</t>
        </is>
      </c>
      <c r="D10585" t="n">
        <v>1</v>
      </c>
      <c r="E10585" t="n">
        <v>2</v>
      </c>
      <c r="F10585">
        <f>HYPERLINK("https://www.reddit.com/r/cancer/comments/i1p7fs/neuroblastoma/")</f>
        <v/>
      </c>
      <c r="G10585" t="inlineStr">
        <is>
          <t>2020-08-01 02:00:22</t>
        </is>
      </c>
      <c r="H10585" t="inlineStr"/>
    </row>
    <row r="10586">
      <c r="A10586" t="inlineStr">
        <is>
          <t>i1ps94</t>
        </is>
      </c>
      <c r="B10586" t="inlineStr">
        <is>
          <t>Lifespan after cancer</t>
        </is>
      </c>
      <c r="C10586" t="inlineStr">
        <is>
          <t>If cancer does not reoccur in 5 years, are you likely to live a normal lifespan since you’re “cured”?</t>
        </is>
      </c>
      <c r="D10586" t="n">
        <v>1</v>
      </c>
      <c r="E10586" t="n">
        <v>5</v>
      </c>
      <c r="F10586">
        <f>HYPERLINK("https://www.reddit.com/r/cancer/comments/i1ps94/lifespan_after_cancer/")</f>
        <v/>
      </c>
      <c r="G10586" t="inlineStr">
        <is>
          <t>2020-08-01 02:58:09</t>
        </is>
      </c>
      <c r="H10586" t="inlineStr"/>
    </row>
    <row r="10587">
      <c r="A10587" t="inlineStr">
        <is>
          <t>i1rhlw</t>
        </is>
      </c>
      <c r="B10587" t="inlineStr">
        <is>
          <t>How can I support my mom through chemo?</t>
        </is>
      </c>
      <c r="C10587" t="inlineStr">
        <is>
          <t>My mom starts chemo on Monday. I know chemo is grueling and exhausting. I want to know from people who have experienced this what I can do to help her. Is there anything we can get her that will help make her more comfortable during treatment? She is getting a port, do specific types of shirts work better with a port? What about meds, are there good ways to organize all the meds so my dad can figure out what she needs and when? Any little bit of advice would be appreciated right now.</t>
        </is>
      </c>
      <c r="D10587" t="n">
        <v>1</v>
      </c>
      <c r="E10587" t="n">
        <v>9</v>
      </c>
      <c r="F10587">
        <f>HYPERLINK("https://www.reddit.com/r/cancer/comments/i1rhlw/how_can_i_support_my_mom_through_chemo/")</f>
        <v/>
      </c>
      <c r="G10587" t="inlineStr">
        <is>
          <t>2020-08-01 05:33:22</t>
        </is>
      </c>
      <c r="H10587" t="inlineStr"/>
    </row>
    <row r="10588">
      <c r="A10588" t="inlineStr">
        <is>
          <t>i1s96k</t>
        </is>
      </c>
      <c r="B10588" t="inlineStr">
        <is>
          <t>Family history of breast cancer. Noticed a weird freckle on my breast recently. Wondering if I should get it checked. (F/24)</t>
        </is>
      </c>
      <c r="C10588" t="inlineStr">
        <is>
          <t>It almost looks like a tiny blood blister but it’s completely smooth and flat. It’s about half a centimetre in diameter. It’s blackish brown red, and the perimeter is a blur smudgy. Right beside the ariola. 
I have breast cancer on both sides of my family and am wondering if this sounds like something I should get looked at. I’m a bit nervous to do so.</t>
        </is>
      </c>
      <c r="D10588" t="n">
        <v>1</v>
      </c>
      <c r="E10588" t="n">
        <v>9</v>
      </c>
      <c r="F10588">
        <f>HYPERLINK("https://www.reddit.com/r/cancer/comments/i1s96k/family_history_of_breast_cancer_noticed_a_weird/")</f>
        <v/>
      </c>
      <c r="G10588" t="inlineStr">
        <is>
          <t>2020-08-01 06:31:55</t>
        </is>
      </c>
      <c r="H10588" t="inlineStr"/>
    </row>
    <row r="10589">
      <c r="A10589" t="inlineStr">
        <is>
          <t>i1s9wv</t>
        </is>
      </c>
      <c r="B10589" t="inlineStr">
        <is>
          <t>I'm not sure if I should post this here (if you have a better sub I would appreciate the suggestion)</t>
        </is>
      </c>
      <c r="C10589" t="inlineStr">
        <is>
          <t>My grandma had cancer about six months ago and they had to remove her stomach. Now she can't digest a lot of things but I would like to make something for her.
What's a light yet tasty food that I could make her? Any kind of food is good, from desserts to meat to pasta etc.</t>
        </is>
      </c>
      <c r="D10589" t="n">
        <v>1</v>
      </c>
      <c r="E10589" t="n">
        <v>7</v>
      </c>
      <c r="F10589">
        <f>HYPERLINK("https://www.reddit.com/r/cancer/comments/i1s9wv/im_not_sure_if_i_should_post_this_here_if_you/")</f>
        <v/>
      </c>
      <c r="G10589" t="inlineStr">
        <is>
          <t>2020-08-01 06:33:25</t>
        </is>
      </c>
      <c r="H10589" t="inlineStr"/>
    </row>
    <row r="10590">
      <c r="A10590" t="inlineStr">
        <is>
          <t>i1sz92</t>
        </is>
      </c>
      <c r="B10590" t="inlineStr">
        <is>
          <t>Feeling tired and unmotivated... Glad I’m still alive but feel fed up</t>
        </is>
      </c>
      <c r="C10590" t="inlineStr">
        <is>
          <t>Stage 4 melanoma. Most of the cancer has gone with a few mets that are very small 2-3mm. I’m on growth inhibitors that  cause high blood pressure and fatigue. 
So I’m tired a lot and can’t enjoy things like working out cos that makes me even more tired. 
I was on prednisone last year which I miss dearly I was full of energy and gained weight and muscle mass. Since they took me off it. Things like cooking was a huge chore. I even met a hot 24 yr old and had lovely times with her...
Now I’m too tired to see her often “she knows about the cancer, but thinks I’m ok I don’t look ill”. 
I’ve not lead her on but she’s either naive or just being supportive. I’m 34 maybe I should stop being selfish and cut her loose.
And this Covid shit has meant I’ve been shielding and on my own all the time.
Yeah I’m lucky the cancer is controlled I’m not trying to be ungrateful. I did get a letter yesterday from the human genome that they can’t find the cause of the cancer via DNA screening so there’s no cure. 
I just feel like I’m 34 and I’ll have no kids or get married and will always be paranoid after every MRI scan results or CT scan. 
People say I’m coping well but when I get too tired or down I still like to put a brave face on. 
I just needed to rant. I hate feeling sorry for myself</t>
        </is>
      </c>
      <c r="D10590" t="n">
        <v>1</v>
      </c>
      <c r="E10590" t="n">
        <v>0</v>
      </c>
      <c r="F10590">
        <f>HYPERLINK("https://www.reddit.com/r/cancer/comments/i1sz92/feeling_tired_and_unmotivated_glad_im_still_alive/")</f>
        <v/>
      </c>
      <c r="G10590" t="inlineStr">
        <is>
          <t>2020-08-01 07:22:26</t>
        </is>
      </c>
      <c r="H10590" t="inlineStr">
        <is>
          <t xml:space="preserve">Patient </t>
        </is>
      </c>
    </row>
    <row r="10591">
      <c r="A10591" t="inlineStr">
        <is>
          <t>i1tbht</t>
        </is>
      </c>
      <c r="B10591" t="inlineStr">
        <is>
          <t>Incredibly sticky saliva after chemo that makes my uncle cough all the time?</t>
        </is>
      </c>
      <c r="C10591" t="inlineStr">
        <is>
          <t>Hey all - has anyone experienced this?
My uncle is currently undergoing chemo and his saliva is so damn sticky. He tells me it clings onto his throat and makes him gag. And it is REALLY slimy definitely not a normal person's kind of saliva. We tried highlighting this to his doctor but the doctor didn't seem to think much of it. Obviously it is causing him a lot of issues - can't sleep because has to cough out saliva all the time cause it just makes his throat so itchy.
Anyone had a good way of dealing with this?
Thanks.</t>
        </is>
      </c>
      <c r="D10591" t="n">
        <v>1</v>
      </c>
      <c r="E10591" t="n">
        <v>12</v>
      </c>
      <c r="F10591">
        <f>HYPERLINK("https://www.reddit.com/r/cancer/comments/i1tbht/incredibly_sticky_saliva_after_chemo_that_makes/")</f>
        <v/>
      </c>
      <c r="G10591" t="inlineStr">
        <is>
          <t>2020-08-01 07:45:24</t>
        </is>
      </c>
      <c r="H10591" t="inlineStr"/>
    </row>
    <row r="10592">
      <c r="A10592" t="inlineStr">
        <is>
          <t>i1tfis</t>
        </is>
      </c>
      <c r="B10592" t="inlineStr">
        <is>
          <t>Why isn’t everyone required to be in a bone marrow registry?</t>
        </is>
      </c>
      <c r="C10592" t="inlineStr">
        <is>
          <t>Why is this stuff not required to be on file?
I saw a news story where a girl needs to find a match in 2 months to help her fight against Leukemia. 
Why isn’t everyone required to be in a registry? How hard is it to record cheek swabs. I’m not saying people should be required to be donors but wouldn’t it be advantageous for everyone be in the registry so at least some unbias person or medical official can reach out to people who may be a match? Their identities should not be revealed to the patients family but they could be contacted by that third party to let them know they have an opportunity to help someone out. 
Side note: This is more of a slippery slope but this could even be incentivized by the family or crowdsourcing to offer money to people who are not keen on donating. 
What am I missing here?</t>
        </is>
      </c>
      <c r="D10592" t="n">
        <v>1</v>
      </c>
      <c r="E10592" t="n">
        <v>12</v>
      </c>
      <c r="F10592">
        <f>HYPERLINK("https://www.reddit.com/r/cancer/comments/i1tfis/why_isnt_everyone_required_to_be_in_a_bone_marrow/")</f>
        <v/>
      </c>
      <c r="G10592" t="inlineStr">
        <is>
          <t>2020-08-01 07:52:34</t>
        </is>
      </c>
      <c r="H10592" t="inlineStr"/>
    </row>
    <row r="10593">
      <c r="A10593" t="inlineStr">
        <is>
          <t>i1thj8</t>
        </is>
      </c>
      <c r="B10593" t="inlineStr">
        <is>
          <t>Mother died of SCLC this year and I have questions?</t>
        </is>
      </c>
      <c r="C10593" t="inlineStr">
        <is>
          <t>Never got an opportunity to ask the oncologist any specifics leading up to her death other than life expectancy, etc... I've read all the medical records at length and still have the following questions:
1.) My mother went from 130 lbs to 103 lbs in a matter of a year, and when she died she weighed 97 lbs. The medical records indicate protein deficiency. Is this because the tumors are routing proteins for their growth? Lack of eating?
2.) SCLC caused brain mets to the point where if she was off her oxygen she started speaking in gibberish and said she felt like she was in a tunnel/out of body experience. Where can I find more information about her perspective leading up to her death, as far as what brain failure, etc happened?
3.) She was admitted on 12/27/19 and went onto hospice on 01/07/20 after electing that she couldn't do it any longer. She had three bouts of chemotherapy over three leads the week before her death. Just curious if someone could help me understand from a physical perspective what really went on and if it contributed to her quick demise?
4.) When she went onto hospice, all medications except for morphine were discontinued. They increased her morphine until she went into what I think a medically induced coma on 01/08/20. She died at 7PM on 01/09/20.
If anyone has an idea of who could help me understand these better, I'd just love to get a deeper dive for closure. 
Thanks</t>
        </is>
      </c>
      <c r="D10593" t="n">
        <v>1</v>
      </c>
      <c r="E10593" t="n">
        <v>1</v>
      </c>
      <c r="F10593">
        <f>HYPERLINK("https://www.reddit.com/r/cancer/comments/i1thj8/mother_died_of_sclc_this_year_and_i_have_questions/")</f>
        <v/>
      </c>
      <c r="G10593" t="inlineStr">
        <is>
          <t>2020-08-01 07:56:13</t>
        </is>
      </c>
      <c r="H10593" t="inlineStr"/>
    </row>
    <row r="10594">
      <c r="A10594" t="inlineStr">
        <is>
          <t>i1ty58</t>
        </is>
      </c>
      <c r="B10594" t="inlineStr">
        <is>
          <t>Rectum Cancer Question</t>
        </is>
      </c>
      <c r="C10594" t="inlineStr">
        <is>
          <t>My grandma have been diagnosed with rectum cancer and the stage haven’t been known yet. She’s 68 years old. But the doctor said it doesn’t look like it spread to other places after the surgery. I’d like to know how long would it take for her to recover. Is it possible to be cancer free from this? How is the survival rate? Do anyone know this type of cancer patient because i wanna be prepared for things. Please help</t>
        </is>
      </c>
      <c r="D10594" t="n">
        <v>1</v>
      </c>
      <c r="E10594" t="n">
        <v>7</v>
      </c>
      <c r="F10594">
        <f>HYPERLINK("https://www.reddit.com/r/cancer/comments/i1ty58/rectum_cancer_question/")</f>
        <v/>
      </c>
      <c r="G10594" t="inlineStr">
        <is>
          <t>2020-08-01 08:25:12</t>
        </is>
      </c>
      <c r="H10594" t="inlineStr">
        <is>
          <t xml:space="preserve">Patient </t>
        </is>
      </c>
    </row>
    <row r="10595">
      <c r="A10595" t="inlineStr">
        <is>
          <t>i1wtfr</t>
        </is>
      </c>
      <c r="B10595" t="inlineStr">
        <is>
          <t>From stage 4 NSC Lung Cancer to No Evidence of Disease</t>
        </is>
      </c>
      <c r="C10595" t="inlineStr">
        <is>
          <t>Things didn't look good for me 8 months ago. I'm a 24 y.o. non-smoker who found out I had NCSLC with metastises to my bones, lymph nodes, and, extensively, to my brain. I didn't think I could ever be NED. My oncologist admits that she didn't think it was likely either, but she resolved to be as aggressive as possible.
I was put on targeted pills for my specific mutation and also had whole brain radiation, lung surgery, gamma knife surgery, and chest radiation. Now I have NED and will be on the pills until they stop working. 
At the start of this, I was so desperate to find success stories. I know that I have been unbelievably lucky so far, and I also know that this is not over and I will not have the long life I used to think I would have. The decades to fill. But I have right now, and I hope my story can give someone at least a little hope. It was only three years ago that the medication that has so far worked so well for me was approved for first-line treatment. Things are moving. I only wish I had the money or the brains to help them move faster.</t>
        </is>
      </c>
      <c r="D10595" t="n">
        <v>1</v>
      </c>
      <c r="E10595" t="n">
        <v>48</v>
      </c>
      <c r="F10595">
        <f>HYPERLINK("https://www.reddit.com/r/cancer/comments/i1wtfr/from_stage_4_nsc_lung_cancer_to_no_evidence_of/")</f>
        <v/>
      </c>
      <c r="G10595" t="inlineStr">
        <is>
          <t>2020-08-01 11:17:23</t>
        </is>
      </c>
      <c r="H10595" t="inlineStr"/>
    </row>
    <row r="10596">
      <c r="A10596" t="inlineStr">
        <is>
          <t>i1xz8z</t>
        </is>
      </c>
      <c r="B10596" t="inlineStr">
        <is>
          <t>Trusting a doctor’s word</t>
        </is>
      </c>
      <c r="C10596" t="inlineStr">
        <is>
          <t>So my husband has been having many colorectal cancer symptoms, finally had a colonoscopy, found polyps, preemptively diagnosed cancer but the pathology has now come back as not being cancerous, yet the doctors say they believe there is a mass they can’t reach that is cancerous (due to lymph node activity) and are advising that he starts chemo and radio, but we have no formal diagnosis. 
Have any of you been through this? Should we push harder or seek a 2nd opinion? It seems kind of crazy to me to prescribe chemo without finding a cancerous cell.</t>
        </is>
      </c>
      <c r="D10596" t="n">
        <v>1</v>
      </c>
      <c r="E10596" t="n">
        <v>6</v>
      </c>
      <c r="F10596">
        <f>HYPERLINK("https://www.reddit.com/r/cancer/comments/i1xz8z/trusting_a_doctors_word/")</f>
        <v/>
      </c>
      <c r="G10596" t="inlineStr">
        <is>
          <t>2020-08-01 12:25:49</t>
        </is>
      </c>
      <c r="H10596" t="inlineStr"/>
    </row>
    <row r="10597">
      <c r="A10597" t="inlineStr">
        <is>
          <t>i208of</t>
        </is>
      </c>
      <c r="B10597" t="inlineStr">
        <is>
          <t>free film Answer to Cancer premiering next week Aug 4th</t>
        </is>
      </c>
      <c r="C10597" t="inlineStr">
        <is>
          <t>Hi Everyone, I wanted to post this trailer of a free docuseries coming up by Jef Hays called "The Answer to Cancer" here is the link to the trailer [https://youtu.be/5n98k-3c8uU](https://youtu.be/5n98k-3c8uU) and the series [www.theanswertocancer.com](https://www.theanswertocancer.com) I hope this brings you peace and some answers may we live in world where cancer is healed and over. Please feel free to share with anyone you think this will help.</t>
        </is>
      </c>
      <c r="D10597" t="n">
        <v>1</v>
      </c>
      <c r="E10597" t="n">
        <v>0</v>
      </c>
      <c r="F10597">
        <f>HYPERLINK("https://www.reddit.com/r/cancer/comments/i208of/free_film_answer_to_cancer_premiering_next_week/")</f>
        <v/>
      </c>
      <c r="G10597" t="inlineStr">
        <is>
          <t>2020-08-01 14:31:02</t>
        </is>
      </c>
      <c r="H10597" t="inlineStr"/>
    </row>
    <row r="10598">
      <c r="A10598" t="inlineStr">
        <is>
          <t>i21izs</t>
        </is>
      </c>
      <c r="B10598" t="inlineStr">
        <is>
          <t>I won the cancer lottery! 35 yo female with peritoneal mesothelioma ... wtf.</t>
        </is>
      </c>
      <c r="C10598" t="inlineStr">
        <is>
          <t xml:space="preserve"> My story goes that I had a particularly bad episode of endometriosis last month and decided it was time to meet with a surgeon who would do the lap based on my symptoms I've had for about 7 years.  I got an appointment incredibly fast and surgery was planned in 2 weeks time.  We went practically skipping to my follow up on Tuesday (4 days ago) to get the details of the excisions done.  
Surgeon said he has never gotten this pathology back in his entire career, thousands of surgeries (now I know why).  The first 2 spots, endo.  The other 2, malignant mesothelioma.  I'm in health care, I know this isn't good, and I know it's even worse when your surgeon buys you Starbucks to pick up on your way home.  He literally has no idea what to do except direct me to oncology. 
Now I know that only 250-300 people a year get diagnosed with meso in their belly.  My head is spinning.  Work was horrible.  I just want to be home until I get to see oncology and know what I have to do next.  Waiting to wake up?!</t>
        </is>
      </c>
      <c r="D10598" t="n">
        <v>1</v>
      </c>
      <c r="E10598" t="n">
        <v>13</v>
      </c>
      <c r="F10598">
        <f>HYPERLINK("https://www.reddit.com/r/cancer/comments/i21izs/i_won_the_cancer_lottery_35_yo_female_with/")</f>
        <v/>
      </c>
      <c r="G10598" t="inlineStr">
        <is>
          <t>2020-08-01 15:51:26</t>
        </is>
      </c>
      <c r="H10598" t="inlineStr"/>
    </row>
    <row r="10599">
      <c r="A10599" t="inlineStr">
        <is>
          <t>i25ycv</t>
        </is>
      </c>
      <c r="B10599" t="inlineStr">
        <is>
          <t>Young cancer survivors, do you bother saving for retirement?</t>
        </is>
      </c>
      <c r="C10599" t="inlineStr">
        <is>
          <t>I had thyroid cancer at 26, a second bout 5 years later, and cancer free ever since.  I’m 40 now, and the likelihood of it never coming back and me living into a long retirement is not very likely.  Therefore I barely put any money in my 401k. I just don’t think I’ll ever get to use it and I’d rather have the money to better enjoy my life now. All the yearly cancer checks alone suck thousands of dollars from my paychecks as is.  
Am I making a mistake? Should I trust in modern and future medicine to give me a long life?  What do you do?</t>
        </is>
      </c>
      <c r="D10599" t="n">
        <v>1</v>
      </c>
      <c r="E10599" t="n">
        <v>19</v>
      </c>
      <c r="F10599">
        <f>HYPERLINK("https://www.reddit.com/r/cancer/comments/i25ycv/young_cancer_survivors_do_you_bother_saving_for/")</f>
        <v/>
      </c>
      <c r="G10599" t="inlineStr">
        <is>
          <t>2020-08-01 21:07:36</t>
        </is>
      </c>
      <c r="H10599" t="inlineStr">
        <is>
          <t xml:space="preserve">Patient </t>
        </is>
      </c>
    </row>
    <row r="10600">
      <c r="A10600" t="inlineStr">
        <is>
          <t>i26r7f</t>
        </is>
      </c>
      <c r="B10600" t="inlineStr">
        <is>
          <t>Other people being sick / COVID rant</t>
        </is>
      </c>
      <c r="C10600" t="inlineStr">
        <is>
          <t>So my rant is inspired by COVID but it honestly applies to all flu and cold illnesses. I am just so frustrated with society and how we handle colds and flus. A lot of people seem to completely lack empathy towards the immunocompromised or are totally ignorant to the fact that a common cold can kill a lot of us. We have been conditioned to continue going about our every day lives when we have a small fever, cough, etc. and as someone who has gone though a lot of chemo, radiation, surgery, and more chemo, I’m pissed. 
My FIL today asked why we were so scared of getting COVID. Well sir, I could DIE and so could your Type 1 Diabetic son. So there’s that. And his response was that then we shouldn’t be working or going out at all. I just don’t find this acceptable. I don’t think it’s fair that the vulnerable are expected to suffer without a source of income, or be the only ones to have to endure isolation and extra cautious sanitary practises. Just wear a damn mask during a pandemic, wash your hands, and stay home if you feel sick.  Even without COVID, being conscientious of coughing, sneezing, hand washing, sharing things, etc. should be the norm, and if you are at all sick you really shouldn’t be heading to work or out in public in general. Why is that so hard for people? And I know corporations and workplaces have a lot to do with the “going into work while sick” thing, that’s a whole other rant. 
And just to note, I live in an area where COVID is mostly under control, other than a new increase in outbreaks amongst isolated communities that are communal sharing based. Most things have opened back up with capacity restrictions in place. So while COVID is my breaking point for this rant, I felt extremely frustrated even before this pandemic with this “sickness” culture that we have. 
Just needed to vent to some understanding eyeballs! Interested to read your thoughts!</t>
        </is>
      </c>
      <c r="D10600" t="n">
        <v>1</v>
      </c>
      <c r="E10600" t="n">
        <v>21</v>
      </c>
      <c r="F10600">
        <f>HYPERLINK("https://www.reddit.com/r/cancer/comments/i26r7f/other_people_being_sick_covid_rant/")</f>
        <v/>
      </c>
      <c r="G10600" t="inlineStr">
        <is>
          <t>2020-08-01 22:12:25</t>
        </is>
      </c>
      <c r="H10600" t="inlineStr"/>
    </row>
    <row r="10601">
      <c r="A10601" t="inlineStr">
        <is>
          <t>i28vl2</t>
        </is>
      </c>
      <c r="B10601" t="inlineStr">
        <is>
          <t>Stage 4 pancreatic cancer but doesn’t seem sick at all?</t>
        </is>
      </c>
      <c r="C10601" t="inlineStr">
        <is>
          <t>My cousin in March was diagnosed with stage 4 pancreatic cancer. Went through 5 rounds of chemo from April to June and said her tumors shrank. But now starting another 12 weeks of chemo she said. She is in a another state and I haven’t been able to visit her yet but she posted pics from her bday dinner and she doesn’t seem sick at all. She has been overweight for years and still his. Her hair long and thick. Face the same. Is that possible with stage 4 pancreatic cancer and 5 rounds or chemo in two months plus starting a new 12 weeks of it? I just ask because she has donation websites set up for her that already raised 20K. I hate to accuse anyone but she has scammed people before.</t>
        </is>
      </c>
      <c r="D10601" t="n">
        <v>1</v>
      </c>
      <c r="E10601" t="n">
        <v>10</v>
      </c>
      <c r="F10601">
        <f>HYPERLINK("https://www.reddit.com/r/cancer/comments/i28vl2/stage_4_pancreatic_cancer_but_doesnt_seem_sick_at/")</f>
        <v/>
      </c>
      <c r="G10601" t="inlineStr">
        <is>
          <t>2020-08-02 01:36:34</t>
        </is>
      </c>
      <c r="H10601" t="inlineStr"/>
    </row>
    <row r="10602">
      <c r="A10602" t="inlineStr">
        <is>
          <t>i291s7</t>
        </is>
      </c>
      <c r="B10602" t="inlineStr">
        <is>
          <t>Radio recommendation for a weak cancer patient?</t>
        </is>
      </c>
      <c r="C10602" t="inlineStr">
        <is>
          <t>My uncle has cancer and is very weak. Because of the disease, his fingers cannot move at all. They are frozen in a particular position. He likes to listen to the radio. Would you happen to know of any radios meant for weak and elderly patients with mobility issues?
I tried searching online for suitable products but I honestly don't see how these are made for seniors? Their buttons are small and require manual movement of the dial? Seems like a lot of work for an elderly person. Thanks!</t>
        </is>
      </c>
      <c r="D10602" t="n">
        <v>1</v>
      </c>
      <c r="E10602" t="n">
        <v>4</v>
      </c>
      <c r="F10602">
        <f>HYPERLINK("https://www.reddit.com/r/cancer/comments/i291s7/radio_recommendation_for_a_weak_cancer_patient/")</f>
        <v/>
      </c>
      <c r="G10602" t="inlineStr">
        <is>
          <t>2020-08-02 01:54:48</t>
        </is>
      </c>
      <c r="H10602" t="inlineStr"/>
    </row>
    <row r="10603">
      <c r="A10603" t="inlineStr">
        <is>
          <t>i29iw5</t>
        </is>
      </c>
      <c r="B10603" t="inlineStr">
        <is>
          <t>VERY High likelihood of esophageal cancer realized over the past days and I don't quite even know where to begin with this???</t>
        </is>
      </c>
      <c r="C10603" t="inlineStr">
        <is>
          <t>So, I'm quite shaken right now and I'll try to put this coherently-
I've had heartburn, shortness of breath and increasing fatigue for many months now. But I was a smoker, and drinking quite a lot for the past year, and I've had acidic reflux symptoms preceding that, so I put it on a bad digestive system treated with antacids, my smoking, and the drinking probably taking a toll on my liver for my tiredness, as well as a physically draining job. 
As I was not doing well, I gave up smoking about two months ago, and refrained from drinking except for chilling on the weekend only, hoping I will gradually get better. I used to exercise regularly for the past years, but lately I get exhausted from a damn walk. 
The past week, however, has been quite hell, some way more concerning symptoms piling up, and so I started researching better into it. My fatigue has been increasing considerably, and I just want to lie down most times, even with the minimum of effort, and moving on to a more physically relaxing job. Nausea and shortness of breath and choking and coughing because of it were concerning enough to. But the most scary and telling is the chest tightness and pain, which I've felt most severely while eating a damn sandwich a few days back, right in the middle of my chest, and continuing throughout the week. It's longer some mere heartburn now and then. This pressure on my chest won't go away. All put together, my symptoms don't give me hopes of a less severe associated illness, and I don't even know what to do...
My circumstances are as follows: I'm not even in my home country. I've moved to the UK a few months back, and I'm not even registered to a GP, and there's also the whole pandemic going on right now...
Anyone living in the UK who could guide me about what I'm even supposed to do and what to expect? I'm quite scared, and confused, and shaken, and don't even know what I'm supposed to do about all this?</t>
        </is>
      </c>
      <c r="D10603" t="n">
        <v>1</v>
      </c>
      <c r="E10603" t="n">
        <v>8</v>
      </c>
      <c r="F10603">
        <f>HYPERLINK("https://www.reddit.com/r/cancer/comments/i29iw5/very_high_likelihood_of_esophageal_cancer/")</f>
        <v/>
      </c>
      <c r="G10603" t="inlineStr">
        <is>
          <t>2020-08-02 02:43:35</t>
        </is>
      </c>
      <c r="H10603" t="inlineStr"/>
    </row>
    <row r="10604">
      <c r="A10604" t="inlineStr">
        <is>
          <t>i29wy1</t>
        </is>
      </c>
      <c r="B10604" t="inlineStr">
        <is>
          <t>Reoccuring Cancer and Toxic Father. How to Cope?</t>
        </is>
      </c>
      <c r="C10604" t="inlineStr">
        <is>
          <t>Hi, this is the first post I have ever made so I’m sorry for any improper format (I’m also on a mobile). I would also like to apologize for the length.. 
My (now 20F yrs old)cancer journey started when I was 15 years old. A nodule on my thyroid was accidentally found on my scans while I was spending the night in the ER because of a panic attack set off by my dad. My father is verbally and physically abusive. When I got my thyroid checked out, originally the concern was only on the right side and was deemed not cancer. My then doctor, scheduled me for surgery 6 months after talking about the issue. By the time my first surgery is on progress, I woke up finding out the cancer has spread and that I no longer have a thyroid, 2 parathyroids and some lymphnodes. 
Since 2015, my “cancer” has returned each year except for 2019 and *fingers crossed*2020. The reason cancer is quoted is because my recent scan shows another nodule. My doctor claims theres a high chance for it to be a cancer, however we don’t dare try for a biopsy because of its placement. It is currently lodged in between two artery veins.. the pathway for the needle is too narrow, it’s too risky for a biopsy, so for now at best it is being monitored. I have undergone 3 surgeries and 2 radioactive iodine radiations. My condition has always baffled me because I was always told that my kind of cancer was the best cancer to have.. so for it to come back so aggressively.. I always wondered if it was because of the mental stress I get from home. 
My main motivation in life is to travel the world.. there is so much I want to do.. and so many places I want to see. I want to feel what life would be like outside of my fathers grasp. 
But everyday, it gets so unbelievably hard. Everyday I wake up, take my medication and endure listening to all the negative and ugly things they’ll decide to call me for the day. 
He often compares me to a cockroach because no matter how many cuts and stiches and radiation I take in I am still getting up. 
I sometimes get jealous of others who have supporting and loving families who are walking them through this cancer journey when I feel so alone and a burden to those around me.  When the two people who are supposed to love and care for me wishes me to drop dead. Despite my dreams and aspirations for the future, I sometimes feel selfish for holding on. 
I just want to know.. if anyone has been or is in a similar situation as me. How do I keep fighting?</t>
        </is>
      </c>
      <c r="D10604" t="n">
        <v>1</v>
      </c>
      <c r="E10604" t="n">
        <v>11</v>
      </c>
      <c r="F10604">
        <f>HYPERLINK("https://www.reddit.com/r/cancer/comments/i29wy1/reoccuring_cancer_and_toxic_father_how_to_cope/")</f>
        <v/>
      </c>
      <c r="G10604" t="inlineStr">
        <is>
          <t>2020-08-02 03:24:25</t>
        </is>
      </c>
      <c r="H10604" t="inlineStr"/>
    </row>
    <row r="10605">
      <c r="A10605" t="inlineStr">
        <is>
          <t>i2a5n3</t>
        </is>
      </c>
      <c r="B10605" t="inlineStr">
        <is>
          <t>My best friend has been told she is pretty much 100% likely to get bowel cancer before 30 due to a genetic predisposition.</t>
        </is>
      </c>
      <c r="C10605" t="inlineStr">
        <is>
          <t>This thing is so rare only two hospitals in the UK have medical support for it and she has her own doctor and will have her own special therapist. But she is devastated and terrified, she's 25 and it is likely her bowels will be largely removed in the next few years. She was meant to be seeing a doctor as a high priority patient but COVID has meant she has been unable to see anyone and I dunno. I don't know what to say or do. I've had experience with alot of things but not cancer and I can't even pretend to understand how scared she must be. And angry I imagine. 
So I guess any advice? Any support sites that have helped you feel less alone  (here for example?). Things not to say? My experience with cancer so far has been with people's parents who I am much less likely to talk in depth about this stuff with. I guess I just wanna know how/if I can help support them.</t>
        </is>
      </c>
      <c r="D10605" t="n">
        <v>1</v>
      </c>
      <c r="E10605" t="n">
        <v>12</v>
      </c>
      <c r="F10605">
        <f>HYPERLINK("https://www.reddit.com/r/cancer/comments/i2a5n3/my_best_friend_has_been_told_she_is_pretty_much/")</f>
        <v/>
      </c>
      <c r="G10605" t="inlineStr">
        <is>
          <t>2020-08-02 03:49:05</t>
        </is>
      </c>
      <c r="H10605" t="inlineStr"/>
    </row>
    <row r="10606">
      <c r="A10606" t="inlineStr">
        <is>
          <t>i2fexy</t>
        </is>
      </c>
      <c r="B10606" t="inlineStr">
        <is>
          <t>Some good news and possible treatment options?</t>
        </is>
      </c>
      <c r="C10606" t="inlineStr">
        <is>
          <t>Hello lovely people! I posted here a couple of months ago regarding my possible relapse from ALL. I was put on blincyto for a month and am back to MRD- again and in molecular remission. My doctor says that i never had a relapse just a flickering as my leukemia levels were very low (.003). 
I have to make decision now. Either I go with three more cycles of blincyto or I can go for a transplant. The transplant they are going for is an umbilical chord transplant as they could find me a good match. I am not sure how good that sounds but i am going to have a talk with the transplant team in the coming days. 
Personally I would just want to continue with the blincyto as the side effects were pretty much non existent! I would be able to resume a somewhat normal life. Transplant is a whole process of its own and is very invasive. I dont think i have the mental capacity to bear another year of intense treatment again. But I also dont want to talk the easy route out and suffer later. My doc says my case is rare and either choices are not bad, since i never really had a full blown relapse, just some minor flickering. She is going to gather more data on people like me and tell me what the pros and cons are of each of them. 
Do you guys have any opinion/info on the matter?</t>
        </is>
      </c>
      <c r="D10606" t="n">
        <v>1</v>
      </c>
      <c r="E10606" t="n">
        <v>3</v>
      </c>
      <c r="F10606">
        <f>HYPERLINK("https://www.reddit.com/r/cancer/comments/i2fexy/some_good_news_and_possible_treatment_options/")</f>
        <v/>
      </c>
      <c r="G10606" t="inlineStr">
        <is>
          <t>2020-08-02 10:00:20</t>
        </is>
      </c>
      <c r="H10606" t="inlineStr">
        <is>
          <t xml:space="preserve">Patient </t>
        </is>
      </c>
    </row>
    <row r="10607">
      <c r="A10607" t="inlineStr">
        <is>
          <t>i2ft9f</t>
        </is>
      </c>
      <c r="B10607" t="inlineStr">
        <is>
          <t>Can we talk bald heads for a sec?</t>
        </is>
      </c>
      <c r="C10607" t="inlineStr">
        <is>
          <t>On my second go round with Hodgkin's. First time I didn't lose all my hair and avoided touching/washing to keep it from falling out completely.
This time I'm definitely going to lose it all and I feel puzzled. Once all the hair goes, do you still use shampoo? Regular body soap? Should I put lotion on it instead of conditioner? I want to be as nice to my scalp as possible while it's exposed, but as a 29 year old female, I'm puzzled.</t>
        </is>
      </c>
      <c r="D10607" t="n">
        <v>1</v>
      </c>
      <c r="E10607" t="n">
        <v>48</v>
      </c>
      <c r="F10607">
        <f>HYPERLINK("https://www.reddit.com/r/cancer/comments/i2ft9f/can_we_talk_bald_heads_for_a_sec/")</f>
        <v/>
      </c>
      <c r="G10607" t="inlineStr">
        <is>
          <t>2020-08-02 10:23:13</t>
        </is>
      </c>
      <c r="H10607" t="inlineStr"/>
    </row>
    <row r="10608">
      <c r="A10608" t="inlineStr">
        <is>
          <t>i2g6jg</t>
        </is>
      </c>
      <c r="B10608" t="inlineStr">
        <is>
          <t>Food for patients on chemotherapy?</t>
        </is>
      </c>
      <c r="C10608" t="inlineStr">
        <is>
          <t>My uncle is on chemo. His taste buds has changed so drastically that noodles taste like charcoal. Fortunately, he still likes sweet stuff eg. Sweet potatoes.
Are there any good guides out there for recommending what patients on chemo can potentially find tasty?
Thanks!</t>
        </is>
      </c>
      <c r="D10608" t="n">
        <v>1</v>
      </c>
      <c r="E10608" t="n">
        <v>15</v>
      </c>
      <c r="F10608">
        <f>HYPERLINK("https://www.reddit.com/r/cancer/comments/i2g6jg/food_for_patients_on_chemotherapy/")</f>
        <v/>
      </c>
      <c r="G10608" t="inlineStr">
        <is>
          <t>2020-08-02 10:44:12</t>
        </is>
      </c>
      <c r="H10608" t="inlineStr"/>
    </row>
    <row r="10609">
      <c r="A10609" t="inlineStr">
        <is>
          <t>i2idnv</t>
        </is>
      </c>
      <c r="B10609" t="inlineStr">
        <is>
          <t>i need ideas for a card for a 9 year old with leukemia :(</t>
        </is>
      </c>
      <c r="C10609" t="inlineStr">
        <is>
          <t>i’m so sorry if this is the wrong subreddit for something like this. my neighbor’s grandson is in the hospital with acute leukemia. my mother told me to make him a card because i’m somewhat good at art, and she said he likes fortnite. i know nothing about fortnite, and i have no idea how i would incorporate a video game into a get well soon card... anyone have any ideas or advice?</t>
        </is>
      </c>
      <c r="D10609" t="n">
        <v>1</v>
      </c>
      <c r="E10609" t="n">
        <v>2</v>
      </c>
      <c r="F10609">
        <f>HYPERLINK("https://www.reddit.com/r/cancer/comments/i2idnv/i_need_ideas_for_a_card_for_a_9_year_old_with/")</f>
        <v/>
      </c>
      <c r="G10609" t="inlineStr">
        <is>
          <t>2020-08-02 12:47:41</t>
        </is>
      </c>
      <c r="H10609" t="inlineStr"/>
    </row>
    <row r="10610">
      <c r="A10610" t="inlineStr">
        <is>
          <t>i2izev</t>
        </is>
      </c>
      <c r="B10610" t="inlineStr">
        <is>
          <t>Sharp Cancer Pains are back?</t>
        </is>
      </c>
      <c r="C10610" t="inlineStr">
        <is>
          <t>Hi I am a 26F, got diagnosed with Nasopharyngeal Carcinoma late January. I’ve been through both Radiotherapy and Chemotherapy and am waiting for my CT scan. But recently, it has been about two weeks that I’ve noticed the sharp pain come back around the same area that it used to hurt before I got diagnosed. It’s not up to the same scale of pain, maybe 3/10 but I’m worried that it’s coming back. Has anyone here experience the same?</t>
        </is>
      </c>
      <c r="D10610" t="n">
        <v>1</v>
      </c>
      <c r="E10610" t="n">
        <v>8</v>
      </c>
      <c r="F10610">
        <f>HYPERLINK("https://www.reddit.com/r/cancer/comments/i2izev/sharp_cancer_pains_are_back/")</f>
        <v/>
      </c>
      <c r="G10610" t="inlineStr">
        <is>
          <t>2020-08-02 13:21:57</t>
        </is>
      </c>
      <c r="H10610" t="inlineStr"/>
    </row>
    <row r="10611">
      <c r="A10611" t="inlineStr">
        <is>
          <t>i2kq7p</t>
        </is>
      </c>
      <c r="B10611" t="inlineStr">
        <is>
          <t>Am I being paranoid?</t>
        </is>
      </c>
      <c r="C10611" t="inlineStr">
        <is>
          <t>English (for healthcare system relevancy) 15yo male, 73kg, 181cm, never smoked, drink every now and then, no previous UTI or STD, no trauma or impact to my kidneys or bladder. Sorry if I lack details, most of the test results have been given over the phone to my parents so I hear almost everything from them. I’m not quite sure whether this is the right subreddit for this as I’m not diagnosed with any form of cancer yet but it has been mentioned as a possibility despite my age. Please let me know if there’s anymore info that could help you help me.
About 4 months ago I found a tiny amount of blood in my urine and didn’t think anything of it. A week or two later and it happened again so my parents contacted my GP and a series of urine and blood tests followed as the blood became more and more frequent. The urine tests all came back normal (apart from the blood of course) except for a slightly raised glandular protein level that I was told wasn’t high enough for them to need to look into. The bloods were completely normal. An examination of my penis didn’t shine any light on a possible cause of the blood.
Next was a kidney ultrasound. Completely normal. At this point the blood was every time I peed and I was starting to get pain around the head of my penis when peeing. Sometimes barely noticeable, other times excruciating. 
Due to the kidney ultrasound being clear, they decided that it’s unlikely to be a problem in the kidneys and more likely something in the bladder. 
I had an MRI about a week ago and haven’t heard anything yet. 
Am I other-thinking the issue and cancer is very unlikely to be the problem here? Does anyone have a similar story that has had results and can give me a better idea of what to expect? Does anyone know what kind of further testing I can expect? Please let me know any advice, info or questions in the comments; I’ll make sure to check frequently :)</t>
        </is>
      </c>
      <c r="D10611" t="n">
        <v>1</v>
      </c>
      <c r="E10611" t="n">
        <v>1</v>
      </c>
      <c r="F10611">
        <f>HYPERLINK("https://www.reddit.com/r/cancer/comments/i2kq7p/am_i_being_paranoid/")</f>
        <v/>
      </c>
      <c r="G10611" t="inlineStr">
        <is>
          <t>2020-08-02 15:02:55</t>
        </is>
      </c>
      <c r="H10611" t="inlineStr"/>
    </row>
    <row r="10612">
      <c r="A10612" t="inlineStr">
        <is>
          <t>i2lfyg</t>
        </is>
      </c>
      <c r="B10612" t="inlineStr">
        <is>
          <t>How to support a dying friend during a pandemic</t>
        </is>
      </c>
      <c r="C10612" t="inlineStr">
        <is>
          <t>My best friend has been fighting osteosarcoma since 2014. Before the pandemic hit, she was told the cancer had spread again and that there was no other treatment she could take. Not seeing her loved ones or being able to do things with the little time she has left has taken a toll on her. She has been in hospice care for the last few months and only goes out for dialysis treatments. She also tested positive for COVID, but recovered. 
As the months in quarantine have passed, my friend has been getting weaker and is losing more and more mobility as the days go on. She is extremely frustrated and scared. Unfortunately, she has also not been as responsive to calls or texts. Also dodges facetime calls all the time. I’m sure it’s a combination of her not wanting us to see her in the state that she’s in and also being weak/tired/in pain. We’ve tried to visit her, but she’s been avoiding that as well.
Her husband finally called me this weekend saying how much worse it’s gotten and that regardless of how she feels we should start seeing her if we’re up to it. 
Our other friend and myself were finally able to get her on a FaceTime call today. Though we have all been the closest of friends for years, it was both sad and awkward... with many moments of everyone just not knowing what to say.
I plan on getting tested for COVID and after coordinating with her husband, will hopefully start seeing my friend at least once a week. How I can make the most of our time together? How can I be supportive and do what I can to make these last moments a little brighter/easier? Any advice would be much appreciated.</t>
        </is>
      </c>
      <c r="D10612" t="n">
        <v>1</v>
      </c>
      <c r="E10612" t="n">
        <v>6</v>
      </c>
      <c r="F10612">
        <f>HYPERLINK("https://www.reddit.com/r/cancer/comments/i2lfyg/how_to_support_a_dying_friend_during_a_pandemic/")</f>
        <v/>
      </c>
      <c r="G10612" t="inlineStr">
        <is>
          <t>2020-08-02 15:45:25</t>
        </is>
      </c>
      <c r="H10612" t="inlineStr"/>
    </row>
    <row r="10613">
      <c r="A10613" t="inlineStr">
        <is>
          <t>i2lg7w</t>
        </is>
      </c>
      <c r="B10613" t="inlineStr">
        <is>
          <t>Should I be worried?</t>
        </is>
      </c>
      <c r="C10613" t="inlineStr">
        <is>
          <t>let me start off by saying i’m 18(M), not just 18 but obese, and have some health problems that come with the weight. 
Over the past year i’ve developed a cough that’s worsened, it’s been pretty dry but lately i’ve started coughing up blood. this also comes with severe fatigue, shortness of breath and chest/back pain, doctors have tried inhalers, C-PAP’s, every medicine they can prescribe and none of it’s helped. should i get screened?</t>
        </is>
      </c>
      <c r="D10613" t="n">
        <v>1</v>
      </c>
      <c r="E10613" t="n">
        <v>0</v>
      </c>
      <c r="F10613">
        <f>HYPERLINK("https://www.reddit.com/r/cancer/comments/i2lg7w/should_i_be_worried/")</f>
        <v/>
      </c>
      <c r="G10613" t="inlineStr">
        <is>
          <t>2020-08-02 15:45:54</t>
        </is>
      </c>
      <c r="H10613" t="inlineStr"/>
    </row>
    <row r="10614">
      <c r="A10614" t="inlineStr">
        <is>
          <t>i2m9ik</t>
        </is>
      </c>
      <c r="B10614" t="inlineStr">
        <is>
          <t>Surgery Day Tomorrow</t>
        </is>
      </c>
      <c r="C10614" t="inlineStr">
        <is>
          <t>Tomorrow I have surgery at 7:30am for my 17.5 cm ovarian mass. The ER doctor said it was cancer and my oncologist says she believes that at the most it will be borderline.
My CA125 levels went from 55.8 down to 39 (almost within normal range) this past week, so I'm trying to remain hopeful. 
I've never had so much as a sprained wrist so having major surgery is terrifying for me, but who wouldn't be terrified during this time I guess..</t>
        </is>
      </c>
      <c r="D10614" t="n">
        <v>1</v>
      </c>
      <c r="E10614" t="n">
        <v>36</v>
      </c>
      <c r="F10614">
        <f>HYPERLINK("https://www.reddit.com/r/cancer/comments/i2m9ik/surgery_day_tomorrow/")</f>
        <v/>
      </c>
      <c r="G10614" t="inlineStr">
        <is>
          <t>2020-08-02 16:36:25</t>
        </is>
      </c>
      <c r="H10614" t="inlineStr"/>
    </row>
    <row r="10615">
      <c r="A10615" t="inlineStr">
        <is>
          <t>i2na7c</t>
        </is>
      </c>
      <c r="B10615" t="inlineStr">
        <is>
          <t>How do you deal with chronic, non-life-threatening cancer?</t>
        </is>
      </c>
      <c r="C10615" t="inlineStr">
        <is>
          <t>MTC runs in my family... mine somehow got more more aggressive than expected and I ended up with cancer in my lungs at &amp;lt;20 years old. 
I've had multiple surgeries (and am possibly going to get more) and radiation treatments. I'm currently on cabozantinib.
It's growing slowly not but ultimately isn't a major threat to my life, remission is impossible and I'll have a shorter life span but it's not like it's actively destroying my body right now.
I'm just not sure how to deal with it. I don't wanna be on TT for the rest of my life. I feel like there's 5 things I like eating and everything else makes me nauseous.
Hearing about cancer still makes me tear up and freak out even though I don't have anything to be worried about.
I'm constantly paranoid that I'm going to forget a dose or that my cancer is going to get aggressive just because.
I'm just in general scared.
But I also feel like I don't relate to a lot of the stuff other cancer patients will talk about.
Chemotherapy isn't really a thing for my cancer, and I'm not really fighting for my life. The mountain lion from the fridge thing isn't something  I have any idea is like to go through. 
But I still feel really ashamed. I feel judged and outcast for being like this. I would like to be open about having cancer, but if I even mention just my dad having it then people start pitying me to an extreme extent and will act really weird around me. 
It bothers me a lot. I just want to be treated like I'm normal.
I don't know what I'm supposed to do. 
I want to be able to deal better with being on constant treatment, maintenance radiation, etc, for the rest of my life. I'm also a type 1 diabetic but at least with that I feel in control of it and feel like I have more autonomy. But with cancer, I don't get it. Everyone talks about how they're fighting cancer but I'm literally just sitting here and letting doctors run medical experiments on me.
Also, people will judge me for being a t1 diabetic. People constantly blame me for having bad blood sugar, and it sucks, but I honestly prefer that to the pity parties people will invite me to once they find out I have cancer. It sucks. It makes me feel like less of a person. I'm still a college student. I can still do normal everyday things. Why do people have to act like I'm on the verge of death.
I want to be able to be more comfortable with being open about it. Most people know I'm a t1 diabetic before they know my name. Very, very few people know about my cancer. But I feel like it plays a really big part of my life with how much time I devote to treatment and I want to be able to be more comfortable with talking about it and standing up to people when they treat me differently for it.
I want to be able to stop seeing cancer as a big deal. I'll start uncontrollably crying and freaking out if someone else brings up a conversation about cancer because I can't handle discussions about it. I don't know why I do this though, I just can't control it. I want to be able to have a normal discussion without wanting to disappear. 
I don't know how to accomplish any of these things though.</t>
        </is>
      </c>
      <c r="D10615" t="n">
        <v>1</v>
      </c>
      <c r="E10615" t="n">
        <v>2</v>
      </c>
      <c r="F10615">
        <f>HYPERLINK("https://www.reddit.com/r/cancer/comments/i2na7c/how_do_you_deal_with_chronic_nonlifethreatening/")</f>
        <v/>
      </c>
      <c r="G10615" t="inlineStr">
        <is>
          <t>2020-08-02 17:39:29</t>
        </is>
      </c>
      <c r="H10615" t="inlineStr"/>
    </row>
    <row r="10616">
      <c r="A10616" t="inlineStr">
        <is>
          <t>i2oh45</t>
        </is>
      </c>
      <c r="B10616" t="inlineStr">
        <is>
          <t>One year cancer free today</t>
        </is>
      </c>
      <c r="C10616" t="inlineStr">
        <is>
          <t>No one in my life seemed to care about it, so I thought maybe I'd post here. I had cervical cancer, had it completely removed through surgery a year ago. I was scheduled to have a radical hysterectomy earlier this year to reduce chance of it coming back, but it's been postponed due to my anxieties about surgery, and covid making it so I can't have any visitors at all at my treatment center. Here's to one of five years I need to get down to start putting this all behind me. Cheers to everyone in this with me👍</t>
        </is>
      </c>
      <c r="D10616" t="n">
        <v>1</v>
      </c>
      <c r="E10616" t="n">
        <v>22</v>
      </c>
      <c r="F10616">
        <f>HYPERLINK("https://www.reddit.com/r/cancer/comments/i2oh45/one_year_cancer_free_today/")</f>
        <v/>
      </c>
      <c r="G10616" t="inlineStr">
        <is>
          <t>2020-08-02 18:56:35</t>
        </is>
      </c>
      <c r="H10616" t="inlineStr">
        <is>
          <t xml:space="preserve">Patient </t>
        </is>
      </c>
    </row>
    <row r="10617">
      <c r="A10617" t="inlineStr">
        <is>
          <t>i2ot3z</t>
        </is>
      </c>
      <c r="B10617" t="inlineStr">
        <is>
          <t>Hope on peripheral neuropathy?</t>
        </is>
      </c>
      <c r="C10617" t="inlineStr">
        <is>
          <t>Good news first, I’m officially in remission from TC (Stage II-B, radical orchiectomy followed by 4 rounds of etopocide and cisplatin). First post-chemo CT was inconclusive, but second put me just over the line. 
Struggle now is peripheral neuropathy. I’m around three months out of chemo, and it’s getting worse. Have talked with the oncologist, seeing a neurologist, taking gabapentin. Also dealing with Lhermitte’s Sign, an odd, rare side effect of the Cisplatin—getting a brain MRI on that one to rule out anything else. 
Really, I’m just looking for any hopeful PN recovery stories. I know the clinical details, and one that it’s sometimes temporary and sometimes permanent just wanted to hear if any of you have dealt with this and saw improvement over time or with some kind of treatment.</t>
        </is>
      </c>
      <c r="D10617" t="n">
        <v>1</v>
      </c>
      <c r="E10617" t="n">
        <v>18</v>
      </c>
      <c r="F10617">
        <f>HYPERLINK("https://www.reddit.com/r/cancer/comments/i2ot3z/hope_on_peripheral_neuropathy/")</f>
        <v/>
      </c>
      <c r="G10617" t="inlineStr">
        <is>
          <t>2020-08-02 19:19:09</t>
        </is>
      </c>
      <c r="H10617" t="inlineStr"/>
    </row>
    <row r="10618">
      <c r="A10618" t="inlineStr">
        <is>
          <t>i2rgib</t>
        </is>
      </c>
      <c r="B10618" t="inlineStr">
        <is>
          <t>Rare cancer research.</t>
        </is>
      </c>
      <c r="C10618" t="inlineStr">
        <is>
          <t>Hi everyone,  
I am studying Psychology, undertaking my Honors year in Australia. I am currently writing a thesis which involves a research project in which I am investigating the role of demoralisation and patient satisfaction in the perceived quality of life and symptom burden of patients with rare cancers.
I am recruiting participants to take part in a questionnaire which involves 81 questions, it takes approximately 15-20 minutes to complete. Potential participants must be aged 18 years or over, currently reside in Australia and have a current diagnosis of a rare cancer. This study has been approved by the Human Resources Ethics Committee.
I understand that expressing details about how you feel might not be something everyone wants to do and i really do not want to overstep a boundary by making people feel uncomfortable or have negative emotions, so please only take part in the questionnaire if you feel like it. 
Any help would be greatly appreciated. 
Below is the link to the questionnaire which participants will be responding to.  
https://cairnmillar.syd1.qualtrics.com/jfe/form/SV_71fm2USZCbBoNF3 
Many thanks.</t>
        </is>
      </c>
      <c r="D10618" t="n">
        <v>1</v>
      </c>
      <c r="E10618" t="n">
        <v>1</v>
      </c>
      <c r="F10618">
        <f>HYPERLINK("https://www.reddit.com/r/cancer/comments/i2rgib/rare_cancer_research/")</f>
        <v/>
      </c>
      <c r="G10618" t="inlineStr">
        <is>
          <t>2020-08-02 22:35:03</t>
        </is>
      </c>
      <c r="H10618" t="inlineStr"/>
    </row>
    <row r="10619">
      <c r="A10619" t="inlineStr">
        <is>
          <t>i2wbst</t>
        </is>
      </c>
      <c r="B10619" t="inlineStr">
        <is>
          <t>How to help my friend whose dad has been given less than 6 months to live</t>
        </is>
      </c>
      <c r="C10619" t="inlineStr">
        <is>
          <t>Sorry if this isn’t the right place. So we’re work friends really but he was there for me a whole lot when I was going through a bad spell, actually spending time with him isn’t an option due to a few reasons but especially with COVID-19. 
His dad has been battling with cancer for a couple of years, they stopped chemo not that long ago because it wasn’t working and last week they’ve been told he has less than 6 months left unfortunately. 
I was just wondering how to help. I know the usual things (to say if he needs anyone to talk to etc) but it’s not a situation I’ve been in before or anyone I know has been either, if you have; is there anything you wish you did differently? Anything you wish you’d had said/done with your loved one? Something you might have thought after? This might not make much sense. But almost like a bucket list, but I don’t want to suggest that as I think it’s not my position to say go do that, it’s his dad and I think they’re very personal, plus it’s an obvious one to think of. I just want to help and maybe give him suggestions he might not think of. 
He’s devastated and he’s spending all his time with his parents to help out because he thinks he should be there 24/7 because he won’t get any of the time back with his dad. I’ve tried telling him to look after himself too and that he deserves a break away. Any help would be appreciated! Thank you.</t>
        </is>
      </c>
      <c r="D10619" t="n">
        <v>1</v>
      </c>
      <c r="E10619" t="n">
        <v>3</v>
      </c>
      <c r="F10619">
        <f>HYPERLINK("https://www.reddit.com/r/cancer/comments/i2wbst/how_to_help_my_friend_whose_dad_has_been_given/")</f>
        <v/>
      </c>
      <c r="G10619" t="inlineStr">
        <is>
          <t>2020-08-03 05:41:07</t>
        </is>
      </c>
      <c r="H10619" t="inlineStr"/>
    </row>
    <row r="10620">
      <c r="A10620" t="inlineStr">
        <is>
          <t>i2yagr</t>
        </is>
      </c>
      <c r="B10620" t="inlineStr">
        <is>
          <t>It's almost my Cancer-versary</t>
        </is>
      </c>
      <c r="C10620" t="inlineStr">
        <is>
          <t>I was told on 9th August 2017 I had stage 4 metastatic breast cancer with lung, rib and spinal Mets. No symptoms or signs, it was found because I went to the dr for a stupid little lump about the size of a pea, squishy, in the top part of my chest. It was an ossified cyst - sliced, squished and gone. But they did an ultrasound which found two other masses, one was innocent, one will kill me. 
Well I'm trucking along, stable, which is as good as I'm going to get. And the bloody squishy lump is back and every night I'm having nightmares because my Cancer-versary is coming up and surely this is an omen.....
I see my oncologist tomorrow. But I've been scared and felt too stupid to mention this to anyone.</t>
        </is>
      </c>
      <c r="D10620" t="n">
        <v>1</v>
      </c>
      <c r="E10620" t="n">
        <v>9</v>
      </c>
      <c r="F10620">
        <f>HYPERLINK("https://www.reddit.com/r/cancer/comments/i2yagr/its_almost_my_cancerversary/")</f>
        <v/>
      </c>
      <c r="G10620" t="inlineStr">
        <is>
          <t>2020-08-03 07:46:09</t>
        </is>
      </c>
      <c r="H10620" t="inlineStr">
        <is>
          <t xml:space="preserve">Patient </t>
        </is>
      </c>
    </row>
    <row r="10621">
      <c r="A10621" t="inlineStr">
        <is>
          <t>i32ivr</t>
        </is>
      </c>
      <c r="B10621" t="inlineStr">
        <is>
          <t>Any authors here?</t>
        </is>
      </c>
      <c r="C10621" t="inlineStr">
        <is>
          <t>Hello!
Was curious if anyone with the damned disease happens to be an author?
I am an Iraqi, raised in Austria, working in Dubai since 2002. I am 41. This is the third time I got cancer. First when I was at the age of two (Hodgkin) cured after two years after chemo, radio and surgery. I got a different type(LMS) at the age of 35. Did only surgery for that. 
Five years later, January 2019 got LMS again, main location is the left gluteal muscle 5cm x 2cm. It had metastasized to the lung 15 small dots (2-3mm). Three small dots in the liver 4mm. and four in various places in the abdomen. Went through chemo Six cycles. All but the main and two small others in the abdomen were gone. The remaining had shrunk by 40%. And activity was very low. 
Docs decided I do nothing and routine checkup if somethings changes, then chemo again. The loner without chemo the better. It has been 14 months since my latest chemo and all is stable. 
Overall never had symptoms. The whole mess was internal. 
Now after this long introduction, I come back to my question. 
A few years back I wrote a novel, then followed it by a best seller “The Gardener of Baghdad” which went on to sell more than 40,000 copies globally. Then several books after that. 
The latest book I published was the same month I was diagnosed again. Ever since then my family, friends, readers and co-workers have asked me to write about my experience. I get these requests nearly on a daily basis.  I have rejected it since the start as I don’t want anyone to take my case as theirs. We all now this is the reality. 
I am sticking to my decision. Any authors here had faced a similar situation?</t>
        </is>
      </c>
      <c r="D10621" t="n">
        <v>1</v>
      </c>
      <c r="E10621" t="n">
        <v>11</v>
      </c>
      <c r="F10621">
        <f>HYPERLINK("https://www.reddit.com/r/cancer/comments/i32ivr/any_authors_here/")</f>
        <v/>
      </c>
      <c r="G10621" t="inlineStr">
        <is>
          <t>2020-08-03 11:28:25</t>
        </is>
      </c>
      <c r="H10621" t="inlineStr"/>
    </row>
    <row r="10622">
      <c r="A10622" t="inlineStr">
        <is>
          <t>i34jiy</t>
        </is>
      </c>
      <c r="B10622" t="inlineStr">
        <is>
          <t>I’m scared</t>
        </is>
      </c>
      <c r="C10622" t="inlineStr">
        <is>
          <t>I have stage 4 kidney cancer. I was stable for years but in the last six months I had to bounce from treatment to treatment because the doctors were seeing slow growth. Tomorrow I have a scan to see if the latest treatment is keeping me stable. I have a wife, and we have two sons under the age of 4.
I’m scared. I’m tired of dealing with this, and I feel so emotionally weak that a breeze could knock me over. I just don’t feel the emotional strength I felt when we started this journey. I’m scared this is the beginning of the end for me. It breaks my heart what pain my wife and kids will go through.
I’m shamelessly looking for a pep talk and encouragement.</t>
        </is>
      </c>
      <c r="D10622" t="n">
        <v>1</v>
      </c>
      <c r="E10622" t="n">
        <v>48</v>
      </c>
      <c r="F10622">
        <f>HYPERLINK("https://www.reddit.com/r/cancer/comments/i34jiy/im_scared/")</f>
        <v/>
      </c>
      <c r="G10622" t="inlineStr">
        <is>
          <t>2020-08-03 13:11:37</t>
        </is>
      </c>
      <c r="H10622" t="inlineStr">
        <is>
          <t xml:space="preserve">Patient </t>
        </is>
      </c>
    </row>
    <row r="10623">
      <c r="A10623" t="inlineStr">
        <is>
          <t>i34mg9</t>
        </is>
      </c>
      <c r="B10623" t="inlineStr">
        <is>
          <t>What are known risk factors for brain cancer?</t>
        </is>
      </c>
      <c r="C10623" t="inlineStr">
        <is>
          <t>What are all the know carcinogens that can cause brain tumors and/or cancers?</t>
        </is>
      </c>
      <c r="D10623" t="n">
        <v>1</v>
      </c>
      <c r="E10623" t="n">
        <v>3</v>
      </c>
      <c r="F10623">
        <f>HYPERLINK("https://www.reddit.com/r/cancer/comments/i34mg9/what_are_known_risk_factors_for_brain_cancer/")</f>
        <v/>
      </c>
      <c r="G10623" t="inlineStr">
        <is>
          <t>2020-08-03 13:15:48</t>
        </is>
      </c>
      <c r="H10623" t="inlineStr"/>
    </row>
    <row r="10624">
      <c r="A10624" t="inlineStr">
        <is>
          <t>i35lv5</t>
        </is>
      </c>
      <c r="B10624" t="inlineStr">
        <is>
          <t>Father diagnosed with stage 3 adenocarcinoma lung cancer</t>
        </is>
      </c>
      <c r="C10624" t="inlineStr">
        <is>
          <t>Never really thought id have to post here, at least now. Im 24 years old and my father is 55. We just had a consultation about this diagnosis earlier today and we were told about his situation and what comes next. Im new to this, off the top of my head my experience with cancer has been of family friends who have been diagnosed and survived, grandfather diagnosed with prostate cancer and is a survivor, and movies/tv. I have not been involved with much of the discussion with these situations just cause many of these diagnoses have been from many years ago when I was in high school and studying away at college. I would only pretty much be told so and so was diagnosed and keep them in your prayers. 
The doctor told us that surgery would not be an option. That the fluid in his lung will be tested to check if it is cancerous. And an MRI would be conducted to check if the cancer has moved to his brain and to label as stage 4. 
At home we have been adapting his diet towards less beef and carbs, and more fish, chicken, fruits, and vegetables. I make a fruit smoothie for him every morning, and I’ve taken to cooking the meals and buying the groceries so as to meal prep as much as possible what I could find online of beneficial foods at combating lung cancer. 
He hasn’t been a particularly careless individual in regards to his health. Has eaten relatively healthy, a social drinker and smoker, never really overdoing the smoking, maybe 1 per hang out. But he could have put more effort towards exercising regularly, of which I’ll put more an effort towards in supporting now that I’m home. 
I don’t really know why I’m posting this. I don’t have any particular questions. But I’ve been a part of the reddit community for many years now and this seemed like a good place to start. Any information would be informative to me and beneficial. 
I hope everyone is well.</t>
        </is>
      </c>
      <c r="D10624" t="n">
        <v>1</v>
      </c>
      <c r="E10624" t="n">
        <v>10</v>
      </c>
      <c r="F10624">
        <f>HYPERLINK("https://www.reddit.com/r/cancer/comments/i35lv5/father_diagnosed_with_stage_3_adenocarcinoma_lung/")</f>
        <v/>
      </c>
      <c r="G10624" t="inlineStr">
        <is>
          <t>2020-08-03 14:06:19</t>
        </is>
      </c>
      <c r="H10624" t="inlineStr">
        <is>
          <t xml:space="preserve">Patient </t>
        </is>
      </c>
    </row>
    <row r="10625">
      <c r="A10625" t="inlineStr">
        <is>
          <t>i3616g</t>
        </is>
      </c>
      <c r="B10625" t="inlineStr">
        <is>
          <t>An inquiry from a magician / sorcerer</t>
        </is>
      </c>
      <c r="C10625" t="inlineStr">
        <is>
          <t>Hey guys,
I know that I sound like I would be from a different world.
It's mostly directed at those that are desperate or believe in some higher order or have the curiousity to try out healing magic.
Recently I accomplished a big feat in my magic, which I call Autopathy.
I managed to send signals, specifically crafted, to be send to another being.
Some would call this telepathy, similar as to what the CIA published and studied and also to some degree has proven.
&amp;amp;#x200B;
I have a hand crafted spirit that is neurologically perfect and is such as the autopathy tasked to heal.
As far as it told me it is fit to heal cancer.
&amp;amp;#x200B;
Is there anyone open for a 5 minute procedure that allows my magic to do it's work?
The code construct that I build is simply explained, I am a master at neurology.
It starts an enzyme (artificial) that tells your body how to react to the cancer.
It has a routine to rebuild the damaged tissue.
See, cancer is a mechanic, it can be countered by the universal basis of the mechanic.
Your body will receive a magic implant that simply builds the right neuronal pathways to beat cancer.
This will take probably around 7 days.
&amp;amp;#x200B;
All you need to do is as follows:
Meditate for 5 minutes, building willpower and faith.
Meditate for 5 minutes, building the faith in perfection and your willpower.
Meditate with the thought spend as follows:
If Karox is able, I would allow him to heal my cancer in the utmost perfect way for me individually.
If Karox is able, I would allow him to enhance me during these meditations to steer the process as gentle and perfect as possible to guide my body in increasing my ability to beat cancer.
&amp;amp;#x200B;
That's about it.
The importance lies in building strength and willpower.
&amp;amp;#x200B;
Karox has done some deeds for me, he healed various smaller illnesses, I usually keep it secret as few do believe.
I gained my followers mostly by manipulating clouds :(
&amp;amp;#x200B;
The sad thing is that the unknowledged only start to believe in the invisible once they see something visible.
&amp;amp;#x200B;
If anyone of you would be kind enough to try out the meditation routine, please contact me via pm.
As I'd also like to personally guide you.
&amp;amp;#x200B;
Best regards and good luck.</t>
        </is>
      </c>
      <c r="D10625" t="n">
        <v>1</v>
      </c>
      <c r="E10625" t="n">
        <v>2</v>
      </c>
      <c r="F10625">
        <f>HYPERLINK("https://www.reddit.com/r/cancer/comments/i3616g/an_inquiry_from_a_magician_sorcerer/")</f>
        <v/>
      </c>
      <c r="G10625" t="inlineStr">
        <is>
          <t>2020-08-03 14:28:37</t>
        </is>
      </c>
      <c r="H10625" t="inlineStr"/>
    </row>
    <row r="10626">
      <c r="A10626" t="inlineStr">
        <is>
          <t>i36rji</t>
        </is>
      </c>
      <c r="B10626" t="inlineStr">
        <is>
          <t>My Grandfather has a week to live</t>
        </is>
      </c>
      <c r="C10626" t="inlineStr">
        <is>
          <t>I am honestly in shock. He has serious lung cancer and I thought he would at least have a few months but then the doctor sprung on us that he only has a week to live. He lives about 8 hours away from us and we’re going to visit him tomorrow. I honestly don’t know what to do or how to handle this. My mother cried for the first time that I’ve ever seen her cry and I am just feeling terrible. I don’t know what to do.</t>
        </is>
      </c>
      <c r="D10626" t="n">
        <v>1</v>
      </c>
      <c r="E10626" t="n">
        <v>4</v>
      </c>
      <c r="F10626">
        <f>HYPERLINK("https://www.reddit.com/r/cancer/comments/i36rji/my_grandfather_has_a_week_to_live/")</f>
        <v/>
      </c>
      <c r="G10626" t="inlineStr">
        <is>
          <t>2020-08-03 15:07:49</t>
        </is>
      </c>
      <c r="H10626" t="inlineStr"/>
    </row>
    <row r="10627">
      <c r="A10627" t="inlineStr">
        <is>
          <t>i38bcp</t>
        </is>
      </c>
      <c r="B10627" t="inlineStr">
        <is>
          <t>“Morpheus” trail.</t>
        </is>
      </c>
      <c r="C10627" t="inlineStr">
        <is>
          <t>Hello,
I am currently undergoing a clinical trial for recurring colon cancer called The Morpheus trail(sponsored by Roche). From my understanding there are less then 100 people on it. Anyone in here happen to be on the trail? 
I wish you all the best of luck. 
Thank you.</t>
        </is>
      </c>
      <c r="D10627" t="n">
        <v>1</v>
      </c>
      <c r="E10627" t="n">
        <v>1</v>
      </c>
      <c r="F10627">
        <f>HYPERLINK("https://www.reddit.com/r/cancer/comments/i38bcp/morpheus_trail/")</f>
        <v/>
      </c>
      <c r="G10627" t="inlineStr">
        <is>
          <t>2020-08-03 16:37:19</t>
        </is>
      </c>
      <c r="H10627" t="inlineStr"/>
    </row>
    <row r="10628">
      <c r="A10628" t="inlineStr">
        <is>
          <t>i3ahff</t>
        </is>
      </c>
      <c r="B10628" t="inlineStr">
        <is>
          <t>How the hell do i tell my family that im pretty sure my cancer came out of remission?</t>
        </is>
      </c>
      <c r="C10628" t="inlineStr">
        <is>
          <t>Im 17 and this will be go around number 2 if its indeed out of remission and idk how to tell anyone.</t>
        </is>
      </c>
      <c r="D10628" t="n">
        <v>1</v>
      </c>
      <c r="E10628" t="n">
        <v>2</v>
      </c>
      <c r="F10628">
        <f>HYPERLINK("https://www.reddit.com/r/cancer/comments/i3ahff/how_the_hell_do_i_tell_my_family_that_im_pretty/")</f>
        <v/>
      </c>
      <c r="G10628" t="inlineStr">
        <is>
          <t>2020-08-03 18:53:43</t>
        </is>
      </c>
      <c r="H10628" t="inlineStr"/>
    </row>
    <row r="10629">
      <c r="A10629" t="inlineStr">
        <is>
          <t>i3b136</t>
        </is>
      </c>
      <c r="B10629" t="inlineStr">
        <is>
          <t>Wigs for men?</t>
        </is>
      </c>
      <c r="C10629" t="inlineStr">
        <is>
          <t>Hey all,
Joined this group for my own cancer and now posting on behalf of my dad (58).
He was diagnosed with Stage IV stomach cancer and has gone through 2 (will be 3 after tomorrow) treatments and is starting to lose his hair. He is having a harder time coping with this than he thought and mentioned he would wear a wig if he found a men’s one with short hair. Does anyone know of anything? I know it’s a long shot but he helped me through my battle and now I want to try to help him. 
Thank you!</t>
        </is>
      </c>
      <c r="D10629" t="n">
        <v>1</v>
      </c>
      <c r="E10629" t="n">
        <v>5</v>
      </c>
      <c r="F10629">
        <f>HYPERLINK("https://www.reddit.com/r/cancer/comments/i3b136/wigs_for_men/")</f>
        <v/>
      </c>
      <c r="G10629" t="inlineStr">
        <is>
          <t>2020-08-03 19:28:49</t>
        </is>
      </c>
      <c r="H10629" t="inlineStr"/>
    </row>
    <row r="10630">
      <c r="A10630" t="inlineStr">
        <is>
          <t>i3c1v0</t>
        </is>
      </c>
      <c r="B10630" t="inlineStr">
        <is>
          <t>How to support a friend losing a parent to cancer?</t>
        </is>
      </c>
      <c r="C10630" t="inlineStr">
        <is>
          <t>My long-time best friend’s mother has cancer and is going to pass away very soon. We are both about to go off to college and these are already turbulent times for both of us, I can’t imagine how she must feel knowing she is about to lose her mother. 
I know she is uncomfortable talking about it and has been trying to open up to me. She said she needs a lot of support but it is incredibly hard to talk about.
Blessing everyone here and I hope you are okay. &amp;lt;3</t>
        </is>
      </c>
      <c r="D10630" t="n">
        <v>1</v>
      </c>
      <c r="E10630" t="n">
        <v>0</v>
      </c>
      <c r="F10630">
        <f>HYPERLINK("https://www.reddit.com/r/cancer/comments/i3c1v0/how_to_support_a_friend_losing_a_parent_to_cancer/")</f>
        <v/>
      </c>
      <c r="G10630" t="inlineStr">
        <is>
          <t>2020-08-03 20:38:49</t>
        </is>
      </c>
      <c r="H10630" t="inlineStr"/>
    </row>
    <row r="10631">
      <c r="A10631" t="inlineStr">
        <is>
          <t>i3cbfy</t>
        </is>
      </c>
      <c r="B10631" t="inlineStr">
        <is>
          <t>Intense moment after 2 long years</t>
        </is>
      </c>
      <c r="C10631" t="inlineStr">
        <is>
          <t>This past weekend I went to the beach for the first time in over two years. I’m in remission from acute lymphoblastic leukemia and 17 months post bone marrow transplant. I have to be super careful with the sun so I got myself a UPF50 pop up tent to hide in. I was most excited to go into the ocean. I love the beach so much and being in the water and jumping waves is always my favorite. 
When I went in the water and went under the first time the most insane feeling washed over me. I felt like I was high or on some other planet. The only way I can describe it is that I’ve never felt more alive. It was an insanely powerful feeling. I cried. I was so happy. But at the same time it made me a little sad. The thought that such a simple thing could feel so intense. The thought that I couldn’t do this for 2 years. And at various points in my “journey” I thought I’d never get to do it again. 
I’m curious if any other survivors have felt that moment.</t>
        </is>
      </c>
      <c r="D10631" t="n">
        <v>1</v>
      </c>
      <c r="E10631" t="n">
        <v>6</v>
      </c>
      <c r="F10631">
        <f>HYPERLINK("https://www.reddit.com/r/cancer/comments/i3cbfy/intense_moment_after_2_long_years/")</f>
        <v/>
      </c>
      <c r="G10631" t="inlineStr">
        <is>
          <t>2020-08-03 20:57:23</t>
        </is>
      </c>
      <c r="H10631" t="inlineStr"/>
    </row>
    <row r="10632">
      <c r="A10632" t="inlineStr">
        <is>
          <t>i3d2su</t>
        </is>
      </c>
      <c r="B10632" t="inlineStr">
        <is>
          <t>I am worried</t>
        </is>
      </c>
      <c r="C10632" t="inlineStr">
        <is>
          <t>I have swollen glands in my throat. This is not the first time this happened. It happened last year as well but went away. It seems like the glands are not as swollen now and getting better. Do I have to worry if it is cancerous?</t>
        </is>
      </c>
      <c r="D10632" t="n">
        <v>1</v>
      </c>
      <c r="E10632" t="n">
        <v>4</v>
      </c>
      <c r="F10632">
        <f>HYPERLINK("https://www.reddit.com/r/cancer/comments/i3d2su/i_am_worried/")</f>
        <v/>
      </c>
      <c r="G10632" t="inlineStr">
        <is>
          <t>2020-08-03 21:53:22</t>
        </is>
      </c>
      <c r="H10632" t="inlineStr"/>
    </row>
    <row r="10633">
      <c r="A10633" t="inlineStr">
        <is>
          <t>i3demy</t>
        </is>
      </c>
      <c r="B10633" t="inlineStr">
        <is>
          <t>I have Dermatofibrosarcoma Protuberans</t>
        </is>
      </c>
      <c r="C10633" t="inlineStr">
        <is>
          <t>Apparently I hit the genetic lottery with this. Its a rare condition among the population of tumors and it is not metastasized. 
Anyone else have gone through it? What should I expect?</t>
        </is>
      </c>
      <c r="D10633" t="n">
        <v>1</v>
      </c>
      <c r="E10633" t="n">
        <v>0</v>
      </c>
      <c r="F10633">
        <f>HYPERLINK("https://www.reddit.com/r/cancer/comments/i3demy/i_have_dermatofibrosarcoma_protuberans/")</f>
        <v/>
      </c>
      <c r="G10633" t="inlineStr">
        <is>
          <t>2020-08-03 22:19:16</t>
        </is>
      </c>
      <c r="H10633" t="inlineStr"/>
    </row>
    <row r="10634">
      <c r="A10634" t="inlineStr">
        <is>
          <t>i3dxe2</t>
        </is>
      </c>
      <c r="B10634" t="inlineStr">
        <is>
          <t>Worried about upcoming doctor's appointment</t>
        </is>
      </c>
      <c r="C10634" t="inlineStr">
        <is>
          <t>Hey. I'm going to be a high school junior this year and I've had my entire future planned out since 7th grade. In around late June I found a strange lump on my neck. After it not going away, my mom made an appointment at the doctor who said it was a 1cm lump and that we should come back in a month to see if she thinks I should get a CT scan or if it's just a regular lymph node. Well now the appointment is this Friday and each day I get closer to it, the more I freak out. I'm so scared to be told that I need a CT scan and I'm so scared of them getting the results. I'm so so scared of getting cancer since I've seen my mom fight and survive it and both of my mom's parents died from it. I've been having little panic attacks about what would happen if I do really have cancer. I have so many plans for the future and so much I want to do and now I'm so scared that I won't be able to accomplish any of it. I keep freaking out and I've been bottling it up so my family and friends think I'm feeling fine and think that I'm ok because I don't them to worry about me being scared. Also, with the constant talk of a second wave of Covid along with the flu, I'm super terrified about then also getting cancer. I can't sleep anymore because I'm just too nervous and worried about the outcome of Friday's appointment and could really use some reassurance or certainty or anything that can help me feel even the slightest bit prepared. Thanks</t>
        </is>
      </c>
      <c r="D10634" t="n">
        <v>1</v>
      </c>
      <c r="E10634" t="n">
        <v>8</v>
      </c>
      <c r="F10634">
        <f>HYPERLINK("https://www.reddit.com/r/cancer/comments/i3dxe2/worried_about_upcoming_doctors_appointment/")</f>
        <v/>
      </c>
      <c r="G10634" t="inlineStr">
        <is>
          <t>2020-08-03 23:02:25</t>
        </is>
      </c>
      <c r="H10634" t="inlineStr"/>
    </row>
    <row r="10635">
      <c r="A10635" t="inlineStr">
        <is>
          <t>i3ggac</t>
        </is>
      </c>
      <c r="B10635" t="inlineStr">
        <is>
          <t>Etoposide side effects</t>
        </is>
      </c>
      <c r="C10635" t="inlineStr">
        <is>
          <t>My 3 year old has a swollen face and won't open his eyes. Have you had experience etoposide you can share?
He had cytarabine too.
Spoken to his oncologists but looking for your anecdotal experiences.</t>
        </is>
      </c>
      <c r="D10635" t="n">
        <v>1</v>
      </c>
      <c r="E10635" t="n">
        <v>19</v>
      </c>
      <c r="F10635">
        <f>HYPERLINK("https://www.reddit.com/r/cancer/comments/i3ggac/etoposide_side_effects/")</f>
        <v/>
      </c>
      <c r="G10635" t="inlineStr">
        <is>
          <t>2020-08-04 02:51:04</t>
        </is>
      </c>
      <c r="H10635" t="inlineStr"/>
    </row>
    <row r="10636">
      <c r="A10636" t="inlineStr">
        <is>
          <t>i3i6ob</t>
        </is>
      </c>
      <c r="B10636" t="inlineStr">
        <is>
          <t>Surgery in a couple hours</t>
        </is>
      </c>
      <c r="C10636" t="inlineStr">
        <is>
          <t>Chemo has done its job and shrunk most of my mets to the point where they're not visible on a CT scan. The surgeon will remove 1/3 of my liver getting rid of the last visible tumor and burn off any abnormalities from the remaining liver. Theoretically I'll be free from any visible cancer after this. Then 6 weeks of recovery followed by a few rounds of cleanup chemo to get any invisible cancer.
I'm not worried about the surgery as much as the recovery and how much pain there might be. I hope I can get on my feet and back to bird watching ASAP.
Thanks to everyone here for the kind words and support.</t>
        </is>
      </c>
      <c r="D10636" t="n">
        <v>1</v>
      </c>
      <c r="E10636" t="n">
        <v>15</v>
      </c>
      <c r="F10636">
        <f>HYPERLINK("https://www.reddit.com/r/cancer/comments/i3i6ob/surgery_in_a_couple_hours/")</f>
        <v/>
      </c>
      <c r="G10636" t="inlineStr">
        <is>
          <t>2020-08-04 05:11:18</t>
        </is>
      </c>
      <c r="H10636" t="inlineStr"/>
    </row>
    <row r="10637">
      <c r="A10637" t="inlineStr">
        <is>
          <t>i3jxpk</t>
        </is>
      </c>
      <c r="B10637" t="inlineStr">
        <is>
          <t>Things you wish you knew/had during chemotherapy?</t>
        </is>
      </c>
      <c r="C10637" t="inlineStr">
        <is>
          <t>My dad is going to be starting chemotherapy soon and I want him to be as prepared as possible. Aside from the usual side effects, are there any things you wish you knew? Things you wish you had? Maybe even some activities that helped you get through it? Much love, thanks!!</t>
        </is>
      </c>
      <c r="D10637" t="n">
        <v>1</v>
      </c>
      <c r="E10637" t="n">
        <v>5</v>
      </c>
      <c r="F10637">
        <f>HYPERLINK("https://www.reddit.com/r/cancer/comments/i3jxpk/things_you_wish_you_knewhad_during_chemotherapy/")</f>
        <v/>
      </c>
      <c r="G10637" t="inlineStr">
        <is>
          <t>2020-08-04 07:07:30</t>
        </is>
      </c>
      <c r="H10637" t="inlineStr"/>
    </row>
    <row r="10638">
      <c r="A10638" t="inlineStr">
        <is>
          <t>i3k06u</t>
        </is>
      </c>
      <c r="B10638" t="inlineStr">
        <is>
          <t>I just wanted to post a happy story in hopes that it gives someone hope. All good news here!</t>
        </is>
      </c>
      <c r="C10638" t="inlineStr">
        <is>
          <t>Hi all, 
It has been a crazy two years. My 2 year old son was diagnosed with B-cell ALL in November of 2018, my 3 year old dog was diagnosed with a malignant  glandular carcinoma in September of 2019, then the pandemic hit in March of this year and my dad was diagnosed with Anapalstic Large Cell Lymphoma.  
&amp;amp;#x200B;
I am happy to report that my son has been in remission since December of 2018 and is now in the long-term maintenance phase of treatment slated to finish in September of 2021. My dog's tumor was localized, they had clean margins around the surgical site and his scans were clean indicating no spread. And my dad just completed his last round of chemo in July and his final PET scan was totally clean! 
&amp;amp;#x200B;
I feel so incredibly lucky and relieved to be here. There were times I didn't think we'd all make it here, but for now at least we can relax a little. Just gotta get my son through the rest of treatment and I'm told we can exhale about 18 months post-treatment. I am cautiously optimistic.</t>
        </is>
      </c>
      <c r="D10638" t="n">
        <v>1</v>
      </c>
      <c r="E10638" t="n">
        <v>5</v>
      </c>
      <c r="F10638">
        <f>HYPERLINK("https://www.reddit.com/r/cancer/comments/i3k06u/i_just_wanted_to_post_a_happy_story_in_hopes_that/")</f>
        <v/>
      </c>
      <c r="G10638" t="inlineStr">
        <is>
          <t>2020-08-04 07:11:33</t>
        </is>
      </c>
      <c r="H10638" t="inlineStr"/>
    </row>
    <row r="10639">
      <c r="A10639" t="inlineStr">
        <is>
          <t>i3l7nw</t>
        </is>
      </c>
      <c r="B10639" t="inlineStr">
        <is>
          <t>My dad is battling pancreatic cancer. I'm not ready for his death.</t>
        </is>
      </c>
      <c r="C10639" t="inlineStr">
        <is>
          <t>Context: my dad had intense pain in one of his legs back in june 11. Doctors find out he has pancreatic cancer, with metastasis on the liver. He's been in and out of the hospital since then because of the blood cloths. Yesterday he was released from the hospital after a biopsy, and he got to be with us for two hours before he had to go to the hospital again, with agonizing pain. Blood cloth again, this time on his lungs. It's gone now, but watching my father suffer has been, no doubt, the most heartbreaking thing I've experienced.
My dad is a masculine, strong, tough man. Watching him twisting in his bed due to pain is something my mind can't process. The moment felt unreal. Life doesn't prepare you for this stage in life were your parents have to leave, I feel like a little baby, fearful of everything. You also don't realize how common cancer is. Back in june I was bawling my eyes out, but now I can't cry, and I don't know why. I'm not ready, I'm not ready.</t>
        </is>
      </c>
      <c r="D10639" t="n">
        <v>1</v>
      </c>
      <c r="E10639" t="n">
        <v>8</v>
      </c>
      <c r="F10639">
        <f>HYPERLINK("https://www.reddit.com/r/cancer/comments/i3l7nw/my_dad_is_battling_pancreatic_cancer_im_not_ready/")</f>
        <v/>
      </c>
      <c r="G10639" t="inlineStr">
        <is>
          <t>2020-08-04 08:20:37</t>
        </is>
      </c>
      <c r="H10639" t="inlineStr"/>
    </row>
    <row r="10640">
      <c r="A10640" t="inlineStr">
        <is>
          <t>i3l8xu</t>
        </is>
      </c>
      <c r="B10640" t="inlineStr">
        <is>
          <t>How did you let go?</t>
        </is>
      </c>
      <c r="C10640" t="inlineStr">
        <is>
          <t>We've hit the point where Mom is at home in hospice care. She was a completely able-bodied, cognitively intact person three weeks ago. Then the brain Mets grew,, and one began to hemorrhage. This fucking disease is so devastating, and it's taking away my person. How did you accept the passing of your loved one when the end of their battle came?</t>
        </is>
      </c>
      <c r="D10640" t="n">
        <v>1</v>
      </c>
      <c r="E10640" t="n">
        <v>2</v>
      </c>
      <c r="F10640">
        <f>HYPERLINK("https://www.reddit.com/r/cancer/comments/i3l8xu/how_did_you_let_go/")</f>
        <v/>
      </c>
      <c r="G10640" t="inlineStr">
        <is>
          <t>2020-08-04 08:22:27</t>
        </is>
      </c>
      <c r="H10640" t="inlineStr"/>
    </row>
    <row r="10641">
      <c r="A10641" t="inlineStr">
        <is>
          <t>i3miq4</t>
        </is>
      </c>
      <c r="B10641" t="inlineStr">
        <is>
          <t>Question about recovery time from cancer surgery</t>
        </is>
      </c>
      <c r="C10641" t="inlineStr">
        <is>
          <t>Hi, 
I'm scheduled to have a liposarcoma in my right thigh removed in early September and was wondering if anyone has any idea what the recovery time is for this type of surgery? Specifically, I'm hoping to go back to work (from home) as soon as possible so I won't need to be mobile, just coherent and somewhat energetic. 
Thanks for the advice!</t>
        </is>
      </c>
      <c r="D10641" t="n">
        <v>1</v>
      </c>
      <c r="E10641" t="n">
        <v>2</v>
      </c>
      <c r="F10641">
        <f>HYPERLINK("https://www.reddit.com/r/cancer/comments/i3miq4/question_about_recovery_time_from_cancer_surgery/")</f>
        <v/>
      </c>
      <c r="G10641" t="inlineStr">
        <is>
          <t>2020-08-04 09:30:41</t>
        </is>
      </c>
      <c r="H10641" t="inlineStr"/>
    </row>
    <row r="10642">
      <c r="A10642" t="inlineStr">
        <is>
          <t>i3n9a7</t>
        </is>
      </c>
      <c r="B10642" t="inlineStr">
        <is>
          <t>Low White Blood count and whats next</t>
        </is>
      </c>
      <c r="C10642" t="inlineStr">
        <is>
          <t>Hello all, 
Thank you for taking the time to read this. I am curious about a few things, and I hope to find some answers. My mom(73) was diagnosed with stage 4 colorectal cancer a bit more than a month ago and that has spread to the liver and lungs. She, and we, were told about 3-6 months to live with no treatment and as much as 2 or more years with treatment (although on the realistic side, more like 1-2). She had a port put in and has gone to about 4 successful sessions of chemo, but the last few weeks her WBC has been too low for them to administer Chemo, so she has missed 2 sessions.  She has to wait another week before getting Chemo again, and we are working hard on getting the WBC up;  she changed her diet some, stop physically doing a few things that were contributing to her low count, and I thought overall we were doing fine (which I am certain after reading a few things that this is not uncommon so I feel better knowing that part). My concern though is, at what point will they stop trying to do Chemo for her. I imagine that it will be a user specific timeline, but is there any generalization of how many sessions can she miss before they stop altogether?
I don't know if I am expressing the question correctly. Thank you all. I appreciate any insight.</t>
        </is>
      </c>
      <c r="D10642" t="n">
        <v>1</v>
      </c>
      <c r="E10642" t="n">
        <v>4</v>
      </c>
      <c r="F10642">
        <f>HYPERLINK("https://www.reddit.com/r/cancer/comments/i3n9a7/low_white_blood_count_and_whats_next/")</f>
        <v/>
      </c>
      <c r="G10642" t="inlineStr">
        <is>
          <t>2020-08-04 10:08:50</t>
        </is>
      </c>
      <c r="H10642" t="inlineStr"/>
    </row>
    <row r="10643">
      <c r="A10643" t="inlineStr">
        <is>
          <t>i3otn3</t>
        </is>
      </c>
      <c r="B10643" t="inlineStr">
        <is>
          <t>Dad, diabetic and diagnosed with stage 1 kidney cancer. Survival?</t>
        </is>
      </c>
      <c r="C10643" t="inlineStr">
        <is>
          <t>Pretty much what the title states. He’s type 2 diabetic and was recently diagnosed with stage 1 kidney cancer. I believe they’re thinking of removing part of the kidney. Now I know stage 1 isn’t anywhere as bad as stage 4 but does him having diabetes affect his chances of survival? 
I’m worried that something may go wrong (possibly to do with diabetes) during surgery. 
Anyone else here that has suffered or no anyone who suffered with cancer who also has type 2 diabetes? Did you/they have any complications during surgery? 
I’m looking for some reassurance really but feel free to share the bad stories too.</t>
        </is>
      </c>
      <c r="D10643" t="n">
        <v>1</v>
      </c>
      <c r="E10643" t="n">
        <v>2</v>
      </c>
      <c r="F10643">
        <f>HYPERLINK("https://www.reddit.com/r/cancer/comments/i3otn3/dad_diabetic_and_diagnosed_with_stage_1_kidney/")</f>
        <v/>
      </c>
      <c r="G10643" t="inlineStr">
        <is>
          <t>2020-08-04 11:30:43</t>
        </is>
      </c>
      <c r="H10643" t="inlineStr"/>
    </row>
    <row r="10644">
      <c r="A10644" t="inlineStr">
        <is>
          <t>i3pp4d</t>
        </is>
      </c>
      <c r="B10644" t="inlineStr">
        <is>
          <t>See one more doctor?</t>
        </is>
      </c>
      <c r="C10644" t="inlineStr">
        <is>
          <t>Father diagnosed stomach cancer 4 with abdoment met， now on no.13 immunotherapy, doing very well, all blood numbers is normal, last couple CT scan look good. 
I am wondering if should ask another doctor to see if surgery is doable now. Current medical oncology said stick on current plan.
Thanks a lot</t>
        </is>
      </c>
      <c r="D10644" t="n">
        <v>1</v>
      </c>
      <c r="E10644" t="n">
        <v>3</v>
      </c>
      <c r="F10644">
        <f>HYPERLINK("https://www.reddit.com/r/cancer/comments/i3pp4d/see_one_more_doctor/")</f>
        <v/>
      </c>
      <c r="G10644" t="inlineStr">
        <is>
          <t>2020-08-04 12:15:36</t>
        </is>
      </c>
      <c r="H10644" t="inlineStr"/>
    </row>
    <row r="10645">
      <c r="A10645" t="inlineStr">
        <is>
          <t>i3rbuw</t>
        </is>
      </c>
      <c r="B10645" t="inlineStr">
        <is>
          <t>I’m broke and concerned that I have testicular cancer</t>
        </is>
      </c>
      <c r="C10645" t="inlineStr">
        <is>
          <t>As the title states, I’m in no place to afford any kind of large procedures and I have a feeling I might have a tumor on my left nut. I live in the U.S which, as we all know is horrible when it comes to medical costs but I obviously don’t want to just ignore this concern in case my suspicions are true and the problem continues to worsen.
I’m not panicking or anything, I’m just genuinely at a loss for what to do since money would solve this issue and I’m unfortunately lacking in said money. I know insurance is the way to go with this, but again, I don’t even want to imagine what those costs are like. I’ll more than likely figure this out on my own, resulting to going in debt from insurance costs but I thought why not ask for opinions and/or suggestions from others who’ve been in a similar predicament.</t>
        </is>
      </c>
      <c r="D10645" t="n">
        <v>1</v>
      </c>
      <c r="E10645" t="n">
        <v>5</v>
      </c>
      <c r="F10645">
        <f>HYPERLINK("https://www.reddit.com/r/cancer/comments/i3rbuw/im_broke_and_concerned_that_i_have_testicular/")</f>
        <v/>
      </c>
      <c r="G10645" t="inlineStr">
        <is>
          <t>2020-08-04 13:39:29</t>
        </is>
      </c>
      <c r="H10645" t="inlineStr"/>
    </row>
    <row r="10646">
      <c r="A10646" t="inlineStr">
        <is>
          <t>i3s2je</t>
        </is>
      </c>
      <c r="B10646" t="inlineStr">
        <is>
          <t>'Burning sensation' instead of itching?</t>
        </is>
      </c>
      <c r="C10646" t="inlineStr">
        <is>
          <t>For context, I'm already diagnosed with Non-Hodgkin's Follicular Lymphoma, but I'm on a watch and wait regimen.
For the past month or so, the fronts of my lower legs have occasionally felt like they are 'burning.' Basically, they just feel tingly and really hot, but not hot enough to be unpleasant.
It's a very distinct feeling that shows up most often at night/in bed. Do you think this could be something similar to the itching that most Lymphoma patients experience, or no?</t>
        </is>
      </c>
      <c r="D10646" t="n">
        <v>1</v>
      </c>
      <c r="E10646" t="n">
        <v>0</v>
      </c>
      <c r="F10646">
        <f>HYPERLINK("https://www.reddit.com/r/cancer/comments/i3s2je/burning_sensation_instead_of_itching/")</f>
        <v/>
      </c>
      <c r="G10646" t="inlineStr">
        <is>
          <t>2020-08-04 14:19:37</t>
        </is>
      </c>
      <c r="H10646" t="inlineStr"/>
    </row>
    <row r="10647">
      <c r="A10647" t="inlineStr">
        <is>
          <t>i3sa69</t>
        </is>
      </c>
      <c r="B10647" t="inlineStr">
        <is>
          <t>I’m at a loss I don’t know what to do I need help and guidance plz help me I can’t take this anymore</t>
        </is>
      </c>
      <c r="C10647" t="inlineStr">
        <is>
          <t>I’m a 20 year old male who is currently hiding in the bathroom crying. I don’t know what to do ,or the proper steps to know what’s going on with me. Over the last couple months my body has been through it. It’s tearing me down physically and emotionally and I see to have one friend who understands that it’s hard on me. I first what to apologize because as of right now idk if I have cancer. I don’t even know if I’ve been going through the process right ever since April I’ve felt terrible. I got sick and loss my appetite ( never came) back. I was later diagnosed with EOE because I had difficulty swallowing. My stool color is pale I feel like I have pains the come and go in my bones I’m constipated constantly. I used to be 150  I’m 133 since becoming sick. I don’t even know what I weighed before becoming sick because my doctors office stop weighing people. I  just don’t know what to d anymore. I’m scared I have throat cancer I have two “hair bumps “ that’s what my doc said they were under my chin.  One on my abs. I just don’t know what to do I bring something up and it seems like doctors are never worried. My sister doesn’t seem to give af. My parents are concerned obviously , but they are being toxic with the positivity. I go to be feeling awful and wake up feeling terrible physically and mentally. But I have to pretend for them. My mom always say it could be this for every symptom. I’m not happy I’m sad constantly and I can’t live like this. This is my last cry for help or guidance. For what I can possibly do to atleast ease my mind about what’s going on with me. I’m not asking to see if I have cancer or not. I just need advice please I’m begging anyone I feel like I’m wasting away.</t>
        </is>
      </c>
      <c r="D10647" t="n">
        <v>1</v>
      </c>
      <c r="E10647" t="n">
        <v>7</v>
      </c>
      <c r="F10647">
        <f>HYPERLINK("https://www.reddit.com/r/cancer/comments/i3sa69/im_at_a_loss_i_dont_know_what_to_do_i_need_help/")</f>
        <v/>
      </c>
      <c r="G10647" t="inlineStr">
        <is>
          <t>2020-08-04 14:31:17</t>
        </is>
      </c>
      <c r="H10647" t="inlineStr"/>
    </row>
    <row r="10648">
      <c r="A10648" t="inlineStr">
        <is>
          <t>i3so5c</t>
        </is>
      </c>
      <c r="B10648" t="inlineStr">
        <is>
          <t>Having undergrads write a letter to a beloved professor with terminal cancer?</t>
        </is>
      </c>
      <c r="C10648" t="inlineStr">
        <is>
          <t>There is a professor in my department that has been battling cancer for around a year now. She hasn't been very public about it, and is in a position of power in the department as well, so that could be a reason behind it. Since COVID and classes being online/summer break, it's been a while since I have heard about how she is doing. Recently, I heard she is very very sick. I was thinking of having a few of her undergraduate students from the past years come together to write her little letters. Is this not an appropriate thing to do? I don't know how she feels about her condition being public, and I wouldn't want to make her feel embarrassed or worse than she already is. I thought it would be a nice gesture coming from past students, but have never been in this position so I don't know if it's appropriate or not?</t>
        </is>
      </c>
      <c r="D10648" t="n">
        <v>1</v>
      </c>
      <c r="E10648" t="n">
        <v>3</v>
      </c>
      <c r="F10648">
        <f>HYPERLINK("https://www.reddit.com/r/cancer/comments/i3so5c/having_undergrads_write_a_letter_to_a_beloved/")</f>
        <v/>
      </c>
      <c r="G10648" t="inlineStr">
        <is>
          <t>2020-08-04 14:52:45</t>
        </is>
      </c>
      <c r="H10648" t="inlineStr"/>
    </row>
    <row r="10649">
      <c r="A10649" t="inlineStr">
        <is>
          <t>i3t5r1</t>
        </is>
      </c>
      <c r="B10649" t="inlineStr">
        <is>
          <t>The nightmare is here again. My results are positive.</t>
        </is>
      </c>
      <c r="C10649" t="inlineStr">
        <is>
          <t>A few days ago I got a text from my doctor’s secretary, my results were ready, my mom lives in another city and I told her I needed her with me to go to my appointment and hear the results, well, she talked with the doctor on the phone (without my knowledge) and she has the results, today she arrived at my home with her husband, and I was discussing with my sister that I will feel a little uncomfortable with him in my house but that was it. All normal to me.
My husband arrived after work, and I told him my mom was here and she had brought her husband, and that’s when my sister drops the bomb, she knows the results my mom told her, they are positive. She brought her husband to be her support.
I felt like a bucket of cold water was dropped in me. The nightmare started again, I was feeling well, so happy, and know I feel like I’m being punish, like this is a cruel joke, first they tell me I have cancer, then they said the results were wrong and I’m fine and know again it’s positive?.
My family don’t understand it, but this is extra difficult for me, my cancer is endometrial, they have to do a hysterectomy, my dreams of having a baby have been ripped from me. I’m mourning the baby I have always dream with and that I will never have.
In a month my life has been a rollercoaster, this is like a joke to me, of course I had to get sick, in the middle of the pandemic and of course it had to be cancer. Of all of the years this could have came it had to be this f*cking year. 
I’m really scared of getting Covid while also battling against this cancer. I need support, support that non of my family members can give me. I feel alone, and even tho my husband says he is my support I don’t want to put that stress on him. I saw it, how his expression changed when my sister told me the news. I love him a lot and seeing like that breaks my heart. 
Physically I feel good like I cant possibly be sick with this, but as the doctor told me “cancer does not hurt”. I need to gather all of my strength and battle this sickness head on, after so much crying and asking why me, I feel ready to do it, and even I feel ready to die. I have came to terms and I feel I have accepted this possible outcome.
I am 29 yo and I really hope I can reach October and celebrate my 30 birthday. 
Thank you for reading all of this, I hope my rant make sense.</t>
        </is>
      </c>
      <c r="D10649" t="n">
        <v>1</v>
      </c>
      <c r="E10649" t="n">
        <v>34</v>
      </c>
      <c r="F10649">
        <f>HYPERLINK("https://www.reddit.com/r/cancer/comments/i3t5r1/the_nightmare_is_here_again_my_results_are/")</f>
        <v/>
      </c>
      <c r="G10649" t="inlineStr">
        <is>
          <t>2020-08-04 15:20:29</t>
        </is>
      </c>
      <c r="H10649" t="inlineStr"/>
    </row>
    <row r="10650">
      <c r="A10650" t="inlineStr">
        <is>
          <t>i3tu12</t>
        </is>
      </c>
      <c r="B10650" t="inlineStr">
        <is>
          <t>Oregon State University developing program to help couples cope with reproductive and sexual health concerns after cancer</t>
        </is>
      </c>
      <c r="C10650" t="inlineStr">
        <is>
          <t>We are currently recruiting young breast and gynecologic cancer survivors to participate in a study! We need your input to create a program that will help young couples manage their reproductive and sexual health concerns after cancer. Get $20 for sharing your opinions during an interview. Find out more here: [health.oregonstate.edu/oc](https://health.oregonstate.edu/oc)
&amp;amp;#x200B;
https://preview.redd.it/htugw4ecg2f51.jpg?width=630&amp;amp;format=pjpg&amp;amp;auto=webp&amp;amp;s=940005cb8774797c65870ea0e19aa175695f19b8</t>
        </is>
      </c>
      <c r="D10650" t="n">
        <v>1</v>
      </c>
      <c r="E10650" t="n">
        <v>1</v>
      </c>
      <c r="F10650">
        <f>HYPERLINK("https://www.reddit.com/r/cancer/comments/i3tu12/oregon_state_university_developing_program_to/")</f>
        <v/>
      </c>
      <c r="G10650" t="inlineStr">
        <is>
          <t>2020-08-04 15:59:30</t>
        </is>
      </c>
      <c r="H10650" t="inlineStr"/>
    </row>
    <row r="10651">
      <c r="A10651" t="inlineStr">
        <is>
          <t>i3uqny</t>
        </is>
      </c>
      <c r="B10651" t="inlineStr">
        <is>
          <t>Request for resources: Medicine is not an exact science.</t>
        </is>
      </c>
      <c r="C10651" t="inlineStr">
        <is>
          <t>I was recently diagnosed with stomach cancer and have now undergone my first chemo treatment. That said, I am an engineer and I solve problems as my job. Side effects are problems to solve. From my perspective, if I want to fix a problem, I need to understand the underlying cause and how to recognize it. 
What I want is information, but there doesn't appear to be any. I've asked my doctors/ nurses and they just tell me to tell them everything and they'll let me know if it is important. They think that by removing my power and control, I'll be able to rest easier and I can just trust the experts to know what to do and when. Instead of trying to empower me to treat this like a science experiment, they'd rather me just pretend it's magic and sling random drugs at me till I stop complaining.
But I don't accept that. I am very aware of my body and I've monitored it closely my whole life. I tried accepting their way of doing things but it left me with more questions than answers. Now I would like to find the resources that must exist somewhere so that I can take the bull by the horns (so to speak).
What I'm looking for is as follows: 
1. A detailed explanation of what each chemotherapy treatment does to my body on a day-by-day basis. (For instance, they gave me my treatment and told me I'm toxic for the next 72 hours. Why only 72? What is my body doing with it for that period? How much of it lingers in my system and for how long?  Etc.)
2. A detailed description of each of the side effects and what I should expect to feel with those side effects. (For instance, I was told I would have cold sensitivity. I've had cavities before so that is what I expected. I was wrong. The cold sensitivity is more like a tingling and pinching sensation rather than outright pain. Someone has to have written this down somewhere, so where is it?)
3. A timeline of the primary, secondary, and tertiary side effects. While you could lump this in with #1, I consider it a separate thing. The first is what is being done to me. This is when I should feel the side effects of #2. (For example, acute nausea and vomiting can basically happen immediately. That's why I have my nausea medication. But what about after the first 72 hours? Should I continue to take my meds just in case or not? Is continued nausea after those initial hours normal or abnormal? I couldn't find a specific cancer website that told me it would take nearly two weeks for the hair loss to start by every one said it was a common side effect.)
I hear that everyone is different. But that is what statistics are for. Don't tell me how I'm going to feel, tell me how others have felt so that I can see where I land. I can't imagine that these drugs and treatments got approved without this type of information, so where is it? Why do I have to feel like medicine is mostly just quack doctoring, wishes and rainbows, and a review board that is just there to make sure people aren't dying? Where is the science? 
Thanks in advance for any help you all can give.</t>
        </is>
      </c>
      <c r="D10651" t="n">
        <v>1</v>
      </c>
      <c r="E10651" t="n">
        <v>38</v>
      </c>
      <c r="F10651">
        <f>HYPERLINK("https://www.reddit.com/r/cancer/comments/i3uqny/request_for_resources_medicine_is_not_an_exact/")</f>
        <v/>
      </c>
      <c r="G10651" t="inlineStr">
        <is>
          <t>2020-08-04 16:54:36</t>
        </is>
      </c>
      <c r="H10651" t="inlineStr">
        <is>
          <t xml:space="preserve">Patient </t>
        </is>
      </c>
    </row>
    <row r="10652">
      <c r="A10652" t="inlineStr">
        <is>
          <t>i3vt4i</t>
        </is>
      </c>
      <c r="B10652" t="inlineStr">
        <is>
          <t>Not having a good day</t>
        </is>
      </c>
      <c r="C10652" t="inlineStr">
        <is>
          <t>I need to whine to someone not emotionally attached to me if that is ok?  I apologize in advance, I know many of you have been through SO MUCH more than I have but I’m having a pity party for myself.
I (35F) was diagnosed with estrogen and HER2+ breast cancer on 7/21 after a reoccurring bought of non-lactation mastitis.  My 2.1cm small tumor was confirmed by mammogram, sonogram and needle core biopsy and I had a second biopsy this last Friday as well as an MRI.  
The imaging clinic called this morning and confirmed that my axillary lymph node is cancerous, but I also have two other small tumors next to my larger tumor, as well as a suspicious intramammary prominence on my chest wall.  The hospital squeezed me in for yet another biopsy on Thursday.  I doubt that the third time is the charm in this scenario.
Through all of this, I feel like I’ve been handling it pretty well... up until today.  Today it just feels like I’ve been punched in the gut over and over.  Logically, I KNOW that locally advanced cancer is not a death sentence.  This doesn’t really even change my treatment plan much either (I was already planning to have a double mastectomy instead of a lumpectomy).  I start chemo on 8/11 anyway, but I am SO overwhelmed right now. 
My poor husband is trying SO HARD to support me but he keeps asking over and over if I’m ok.  I don’t know the answer to that. I feel like if I’m honest and tell him how I really feel he’s going to have a nervous breakdown (he already has severe uncontrolled anxiety for which he refuses to medicate).  My youngest son is acting out because he’s scared so I can’t let him see my fear.  My parents are stressed to the limit as well, so basically I have to act strong for everyone else when I don’t feel very strong myself.  It’s kind of lonely in this little bubble of mine.  
I just need someone else who isn’t scared out of their wits to tell me it’s going to be ok and that everyone feels like this sometime.</t>
        </is>
      </c>
      <c r="D10652" t="n">
        <v>1</v>
      </c>
      <c r="E10652" t="n">
        <v>6</v>
      </c>
      <c r="F10652">
        <f>HYPERLINK("https://www.reddit.com/r/cancer/comments/i3vt4i/not_having_a_good_day/")</f>
        <v/>
      </c>
      <c r="G10652" t="inlineStr">
        <is>
          <t>2020-08-04 18:03:29</t>
        </is>
      </c>
      <c r="H10652" t="inlineStr">
        <is>
          <t xml:space="preserve">Patient </t>
        </is>
      </c>
    </row>
    <row r="10653">
      <c r="A10653" t="inlineStr">
        <is>
          <t>i3ypnc</t>
        </is>
      </c>
      <c r="B10653" t="inlineStr">
        <is>
          <t>Father has neck cancer, undergoing radiation and chemotherapy</t>
        </is>
      </c>
      <c r="C10653" t="inlineStr">
        <is>
          <t>Hey all,
My father has been having an incredibly rough time with the treatment. He can barely keep down food or water, he's unable to take his depression medication, the meds the doctor gave him to help his nausea and other symptoms don't seem to be effective. Whenever my mom has spoken with the doctors office they seem uncaring and unconcerned. It's been about a month and he's already skin and bones and is miserable and vomiting nearly at all times. Is this what it's normally like for others undergoing the same treatment? I just want to try to help him be comfortable and I wish he wasn't dehydrated and starving.</t>
        </is>
      </c>
      <c r="D10653" t="n">
        <v>1</v>
      </c>
      <c r="E10653" t="n">
        <v>9</v>
      </c>
      <c r="F10653">
        <f>HYPERLINK("https://www.reddit.com/r/cancer/comments/i3ypnc/father_has_neck_cancer_undergoing_radiation_and/")</f>
        <v/>
      </c>
      <c r="G10653" t="inlineStr">
        <is>
          <t>2020-08-04 21:24:00</t>
        </is>
      </c>
      <c r="H10653" t="inlineStr"/>
    </row>
    <row r="10654">
      <c r="A10654" t="inlineStr">
        <is>
          <t>i3z42d</t>
        </is>
      </c>
      <c r="B10654" t="inlineStr">
        <is>
          <t>I just got into surgery for testicular cancer</t>
        </is>
      </c>
      <c r="C10654" t="inlineStr">
        <is>
          <t>Now i have to choose whether to have one chemo session or to be on constant watch, any thoughts or sugestions on what i should do?</t>
        </is>
      </c>
      <c r="D10654" t="n">
        <v>1</v>
      </c>
      <c r="E10654" t="n">
        <v>6</v>
      </c>
      <c r="F10654">
        <f>HYPERLINK("https://www.reddit.com/r/cancer/comments/i3z42d/i_just_got_into_surgery_for_testicular_cancer/")</f>
        <v/>
      </c>
      <c r="G10654" t="inlineStr">
        <is>
          <t>2020-08-04 21:54:50</t>
        </is>
      </c>
      <c r="H10654" t="inlineStr"/>
    </row>
    <row r="10655">
      <c r="A10655" t="inlineStr">
        <is>
          <t>i43qpl</t>
        </is>
      </c>
      <c r="B10655" t="inlineStr">
        <is>
          <t>My brother wants to see his friend who is having chemo therapy for cancer.. should he?</t>
        </is>
      </c>
      <c r="C10655" t="inlineStr">
        <is>
          <t>Im just concerned because my brother hasn't been tested for coronavirus, and I dont want him to pass anything to his friend. 
It seems really silly to me for my brother to see him, but he won't take no for an answer... anyone got an opinion or help on this?</t>
        </is>
      </c>
      <c r="D10655" t="n">
        <v>1</v>
      </c>
      <c r="E10655" t="n">
        <v>12</v>
      </c>
      <c r="F10655">
        <f>HYPERLINK("https://www.reddit.com/r/cancer/comments/i43qpl/my_brother_wants_to_see_his_friend_who_is_having/")</f>
        <v/>
      </c>
      <c r="G10655" t="inlineStr">
        <is>
          <t>2020-08-05 04:39:43</t>
        </is>
      </c>
      <c r="H10655" t="inlineStr"/>
    </row>
    <row r="10656">
      <c r="A10656" t="inlineStr">
        <is>
          <t>i45trp</t>
        </is>
      </c>
      <c r="B10656" t="inlineStr">
        <is>
          <t>Mum got diagnosed with cancer, again.</t>
        </is>
      </c>
      <c r="C10656" t="inlineStr">
        <is>
          <t>I'd like to scream, but I can't,  cause I've got to be the strong one.
18 months ago mum has been diagnosed with breast cancer.
She found it herself, so she got it in time, she had surgery and radio and 8 months later she was cancer free.
Fast forward to last week, she had a pap test, and today she got the news, cancer is back, it's cervical.
It's only stage one, so I guess it's good news, and yet I can't stop thinking that when (and if) we get past this, it'll be back, again and again.
I did everything I could to make her feel comfortable. 
14 months ago I told her to move in with me, I built her a Grannyflat in my yard, no more mortgage,  no more bills, no more stress.
She's only 65 and yet she had cancer, a stroke, kidney failure,  diabetes  and now cancer again.
I feel like no matter how hard I try, there will always be something trying to take her away from me.
I'm not afraid to die, I've always thought death is part of our life, and I always thought mum was like me, after all, she's the one who taught me this, and yet cancer changed her.
She's scared, I can see it, she's already given up, even if cervical cancer is very treatable,  especially at stage 1.
But I understand, she's been cancer free for less than a year and now it's back.
I don't know why I'm writing this, I'm just tired and I need to talk to somebody.
I just wonder...what's next?
Will she survive this time?
And if she survives, where does that bloody cancer will go next?
I need someone to tell me what to do next, because I really feel lost.</t>
        </is>
      </c>
      <c r="D10656" t="n">
        <v>1</v>
      </c>
      <c r="E10656" t="n">
        <v>14</v>
      </c>
      <c r="F10656">
        <f>HYPERLINK("https://www.reddit.com/r/cancer/comments/i45trp/mum_got_diagnosed_with_cancer_again/")</f>
        <v/>
      </c>
      <c r="G10656" t="inlineStr">
        <is>
          <t>2020-08-05 06:58:58</t>
        </is>
      </c>
      <c r="H10656" t="inlineStr"/>
    </row>
    <row r="10657">
      <c r="A10657" t="inlineStr">
        <is>
          <t>i46t96</t>
        </is>
      </c>
      <c r="B10657" t="inlineStr">
        <is>
          <t>Do you really ever beat cancer ?</t>
        </is>
      </c>
      <c r="C10657" t="inlineStr">
        <is>
          <t>I mean, even for those who ended up beating it, doesn't it come back in the end; even years after ?</t>
        </is>
      </c>
      <c r="D10657" t="n">
        <v>1</v>
      </c>
      <c r="E10657" t="n">
        <v>13</v>
      </c>
      <c r="F10657">
        <f>HYPERLINK("https://www.reddit.com/r/cancer/comments/i46t96/do_you_really_ever_beat_cancer/")</f>
        <v/>
      </c>
      <c r="G10657" t="inlineStr">
        <is>
          <t>2020-08-05 07:57:40</t>
        </is>
      </c>
      <c r="H10657" t="inlineStr"/>
    </row>
    <row r="10658">
      <c r="A10658" t="inlineStr">
        <is>
          <t>i4bi8c</t>
        </is>
      </c>
      <c r="B10658" t="inlineStr">
        <is>
          <t>Need some help here.</t>
        </is>
      </c>
      <c r="C10658" t="inlineStr">
        <is>
          <t>My 69-year old husband had a partial nephrectomy in 2012. We found out in June that the cancer is back, same kidney, 3 times as large. This time full removal of right kidney is recommended. Ok. Now the problem: after meeting with oncologist and urologist, we have been waiting for a month to get a surgery date. I call several times a week and am told that the surgery scheduler is waiting for the orders from the surgeon. They will send a request. They will send a reminder. Someone will call me. Nothing. No one calls me.
Is it Covid that is causing a bottleneck in getting surgeries scheduled? I cant get any information. Our main concern is what risk might this delay be causing? Is kidney cancer so slow growing that we can just take our time? The mass is 9 cm. 
This is in New Mexico. The original surgery, 8 years ago, was done when we lived in California. Should we move back to California? I dont know what to do. Waiting is hell.</t>
        </is>
      </c>
      <c r="D10658" t="n">
        <v>1</v>
      </c>
      <c r="E10658" t="n">
        <v>11</v>
      </c>
      <c r="F10658">
        <f>HYPERLINK("https://www.reddit.com/r/cancer/comments/i4bi8c/need_some_help_here/")</f>
        <v/>
      </c>
      <c r="G10658" t="inlineStr">
        <is>
          <t>2020-08-05 12:03:58</t>
        </is>
      </c>
      <c r="H10658" t="inlineStr"/>
    </row>
    <row r="10659">
      <c r="A10659" t="inlineStr">
        <is>
          <t>i4c8gy</t>
        </is>
      </c>
      <c r="B10659" t="inlineStr">
        <is>
          <t>People stalking my profile to make fun of my cancer in the comments in other post not related.</t>
        </is>
      </c>
      <c r="C10659" t="inlineStr">
        <is>
          <t>I posted about my cancer treatment going great (not over but still going very well). And I just wanted to spread hope and joy even in these situations. But wait a minute. Some Redditors go on stalking my profile over random comments I put on funny post and they make fun of my situation. "Karma whore" "attention seeking whore" just being called whatever kind of whore in the end (Seems popular to say that to any kind of female on reddit. Must be hard to be this salty about half the population) These people are saying that if I can't take critics or jokes that I should not be on Reddit... But it's the same thing that they are doing when I tell them they are not nice, they are also not being able to deal with me calling them out. I know a lot of Redditor are just toxic and I should just let them destroy themself over time, but still. Covid, living alone, cancer ...  Let's say some days are not always good.
And I feel not so bright for not searching for a sub about cancer before today. I hope I can give and see some good vibes and some good conversation in here.</t>
        </is>
      </c>
      <c r="D10659" t="n">
        <v>1</v>
      </c>
      <c r="E10659" t="n">
        <v>23</v>
      </c>
      <c r="F10659">
        <f>HYPERLINK("https://www.reddit.com/r/cancer/comments/i4c8gy/people_stalking_my_profile_to_make_fun_of_my/")</f>
        <v/>
      </c>
      <c r="G10659" t="inlineStr">
        <is>
          <t>2020-08-05 12:40:14</t>
        </is>
      </c>
      <c r="H10659" t="inlineStr"/>
    </row>
    <row r="10660">
      <c r="A10660" t="inlineStr">
        <is>
          <t>i4d9un</t>
        </is>
      </c>
      <c r="B10660" t="inlineStr">
        <is>
          <t>Pembrolizumab or Novolumab with MSI low?</t>
        </is>
      </c>
      <c r="C10660" t="inlineStr">
        <is>
          <t>Has anyone here who is microsatellite stable been treated with Pembro or Novolo? I know that they are both usually used in MSI high patients, but I'm running out of options. I've failed both lines of standard treatment, so know my only options are clinical trials. I've come across a few trials that are using either Pembro or Novolo plus some novel tyrosine kinase inhibitors in MSI low patients. I wanted to see in anyone here had experienced similar treatment and how it worked for you.
Also, has anyone with stage 4 rectal cancer that failed both FOLFOX and FOLFIRI been successfully treated with a clinical trial recently? I'm unfortunate that my genetic results aren't helpfull. I'm MSI low, Ras wild type, MET amplification, not HER2+, etc.... 
I'm just trying to see if anyone with a similar situation ended up having good results. It's not looking too good for me and I'm desperately trying to find something that will at least maybe give me a little more time to enjoy with my family.
Thanks in advance and best of luck to everyone in their treatments</t>
        </is>
      </c>
      <c r="D10660" t="n">
        <v>1</v>
      </c>
      <c r="E10660" t="n">
        <v>6</v>
      </c>
      <c r="F10660">
        <f>HYPERLINK("https://www.reddit.com/r/cancer/comments/i4d9un/pembrolizumab_or_novolumab_with_msi_low/")</f>
        <v/>
      </c>
      <c r="G10660" t="inlineStr">
        <is>
          <t>2020-08-05 13:34:10</t>
        </is>
      </c>
      <c r="H10660" t="inlineStr"/>
    </row>
    <row r="10661">
      <c r="A10661" t="inlineStr">
        <is>
          <t>i4dfvq</t>
        </is>
      </c>
      <c r="B10661" t="inlineStr">
        <is>
          <t>Hair changes and Balding</t>
        </is>
      </c>
      <c r="C10661" t="inlineStr">
        <is>
          <t>I’m about 8 months out of chemo and my hairline has completely changed (I think it’s receding) and some spots hair won’t grow AT ALL. I have no family history of balding and I am only 19. 
I was wondering if hairline changes after chemo and or permanent hair loss has happened to anyone else? 
Thank you.</t>
        </is>
      </c>
      <c r="D10661" t="n">
        <v>1</v>
      </c>
      <c r="E10661" t="n">
        <v>4</v>
      </c>
      <c r="F10661">
        <f>HYPERLINK("https://www.reddit.com/r/cancer/comments/i4dfvq/hair_changes_and_balding/")</f>
        <v/>
      </c>
      <c r="G10661" t="inlineStr">
        <is>
          <t>2020-08-05 13:43:09</t>
        </is>
      </c>
      <c r="H10661" t="inlineStr">
        <is>
          <t xml:space="preserve">Patient </t>
        </is>
      </c>
    </row>
    <row r="10662">
      <c r="A10662" t="inlineStr">
        <is>
          <t>i4g7vx</t>
        </is>
      </c>
      <c r="B10662" t="inlineStr">
        <is>
          <t>CEA</t>
        </is>
      </c>
      <c r="C10662" t="inlineStr">
        <is>
          <t>Quick background: Diagnosed with stage IV colon cancer in April 2019. Had 2 surgeries and chemo. No Evidence of cancer back in November. 
I had routine scans 6 weeks ago and had a CEA of 8.5. Retested today over 20. Going in for more scans tomorrow, even though CT scans were negative before.
Anybody have history with this test? I know we can't compare numbers as each lab differs, just wanted some feedback.</t>
        </is>
      </c>
      <c r="D10662" t="n">
        <v>1</v>
      </c>
      <c r="E10662" t="n">
        <v>7</v>
      </c>
      <c r="F10662">
        <f>HYPERLINK("https://www.reddit.com/r/cancer/comments/i4g7vx/cea/")</f>
        <v/>
      </c>
      <c r="G10662" t="inlineStr">
        <is>
          <t>2020-08-05 16:17:46</t>
        </is>
      </c>
      <c r="H10662" t="inlineStr"/>
    </row>
    <row r="10663">
      <c r="A10663" t="inlineStr">
        <is>
          <t>i4htdf</t>
        </is>
      </c>
      <c r="B10663" t="inlineStr">
        <is>
          <t>Wife's CT Scan was clear!</t>
        </is>
      </c>
      <c r="C10663" t="inlineStr">
        <is>
          <t>First off, I just wanted to say thank you for the support, answers and input I have gotten from the community here since I first posted. If you're reading this and starting your journey, there is some great people here, and many have messaged me privately following how things are going. Truthfully I am horrible about replying, I apologize to all for that.
They did see she has a kidney stone that needs surgery and an abscess near her colon she will need a tube put in to drain. Those are a walk in the park compared to the surgeries and chemo she has been through.
I wish everyone here going through this the best, and hope I can help others in the future as so many here did for me.
Thank you all!</t>
        </is>
      </c>
      <c r="D10663" t="n">
        <v>1</v>
      </c>
      <c r="E10663" t="n">
        <v>18</v>
      </c>
      <c r="F10663">
        <f>HYPERLINK("https://www.reddit.com/r/cancer/comments/i4htdf/wifes_ct_scan_was_clear/")</f>
        <v/>
      </c>
      <c r="G10663" t="inlineStr">
        <is>
          <t>2020-08-05 17:52:55</t>
        </is>
      </c>
      <c r="H10663" t="inlineStr"/>
    </row>
    <row r="10664">
      <c r="A10664" t="inlineStr">
        <is>
          <t>i4hx36</t>
        </is>
      </c>
      <c r="B10664" t="inlineStr">
        <is>
          <t>So the ER doctor thinks I have lung cancer.</t>
        </is>
      </c>
      <c r="C10664" t="inlineStr">
        <is>
          <t>I'm only 30 guys... Basically I went to the ER cause I kept waking up with crushing back and chest pain. 
Turns out I have multiple masses on my lungs. I see an Oncologist friday. I can't believe hoe my view on life just changed soooo much in the past day. 
I'm hoping for benign......... I feel so helpless, I thought I had a whole life ahead of me</t>
        </is>
      </c>
      <c r="D10664" t="n">
        <v>1</v>
      </c>
      <c r="E10664" t="n">
        <v>39</v>
      </c>
      <c r="F10664">
        <f>HYPERLINK("https://www.reddit.com/r/cancer/comments/i4hx36/so_the_er_doctor_thinks_i_have_lung_cancer/")</f>
        <v/>
      </c>
      <c r="G10664" t="inlineStr">
        <is>
          <t>2020-08-05 17:58:35</t>
        </is>
      </c>
      <c r="H10664" t="inlineStr">
        <is>
          <t xml:space="preserve">Patient </t>
        </is>
      </c>
    </row>
    <row r="10665">
      <c r="A10665" t="inlineStr">
        <is>
          <t>i4jq98</t>
        </is>
      </c>
      <c r="B10665" t="inlineStr">
        <is>
          <t>How to support my friend</t>
        </is>
      </c>
      <c r="C10665" t="inlineStr">
        <is>
          <t>Hi everyone, I posted recently about my close friend getting diagnosed with stage 4 cancer. Her treatments were doing well, but it has take a turn for the worse. She had to get multiple surgeries to remove parts of the colon and her quality of life is deteriorating fast. Her oncologist told her the chemo stopped working and they need to switch to a new chemo. However, she’s too weak right now to start any treatment.
We talk a lot and I try to keep her spirit high, but its just so incredibly difficult to console her. Im trying to be as supportive as I can. How would you all recommend I approach this? She hates when people tell her its going to be ok and I never do that. But I also dont wanna make her anger, anxiety, and fear worse. 
Thanks in advance for reading this and FUCK CANCER</t>
        </is>
      </c>
      <c r="D10665" t="n">
        <v>1</v>
      </c>
      <c r="E10665" t="n">
        <v>3</v>
      </c>
      <c r="F10665">
        <f>HYPERLINK("https://www.reddit.com/r/cancer/comments/i4jq98/how_to_support_my_friend/")</f>
        <v/>
      </c>
      <c r="G10665" t="inlineStr">
        <is>
          <t>2020-08-05 19:52:03</t>
        </is>
      </c>
      <c r="H10665" t="inlineStr"/>
    </row>
    <row r="10666">
      <c r="A10666" t="inlineStr">
        <is>
          <t>i4l558</t>
        </is>
      </c>
      <c r="B10666" t="inlineStr">
        <is>
          <t>Ear/skin cancer?</t>
        </is>
      </c>
      <c r="C10666" t="inlineStr">
        <is>
          <t>I noticed a lump behind my left ear, it seemed like it wasn’t an issue as it could be nothing. Recently cut my nose (left side) and it swelled up (obviously) it’s been quite a while now and there’s still a small bump but otherwise is OK. Around this time, a lump on the outside of my ear, between the ear canal and rim. It has been like this for a while and hasn’t gone away. (A month or more) should I get this checked out?. What is the issue?</t>
        </is>
      </c>
      <c r="D10666" t="n">
        <v>1</v>
      </c>
      <c r="E10666" t="n">
        <v>4</v>
      </c>
      <c r="F10666">
        <f>HYPERLINK("https://www.reddit.com/r/cancer/comments/i4l558/earskin_cancer/")</f>
        <v/>
      </c>
      <c r="G10666" t="inlineStr">
        <is>
          <t>2020-08-05 21:30:06</t>
        </is>
      </c>
      <c r="H10666" t="inlineStr"/>
    </row>
    <row r="10667">
      <c r="A10667" t="inlineStr">
        <is>
          <t>i4lc9i</t>
        </is>
      </c>
      <c r="B10667" t="inlineStr">
        <is>
          <t>There is hope!</t>
        </is>
      </c>
      <c r="C10667" t="inlineStr">
        <is>
          <t>I don't go in for a lot of that full positivity style of thinking. I have a very realistic way of looking at things.
I was diagnosed just slightly over a year ago with stage 4 kidney cancer. 
Earlier on that day I had red urine. Later in the night I had blood clots that blocked me up so I could pee, went to the ER found out I had a tumor on my kidney.
Had massive pain episode before I started treatment. Was my 10. Not sure what it was, but I think the tumor was pushing on something or twisted something and caused agonizing pain.
I had a 7.6x6.6cm tumor on my lung. A tumor measuring 17 x 16 x 10 cm on my kidney. And several lymph nodes were swollen.
After a year of Keytruda and Inlyta.
My lung tumor is 2.5 x 1.8 cm, my lymph nodes appear normal, and my kidney tumor is 10.0 x 5.2 x 9.7cm
I'm not out of the woods yet, of course, but progress has been made.
Please don't give up hope, I know I've still got a ways to go, but I'm also very happy with the progress I've made. I wish each of us can/could/would and should have this kind of progress with their treatments.
Good luck everyone!</t>
        </is>
      </c>
      <c r="D10667" t="n">
        <v>1</v>
      </c>
      <c r="E10667" t="n">
        <v>6</v>
      </c>
      <c r="F10667">
        <f>HYPERLINK("https://www.reddit.com/r/cancer/comments/i4lc9i/there_is_hope/")</f>
        <v/>
      </c>
      <c r="G10667" t="inlineStr">
        <is>
          <t>2020-08-05 21:45:07</t>
        </is>
      </c>
      <c r="H10667" t="inlineStr"/>
    </row>
    <row r="10668">
      <c r="A10668" t="inlineStr">
        <is>
          <t>i4tn0u</t>
        </is>
      </c>
      <c r="B10668" t="inlineStr">
        <is>
          <t>Review tomorrow. Trying to keep myself busy.</t>
        </is>
      </c>
      <c r="C10668" t="inlineStr">
        <is>
          <t>I'll see how my ocular melanoma has responded to my last treatment and likely have further treatment. So anxious. Trying my best to keep busy. Any advice on preparing for bad news? Hope that you're all doing ok!</t>
        </is>
      </c>
      <c r="D10668" t="n">
        <v>1</v>
      </c>
      <c r="E10668" t="n">
        <v>0</v>
      </c>
      <c r="F10668">
        <f>HYPERLINK("https://www.reddit.com/r/cancer/comments/i4tn0u/review_tomorrow_trying_to_keep_myself_busy/")</f>
        <v/>
      </c>
      <c r="G10668" t="inlineStr">
        <is>
          <t>2020-08-06 08:17:05</t>
        </is>
      </c>
      <c r="H10668" t="inlineStr">
        <is>
          <t xml:space="preserve">Patient </t>
        </is>
      </c>
    </row>
    <row r="10669">
      <c r="A10669" t="inlineStr">
        <is>
          <t>i4u93x</t>
        </is>
      </c>
      <c r="B10669" t="inlineStr">
        <is>
          <t>How to convince someone to continue chemo</t>
        </is>
      </c>
      <c r="C10669" t="inlineStr">
        <is>
          <t>Hi,
I'm new here, but I'm looking for advice. My MIL has been diagnosed with stage 1 breast cancer and has begun receiving chemotherapy. She received her first session last friday and has been really sick all this week. She now wants to stop treatment because of how terrible she feels. She is scheduled to receive 6 treatments in total 3 weeks apart and then have a double mastectomy. I don't mean to be selfish, but she's relatively young and they said her chances of survival are very high given how quick they caught it. I feel like throwing in the towel is the worst decision for her given her odds. Is there any advice or things I can suggest to make the treatment easier on her? I just don't want her to give up from the side effects when she's got a great chance.</t>
        </is>
      </c>
      <c r="D10669" t="n">
        <v>1</v>
      </c>
      <c r="E10669" t="n">
        <v>37</v>
      </c>
      <c r="F10669">
        <f>HYPERLINK("https://www.reddit.com/r/cancer/comments/i4u93x/how_to_convince_someone_to_continue_chemo/")</f>
        <v/>
      </c>
      <c r="G10669" t="inlineStr">
        <is>
          <t>2020-08-06 08:51:46</t>
        </is>
      </c>
      <c r="H10669" t="inlineStr"/>
    </row>
    <row r="10670">
      <c r="A10670" t="inlineStr">
        <is>
          <t>i4vjg9</t>
        </is>
      </c>
      <c r="B10670" t="inlineStr">
        <is>
          <t>FIL in need of treatment</t>
        </is>
      </c>
      <c r="C10670" t="inlineStr">
        <is>
          <t>Hello everyone...
Never thought I would be writing here but the time has come.
My FIL is battling with cancer, he was having his treatment in his home country and had to stop it due to bureaucracy  to come to the US in order not to lose his residency here.
We did not think he would be feeling so bad that we had to take him to the ER today due to his radiation treatment withdrawal...
I am here to ask if you know of any resources or organizations who can help us find affordable treatment options, or at least with a co-pay of this hospital bill we will have today. Our goal is to send him back to our home country however the airport is closed due to covid, set up to open at the end of this month but we don't want to risk him and find him a place where he can be treated while living in Texas.
He cannot work due to the pain and he is not insured (we tried to add him to our policy but you know that's not possible) his only support are his wife and his sons, one of them my husband and we help with what we can but it seems we do not make enough bank in order to give him a regular treatment in this country, therefore the reason of my post.
I've been digging all morning around the internet, making phone calls and I feel I am not going anywhere and I know some of you may have more information about this and if you could help me, I will really appreciate it.
&amp;amp;#x200B;
Thank you!</t>
        </is>
      </c>
      <c r="D10670" t="n">
        <v>1</v>
      </c>
      <c r="E10670" t="n">
        <v>3</v>
      </c>
      <c r="F10670">
        <f>HYPERLINK("https://www.reddit.com/r/cancer/comments/i4vjg9/fil_in_need_of_treatment/")</f>
        <v/>
      </c>
      <c r="G10670" t="inlineStr">
        <is>
          <t>2020-08-06 10:00:20</t>
        </is>
      </c>
      <c r="H10670" t="inlineStr"/>
    </row>
    <row r="10671">
      <c r="A10671" t="inlineStr">
        <is>
          <t>i4w5cy</t>
        </is>
      </c>
      <c r="B10671" t="inlineStr">
        <is>
          <t>Traveling abroad while on specialty prescriptions</t>
        </is>
      </c>
      <c r="C10671" t="inlineStr">
        <is>
          <t>Hello all,
Do any people from the USA (or other countries) have experience with traveling abroad while taking specialty cancer medication (e.g. molecular chemo drugs/TKIs, etc)? My prescription is filled through a specialty pharmacy which only sends a 30-day supply at a time. I may need to relocate for a few months to stay with some family overseas but I am not sure how it could work given that I would need to receive prescription renewals every 30 days. I have insurance through my employer (would be working remotely while abroad). If anyone has any experience with this or thoughts I'd appreciate it. Thank you.</t>
        </is>
      </c>
      <c r="D10671" t="n">
        <v>1</v>
      </c>
      <c r="E10671" t="n">
        <v>6</v>
      </c>
      <c r="F10671">
        <f>HYPERLINK("https://www.reddit.com/r/cancer/comments/i4w5cy/traveling_abroad_while_on_specialty_prescriptions/")</f>
        <v/>
      </c>
      <c r="G10671" t="inlineStr">
        <is>
          <t>2020-08-06 10:31:40</t>
        </is>
      </c>
      <c r="H10671" t="inlineStr"/>
    </row>
    <row r="10672">
      <c r="A10672" t="inlineStr">
        <is>
          <t>i4yvq8</t>
        </is>
      </c>
      <c r="B10672" t="inlineStr">
        <is>
          <t>CT Results</t>
        </is>
      </c>
      <c r="C10672" t="inlineStr">
        <is>
          <t>I’m a 45f and began having pelvic pressure and difficulty with urination in early March and initially diagnosed via virtual visit due to COVID as having pelvic organ prolapse. Two weeks ago found a hard lump in my left abdomen so doctor ordered CT. I got the results today via a phone call then sent to me through virtual medical chart. He tried to explain it to me but I blanked out because I was upset, anybody have any idea what this might be saying?
1. A 18.5 cm cystic lesion likely arising from the left adnexa. Ovarian cystic neoplasm is the diagnosis of exclusion. 
They are referring me to oncology gynecologist for follow-up. Any insight is appreciated.</t>
        </is>
      </c>
      <c r="D10672" t="n">
        <v>1</v>
      </c>
      <c r="E10672" t="n">
        <v>13</v>
      </c>
      <c r="F10672">
        <f>HYPERLINK("https://www.reddit.com/r/cancer/comments/i4yvq8/ct_results/")</f>
        <v/>
      </c>
      <c r="G10672" t="inlineStr">
        <is>
          <t>2020-08-06 12:53:38</t>
        </is>
      </c>
      <c r="H10672" t="inlineStr"/>
    </row>
    <row r="10673">
      <c r="A10673" t="inlineStr">
        <is>
          <t>i507t1</t>
        </is>
      </c>
      <c r="B10673" t="inlineStr">
        <is>
          <t>Today I lost my father.</t>
        </is>
      </c>
      <c r="C10673" t="inlineStr">
        <is>
          <t>I’ve been on this subreddit for some time now and I just want to thank everyone. Today I woke at 5am up and my dad was breathing and then I noticed that his breath was getting lighter until finally it went no longer. I’m so thankful for him. I’m only 21 but he taught me SO MUCH. Love your father and record a lot with them becaus it’s so nice having the memories. If anyone is dealing with a parent that is battling cancer please take care of them! I’m begging you, I’m so glad i got to spend every second with him. From August 15th 2019 to August 6th today. Hug them. Love them. Kiss them. Tell them how you feel because it will be the LAST time.</t>
        </is>
      </c>
      <c r="D10673" t="n">
        <v>1</v>
      </c>
      <c r="E10673" t="n">
        <v>20</v>
      </c>
      <c r="F10673">
        <f>HYPERLINK("https://www.reddit.com/r/cancer/comments/i507t1/today_i_lost_my_father/")</f>
        <v/>
      </c>
      <c r="G10673" t="inlineStr">
        <is>
          <t>2020-08-06 14:04:21</t>
        </is>
      </c>
      <c r="H10673" t="inlineStr"/>
    </row>
    <row r="10674">
      <c r="A10674" t="inlineStr">
        <is>
          <t>i525wj</t>
        </is>
      </c>
      <c r="B10674" t="inlineStr">
        <is>
          <t>Symptoms of liver cancer Person I know has liver cancer</t>
        </is>
      </c>
      <c r="C10674" t="inlineStr">
        <is>
          <t>Hi someone I know  has been dignosed with liver cancer within 3 weeks she had surgery a couple of days ago but they apparently cut a wrong vain so she now has internally bleeding she is on the ventilator  please pray for her her only symptoms were back pain and weight loss which made me supraised and I am wondering what are other symptoms of liver cancer ?</t>
        </is>
      </c>
      <c r="D10674" t="n">
        <v>1</v>
      </c>
      <c r="E10674" t="n">
        <v>2</v>
      </c>
      <c r="F10674">
        <f>HYPERLINK("https://www.reddit.com/r/cancer/comments/i525wj/symptoms_of_liver_cancer_person_i_know_has_liver/")</f>
        <v/>
      </c>
      <c r="G10674" t="inlineStr">
        <is>
          <t>2020-08-06 15:51:41</t>
        </is>
      </c>
      <c r="H10674" t="inlineStr"/>
    </row>
    <row r="10675">
      <c r="A10675" t="inlineStr">
        <is>
          <t>i52ax4</t>
        </is>
      </c>
      <c r="B10675" t="inlineStr">
        <is>
          <t>Lipoma?</t>
        </is>
      </c>
      <c r="C10675" t="inlineStr">
        <is>
          <t>Hi,
I had (and still have) a small lump on my back. I am pretty sure its a lipoma, since i also got it on my wrist and my stomach. Those 2 are very moveable and soft. The lump on my back however - is not. Its a little bit painful to touch as well if i try to move it. I had it for AT LEAST 2 years and 6 months. Didn't notice any growth. I am thinking about removing it. Just don't know if i need to do it ASAP or it can wait a little bit more. Could it be liposarcoma or is it unlikely after such long period of time? 
Thanks</t>
        </is>
      </c>
      <c r="D10675" t="n">
        <v>1</v>
      </c>
      <c r="E10675" t="n">
        <v>0</v>
      </c>
      <c r="F10675">
        <f>HYPERLINK("https://www.reddit.com/r/cancer/comments/i52ax4/lipoma/")</f>
        <v/>
      </c>
      <c r="G10675" t="inlineStr">
        <is>
          <t>2020-08-06 15:59:39</t>
        </is>
      </c>
      <c r="H10675" t="inlineStr"/>
    </row>
    <row r="10676">
      <c r="A10676" t="inlineStr">
        <is>
          <t>i52tyh</t>
        </is>
      </c>
      <c r="B10676" t="inlineStr">
        <is>
          <t>So many questions I haven’t even thought of yet</t>
        </is>
      </c>
      <c r="C10676" t="inlineStr">
        <is>
          <t>I’m a 29 y/o mother of two. No family history of breast cancer. A few weeks ago, I found a lump in my breast. I went to my GYN who then gave me a script to have a mammogram and ultrasound done. The results showed 4 nodules in my left breast and two prominent lymph nodes in my armpit. Today I had three biopsies, which went better than I expected. I know very little about breast cancer. Should I be worried? Four nodules seems troublesome.</t>
        </is>
      </c>
      <c r="D10676" t="n">
        <v>1</v>
      </c>
      <c r="E10676" t="n">
        <v>2</v>
      </c>
      <c r="F10676">
        <f>HYPERLINK("https://www.reddit.com/r/cancer/comments/i52tyh/so_many_questions_i_havent_even_thought_of_yet/")</f>
        <v/>
      </c>
      <c r="G10676" t="inlineStr">
        <is>
          <t>2020-08-06 16:30:24</t>
        </is>
      </c>
      <c r="H10676" t="inlineStr"/>
    </row>
    <row r="10677">
      <c r="A10677" t="inlineStr">
        <is>
          <t>i53l3b</t>
        </is>
      </c>
      <c r="B10677" t="inlineStr">
        <is>
          <t>Returning to work</t>
        </is>
      </c>
      <c r="C10677" t="inlineStr">
        <is>
          <t>Hi all. I’ve been a lurker here for the last few months but finally mustered up the courage to post. In May I (27/M) was diagnosed with testicular cancer. After two surgeries to remove the testicle and the lymph nodes it spread to, I am just doing scans and blood work every three months to monitor everything. This week I was cleared to return to work and I’ve been having panic attacks and severe anxiety about work every day before I go in. I just don’t feel the passion for my job that I used to. Has this happened to anyone else? How did you get through it?</t>
        </is>
      </c>
      <c r="D10677" t="n">
        <v>1</v>
      </c>
      <c r="E10677" t="n">
        <v>3</v>
      </c>
      <c r="F10677">
        <f>HYPERLINK("https://www.reddit.com/r/cancer/comments/i53l3b/returning_to_work/")</f>
        <v/>
      </c>
      <c r="G10677" t="inlineStr">
        <is>
          <t>2020-08-06 17:16:45</t>
        </is>
      </c>
      <c r="H10677" t="inlineStr"/>
    </row>
    <row r="10678">
      <c r="A10678" t="inlineStr">
        <is>
          <t>i54nl0</t>
        </is>
      </c>
      <c r="B10678" t="inlineStr">
        <is>
          <t>Has anyone developed neuropathy years after treatment?</t>
        </is>
      </c>
      <c r="C10678" t="inlineStr">
        <is>
          <t>I am 15 years cancer-free (Ewings sarcoma, bone tumor) and had a stress fracture of my fibula in January. It has all or msotly healed, but has caused a lot of pain. I believe all pain related to it is gone, but I have been having severe nerve pain over the past month and a half or so. My calf off and on feels burning, tingling, pins and needles, while my foot and toes have been twitching and driving me crazy. I panicked and called my oncologist, who set up an ultrasound just to be sure there is nothing there (had an MRI in January after initial injury and x ray in May for my yearly checkup), but it seems like for some reason I may have developed neuropathy in my leg/foot (i had permanent nerve damage after my surgery during treatment). Obviously, I'm still panicking that my cancer has returned, but I also think they would have seen something on the MRI in January or the x ray in May. Did anyone else develop neuropathy years after treatment? Thanks.</t>
        </is>
      </c>
      <c r="D10678" t="n">
        <v>1</v>
      </c>
      <c r="E10678" t="n">
        <v>1</v>
      </c>
      <c r="F10678">
        <f>HYPERLINK("https://www.reddit.com/r/cancer/comments/i54nl0/has_anyone_developed_neuropathy_years_after/")</f>
        <v/>
      </c>
      <c r="G10678" t="inlineStr">
        <is>
          <t>2020-08-06 18:26:42</t>
        </is>
      </c>
      <c r="H10678" t="inlineStr"/>
    </row>
    <row r="10679">
      <c r="A10679" t="inlineStr">
        <is>
          <t>i55267</t>
        </is>
      </c>
      <c r="B10679" t="inlineStr">
        <is>
          <t>I REGRET transferring my dad to a “well known” cancer treatment facility</t>
        </is>
      </c>
      <c r="C10679" t="inlineStr">
        <is>
          <t>My dad was getting chemotherapy at a pretty bad hospital in NYC (rating is around 2 stars out of 5) and keep in mind this is the rating of the overall hospital. Even though he was doing fine and the other doctors said he was a good oncologist during his sessions we still wanted to transfer him because we were skeptical of the oncologist. He wouldn’t ever really tell us anything barely saw him and most times he wouldn’t call back when we did need to get into contact. Fast forward the oncologist at mt Sinai said he recommends us to transfer after seeing my dads health records and right after the first chemo there he is suddenly doing worse. In the beginning before we decided to switch the doctor was very promising but now he seems to act like our previous doctor. Few calls back,  mistakes by the nurses we found out by accident(!!) and so much more, I regret switching and feel very embarrassed to wanting to switch back. It seems that oncologists are always busy and don’t have time to give reassurance. I know it doesn’t mean the whole place is bad obviously... but still. Idk why I’m writing this, maybe to say that a good doctor is a good doctor regardless what hospital rating there is. Just feeling really shitty and scared that I fucked up my dads good prognosis</t>
        </is>
      </c>
      <c r="D10679" t="n">
        <v>1</v>
      </c>
      <c r="E10679" t="n">
        <v>3</v>
      </c>
      <c r="F10679">
        <f>HYPERLINK("https://www.reddit.com/r/cancer/comments/i55267/i_regret_transferring_my_dad_to_a_well_known/")</f>
        <v/>
      </c>
      <c r="G10679" t="inlineStr">
        <is>
          <t>2020-08-06 18:53:37</t>
        </is>
      </c>
      <c r="H10679" t="inlineStr"/>
    </row>
    <row r="10680">
      <c r="A10680" t="inlineStr">
        <is>
          <t>i56drn</t>
        </is>
      </c>
      <c r="B10680" t="inlineStr">
        <is>
          <t>Fear of long term chemo side affects.</t>
        </is>
      </c>
      <c r="C10680" t="inlineStr">
        <is>
          <t>Hi everyone, I was diagnosed with an immature teratoma on my ovary when I was 17 (I’m 24 now) and I went through three rounds of chemo and was told that it has a rare rate of ever reoccurring. As more time passes I fear less of a reoccurrence of a teratoma but more of potential long term chemo side effects or the increased risks of getting other types of cancer because of this. My cancer experience doesn’t even feel like it happened to me, when I talk about it it just feels like I’m telling a story about someone else. What does feel real is this almost dread for the future. Right now I feel so healthy and I’m extremely active but in the back of my head I keep thinking that my time of feeling good could be running out as longer term issues could begin to manifest. Just wondering if anyone has any helpful thoughts to share.</t>
        </is>
      </c>
      <c r="D10680" t="n">
        <v>1</v>
      </c>
      <c r="E10680" t="n">
        <v>10</v>
      </c>
      <c r="F10680">
        <f>HYPERLINK("https://www.reddit.com/r/cancer/comments/i56drn/fear_of_long_term_chemo_side_affects/")</f>
        <v/>
      </c>
      <c r="G10680" t="inlineStr">
        <is>
          <t>2020-08-06 20:22:44</t>
        </is>
      </c>
      <c r="H10680" t="inlineStr"/>
    </row>
    <row r="10681">
      <c r="A10681" t="inlineStr">
        <is>
          <t>i5b8o0</t>
        </is>
      </c>
      <c r="B10681" t="inlineStr">
        <is>
          <t>Misdiagnosis - do you think my mother may have been misdiagnosed?</t>
        </is>
      </c>
      <c r="C10681" t="inlineStr">
        <is>
          <t>My mother passed away 3 months ago now after a very aggressive cancer, and my brothers and I are slowly getting over the trauma of this year.
One thing that kept cropping up for us was what we feel may be some inconsistencies in the diagnosis, and so i was wondering what this forum thinks of what happened.
A few years ago my mum had a lump on her breast and after going to the Dr she has a scan. The doctor then told her it was not cancerous. There was no biopsy done at the time.
18 months later my mum had to disclose this for travel insurance for a cruise, and she had to get another check up, at which point she was informed that she had low form breast cancer and so she commenced full treatment including chemotherapy and a masectomy.
She was told ahe had the all clear early 2019 after scans (which i believe were only of her chest area) confirmed no more cancer. However in October 2019 she complained of lower back pain and it took several months until finally January time it was confirmed the cancer had spread to her bones and her spine, then another full check confirmed it had spread to liver and a bit to her lungs.
Sadlt ahe passed away in April which i feel is partly sue to not being allowed into an NHS hostpital due to covid.
My issue is that wht wasn't a biopsy done at the start ? Why wasn't a follow up conducted after this first issue, and why was she given the all clear on the basis of a chest scan only for the cancer to appear nowhere near her chest?
We are considering seeking legal assistance, but i am interested in your thoughts.</t>
        </is>
      </c>
      <c r="D10681" t="n">
        <v>1</v>
      </c>
      <c r="E10681" t="n">
        <v>3</v>
      </c>
      <c r="F10681">
        <f>HYPERLINK("https://www.reddit.com/r/cancer/comments/i5b8o0/misdiagnosis_do_you_think_my_mother_may_have_been/")</f>
        <v/>
      </c>
      <c r="G10681" t="inlineStr">
        <is>
          <t>2020-08-07 03:12:33</t>
        </is>
      </c>
      <c r="H10681" t="inlineStr"/>
    </row>
    <row r="10682">
      <c r="A10682" t="inlineStr">
        <is>
          <t>i5cjh5</t>
        </is>
      </c>
      <c r="B10682" t="inlineStr">
        <is>
          <t>How Can I Boost My Immune System To Fight Cancer</t>
        </is>
      </c>
      <c r="C10682" t="inlineStr">
        <is>
          <t>**From years of research and professional practice, it has come to notice that the best way to fight cancer is to strengthen our own body immune system and to allow the body to do its job. A strong immune system is not only necessary for a healthy disease-free life but is also very essential for patients undergoing chemo or radiotherapy.** 
https://preview.redd.it/ec1y9uxqlkf51.png?width=1024&amp;amp;format=png&amp;amp;auto=webp&amp;amp;s=704000868e6dc973ea797e9b4244a20788b8f943</t>
        </is>
      </c>
      <c r="D10682" t="n">
        <v>1</v>
      </c>
      <c r="E10682" t="n">
        <v>2</v>
      </c>
      <c r="F10682">
        <f>HYPERLINK("https://www.reddit.com/r/cancer/comments/i5cjh5/how_can_i_boost_my_immune_system_to_fight_cancer/")</f>
        <v/>
      </c>
      <c r="G10682" t="inlineStr">
        <is>
          <t>2020-08-07 05:02:41</t>
        </is>
      </c>
      <c r="H10682" t="inlineStr"/>
    </row>
    <row r="10683">
      <c r="A10683" t="inlineStr">
        <is>
          <t>i5dteb</t>
        </is>
      </c>
      <c r="B10683" t="inlineStr">
        <is>
          <t>Colonoscopy looked 'normal' despite sky high calprotectin levels. Could it still be bowel cancer?</t>
        </is>
      </c>
      <c r="C10683" t="inlineStr">
        <is>
          <t>Hi all, I've been having symptoms such as left side abdominal pain, some blood and mucus in stool, bloating, and some constipation &amp;amp; diarrhea. Six weeks ago my stool sample results came back showing 'incredibly high' calprotectin (inflammation) in the bowel, and the faecal occult blood test was positive. Very high calprotectin indicates either IBD, cancer, or an infection. It seemed unlikely to me to be the latter as I've had symptoms on and off for quite a while.
However, I had a colonoscopy done today and the doctor said it all looked completely normal and there was nothing worrying. They've taken 3 biopsies to check if there's anything they're missing, but they're not concerned.
So my questions are - is it possible to have bowel cancer that can't be seen on a colonoscopy? If it is, is it likely the cancer would be at an early stage? 
My GP was sure it was IBD but the fact that that's not showing on the colonoscopy, despite my stool sample results, is concerning me a little.
Thank you, I'd really appreciate any insight!</t>
        </is>
      </c>
      <c r="D10683" t="n">
        <v>1</v>
      </c>
      <c r="E10683" t="n">
        <v>0</v>
      </c>
      <c r="F10683">
        <f>HYPERLINK("https://www.reddit.com/r/cancer/comments/i5dteb/colonoscopy_looked_normal_despite_sky_high/")</f>
        <v/>
      </c>
      <c r="G10683" t="inlineStr">
        <is>
          <t>2020-08-07 06:29:46</t>
        </is>
      </c>
      <c r="H10683" t="inlineStr"/>
    </row>
    <row r="10684">
      <c r="A10684" t="inlineStr">
        <is>
          <t>i5ehby</t>
        </is>
      </c>
      <c r="B10684" t="inlineStr">
        <is>
          <t>Lost My Dad Earlier This Year</t>
        </is>
      </c>
      <c r="C10684" t="inlineStr">
        <is>
          <t>Not a very interesting title I know. I lost my father to liver cancer Jan 7 2020 at 0930 in the morning, I dont think I'll ever forget that date. It's odd that this is really the first time I've discussed how I feel since he passed. I'm writing this today because I saw a video of a man who passed from pancreatic cancer and he was having a conversation with his son, only thing was, his son wasn't there. It brought back vivid memories and details of the weeks, days before my dad's own passing. Everything from the hallucinations to the way he would bring his shaky hands to touch his face like he was trying to clear his head. He would cry out in pain everytime they moved him to clean him, that sound would break me everytime I heard it and all I could do was hold his hand to let him know I was there. Having conversations with doctors about whether or not I should move him to hospice care. Doctors telling that its time to place him under a DNR because each procedure had increased likely hood that he wouldn't survive:( I wish I had brought him home sooner, when he could still talk coherently and look around just so he could've had more time with my mom at home together. I got him home 12 hrs before he passed and he was in so much pain!! Even with the meds we gave him he was hurting so bad :( I wish I got him home sooner! I just miss him so much. Since he's been gone, my mom and sisters have been looking to me to lead the family, so I've been trying to stay strong for that and it scares me, I feel like I haven't really let the weight of his loss hit me and when it does its going to be bad. I wish I could talk to him, and I wish I had taken more pictures of him and I together. That video really hit me hard. I dont know if this is the right place for me because I don't have cancer, my father did, but if you took the time to read this, thank you for letting me vent a little.</t>
        </is>
      </c>
      <c r="D10684" t="n">
        <v>1</v>
      </c>
      <c r="E10684" t="n">
        <v>6</v>
      </c>
      <c r="F10684">
        <f>HYPERLINK("https://www.reddit.com/r/cancer/comments/i5ehby/lost_my_dad_earlier_this_year/")</f>
        <v/>
      </c>
      <c r="G10684" t="inlineStr">
        <is>
          <t>2020-08-07 07:09:52</t>
        </is>
      </c>
      <c r="H10684" t="inlineStr"/>
    </row>
    <row r="10685">
      <c r="A10685" t="inlineStr">
        <is>
          <t>i5fhlj</t>
        </is>
      </c>
      <c r="B10685" t="inlineStr">
        <is>
          <t>I start chemo again on monday</t>
        </is>
      </c>
      <c r="C10685" t="inlineStr">
        <is>
          <t>I haven't really posted my story on here yet, I look at this sub basically everyday as I don't talk to people in real life about it. I'm a 23 year old man and ive been stripped of everything in the last 6 months. I went into hospital on February 13th with a swollen ball and wondering why I can't keep any food down. I was apparently in way worse condition then I thought even though I was still doing a very physical job up until a few days before that. It was in the emergency room when I first heard my diagnosis. I don't really remember that moment. The whole night doesn't seem real just like a bad nightmare. My memory gets very hazy from here, it took a few days before I got a room they didn't know if I was even going to make it the night. After I got a room it wasn't long before I was down in the ICU and that's where I spent the next 43 days losing an extra 30lbs getting tubes in me from everywhere. Down my throat into my stomach a chest tube. I had a fungal infection from round 1 of chemo and was in a coma for weeks where I had the most vivid unforgettable dreams. I ended up getting a trach after the tubes in my throat came out. Not being able to talk or move any part of your body after you've woken up in a strange room with tubes all attached to you is a truly terrifying time. After 56 days in hospital when I was finally free and good enough to walk with a walker. 
Learning to walk again wasn't that bad considering I'm young, round 4 of chemo was done as an out patient I'm lucky and didn't really have side effects from the last 3 rounds. Then 2 rounds of radiation for my brain. After that I had a seizure and now Im not allowed to drive anymore. 
Sorry for the ramble and bad writing but this is what I really needed to get off my chest, I had a phone call with a different dr in a different city this morning. I had to go over all this and more with her and she told me this is a stabilizing round of chemo before a high dose round and then a stem cell transplant with my own stem cells. I'm not afraid of that I've dealt with so much already. I'm scared of it not working which of course is always in the back of my mind but I try not to think about it. But she said this was the last thing they can do before they'll start treating it as a palliative case. I'm only 23....</t>
        </is>
      </c>
      <c r="D10685" t="n">
        <v>1</v>
      </c>
      <c r="E10685" t="n">
        <v>7</v>
      </c>
      <c r="F10685">
        <f>HYPERLINK("https://www.reddit.com/r/cancer/comments/i5fhlj/i_start_chemo_again_on_monday/")</f>
        <v/>
      </c>
      <c r="G10685" t="inlineStr">
        <is>
          <t>2020-08-07 08:07:43</t>
        </is>
      </c>
      <c r="H10685" t="inlineStr">
        <is>
          <t xml:space="preserve">Patient </t>
        </is>
      </c>
    </row>
    <row r="10686">
      <c r="A10686" t="inlineStr">
        <is>
          <t>i5hq3x</t>
        </is>
      </c>
      <c r="B10686" t="inlineStr">
        <is>
          <t>Treatment is delayed, hypophysitis?</t>
        </is>
      </c>
      <c r="C10686" t="inlineStr">
        <is>
          <t>Our onocologist is delaying the keytruda infusion today because he has concerns that my dad (NSCLC) might have hypophysitis. Has anyone had experience with this? What is it exactly? I wasn't able to get a clear answer, I am worried because of that. WE are going in for more lab works in the next few days to determine if we can continue keytruda.</t>
        </is>
      </c>
      <c r="D10686" t="n">
        <v>1</v>
      </c>
      <c r="E10686" t="n">
        <v>2</v>
      </c>
      <c r="F10686">
        <f>HYPERLINK("https://www.reddit.com/r/cancer/comments/i5hq3x/treatment_is_delayed_hypophysitis/")</f>
        <v/>
      </c>
      <c r="G10686" t="inlineStr">
        <is>
          <t>2020-08-07 10:11:15</t>
        </is>
      </c>
      <c r="H10686" t="inlineStr"/>
    </row>
    <row r="10687">
      <c r="A10687" t="inlineStr">
        <is>
          <t>i5ifdo</t>
        </is>
      </c>
      <c r="B10687" t="inlineStr">
        <is>
          <t>Pathology results are in: rare, weird, and probably not malignant!</t>
        </is>
      </c>
      <c r="C10687" t="inlineStr">
        <is>
          <t>Last week I had a radical orchiectomy to deal with a tiny tiny mass in my right testicle.  Today the results came back as Leydig Cell Tumor, an exceptionally rare form of testicular cancer that has sent my hormones into disarray.  Doc says that most likely, because it was super small and we caught it early, it was benign and didn't spread so I'm likely cancer free entirely.
I just wanted to share some happy news I've been driving myself crazy waiting for.</t>
        </is>
      </c>
      <c r="D10687" t="n">
        <v>1</v>
      </c>
      <c r="E10687" t="n">
        <v>5</v>
      </c>
      <c r="F10687">
        <f>HYPERLINK("https://www.reddit.com/r/cancer/comments/i5ifdo/pathology_results_are_in_rare_weird_and_probably/")</f>
        <v/>
      </c>
      <c r="G10687" t="inlineStr">
        <is>
          <t>2020-08-07 10:48:32</t>
        </is>
      </c>
      <c r="H10687" t="inlineStr">
        <is>
          <t xml:space="preserve">Patient </t>
        </is>
      </c>
    </row>
    <row r="10688">
      <c r="A10688" t="inlineStr">
        <is>
          <t>i5j2jz</t>
        </is>
      </c>
      <c r="B10688" t="inlineStr">
        <is>
          <t>I have my first appointment with an oncologist on Tuesday.</t>
        </is>
      </c>
      <c r="C10688" t="inlineStr">
        <is>
          <t>I had blood work done for a routine checkup last week and they found that I have about half the WBC count that I should have. I haven’t talked to anyone yet but that plus a feeling of discomfort that I occasionally feel in the side of my neck leads me to suspect Lymphoma. I’m no expert though. Anyway, I don’t want to tell anyone I know anything until after the appointment which is why I’m posting this here. Just wanted to let someone know I guess.</t>
        </is>
      </c>
      <c r="D10688" t="n">
        <v>1</v>
      </c>
      <c r="E10688" t="n">
        <v>3</v>
      </c>
      <c r="F10688">
        <f>HYPERLINK("https://www.reddit.com/r/cancer/comments/i5j2jz/i_have_my_first_appointment_with_an_oncologist_on/")</f>
        <v/>
      </c>
      <c r="G10688" t="inlineStr">
        <is>
          <t>2020-08-07 11:22:39</t>
        </is>
      </c>
      <c r="H10688" t="inlineStr"/>
    </row>
    <row r="10689">
      <c r="A10689" t="inlineStr">
        <is>
          <t>i5k0vm</t>
        </is>
      </c>
      <c r="B10689" t="inlineStr">
        <is>
          <t>I'm in remission!!!! Fuck yeah!!!</t>
        </is>
      </c>
      <c r="C10689" t="inlineStr">
        <is>
          <t>Just been to my review and the tumour has shrunk significantly! Almost completely gone at this stage. Had some futher treatment and will have another follow up in 8 weeks. Fuck yesssssssss</t>
        </is>
      </c>
      <c r="D10689" t="n">
        <v>1</v>
      </c>
      <c r="E10689" t="n">
        <v>0</v>
      </c>
      <c r="F10689">
        <f>HYPERLINK("https://www.reddit.com/r/cancer/comments/i5k0vm/im_in_remission_fuck_yeah/")</f>
        <v/>
      </c>
      <c r="G10689" t="inlineStr">
        <is>
          <t>2020-08-07 12:12:23</t>
        </is>
      </c>
      <c r="H10689" t="inlineStr"/>
    </row>
    <row r="10690">
      <c r="A10690" t="inlineStr">
        <is>
          <t>i5kjij</t>
        </is>
      </c>
      <c r="B10690" t="inlineStr">
        <is>
          <t>C- Diff</t>
        </is>
      </c>
      <c r="C10690" t="inlineStr">
        <is>
          <t>Hello everyone, 
I had a double mastectomy 6 weeks ago to prevent cancer and i was healing quick doing great.  2 weeks ago i started getting very strong unexplained stomach pains, had no appetite, and couldn't keep food in.  Turns out i have C- Diff (just found today). I've lost 11 pounds and I'm worried about passing it to others.  Had anyone gotten this? (You can get it after taking antibiotics) if you've gotten it how did you keep people in your house from getting it? I don't feel like i have much help and i 3 kids,  I'm feeling pretty down today.</t>
        </is>
      </c>
      <c r="D10690" t="n">
        <v>1</v>
      </c>
      <c r="E10690" t="n">
        <v>7</v>
      </c>
      <c r="F10690">
        <f>HYPERLINK("https://www.reddit.com/r/cancer/comments/i5kjij/c_diff/")</f>
        <v/>
      </c>
      <c r="G10690" t="inlineStr">
        <is>
          <t>2020-08-07 12:40:07</t>
        </is>
      </c>
      <c r="H10690" t="inlineStr"/>
    </row>
    <row r="10691">
      <c r="A10691" t="inlineStr">
        <is>
          <t>i5kye0</t>
        </is>
      </c>
      <c r="B10691" t="inlineStr">
        <is>
          <t>How to deal with chemo</t>
        </is>
      </c>
      <c r="C10691" t="inlineStr">
        <is>
          <t>So, today I found out I have cancer. Hodgkins Lymphoma, apparently one of the easier cancers, but cancer nonetheless. In about 3 weeks I will start chemo, and I can say, I am quite scared *mostly because of my anxiety*. I just wanted to ask what to expect during it and what made you guys feel better through it. 
And also, BIG HUGS TO EVERYONE WHO IS EXPERIENCING IT IN ANY WAY, SHAPE OR FORM, whether you're going through it, or have a loved one that's going through it.</t>
        </is>
      </c>
      <c r="D10691" t="n">
        <v>1</v>
      </c>
      <c r="E10691" t="n">
        <v>71</v>
      </c>
      <c r="F10691">
        <f>HYPERLINK("https://www.reddit.com/r/cancer/comments/i5kye0/how_to_deal_with_chemo/")</f>
        <v/>
      </c>
      <c r="G10691" t="inlineStr">
        <is>
          <t>2020-08-07 13:02:40</t>
        </is>
      </c>
      <c r="H10691" t="inlineStr"/>
    </row>
    <row r="10692">
      <c r="A10692" t="inlineStr">
        <is>
          <t>i5l7o0</t>
        </is>
      </c>
      <c r="B10692" t="inlineStr">
        <is>
          <t>Home from surgery after 5 days in the hospital</t>
        </is>
      </c>
      <c r="C10692" t="inlineStr">
        <is>
          <t>Welp, I got it over with. Monday was the first day towards recovery I hope..
I had a laparotomy for my giant mass on my right ovary. Surgery seemed to go as well as it possibly could have.
It took a few hours after I woke up for anyone to tell me how it went. My oncologist completely reconstructed and saved my right ovary. She told me that I have endometriosis and it was a giant mass of flesh that had been growing for who only knows how long. Everyone on the team believes it is benign and the fluid inside of it resembled what they see in benign cysts. I'm praying so hard they are right but I should find out this upcoming week.
Surgery was the most brutal and excruciating thing I could ever imagine and I did not handle it well. Pain meds were not working and I kept throwing up. Until today I couldn't even get out of bed. Nothing I read and none of the stories I saw could have prepared me for this.
My entire abdomen is also filled with gas because I wasn't passing any and I also haven't had a bowel movement, which I know is adding to 80% of my discomfort right now. 
If anyone has any tips for getting yourself to have a bowel movement asap, please let me know. I have another mass that I need out of me now. Also how much walking did you do once you got home? My nurse wanted me walking all day and doing normal activities but one can only walk in an apartment for so long and my norm activites are sitting while working.</t>
        </is>
      </c>
      <c r="D10692" t="n">
        <v>1</v>
      </c>
      <c r="E10692" t="n">
        <v>8</v>
      </c>
      <c r="F10692">
        <f>HYPERLINK("https://www.reddit.com/r/cancer/comments/i5l7o0/home_from_surgery_after_5_days_in_the_hospital/")</f>
        <v/>
      </c>
      <c r="G10692" t="inlineStr">
        <is>
          <t>2020-08-07 13:16:20</t>
        </is>
      </c>
      <c r="H10692" t="inlineStr"/>
    </row>
    <row r="10693">
      <c r="A10693" t="inlineStr">
        <is>
          <t>i5m1de</t>
        </is>
      </c>
      <c r="B10693" t="inlineStr">
        <is>
          <t>Today I found out my dad has cancer.</t>
        </is>
      </c>
      <c r="C10693" t="inlineStr">
        <is>
          <t>I am so lost. He has had a sore throat since March. It would’ve been caught so much earlier if it wasn’t for COVID.
Does anyone know of any UK support groups or subreddits? I could really use it rn.</t>
        </is>
      </c>
      <c r="D10693" t="n">
        <v>1</v>
      </c>
      <c r="E10693" t="n">
        <v>9</v>
      </c>
      <c r="F10693">
        <f>HYPERLINK("https://www.reddit.com/r/cancer/comments/i5m1de/today_i_found_out_my_dad_has_cancer/")</f>
        <v/>
      </c>
      <c r="G10693" t="inlineStr">
        <is>
          <t>2020-08-07 14:01:04</t>
        </is>
      </c>
      <c r="H10693" t="inlineStr"/>
    </row>
    <row r="10694">
      <c r="A10694" t="inlineStr">
        <is>
          <t>i5muyk</t>
        </is>
      </c>
      <c r="B10694" t="inlineStr">
        <is>
          <t>Does anyone else get their chemo shipped to their home then have to bring it with them to the cancer center?</t>
        </is>
      </c>
      <c r="C10694" t="inlineStr">
        <is>
          <t>My Leucovorin and Irinotecan are both prepared by the hospital pharmacy and are sent up to the infusion room while I'm there, however my 5-FU is prepared by an infusion pharmacy and shipped to my home a few days prior to my infusion appointment. Does it work like this for anyone else?</t>
        </is>
      </c>
      <c r="D10694" t="n">
        <v>1</v>
      </c>
      <c r="E10694" t="n">
        <v>13</v>
      </c>
      <c r="F10694">
        <f>HYPERLINK("https://www.reddit.com/r/cancer/comments/i5muyk/does_anyone_else_get_their_chemo_shipped_to_their/")</f>
        <v/>
      </c>
      <c r="G10694" t="inlineStr">
        <is>
          <t>2020-08-07 14:46:57</t>
        </is>
      </c>
      <c r="H10694" t="inlineStr"/>
    </row>
    <row r="10695">
      <c r="A10695" t="inlineStr">
        <is>
          <t>i5n66t</t>
        </is>
      </c>
      <c r="B10695" t="inlineStr">
        <is>
          <t>Feeling relieved...but its bittersweet</t>
        </is>
      </c>
      <c r="C10695" t="inlineStr">
        <is>
          <t>(Ocular melanoma) I have just finished my review and I am finally in remission!!! Huge shrinkage and this is fantastic news as if it didn't begin responding, I could of firstly lost my sight and secondly lost my eye. 
I am extremely relieved and feel very lucky.
However, I was informed today for the first time since diagnosis that even once this tumour is cleared, I will still need to be monitored for at least 10 years as there will be a chance of it either recurring again in my eye or possibly my liver. I feel so stupid to of thought that once this has cleared, its then officially over. I had no idea this could come back again and in different places too. 
I feel so happy that the cancer is clearing but now feel very anxious of it coming back. I have anxiety to begin with and I'm not sure how to train myself to stop thinking this way. Of course, I'm very tired, in a bit of shock and pain from treatment and things may be more sensibly approached with a good sleep. 
I just feel 1. Ungrateful for letting this dampen the positive outcome and 2. Concerned for my future help.
Any advice on how to deal with this would be appreciated too.</t>
        </is>
      </c>
      <c r="D10695" t="n">
        <v>1</v>
      </c>
      <c r="E10695" t="n">
        <v>4</v>
      </c>
      <c r="F10695">
        <f>HYPERLINK("https://www.reddit.com/r/cancer/comments/i5n66t/feeling_relievedbut_its_bittersweet/")</f>
        <v/>
      </c>
      <c r="G10695" t="inlineStr">
        <is>
          <t>2020-08-07 15:04:20</t>
        </is>
      </c>
      <c r="H10695" t="inlineStr"/>
    </row>
    <row r="10696">
      <c r="A10696" t="inlineStr">
        <is>
          <t>i5o5v6</t>
        </is>
      </c>
      <c r="B10696" t="inlineStr">
        <is>
          <t>2020 fucking sucks.</t>
        </is>
      </c>
      <c r="C10696" t="inlineStr">
        <is>
          <t>found out today my mom most likely has lung cancer, and due to her declining cognition/ability to do things on her own, they suspect it has spread to her brain. she’s 70 years old. i haven’t seen her since november because i moved 18 hours away and COVID. she’s already survived breast cancer twice. why couldn’t it be me? i’m fucking sad. i’m fucking angry.</t>
        </is>
      </c>
      <c r="D10696" t="n">
        <v>1</v>
      </c>
      <c r="E10696" t="n">
        <v>9</v>
      </c>
      <c r="F10696">
        <f>HYPERLINK("https://www.reddit.com/r/cancer/comments/i5o5v6/2020_fucking_sucks/")</f>
        <v/>
      </c>
      <c r="G10696" t="inlineStr">
        <is>
          <t>2020-08-07 16:01:53</t>
        </is>
      </c>
      <c r="H10696" t="inlineStr"/>
    </row>
    <row r="10697">
      <c r="A10697" t="inlineStr">
        <is>
          <t>i5qmck</t>
        </is>
      </c>
      <c r="B10697" t="inlineStr">
        <is>
          <t>What’s next?</t>
        </is>
      </c>
      <c r="C10697" t="inlineStr">
        <is>
          <t>I posted yesterday about my dad passing and it’s just starting to settle. I want to help more people. Maybe I will get more involved in this subreddit. I want to move on and start a new chapter in life. Its just something that I can never talk to him again. What did you do after your loved one passed from cancer?</t>
        </is>
      </c>
      <c r="D10697" t="n">
        <v>1</v>
      </c>
      <c r="E10697" t="n">
        <v>4</v>
      </c>
      <c r="F10697">
        <f>HYPERLINK("https://www.reddit.com/r/cancer/comments/i5qmck/whats_next/")</f>
        <v/>
      </c>
      <c r="G10697" t="inlineStr">
        <is>
          <t>2020-08-07 18:39:02</t>
        </is>
      </c>
      <c r="H10697" t="inlineStr"/>
    </row>
    <row r="10698">
      <c r="A10698" t="inlineStr">
        <is>
          <t>i5qvc5</t>
        </is>
      </c>
      <c r="B10698" t="inlineStr">
        <is>
          <t>Can I still exercise during chemo-radio therapy?</t>
        </is>
      </c>
      <c r="C10698" t="inlineStr">
        <is>
          <t>I’m starting my treatment next week and just wonder if it is advisable to continue my outrigger paddling routines.  I am thinking that being on the water will make me feel better, but wondering if rest is better.  Thanks in advance.</t>
        </is>
      </c>
      <c r="D10698" t="n">
        <v>1</v>
      </c>
      <c r="E10698" t="n">
        <v>17</v>
      </c>
      <c r="F10698">
        <f>HYPERLINK("https://www.reddit.com/r/cancer/comments/i5qvc5/can_i_still_exercise_during_chemoradio_therapy/")</f>
        <v/>
      </c>
      <c r="G10698" t="inlineStr">
        <is>
          <t>2020-08-07 18:57:04</t>
        </is>
      </c>
      <c r="H10698" t="inlineStr">
        <is>
          <t xml:space="preserve">Patient </t>
        </is>
      </c>
    </row>
    <row r="10699">
      <c r="A10699" t="inlineStr">
        <is>
          <t>i5sv3m</t>
        </is>
      </c>
      <c r="B10699" t="inlineStr">
        <is>
          <t>Dad with cancer, grandpa passed from COVID, and general stress (vent)</t>
        </is>
      </c>
      <c r="C10699" t="inlineStr">
        <is>
          <t>So, just a few days ago I found out my Dad was diagnosed with cancer and he's quite a stubborn guy and refused to checked out for months. Finally convinced him and its probably too late to do something as the cancer has already spread so much and its not looking good. 
Less than a month ago my grandfather passed away from covid as well, and my dog of 13 years passed away a month before that. 
I'm only like 18 years old so I'm also trying to take classes, manage internships, help my family and im dealing with all this hardship and I feel like I'm going to explode. 
Covid doesn't help either as classes are so poorly managed and I'm also trying to make a career and do internships and it's extremely stressful. All things considered, I feel like I'm dealing with it decently, but I just don't want to lose my dad. I feel like I didn't get to spend as much time with him as I wanted and I'm just sad he's most likely going to miss out and all the things I want him to be in my life.
He had a stroke five years ago and his life and health has been generally miserable. I mostly feel bad for him more than anything else. He just lost his dad less than a month ago and now his health is rapidly declining. 
I don't really know what the point of posting this was for exactly other than to vent. I have friends, but I just am unsure to open up about this stuff bc I don't want to burden anyone or act like I'm seeking attention. Anyway, congrats if you actually read all this lol. I really appreciate it and I really just wanted to get this off my chest</t>
        </is>
      </c>
      <c r="D10699" t="n">
        <v>1</v>
      </c>
      <c r="E10699" t="n">
        <v>7</v>
      </c>
      <c r="F10699">
        <f>HYPERLINK("https://www.reddit.com/r/cancer/comments/i5sv3m/dad_with_cancer_grandpa_passed_from_covid_and/")</f>
        <v/>
      </c>
      <c r="G10699" t="inlineStr">
        <is>
          <t>2020-08-07 21:20:24</t>
        </is>
      </c>
      <c r="H10699" t="inlineStr"/>
    </row>
    <row r="10700">
      <c r="A10700" t="inlineStr">
        <is>
          <t>i5syyv</t>
        </is>
      </c>
      <c r="B10700" t="inlineStr">
        <is>
          <t>Chemo brain</t>
        </is>
      </c>
      <c r="C10700" t="inlineStr">
        <is>
          <t>Hello , ( sorry in advance for my English )
My mother has been dignosed with brain and lungs cancer about two years ago , she did radiotherapy for the brain tumor and chemo for her lungs , two months ago the doctors said that her lungs cancer is back and she has to do 6 more chemo sessions , she already haf her 1st last week but the problem is that 3 weeks ago during midnight she started having these episodes where she forgets people , can't talk properly , and she stays up too late ,  ( the doctors never told us about the chemo brain side effect ) the doctors told me that this is a side effect of radiotherapy and they made sure that her brain tumor isnt back ( they did IRM to be sure ) 
My question is there a way to help her ? I mean is there anything I can do to lessen these episodes or at least have them occure less frequently ? And is she gonna live her life like this ? Do patients who suffer frop chemo brain get better or it keeps getting worse ?</t>
        </is>
      </c>
      <c r="D10700" t="n">
        <v>1</v>
      </c>
      <c r="E10700" t="n">
        <v>9</v>
      </c>
      <c r="F10700">
        <f>HYPERLINK("https://www.reddit.com/r/cancer/comments/i5syyv/chemo_brain/")</f>
        <v/>
      </c>
      <c r="G10700" t="inlineStr">
        <is>
          <t>2020-08-07 21:28:36</t>
        </is>
      </c>
      <c r="H10700" t="inlineStr"/>
    </row>
    <row r="10701">
      <c r="A10701" t="inlineStr">
        <is>
          <t>i5u57n</t>
        </is>
      </c>
      <c r="B10701" t="inlineStr">
        <is>
          <t>How to cherish the last days of a dying cancer parent.</t>
        </is>
      </c>
      <c r="C10701" t="inlineStr">
        <is>
          <t>Hello, I (14f) never thought I would be in a situation like this but here I am. One year ago my dad was diagnosed with Stage 4 Metastatic Colon Cancer that spread to his liver and lungs. 
The past year has been extremely hard for my family (mom, dad, myself, and 4 younger sisters)  as the doctors told us the cancer was “uncurable” and that he had about 2 years left. He continued chemotherapy to give him a longer life but last week we found out he had about 2 months left. However, based on his current condition we do not think he will make it to the end of the month. 
His behavior the past week has been like something out of a dream. He is constantly confused, mumbles, and talks nonsense. It is almost like he had a personality transplant. He went from being a good, funny, supportive dad to almost being a stranger. He often talks about the past, or just random things. It is very hard to continue a conversation with him because of this. Before all of this my dad I were very close but the past week has been very difficult to adjust to. 
The point of making this post is to ask advice on
what to do to cherish these last few weeks, and advice on how to handle his new behaviors (if anyone has experienced this before)
Thanks in advance. Cancer is a hard thing for anyone to experience and any advice is highly appreciated. &amp;lt;3</t>
        </is>
      </c>
      <c r="D10701" t="n">
        <v>1</v>
      </c>
      <c r="E10701" t="n">
        <v>21</v>
      </c>
      <c r="F10701">
        <f>HYPERLINK("https://www.reddit.com/r/cancer/comments/i5u57n/how_to_cherish_the_last_days_of_a_dying_cancer/")</f>
        <v/>
      </c>
      <c r="G10701" t="inlineStr">
        <is>
          <t>2020-08-07 23:04:01</t>
        </is>
      </c>
      <c r="H10701" t="inlineStr"/>
    </row>
    <row r="10702">
      <c r="A10702" t="inlineStr">
        <is>
          <t>i5ukya</t>
        </is>
      </c>
      <c r="B10702" t="inlineStr">
        <is>
          <t>Not Sure Where to Start</t>
        </is>
      </c>
      <c r="C10702" t="inlineStr">
        <is>
          <t>Not exactly the place on Reddit I (27/f) wanted to join, but here we are. My BF (29/m) was just diagnosed with cancer. Although they're not sure what type it is (abdominal region). I'm trying to find anything I can on how to help him in a supportive role. Already looked at filing for domestic partnership, then adding him as a dependent on health insurance. Any tips for keeping a predominantly nutritious diet for him, financial resources, other insurance options, something I'm missing?
Sending the biggest hugs to all who are on here.</t>
        </is>
      </c>
      <c r="D10702" t="n">
        <v>1</v>
      </c>
      <c r="E10702" t="n">
        <v>7</v>
      </c>
      <c r="F10702">
        <f>HYPERLINK("https://www.reddit.com/r/cancer/comments/i5ukya/not_sure_where_to_start/")</f>
        <v/>
      </c>
      <c r="G10702" t="inlineStr">
        <is>
          <t>2020-08-07 23:40:57</t>
        </is>
      </c>
      <c r="H10702" t="inlineStr"/>
    </row>
    <row r="10703">
      <c r="A10703" t="inlineStr">
        <is>
          <t>i5vobx</t>
        </is>
      </c>
      <c r="B10703" t="inlineStr">
        <is>
          <t>Lymphoma Swelling</t>
        </is>
      </c>
      <c r="C10703" t="inlineStr">
        <is>
          <t>My grandma has lymphatic cancer and is super swollen everywhere. She is on a lot of pain meds and has only done one round of chemo. 
What are some creams/lotions/serums anything that I can buy for her to help the swelling go down or ease her pain? 
Any recommendations welcome mainly things that she can for sure that won’t affect her chemotherapy please help!</t>
        </is>
      </c>
      <c r="D10703" t="n">
        <v>1</v>
      </c>
      <c r="E10703" t="n">
        <v>3</v>
      </c>
      <c r="F10703">
        <f>HYPERLINK("https://www.reddit.com/r/cancer/comments/i5vobx/lymphoma_swelling/")</f>
        <v/>
      </c>
      <c r="G10703" t="inlineStr">
        <is>
          <t>2020-08-08 01:20:46</t>
        </is>
      </c>
      <c r="H10703" t="inlineStr"/>
    </row>
    <row r="10704">
      <c r="A10704" t="inlineStr">
        <is>
          <t>i5vr3a</t>
        </is>
      </c>
      <c r="B10704" t="inlineStr">
        <is>
          <t>I just need to say it. I lost my(28) little brother(25) to Ewing sarcoma in May. I messed up really bad and we had a big fight years ago and spent a couple years with no communication.</t>
        </is>
      </c>
      <c r="C10704" t="inlineStr">
        <is>
          <t>I read the survival statistics and knew it was bad but he’s such a physically and mentally strong person, I let myself believe it was okay. When he beat it the first time, I wasn’t surprised. When it came back the second time, I was scared and moved back home and begged him for forgiveness. We got to spend exactly 23 days before he passed. Those few weeks were the most intimate we’d ever been. He’s always been sarcastic and dark humored and laughed though the first time but the second time, he became very humble and almost delicate. 
He was hospitalized during covid and no visits were allowed so I slept in my car in the parking lot and eventually the nurses pulled some strings and I was allowed to be with him. One of those nights he gently asked me to hold him and read him bible verses. He’s not for that kind of intimacy and it was shocking but it just spoke to how scared he was. Every night I struggle to sleep because I think of that moment. It was the only time I’ve been a good big brother. I just really miss him and can’t beat myself up for how much time I wasted from him. I can’t seem to tell anyone I love how much this hurts.</t>
        </is>
      </c>
      <c r="D10704" t="n">
        <v>1</v>
      </c>
      <c r="E10704" t="n">
        <v>9</v>
      </c>
      <c r="F10704">
        <f>HYPERLINK("https://www.reddit.com/r/cancer/comments/i5vr3a/i_just_need_to_say_it_i_lost_my28_little/")</f>
        <v/>
      </c>
      <c r="G10704" t="inlineStr">
        <is>
          <t>2020-08-08 01:27:59</t>
        </is>
      </c>
      <c r="H10704" t="inlineStr"/>
    </row>
    <row r="10705">
      <c r="A10705" t="inlineStr">
        <is>
          <t>i5xpls</t>
        </is>
      </c>
      <c r="B10705" t="inlineStr">
        <is>
          <t>taking a break from treatment</t>
        </is>
      </c>
      <c r="C10705" t="inlineStr">
        <is>
          <t>hi all
it seems like my dad (stage 4 Nsclc) will be taking a break from keytruda due to some side effects with his kidney. is it common for patient to take breaks from chemo or immunotherapy for either side effect control or for the sake of taking a break?
the last scans showed his lc shrunk 70% so the oncologist told me that a few cycles off won't harm anything.</t>
        </is>
      </c>
      <c r="D10705" t="n">
        <v>1</v>
      </c>
      <c r="E10705" t="n">
        <v>4</v>
      </c>
      <c r="F10705">
        <f>HYPERLINK("https://www.reddit.com/r/cancer/comments/i5xpls/taking_a_break_from_treatment/")</f>
        <v/>
      </c>
      <c r="G10705" t="inlineStr">
        <is>
          <t>2020-08-08 04:38:43</t>
        </is>
      </c>
      <c r="H10705" t="inlineStr"/>
    </row>
    <row r="10706">
      <c r="A10706" t="inlineStr">
        <is>
          <t>i5xzvt</t>
        </is>
      </c>
      <c r="B10706" t="inlineStr">
        <is>
          <t>I’m about to lose my mum to cancer and I’m looking for some advice.</t>
        </is>
      </c>
      <c r="C10706" t="inlineStr">
        <is>
          <t>I’m scared. I don’t want to lose her, it feels incredibly unbearable.
I’m looking for advice, words of comfort or just any kind of support. Everything is so terrible. What happens after? How will I go on?</t>
        </is>
      </c>
      <c r="D10706" t="n">
        <v>1</v>
      </c>
      <c r="E10706" t="n">
        <v>14</v>
      </c>
      <c r="F10706">
        <f>HYPERLINK("https://www.reddit.com/r/cancer/comments/i5xzvt/im_about_to_lose_my_mum_to_cancer_and_im_looking/")</f>
        <v/>
      </c>
      <c r="G10706" t="inlineStr">
        <is>
          <t>2020-08-08 05:03:27</t>
        </is>
      </c>
      <c r="H10706" t="inlineStr"/>
    </row>
    <row r="10707">
      <c r="A10707" t="inlineStr">
        <is>
          <t>i5zy1c</t>
        </is>
      </c>
      <c r="B10707" t="inlineStr">
        <is>
          <t>Dad (69M) was just diagnosed with Stage IV Esophageal Cancer. I'm still a little shell-shocked.</t>
        </is>
      </c>
      <c r="C10707" t="inlineStr">
        <is>
          <t>My dad was just diagnosed with Stage IV Esophageal cancer and I'm just so lost.
He had been having trouble swallowing and some pretty bad reflux for months. Between Covid19 and insurance and doctors ignoring him we did not catch it until a week ago when we drove him to the ER because he had not been able to even drink water without throwing it back up. They did an endoscopy, drained fluids from his abdomen and did a biopsy and our worse fears came true: Stage IV Esophageal cancer. I did a quick Googling of treatment and prognosis and I just stopped very quickly. I just could not process it.
It was also very hard because there are some very strict rules with patient visitation, so we could only speak to dad through the phone/facetime but he was always too tired or in pain to say anything. They placed a stent in his esophagus so that he can try to get nutrition and fluids by mouth.
A very kind and compassionate nurse put me (his daughter, F28) on the essential visitors list. Only I can come see him, not even my mom. This would not be so bad if it wasn't for the fact that we don't know how long he's gonna be here in the hospital, or if he's ever gonna come back home. We hope he does, but it's hard when it seems he can't have nutrition by mouth.
The oncologist said it is not curable but with chemo treatment he has a chance to live 20/22 months. I'm a biologist who has worked in research (including cancer research) for years but I can't bring myself to look anything up, I just kind of blindly follow what the doctor tells me cause it just makes sense. Several people have been like but why don't you take him to MD Anderson or why don't you get a second opinion from X oncologist and I'm just like ???. He's already in a world class hospital (Methodist Houston in the Med Center) getting incredible treatment, I don't think that's necessary. 
People keep saying to hope and that miracles happen and look at so and so hey had stage IV whatever and they're in remission now! And I just can't take it. It's not realistic, I just want to enjoy the time I have left with my dad with unrealistic expectations. Honestly the only thing I want is for chemo to reduce his tumor size and his pain enough for him to be able to have some quality of life.
My dad has always been a chubby guy, rosy cheeks and a silly sense of humor. He loved eating and I feel so guilty because when all of this started I just told him that he's probably having chest pain and reflux because he's overweight and sedentary and he needed to go on walks and eat healthier. I feel so guilty guys, maybe if I had paid more attention we could have caught it earlier, maybe he would not have had to suffer so much pain, maybe his chances for remission would be higher.
I'm currently sitting next to a person I barely recognize as my dad. He's in so much pain and nausea (and medicine) he barely has any lucid moments and it feels like even though he is alive, my actual dad died a week ago. Does it get better? Will he actually have a chance to be "himself" again?
My family has been through some really though times these past few years. My dad lost his job, almost lost the house and had to significantly change his life in order to financially survive. Things were finally looking up for him before all of this. He got to be an engineer again, be a consultant go to conferences, etc. I'm so very happy that he got some of that but I am so mad that it all just feels like it was ripped away from us.
My dad is in so much pain and there is so much fear and confusion in his eyes. Just like a week ago he was still sending me stupid memes and fox news stupidity through whatsapp which I would mostly ignore. Now, what I would give for him to be conscious enough for him to repeat one of his jokes for the millionth time.
The worst thing is that I just don't know what to do. I'm trying to spend as much time with him as I can but I feel like a piece of me also dies each time. My jovial, wickedly intelligent dad is now reduced to tubes and painkillers. I'm trying to be his strength and for him not to be afraid and to feel loved and cared for but I don't know where I am going to get the strength.
Work has been super understanding of the whole situation and told me not to worry and that they will be flexible with my schedule (I work in a 24/7 medical lab) and a part of me wants to just quit it all and spend all the time with my dad and the other side is trying to be realistic and realizing that we're going to a) need the money for sure and b) I still have a life that I need to make sure that continues for my own sake.
I don't even know where to put the part where my husband has been an amazing support, but he worries about me and about the impact (emotional and financial) that this is all gonna be. I also feel guilty because it's like I'm out of bandwidth and it all seems to be filled with processing all this and trying to take care of dad whilst not crumbling down. 
Sorry for the incredibly long post. I feel like this is the first time I've tried to organize my thoughts since this all started.
Any advise on how to navigate all of this?</t>
        </is>
      </c>
      <c r="D10707" t="n">
        <v>1</v>
      </c>
      <c r="E10707" t="n">
        <v>10</v>
      </c>
      <c r="F10707">
        <f>HYPERLINK("https://www.reddit.com/r/cancer/comments/i5zy1c/dad_69m_was_just_diagnosed_with_stage_iv/")</f>
        <v/>
      </c>
      <c r="G10707" t="inlineStr">
        <is>
          <t>2020-08-08 07:23:39</t>
        </is>
      </c>
      <c r="H10707" t="inlineStr"/>
    </row>
    <row r="10708">
      <c r="A10708" t="inlineStr">
        <is>
          <t>i600mo</t>
        </is>
      </c>
      <c r="B10708" t="inlineStr">
        <is>
          <t>How to handle dying parent</t>
        </is>
      </c>
      <c r="C10708" t="inlineStr">
        <is>
          <t>Hi everyone,
This isn't the place I  (25F) wanted to be, but it's something I feel like I need help with. My dad (63M) has been dealing with head and neck cancer for the past five years (diagnosed in Dec 2015) that spread to his liver and lymph nodes, and he's been through every treatment possible (chemotherapy, radiation, a combination of chemo and radiation, immunotherapy, and more recently, clinical trials). However, nothing worked and made the tumors bigger and his oncologist decided to stop all treatments because of that and my dad was given six months to live (meaning the cancer is now terminal). I just wanted to know what to do and how to handle it as this is an entirely new situation for everyone. I also do have a nonverbal severely autistic brother (24M) so that makes the situation tougher.</t>
        </is>
      </c>
      <c r="D10708" t="n">
        <v>1</v>
      </c>
      <c r="E10708" t="n">
        <v>3</v>
      </c>
      <c r="F10708">
        <f>HYPERLINK("https://www.reddit.com/r/cancer/comments/i600mo/how_to_handle_dying_parent/")</f>
        <v/>
      </c>
      <c r="G10708" t="inlineStr">
        <is>
          <t>2020-08-08 07:28:43</t>
        </is>
      </c>
      <c r="H10708" t="inlineStr"/>
    </row>
    <row r="10709">
      <c r="A10709" t="inlineStr">
        <is>
          <t>i60s5f</t>
        </is>
      </c>
      <c r="B10709" t="inlineStr">
        <is>
          <t>My mum has cancer for the 2nd time and I’m having all kinds of worries</t>
        </is>
      </c>
      <c r="C10709" t="inlineStr">
        <is>
          <t>I found out yesterday. And I have my study abroad coming up, and also we have a family walk planned for tomorrow morning, without my mum because she’s in hospital and has been for a few days. 
But whenever I think about going out, my travelling, or even just doing fun things with my family I get this overwhelming sense of guilt because I am dreading my mum feeling left out because she can’t do these things right now, she’s in a hospital bed. 
And I’m feeling so guilty and sad and I feel bad for her and it’s hurting my heart so much. I don’t want her to feel isolated or left out or bad that she can’t do these things with us right now. Is this stupid? It’s just all I can think about right now. I don’t want her to feel like she’s forgotten about.</t>
        </is>
      </c>
      <c r="D10709" t="n">
        <v>1</v>
      </c>
      <c r="E10709" t="n">
        <v>4</v>
      </c>
      <c r="F10709">
        <f>HYPERLINK("https://www.reddit.com/r/cancer/comments/i60s5f/my_mum_has_cancer_for_the_2nd_time_and_im_having/")</f>
        <v/>
      </c>
      <c r="G10709" t="inlineStr">
        <is>
          <t>2020-08-08 08:17:23</t>
        </is>
      </c>
      <c r="H10709" t="inlineStr"/>
    </row>
    <row r="10710">
      <c r="A10710" t="inlineStr">
        <is>
          <t>i60x8i</t>
        </is>
      </c>
      <c r="B10710" t="inlineStr">
        <is>
          <t>Dad is sick, my parents won't talk about it</t>
        </is>
      </c>
      <c r="C10710" t="inlineStr">
        <is>
          <t>My dad has, for as long as I can remember, been a "sickly" person. He's had heart surgery, has high blood pressure, has old sports injuries that means chronic pain etc. Earlier this summer he also tested positive for covid-19 but he seems to have recovered rather well.
Earlier this summer mom took him to the emergency room because he had a high fever and a bad stomachache. The doctor found changes on both kidneys and dad was sent home to await a CT-scan appointment. A week later he was back in the emergency room because the fever never went away. This time he was admitted to the hospital. Not 24 hours later he tested positive for covid-19 and was sent home again, with the CT-scan having to be postponed. He recently got the results and they confirmed that it's tumors of at least 2 different kinds as well as something that they haven't been able to identify yet. 
My parents won't talk to me and my siblings about it. For instance, when the CT results came in they waited for days before telling us. I talked to them the same day that they got them but they didn't even mention it until the week after. A couple of years ago dad almost died from an acute infection and we didn't find out until the day after he was brought, unconscious, to the hospital. In addition to that I often have to take the role of messenger between my siblings and my parents because as reluctant as they are to give me information, they are even more reluctant to tell my (older) siblings. A lot of the time this means my siblings taking their anger and frustration out on me when I deliver the news. Meanwhile, mom seems oblivious to the fact that dad is scared and she makes wildly inappropriate jokes about the situation.
I honestly don't know what I expect in response to this post.</t>
        </is>
      </c>
      <c r="D10710" t="n">
        <v>1</v>
      </c>
      <c r="E10710" t="n">
        <v>3</v>
      </c>
      <c r="F10710">
        <f>HYPERLINK("https://www.reddit.com/r/cancer/comments/i60x8i/dad_is_sick_my_parents_wont_talk_about_it/")</f>
        <v/>
      </c>
      <c r="G10710" t="inlineStr">
        <is>
          <t>2020-08-08 08:26:02</t>
        </is>
      </c>
      <c r="H10710" t="inlineStr"/>
    </row>
    <row r="10711">
      <c r="A10711" t="inlineStr">
        <is>
          <t>i60z7c</t>
        </is>
      </c>
      <c r="B10711" t="inlineStr">
        <is>
          <t>Painful Death</t>
        </is>
      </c>
      <c r="C10711" t="inlineStr">
        <is>
          <t>My grandmother (Age 75) was diagnosed with Adenocarcinoma today. The doctors say that her condition is terminal and the body is too weak to undergo any kind of treatment. With every passing day her condition will deteriorate. The cancerous tumour will start taking toll on her other organs as well with every passing day (the major tumour is located in the pylorus part of her stomach as well as may small ones at multiple locations throughout her intestines). 
The doctors don't recommend any treatment, and just let her live the rest of her life. 
But i can't stand the fact that her last days will be really painfull for her. She is already on a minimum of her diet as there is fluid accumulation in her pelvic region. How do i deal with this? I can't see her die in pain. Can i give her painless last days?</t>
        </is>
      </c>
      <c r="D10711" t="n">
        <v>1</v>
      </c>
      <c r="E10711" t="n">
        <v>9</v>
      </c>
      <c r="F10711">
        <f>HYPERLINK("https://www.reddit.com/r/cancer/comments/i60z7c/painful_death/")</f>
        <v/>
      </c>
      <c r="G10711" t="inlineStr">
        <is>
          <t>2020-08-08 08:29:24</t>
        </is>
      </c>
      <c r="H10711" t="inlineStr"/>
    </row>
    <row r="10712">
      <c r="A10712" t="inlineStr">
        <is>
          <t>i618rk</t>
        </is>
      </c>
      <c r="B10712" t="inlineStr">
        <is>
          <t>So this may sound crazy...</t>
        </is>
      </c>
      <c r="C10712" t="inlineStr">
        <is>
          <t>But I’m going to a dermatologist after dealing with what I believe to be basal cell carcinoma on my right bicep... after over 2 years and multiple different medications. This is a much more severe case due to me being 21... turning 22 on my appointment date which is this month :( 
     ... and having this for so long has definitely worsened my condition, to the point of losing old friends, going off social media, not being able to establish any sort of relationship due to fear of them thinking it’s an STI or something. I barely go outside, even in my own yard now, and I just feel empty knowing the day I should be happy for in both ways could turn south really fast if things don’t go smoothly due to “it” being in a dangerous spot. I just don’t know how to feel with everything going on in the world and my life, 2020 has EASILY been the worst year I’ve seen so far. 
TLDR; stressed over potential bcc, male, 21 (turning 22 on appt date with derm. ) Multiple meds taken, delayed appts, 2 years+ and finally getting closure.  Wish me luck because it could be worse than I expect :(</t>
        </is>
      </c>
      <c r="D10712" t="n">
        <v>1</v>
      </c>
      <c r="E10712" t="n">
        <v>2</v>
      </c>
      <c r="F10712">
        <f>HYPERLINK("https://www.reddit.com/r/cancer/comments/i618rk/so_this_may_sound_crazy/")</f>
        <v/>
      </c>
      <c r="G10712" t="inlineStr">
        <is>
          <t>2020-08-08 08:45:35</t>
        </is>
      </c>
      <c r="H10712" t="inlineStr"/>
    </row>
    <row r="10713">
      <c r="A10713" t="inlineStr">
        <is>
          <t>i62k3o</t>
        </is>
      </c>
      <c r="B10713" t="inlineStr">
        <is>
          <t>Could it be colorectal cancer ?</t>
        </is>
      </c>
      <c r="C10713" t="inlineStr">
        <is>
          <t>Please help ! I am 25 years old and I did some test like 4 days ago for submitting a health certificate because i’m applying for a university abroad and one of them was FIT ( fecal immunochemical test ) turned out to be positive , i didnt show them to the doctor yet and im afraid that it could be cancer , you think the doctor will do more tests when he sees the result?</t>
        </is>
      </c>
      <c r="D10713" t="n">
        <v>1</v>
      </c>
      <c r="E10713" t="n">
        <v>5</v>
      </c>
      <c r="F10713">
        <f>HYPERLINK("https://www.reddit.com/r/cancer/comments/i62k3o/could_it_be_colorectal_cancer/")</f>
        <v/>
      </c>
      <c r="G10713" t="inlineStr">
        <is>
          <t>2020-08-08 10:02:18</t>
        </is>
      </c>
      <c r="H10713" t="inlineStr"/>
    </row>
    <row r="10714">
      <c r="A10714" t="inlineStr">
        <is>
          <t>i63ur7</t>
        </is>
      </c>
      <c r="B10714" t="inlineStr">
        <is>
          <t>I found out yesterday my dad was diagnosed with stage 4 lung cancer</t>
        </is>
      </c>
      <c r="C10714" t="inlineStr">
        <is>
          <t>I'm completely numb and lost. I found out my dad was diagnosed with stage IV metastatic lung cancer yesterday. He always smoked cigars throughout my life (27m) despite my passive attempts to get him to quit. I always feared this outcome in the back of my mind and now that nightmare is finally here. He was such a great and supportive dad throughout my life and he doesn't deserve to suffer through any of this. He's currently in the hospital (with fluid in his lungs) and I just want to be there for him right now. I live in the next state over now, but I plan to live with them at home for the immediate future (fortunately working from home so not much of an issue). I'm not only worried for my dad, but my mom as well as my brothers.
I apologize if this post isn't appropriate here, but I'm just so lost. I've been researching cancer centers all day and I'm trying to be strong for my family. I just don't have anywhere else to let it off my chest.</t>
        </is>
      </c>
      <c r="D10714" t="n">
        <v>1</v>
      </c>
      <c r="E10714" t="n">
        <v>27</v>
      </c>
      <c r="F10714">
        <f>HYPERLINK("https://www.reddit.com/r/cancer/comments/i63ur7/i_found_out_yesterday_my_dad_was_diagnosed_with/")</f>
        <v/>
      </c>
      <c r="G10714" t="inlineStr">
        <is>
          <t>2020-08-08 11:14:46</t>
        </is>
      </c>
      <c r="H10714" t="inlineStr"/>
    </row>
    <row r="10715">
      <c r="A10715" t="inlineStr">
        <is>
          <t>i64ce0</t>
        </is>
      </c>
      <c r="B10715" t="inlineStr">
        <is>
          <t>Thinking about shaving my head</t>
        </is>
      </c>
      <c r="C10715" t="inlineStr">
        <is>
          <t>While I am not a chemotherapy patient I am doing immunotherapy which has caused my thyroid to, for lack of a better term, go FUCKING INSANE! The past few weeks or so I've noticed a larger than normal amount of hair loss that has only gotten worse. It's to the point now where I'm brushing out enormous hairballs multiple times a day. 
 I've been taking thyroid medication for several months now and I have an appointment with my endocrinologist Monday so I'm going to get his opinion but if he thinks this won't get better anytime soon well then screw it I'm gonna shave it all off!
So my friends if I do end up shaving my head does anyone have any recommendations where I could get some comfortable head wraps? I'm not confident enough to go "naked" even with it being summer.  Thank you all and keep up the good fight!!</t>
        </is>
      </c>
      <c r="D10715" t="n">
        <v>1</v>
      </c>
      <c r="E10715" t="n">
        <v>11</v>
      </c>
      <c r="F10715">
        <f>HYPERLINK("https://www.reddit.com/r/cancer/comments/i64ce0/thinking_about_shaving_my_head/")</f>
        <v/>
      </c>
      <c r="G10715" t="inlineStr">
        <is>
          <t>2020-08-08 11:42:08</t>
        </is>
      </c>
      <c r="H10715" t="inlineStr">
        <is>
          <t xml:space="preserve">Patient </t>
        </is>
      </c>
    </row>
    <row r="10716">
      <c r="A10716" t="inlineStr">
        <is>
          <t>i65hmv</t>
        </is>
      </c>
      <c r="B10716" t="inlineStr">
        <is>
          <t>How can I get my brother to visit our dying mother?</t>
        </is>
      </c>
      <c r="C10716" t="inlineStr">
        <is>
          <t>My mother entered her last days of living, after she has fought breast cancer for 9 years now, but she’s at the end of her tether now.
My brother (m/21, I’m f/19) hasn’t visited her during the last 5 weeks (she’s in a hospice right now), things haven’t been easy between them since our mother started to become sick. In my opinion he couldn’t deal with our mother becoming sick (but if you have other ideas, please tell me), she always did everything she could for us no matter how weak she was but they stopped talking a few years ago, they are deeply at odds with each other.
Time is limited now and I know it would be easier for my mother to let go if she could hear his voice or feel his presence one last time. In her delirium she often asks if he’s going to visit her.
I know it’s hard to be with a dying person and some people just can’t stand it but maybe someone has been in a similar situation and can give some advice.
In a few hours or maybe days it’s just going to be too late. Maybe my brother will one day get past the situation and will start to feel guilt or something like that for turning his back on her when she so desperately needed him. But it’s too late then. I love both and I’m so lost right now.</t>
        </is>
      </c>
      <c r="D10716" t="n">
        <v>1</v>
      </c>
      <c r="E10716" t="n">
        <v>0</v>
      </c>
      <c r="F10716">
        <f>HYPERLINK("https://www.reddit.com/r/cancer/comments/i65hmv/how_can_i_get_my_brother_to_visit_our_dying_mother/")</f>
        <v/>
      </c>
      <c r="G10716" t="inlineStr">
        <is>
          <t>2020-08-08 12:47:47</t>
        </is>
      </c>
      <c r="H10716" t="inlineStr"/>
    </row>
    <row r="10717">
      <c r="A10717" t="inlineStr">
        <is>
          <t>i65ij3</t>
        </is>
      </c>
      <c r="B10717" t="inlineStr">
        <is>
          <t>How can I get my brother to visit our dying mother?</t>
        </is>
      </c>
      <c r="C10717" t="inlineStr">
        <is>
          <t>My mother has entered her last days of living, after she has fought breast cancer for 9 years now, but she’s at the end of her tether now.
My brother (m/21, I’m f/19) hasn’t visited her during the last 5 weeks (she’s in a hospice right now), things haven’t been easy between them since our mother started to become sick. In my opinion he couldn’t deal with our mother becoming sick (but if you have other ideas, please tell me), she always did everything she could for us no matter how weak she was but they stopped talking a few years ago, they are deeply at odds with each other.
Time is limited now and I know it would be easier for my mother to let go if she could hear his voice or feel his presence one last time. In her delirium she often asks if he’s going to visit her.
I know it’s hard to be with a dying person and some people just can’t stand it but maybe someone has been in a similar situation and can give some advice.
In a few hours or maybe days it’s just going to be too late. Maybe my brother will one day get past the situation and will start to feel guilt or something like that for turning his back on her when she so desperately needed him. But it’s too late then. I love both and I’m so lost right now.</t>
        </is>
      </c>
      <c r="D10717" t="n">
        <v>1</v>
      </c>
      <c r="E10717" t="n">
        <v>6</v>
      </c>
      <c r="F10717">
        <f>HYPERLINK("https://www.reddit.com/r/cancer/comments/i65ij3/how_can_i_get_my_brother_to_visit_our_dying_mother/")</f>
        <v/>
      </c>
      <c r="G10717" t="inlineStr">
        <is>
          <t>2020-08-08 12:49:15</t>
        </is>
      </c>
      <c r="H10717" t="inlineStr"/>
    </row>
    <row r="10718">
      <c r="A10718" t="inlineStr">
        <is>
          <t>i660aj</t>
        </is>
      </c>
      <c r="B10718" t="inlineStr">
        <is>
          <t>App to help get strength back?</t>
        </is>
      </c>
      <c r="C10718" t="inlineStr">
        <is>
          <t>Hey all! I finished treatment (35 radiations and 4 rounds chemo) about four months ago. I am feeling like I need to do something structured to get my strength back. Anyone have any luck with apps or other aids?</t>
        </is>
      </c>
      <c r="D10718" t="n">
        <v>1</v>
      </c>
      <c r="E10718" t="n">
        <v>5</v>
      </c>
      <c r="F10718">
        <f>HYPERLINK("https://www.reddit.com/r/cancer/comments/i660aj/app_to_help_get_strength_back/")</f>
        <v/>
      </c>
      <c r="G10718" t="inlineStr">
        <is>
          <t>2020-08-08 13:18:18</t>
        </is>
      </c>
      <c r="H10718" t="inlineStr"/>
    </row>
    <row r="10719">
      <c r="A10719" t="inlineStr">
        <is>
          <t>i69lbh</t>
        </is>
      </c>
      <c r="B10719" t="inlineStr">
        <is>
          <t>Help me figure out the process of finding out if I have cancer</t>
        </is>
      </c>
      <c r="C10719" t="inlineStr">
        <is>
          <t>99% sure I have testicular cancer, and have had it for 3+ years
Everything online says to get it taken care of early on for best and cheapest financial results, obvious reason
I’m thinking about quitting my job next week since they won’t let me take a day off to go to the doctor until February which is when my vacation and sick days come into effect... I’m thinking about quitting anyway so it wouldn’t be a big deal in reality
My only hesitation is that if it turns out I do have it, I won’t have health insurance and that’s when finances start to worry me... yes it’s cancer and I’d be catching it early so there’s that, but I’m getting worried that the financial burden might *drastically* increase if that’s the case, especially if it’s already progressed (not sure if 3 years is enough time, but considering I’ve had benign tumors and other concerns before it worries me).
**HOWEVER**
What I’m here to find out is what are the medical steps to take in going about this medically ?
• I’ve already seen my family doctor and what a fucking nightmare— she made it so awkward that I felt insecure to see anyone or even think that I might have it... she took about 30 seconds to look for it and suggested that I’m clear. Like lady, just before you started I said I feel it.. her issue felt like SHE was the one uncomfortable as if a guy who’s in his 20’s doesn’t already feel awkward asking for his family doctor to reaffirm a situation like that. But instead of being professional about it like an adult, her way of going about this was to immediately start talking about the best years of her life for about 15 minutes like I needed some inspiration (admittedly I was depressed at that time). That appointment was scarring for me more than it was for her imo, if you can’t handle that kind of stuff don’t be a doctor... sorry for the rant, I’ve never told anyone about that.
• So yes, I’ve seen a family doctor. 
• would I just go straight to an oncologist, or would it be a urologist ?
• Is there a chance I can keep everything under $20k w/o insurance assuming it’s just an:
&amp;gt;&amp;gt;&amp;gt;1: initial appointment &amp;amp; diagnosis
&amp;gt;&amp;gt;&amp;gt;2: surgery
Or is there more...?
Please help, this is such an insecure topic to talk about with my parents, friends and loved ones.</t>
        </is>
      </c>
      <c r="D10719" t="n">
        <v>1</v>
      </c>
      <c r="E10719" t="n">
        <v>16</v>
      </c>
      <c r="F10719">
        <f>HYPERLINK("https://www.reddit.com/r/cancer/comments/i69lbh/help_me_figure_out_the_process_of_finding_out_if/")</f>
        <v/>
      </c>
      <c r="G10719" t="inlineStr">
        <is>
          <t>2020-08-08 16:57:32</t>
        </is>
      </c>
      <c r="H10719" t="inlineStr"/>
    </row>
    <row r="10720">
      <c r="A10720" t="inlineStr">
        <is>
          <t>i6bt6h</t>
        </is>
      </c>
      <c r="B10720" t="inlineStr">
        <is>
          <t>Not yet!</t>
        </is>
      </c>
      <c r="C10720" t="inlineStr">
        <is>
          <t>Hi, I got good news yesterday, (it's taking a while to process) I had a course of radiation that ended April 20, End of June no chemo, tumours are shrinking! Yay, CT scan and bone scans were done the 20th July.  No chemo! they are still getting smaller. Dr doesn't want to see me till the end of Oct.
Take that  stage 4!</t>
        </is>
      </c>
      <c r="D10720" t="n">
        <v>1</v>
      </c>
      <c r="E10720" t="n">
        <v>16</v>
      </c>
      <c r="F10720">
        <f>HYPERLINK("https://www.reddit.com/r/cancer/comments/i6bt6h/not_yet/")</f>
        <v/>
      </c>
      <c r="G10720" t="inlineStr">
        <is>
          <t>2020-08-08 19:30:55</t>
        </is>
      </c>
      <c r="H10720" t="inlineStr"/>
    </row>
    <row r="10721">
      <c r="A10721" t="inlineStr">
        <is>
          <t>i6ifxi</t>
        </is>
      </c>
      <c r="B10721" t="inlineStr">
        <is>
          <t>Is there a maximum time recommended for starting chemo after RT in brain cancer?</t>
        </is>
      </c>
      <c r="C10721" t="inlineStr">
        <is>
          <t>My grandpa has been diagnosed with a G3/G4 (awaiting test results) glioma and has undergone his surgery in early April. Then, in May he started RT where they said they were going to do sequential rather than concurrect radiochemotherapy so as not to have his blood counts drop and so in early July grandpa finished his RT. Now, we're bumping from one hospital to the other trying to establish which kind of chemo he's gonna get (PCV vs. temolozomide) and since it's around a month after his RT, I began to wonder if we should be worried that it's still ongoing?
His doc at the hospital where he was undergoing RT told us there's no need to rush with starting the chemo but I was unable to find any specific info online on what the typical and recommended delays are between finishing your RT and starting chemo if you're going the sequential route. Is there even such a thing? Is there some maximum time recommended for starting chemo after RT?</t>
        </is>
      </c>
      <c r="D10721" t="n">
        <v>1</v>
      </c>
      <c r="E10721" t="n">
        <v>0</v>
      </c>
      <c r="F10721">
        <f>HYPERLINK("https://www.reddit.com/r/cancer/comments/i6ifxi/is_there_a_maximum_time_recommended_for_starting/")</f>
        <v/>
      </c>
      <c r="G10721" t="inlineStr">
        <is>
          <t>2020-08-09 05:21:35</t>
        </is>
      </c>
      <c r="H10721" t="inlineStr"/>
    </row>
    <row r="10722">
      <c r="A10722" t="inlineStr">
        <is>
          <t>i6ilry</t>
        </is>
      </c>
      <c r="B10722" t="inlineStr">
        <is>
          <t>How did you find out?</t>
        </is>
      </c>
      <c r="C10722" t="inlineStr">
        <is>
          <t>How did you find out u had cancer? Did you start feeling sick and got diagnosed?</t>
        </is>
      </c>
      <c r="D10722" t="n">
        <v>1</v>
      </c>
      <c r="E10722" t="n">
        <v>12</v>
      </c>
      <c r="F10722">
        <f>HYPERLINK("https://www.reddit.com/r/cancer/comments/i6ilry/how_did_you_find_out/")</f>
        <v/>
      </c>
      <c r="G10722" t="inlineStr">
        <is>
          <t>2020-08-09 05:34:44</t>
        </is>
      </c>
      <c r="H10722" t="inlineStr"/>
    </row>
    <row r="10723">
      <c r="A10723" t="inlineStr">
        <is>
          <t>i6ix36</t>
        </is>
      </c>
      <c r="B10723" t="inlineStr">
        <is>
          <t>Many People with Advanced Cancer Suffer Needlessly Because What Science Calls "Cancer Illness" Is Nothing More Than Infections Caused by Common Pathogens (Flu and Cold viruses, Salmonella, E. coli, and Other Bacteria, etc.)</t>
        </is>
      </c>
      <c r="C10723" t="inlineStr">
        <is>
          <t>Unfortunately, modern science does not recognize these infections and doctors do not treat them. So people suffer needlessly.
This misconception and the missed diagnoses are explained at [ClarkCancerRelief.com](https://ClarkCancerRelief.com).</t>
        </is>
      </c>
      <c r="D10723" t="n">
        <v>1</v>
      </c>
      <c r="E10723" t="n">
        <v>0</v>
      </c>
      <c r="F10723">
        <f>HYPERLINK("https://www.reddit.com/r/cancer/comments/i6ix36/many_people_with_advanced_cancer_suffer/")</f>
        <v/>
      </c>
      <c r="G10723" t="inlineStr">
        <is>
          <t>2020-08-09 05:59:20</t>
        </is>
      </c>
      <c r="H10723" t="inlineStr"/>
    </row>
    <row r="10724">
      <c r="A10724" t="inlineStr">
        <is>
          <t>i6j2cq</t>
        </is>
      </c>
      <c r="B10724" t="inlineStr">
        <is>
          <t>What changes in your hair did you notice once you finished chemotherapy?</t>
        </is>
      </c>
      <c r="C10724" t="inlineStr">
        <is>
          <t>Hey everyone, I finished chemotherapy at the end of June so my hair has started to grow back. I was completely hairless from chemo so it's like a total reset haha. First of all, my hair is darker. Like it used to be light brown but now it's pure black. I heard that chemo can change your hair colour so I wasn't too surprised at that.
But what I am surprised with is I'm growing hair in places I never really grew hair before/growing hair faster than I used to. My facial hair grows back so much faster now. Before chemo, I would shave and it would take a few days for hair to re-appear. Now I shave and the very next morning I have rough stubble. I even am able to grow a mustache if I leave it for a few days. You could put it down to the fact that the hair is darker so you notice it more, but no the hair is definitely growing faster. You could never feel stubble a day after shaving before I had chemo.
Also, I'm growing more body hair in general. Really weird that chemo would do this to me. I'm not necessarily complaining just find it interesting!
Did any of you notice any changes in your hair that chemotherapy made? Or changes in your body in general</t>
        </is>
      </c>
      <c r="D10724" t="n">
        <v>1</v>
      </c>
      <c r="E10724" t="n">
        <v>18</v>
      </c>
      <c r="F10724">
        <f>HYPERLINK("https://www.reddit.com/r/cancer/comments/i6j2cq/what_changes_in_your_hair_did_you_notice_once_you/")</f>
        <v/>
      </c>
      <c r="G10724" t="inlineStr">
        <is>
          <t>2020-08-09 06:09:22</t>
        </is>
      </c>
      <c r="H10724" t="inlineStr"/>
    </row>
    <row r="10725">
      <c r="A10725" t="inlineStr">
        <is>
          <t>i6jon1</t>
        </is>
      </c>
      <c r="B10725" t="inlineStr">
        <is>
          <t>Chemo, COVID, and cancer have my dad trapped at home. I want to help distract him. Please help me come up with ideas.</t>
        </is>
      </c>
      <c r="C10725" t="inlineStr">
        <is>
          <t>My dad is 72 years old, and has multiple myeloma.  He's suffered with unmedicated depression pretty much my entire life.  Now, the combination of cancer, chemo, and a regional outbreak of COVID have made it impossible for him to leave the house.  This has massively exacerbated his depression, to the point that for the first time in his life he's not even changing out of his bedclothes.
I want to find something engaging for him that he can do while sitting, and I don't have a lot of ideas.  He used to play my NES a little when I was kid, so I was considering setting up a Raspberry Pi with [RetroPie](https://retropie.org.uk/), and loading it up with games he might like.  That's really all I can think of, and I don't think he'd use it.
If anyone has suggestions for activities he might enjoy, or other ways to cheer him up, please let me know.  Before he got sick, he used to do woodworking, hunted, fished, and rode a motorcycle.  He was a paramedic, and I think he defined a lot of who he was through that work.  He likes Sudoku and crossword puzzles.
A couple pre-responses to suggestions...
* It's really difficult for me to visit frequently, even though I'd like to.  I have a three year old and a borderline disabled wife, and we live five hours apart.  I can only make it out to see him about once a month.
* He won't get counseling or go on an antidepressant.  We've tried.
Thanks for any help you can provide.</t>
        </is>
      </c>
      <c r="D10725" t="n">
        <v>1</v>
      </c>
      <c r="E10725" t="n">
        <v>16</v>
      </c>
      <c r="F10725">
        <f>HYPERLINK("https://www.reddit.com/r/cancer/comments/i6jon1/chemo_covid_and_cancer_have_my_dad_trapped_at/")</f>
        <v/>
      </c>
      <c r="G10725" t="inlineStr">
        <is>
          <t>2020-08-09 06:53:27</t>
        </is>
      </c>
      <c r="H10725" t="inlineStr"/>
    </row>
    <row r="10726">
      <c r="A10726" t="inlineStr">
        <is>
          <t>i6jxla</t>
        </is>
      </c>
      <c r="B10726" t="inlineStr">
        <is>
          <t>Financial Assistance?</t>
        </is>
      </c>
      <c r="C10726" t="inlineStr">
        <is>
          <t>My dad was recently diagnosed with Stave IV Kidney Cancer and we are starting to face many financial challenges with him not being able to return to work, my mom having to stop working to care for my dad, and my brother and I are still in college. We are new to this. I wanted to seek some advice on how to find financial assistance throughout this process? 
Our insurance is getting cut soon with my dad not being able to go back to work. We are in the process of trying to apply for my dad to be covered by Medicaid - but that is only IF he gets approved. I am very stressed and worried for my family's financial situation. Any advice or tips would be greatly appreciated!</t>
        </is>
      </c>
      <c r="D10726" t="n">
        <v>1</v>
      </c>
      <c r="E10726" t="n">
        <v>10</v>
      </c>
      <c r="F10726">
        <f>HYPERLINK("https://www.reddit.com/r/cancer/comments/i6jxla/financial_assistance/")</f>
        <v/>
      </c>
      <c r="G10726" t="inlineStr">
        <is>
          <t>2020-08-09 07:09:40</t>
        </is>
      </c>
      <c r="H10726" t="inlineStr"/>
    </row>
    <row r="10727">
      <c r="A10727" t="inlineStr">
        <is>
          <t>i6otzz</t>
        </is>
      </c>
      <c r="B10727" t="inlineStr">
        <is>
          <t>Going to a new chemo ....</t>
        </is>
      </c>
      <c r="C10727" t="inlineStr">
        <is>
          <t>I was wondering if anyone has had the chemo Doxil. I’m starting it in a couple weeks.  I’ve had a lot of them but not this one. What were your side affects or experiences?</t>
        </is>
      </c>
      <c r="D10727" t="n">
        <v>1</v>
      </c>
      <c r="E10727" t="n">
        <v>4</v>
      </c>
      <c r="F10727">
        <f>HYPERLINK("https://www.reddit.com/r/cancer/comments/i6otzz/going_to_a_new_chemo/")</f>
        <v/>
      </c>
      <c r="G10727" t="inlineStr">
        <is>
          <t>2020-08-09 11:56:34</t>
        </is>
      </c>
      <c r="H10727" t="inlineStr"/>
    </row>
    <row r="10728">
      <c r="A10728" t="inlineStr">
        <is>
          <t>i6q93b</t>
        </is>
      </c>
      <c r="B10728" t="inlineStr">
        <is>
          <t>When eating gets tough</t>
        </is>
      </c>
      <c r="C10728" t="inlineStr">
        <is>
          <t>55/m, had surgery in mid-June to remove cancerous lymph nodes, a tumor from the back of my tongue and part tonsil. I very feel lucky to be here after a few months of very intense pain and misdiagnoses, and my surgeon says they "got it all."   
I'm now nearly halfway through a regimen of 33-weekday radiation treatments and weekly chemos (Cisplatin). My job, as my radiation doc says, is to avoid the feeding tube. I weighed 225-ish pounds before all this and now hover around 190. The chemo treatments kind of kick my butt for a couple of days after, but it's tolerable. Again, I feel lucky. I'll take that. Hell, I'll take anything this dishes up.   
The shots of radiation to the head have now taken my sense of taste and I just got over a case of oral thrush. All the things the docs warned me and informed me about have come true. They've been very thorough and up-front, and I know the next month will become more difficult. I'm wondering if anyone has a similar experience with trying to stay ahead of the eating and nutrition. It's become a task to eat. I have plenty of access to weed, so that spurs my appetite. But at this point it's all about taking bites of stuff and just forcing it down.   
Any tips or tricks? Wisdom? Advice? Thanks in advance.</t>
        </is>
      </c>
      <c r="D10728" t="n">
        <v>1</v>
      </c>
      <c r="E10728" t="n">
        <v>31</v>
      </c>
      <c r="F10728">
        <f>HYPERLINK("https://www.reddit.com/r/cancer/comments/i6q93b/when_eating_gets_tough/")</f>
        <v/>
      </c>
      <c r="G10728" t="inlineStr">
        <is>
          <t>2020-08-09 13:13:22</t>
        </is>
      </c>
      <c r="H10728" t="inlineStr"/>
    </row>
    <row r="10729">
      <c r="A10729" t="inlineStr">
        <is>
          <t>i6tldw</t>
        </is>
      </c>
      <c r="B10729" t="inlineStr">
        <is>
          <t>Im afraid to get cancer</t>
        </is>
      </c>
      <c r="C10729" t="inlineStr">
        <is>
          <t>So im m 18 and im afraid to get cancer even tho im healthy.</t>
        </is>
      </c>
      <c r="D10729" t="n">
        <v>1</v>
      </c>
      <c r="E10729" t="n">
        <v>5</v>
      </c>
      <c r="F10729">
        <f>HYPERLINK("https://www.reddit.com/r/cancer/comments/i6tldw/im_afraid_to_get_cancer/")</f>
        <v/>
      </c>
      <c r="G10729" t="inlineStr">
        <is>
          <t>2020-08-09 16:26:55</t>
        </is>
      </c>
      <c r="H10729" t="inlineStr"/>
    </row>
    <row r="10730">
      <c r="A10730" t="inlineStr">
        <is>
          <t>i6ukat</t>
        </is>
      </c>
      <c r="B10730" t="inlineStr">
        <is>
          <t>Body hair growing back black after cancer when it was originally blonde??</t>
        </is>
      </c>
      <c r="C10730" t="inlineStr">
        <is>
          <t>I'm female so well used to removing all my body hair anyway but jeeeeez I didn't realise what a blessing my naturally light body hair was, now it's all darkened since chemo. I finished chemo in November 2019, my hair started growing back around Jan.
Did this happen to anyone else and did it go back to normal?
My head hair is growing back the same colour, it's just my legs and...ahem...well you know. Other regions. You get me.</t>
        </is>
      </c>
      <c r="D10730" t="n">
        <v>1</v>
      </c>
      <c r="E10730" t="n">
        <v>9</v>
      </c>
      <c r="F10730">
        <f>HYPERLINK("https://www.reddit.com/r/cancer/comments/i6ukat/body_hair_growing_back_black_after_cancer_when_it/")</f>
        <v/>
      </c>
      <c r="G10730" t="inlineStr">
        <is>
          <t>2020-08-09 17:26:50</t>
        </is>
      </c>
      <c r="H10730" t="inlineStr"/>
    </row>
    <row r="10731">
      <c r="A10731" t="inlineStr">
        <is>
          <t>i6vjsw</t>
        </is>
      </c>
      <c r="B10731" t="inlineStr">
        <is>
          <t>Breast cancer second opinion questions</t>
        </is>
      </c>
      <c r="C10731" t="inlineStr">
        <is>
          <t>Share with y'all live Q&amp;amp;A with Breast Oncologist Dr. Danish at August 16th 4-5pm EDT, with topic "when second opinions add value" on zoom, he will answer any questions live 
[https://www.eventbrite.com/e/everything-about-second-opinions-tickets-116260942609](https://www.eventbrite.com/e/everything-about-second-opinions-tickets-116260942609)</t>
        </is>
      </c>
      <c r="D10731" t="n">
        <v>1</v>
      </c>
      <c r="E10731" t="n">
        <v>1</v>
      </c>
      <c r="F10731">
        <f>HYPERLINK("https://www.reddit.com/r/cancer/comments/i6vjsw/breast_cancer_second_opinion_questions/")</f>
        <v/>
      </c>
      <c r="G10731" t="inlineStr">
        <is>
          <t>2020-08-09 18:30:10</t>
        </is>
      </c>
      <c r="H10731" t="inlineStr"/>
    </row>
    <row r="10732">
      <c r="A10732" t="inlineStr">
        <is>
          <t>i6w6va</t>
        </is>
      </c>
      <c r="B10732" t="inlineStr">
        <is>
          <t>Small cell lung cancer.</t>
        </is>
      </c>
      <c r="C10732" t="inlineStr">
        <is>
          <t>My mom has small cell lung cancer. She went through chemo for a year and she was in a brief remission. Now it’s back and it’s spread to her hip and neck. She’s currently doing another round of chemo plus she just stated radiation. 
Does anyone have success stories with small cell lung cancer? Clinical trials that have worked? I feel so hopeless.</t>
        </is>
      </c>
      <c r="D10732" t="n">
        <v>1</v>
      </c>
      <c r="E10732" t="n">
        <v>4</v>
      </c>
      <c r="F10732">
        <f>HYPERLINK("https://www.reddit.com/r/cancer/comments/i6w6va/small_cell_lung_cancer/")</f>
        <v/>
      </c>
      <c r="G10732" t="inlineStr">
        <is>
          <t>2020-08-09 19:11:25</t>
        </is>
      </c>
      <c r="H10732" t="inlineStr"/>
    </row>
    <row r="10733">
      <c r="A10733" t="inlineStr">
        <is>
          <t>i6xouc</t>
        </is>
      </c>
      <c r="B10733" t="inlineStr">
        <is>
          <t>Experiences with doxorubicin</t>
        </is>
      </c>
      <c r="C10733" t="inlineStr">
        <is>
          <t>A family member has been diagnosed with uterine sarcoma and just went through her first round of cisplatin+doxorubicin a few days ago. Since then, she's had very few symptoms (the worst was night sweats) and hasn't thrown up once. I heard that doxo is supposed to be quite harsh (some people said the symptoms started before leaving the hospital), so I guess we were expecting a lot worse. Also some people said they had orange-ish urine and she has also not experienced that at all. That being said, it's only been 3 days and I'm sure the worst is yet to come. 
I'm sure that the experience differs by patient, but do the symptoms of doxo normally get worse as you do more rounds (or through the week)? In addition, irregardless of this post, if anyone has any experience with uterine sarcoma I would also love to hear your story</t>
        </is>
      </c>
      <c r="D10733" t="n">
        <v>1</v>
      </c>
      <c r="E10733" t="n">
        <v>12</v>
      </c>
      <c r="F10733">
        <f>HYPERLINK("https://www.reddit.com/r/cancer/comments/i6xouc/experiences_with_doxorubicin/")</f>
        <v/>
      </c>
      <c r="G10733" t="inlineStr">
        <is>
          <t>2020-08-09 20:52:15</t>
        </is>
      </c>
      <c r="H10733" t="inlineStr"/>
    </row>
    <row r="10734">
      <c r="A10734" t="inlineStr">
        <is>
          <t>i6zlh0</t>
        </is>
      </c>
      <c r="B10734" t="inlineStr">
        <is>
          <t>I feel immense guilt</t>
        </is>
      </c>
      <c r="C10734" t="inlineStr">
        <is>
          <t>Hi. 
I feel absolutely terrified and guilty. The last three months my partner and I moved in with my parents in order to take care of my dad who has stage 4 head and neck cancer. On top of that we have been looking after my mom who is recovering from a severe case of Covid-19. My mom is back up to speed and my dad is more than half way through his treatment. In the next few weeks me and my partner have to head back to our homes because we are full-time college students. This entire time we have been my fathers primary caregivers. I feel guilty about leaving but I am a year away from graduating and going to school is my income. I have bills and rent to pay in another city that’s is far from my parents home. 
I feel so defeated and exhausted from having to take care of my parents while still being a student in summer college courses these last few months. 
I know that I have done everything in my power to help but I still feel guilty for leaving.....
Thank you for reading my post in regard to my conflicted feelings.</t>
        </is>
      </c>
      <c r="D10734" t="n">
        <v>1</v>
      </c>
      <c r="E10734" t="n">
        <v>6</v>
      </c>
      <c r="F10734">
        <f>HYPERLINK("https://www.reddit.com/r/cancer/comments/i6zlh0/i_feel_immense_guilt/")</f>
        <v/>
      </c>
      <c r="G10734" t="inlineStr">
        <is>
          <t>2020-08-09 23:19:51</t>
        </is>
      </c>
      <c r="H10734" t="inlineStr"/>
    </row>
    <row r="10735">
      <c r="A10735" t="inlineStr">
        <is>
          <t>i71nfw</t>
        </is>
      </c>
      <c r="B10735" t="inlineStr">
        <is>
          <t>A poem to help me deal with loss</t>
        </is>
      </c>
      <c r="C10735" t="inlineStr">
        <is>
          <t>Hey folks, so I lost my dad to cancer 6 months ago, after a year long battle. I haven't really grieved at all - I feel like my brain can't really acknowledge that he isn't there anymore. Writing a poem about it has helped quite a lot, and I just felt the need to share it with random internet strangers, to make it a little more "real" - it's too personal to share with people who I know IRL. I'm sure it probably makes no sense at all to anyone else, but I just felt the need to put this out there. Thank you.   
 I sit in the dark  
The house breathes with the life within  
As my babies slumber  
I hold their realness  
A solid weight beating against my heart  
As once I lay against yours  
In the dark while you sang me to sleep  
The offkey husky word forgetting best singer  
Who showed me how to live and do and be  
And now I sit in the dark unseeing  
It all looks the same  
But the furniture has moved and when I try to turn on the light the switch is unfathomably gone  
And my mind scrabbles across the walls knowing it should be here  
But you aren't  
And now nothing is the same.  
I haven't cried  
How can I cry when nothing has changed  
I am still the me that you taught and held and loved  
And the idea that you aren't there is not real  
It is the shadow that flickers  
At the corners of my sight  
And I turn my head but it is gone  
No matter how hard I try  
I can not make myself believe that you are not there that you will not be here that all that was you is just not  
No it isn't true.  
And so I don't cry I just don't think  
And I laugh and live and love around the hole in my mind and life goes on.  
When you were dying I was the reallest I have ever been  
The seed of life inside me uncoiling as my daughter grew  
A daughter to me as I am a daughter to you  
I tell my babies "mama loves you for always"  
And deep down to the core of my being I know it  
If I die the love continues  
Always there  
The whisper of breath thickening as you sleep in my arms  
Tummies pressed together  
Smiling and laughing and knowing I will catch you.  
The arms of a parent are the strongest the safest  
Even when your body was fading away and I walked with you supporting those unsteady steps  
And you didn't need to say I love you because it was thick in the air between us  
The comfort of being with someone whose heart speaks the same language.  
I had to go home  
I had to leave  
For my baby  
Keeping her safe inside  
And for her brother - who idolised his grandpa  
Who at two years old followed in your footsteps and still he follows now  
To be like you caring and funny, hardworking, stubborn and strong  
So I wasn't there as you faced the end  
The medicines taking the pain and with it the person  
Mum and my brother and family there but not me  
As life ebbed away and a piece of my soul gone with  
The call from Mum  
"Dad's gone"  
A relief?  
The built up pressure of the last week and months and year  
Since I first told you "don't be bloody stupid go and see a doctor" after you told me "you wouldn't want to be a hypochondriac."  
To Mum: Go Home  
Go get sleep  
Your watch has ended.  
As I told her to leave you there  
Dad isn't there anymore it's not him he's gone  
She needed it  
And yet me, the one who silently apologises to grass after I walk on it in shoes,  
Who religiously pats the aeroplanes to thank them when getting on and off  
The scientist and atheist who has never told anyone how much I believe that all things have a being, an awareness, that is a part of them  
That me, inside was breaking slightly  
That I wasn't there to see out the night with you  
Be there as they took you away  
Tell you everything will be okay I am here  
I am here  
I am here for mum and my brother  
As we awkwardly threw your ashes into the ocean trying to miss our own feet  
I am here for me to work hard and be proud of myself  
I am here for my husband who despite growing up a world away is my own version of you  
I am here for my babies as the circle of life continues and it breaks my heart that they won't know you  
There should have been 20 more years  
For them to grow big riding on your shoulders  
But still they stand on your shoulders now as you stand beside me  
Maybe that is the flicker I see out the corner of my eye  
Maybe that is why it feels like you are  
Not gone  
For always  
I love you my Daddy</t>
        </is>
      </c>
      <c r="D10735" t="n">
        <v>1</v>
      </c>
      <c r="E10735" t="n">
        <v>7</v>
      </c>
      <c r="F10735">
        <f>HYPERLINK("https://www.reddit.com/r/cancer/comments/i71nfw/a_poem_to_help_me_deal_with_loss/")</f>
        <v/>
      </c>
      <c r="G10735" t="inlineStr">
        <is>
          <t>2020-08-10 02:27:15</t>
        </is>
      </c>
      <c r="H10735" t="inlineStr"/>
    </row>
    <row r="10736">
      <c r="A10736" t="inlineStr">
        <is>
          <t>i73adz</t>
        </is>
      </c>
      <c r="B10736" t="inlineStr">
        <is>
          <t>Normal anlysis</t>
        </is>
      </c>
      <c r="C10736" t="inlineStr">
        <is>
          <t>Can you have a normal anlysis "CBC..etc"
and colon cancer at the same time ?</t>
        </is>
      </c>
      <c r="D10736" t="n">
        <v>1</v>
      </c>
      <c r="E10736" t="n">
        <v>7</v>
      </c>
      <c r="F10736">
        <f>HYPERLINK("https://www.reddit.com/r/cancer/comments/i73adz/normal_anlysis/")</f>
        <v/>
      </c>
      <c r="G10736" t="inlineStr">
        <is>
          <t>2020-08-10 04:44:15</t>
        </is>
      </c>
      <c r="H10736" t="inlineStr"/>
    </row>
    <row r="10737">
      <c r="A10737" t="inlineStr">
        <is>
          <t>i74lo9</t>
        </is>
      </c>
      <c r="B10737" t="inlineStr">
        <is>
          <t>Starting everolimus and lenvatinib regime after immunotherapy; anybody want to discuss?</t>
        </is>
      </c>
      <c r="C10737" t="inlineStr">
        <is>
          <t>Renal cancer with mets in lungs and brain.  Thanks!</t>
        </is>
      </c>
      <c r="D10737" t="n">
        <v>1</v>
      </c>
      <c r="E10737" t="n">
        <v>7</v>
      </c>
      <c r="F10737">
        <f>HYPERLINK("https://www.reddit.com/r/cancer/comments/i74lo9/starting_everolimus_and_lenvatinib_regime_after/")</f>
        <v/>
      </c>
      <c r="G10737" t="inlineStr">
        <is>
          <t>2020-08-10 06:14:36</t>
        </is>
      </c>
      <c r="H10737" t="inlineStr"/>
    </row>
    <row r="10738">
      <c r="A10738" t="inlineStr">
        <is>
          <t>i77i2e</t>
        </is>
      </c>
      <c r="B10738" t="inlineStr">
        <is>
          <t>Psa levels</t>
        </is>
      </c>
      <c r="C10738" t="inlineStr">
        <is>
          <t>Hi I’m a 24 m with psa levels off 7.78, I dribble sometimes after urinating and sometimes take a few seconds to start is that prostate cancer</t>
        </is>
      </c>
      <c r="D10738" t="n">
        <v>1</v>
      </c>
      <c r="E10738" t="n">
        <v>3</v>
      </c>
      <c r="F10738">
        <f>HYPERLINK("https://www.reddit.com/r/cancer/comments/i77i2e/psa_levels/")</f>
        <v/>
      </c>
      <c r="G10738" t="inlineStr">
        <is>
          <t>2020-08-10 08:58:06</t>
        </is>
      </c>
      <c r="H10738" t="inlineStr"/>
    </row>
    <row r="10739">
      <c r="A10739" t="inlineStr">
        <is>
          <t>i77kdc</t>
        </is>
      </c>
      <c r="B10739" t="inlineStr">
        <is>
          <t>I made it a year but boy do I worry around scan time</t>
        </is>
      </c>
      <c r="C10739" t="inlineStr">
        <is>
          <t>Stress dreams are nothing new for me, but they have definitely gone through a transformation. 
I would typically dream about my teeth becoming loose or falling out of my mouth when stressed. Another common theme is that I’m running very late for something. 
This week I dreamt my cancer was back; I was having abdominal pain and I could feel the tumor on my liver. 
Can’t lie, it made me check myself when I woke up. 
This week marks 1 year since I was admitted for Crohn’s and they found the mass and my next scan is next week. Fuck cancer.</t>
        </is>
      </c>
      <c r="D10739" t="n">
        <v>1</v>
      </c>
      <c r="E10739" t="n">
        <v>17</v>
      </c>
      <c r="F10739">
        <f>HYPERLINK("https://www.reddit.com/r/cancer/comments/i77kdc/i_made_it_a_year_but_boy_do_i_worry_around_scan/")</f>
        <v/>
      </c>
      <c r="G10739" t="inlineStr">
        <is>
          <t>2020-08-10 09:01:20</t>
        </is>
      </c>
      <c r="H10739" t="inlineStr"/>
    </row>
    <row r="10740">
      <c r="A10740" t="inlineStr">
        <is>
          <t>i7893q</t>
        </is>
      </c>
      <c r="B10740" t="inlineStr">
        <is>
          <t>I’m 14 and have cancer</t>
        </is>
      </c>
      <c r="C10740" t="inlineStr">
        <is>
          <t>It’s stage 3, I got a 50/50 chance. I guess im just 
unlucky.</t>
        </is>
      </c>
      <c r="D10740" t="n">
        <v>1</v>
      </c>
      <c r="E10740" t="n">
        <v>9</v>
      </c>
      <c r="F10740">
        <f>HYPERLINK("https://www.reddit.com/r/cancer/comments/i7893q/im_14_and_have_cancer/")</f>
        <v/>
      </c>
      <c r="G10740" t="inlineStr">
        <is>
          <t>2020-08-10 09:37:10</t>
        </is>
      </c>
      <c r="H10740" t="inlineStr"/>
    </row>
    <row r="10741">
      <c r="A10741" t="inlineStr">
        <is>
          <t>i7d1v3</t>
        </is>
      </c>
      <c r="B10741" t="inlineStr">
        <is>
          <t>Is it common for families to become aggressive and homicidal towards sick family members</t>
        </is>
      </c>
      <c r="C10741" t="inlineStr">
        <is>
          <t>When I was in the 10th grade I developed an extremely painful debilitating neurological disorder, after being diagnosed a few years ago my family has become very aggressive and homicidal towards me.
They are trying to frame me as a schizophrenic and inject me with medications that cause very painful allergies and steal the medications prescribed for my gastrointestinal disease.
The police is called on a monthly basis in order to have me forced into involuntary holds in psychiatric wards, where my family tried to inject me with drug allergies and get legal conservatorship.
The chaplain at the hospital said my family was trying to murder me because they found me inconvenient and burdensome.
How common is it for families to murder burdensome sick children?
Are my family homicidal monsters?</t>
        </is>
      </c>
      <c r="D10741" t="n">
        <v>1</v>
      </c>
      <c r="E10741" t="n">
        <v>14</v>
      </c>
      <c r="F10741">
        <f>HYPERLINK("https://www.reddit.com/r/cancer/comments/i7d1v3/is_it_common_for_families_to_become_aggressive/")</f>
        <v/>
      </c>
      <c r="G10741" t="inlineStr">
        <is>
          <t>2020-08-10 13:37:08</t>
        </is>
      </c>
      <c r="H10741" t="inlineStr"/>
    </row>
    <row r="10742">
      <c r="A10742" t="inlineStr">
        <is>
          <t>i7fgmh</t>
        </is>
      </c>
      <c r="B10742" t="inlineStr">
        <is>
          <t>Outlook Possibly Changing</t>
        </is>
      </c>
      <c r="C10742" t="inlineStr">
        <is>
          <t>Cancer started as a malignant nerve sheath tumor in my leg. Recent chest CT showed nodules in my lungs that could be growing. Starting radiation next week (already done 6 rounds of chemo) and doing scans on the lungs again in a few weeks. Im freaking out because if it is in my lungs now I'm at stage 4. Which the internet says means I'm pretty much screwed. I'm hoping since we would be catching it early we could deal with it, but still freaking out at the possibility this is spreading and that this is pretty much it for me. 
Also I'm a teacher and my school is going to have face to face learning so I could just end up with Covid killing me instead of the cancer.</t>
        </is>
      </c>
      <c r="D10742" t="n">
        <v>1</v>
      </c>
      <c r="E10742" t="n">
        <v>6</v>
      </c>
      <c r="F10742">
        <f>HYPERLINK("https://www.reddit.com/r/cancer/comments/i7fgmh/outlook_possibly_changing/")</f>
        <v/>
      </c>
      <c r="G10742" t="inlineStr">
        <is>
          <t>2020-08-10 15:40:11</t>
        </is>
      </c>
      <c r="H10742" t="inlineStr"/>
    </row>
    <row r="10743">
      <c r="A10743" t="inlineStr">
        <is>
          <t>i7gdvn</t>
        </is>
      </c>
      <c r="B10743" t="inlineStr">
        <is>
          <t>Best place to donate my hats to? Charity / Research Foundation / etc.</t>
        </is>
      </c>
      <c r="C10743" t="inlineStr">
        <is>
          <t>Hi everyone!  6 years ago I started a hat business where I designed my own brand/line of hats.  I haven't had the time to work towards that for a few years and have a lot of leftovers that I would like to donate - preferably to something like a cancer/chemo foundation.  Can anyone suggest a good place to get in contact with?  I am located in Pittsburgh, PA.  These are strapback hats too - not knitted.  Thanks everyone.  &amp;lt;3</t>
        </is>
      </c>
      <c r="D10743" t="n">
        <v>1</v>
      </c>
      <c r="E10743" t="n">
        <v>1</v>
      </c>
      <c r="F10743">
        <f>HYPERLINK("https://www.reddit.com/r/cancer/comments/i7gdvn/best_place_to_donate_my_hats_to_charity_research/")</f>
        <v/>
      </c>
      <c r="G10743" t="inlineStr">
        <is>
          <t>2020-08-10 16:32:03</t>
        </is>
      </c>
      <c r="H10743" t="inlineStr"/>
    </row>
    <row r="10744">
      <c r="A10744" t="inlineStr">
        <is>
          <t>i7hhhj</t>
        </is>
      </c>
      <c r="B10744" t="inlineStr">
        <is>
          <t>Keto to kill cancer?</t>
        </is>
      </c>
      <c r="C10744" t="inlineStr">
        <is>
          <t>Has anyone here tried keto or low carb protocol to essentially "starve" your cancer? If so, how'd it go for you?</t>
        </is>
      </c>
      <c r="D10744" t="n">
        <v>1</v>
      </c>
      <c r="E10744" t="n">
        <v>32</v>
      </c>
      <c r="F10744">
        <f>HYPERLINK("https://www.reddit.com/r/cancer/comments/i7hhhj/keto_to_kill_cancer/")</f>
        <v/>
      </c>
      <c r="G10744" t="inlineStr">
        <is>
          <t>2020-08-10 17:35:59</t>
        </is>
      </c>
      <c r="H10744" t="inlineStr"/>
    </row>
    <row r="10745">
      <c r="A10745" t="inlineStr">
        <is>
          <t>i7hp3i</t>
        </is>
      </c>
      <c r="B10745" t="inlineStr">
        <is>
          <t>Support for Young Cancer Survivors</t>
        </is>
      </c>
      <c r="C10745" t="inlineStr">
        <is>
          <t>Hi! My name is Helen and I am a research coordinator for the Bounce Back Study at the Massachusetts General Hospital Cancer Center, an affiliate of Harvard Medical School. We are recruiting adolescent and young adults who were diagnosed with cancer (any type!) between the ages of 14-29, still fall within this age range, and have completed treatment in the past 5 years. Bounce Back is a FREE virtual group stress management and resilience program that takes place over 8-weeks. The goal of the program is to help young cancer survivors learn skills to cope with the stress and emotions that arise during the post treatment transition. Participants will be paid up to $90 for their time. Please send me a message or email [mghbounceback@mgh.harvard.edu](mailto:mghbounceback@mgh.harvard.edu) if you are interested in learning more or have any questions 😊</t>
        </is>
      </c>
      <c r="D10745" t="n">
        <v>1</v>
      </c>
      <c r="E10745" t="n">
        <v>7</v>
      </c>
      <c r="F10745">
        <f>HYPERLINK("https://www.reddit.com/r/cancer/comments/i7hp3i/support_for_young_cancer_survivors/")</f>
        <v/>
      </c>
      <c r="G10745" t="inlineStr">
        <is>
          <t>2020-08-10 17:48:31</t>
        </is>
      </c>
      <c r="H10745" t="inlineStr"/>
    </row>
    <row r="10746">
      <c r="A10746" t="inlineStr">
        <is>
          <t>i7ms6r</t>
        </is>
      </c>
      <c r="B10746" t="inlineStr">
        <is>
          <t>Suppressed feelings</t>
        </is>
      </c>
      <c r="C10746" t="inlineStr">
        <is>
          <t>Im not sure what changed my mentality on life but i guess its a good thing. 
Life. I think of an unbearable pain that grows as each day passes when i see the word “life”. 
I used to think id succumb to the pain brought on by life. 
I grew up sheltered in a private school so when i was introduced to the real world i was terrified. To be honest i still kind of am but i feel like now i can tolerate breathing and push through these fears .
Well i used to pray  id die because i was too afraid to end my own life (the 3 times i tried all were attempted OD ). 
So fast forward a bit, i got a full time job with benefits and having insurance was something id never have unless i were to get married to a man who’s job provided that. These may be insignificant things to others but for me to get a job myself with those perks reignited  an ember of hope inside of me which I completely had lost. 
So now i have insurance and i feel like i can tolerate living. I met a man who knows what to say to keep me calm. Sure he isn’t always nice but he also has his own life &amp;amp; i try to be mindful of that . Things are turning up and I realize i do want to live because life is beautiful despite the hardships. 
So this guy doesn’t want anymore children since he is 40 plus already going to be a grandpa . back before i was exposed to the real world  I’ve always dreamt of being a mother (im 29).  So i cant have kids but i went to see an obgyn to see what i can do because this man said to me he might be open to it.
Uhhh a couple months pass and a few visits / biopsies later i find out i have stage 3 cervical cancer (also my paperwork said i have a tumor. I have no idea where it’s at though. Idk it hasnt even been two weeks since i found everything out)
i see the oncologist in a few hours for treatment options. 
Honestly if i had learned about this months ago with the mentality i had i would have never said anything to anyone and let nature take its course .
The point of this post i guess is now that i feel like my life has value this medical crap feels like a slap tp the face.</t>
        </is>
      </c>
      <c r="D10746" t="n">
        <v>1</v>
      </c>
      <c r="E10746" t="n">
        <v>1</v>
      </c>
      <c r="F10746">
        <f>HYPERLINK("https://www.reddit.com/r/cancer/comments/i7ms6r/suppressed_feelings/")</f>
        <v/>
      </c>
      <c r="G10746" t="inlineStr">
        <is>
          <t>2020-08-10 23:38:12</t>
        </is>
      </c>
      <c r="H10746" t="inlineStr"/>
    </row>
    <row r="10747">
      <c r="A10747" t="inlineStr">
        <is>
          <t>i7ndlr</t>
        </is>
      </c>
      <c r="B10747" t="inlineStr">
        <is>
          <t>BostonGene Collaborated with Leading Dana-Farber Cancer Center</t>
        </is>
      </c>
      <c r="C10747" t="inlineStr">
        <is>
          <t>“We are excited to collaborate with BostonGene,” said David Weinstock, MD, at Dana-Farber Cancer Institute. The collaboration aims to define predictors of response to PI3 kinase inhibition in relapsed/refractory T-cell lymphomas.</t>
        </is>
      </c>
      <c r="D10747" t="n">
        <v>1</v>
      </c>
      <c r="E10747" t="n">
        <v>0</v>
      </c>
      <c r="F10747">
        <f>HYPERLINK("https://www.reddit.com/r/cancer/comments/i7ndlr/bostongene_collaborated_with_leading_danafarber/")</f>
        <v/>
      </c>
      <c r="G10747" t="inlineStr">
        <is>
          <t>2020-08-11 00:29:23</t>
        </is>
      </c>
      <c r="H10747" t="inlineStr"/>
    </row>
    <row r="10748">
      <c r="A10748" t="inlineStr">
        <is>
          <t>i7ng5u</t>
        </is>
      </c>
      <c r="B10748" t="inlineStr">
        <is>
          <t>How do you deal with the stress of it all?</t>
        </is>
      </c>
      <c r="C10748" t="inlineStr">
        <is>
          <t>I’m curious as to what method cancer survivors use to help deal with days where you just feel so down. Like, I’m talking days where you feel like a garbage human being, emotionally, physically, spiritually. 
Today is such a day for me. I feel like I don’t deserve my life. I’ve lost countless friends who tried to use my cancer to garner attention in their favour(it felt good cutting them out but they were long time friends), my family absolutely resents me for being sick. I’m constantly told I deserve or it’s my fault.  
Thankfully, I have an amazing wife and she helps a lot of the time, but for those times where can’t help. I’m just wondering what people do get back to normal, ya know. I know I suffer from some serious PTSD and am trying to deal with that but with Covid and all Medical appointments done over the phone, it’s impossible to bring it up to them with all the other shit going on with my body thanks to chemo. 
Seriously, I welcome all actual advice. I’m sick of these random mood swings where I just fall into this pit of despair.</t>
        </is>
      </c>
      <c r="D10748" t="n">
        <v>1</v>
      </c>
      <c r="E10748" t="n">
        <v>21</v>
      </c>
      <c r="F10748">
        <f>HYPERLINK("https://www.reddit.com/r/cancer/comments/i7ng5u/how_do_you_deal_with_the_stress_of_it_all/")</f>
        <v/>
      </c>
      <c r="G10748" t="inlineStr">
        <is>
          <t>2020-08-11 00:35:44</t>
        </is>
      </c>
      <c r="H10748" t="inlineStr"/>
    </row>
    <row r="10749">
      <c r="A10749" t="inlineStr">
        <is>
          <t>i7o0qk</t>
        </is>
      </c>
      <c r="B10749" t="inlineStr">
        <is>
          <t>Low iodine diet?</t>
        </is>
      </c>
      <c r="C10749" t="inlineStr">
        <is>
          <t>So I (21 F) know this is specifically for thyroid cancer but has anyone ever had any “luck” on this diet? I started off at 156 lbs and now I’m down to 148 lbs currently and it hasn’t even been a week...I’m only doing it until Wednesday (so tomorrow I’ll be able to eat again) but I always find it difficult because even non-iodizied salt can still have iodine in it. Everything is just bland and when I try to eat some for sure safe foods (instant mashed potatoes with just water, plain white rice, raw nuts, etc.) I get so “depressed” that I rather not eat than eat that. Does anyone have any tips/advice?? Thank you</t>
        </is>
      </c>
      <c r="D10749" t="n">
        <v>1</v>
      </c>
      <c r="E10749" t="n">
        <v>11</v>
      </c>
      <c r="F10749">
        <f>HYPERLINK("https://www.reddit.com/r/cancer/comments/i7o0qk/low_iodine_diet/")</f>
        <v/>
      </c>
      <c r="G10749" t="inlineStr">
        <is>
          <t>2020-08-11 01:28:27</t>
        </is>
      </c>
      <c r="H10749" t="inlineStr"/>
    </row>
    <row r="10750">
      <c r="A10750" t="inlineStr">
        <is>
          <t>i7tq5f</t>
        </is>
      </c>
      <c r="B10750" t="inlineStr">
        <is>
          <t>I think I have Hodgkin’s lymphoma</t>
        </is>
      </c>
      <c r="C10750" t="inlineStr">
        <is>
          <t>Personal information:
age: 18
gender: female
medical history: none actually
weight: not sure but I’m really skinny
A year ago I first noticed having palpable lymph nodes, I guess I had them a while before this day.. but this was when I first noticed them. I noticed some on my neck, groin in armpit.. just small lumps/nodes about 0.5-1.5cm.. so not very noticeable didn’t stick out of the skin and didn’t hurt at all (back then I was looking for lymph nodes because I heard this story about a young woman dying due to Hodgkin’s lymphoma and started examining myself). So I went to see a doctor about it.. he didn’t say much, wasn’t super concerned or anything, just ordered some bloodwork. A few days later the results came back in everything seemed to completely normal. At this point the treatment ended. But now I think about it again, and I’m worrying. Because shouldn’t there be any signs of an infections in my bloodwork that would explain why my lymph nodes were enlarged.. this would’ve been good news.. not finding nothing, that means the lymph nodes are not related to any infection or inflammation. Did my doctor do something wrong.. just saying I’m fine? Shouldn’t it be the other way around?
A year later still can feel them, move them around and all that.. just excepted it as being normal.. because my mum also can feel hers in the groin.. (in other parts she doesn’t examine herself).. but I’m still worried and cannot explain this. 
I hope you guys could understand this.</t>
        </is>
      </c>
      <c r="D10750" t="n">
        <v>1</v>
      </c>
      <c r="E10750" t="n">
        <v>9</v>
      </c>
      <c r="F10750">
        <f>HYPERLINK("https://www.reddit.com/r/cancer/comments/i7tq5f/i_think_i_have_hodgkins_lymphoma/")</f>
        <v/>
      </c>
      <c r="G10750" t="inlineStr">
        <is>
          <t>2020-08-11 08:25:46</t>
        </is>
      </c>
      <c r="H10750" t="inlineStr"/>
    </row>
    <row r="10751">
      <c r="A10751" t="inlineStr">
        <is>
          <t>i7wgo9</t>
        </is>
      </c>
      <c r="B10751" t="inlineStr">
        <is>
          <t>Conflicting info about insurance.</t>
        </is>
      </c>
      <c r="C10751" t="inlineStr">
        <is>
          <t>Hi, my mother recently got diagnosed with breast cancer and my parents are both uninsured. 
I’ve been doing some research online for them for options and I’m abit confused. Is ACA still in affect? Are pre-existing conditions still something they cannot reject or raise the price on?</t>
        </is>
      </c>
      <c r="D10751" t="n">
        <v>1</v>
      </c>
      <c r="E10751" t="n">
        <v>7</v>
      </c>
      <c r="F10751">
        <f>HYPERLINK("https://www.reddit.com/r/cancer/comments/i7wgo9/conflicting_info_about_insurance/")</f>
        <v/>
      </c>
      <c r="G10751" t="inlineStr">
        <is>
          <t>2020-08-11 10:52:49</t>
        </is>
      </c>
      <c r="H10751" t="inlineStr"/>
    </row>
    <row r="10752">
      <c r="A10752" t="inlineStr">
        <is>
          <t>i7x8ck</t>
        </is>
      </c>
      <c r="B10752" t="inlineStr">
        <is>
          <t>What are your colon cancer stories?</t>
        </is>
      </c>
      <c r="C10752" t="inlineStr">
        <is>
          <t>Not here to ask - is this cancer? 
I just want to know what your stories are. 
Did you have symptoms that were indirectly linked to the disease? 
Were you asymptomatic?
How old were you? 
Were you oblivious, or did you have a feeling something wasn't right? 
Whatever you can think of, I'd like to hear your story. 
Many thanks, 
spraytaint x</t>
        </is>
      </c>
      <c r="D10752" t="n">
        <v>1</v>
      </c>
      <c r="E10752" t="n">
        <v>13</v>
      </c>
      <c r="F10752">
        <f>HYPERLINK("https://www.reddit.com/r/cancer/comments/i7x8ck/what_are_your_colon_cancer_stories/")</f>
        <v/>
      </c>
      <c r="G10752" t="inlineStr">
        <is>
          <t>2020-08-11 11:32:35</t>
        </is>
      </c>
      <c r="H10752" t="inlineStr"/>
    </row>
    <row r="10753">
      <c r="A10753" t="inlineStr">
        <is>
          <t>i7y2yc</t>
        </is>
      </c>
      <c r="B10753" t="inlineStr">
        <is>
          <t>How do you deal with endless nausea?</t>
        </is>
      </c>
      <c r="C10753" t="inlineStr">
        <is>
          <t>About a year ago I had problem with nausea but managed to worked biodone (the painkiller) could be mixed with a cordial and that made it more 'palatable'.
However, often after eating etc. (even nothing carbonated of has air bubbles like bread, like a glass of water) my stomach just feels like it's swelling up and I have to carefully 'burp it out' or It will projectile vomit. Over the past 8 hours I have vomited 5-6 times, despite taking Ondansetron which basically when I talk with doctors they just are like "Take the Ondansetron as prescribed and it will fix it" when that's what I've been doing...
My oesphagus has been looked at and is scarred from stomach acid and I have opened up an old surgical wound from this... just any ideas (NB: Maxolon already tried)...</t>
        </is>
      </c>
      <c r="D10753" t="n">
        <v>1</v>
      </c>
      <c r="E10753" t="n">
        <v>15</v>
      </c>
      <c r="F10753">
        <f>HYPERLINK("https://www.reddit.com/r/cancer/comments/i7y2yc/how_do_you_deal_with_endless_nausea/")</f>
        <v/>
      </c>
      <c r="G10753" t="inlineStr">
        <is>
          <t>2020-08-11 12:16:51</t>
        </is>
      </c>
      <c r="H10753" t="inlineStr"/>
    </row>
    <row r="10754">
      <c r="A10754" t="inlineStr">
        <is>
          <t>i82xzg</t>
        </is>
      </c>
      <c r="B10754" t="inlineStr">
        <is>
          <t>How long did it take you to "go Public"?</t>
        </is>
      </c>
      <c r="C10754" t="inlineStr">
        <is>
          <t>I've been running around telling close friends and family face-to face, and I'm exhausted.  I feel worse for them though.  Not only does their friend have cancer, we're only in our 30's which I know forces people to face their own mortality way earlier than they would like.  It's scary shit.  Anyways, I think I am getting to the point where I am ready to just spill the beans.  Surgery and chemo are coming soon, and  I would rather write the story then have people talk.  When did you go public, if you did at all?  Would you have done anything different?</t>
        </is>
      </c>
      <c r="D10754" t="n">
        <v>1</v>
      </c>
      <c r="E10754" t="n">
        <v>40</v>
      </c>
      <c r="F10754">
        <f>HYPERLINK("https://www.reddit.com/r/cancer/comments/i82xzg/how_long_did_it_take_you_to_go_public/")</f>
        <v/>
      </c>
      <c r="G10754" t="inlineStr">
        <is>
          <t>2020-08-11 16:44:23</t>
        </is>
      </c>
      <c r="H10754" t="inlineStr"/>
    </row>
    <row r="10755">
      <c r="A10755" t="inlineStr">
        <is>
          <t>i83k62</t>
        </is>
      </c>
      <c r="B10755" t="inlineStr">
        <is>
          <t>What were your cervical/ovarian cancer symptoms ?</t>
        </is>
      </c>
      <c r="C10755" t="inlineStr">
        <is>
          <t>A year ago I had a Pap smear and my gyn said I have abnormal cells on my cervix. Now I’ve been having pain for months in my abdomen and back and I am afraid to go to the gyn again to find out.</t>
        </is>
      </c>
      <c r="D10755" t="n">
        <v>1</v>
      </c>
      <c r="E10755" t="n">
        <v>7</v>
      </c>
      <c r="F10755">
        <f>HYPERLINK("https://www.reddit.com/r/cancer/comments/i83k62/what_were_your_cervicalovarian_cancer_symptoms/")</f>
        <v/>
      </c>
      <c r="G10755" t="inlineStr">
        <is>
          <t>2020-08-11 17:22:26</t>
        </is>
      </c>
      <c r="H10755" t="inlineStr"/>
    </row>
    <row r="10756">
      <c r="A10756" t="inlineStr">
        <is>
          <t>i847ed</t>
        </is>
      </c>
      <c r="B10756" t="inlineStr">
        <is>
          <t>Pineal Tumors</t>
        </is>
      </c>
      <c r="C10756" t="inlineStr">
        <is>
          <t>When my 23 year old son was 14 years old he was diagnosed with Hodgkin's Lymphoma. Thankfully he went into remission and was later declared cured. Last year he went to see a neurologist about a completely unrelated issue and in a brain mri they found a 4mm tumor on his Pineal Gland. His neurologist elected to keep an eye on it by doing a yearly brain scan and if it grows over 5mm they will need to take action on it. What that action will be, I don't know. He's having his yearly scan tomorrow and of course I'm a bit worried about it. So I'm curious if anyone can offer any insight on Pineal tumors. What action is normally taken on them, are they normally benign, and is 4mm pretty small as far as Pineal tumors go?</t>
        </is>
      </c>
      <c r="D10756" t="n">
        <v>1</v>
      </c>
      <c r="E10756" t="n">
        <v>2</v>
      </c>
      <c r="F10756">
        <f>HYPERLINK("https://www.reddit.com/r/cancer/comments/i847ed/pineal_tumors/")</f>
        <v/>
      </c>
      <c r="G10756" t="inlineStr">
        <is>
          <t>2020-08-11 18:03:44</t>
        </is>
      </c>
      <c r="H10756" t="inlineStr"/>
    </row>
    <row r="10757">
      <c r="A10757" t="inlineStr">
        <is>
          <t>i84fpm</t>
        </is>
      </c>
      <c r="B10757" t="inlineStr">
        <is>
          <t>What would you want to know when you started this journey?</t>
        </is>
      </c>
      <c r="C10757" t="inlineStr">
        <is>
          <t>For the last three weeks I've been in with multiple doctors and it looks like some type of Lymphatic Cancer. It hasn't been confirmed what type (surgery to take a node in September!) but I was wondering if anyone had pointers on trying to keep up with everything. What was something you wish you knew beforehand to help with the process during or after? TIA!</t>
        </is>
      </c>
      <c r="D10757" t="n">
        <v>1</v>
      </c>
      <c r="E10757" t="n">
        <v>4</v>
      </c>
      <c r="F10757">
        <f>HYPERLINK("https://www.reddit.com/r/cancer/comments/i84fpm/what_would_you_want_to_know_when_you_started_this/")</f>
        <v/>
      </c>
      <c r="G10757" t="inlineStr">
        <is>
          <t>2020-08-11 18:18:40</t>
        </is>
      </c>
      <c r="H10757" t="inlineStr">
        <is>
          <t xml:space="preserve">Patient </t>
        </is>
      </c>
    </row>
    <row r="10758">
      <c r="A10758" t="inlineStr">
        <is>
          <t>i868vc</t>
        </is>
      </c>
      <c r="B10758" t="inlineStr">
        <is>
          <t>gabapentin for neuropathy</t>
        </is>
      </c>
      <c r="C10758" t="inlineStr">
        <is>
          <t>Has anyone taken gabapentin for Neuropathy? did it help? is it worth the side effects?</t>
        </is>
      </c>
      <c r="D10758" t="n">
        <v>1</v>
      </c>
      <c r="E10758" t="n">
        <v>15</v>
      </c>
      <c r="F10758">
        <f>HYPERLINK("https://www.reddit.com/r/cancer/comments/i868vc/gabapentin_for_neuropathy/")</f>
        <v/>
      </c>
      <c r="G10758" t="inlineStr">
        <is>
          <t>2020-08-11 20:17:14</t>
        </is>
      </c>
      <c r="H10758" t="inlineStr"/>
    </row>
    <row r="10759">
      <c r="A10759" t="inlineStr">
        <is>
          <t>i88r6f</t>
        </is>
      </c>
      <c r="B10759" t="inlineStr">
        <is>
          <t>How do you drop the bomb?</t>
        </is>
      </c>
      <c r="C10759" t="inlineStr">
        <is>
          <t>So how do you drop the bomb on people you have met or started to hang out with, both romantically and as friends?
Do you go in and tell them right away or wait until later on when there some trust built up?</t>
        </is>
      </c>
      <c r="D10759" t="n">
        <v>1</v>
      </c>
      <c r="E10759" t="n">
        <v>2</v>
      </c>
      <c r="F10759">
        <f>HYPERLINK("https://www.reddit.com/r/cancer/comments/i88r6f/how_do_you_drop_the_bomb/")</f>
        <v/>
      </c>
      <c r="G10759" t="inlineStr">
        <is>
          <t>2020-08-11 23:30:47</t>
        </is>
      </c>
      <c r="H10759" t="inlineStr">
        <is>
          <t xml:space="preserve">Patient </t>
        </is>
      </c>
    </row>
    <row r="10760">
      <c r="A10760" t="inlineStr">
        <is>
          <t>i8dirk</t>
        </is>
      </c>
      <c r="B10760" t="inlineStr">
        <is>
          <t>Partner seems to be ready to leave me just after my cancer treatment?</t>
        </is>
      </c>
      <c r="C10760" t="inlineStr">
        <is>
          <t>Hey everyone.
I know a lot of people on this sub have it much worse than me. A lot of you are in fear of their own lifes or the lifes of your loved ones. I will probably not lose my life on the cancer i have. My heart goes out to all of you. I am sharing my story in the hope that anyone went through someone similar and is willing to share their story with me.
I have been together with my partner for 7 years. We live together and have a steady, loving and happy relationship. Two years ago i got diagnosed with an ependymoma in my spinal canal. This caused a lot of pain. I got surgery and ended up with chronic nerve pain and less function of my bladder and bowel. But i have been doing fine untill a few months ago.
3 months ago they found 2 metastases during a checkup MRI. They were growing slowly, but faster then expected. I had 6 weeks of radiation therapy which ended last week. I am tired and in a lot of pain. I am at risk of losing permanent function and sense in my bladder, bowel, genitalia, and legs. In 3 months they can see if the tumours shrunk, and it might take some more time to see if my nerves will be permanently damaged. So it is kinda unsure. 
I am pretty positive about it all, and very grateful for the things i still have. However it is also a difficult time emotionally, because i don't know if i will be able to walk in the near future. My spinal nerves might not survive the last and future treatment i have to undergo. I am on a lot of pain killers, including opiates. 
Lately my situation seems to be taking toll of my relationship. 
My partner has been my biggest support, but he had an emotional breakdown during my treatment. He is showing burnout symptoms and he is not dealing with it very well. He is working in his own business (which is really hard), cares for me and is starting his master in 2 weeks. So he will be very busy with studying and trying to keep his business running during the crisis.
If he does not continue work really hard on his study and business, his career (his dreams and passions) will probably fail and he has to start a job as a waiter or a factory worker because he has no usable degree. So that's not really an option. 
The thing is that he does not have room for all of these things AND taking a lot of care of me. I can't help it but i feel betrayed because he promised me to be there for me in this difficult time. But it is all too much for him.
I certainly don't want him to give up everything in his life just to take care of me. And i have to admit, i have not been the easiest person to deal with lately. My meds make me irritable and i am very sensitive because all of the insecurities i have in my life. 
Honestly i feel desperate and i don't know what to do. We love each other to death but it isn't working well like this. I feel guilty for taking so much energy from him, but i also feel angry that he promised to be there for me and now he can't.
Anyone went through a similar experience? I would like to hear your stories and how you have dealt with these kind of issues. Thanks in advance!
TLDR: i have cancer and my future is unsure. My life is not in danger but i am not sure if i will be healthy and able to walk in a few years as there is a risk of a lesion in my spinal canal. I am going through a lot of insecurity. When i got diagnosed, my partner promised to be there for me during the whole process. During my treatment he had an emotional breakdown (or burnout), and together with his business and study it is all too much for him to take care of me. I don't know what to do.</t>
        </is>
      </c>
      <c r="D10760" t="n">
        <v>1</v>
      </c>
      <c r="E10760" t="n">
        <v>25</v>
      </c>
      <c r="F10760">
        <f>HYPERLINK("https://www.reddit.com/r/cancer/comments/i8dirk/partner_seems_to_be_ready_to_leave_me_just_after/")</f>
        <v/>
      </c>
      <c r="G10760" t="inlineStr">
        <is>
          <t>2020-08-12 06:14:30</t>
        </is>
      </c>
      <c r="H10760" t="inlineStr"/>
    </row>
    <row r="10761">
      <c r="A10761" t="inlineStr">
        <is>
          <t>i8duny</t>
        </is>
      </c>
      <c r="B10761" t="inlineStr">
        <is>
          <t>My mom hasn't told my littlebrother about her lung cancer</t>
        </is>
      </c>
      <c r="C10761" t="inlineStr">
        <is>
          <t>My mom has small cell lung carcinoma, she was diagnosed about 2 years ago and told me (M 23) asap. She's been quite alone since the divorce with my father only 2 years prior to the diagnosis so I'm really the only person she could tell, a part from her brothers and sisters (which she told quite gradually).
I have a little brother, who is 12 now, and my mom refuses to tell him anything about her condition, so to him, she's just tired all the time and he's just accepted that's how his mom is. Recently however, her condition has gotten much worse.
The cancer has spread to her spine and she's been experiencing chronic headaches for the past month or two. A recent MRI scan (I think) of her brain showed  "*3 small dots*" being present and a further CT scan, taken yesterday was subsequently performed: we're expecting news in about 4 days from now. 
I fear her cancer has metastasized in her brain, causing excess pressure, hence the headaches. She has lost a LOT of weight, maybe partly due to the medicine she's on (Tegarisi? and a bunch of painkillers) and her inherent condition. When I went up to visit her two days ago, she was barely lucid for most of it, struggling to stay awake and constantly grasping at her head because of the pain. She's being cared for now by her sisters and me (to some extent) making sure she's eating and drinking, but I need to plan for the worst, hoping of course for the best, and my main concern right now is my littlebrother.
I've talked to her a bunch, throughout the two years about telling my brother, and she's at every point denied arguing she would rather he be happy for as long as possible. There are a lot of things I *could* say to this, like if something were to happen, he would feel left out and probably guilty for how he treated her (he's an angel and treats her really well, but he'd be feeling guilty that he was spending time with friends or responding in a way that was not understanding of her condition and at times frustrated about her being tired and sleeping all day instead of driving him to school or picking him up, taking him to places etc.) But I don't want to cause her excess stress and risk worsening her condition by bringing up such a sensitive topic and pushing for a different answer to what she's given throughout the two years.
But, as each day passes I become more and more worried about  my brother and how might handle the news of her passing. He's only 12, I wish she would've told him 2 years ago when he was only 10 and the disease didn't taken hold yet where he was young enough to not fully understand the gravity of the situation, but with time learn to accept and understand it. He hasn't gotten a chance to support her, and I don't want him to feel guilty about not having done more. I feel like a horrible brother for not telling him, I've pushed him away recently and don't spend enough time with him as before as it just breaks my heart seeing him. I get so anxious and sad, I feel like crying each time, and he'd know immediately something was wrong. 
He's been staying at his dad's for a month now, not visiting his mom, as she flat out refuses to let him see her like this in hopes that it'll get better and they can resume as usual. I feel conflicted, sad, guilty and above all, worried. I would very much appreciate any advice or shared experiences if that's not too much to ask, thank you for getting all the way down here and I'm sorry if it got a bit long.</t>
        </is>
      </c>
      <c r="D10761" t="n">
        <v>1</v>
      </c>
      <c r="E10761" t="n">
        <v>16</v>
      </c>
      <c r="F10761">
        <f>HYPERLINK("https://www.reddit.com/r/cancer/comments/i8duny/my_mom_hasnt_told_my_littlebrother_about_her_lung/")</f>
        <v/>
      </c>
      <c r="G10761" t="inlineStr">
        <is>
          <t>2020-08-12 06:35:50</t>
        </is>
      </c>
      <c r="H10761" t="inlineStr"/>
    </row>
    <row r="10762">
      <c r="A10762" t="inlineStr">
        <is>
          <t>i8e0o5</t>
        </is>
      </c>
      <c r="B10762" t="inlineStr">
        <is>
          <t>Covering a Chemo Port?</t>
        </is>
      </c>
      <c r="C10762" t="inlineStr">
        <is>
          <t>I’ve have my port for about 5 days now and have used it for one infusion. It was bandaged after the insertion surgery and I only took the bandage off the day before my first treatment. 
Those of you who have a port - do you cover it on non treatment days? If yes what do you use? Big bandaids?</t>
        </is>
      </c>
      <c r="D10762" t="n">
        <v>1</v>
      </c>
      <c r="E10762" t="n">
        <v>13</v>
      </c>
      <c r="F10762">
        <f>HYPERLINK("https://www.reddit.com/r/cancer/comments/i8e0o5/covering_a_chemo_port/")</f>
        <v/>
      </c>
      <c r="G10762" t="inlineStr">
        <is>
          <t>2020-08-12 06:46:14</t>
        </is>
      </c>
      <c r="H10762" t="inlineStr"/>
    </row>
    <row r="10763">
      <c r="A10763" t="inlineStr">
        <is>
          <t>i8eoer</t>
        </is>
      </c>
      <c r="B10763" t="inlineStr">
        <is>
          <t>How do I support my friend?</t>
        </is>
      </c>
      <c r="C10763" t="inlineStr">
        <is>
          <t>I just found out today that a close friend of mine was diagnosed with cancer. We're not sure how bad it is yet- if it's spread, or it's stage. 
My question is, what is the best way to support him during this? I feel pretty helpless right now, and a little lost. Just need some guidance here.</t>
        </is>
      </c>
      <c r="D10763" t="n">
        <v>1</v>
      </c>
      <c r="E10763" t="n">
        <v>0</v>
      </c>
      <c r="F10763">
        <f>HYPERLINK("https://www.reddit.com/r/cancer/comments/i8eoer/how_do_i_support_my_friend/")</f>
        <v/>
      </c>
      <c r="G10763" t="inlineStr">
        <is>
          <t>2020-08-12 07:26:07</t>
        </is>
      </c>
      <c r="H10763" t="inlineStr"/>
    </row>
    <row r="10764">
      <c r="A10764" t="inlineStr">
        <is>
          <t>i8h7vx</t>
        </is>
      </c>
      <c r="B10764" t="inlineStr">
        <is>
          <t>Biopsy Results</t>
        </is>
      </c>
      <c r="C10764" t="inlineStr">
        <is>
          <t>How long does the final pathology report take? When I left the hospital they told me 5-7 days. This is now day 9.
I don't know why my oncolgist said everyone agreed it looked benign. She got my hopes up for nothing. She should have just said the surgery went well and left it at that.</t>
        </is>
      </c>
      <c r="D10764" t="n">
        <v>1</v>
      </c>
      <c r="E10764" t="n">
        <v>12</v>
      </c>
      <c r="F10764">
        <f>HYPERLINK("https://www.reddit.com/r/cancer/comments/i8h7vx/biopsy_results/")</f>
        <v/>
      </c>
      <c r="G10764" t="inlineStr">
        <is>
          <t>2020-08-12 09:46:19</t>
        </is>
      </c>
      <c r="H10764" t="inlineStr"/>
    </row>
    <row r="10765">
      <c r="A10765" t="inlineStr">
        <is>
          <t>i8i91t</t>
        </is>
      </c>
      <c r="B10765" t="inlineStr">
        <is>
          <t>Considering preventative chemo</t>
        </is>
      </c>
      <c r="C10765" t="inlineStr">
        <is>
          <t>Anyone have any experience with preventative chemo? I (m 21) discussed doing one round of chemo with my oncologist after surgery to remove the main tumor. The tumor was the only detectable cancer in my body and from the pathology report the oncologist said there's a ~40% it comes back without treatment, but 3-5% with preventative chemo (if it comes back I'll have to do 3 rounds of chemo). At this point I've pretty much decided to go through with the chemo, but is just wondering if anyone with experience or knowledge has any words of wisdom for me.</t>
        </is>
      </c>
      <c r="D10765" t="n">
        <v>1</v>
      </c>
      <c r="E10765" t="n">
        <v>11</v>
      </c>
      <c r="F10765">
        <f>HYPERLINK("https://www.reddit.com/r/cancer/comments/i8i91t/considering_preventative_chemo/")</f>
        <v/>
      </c>
      <c r="G10765" t="inlineStr">
        <is>
          <t>2020-08-12 10:39:47</t>
        </is>
      </c>
      <c r="H10765" t="inlineStr"/>
    </row>
    <row r="10766">
      <c r="A10766" t="inlineStr">
        <is>
          <t>i8iq3m</t>
        </is>
      </c>
      <c r="B10766" t="inlineStr">
        <is>
          <t>Does anyone else have emotional flashbacks when listening to songs that you listened to during treatment?</t>
        </is>
      </c>
      <c r="C10766" t="inlineStr">
        <is>
          <t>When I revisit songs I was listening to during treatment I feel strong emotions like im back there. It doesn't feel bad but I don't know how to describe it,it feels nice</t>
        </is>
      </c>
      <c r="D10766" t="n">
        <v>1</v>
      </c>
      <c r="E10766" t="n">
        <v>19</v>
      </c>
      <c r="F10766">
        <f>HYPERLINK("https://www.reddit.com/r/cancer/comments/i8iq3m/does_anyone_else_have_emotional_flashbacks_when/")</f>
        <v/>
      </c>
      <c r="G10766" t="inlineStr">
        <is>
          <t>2020-08-12 11:04:39</t>
        </is>
      </c>
      <c r="H10766" t="inlineStr"/>
    </row>
    <row r="10767">
      <c r="A10767" t="inlineStr">
        <is>
          <t>i8k4iv</t>
        </is>
      </c>
      <c r="B10767" t="inlineStr">
        <is>
          <t>Has anyone been diagnosed as a young adult? How have you delt with it?</t>
        </is>
      </c>
      <c r="C10767" t="inlineStr">
        <is>
          <t>Im a 21F and am a cancer survivor. It’s so strange for me to say that, and even weirder for me to say survivor. Last year I was diagnosed with stage 4 mixed germ cell on my ovary, and all within a weeks time I had a massive open abdomen surgery and a chemo schedule ready to go. I was living on my own, working full time, going to school and paying for it myself. Within a months time, I had to move everything out of my apartment FAST, recover from surgery, drop school, quit work, start chemo, and move into my parents house. To say the least, it was very hard, but I focused on basically trying to survive stage 4 cancer. I was put into remission after about 4 months of treatment (yay!) and started what my doctor called “survivorship”. However, everyone my age that I know could never understand, nor my family, nor my boyfriend. Everyone at the cancer center was much older than me. It’s very isolating, and I often hate the sad and pity filled looks I get from people who find out about it. Most of my friends have disappeared since my diagnosis, I feel I’ve grown more distant from my family as they don’t understand and I don’t feel comfortable talking to them about my feelings, and my boyfriend can be somewhat unreliable. I’ve tried therapy, and thinking of going back. However I would really like to know to anyone who has been diagnosed young, how in the world do you handle this?? No one around me seems to understand what it was like. I know cancer in all forms is horrible, and I’m a very very fortunate case of it as it could have been much worse, and I’m very thankful for that. I’m sure it never gets “easy” to deal with. Thanks for your time reading this</t>
        </is>
      </c>
      <c r="D10767" t="n">
        <v>1</v>
      </c>
      <c r="E10767" t="n">
        <v>59</v>
      </c>
      <c r="F10767">
        <f>HYPERLINK("https://www.reddit.com/r/cancer/comments/i8k4iv/has_anyone_been_diagnosed_as_a_young_adult_how/")</f>
        <v/>
      </c>
      <c r="G10767" t="inlineStr">
        <is>
          <t>2020-08-12 12:16:10</t>
        </is>
      </c>
      <c r="H10767" t="inlineStr"/>
    </row>
    <row r="10768">
      <c r="A10768" t="inlineStr">
        <is>
          <t>i8m65i</t>
        </is>
      </c>
      <c r="B10768" t="inlineStr">
        <is>
          <t>Father/Son Cancer Recovery Question</t>
        </is>
      </c>
      <c r="C10768" t="inlineStr">
        <is>
          <t>A friend of mine was diagnosed with colon cancer just like his father was a few years ago. It is my understanding that his father was able to make a full recovery and so I am just wondering if there is any evidence/studies that suggest that it the ability to recover may also be genetic and that if they were caught at the same stage, that he has a better than normal chance to beat it?</t>
        </is>
      </c>
      <c r="D10768" t="n">
        <v>1</v>
      </c>
      <c r="E10768" t="n">
        <v>0</v>
      </c>
      <c r="F10768">
        <f>HYPERLINK("https://www.reddit.com/r/cancer/comments/i8m65i/fatherson_cancer_recovery_question/")</f>
        <v/>
      </c>
      <c r="G10768" t="inlineStr">
        <is>
          <t>2020-08-12 14:01:58</t>
        </is>
      </c>
      <c r="H10768" t="inlineStr"/>
    </row>
    <row r="10769">
      <c r="A10769" t="inlineStr">
        <is>
          <t>i8n7vu</t>
        </is>
      </c>
      <c r="B10769" t="inlineStr">
        <is>
          <t>Umbilical chord transplant</t>
        </is>
      </c>
      <c r="C10769" t="inlineStr">
        <is>
          <t>Hi all, does anyone have any info or know anyone who went through this type of transplant for leukemia. If you do can you tell me any side effects, long term and short term associated with it? I am a 27 year old male who might have to do it for my ALL.</t>
        </is>
      </c>
      <c r="D10769" t="n">
        <v>1</v>
      </c>
      <c r="E10769" t="n">
        <v>3</v>
      </c>
      <c r="F10769">
        <f>HYPERLINK("https://www.reddit.com/r/cancer/comments/i8n7vu/umbilical_chord_transplant/")</f>
        <v/>
      </c>
      <c r="G10769" t="inlineStr">
        <is>
          <t>2020-08-12 14:58:29</t>
        </is>
      </c>
      <c r="H10769" t="inlineStr">
        <is>
          <t xml:space="preserve">Patient </t>
        </is>
      </c>
    </row>
    <row r="10770">
      <c r="A10770" t="inlineStr">
        <is>
          <t>i8nssc</t>
        </is>
      </c>
      <c r="B10770" t="inlineStr">
        <is>
          <t>Anyone having experience with the MEGACHEMOTHERAPY ?</t>
        </is>
      </c>
      <c r="C10770" t="inlineStr">
        <is>
          <t>So I'm going in hospital soon for this megachemotherapy, which is last step in my cancer treatment. I wonder if the word mega has some meaning to it (you know what I mean..). If you experienced this megachemotherapy with stem cell transplantation please tell me how it went for you.</t>
        </is>
      </c>
      <c r="D10770" t="n">
        <v>1</v>
      </c>
      <c r="E10770" t="n">
        <v>0</v>
      </c>
      <c r="F10770">
        <f>HYPERLINK("https://www.reddit.com/r/cancer/comments/i8nssc/anyone_having_experience_with_the_megachemotherapy/")</f>
        <v/>
      </c>
      <c r="G10770" t="inlineStr">
        <is>
          <t>2020-08-12 15:30:41</t>
        </is>
      </c>
      <c r="H10770" t="inlineStr"/>
    </row>
    <row r="10771">
      <c r="A10771" t="inlineStr">
        <is>
          <t>i8oagh</t>
        </is>
      </c>
      <c r="B10771" t="inlineStr">
        <is>
          <t>What songs helped you through your journey?</t>
        </is>
      </c>
      <c r="C10771" t="inlineStr">
        <is>
          <t>u/Chase470 had a great post about music and emotional flashbacks.  It would be awesome to get a list going of songs that inspired people during their journey!
All the best to everyone. Stay strong and keep smiling 💝💝</t>
        </is>
      </c>
      <c r="D10771" t="n">
        <v>1</v>
      </c>
      <c r="E10771" t="n">
        <v>1</v>
      </c>
      <c r="F10771">
        <f>HYPERLINK("https://www.reddit.com/r/cancer/comments/i8oagh/what_songs_helped_you_through_your_journey/")</f>
        <v/>
      </c>
      <c r="G10771" t="inlineStr">
        <is>
          <t>2020-08-12 15:58:38</t>
        </is>
      </c>
      <c r="H10771" t="inlineStr"/>
    </row>
    <row r="10772">
      <c r="A10772" t="inlineStr">
        <is>
          <t>i8q5lv</t>
        </is>
      </c>
      <c r="B10772" t="inlineStr">
        <is>
          <t>High dose vitamin-c IV therapy</t>
        </is>
      </c>
      <c r="C10772" t="inlineStr">
        <is>
          <t>Hello r/cancer,
My friend’s mother has been recently diagnosed with liver cancer. She is in her late 40s and used to be quite healthy. In the last one month she has lost ~30% of her body weight and she is bearing significant pain.
As we are preparing for her treatment within next couple of week, we came across an alternative therapy from https://www.cancer.gov/research/key-initiatives/ras/ras-central/blog/2020/yun-cantley-vitamin-c.
The therapy claims better quality of life, where it is not clear to me how to make an assessment on the efficacy of the said treatment. Has anybody here came across this before? Are there any known cases of improvement from this method? Is it worth considering it as a parallel process along with regular treatment suggested by the doctors?</t>
        </is>
      </c>
      <c r="D10772" t="n">
        <v>1</v>
      </c>
      <c r="E10772" t="n">
        <v>6</v>
      </c>
      <c r="F10772">
        <f>HYPERLINK("https://www.reddit.com/r/cancer/comments/i8q5lv/high_dose_vitaminc_iv_therapy/")</f>
        <v/>
      </c>
      <c r="G10772" t="inlineStr">
        <is>
          <t>2020-08-12 17:51:46</t>
        </is>
      </c>
      <c r="H10772" t="inlineStr"/>
    </row>
    <row r="10773">
      <c r="A10773" t="inlineStr">
        <is>
          <t>i8qltb</t>
        </is>
      </c>
      <c r="B10773" t="inlineStr">
        <is>
          <t>Chemo and growth</t>
        </is>
      </c>
      <c r="C10773" t="inlineStr">
        <is>
          <t>I KNOW I SHOULD ASK MY DOCTORS NOT THE SUB AND I WILL. But imma ask the sub anyway, hopefully y’all could maybe be helpful and don’t mind. Anyway, I was diagnosed at 15 and had treatment for about a year. I noticed I haven’t grown since, and it’s been a year since treatment ended. I’m now 17 and still haven’t grown since 15, and I know I should’ve more. Do doctors give any medication to promote growth to teen cancer patients? I am only 17 and figured that, especially if I go on something, I could still possibly grow more (how I naturally should’ve).</t>
        </is>
      </c>
      <c r="D10773" t="n">
        <v>1</v>
      </c>
      <c r="E10773" t="n">
        <v>3</v>
      </c>
      <c r="F10773">
        <f>HYPERLINK("https://www.reddit.com/r/cancer/comments/i8qltb/chemo_and_growth/")</f>
        <v/>
      </c>
      <c r="G10773" t="inlineStr">
        <is>
          <t>2020-08-12 18:20:15</t>
        </is>
      </c>
      <c r="H10773" t="inlineStr"/>
    </row>
    <row r="10774">
      <c r="A10774" t="inlineStr">
        <is>
          <t>i8r6cf</t>
        </is>
      </c>
      <c r="B10774" t="inlineStr">
        <is>
          <t>Death With Dignity</t>
        </is>
      </c>
      <c r="C10774" t="inlineStr">
        <is>
          <t xml:space="preserve"> 
My  mother was re-diagnosed with Cancer(Stage 4) in October of 2019. Her  first battle was in 2008 with Uterine Cancer, which was caught super  early. The new cancer emerged in a similar spot somehow, even after  removal of everything down there.
She  chose to end treatments this week. And is now under palliative/hospice  care at home. Which requires 24/7 care since she is unable to walk now.  With her decision to end treatments over the weekend, she was also  diagnosed with a blood infection. Which is causing even more pain in her  right leg, with poor circulation occurring. Which will most likely  require amputation. She must remain under heavy sedation to ease the  pain of the cancer growth.
The  state of Pennsylvania in which we live makes it illegal for a resident  to end life via "assisted death/suicide" by a physician. At what point  is enough, enough? She's admitted to my father that she is ready. It is  absolutely inhumane what she is now going through. I just hate feeling  so helpless.</t>
        </is>
      </c>
      <c r="D10774" t="n">
        <v>1</v>
      </c>
      <c r="E10774" t="n">
        <v>6</v>
      </c>
      <c r="F10774">
        <f>HYPERLINK("https://www.reddit.com/r/cancer/comments/i8r6cf/death_with_dignity/")</f>
        <v/>
      </c>
      <c r="G10774" t="inlineStr">
        <is>
          <t>2020-08-12 18:57:33</t>
        </is>
      </c>
      <c r="H10774" t="inlineStr"/>
    </row>
    <row r="10775">
      <c r="A10775" t="inlineStr">
        <is>
          <t>i8t1m8</t>
        </is>
      </c>
      <c r="B10775" t="inlineStr">
        <is>
          <t>Ewing’s Sarcoma of the Cranium</t>
        </is>
      </c>
      <c r="C10775" t="inlineStr">
        <is>
          <t>When I was 12, i had a bump on my head that wouldn’t go down or disappear. A bunch of tests later I had a craniotomy and they removed the golf ball sized cyst and the surrounding bone. I went through a year and a half of heavy chemo meds, and they stopped short due to adverse effects of adriamycin. 
I’m 50 now, without any cancer recurrence. The silicon plate they used, got infected when I was around 30 and I had to have a free tissue transfer to provide blood to the skin on my head. I have PTSD, OCD, and GAD. I’ve also been recently diagnosed with congestive heart failure due to the adriamycin. 
Sometimes surviving/cheating death is a bad thing.
I do have a 15 year old daughter from my last marriage and I found my soulmate. So I regret nothing. 
Feel free to ask questions.</t>
        </is>
      </c>
      <c r="D10775" t="n">
        <v>1</v>
      </c>
      <c r="E10775" t="n">
        <v>4</v>
      </c>
      <c r="F10775">
        <f>HYPERLINK("https://www.reddit.com/r/cancer/comments/i8t1m8/ewings_sarcoma_of_the_cranium/")</f>
        <v/>
      </c>
      <c r="G10775" t="inlineStr">
        <is>
          <t>2020-08-12 21:04:08</t>
        </is>
      </c>
      <c r="H10775" t="inlineStr"/>
    </row>
    <row r="10776">
      <c r="A10776" t="inlineStr">
        <is>
          <t>i8ys1p</t>
        </is>
      </c>
      <c r="B10776" t="inlineStr">
        <is>
          <t>SOS help me get this metallic taste out of my mouth</t>
        </is>
      </c>
      <c r="C10776" t="inlineStr">
        <is>
          <t>Every. Single. Morning. I wake up and it tastes like I slept with pennies in my mouth and I just cannot handle it anymore. When I previously did chemo this never happened so am I insane or is there a solution for this?</t>
        </is>
      </c>
      <c r="D10776" t="n">
        <v>1</v>
      </c>
      <c r="E10776" t="n">
        <v>18</v>
      </c>
      <c r="F10776">
        <f>HYPERLINK("https://www.reddit.com/r/cancer/comments/i8ys1p/sos_help_me_get_this_metallic_taste_out_of_my/")</f>
        <v/>
      </c>
      <c r="G10776" t="inlineStr">
        <is>
          <t>2020-08-13 05:12:04</t>
        </is>
      </c>
      <c r="H10776" t="inlineStr">
        <is>
          <t xml:space="preserve">Patient </t>
        </is>
      </c>
    </row>
    <row r="10777">
      <c r="A10777" t="inlineStr">
        <is>
          <t>i8zduj</t>
        </is>
      </c>
      <c r="B10777" t="inlineStr">
        <is>
          <t>Did this happen to you also?</t>
        </is>
      </c>
      <c r="C10777" t="inlineStr">
        <is>
          <t>Hi so I’m f(23) I was diagnosed with colon cancer a year ago. I had to have emergency surgery and that’s how I found out, but right after I healed I started Oxaliplatin. My doctor said I’d experience hair thinning, and I did, it wasn’t so bad. The treatment mostly worked, but obviously I can’t stay on that treatment for so long. So I was put on irinotecan. And I experienced hair loss so bad. I had to make the decision to shave my head. I cried so bad, I’m still crying. Anyways my question for any women is, how did you get your confidence back?</t>
        </is>
      </c>
      <c r="D10777" t="n">
        <v>1</v>
      </c>
      <c r="E10777" t="n">
        <v>38</v>
      </c>
      <c r="F10777">
        <f>HYPERLINK("https://www.reddit.com/r/cancer/comments/i8zduj/did_this_happen_to_you_also/")</f>
        <v/>
      </c>
      <c r="G10777" t="inlineStr">
        <is>
          <t>2020-08-13 05:54:19</t>
        </is>
      </c>
      <c r="H10777" t="inlineStr"/>
    </row>
    <row r="10778">
      <c r="A10778" t="inlineStr">
        <is>
          <t>i901hr</t>
        </is>
      </c>
      <c r="B10778" t="inlineStr">
        <is>
          <t>Anyone else suffer from hearing loss and tinnitus from carboplatin?</t>
        </is>
      </c>
      <c r="C10778" t="inlineStr">
        <is>
          <t>Did 4 rounds and it affected my hearing a lot. Now I'm scared that if it reoccurs I will be deaf</t>
        </is>
      </c>
      <c r="D10778" t="n">
        <v>1</v>
      </c>
      <c r="E10778" t="n">
        <v>3</v>
      </c>
      <c r="F10778">
        <f>HYPERLINK("https://www.reddit.com/r/cancer/comments/i901hr/anyone_else_suffer_from_hearing_loss_and_tinnitus/")</f>
        <v/>
      </c>
      <c r="G10778" t="inlineStr">
        <is>
          <t>2020-08-13 06:37:10</t>
        </is>
      </c>
      <c r="H10778" t="inlineStr"/>
    </row>
    <row r="10779">
      <c r="A10779" t="inlineStr">
        <is>
          <t>i946ku</t>
        </is>
      </c>
      <c r="B10779" t="inlineStr">
        <is>
          <t>To what extent have you witnessed chemo changing one's personality?</t>
        </is>
      </c>
      <c r="C10779" t="inlineStr">
        <is>
          <t>My dad used to be a fairly stoic disciplined calm rational guy.
Now he is highly emotional, irritable, picky, throwing tantrums, and his worst traits are exaggerated a lot more, such as verbally abusive and condescending.
I'm trying my best to sympathize as I know he is going through a whole lot. But man is it getting tough. He has always kind of been that militant domineering type, and so I already have a ton of issues I'll need to resolve in therapy one day and have had to distance myself from him all my life. Now that he needs the help, I'm closer to him and being chewed alive.
I have him on really high doses of cannabis for symptoms, and for a while he was chill and giggly but I guess as you adapt the effects wear off.
Just needing some feedback, thanks.</t>
        </is>
      </c>
      <c r="D10779" t="n">
        <v>1</v>
      </c>
      <c r="E10779" t="n">
        <v>10</v>
      </c>
      <c r="F10779">
        <f>HYPERLINK("https://www.reddit.com/r/cancer/comments/i946ku/to_what_extent_have_you_witnessed_chemo_changing/")</f>
        <v/>
      </c>
      <c r="G10779" t="inlineStr">
        <is>
          <t>2020-08-13 10:26:44</t>
        </is>
      </c>
      <c r="H10779" t="inlineStr"/>
    </row>
    <row r="10780">
      <c r="A10780" t="inlineStr">
        <is>
          <t>i94bao</t>
        </is>
      </c>
      <c r="B10780" t="inlineStr">
        <is>
          <t>Should i do chemotherapy or not</t>
        </is>
      </c>
      <c r="C10780" t="inlineStr">
        <is>
          <t>hello i hope I'm in the right sub.
 i was diagnosed with testicular cancer in May and had the cancerous tumor removed, but right after the surgery the CT scans showed a small &amp;lt;1cm mass in my lymph nodes in my abdomen . i just had a another CT scan this past week and the results showed that the mass didn't grow or shrink. my doctor says its up to me to decide what is best. my options are either no chemo or to do chemo one time only 3 hour infusion. I am nervous.. i don't want to do chemo if not necessary but also don't want it to grow back. doctor said 15% chance it comes back without chemo and it is reduced to 5% return risk if i do chemo. sorry I'm new to all this as I'm sure some of you are too. any thing helps. any info would be greatly appreciated</t>
        </is>
      </c>
      <c r="D10780" t="n">
        <v>1</v>
      </c>
      <c r="E10780" t="n">
        <v>22</v>
      </c>
      <c r="F10780">
        <f>HYPERLINK("https://www.reddit.com/r/cancer/comments/i94bao/should_i_do_chemotherapy_or_not/")</f>
        <v/>
      </c>
      <c r="G10780" t="inlineStr">
        <is>
          <t>2020-08-13 10:33:45</t>
        </is>
      </c>
      <c r="H10780" t="inlineStr"/>
    </row>
    <row r="10781">
      <c r="A10781" t="inlineStr">
        <is>
          <t>i94wcb</t>
        </is>
      </c>
      <c r="B10781" t="inlineStr">
        <is>
          <t>My mom has end stage terminal lung cancer. She refuses to stop smoking.</t>
        </is>
      </c>
      <c r="C10781" t="inlineStr">
        <is>
          <t>My mom is my best friend. She is 58. I am 27. Most of my family members are dead already. My middle sister and nephew were murdered a year ago. That leaves my mom, my dad, my eldest sister, and me. 
Losing my mom has always been my greatest fear. I'm not really close with anyone like I am with her, and she means the world to me. Lately though, I feel like I've never really known her and we aren't as close as I thought we were.
She was diagnosed last year. A week after the memorial service for my sister and nephew. She never really seemed to mourn them and she never got upset about the cancer like I thought she would, either. I tried to encourage her to travel and have fun before she started chemotherapy, but she never wanted to go anywhere outside of the city. She never even left the house, really.
She was hospitalized for a few weeks due to complications shortly after chemo. There was a period where I thought she might not ever leave the hospital, but eventually she did. 
I'm a hairstylist. I've taken care of my mom's hair for the past six years. As I stood in the kitchen shaving her whatever tiny patches of hair she had left off, wondering what kind of hellscape life had become, I asked her if she wanted to go places and do things once she felt better. She said she didn't. She wouldn't say why.
There was a period of time - from the installation of her chemo port, I think - until a few months after  she'd started chemo that she'd stopped smoking completely. I was very proud of her and I told her that regularly. I've had to stop smoking in the past and I know how bad it sucks. 
Appointments with the oncologist came and went, and her cancer continued to grow. They decided to not continue with the chemo due to her reaction and instead went with gentler infusions that wouldn't have as many side effects.
A few months back I found out she was not only smoking again, but had been smoking again for a while. When I confronted her with it the first thing she said was, "I promise it's not because I want to get away from you guys faster."
I can't get that out of my head. She knows the doctor said that continuing to smoke would drastically decrease the treatment's chances of working. She knows smoking will kill her faster. She knows it's possible to quit and that she feels better when she does. So why does she continue to smoke?
I know things are hard but I try my best to do fun things with her, to show her that life can still be good and it's worth living. I tell her I love her and I try to make her laugh. I do my best to take care of her and try not to annoy her when I do. I understand that I might not be capable of doing enough to make her want to stay, but I still wish that she would. She is my best friend and the heart of my family. 
I don't know what I can do or say to make her want to try and fight.</t>
        </is>
      </c>
      <c r="D10781" t="n">
        <v>1</v>
      </c>
      <c r="E10781" t="n">
        <v>16</v>
      </c>
      <c r="F10781">
        <f>HYPERLINK("https://www.reddit.com/r/cancer/comments/i94wcb/my_mom_has_end_stage_terminal_lung_cancer_she/")</f>
        <v/>
      </c>
      <c r="G10781" t="inlineStr">
        <is>
          <t>2020-08-13 11:04:39</t>
        </is>
      </c>
      <c r="H10781" t="inlineStr"/>
    </row>
    <row r="10782">
      <c r="A10782" t="inlineStr">
        <is>
          <t>i96n7t</t>
        </is>
      </c>
      <c r="B10782" t="inlineStr">
        <is>
          <t>Anyone have experience with bile duct cancer? (choloangiocarcinoma) I'm 19 and about to become the primary caretaker for my stage 4 mom.</t>
        </is>
      </c>
      <c r="C10782" t="inlineStr">
        <is>
          <t>Hello, I'm just here looking for answers or resources or anything. 
My mom has just been diagnosed with stage four choloangiocarcinoma. We don't know exactly what type yet but we know it has already metastasized. They've found it in the lymph nodes around the liver but the pet scan didn't reveal any other tumors. She's about to start prophylactic chemotherapy and may qualify 
My mother is divorced and has no family which just leaves me to take care of her. I'm a pre-med major in college a couple states away but I'll be doing this semester virtually. I'm trained as an EMT and have a little bit of experience with terminal illnesses but I'm woefully unprepared for the emotional and financial aspects of this whole shebang. 
If you have experience with this kind of cancer or anything similar to my situation and are willing to talk about it, please let me know.</t>
        </is>
      </c>
      <c r="D10782" t="n">
        <v>1</v>
      </c>
      <c r="E10782" t="n">
        <v>40</v>
      </c>
      <c r="F10782">
        <f>HYPERLINK("https://www.reddit.com/r/cancer/comments/i96n7t/anyone_have_experience_with_bile_duct_cancer/")</f>
        <v/>
      </c>
      <c r="G10782" t="inlineStr">
        <is>
          <t>2020-08-13 12:36:33</t>
        </is>
      </c>
      <c r="H10782" t="inlineStr"/>
    </row>
    <row r="10783">
      <c r="A10783" t="inlineStr">
        <is>
          <t>i97w5v</t>
        </is>
      </c>
      <c r="B10783" t="inlineStr">
        <is>
          <t>Help/advice on plans for dad with cancer (60 years old)</t>
        </is>
      </c>
      <c r="C10783" t="inlineStr">
        <is>
          <t>So basically my dad came down with liver cancer. Regular chemo isnt an option since he has cirrhosis. He is taking Opdiva. Anyway, he was a janitor so he doesn't have much money saved at all and a long time gambler. So the situation is kinda his fault. Anyway, he got early retirement but this is going to take a while for his pension to come in. He still has health insurance and has applied for disability. But expenses are going to be high while we wait. 
So far per month it is 450 (rent), insurance (700), 150 (car insurance), 400 for food and gas.
Does anyone know if there is a way to make it faster to get disability or something like that? Or other ways to decrease those expenses?</t>
        </is>
      </c>
      <c r="D10783" t="n">
        <v>1</v>
      </c>
      <c r="E10783" t="n">
        <v>2</v>
      </c>
      <c r="F10783">
        <f>HYPERLINK("https://www.reddit.com/r/cancer/comments/i97w5v/helpadvice_on_plans_for_dad_with_cancer_60_years/")</f>
        <v/>
      </c>
      <c r="G10783" t="inlineStr">
        <is>
          <t>2020-08-13 13:43:51</t>
        </is>
      </c>
      <c r="H10783" t="inlineStr"/>
    </row>
    <row r="10784">
      <c r="A10784" t="inlineStr">
        <is>
          <t>i9b3x3</t>
        </is>
      </c>
      <c r="B10784" t="inlineStr">
        <is>
          <t>Can anyone relate?? I feel alone</t>
        </is>
      </c>
      <c r="C10784" t="inlineStr">
        <is>
          <t>I’m currently 17 but was diagnostic with Lymphatic cancer last year and went into shock several times and was close to dying my first time, I was so afraid and I did not expect any of it. Has anyone gone into shock after a chemo day or a couple days after? Or been on levophed? Also a couple months ago I participated in a genetic research not expecting anything to come back but I ended up finding out I have lynch syndrome. I don’t know anyone around my age who has been diagnosed with it nor have I heard much about it.  I’m really scared about it and would love some insight or inspiration</t>
        </is>
      </c>
      <c r="D10784" t="n">
        <v>1</v>
      </c>
      <c r="E10784" t="n">
        <v>22</v>
      </c>
      <c r="F10784">
        <f>HYPERLINK("https://www.reddit.com/r/cancer/comments/i9b3x3/can_anyone_relate_i_feel_alone/")</f>
        <v/>
      </c>
      <c r="G10784" t="inlineStr">
        <is>
          <t>2020-08-13 16:45:29</t>
        </is>
      </c>
      <c r="H10784" t="inlineStr"/>
    </row>
    <row r="10785">
      <c r="A10785" t="inlineStr">
        <is>
          <t>i9en4p</t>
        </is>
      </c>
      <c r="B10785" t="inlineStr">
        <is>
          <t>Has anyone frozen their sperm after receiving hyperCVAD? Going to get an allogeneic stem cell transplant soon, want to know about fertility.</t>
        </is>
      </c>
      <c r="C10785" t="inlineStr">
        <is>
          <t>Well let me start from the beginning back in December of 2018 25(M) I was diagnosed with Ph+ ALL.  I received 8 cycles of hyperCVAD with ponatinib and went into maintenance, the last time I received a hyperCVAD treatment was in December of 2019 before I relapsed.  My doctor switched up my treatment and started giving me inotuzumab, I went into remission from April  of 2020 all the way until this past month in August when she told me I relapsed again.  Now I have to get an allogeneic stem cell transplant and I was told that it would make me sterile, it’s not something I was prepared for.  I’m still taking ponatinib and they started me on venetoclax so that I can go into remission before the transplant. 
When I got diagnosed I was pressured into starting treatment as soon as possible because my blasts were so high.  I didn’t even get a chance to save my sperm in the cryobank, and to be honest I wasn’t really thinking about having kids at the moment I was just trying to survive.  I thought “oh well once I’m done with all this hyperCVAD and maintenance I’ll be able to try to have kids a few years later”.  Bad mistake. 
I recently talked to a fertility doctor in my hospital and she told me that this is very common and that I should still try to save my sperm in the cryobank before I get the transplant.  The doctor told me that if the sperm isn’t healthy they’ll let me know that it’s pretty much useless at this point. If it seems that the sperm is healthy, the cryobank will be able to freeze it, but they won’t know if there’s any problems with the sperm since testing only accounts for 5 chromosomes and they only do that once you’re ready to use it.
I was told that in rare cases some men are able to produce healthy sperm after a being a transplant survivor for like 10 years.  Has this happened to anyone?  Has anybody been in my situation?  I’ve always wanted to be a father, I just never thought that I’d have to go down this shitty path.  Adoption wouldn’t be a problem for me, but I just wish to father my own children if that doesn’t sound too selfish. 
TL;DR:  Pressured into starting hyperCVAD treatment when diagnosed, didn’t get to save my sperm.  Now I’m getting an allogeneic stem cell transplant in a couple of months and it’s going to make me sterile.  I want to try to save my sperm or is there a possibility of regaining fertility after transplant?  My last hyperCVAD treatment was in December 2019 and I’m still taking ponatinib.</t>
        </is>
      </c>
      <c r="D10785" t="n">
        <v>1</v>
      </c>
      <c r="E10785" t="n">
        <v>0</v>
      </c>
      <c r="F10785">
        <f>HYPERLINK("https://www.reddit.com/r/cancer/comments/i9en4p/has_anyone_frozen_their_sperm_after_receiving/")</f>
        <v/>
      </c>
      <c r="G10785" t="inlineStr">
        <is>
          <t>2020-08-13 20:35:26</t>
        </is>
      </c>
      <c r="H10785" t="inlineStr"/>
    </row>
    <row r="10786">
      <c r="A10786" t="inlineStr">
        <is>
          <t>i9eobn</t>
        </is>
      </c>
      <c r="B10786" t="inlineStr">
        <is>
          <t>Help me think of a kind gesture.</t>
        </is>
      </c>
      <c r="C10786" t="inlineStr">
        <is>
          <t>Hi everyone! I am a hairstylist and a client of mine has been diagnosed with cancer and is losing her hair due to chemotherapy. This weekend she has invited her mom and sisters to be there when I go to her house to shave her head. We’re having champagne and she wants it to be a bit of a celebration instead of a hard day. I’m trying to come up with something special to bring her but not sure what would be helpful or comforting. So far I have a satin pillow case. Is there anything you guys can think of? I’d really appreciate any suggestions! Thanks!</t>
        </is>
      </c>
      <c r="D10786" t="n">
        <v>1</v>
      </c>
      <c r="E10786" t="n">
        <v>5</v>
      </c>
      <c r="F10786">
        <f>HYPERLINK("https://www.reddit.com/r/cancer/comments/i9eobn/help_me_think_of_a_kind_gesture/")</f>
        <v/>
      </c>
      <c r="G10786" t="inlineStr">
        <is>
          <t>2020-08-13 20:37:37</t>
        </is>
      </c>
      <c r="H10786" t="inlineStr"/>
    </row>
    <row r="10787">
      <c r="A10787" t="inlineStr">
        <is>
          <t>i9essn</t>
        </is>
      </c>
      <c r="B10787" t="inlineStr">
        <is>
          <t>Post</t>
        </is>
      </c>
      <c r="C10787" t="inlineStr">
        <is>
          <t>Post</t>
        </is>
      </c>
      <c r="D10787" t="n">
        <v>1</v>
      </c>
      <c r="E10787" t="n">
        <v>0</v>
      </c>
      <c r="F10787">
        <f>HYPERLINK("https://www.reddit.com/r/cancer/comments/i9essn/post/")</f>
        <v/>
      </c>
      <c r="G10787" t="inlineStr">
        <is>
          <t>2020-08-13 20:46:07</t>
        </is>
      </c>
      <c r="H10787" t="inlineStr"/>
    </row>
    <row r="10788">
      <c r="A10788" t="inlineStr">
        <is>
          <t>i9fwpn</t>
        </is>
      </c>
      <c r="B10788" t="inlineStr">
        <is>
          <t>Did cannabis help with your pain ?</t>
        </is>
      </c>
      <c r="C10788" t="inlineStr">
        <is>
          <t>Wondering if anyone has had marijuana help a lot with pain</t>
        </is>
      </c>
      <c r="D10788" t="n">
        <v>1</v>
      </c>
      <c r="E10788" t="n">
        <v>5</v>
      </c>
      <c r="F10788">
        <f>HYPERLINK("https://www.reddit.com/r/cancer/comments/i9fwpn/did_cannabis_help_with_your_pain/")</f>
        <v/>
      </c>
      <c r="G10788" t="inlineStr">
        <is>
          <t>2020-08-13 22:06:17</t>
        </is>
      </c>
      <c r="H10788" t="inlineStr"/>
    </row>
    <row r="10789">
      <c r="A10789" t="inlineStr">
        <is>
          <t>i9hbuy</t>
        </is>
      </c>
      <c r="B10789" t="inlineStr">
        <is>
          <t>Low White Blood Count</t>
        </is>
      </c>
      <c r="C10789" t="inlineStr">
        <is>
          <t>My mum had an 8 week course of chemo (cisplatin) and radiotherapy last year to treat cervical cancer. Towards the end of her treatment her WBC started getting really low. 
Now over a year after her treatment ended, her WBC is still too low. Her GP has said he thinks it must be caused by the chemo but I wonder how long effects from the treatment could last? 
I've done some research and couldn't really find anything that helps get WBC up again. Anyone have any suggestions?</t>
        </is>
      </c>
      <c r="D10789" t="n">
        <v>1</v>
      </c>
      <c r="E10789" t="n">
        <v>4</v>
      </c>
      <c r="F10789">
        <f>HYPERLINK("https://www.reddit.com/r/cancer/comments/i9hbuy/low_white_blood_count/")</f>
        <v/>
      </c>
      <c r="G10789" t="inlineStr">
        <is>
          <t>2020-08-14 00:05:15</t>
        </is>
      </c>
      <c r="H10789" t="inlineStr"/>
    </row>
    <row r="10790">
      <c r="A10790" t="inlineStr">
        <is>
          <t>i9iubf</t>
        </is>
      </c>
      <c r="B10790" t="inlineStr">
        <is>
          <t>My boyfriend has stage 2B nodular lymphocytic-predominant Hodgkin’s Lymphona and I don’t know how to help him</t>
        </is>
      </c>
      <c r="C10790" t="inlineStr">
        <is>
          <t>He got diagnosed on June 29 on this year. He never wanted to go through chemotherapy because he has done this already once but he’s still doing it for me and his family. He also has a heart and a kidney condition.
Currently, he’s on 6 cycles of BEACOPP, 7 doses of radiation and weekly immunotherapy and also dialysis because his kidneys aren’t working. I know it’s a lot of pain he has to go through. Especially alone since he didn’t tell his parents because he didn’t wanna make them sad or be treated like a patient since he has spent majority of his life in and out of the hospital. And I can’t be there with him because of the whole COVID-19 situation and also because my parents are really strict and my boyfriend doesn’t want me tell them that he’s sick. 
The first month, was okay since he still talked to me and smiled. This month, has been pretty shit since he doesn’t talk at all, not even about the things he finds interesting which is usually what did the trick. He just says he wants to be alone and at that point, I don’t know what to do. If I tell him to do something like put cream on his back (which is where most of the radiation is happening) he screams at me and says no. He also gets panic attacks in the hospital and that makes things worse because then he has to be sedated. 
I don’t know how to help him or be there for him. Initially, I learned coding because I thought that would give him something to do (he’s a software engineer) since he can help me build the website that I made for him and it did work. But now, nothing helps. I can’t get him to talk to me. 
Can anyone help me, please? I want him to come out of this fighting like the brave man he is but currently it just feels like he’s pushing me away.</t>
        </is>
      </c>
      <c r="D10790" t="n">
        <v>1</v>
      </c>
      <c r="E10790" t="n">
        <v>8</v>
      </c>
      <c r="F10790">
        <f>HYPERLINK("https://www.reddit.com/r/cancer/comments/i9iubf/my_boyfriend_has_stage_2b_nodular/")</f>
        <v/>
      </c>
      <c r="G10790" t="inlineStr">
        <is>
          <t>2020-08-14 02:26:20</t>
        </is>
      </c>
      <c r="H10790" t="inlineStr"/>
    </row>
    <row r="10791">
      <c r="A10791" t="inlineStr">
        <is>
          <t>i9j9gu</t>
        </is>
      </c>
      <c r="B10791" t="inlineStr">
        <is>
          <t>We wouldn't wish this even on our enemy.</t>
        </is>
      </c>
      <c r="C10791" t="inlineStr">
        <is>
          <t>Cancer treatment is not only about chemotherapy and medicines. It is also about the [emotional traum](https://www.socialcoffee.in/)a person goes through. We have all heard about people fighting cancer, see the struggles in the movies, but we always wondered if it were true or exaggerated. So we decided to see for ourselves and interview a cancer survivor. The heartbeats in the room never pumped faster, our eyes were never so wet, the excruciating pain that couldn’t be felt by any other person except for the victim was that day witnessed by all. 
 **Read the** [**story of a superwoman**](https://www.socialcoffee.in/real-stories/) **who won the battle with breast cancer:**  
[https://www.socialcoffee.in/journey-of-beating-cancer/](https://www.socialcoffee.in/journey-of-beating-cancer/) 
.
.
.
**click here for some more amazing videos:**
[https://www.youtube.com/channel/UCbSi2PY91dyICG4ro4bVBiQ](https://www.youtube.com/channel/UCbSi2PY91dyICG4ro4bVBiQ)</t>
        </is>
      </c>
      <c r="D10791" t="n">
        <v>1</v>
      </c>
      <c r="E10791" t="n">
        <v>1</v>
      </c>
      <c r="F10791">
        <f>HYPERLINK("https://www.reddit.com/r/cancer/comments/i9j9gu/we_wouldnt_wish_this_even_on_our_enemy/")</f>
        <v/>
      </c>
      <c r="G10791" t="inlineStr">
        <is>
          <t>2020-08-14 03:05:08</t>
        </is>
      </c>
      <c r="H10791" t="inlineStr">
        <is>
          <t xml:space="preserve">Patient </t>
        </is>
      </c>
    </row>
    <row r="10792">
      <c r="A10792" t="inlineStr">
        <is>
          <t>i9mpyy</t>
        </is>
      </c>
      <c r="B10792" t="inlineStr">
        <is>
          <t>Loss of speech?</t>
        </is>
      </c>
      <c r="C10792" t="inlineStr">
        <is>
          <t>My brother has cancer,we're waiting on a second biopsy and he seems to be having some sort of confusion in speech?is this normal?</t>
        </is>
      </c>
      <c r="D10792" t="n">
        <v>1</v>
      </c>
      <c r="E10792" t="n">
        <v>3</v>
      </c>
      <c r="F10792">
        <f>HYPERLINK("https://www.reddit.com/r/cancer/comments/i9mpyy/loss_of_speech/")</f>
        <v/>
      </c>
      <c r="G10792" t="inlineStr">
        <is>
          <t>2020-08-14 07:14:39</t>
        </is>
      </c>
      <c r="H10792" t="inlineStr"/>
    </row>
    <row r="10793">
      <c r="A10793" t="inlineStr">
        <is>
          <t>i9nkid</t>
        </is>
      </c>
      <c r="B10793" t="inlineStr">
        <is>
          <t>Was your pain constant or did it come and go?</t>
        </is>
      </c>
      <c r="C10793" t="inlineStr">
        <is>
          <t>I'm just surveying what occurs more frequently when it comes to this terrible diagnosis.</t>
        </is>
      </c>
      <c r="D10793" t="n">
        <v>1</v>
      </c>
      <c r="E10793" t="n">
        <v>9</v>
      </c>
      <c r="F10793">
        <f>HYPERLINK("https://www.reddit.com/r/cancer/comments/i9nkid/was_your_pain_constant_or_did_it_come_and_go/")</f>
        <v/>
      </c>
      <c r="G10793" t="inlineStr">
        <is>
          <t>2020-08-14 08:03:59</t>
        </is>
      </c>
      <c r="H10793" t="inlineStr"/>
    </row>
    <row r="10794">
      <c r="A10794" t="inlineStr">
        <is>
          <t>i9oqjm</t>
        </is>
      </c>
      <c r="B10794" t="inlineStr">
        <is>
          <t>Mom just passed away.</t>
        </is>
      </c>
      <c r="C10794" t="inlineStr">
        <is>
          <t>My mom just passed this morning after battling stage IV renal cancer. We were with her all night - she was in a lot of pain and watching the death rattle was difficult. When we finally all dozed off at day break, she passed peacefully. I feel so empty and lost, and I’m so sorry for all the pain she had to endure over the last six months. Fuck cancer. Fuck it straight to hell.</t>
        </is>
      </c>
      <c r="D10794" t="n">
        <v>1</v>
      </c>
      <c r="E10794" t="n">
        <v>22</v>
      </c>
      <c r="F10794">
        <f>HYPERLINK("https://www.reddit.com/r/cancer/comments/i9oqjm/mom_just_passed_away/")</f>
        <v/>
      </c>
      <c r="G10794" t="inlineStr">
        <is>
          <t>2020-08-14 09:06:56</t>
        </is>
      </c>
      <c r="H10794" t="inlineStr"/>
    </row>
    <row r="10795">
      <c r="A10795" t="inlineStr">
        <is>
          <t>i9pv40</t>
        </is>
      </c>
      <c r="B10795" t="inlineStr">
        <is>
          <t>Are you an expert on cancer?</t>
        </is>
      </c>
      <c r="C10795" t="inlineStr">
        <is>
          <t>Hey,
Im looking for a doctor or an expert in the field of cancer. One of my friends from afghanistan has got cancer, and the doctors are saying 10 different things. Due to the covid 19, they dont even take them in anymore, so im thinking about sending him to India og Iran. 
I just wanna show you some pics of him, and maybe hear your expert thoughts on it. I have also heard that there is a vaccine against it, can you maybe tell me more about it? 
Thanks</t>
        </is>
      </c>
      <c r="D10795" t="n">
        <v>1</v>
      </c>
      <c r="E10795" t="n">
        <v>5</v>
      </c>
      <c r="F10795">
        <f>HYPERLINK("https://www.reddit.com/r/cancer/comments/i9pv40/are_you_an_expert_on_cancer/")</f>
        <v/>
      </c>
      <c r="G10795" t="inlineStr">
        <is>
          <t>2020-08-14 10:06:45</t>
        </is>
      </c>
      <c r="H10795" t="inlineStr"/>
    </row>
    <row r="10796">
      <c r="A10796" t="inlineStr">
        <is>
          <t>i9sujq</t>
        </is>
      </c>
      <c r="B10796" t="inlineStr">
        <is>
          <t>Cancer in my dad's spinal fluid</t>
        </is>
      </c>
      <c r="C10796" t="inlineStr">
        <is>
          <t>His non-hodgkin's lymphoma came back a month ago, and now it's spread to his spinal fluid. I'm on the other side of the country, but even if I went to visit I don't think I could visit him because of COVID restrictions. I'm just sort of sending this out into the internet void because I'm not ready to talk to friends or family about it, don't really know why. I feel overwhelmed. Sending love and solidarity to everyone in this sub.</t>
        </is>
      </c>
      <c r="D10796" t="n">
        <v>1</v>
      </c>
      <c r="E10796" t="n">
        <v>5</v>
      </c>
      <c r="F10796">
        <f>HYPERLINK("https://www.reddit.com/r/cancer/comments/i9sujq/cancer_in_my_dads_spinal_fluid/")</f>
        <v/>
      </c>
      <c r="G10796" t="inlineStr">
        <is>
          <t>2020-08-14 12:45:54</t>
        </is>
      </c>
      <c r="H10796" t="inlineStr"/>
    </row>
    <row r="10797">
      <c r="A10797" t="inlineStr">
        <is>
          <t>i9t17v</t>
        </is>
      </c>
      <c r="B10797" t="inlineStr">
        <is>
          <t>Dad is dying and I’m just tired of dealing with other people’s emotions</t>
        </is>
      </c>
      <c r="C10797" t="inlineStr">
        <is>
          <t>He technically survived the cancer but a transplant complication is what will kill him in the next weeks (or months if we’re lucky, but that seems unlikely). He’s now on hospice at home. We have told extended family and some friends and I am tired of fielding calls and giving constant updates. Their hope exhausts me. There is no hope and there is nothing to update day after day. I know the concern is genuine but I am already drained as the primary caregiver for my dying parent and I would prefer that people leave us alone right now.</t>
        </is>
      </c>
      <c r="D10797" t="n">
        <v>1</v>
      </c>
      <c r="E10797" t="n">
        <v>9</v>
      </c>
      <c r="F10797">
        <f>HYPERLINK("https://www.reddit.com/r/cancer/comments/i9t17v/dad_is_dying_and_im_just_tired_of_dealing_with/")</f>
        <v/>
      </c>
      <c r="G10797" t="inlineStr">
        <is>
          <t>2020-08-14 12:56:25</t>
        </is>
      </c>
      <c r="H10797" t="inlineStr"/>
    </row>
    <row r="10798">
      <c r="A10798" t="inlineStr">
        <is>
          <t>i9unsk</t>
        </is>
      </c>
      <c r="B10798" t="inlineStr">
        <is>
          <t>Lung cancer from vitamin b12</t>
        </is>
      </c>
      <c r="C10798" t="inlineStr">
        <is>
          <t>I recently read a study that correlated lung cancer with high doses of vitamin b12. I myself took 1000ug of vitamin b12 for 40 days. The preparation consisted of methylcobalamin, adenosylcobalamin and hydroxocobalamin. The last intake was six weeks ago. My serum level is currently 386pg/ml. Do I have to worry that my level will continue to rise because the preparation has not yet been completely metabolized. Do I have to worry about lung cancer, or was my intake period too short?</t>
        </is>
      </c>
      <c r="D10798" t="n">
        <v>1</v>
      </c>
      <c r="E10798" t="n">
        <v>1</v>
      </c>
      <c r="F10798">
        <f>HYPERLINK("https://www.reddit.com/r/cancer/comments/i9unsk/lung_cancer_from_vitamin_b12/")</f>
        <v/>
      </c>
      <c r="G10798" t="inlineStr">
        <is>
          <t>2020-08-14 14:24:35</t>
        </is>
      </c>
      <c r="H10798" t="inlineStr"/>
    </row>
    <row r="10799">
      <c r="A10799" t="inlineStr">
        <is>
          <t>i9w45i</t>
        </is>
      </c>
      <c r="B10799" t="inlineStr">
        <is>
          <t>Best place to donate hats to for cancer patients or other charitable acts?</t>
        </is>
      </c>
      <c r="C10799" t="inlineStr">
        <is>
          <t>Hi everyone! 6 years ago I started a hat business where I designed my own brand/line of hats. I haven't had the time to work towards that for a few years and have a lot of leftovers that I would like to donate - preferably to something like a cancer/chemo foundation. Can anyone suggest a good place to get in contact with? I am located in Pittsburgh, PA. These are strapback hats too - not knitted. Thanks everyone. &amp;lt;3</t>
        </is>
      </c>
      <c r="D10799" t="n">
        <v>1</v>
      </c>
      <c r="E10799" t="n">
        <v>1</v>
      </c>
      <c r="F10799">
        <f>HYPERLINK("https://www.reddit.com/r/cancer/comments/i9w45i/best_place_to_donate_hats_to_for_cancer_patients/")</f>
        <v/>
      </c>
      <c r="G10799" t="inlineStr">
        <is>
          <t>2020-08-14 15:46:36</t>
        </is>
      </c>
      <c r="H10799" t="inlineStr"/>
    </row>
    <row r="10800">
      <c r="A10800" t="inlineStr">
        <is>
          <t>i9z30d</t>
        </is>
      </c>
      <c r="B10800" t="inlineStr">
        <is>
          <t>How to collect and give donation to cut my hair</t>
        </is>
      </c>
      <c r="C10800" t="inlineStr">
        <is>
          <t>I will soon start to loose my hair with the new chemotherapy. So I want to choose to cut them and donate them. I don't have a lot of time but I would like to make a donation at the same time to the department taking care of my kind of cancer. Usually you can collect money from people before cutting them at an event that will give the money directly, but there's none during covid. Still, I have no idea where to start on my own via the internet. Should I start a GoFundMe or is there something specific for what I want or maybe just redirect people on the donation site... 
*Treatments are free where I'm from, so it's  kind of a big deal.</t>
        </is>
      </c>
      <c r="D10800" t="n">
        <v>1</v>
      </c>
      <c r="E10800" t="n">
        <v>1</v>
      </c>
      <c r="F10800">
        <f>HYPERLINK("https://www.reddit.com/r/cancer/comments/i9z30d/how_to_collect_and_give_donation_to_cut_my_hair/")</f>
        <v/>
      </c>
      <c r="G10800" t="inlineStr">
        <is>
          <t>2020-08-14 18:55:39</t>
        </is>
      </c>
      <c r="H10800" t="inlineStr"/>
    </row>
    <row r="10801">
      <c r="A10801" t="inlineStr">
        <is>
          <t>i9zq7p</t>
        </is>
      </c>
      <c r="B10801" t="inlineStr">
        <is>
          <t>Grumpy Stage IV Breast Cancer Patient wants to know about your suffering!</t>
        </is>
      </c>
      <c r="C10801" t="inlineStr">
        <is>
          <t>I’ve been very irritable lately (maybe it’s the Keppra?), and I would love to hear the complaints and annoyances of others! What’s getting under your skin lately?
Also, I had a bad scan and my onc changed meds, but I’m still waiting on my insurance company to approve the switch. They declined the precautions on my previous meds because of progression and I’m worried they’ll decline the new one too, because it was used in a clinical trial I was part of. I’ve taken it before and later progressed, but I didn’t progress while I was on it. Idk. Lately I’ve just been feeling very tired of being a cancer patient. So let’s stop putting our bravest faces on and complain about the bullshit realities of being a cancer patient.</t>
        </is>
      </c>
      <c r="D10801" t="n">
        <v>1</v>
      </c>
      <c r="E10801" t="n">
        <v>21</v>
      </c>
      <c r="F10801">
        <f>HYPERLINK("https://www.reddit.com/r/cancer/comments/i9zq7p/grumpy_stage_iv_breast_cancer_patient_wants_to/")</f>
        <v/>
      </c>
      <c r="G10801" t="inlineStr">
        <is>
          <t>2020-08-14 19:41:27</t>
        </is>
      </c>
      <c r="H10801" t="inlineStr"/>
    </row>
    <row r="10802">
      <c r="A10802" t="inlineStr">
        <is>
          <t>ia1a5e</t>
        </is>
      </c>
      <c r="B10802" t="inlineStr">
        <is>
          <t>Mom's journey with cancer is over.</t>
        </is>
      </c>
      <c r="C10802" t="inlineStr">
        <is>
          <t>I've gotten so much support and information from this group throughout my mom's battle with lung cancer, and I feel obligated to share that her journey on Earth has ended. 
I am so grateful for everyone who took the time to reply to my posts. You helped me immensely, and I wish you all the best. I know mom appreciates you all looking out for me too.</t>
        </is>
      </c>
      <c r="D10802" t="n">
        <v>1</v>
      </c>
      <c r="E10802" t="n">
        <v>14</v>
      </c>
      <c r="F10802">
        <f>HYPERLINK("https://www.reddit.com/r/cancer/comments/ia1a5e/moms_journey_with_cancer_is_over/")</f>
        <v/>
      </c>
      <c r="G10802" t="inlineStr">
        <is>
          <t>2020-08-14 21:37:59</t>
        </is>
      </c>
      <c r="H10802" t="inlineStr"/>
    </row>
    <row r="10803">
      <c r="A10803" t="inlineStr">
        <is>
          <t>ia2ify</t>
        </is>
      </c>
      <c r="B10803" t="inlineStr">
        <is>
          <t>Does Vision Return After Chemo?</t>
        </is>
      </c>
      <c r="C10803" t="inlineStr">
        <is>
          <t>My mom is currently fighting stage 4 cervical cancer and her vision has drastically deteriorated this year on chemo.  Does anyone know if her vision might return after finishing chemo?</t>
        </is>
      </c>
      <c r="D10803" t="n">
        <v>1</v>
      </c>
      <c r="E10803" t="n">
        <v>3</v>
      </c>
      <c r="F10803">
        <f>HYPERLINK("https://www.reddit.com/r/cancer/comments/ia2ify/does_vision_return_after_chemo/")</f>
        <v/>
      </c>
      <c r="G10803" t="inlineStr">
        <is>
          <t>2020-08-14 23:21:58</t>
        </is>
      </c>
      <c r="H10803" t="inlineStr"/>
    </row>
    <row r="10804">
      <c r="A10804" t="inlineStr">
        <is>
          <t>ia3ovs</t>
        </is>
      </c>
      <c r="B10804" t="inlineStr">
        <is>
          <t>“The lights” my journey with Ocular choroidal melanoma.</t>
        </is>
      </c>
      <c r="C10804" t="inlineStr">
        <is>
          <t>I am writing this because when I was diagnosed I searched for articles or forums or much of anything with people having similar diagnosis’s so I could know what to expect from a non medical perspective and had very little luck. So hopefully this helps someone else if they are feeling scared. 
Last July I started seeing the lights. Flashing lights on my left side. It seemed as though someone was shining a strobe light at my back and I could see the flashing in my peripheral vision. This brought on some headaches and a bit of nausea but didn’t seem like a huge deal. 
During a routine physical I brought it up to my primary physician, (who would later tell me she knew exactly what it was as soon as I told her about the lights, but didn’t want to scare me if she was wrong since this is so rare) and she referred me to an optometrist, who said she found a freckle on the back of my eye. She referred me to an ophthalmologist and I had to wait another month before that appointment. 
Within that time, my vision degraded rapidly. Every started looking distorted and bent, like a funhouse mirror or a psychedelic trip, and I could hardly see at all at night due to the flashing lights. I was a pizza delivery driver at the time, with a reputation for being the fastest and best driver at the store. I remember several times during this period when I returned to the store in tears, terrified of what was happening, frustrated out of my mind that I could no longer effectively do what seemed to me to be one of the simplest of jobs. 
When I finally got to see the ophthalmologist, they did a battery of tests, including an ultrasound directly on my eyeball (which by the way, sounds like it will be so terrible, but it’s really not. They numb your eye and it’s totally painless and not that bad at all). When the doctor came into my exam room after the tests were completed he sat down and told me that he hated to be the one to tell me this, but what was happening was that I had developed a choroidal melanoma, a cancerous tumor inside my eye. He referred me to an ocular oncologist at OHSU and sent me on my way. 
I was completely stunned. I cried my eyes out in the parking lot while I waited for my parents to pick me up and take me home. Cancer? Me? I’m a 28 year old girl, I’m too young for this. I was terrified. I went home and spent the next 15 hours stuck to my computer screen, reading everything I could find on ocular oncology. By the next day, being as educated as I could possibly be in one day, much of my panic had disappeared. 
I scheduled an appointment with Dr. Alison Skalet at OHSU, a specialist in ocular oncology and one of the leading surgeons in her field. More tests were run, and the diagnosis was confirmed. 
She explained to me that this was a very rare form of cancer, even more rare for people of my age. She said most of her patients are 65+. She was wonderful and reassuring. She explained the best form of treatment for this type of cancer was called brachytherapy, an isolated, directed form of radiation. The next month, I underwent two surgeries, the first to place a gold plaque that was charged with radiation into my eye behind the tumor, and 5 days later, another to remove the plate and reattach the eye muscles. 
I won’t lie to you, it was not a fun week. It was an outpatient surgery, so I was able to go home,but I was radioactive so no one was permitted within 6 feet of me.  Each time I removed my eye patch to clean it and put the antibiotic ointment I had been given I had extreme vertigo and it instantly made me nauseous. At one point I attempted to get by with pain medication and a couple hours later was completely taken by the worst pain I’ve ever experienced. I took the pain meds as instructed after that point and listened to audio books and drifted in and out of sleep for most of the remainder of the week. After the second surgery when they removed the plaque there was a bit of soreness but most of the pain had vanished. I wore an eye patch for another week or two. 
The most startling thing post surgery was the appearance of my eye. Dr. Skalet had warned me that it may look like raw hamburger bubbling out from under my eyelids, I had thought that that was funny when she said it. But when I looked in the mirror and saw exactly that, I wasn’t laughing. The eye was so bubbles and swollen I had to pull my eyelid over it in order to close my eye for about a month. I felt pretty hideous and couldn’t wear makeup or go anywhere or do anything strenuous for the next two months. 
After that the swelling went way down, and all that was left was a pretty bright redness in the eye. I was able to start working again, though my vision had gotten so bad after the surgeries that I decided to drive professionally anymore due to the heightened risk, but I still drove myself to and from and was fine doing that. 
In May of this year I had my 6 month post operative appointment. All the tests and imaging were done again to measure the size of the tumor, and it looks like the surgeries were a success. Dr. Skalet said that tumor has reduced an expected amount, and she is pleased with our progress. My vision has also greatly uncreased since then, the fun house distortion is almost entirely gone, I no longer see the flashing lights, and I see almost as clearly as my good eye. I have been told not to hang on to that too tightly, however. Dr. Skalet said that after a year or two the radiation from the treatment will eventually have completely destroyed the vision as well as the tumor in that eye, and that no glasses would be able to correct that. So I am just enjoying my close to normal vision while it lasts!
While the surgeries seem to have been a success, I have been referred to a general oncologist for follow up monitoring and care. People with choroidal melanoma are much more likely to develop lung or liver cancer as well ( in my case, according the the biopsies of my tumor, I have about a 30% chance of metastasis of the liver or lung within the next five years). So every six months I have to get a CT scan and MRI of the areas to make sure that if a mass appears, we find it quickly. 
I had a wonderful support system throughout this process of my family, friends, and boyfriend by my side, and I will forever be grateful. However, this experience has still emotionally impacted me. I have noticed that situations have started to feel much more out of my control and my anxiety has gotten much worse and have had to start taking an antidepressant/anti anxiety medication to combat that. They are helping. A lot. Mental health matters. If you need help, ask for it. 
I consider myself lucky.  As far as cancers go, I think this was one of the easier ones.  I didn’t have any long drawn out radiation or chemotherapy to endure and things are looking good. There is still the fear of the not knowing whether it will spread, but I try not to dwell on that, and just give it to God. He put me in good hands with Dr. Skalet and I know I’ll be taken care of if the need arises again.</t>
        </is>
      </c>
      <c r="D10804" t="n">
        <v>1</v>
      </c>
      <c r="E10804" t="n">
        <v>2</v>
      </c>
      <c r="F10804">
        <f>HYPERLINK("https://www.reddit.com/r/cancer/comments/ia3ovs/the_lights_my_journey_with_ocular_choroidal/")</f>
        <v/>
      </c>
      <c r="G10804" t="inlineStr">
        <is>
          <t>2020-08-15 01:14:34</t>
        </is>
      </c>
      <c r="H10804" t="inlineStr">
        <is>
          <t xml:space="preserve">Patient </t>
        </is>
      </c>
    </row>
    <row r="10805">
      <c r="A10805" t="inlineStr">
        <is>
          <t>ia7xtb</t>
        </is>
      </c>
      <c r="B10805" t="inlineStr">
        <is>
          <t>Has it spread</t>
        </is>
      </c>
      <c r="C10805" t="inlineStr">
        <is>
          <t>Hi there..38f diagnosed Wednesday with grade 2 invasive ductal breast cancer.... I need an MRI scan to see if its spread..I'm working myself into a real state thinking that its spread.</t>
        </is>
      </c>
      <c r="D10805" t="n">
        <v>1</v>
      </c>
      <c r="E10805" t="n">
        <v>13</v>
      </c>
      <c r="F10805">
        <f>HYPERLINK("https://www.reddit.com/r/cancer/comments/ia7xtb/has_it_spread/")</f>
        <v/>
      </c>
      <c r="G10805" t="inlineStr">
        <is>
          <t>2020-08-15 07:07:53</t>
        </is>
      </c>
      <c r="H10805" t="inlineStr"/>
    </row>
    <row r="10806">
      <c r="A10806" t="inlineStr">
        <is>
          <t>ia82u3</t>
        </is>
      </c>
      <c r="B10806" t="inlineStr">
        <is>
          <t>Dad has cancer. I'm feeling weird.</t>
        </is>
      </c>
      <c r="C10806" t="inlineStr">
        <is>
          <t>Dad was diagnosed with brain cancer the day before yesterday and we've just been informed that the tumour is inoperable.
The weird thing is: I don't feel numb, or sad or anything. I'm sort of just been getting on with my regular routine and I'm starting to feel guilty about not feeling worse. Is that odd?</t>
        </is>
      </c>
      <c r="D10806" t="n">
        <v>1</v>
      </c>
      <c r="E10806" t="n">
        <v>6</v>
      </c>
      <c r="F10806">
        <f>HYPERLINK("https://www.reddit.com/r/cancer/comments/ia82u3/dad_has_cancer_im_feeling_weird/")</f>
        <v/>
      </c>
      <c r="G10806" t="inlineStr">
        <is>
          <t>2020-08-15 07:16:38</t>
        </is>
      </c>
      <c r="H10806" t="inlineStr"/>
    </row>
    <row r="10807">
      <c r="A10807" t="inlineStr">
        <is>
          <t>iaauv2</t>
        </is>
      </c>
      <c r="B10807" t="inlineStr">
        <is>
          <t>Shoulder issues detected in PET scan</t>
        </is>
      </c>
      <c r="C10807" t="inlineStr">
        <is>
          <t>Not sure if anyone has seen this but wanted some advice. I had my routine PET scan last week and the good news is I am cancer free! However they found hyper metabolic activity in my right shoulder. It was more significant than movement during the test but not significant enough to be cancer. My oncologist asked how I was feeling and if I’ve been playing tennis lately. He wasn’t sure what it was and said it could be some soreness or maybe a tear. He kinda left it at that. I’m not in a ton of pain but have had some soreness in the shoulder and arm, so the diagnosis makes sense. I saw a chiropractor and he said he didn’t feel a tear. 
Has anyone had a similar experience in an extremity with a PET scan? Should I follow up with like an orthopedist or something or is this one of those things it’s okay to let go? My oncologist remains very hands off on things not associated with cancer and says follow up with your PCP so maybe that’s a good place to start? Not sure how to play this one and thought this group might have an interesting perspective.</t>
        </is>
      </c>
      <c r="D10807" t="n">
        <v>1</v>
      </c>
      <c r="E10807" t="n">
        <v>2</v>
      </c>
      <c r="F10807">
        <f>HYPERLINK("https://www.reddit.com/r/cancer/comments/iaauv2/shoulder_issues_detected_in_pet_scan/")</f>
        <v/>
      </c>
      <c r="G10807" t="inlineStr">
        <is>
          <t>2020-08-15 09:54:40</t>
        </is>
      </c>
      <c r="H10807" t="inlineStr">
        <is>
          <t xml:space="preserve">Patient </t>
        </is>
      </c>
    </row>
    <row r="10808">
      <c r="A10808" t="inlineStr">
        <is>
          <t>iacg78</t>
        </is>
      </c>
      <c r="B10808" t="inlineStr">
        <is>
          <t>Back with MORE good news!</t>
        </is>
      </c>
      <c r="C10808" t="inlineStr">
        <is>
          <t>If you want to look at my post history for details on my boyfriend's diagnosis and treatment please do. The short of it is he was diagnosed with stage 4 colorectal and liver cancer in March. He has done 8 out of the 12 rounds of chemo and he is taking a break because.... They have scheduled surgery!!! 
At the beginning they said he had about a 30% chance of being cured with surgery based on the location of the tumors. Thanks to science, hope, and his strength and willingness to do what he needed to do, they're now planning the surgery on the tumors on the colon and may be able to do surgery on his liver at the same time. 
He is taking a break from chemo before surgery in September and then he will finish out the chemo. At least that's the plan/hope.
We're off to celebrate a day in the city (socially distanced of course). Prayers and so much love and appreciation for you all. 🙏❤️</t>
        </is>
      </c>
      <c r="D10808" t="n">
        <v>1</v>
      </c>
      <c r="E10808" t="n">
        <v>19</v>
      </c>
      <c r="F10808">
        <f>HYPERLINK("https://www.reddit.com/r/cancer/comments/iacg78/back_with_more_good_news/")</f>
        <v/>
      </c>
      <c r="G10808" t="inlineStr">
        <is>
          <t>2020-08-15 11:19:18</t>
        </is>
      </c>
      <c r="H10808" t="inlineStr"/>
    </row>
    <row r="10809">
      <c r="A10809" t="inlineStr">
        <is>
          <t>iad0jl</t>
        </is>
      </c>
      <c r="B10809" t="inlineStr">
        <is>
          <t>Long Term Side Effects of Keytruda?</t>
        </is>
      </c>
      <c r="C10809" t="inlineStr">
        <is>
          <t>Hello all -  Does anyone know if Keytruda has any long term effects? I'm particularly curious if it can trigger depression. I know depressed mood is a side effect when taking it, but am curious if that depression can rebound or come later.
My mother was on it for about 1.5 years, with her last infusion being in February of 2019. Thankfully, it was a successful treatment. However, she has since become severely depressed. I realize circumstances with the pandemic, and her living alone/isolated is without a doubt contributing to her depression, but am trying to cover all the bases while we wait for her appointment with a psychiatrist.
Thank you for your help.</t>
        </is>
      </c>
      <c r="D10809" t="n">
        <v>1</v>
      </c>
      <c r="E10809" t="n">
        <v>9</v>
      </c>
      <c r="F10809">
        <f>HYPERLINK("https://www.reddit.com/r/cancer/comments/iad0jl/long_term_side_effects_of_keytruda/")</f>
        <v/>
      </c>
      <c r="G10809" t="inlineStr">
        <is>
          <t>2020-08-15 11:49:35</t>
        </is>
      </c>
      <c r="H10809" t="inlineStr"/>
    </row>
    <row r="10810">
      <c r="A10810" t="inlineStr">
        <is>
          <t>iadxev</t>
        </is>
      </c>
      <c r="B10810" t="inlineStr">
        <is>
          <t>Planning on visiting a doctor soon for an analysis for swollen lymph node under chin.</t>
        </is>
      </c>
      <c r="C10810" t="inlineStr">
        <is>
          <t>Recently after experiencing a high amount of anxiety that something bad was going to happen to me I got a swollen lymph node under my chin and now I’m really scared because whenever I see the word fever I get really warm and when I see the word chill I cool down kinda. My family has a history of cancer which is even more worrying.</t>
        </is>
      </c>
      <c r="D10810" t="n">
        <v>1</v>
      </c>
      <c r="E10810" t="n">
        <v>11</v>
      </c>
      <c r="F10810">
        <f>HYPERLINK("https://www.reddit.com/r/cancer/comments/iadxev/planning_on_visiting_a_doctor_soon_for_an/")</f>
        <v/>
      </c>
      <c r="G10810" t="inlineStr">
        <is>
          <t>2020-08-15 12:39:08</t>
        </is>
      </c>
      <c r="H10810" t="inlineStr"/>
    </row>
    <row r="10811">
      <c r="A10811" t="inlineStr">
        <is>
          <t>iae5o8</t>
        </is>
      </c>
      <c r="B10811" t="inlineStr">
        <is>
          <t>I miss beer.</t>
        </is>
      </c>
      <c r="C10811" t="inlineStr">
        <is>
          <t>32 years old, male, with Stage IV colon cancer, as well as a transverse colostomy, due to blockages cause by the tumor in my colon. 
I have undergone 25 rounds of chemotherapy so far. I’m feeling surprisingly good, finally putting back on some weight and my recent CT scan actually showed that the tumors in my liver have shrunk significantly. 
As the topic states, I miss beer and was wondering, would be okay to have a single drink at night, with my dinner, or before bed? Or could it react badly with my chemo, or cause other negative effects due to the cancer or ostomy. Thank you for any and all feedback!</t>
        </is>
      </c>
      <c r="D10811" t="n">
        <v>1</v>
      </c>
      <c r="E10811" t="n">
        <v>8</v>
      </c>
      <c r="F10811">
        <f>HYPERLINK("https://www.reddit.com/r/cancer/comments/iae5o8/i_miss_beer/")</f>
        <v/>
      </c>
      <c r="G10811" t="inlineStr">
        <is>
          <t>2020-08-15 12:52:03</t>
        </is>
      </c>
      <c r="H10811" t="inlineStr">
        <is>
          <t xml:space="preserve">Patient </t>
        </is>
      </c>
    </row>
    <row r="10812">
      <c r="A10812" t="inlineStr">
        <is>
          <t>iaeo97</t>
        </is>
      </c>
      <c r="B10812" t="inlineStr">
        <is>
          <t>Overwhelmed and in need of adivce</t>
        </is>
      </c>
      <c r="C10812" t="inlineStr">
        <is>
          <t>My birthday was Thursday the 13th. That same day my mothers (60F) diagnoses came in (left as a damn phone msg. by the doctor). It was not good. About 2 weeks ago she had a tumor removed from her bladder, the results are that it is very aggressive, has worked it's way into the muscle and they will test further to see if it has moved into the bones and/or other organs. Needless to say, we are all petrified- especially since she has been trying to get someone to look at her for the last year. She went immediately into a deep depression and keeps talking about how she's going to die, leave my father and I all this money, and she is making herself physically sick with worry. I have always been the strongest one in the family - I don't know if I have the capacity to do this. My dad is a truck driver and often gone, I work....A LOT. She is home alone A LOT. And now she is panicking about finances and my dad having to take time off of work to go to appointments. I'll have to use most of my time off to help as well (she doesn't drive herself as she has a fear of driving). She will need help with finances I am sure. I've done a wee bit of research online but most appear to be for "young" folks or I can't find anything "available" at this time. What are my options? Where do I go from here? I think I am feeling a bit overwhelmed with it all and don't know which way to go or look. Thanks in advance\~ and apologies as I appear to be a little bit of everywhere in this post, still trying to work through the shock and fear of it all.</t>
        </is>
      </c>
      <c r="D10812" t="n">
        <v>1</v>
      </c>
      <c r="E10812" t="n">
        <v>4</v>
      </c>
      <c r="F10812">
        <f>HYPERLINK("https://www.reddit.com/r/cancer/comments/iaeo97/overwhelmed_and_in_need_of_adivce/")</f>
        <v/>
      </c>
      <c r="G10812" t="inlineStr">
        <is>
          <t>2020-08-15 13:21:11</t>
        </is>
      </c>
      <c r="H10812" t="inlineStr"/>
    </row>
    <row r="10813">
      <c r="A10813" t="inlineStr">
        <is>
          <t>iafohn</t>
        </is>
      </c>
      <c r="B10813" t="inlineStr">
        <is>
          <t>A bit worried need some advice</t>
        </is>
      </c>
      <c r="C10813" t="inlineStr">
        <is>
          <t>I’m a healthy fit 27 year old male about 2 days ago while I was scratching around my neck I noticed a small lump in the scoop by my collarbone that’ is painless and moves around almost like a ball of fat could this be a tumor ? Or could it also be a fatty lymphoma that’s harmed or cyst ?</t>
        </is>
      </c>
      <c r="D10813" t="n">
        <v>1</v>
      </c>
      <c r="E10813" t="n">
        <v>3</v>
      </c>
      <c r="F10813">
        <f>HYPERLINK("https://www.reddit.com/r/cancer/comments/iafohn/a_bit_worried_need_some_advice/")</f>
        <v/>
      </c>
      <c r="G10813" t="inlineStr">
        <is>
          <t>2020-08-15 14:19:26</t>
        </is>
      </c>
      <c r="H10813" t="inlineStr">
        <is>
          <t xml:space="preserve">Patient </t>
        </is>
      </c>
    </row>
    <row r="10814">
      <c r="A10814" t="inlineStr">
        <is>
          <t>iakub9</t>
        </is>
      </c>
      <c r="B10814" t="inlineStr">
        <is>
          <t>Stage 4 Lung Cancer - vlog for self-therapy</t>
        </is>
      </c>
      <c r="C10814" t="inlineStr">
        <is>
          <t>I posted my 2nd video, but my first of my cancer vlog. I'm not sure how it will go, at this point its self-therapy. I do hope to reach others through it and that it can and will bring good to others as it does me.
[https://youtu.be/vpJub1DMkZg](https://youtu.be/vpJub1DMkZg)
I'd appreciate feed back - doesn't need to be on youtube it can be here.. But i'd like to hear from everyone.. I feel like I'm talking to talk (My comment about self-therapy). 
&amp;amp;#x200B;
Anyway, sending my thoughts and prayers to everyone here. I prayer for all of us. Stay strong and Quitting is not an option!</t>
        </is>
      </c>
      <c r="D10814" t="n">
        <v>1</v>
      </c>
      <c r="E10814" t="n">
        <v>4</v>
      </c>
      <c r="F10814">
        <f>HYPERLINK("https://www.reddit.com/r/cancer/comments/iakub9/stage_4_lung_cancer_vlog_for_selftherapy/")</f>
        <v/>
      </c>
      <c r="G10814" t="inlineStr">
        <is>
          <t>2020-08-15 19:45:27</t>
        </is>
      </c>
      <c r="H10814" t="inlineStr"/>
    </row>
    <row r="10815">
      <c r="A10815" t="inlineStr">
        <is>
          <t>iakzph</t>
        </is>
      </c>
      <c r="B10815" t="inlineStr">
        <is>
          <t>Caretaking Son Seeking Advice - Mom's Breast Cancer Situation</t>
        </is>
      </c>
      <c r="C10815" t="inlineStr">
        <is>
          <t>Hey all, I could really use some advice/help on what next steps to take regarding the situation my mom &amp;amp; I are in. My mom's breast biopsy came back positive yesterday, and it shows she has cancer. I'm mainly looking for advice/help on how to now advise/notify her job and secondly, what to expect from her employer. 
Situation: My mom doesn't speak English too well, and is very shy &amp;amp; easily intimidated; so anything that deals with HR is usually up to me to help or coordinate with. She is in her 60's, and works in a production line where she hasn't needed to speak it much for the past 20ish years.
This coming week (Monday) she is scheduled to see an oncologist and find out what stage her breast cancer is in, etc. We'll find out what to do from there. She plans on taking Tuesday off so she can just rest and take in the news -good or bad. 
Now, here's the part where I could use advice -my mom plans on taking 2 out of 4 of her 'attendance' points to see the oncologist &amp;amp; take Tuesday off. She hopes to get an FMLA application filled out &amp;amp; turned in by tuesday. And she assumes it'll be approved by Wednesday, in time for her to take time off for any future appointments/procedures as needed. My concern is that she's taking 'attendance points' in the first place and secondly, that she'll use up all of them in the case the oncologist wants to see her more. What I don't want happening is that she'll use all up and get fired, also losing health insurance. 
My questions:
Is there any way to expedite the FMLA process? or has anyone had theirs expedited in the event of cancer?
Is there any way to combat my mom's receiving 'attendance points' for the coming days. (to visit oncologist, etc?)
Should we request doctor's notes to excuse from work? (until we can get FMLA approved?)
And any other advice on how to approach this situation? I mainly want to avoid her getting fired due to 'attendance points' and take care of as much of the logistics in this horrible situation. 
&amp;amp; lastly, if there's any other advice one has, I'm very much open to it.</t>
        </is>
      </c>
      <c r="D10815" t="n">
        <v>1</v>
      </c>
      <c r="E10815" t="n">
        <v>4</v>
      </c>
      <c r="F10815">
        <f>HYPERLINK("https://www.reddit.com/r/cancer/comments/iakzph/caretaking_son_seeking_advice_moms_breast_cancer/")</f>
        <v/>
      </c>
      <c r="G10815" t="inlineStr">
        <is>
          <t>2020-08-15 19:56:02</t>
        </is>
      </c>
      <c r="H10815" t="inlineStr"/>
    </row>
    <row r="10816">
      <c r="A10816" t="inlineStr">
        <is>
          <t>ialdqd</t>
        </is>
      </c>
      <c r="B10816" t="inlineStr">
        <is>
          <t>Watched my Mom die. Feeling immense anger and guilt</t>
        </is>
      </c>
      <c r="C10816" t="inlineStr">
        <is>
          <t>Mom was diagnosed with stage 4 cancer back in June. She'd been feeling pain for some time but kept it to herself until it was too late. A biopsy later revealed it was breast cancer that had metastasized to her bones. The doctors gave her six months to live without treatment so Mom opted to start treatment right away, but due to poor health insurance, the current Covid epidemic, and the pitfalls of bureaucracy she didn't get into the hospital until over a month later.
Since her health was already deteriorating so fast she basically had lost the ability to walk on her own at this point. There was a tumor on her spine and the doctors said if she didn't have surgery to remove it soon that she would be paralyzed for the remainder of her life. She had a spinal fusion which went well and at this point we were all hopeful and talking about life after moving her back home to live with everyone.
Since time was of the essence and she and everyone in our family agreed that she wanted to pursue treatment, she was given hormone therapy and her first round of chemo within a week of her surgery. Unfortunately, a few days later she developed pneumonia. Shortly thereafter, she had developed sepsis and a host of other infections and was put on a ventilator. At this point the doctors were already recommending palliative care and taking her off the ventilator to "die with dignity." One by one her organs began to fail her. First her right lung collapsed. Then her kidney started failing.
And finally last night, I watched her die through a phone. For me, the worst part about this was that I couldn't be there for her in person. I live abroad in China, and do to the current epidemic I cannot come back here if I were to leave and go back to the States. I have a wife and family here, so I opted to stay with the hope that she would get better and I could visit next year. Unfortunately, it didn't work out. 
She kept her eyes open the whole night until she finally fell asleep. I looked into her eyes and could see that she wasn't ready to go. My family that was with her were doing their best to send her off peacefully, but I got a little frustrated that they just kept offering her platitudes about going in peace, like they were just waiting for her to die, when it was so clear that she didn't want to go yet.
In the aftermath, I'm feeling immense anger and guilt. Anger towards a medical system that I view as having failed her. If she had never opted for treatment and just gotten palliative care, it's likely that she would have had more time and wouldn't have had to spend her last weeks on a ventilator in so much suffering. Anger that we all trusted the doctors and yet she died within weeks of entering the hospital. I'm no doctor, but in hindsight it seems clear that she was too weak to start treatment and needed more time to recover from her surgery and really make an informed decision whether treatment was the best course of action. It feels like the whole situation was so rushed.
And of course, guilt that I wasn't there for her in her greatest time of need. I'm her only son, and when she needed me most I wasn't there for her. We only got to have one conversation while she could still speak, and it was so rushed and hectic. Thanks to China banning all foreigns apps, I could not communicate with her directly even with a VPN and had to rely on my Aunt who had WeChat to video with her. Even though I got to say goodbye and speak with her at the end, it still doesn't feel the same as a real conversation would have. I don't know if I will ever forgive myself for not going back to see her and hug her one last time. 
That's all I have to say. I don't have many friends so it helps to get these feelings off my chest anonymously. Having experienced this first hand, I empathize so much more now with everyone here as I've been reading your experiences these last couple months. Cancer is a scourge to mankind and there's no platitudes to ease the pain.</t>
        </is>
      </c>
      <c r="D10816" t="n">
        <v>1</v>
      </c>
      <c r="E10816" t="n">
        <v>17</v>
      </c>
      <c r="F10816">
        <f>HYPERLINK("https://www.reddit.com/r/cancer/comments/ialdqd/watched_my_mom_die_feeling_immense_anger_and_guilt/")</f>
        <v/>
      </c>
      <c r="G10816" t="inlineStr">
        <is>
          <t>2020-08-15 20:24:00</t>
        </is>
      </c>
      <c r="H10816" t="inlineStr"/>
    </row>
    <row r="10817">
      <c r="A10817" t="inlineStr">
        <is>
          <t>ialxpd</t>
        </is>
      </c>
      <c r="B10817" t="inlineStr">
        <is>
          <t>Reactions to Benzonatate</t>
        </is>
      </c>
      <c r="C10817" t="inlineStr">
        <is>
          <t>Benzonatate seems to be the go-to drug for cough suppression.
Has anyone had any negative reactions or negative responses to this medication?
 A little backstory
I was diagnosed with Stage 4 Lung Cancer. Since my diagnosis and start of treatment I became so much worse and it baffled me. I knew the mere fact of finding out couldn't have caused these sudden severe issues.. could it just be a fluke that I got so much worse at the same time of starting treatment or could this be a side effect of the treatment(s) while they are doing their job .. ie: lung irritation etc.
&amp;amp;#x200B;
The couch suppressant Benzonatate; which has been deemed the go-to by everyone wasn't working. I was getting worse. I'd go to talk and it would take my breath away, like breathing in something caustic. Breathing in and of itself was fairly good.. I'd rate it a 7 or 8 out of 10. Attempting to talk would be a 2 out of 10. 
Benzonatate was prescribed as "Take as needed". Since it wasn't working I stopped taking it. My oncologist referred me back to my Pulmonary for help. They increase my Symbicort and put me back in Prednisone. After a few days it help dramatically - I was 7 or 8 out of 10 95% of the day.
Previous to all of this, my Oncologist was concerned about my cough. Saying she didn't want me coughing. Her concern was me popping a blood vessel and bleeding to death. 
Now that the new med adjustments had me at 7 or 8 for 95% of the day, I thought I'd take the Benzonatate to knock off the remaining 2/10 and the 5% remaining. 
I was back to square one. I couldn't talk again. After looking up side effects, it usually refers to people getting laryngospasm (Vocal Cord spasms)after breaking, chewing or sucking on the pills. However the Mayo-Clinic lists a rare side effect of the  Benzonatate as difficulties with speech and vocal spasms.
I believe my issues with speaking might be total drug relate and not to my diagnosis (I'm hoping anyway). I stopped taking it, and will watch over the next 2 o 3 days so see if I magically improve again. I see my Dr on Monday after radiation and will discuss this with her at that time - in the meanwhile... has anyone else experienced this?
&amp;amp;#x200B;
\#QuittingIsNotAnOption</t>
        </is>
      </c>
      <c r="D10817" t="n">
        <v>1</v>
      </c>
      <c r="E10817" t="n">
        <v>0</v>
      </c>
      <c r="F10817">
        <f>HYPERLINK("https://www.reddit.com/r/cancer/comments/ialxpd/reactions_to_benzonatate/")</f>
        <v/>
      </c>
      <c r="G10817" t="inlineStr">
        <is>
          <t>2020-08-15 21:05:32</t>
        </is>
      </c>
      <c r="H10817" t="inlineStr"/>
    </row>
    <row r="10818">
      <c r="A10818" t="inlineStr">
        <is>
          <t>iasu93</t>
        </is>
      </c>
      <c r="B10818" t="inlineStr">
        <is>
          <t>Advice for teenager about brain tumors</t>
        </is>
      </c>
      <c r="C10818" t="inlineStr">
        <is>
          <t>I’m 17
For the past month I have felt like death
I’ve had neck pain where they did an MRI of my spine and diagnosed me with a bulging disc.
After that I began to have headaches and heart palpitations and a few nights ago I threw up my psyche meds (I believe food poisoning from dinner caused the throw up) and I didn’t sleep at all that night
At about 3 am that night I began to feel very off and I was half asleep and I felt almost like a very strong tingling around my body and it was almost like a dream but I don’t think I was asleep
I don’t know if I had a seizure. I’ve never had a seizure but this felt like nothing I’ve felt in my life. I had an odd taste in my mouth and had a terrible headache after 
I’m very worried I have a brain tumor and my mother does not even believe Me at all. and was very difficult to get me into the doctor prior due to the disc issue. Can anyone tell me what having a seizure as your half asleep or laying down is like. Any advice or re assurance would be great
I’m also really worried about cancer because my aunt died a month ago and was diagnosed with cancer and died within a week later because she did not seek help for over 2 years of pain.
The day after I had that experience I actually took my psyche meds the next day and slept for well over 15 hours.  I’m not asking if I have cancer. I’m just asking for reassurance and someone to tell me to calm down</t>
        </is>
      </c>
      <c r="D10818" t="n">
        <v>1</v>
      </c>
      <c r="E10818" t="n">
        <v>2</v>
      </c>
      <c r="F10818">
        <f>HYPERLINK("https://www.reddit.com/r/cancer/comments/iasu93/advice_for_teenager_about_brain_tumors/")</f>
        <v/>
      </c>
      <c r="G10818" t="inlineStr">
        <is>
          <t>2020-08-16 07:03:24</t>
        </is>
      </c>
      <c r="H10818" t="inlineStr"/>
    </row>
    <row r="10819">
      <c r="A10819" t="inlineStr">
        <is>
          <t>iat229</t>
        </is>
      </c>
      <c r="B10819" t="inlineStr">
        <is>
          <t>Please help further our knowledge about your experience battling cancer (you get paid)</t>
        </is>
      </c>
      <c r="C10819" t="inlineStr">
        <is>
          <t>https://app.respondent.io/respondents/v2/projects/view/5f345b74367a9e00324002d6/cancer-treatment
Thank you for your time and stay strong</t>
        </is>
      </c>
      <c r="D10819" t="n">
        <v>1</v>
      </c>
      <c r="E10819" t="n">
        <v>5</v>
      </c>
      <c r="F10819">
        <f>HYPERLINK("https://www.reddit.com/r/cancer/comments/iat229/please_help_further_our_knowledge_about_your/")</f>
        <v/>
      </c>
      <c r="G10819" t="inlineStr">
        <is>
          <t>2020-08-16 07:16:48</t>
        </is>
      </c>
      <c r="H10819" t="inlineStr"/>
    </row>
    <row r="10820">
      <c r="A10820" t="inlineStr">
        <is>
          <t>iatkia</t>
        </is>
      </c>
      <c r="B10820" t="inlineStr">
        <is>
          <t>Hit the wall last night</t>
        </is>
      </c>
      <c r="C10820" t="inlineStr">
        <is>
          <t>In 2006 I was diagnosed with thyroid cancer and have never been released from active surveillance because I have these lymph nodes that just will not settle down. I did not have a neck dissection with my thyroidectomy. For the first time my thyroglobulin came back positive and while we were in the middle of trying to figure that whole situation out, I was diagnosed with renal cell carcinoma. So now the thyroid stuff is on hold while I deal with the kidney crap. I know how lucky? I am to have two mostly slow growing and non aggressive cancers but damn. I am so over this! Last night I had this huge emotional breakdown with lots of crying and snotting and I’m still pretty weepy today. I am so over the doctor appointments and tests and medicine and feeling like I go from one appointment to the next. My husband was like I’m surprised it has taken you this long to break down because he was expecting it to happen sooner but now that I am here I’m just feeling like I don’t want this to be my life. Or my family’s life. It is so incredibly frustrating when your body is working against you.</t>
        </is>
      </c>
      <c r="D10820" t="n">
        <v>1</v>
      </c>
      <c r="E10820" t="n">
        <v>6</v>
      </c>
      <c r="F10820">
        <f>HYPERLINK("https://www.reddit.com/r/cancer/comments/iatkia/hit_the_wall_last_night/")</f>
        <v/>
      </c>
      <c r="G10820" t="inlineStr">
        <is>
          <t>2020-08-16 07:47:13</t>
        </is>
      </c>
      <c r="H10820" t="inlineStr">
        <is>
          <t xml:space="preserve">Patient </t>
        </is>
      </c>
    </row>
    <row r="10821">
      <c r="A10821" t="inlineStr">
        <is>
          <t>iay7hk</t>
        </is>
      </c>
      <c r="B10821" t="inlineStr">
        <is>
          <t>Mom just diagnosed with rectal cancer, not sure what prognosis to anticipate</t>
        </is>
      </c>
      <c r="C10821" t="inlineStr">
        <is>
          <t>My mom (62F) was just diagnosed with rectal cancer. My dad told me that it's locally invasive but well-differentiated, however the lesion is circumferential and 10cm long. They don't know yet if it has spread to local lymph nodes, but it has not spread to her lungs or liver. She has a PET scan and MRI next week to help figure out the grade/stage. Does anyone know what the prognosis tends to be for these types of rectal cancers? Or know what stage tends to be associated with lesions like hers?
I'm struggling with the uncertainty right now because we don't know what stage it is and I'm looking for a vague idea of what to expect. I live in a different state and she's not ready to talk about it yet. I don't want to overwhelm my parents with questions before her full diagnosis so I'm trying to do research on my own. I know that a circumferential lesion is bad, as are lesions &amp;gt;5cm, and hers is twice that long. Does anyone with experience with rectal cancer know what range of stages she could be in? Maybe II or III? I just really need to brace myself and have realistic expectations. Medical jargon is fine BTW, I've taken pathology, anatomy, and physiology and I'm familiar with the basic pathology of cancer. If I can understand this better from a medical standpoint it will make me feel more emotionally grounded.</t>
        </is>
      </c>
      <c r="D10821" t="n">
        <v>1</v>
      </c>
      <c r="E10821" t="n">
        <v>6</v>
      </c>
      <c r="F10821">
        <f>HYPERLINK("https://www.reddit.com/r/cancer/comments/iay7hk/mom_just_diagnosed_with_rectal_cancer_not_sure/")</f>
        <v/>
      </c>
      <c r="G10821" t="inlineStr">
        <is>
          <t>2020-08-16 12:03:21</t>
        </is>
      </c>
      <c r="H10821" t="inlineStr"/>
    </row>
    <row r="10822">
      <c r="A10822" t="inlineStr">
        <is>
          <t>iaz8g9</t>
        </is>
      </c>
      <c r="B10822" t="inlineStr">
        <is>
          <t>I was just diagnosed with colon cancer.</t>
        </is>
      </c>
      <c r="C10822" t="inlineStr">
        <is>
          <t>I'm kind of young (low '40s) for this with no real family history (a great-uncle perhaps). CAT scans show it's localized. MRI's coming soon. This was a real shock to me, my wife and family. My children are quite young. How do you tell your kids? So many questions right now.</t>
        </is>
      </c>
      <c r="D10822" t="n">
        <v>1</v>
      </c>
      <c r="E10822" t="n">
        <v>29</v>
      </c>
      <c r="F10822">
        <f>HYPERLINK("https://www.reddit.com/r/cancer/comments/iaz8g9/i_was_just_diagnosed_with_colon_cancer/")</f>
        <v/>
      </c>
      <c r="G10822" t="inlineStr">
        <is>
          <t>2020-08-16 13:00:20</t>
        </is>
      </c>
      <c r="H10822" t="inlineStr"/>
    </row>
    <row r="10823">
      <c r="A10823" t="inlineStr">
        <is>
          <t>iazgg2</t>
        </is>
      </c>
      <c r="B10823" t="inlineStr">
        <is>
          <t>My mom is grieving</t>
        </is>
      </c>
      <c r="C10823" t="inlineStr">
        <is>
          <t>My mom lost her younger sister to cancer in March. This happened shortly after she lost her mother (not cancer, tho). She traveled from Angola to Romania because they both knew her sister was on her last days. Her sister passed away in the end of March and due to the pandemic my mom is now stranded alone in Romania; alone, and far from all of us, including myself. My mom has always been very sensitive and prone depression and has had a substance abuse problem in the past. She is crying a lot almost every time I call, and I really want to be there for her, but don't know how to help her get through this, especially from a distance... I don't know what to do. She has a return flight next week, but I'm afraid if it gets canceled or postponed she might breakdown... How can I help her? I call her everyday as soon as I get from work and before she goes to sleep for the past months, I would like to help her deal better with her grief, any small tips would be appreciated, thanks</t>
        </is>
      </c>
      <c r="D10823" t="n">
        <v>1</v>
      </c>
      <c r="E10823" t="n">
        <v>1</v>
      </c>
      <c r="F10823">
        <f>HYPERLINK("https://www.reddit.com/r/cancer/comments/iazgg2/my_mom_is_grieving/")</f>
        <v/>
      </c>
      <c r="G10823" t="inlineStr">
        <is>
          <t>2020-08-16 13:12:18</t>
        </is>
      </c>
      <c r="H10823" t="inlineStr"/>
    </row>
    <row r="10824">
      <c r="A10824" t="inlineStr">
        <is>
          <t>ib0i8h</t>
        </is>
      </c>
      <c r="B10824" t="inlineStr">
        <is>
          <t>Port annoyance</t>
        </is>
      </c>
      <c r="C10824" t="inlineStr">
        <is>
          <t>I had my portacath placed on Monday and my first infusion on Tuesday.  I think I’m nearing the end of the first week’s chemo hell scape finally, but my port is now irritating me.  
For the last two days I noticed that laying down, I have a hard time breathing.  If feels like something is in my throat and it pulses with my heart beat.  Other times, it simply feels like something is sitting in my airway so I have to breathe in a little harder than I would like.  
While I’m sitting upright or standing, it’s not an issue and I breathe like normal.  Unfortunately, I’m still very fatigued from the chemo and I would very much like to take a nap with no issues breathing.  Is this normal?  At this point, I feel like I’m calling my oncologist over everything (again, first infusion and I’m a baby!) so I don’t want to make a big deal over something that not be.  Thoughts?</t>
        </is>
      </c>
      <c r="D10824" t="n">
        <v>1</v>
      </c>
      <c r="E10824" t="n">
        <v>4</v>
      </c>
      <c r="F10824">
        <f>HYPERLINK("https://www.reddit.com/r/cancer/comments/ib0i8h/port_annoyance/")</f>
        <v/>
      </c>
      <c r="G10824" t="inlineStr">
        <is>
          <t>2020-08-16 14:10:18</t>
        </is>
      </c>
      <c r="H10824" t="inlineStr">
        <is>
          <t xml:space="preserve">Patient </t>
        </is>
      </c>
    </row>
    <row r="10825">
      <c r="A10825" t="inlineStr">
        <is>
          <t>ib0u5b</t>
        </is>
      </c>
      <c r="B10825" t="inlineStr">
        <is>
          <t>Why do people use the term cancer/cancerous as a way to describe things?</t>
        </is>
      </c>
      <c r="C10825" t="inlineStr">
        <is>
          <t>Like it doesnt make them look cool it makes them look like dicks. Might not be related to the sub but i need answers</t>
        </is>
      </c>
      <c r="D10825" t="n">
        <v>1</v>
      </c>
      <c r="E10825" t="n">
        <v>7</v>
      </c>
      <c r="F10825">
        <f>HYPERLINK("https://www.reddit.com/r/cancer/comments/ib0u5b/why_do_people_use_the_term_cancercancerous_as_a/")</f>
        <v/>
      </c>
      <c r="G10825" t="inlineStr">
        <is>
          <t>2020-08-16 14:28:33</t>
        </is>
      </c>
      <c r="H10825" t="inlineStr"/>
    </row>
    <row r="10826">
      <c r="A10826" t="inlineStr">
        <is>
          <t>ib13e1</t>
        </is>
      </c>
      <c r="B10826" t="inlineStr">
        <is>
          <t>My best friend’s father lost a battle to cancer just a couple days ago.</t>
        </is>
      </c>
      <c r="C10826" t="inlineStr">
        <is>
          <t>He was one of the best people I ever knew. He always helped everyone and always tried to stay optimistic. His name was Savaş (It translates to war/battle from Turkish) and just a couple months ago he legally changed his name to Selim (which roughly translates to peaceful and harmless). He said he was done fighting all of his life and he wanted to have peace and happiness. The second my friend said she couldn’t decide which name she should get tattooed on her we both broke down into tears. Im tearing up just thinking about it.</t>
        </is>
      </c>
      <c r="D10826" t="n">
        <v>1</v>
      </c>
      <c r="E10826" t="n">
        <v>2</v>
      </c>
      <c r="F10826">
        <f>HYPERLINK("https://www.reddit.com/r/cancer/comments/ib13e1/my_best_friends_father_lost_a_battle_to_cancer/")</f>
        <v/>
      </c>
      <c r="G10826" t="inlineStr">
        <is>
          <t>2020-08-16 14:42:41</t>
        </is>
      </c>
      <c r="H10826" t="inlineStr"/>
    </row>
    <row r="10827">
      <c r="A10827" t="inlineStr">
        <is>
          <t>ib1g1t</t>
        </is>
      </c>
      <c r="B10827" t="inlineStr">
        <is>
          <t>My mom doesn’t have much time left</t>
        </is>
      </c>
      <c r="C10827" t="inlineStr">
        <is>
          <t>In April 2017, two weeks before I graduated college, my mom was diagnosed with an inoperable grade IV glioblastoma multiforme. With treatment, she was given 6 months to live. She defied the odds and responded to radiation and chemo extremely well - she went into partial remission at the end of 2017 and the tumor remained dormant for a few years.
It’s beginning to grow back and her health has steadily declined these past couple of months. She’s part of a clinical study but I don’t think it’s working. We will probably have to opt for an aggressive treatment combo of radiation and chemo again, if she’s up for it.
I just have a gut feeling that the end is near, and although I’ve been preparing for this for the past few years, it’s still a lot to deal with. 
I’m looking for advice and ways to accept the inevitable, as well as what y’all did when your loved ones’ health began to decline.
Thank you in advance.</t>
        </is>
      </c>
      <c r="D10827" t="n">
        <v>1</v>
      </c>
      <c r="E10827" t="n">
        <v>6</v>
      </c>
      <c r="F10827">
        <f>HYPERLINK("https://www.reddit.com/r/cancer/comments/ib1g1t/my_mom_doesnt_have_much_time_left/")</f>
        <v/>
      </c>
      <c r="G10827" t="inlineStr">
        <is>
          <t>2020-08-16 15:02:39</t>
        </is>
      </c>
      <c r="H10827" t="inlineStr"/>
    </row>
    <row r="10828">
      <c r="A10828" t="inlineStr">
        <is>
          <t>ib7ofy</t>
        </is>
      </c>
      <c r="B10828" t="inlineStr">
        <is>
          <t>Can you talk about your cancer too much?</t>
        </is>
      </c>
      <c r="C10828" t="inlineStr">
        <is>
          <t>I was told I had a few years to live (at best) 
I spent so much time venting, posting, and telling my story on social media. Some were upbeat and some were sad. Some were ment to inspire others. 
But its been 3 years since my initial diagnosis and I feel like people are tired of hearing me "bitch" or vent. 
I feel like I should keep my feeling to myself. Because in my mind everyone is thinking "yea we know you are sick, or don't feel well or are struggling... you're alwasy those things" I feel like I get judged for playing the "cancer" card. I feel like living longer than expected makes my condition somehow "less bad" 
I feel like I should shut up and just deal.</t>
        </is>
      </c>
      <c r="D10828" t="n">
        <v>1</v>
      </c>
      <c r="E10828" t="n">
        <v>25</v>
      </c>
      <c r="F10828">
        <f>HYPERLINK("https://www.reddit.com/r/cancer/comments/ib7ofy/can_you_talk_about_your_cancer_too_much/")</f>
        <v/>
      </c>
      <c r="G10828" t="inlineStr">
        <is>
          <t>2020-08-16 21:47:09</t>
        </is>
      </c>
      <c r="H10828" t="inlineStr">
        <is>
          <t xml:space="preserve">Patient </t>
        </is>
      </c>
    </row>
    <row r="10829">
      <c r="A10829" t="inlineStr">
        <is>
          <t>ib8uf6</t>
        </is>
      </c>
      <c r="B10829" t="inlineStr">
        <is>
          <t>Kidney Cancer Anxiety</t>
        </is>
      </c>
      <c r="C10829" t="inlineStr">
        <is>
          <t>Hi guys, I wanted to post here because I'm not quite sure how to mentally approach this situation or how to move forward. About a month ago, I (20M) went to the ER for upper-right abdominal pain. Doctors found nothing wrong with any of the organs I'd expect would be involved except they did find a mass on my kidney. It is exophytic, hyperdense with an attenuation of 50 HU, and 1.4cm. From what I understand, the hyperdense part isn't so good. From there the doctor simply nonchalantly mentioned that he found a mass on my kidney and said I should follow-up on that. I ask how urgent, and he follows with "within a year", and walked away. 
While most people would find this lack of interest comforting, I was left with a lot more questions than answers. I have an appointment with my GP pretty soon regarding the situation but I'm having a really hard time processing. On one-hand, I'd expect the ER doctor would instantly order more tests if he suspected cancer, and I was referred as a precaution. On the other, I understand ER doctors are "jacks of all trades", and typically refer patients to other people for these sorts of situations. In your experience, how do I relax from news like this, and approach the situation more proactively than Googling my heart out.
Tl;DR: Doctors found a small, hyperdense lesion on my Kidney and gave me little information about what to expect moving forward, leaving me concerned, stressed and unsure about what to do next.</t>
        </is>
      </c>
      <c r="D10829" t="n">
        <v>1</v>
      </c>
      <c r="E10829" t="n">
        <v>17</v>
      </c>
      <c r="F10829">
        <f>HYPERLINK("https://www.reddit.com/r/cancer/comments/ib8uf6/kidney_cancer_anxiety/")</f>
        <v/>
      </c>
      <c r="G10829" t="inlineStr">
        <is>
          <t>2020-08-16 23:20:50</t>
        </is>
      </c>
      <c r="H10829" t="inlineStr"/>
    </row>
    <row r="10830">
      <c r="A10830" t="inlineStr">
        <is>
          <t>iba67l</t>
        </is>
      </c>
      <c r="B10830" t="inlineStr">
        <is>
          <t>How do you announce your remission of cancer</t>
        </is>
      </c>
      <c r="C10830" t="inlineStr">
        <is>
          <t>I am in remission of lymphoma cancer and no one known except family and few close friends known what I went through. I want to post on social media to encourage youth adult and anyone of my friends who go through difficulties. How do I announce it? With a pretty recent pic and the chemo pic?</t>
        </is>
      </c>
      <c r="D10830" t="n">
        <v>1</v>
      </c>
      <c r="E10830" t="n">
        <v>0</v>
      </c>
      <c r="F10830">
        <f>HYPERLINK("https://www.reddit.com/r/cancer/comments/iba67l/how_do_you_announce_your_remission_of_cancer/")</f>
        <v/>
      </c>
      <c r="G10830" t="inlineStr">
        <is>
          <t>2020-08-17 01:19:30</t>
        </is>
      </c>
      <c r="H10830" t="inlineStr"/>
    </row>
    <row r="10831">
      <c r="A10831" t="inlineStr">
        <is>
          <t>ibbco1</t>
        </is>
      </c>
      <c r="B10831" t="inlineStr">
        <is>
          <t>Looking for a cancer friend</t>
        </is>
      </c>
      <c r="C10831" t="inlineStr">
        <is>
          <t>Hi everyone :) I’ve been looking for people in the same life situation as mine so I thought I’d reach out here. 
I got diagnosed with hormone receptor positive, HER-2 negative stage IV breast cancer in June. It’s metastatic and spread to my bone marrow. I am currently on hormone blockers and I’ve therefore been sent into a chemical menopause. Occasionally I don’t experience harsh symptoms, but most days I get a lot of crap from the treatment. 
My 27th birthday is tomorrow and I’m having a little breakdown. I used to be so afraid of getting old. Now I want nothing more. 
I feel like a huge chunk of my life has been taken away from me. I just feel like everything is a little hopeless right now, and having my birthday coming up just enhances that feeling. I think about the fact that I’m probably gonna die before I reach my real menopause a lot. 
I’m seeing a psychologist next week but I just wish I had someone to talk to who are in the same situation as me. I talk to my boyfriend a lot (he’s 32) because he had lymphoma last year, he’s now cancer free, but he knows how a lot of these things feel. 
It might be stupid of me to say this but I feel envious of other cancer patients who have a good prognosis. I wish I could have an end date. I don’t even know how long I’m gonna live.</t>
        </is>
      </c>
      <c r="D10831" t="n">
        <v>1</v>
      </c>
      <c r="E10831" t="n">
        <v>9</v>
      </c>
      <c r="F10831">
        <f>HYPERLINK("https://www.reddit.com/r/cancer/comments/ibbco1/looking_for_a_cancer_friend/")</f>
        <v/>
      </c>
      <c r="G10831" t="inlineStr">
        <is>
          <t>2020-08-17 03:05:41</t>
        </is>
      </c>
      <c r="H10831" t="inlineStr">
        <is>
          <t xml:space="preserve">Patient </t>
        </is>
      </c>
    </row>
    <row r="10832">
      <c r="A10832" t="inlineStr">
        <is>
          <t>ibbx4a</t>
        </is>
      </c>
      <c r="B10832" t="inlineStr">
        <is>
          <t>cancer</t>
        </is>
      </c>
      <c r="C10832" t="inlineStr">
        <is>
          <t>cancer</t>
        </is>
      </c>
      <c r="D10832" t="n">
        <v>1</v>
      </c>
      <c r="E10832" t="n">
        <v>0</v>
      </c>
      <c r="F10832">
        <f>HYPERLINK("https://www.reddit.com/r/cancer/comments/ibbx4a/cancer/")</f>
        <v/>
      </c>
      <c r="G10832" t="inlineStr">
        <is>
          <t>2020-08-17 03:52:44</t>
        </is>
      </c>
      <c r="H10832" t="inlineStr">
        <is>
          <t xml:space="preserve">Patient </t>
        </is>
      </c>
    </row>
    <row r="10833">
      <c r="A10833" t="inlineStr">
        <is>
          <t>ibc1ky</t>
        </is>
      </c>
      <c r="B10833" t="inlineStr">
        <is>
          <t>My wife just got diagnosed with stage 3 ovarian cancer. Does anyone have any experience with this kind of cancer?</t>
        </is>
      </c>
      <c r="C10833" t="inlineStr">
        <is>
          <t>All the stuff online looks pretty grim. She is scared and honestly so am I. I’d also appreciate any advice on how to support her through this. Neither of us have ever been close to anyone that has had cancer before so it is all very new to us.</t>
        </is>
      </c>
      <c r="D10833" t="n">
        <v>1</v>
      </c>
      <c r="E10833" t="n">
        <v>47</v>
      </c>
      <c r="F10833">
        <f>HYPERLINK("https://www.reddit.com/r/cancer/comments/ibc1ky/my_wife_just_got_diagnosed_with_stage_3_ovarian/")</f>
        <v/>
      </c>
      <c r="G10833" t="inlineStr">
        <is>
          <t>2020-08-17 04:02:39</t>
        </is>
      </c>
      <c r="H10833" t="inlineStr"/>
    </row>
    <row r="10834">
      <c r="A10834" t="inlineStr">
        <is>
          <t>ibcb32</t>
        </is>
      </c>
      <c r="B10834" t="inlineStr">
        <is>
          <t>My mom's battle</t>
        </is>
      </c>
      <c r="C10834" t="inlineStr">
        <is>
          <t>I'd like to share a story while I'm still trying to process my thoughts and as a step toward my goal of opening up to people more. It's going to be very long, so I couldn't fault anyone for not wanting to take the time to read it. However, I think this is going to be therapeutic for me, and in case it can help or prepare any of you for what might be the worst event of your lives, I'd like to make this public. I'm going to split the text into two sections—"Background" and "Goodbye"—but you may skip to the second section immediately if you'd like. I can't guarantee that this write-up will be cohesive or completely lacking in terms of narrative holes, repetitive wording, continuity errors or other such shortcomings—especially toward the end. That being said, thank you for visiting this post even if you don't decide to read or comment.
# Background
My mom, Elizabeth (or Ely for short), was diagnosed with cervical cancer in the summer of 2017. At the time, she seemed very positive about the diagnosis and it appeared as though treatment was ultimately effective. Celebration was short-lived, however, as my dad passed away in November of the same year.
Roughly two years later, completely out of nowhere, my mom's skin began to turn yellow. Of course, we figured it was some form of hepathitis, but having learned a lesson from my dad's reluctance to see a doctor and how that influenced his passing, mom immediately decided to visit the emergency room. After several attempts and re-attempts to be thoroughly examined—most of which were dismissed for whatever reason—she was able to secure a hospital bed and a full checkup. From this point on, the details started to get fuzzy, at least for me. In either case, we were told that they had found some unknown object obstructing her bile ducts, hence the jaundice. This was in October of 2019.
Owing to the lack of details that I mentioned earlier, as well as my complete lack of knowledge about medicine, I didn't understand exactly what would happen moving forward. At first, I figured that they'd just "go in there with a wire" and "pluck the thing out", but it eventually dawned on me that mom would be going into major surgery—an intervention that I later learned is called a "Whipple procedure". The surgery was a success, mom seemed to be recovering surprisingly quickly and after several weeks, she was finally back home. She was weak, she lost weight, but we were together and it seemed like the worst of it was over. It wasn't.
Shortly after Christmas, around January, mom was scheduled to begin chemotherapy. At this point, I had learned that the previously unknown object that was obstructing her bile ducts (now removed and analyzed) was a tumor. However, prognosis seemed positive and I continually received encouragement that seemed to indicate that mom would recover; for instance, she herself told me that this treatment would be "curative", even though she wasn't able to receive all of the intended compounds due to her pre-existing kidney problems. We endured the monthly sessions together, through the emergence of COVID-19 and all the worries that it brought about. By April, around the mid-point of treatment, we were notified that the tumors (note: plural) had shrunk "a little bit". Neither mom nor myself knew that there were any more of them present aside from the one that was removed by the Whipple procedure. These were vaguely described to reside somewhere in her chest. 
Eventually, we reached late June of 2020 and the end of chemo. Mom seemed to be doing okay and we awaited the results of her post-treatment scan, hoping for some good news. The results came back showing an impediment of the progression of the disease, which wasn't the full recovery that we of course had hoped for. News was bitter-sweet, but we kept telling ourselves that this was a "net-positive", and that any step away from a progression of growth or spread was a good one. Now we just needed to wait for the next treatment and remain hopeful, we thought. However, soon after receiving the news, mom's health started to decline.
At first, both mom and I figured that she was just experiencing side-effects of the treatment, which appeared to be corroborated in the regular contacts with her medical team. She had heartburn and felt that her stomach was irritated; she felt tired and had difficulty breathing; her legs began to swell, although this effect had also been observed post-surgery months before. Our little walks around the neighborhood became less and less frequent. She experienced a significant loss of appetite, and eventually, she was unable to use the bathroom properly. Her legs as well as her abdomen continued to swell, now causing her pain and limiting her mobility.
I wasn't sure how to act during these moments, which carried on until earlier this month of August. She was receiving home-deliveries of medicine, but nothing seemed to be helping. She stopped talking as much, needed me to do more things around the house, and slept more than usual. Part of me continued to believe that these were just complications from the chemo, and that I just needed to give her space. I didn't force her into conversation, I didn't pick her up to go take a short walk, and I allowed her to eat at her pace. Before long, she needed to be hospitalized. 
After this, things happened quickly. We continued to keep our morale up even as they started to drain pints of fluid out of her lungs. Her kidneys were failing, which was more or less expected, but after managing to stabilize her values in just a few days, the hospital decided that she was ready to return home. She seemed to feel a bit better and we continued to wait for her medicines to work, but within just a few days she had to be hospitalized once more—this time in a state of emergency, late at night. Roughly a week passed, and the house where we lived together began to feel very empty. Visitation to her ward was prohibited due to the pandemic, so we had to settle for daily phone calls. Despite being able to communicate in some form, I started to feel very lonely. I was just about to tell her that I missed her over text, when she called me. She calmly informed me that because of her poor kidney health, treatment for her cancer would no longer be an option. This was only last Wednesday, on the 12th of August 2020.
I cried a lot, both over the phone as well as after the call had ended. My older sister called me soon afterward and we cried together. We immediately made plans to visit mom as the hospital allowed an exception for our case, which incidentally led to my first trip using public transport in months due to my fear of bringing COVID into the house. Mom looked a bit better than she had at home, and the three of us talked at length about the future, about everything that we wouldn't be able to do ever again and so forth. My sister and I were on a rollercoaster of emotions, crying over the bad news for one moment and in the next, feeling appreciation for the fact that we could at least be in the same room together. Mom remained calm and supportive. She had made many big arrangements for our future in spite of her exhaustion, which felt reassuring. But wasn't it all a bit too soon? We hadn't even received word on how long we could expect for her to stay with us. Did she know something that we didn't? I spent the rest of the day in a zombie-like state, barely managing to eat before falling asleep.
The next day, she was moved to a new hospital, "where grandmother had spent her last few weeks", she explained. My sister, who recently began working in medicine, informed me that this hospital specialized in "palliative care". I had never heard the term before then. I spent the next couple of days in constant emotional pain, crying over the phone and worrying about visitation. We were allowed ONE visit per week, I was told, which was obviously far too restrictive given that I wanted to be with her all the time. That same Thursday night was rough on her, I was informed, so her doctor felt that raising visitation to twice a week was justified. The happiness that I felt was only limited by the figurative punch to the gut that came with it; on one hand, I could see mom more often, but on the other, she was getting worse. Nevertheless, by the end of Friday, I experienced a rush of positivity and wrote to mom at length about how I didn't want to spend her last time on Earth mourning her prematurely, about how I wanted to make our final time as happy as possible, and that we might even be together for months to come. She was ecstatic, telling me that this was exactly the conclusion that she wanted me to reach. My sister and I had booked a visit for Saturday earlier that day, so I went to bed feeling excited and a bit relieved.
Saturday was the best day I'd had in months. When my sister and I entered mom's room, she was cheerful and energetic. She was herself. Her eyebrows had grown back a bit more, her legs looked less swollen and she sounded so happy and excited to see us. We talked as a family for the first time in a while, and forgot about everything bad that was happening. My sister had to leave early, but I stayed with mom for at least another hour. This time, we didn't speak about an end to things, but rather about the beginning of a new phase that we'd be able to remember fondly. When it was time for lunch and I had noticed her looking very sleepy for the past little while, we decided that it was time to part. It was a quick goodbye, and I went home relieved, having scheduled another visit for Tuesday. Shortly after getting back home, I wrote mom a message about how happy I was feeling to have seen her. She never read it. Regardless, sleep came easy that night. I finally felt some hope that things might get better before they'd get worse.
# Goodbye
Yesterday, I wake up to a phone call at 1AM. Through some miracle, I had forgotten to put my phone into airplane-mode as I always do, and even though it was still on "silent", I was alerted by the light of the screen. "We need to go to mom. She's gotten worse.", says my sister in a shaky voice. I lose all presence of mind, quickly get dressed and call a taxi. My mind is a blur. But it can't be that bad, right? It's only been a day since our last visit, after all.
I'm escorted to mom's room by one of her nurses. As we walk through the hallway, I'm informed that mom is having trouble breathing, but she's sedated and is on a constant stream of painkillers. Upon entering her room, I can hear my dear mom's rhattled breaths. She appears to be asleep. The nurse calls out to her, and mom opens her eyes only slightly. She can hear us. I stay with her alone for a time, holding her hand and talking to her. I want to believe that she's going to wake up again, but I talk to her as if this might be our final conversation. I tell her that I love her, and that she can't leave us yet. I tell her that I would miss her enormously, and that I don't know how I'd continue going on without her. The nurse returns. "She's going to wake up, right?", I ask. The nurse doesn't know.
My sister arrives, and we talk to mom together. Sometimes she squeezes our hands lightly or moves her feet. Rarely, she moves her mouth as if to respond or nods or shakes her head lightly. My sister asks the exact same question to the nurse as I did. "I don't think so", the nurse replies this time. We tell our dear mother everything that we think she needs to know. We tell her that she's loved, and that we'll never leave her side. She's going to see grandmother, my dad and her three brothers again. My sister and I feel weak right now, but for our strong and brave mother's sake, we're going to persevere and find the strength to move on. That's what we tell her.
Eventually, she becomes less responsive. Her breathing slows. We watch her in silence for a few moments, and then come those few, final, strained breaths. Then a wheeze. Finally, her head falls onto her shoulder, and a clear red liquid runs out of the side of her mouth. It's horrifying, and I'll never forget the smell. My sister panics and grabs mom, repeating "No, no, no!". I immediately rise and begin to mash the alarm button for the nurse, running out of the room to check if anyone's responding. Soon, a team of nurses rush inside the room to catch the flow of fluid from her mouth with tissue paper. I know what's going on, but my sister is still calling for mom not to leave us. I hug her tight and try to calm her down.
We're moved to an adjacent room while the nurses arrange mom into a more peaceful state. I'm emotionless, pacing around back and forth while my sister sits down by a table in the middle of the room. I can't believe this is happening. Neither of us can believe that this just happened to our beloved mom, who had been so sprightly and clear-headed just the day before. It's now Sunday, August 16th 2020 at 4AM and our mom is gone. She was supposed to have months, we thought. She was supposed to see the end of this terrible pandemic; she was supposed to celebrate Christmas, and her birthday. We were supposed to prepare for the end together. We were supposed to *be* together.
After a short while, we return to mom's room. I break down. She looks just like dad did—hollow and sunken, like everything that made her Elizabeth, our beautiful angel, has left her body. We stay with her for a long time, holding her hands and trying to understand what had just happened. I read a few informational pamphlets that we're given by the nurse and then half-sleep in the chair for some time before our older cousin arrives. It pains me to see her reaction, as my mom was like a second mom to her. We stay for some time longer, and talk, process, arrange. By 8AM, we say our final goodbyes. I lightly hug my mom, tell her "Farewell", break down again and then we leave. For the whole trip home, the three of us barely speak a sentence to one another. We're exhausted. We decide to all come back to the house where I lived with mom—our family home where my sister and I grew up, and the house where my cousin had lived for 2 years after arriving from abroad. It's a different house now.
Today is Monday. I spent yesterday evening alone, trying to lose myself in my interests and listening to my favorite podcast just to hear the voices of happy people enjoying their time together. I woke up today—alone—in this big, empty, deathly silent house. The house that looks as though mom never left it, as though she might walk out of the bathroom at any moment, or descend down those stairs, so we could continue our life together as if nothing had ever happened. I can't yet bring myself to make any rearrangements. I can't yet bring myself to look inside her bedroom. She was my number 1, my best friend and the best mother I could ever ask for, and she's never coming back. I feel this permanent brain fog, and everything that I do seems to take twice as long as usual. My daily schedule's a mess. There's so much that has to be done, so many things that need to be planned and executed. I think I'm still in a state of shock.
But I'll be fine. So many people have stretched out a helping hand, both emotionally and with respect to practical elements. Mom diligently and fearlessly made as many arrangements as she could to give us all a financial cushion on which to rest for a time. My sister and I have each other, and the continual support and presence of our cousin. We'll all make it through this, but it's a matter of accepting a new normal. It's a matter of formulating new goals, new reasons to keep going and to forge new relationships that may slowly start to fill the immense void that's been opened up in my heart.
This is the part that gets the waterworks going. Goodbye, my dear, sweet, wonderful mother. You fought so hard, and you did it all for everyone else, like you always did. You were the most compassionate and loving person I have ever known, and you always did your utmost for us, your children—even if it wore you too thin sometimes. You were stronger than I will probably ever know, and I can only hope that at least some of that strength has been passed on to me. I know you wanted to see everyone who has left us in the past 5 years, and now you're finally able to. I just hope that you can somehow stay a little longer on this side, to watch over us and keep us safe. I love you more than I could have ever described in words, and I hope that wherever you are, you know that. As long as I live, I will never forget you. Farewell, *tenshi*, my angel.</t>
        </is>
      </c>
      <c r="D10834" t="n">
        <v>1</v>
      </c>
      <c r="E10834" t="n">
        <v>4</v>
      </c>
      <c r="F10834">
        <f>HYPERLINK("https://www.reddit.com/r/cancer/comments/ibcb32/my_moms_battle/")</f>
        <v/>
      </c>
      <c r="G10834" t="inlineStr">
        <is>
          <t>2020-08-17 04:23:51</t>
        </is>
      </c>
      <c r="H10834" t="inlineStr"/>
    </row>
    <row r="10835">
      <c r="A10835" t="inlineStr">
        <is>
          <t>ibdgq6</t>
        </is>
      </c>
      <c r="B10835" t="inlineStr">
        <is>
          <t>I’m a mystery</t>
        </is>
      </c>
      <c r="C10835" t="inlineStr">
        <is>
          <t>I’ve had a 102 fever for two days. Four to six antibiotics later I’m still fevering. I am a BMT patient. They said I could go home on Sunday if I didn’t fever. Of course I’m still here. What are my symptoms a fucking mystery. I know the team is smart and hopefully they figure it out. I told my 3 year old I would be home by the 24th. Now that’s one week away. I’m scared I’m not going to be home. I’m starting to get frustrated. All the nurses are like your so nice. I’m on day +14. I’m going to start losing my shit. Now I’m hooked back up to my buddy the pole of drugs, and they are putting me on a bed alarm. When I asked why they said it’s cause all the tubes and cords. I’m going to loose my fucking mind. I wonder if I’m even making since anymore.</t>
        </is>
      </c>
      <c r="D10835" t="n">
        <v>1</v>
      </c>
      <c r="E10835" t="n">
        <v>2</v>
      </c>
      <c r="F10835">
        <f>HYPERLINK("https://www.reddit.com/r/cancer/comments/ibdgq6/im_a_mystery/")</f>
        <v/>
      </c>
      <c r="G10835" t="inlineStr">
        <is>
          <t>2020-08-17 05:46:06</t>
        </is>
      </c>
      <c r="H10835" t="inlineStr">
        <is>
          <t xml:space="preserve">Patient </t>
        </is>
      </c>
    </row>
    <row r="10836">
      <c r="A10836" t="inlineStr">
        <is>
          <t>ibdpzu</t>
        </is>
      </c>
      <c r="B10836" t="inlineStr">
        <is>
          <t>I am about to lose my mother</t>
        </is>
      </c>
      <c r="C10836" t="inlineStr">
        <is>
          <t>About 10 months ago my mum was diagnosed with stage 4 pancreatic cancer. It had already progressed to her liver when we found out. Since then, she’s tried multiple different treatments, but none of them worked. After all that, she started another treatment that was some sort of radiation particle thing. At first we were really thrilled as her tumour markers decreased by over 50%. But it left her really weak and about a week ago it all took a toll on her.
She went in for a normal day of chemo, but the doctors refused to give her the treatment and took her to ICU. She had some sort of lung infection, her kidneys weren’t working and she was overdosed on painkillers due to her kidney failure. She was struggling to breathe, so last Monday she was put into a medically induced coma and had a tube shoved down her throat to breathe for her. At this point in time, the doctor has told us she won’t last for very long. Perhaps not even a week. So now, they’re trying to wake her up so that she’s in a state where she can spend some quality time with the family before she dies. 
Its really heartbreaking and I still don’t know how to process this. I couldn’t have even fathomed that I’d lose my mum when I’m only 15. She’s such an important person to me and I don’t know what I will ever do without her.</t>
        </is>
      </c>
      <c r="D10836" t="n">
        <v>1</v>
      </c>
      <c r="E10836" t="n">
        <v>10</v>
      </c>
      <c r="F10836">
        <f>HYPERLINK("https://www.reddit.com/r/cancer/comments/ibdpzu/i_am_about_to_lose_my_mother/")</f>
        <v/>
      </c>
      <c r="G10836" t="inlineStr">
        <is>
          <t>2020-08-17 06:02:25</t>
        </is>
      </c>
      <c r="H10836" t="inlineStr"/>
    </row>
    <row r="10837">
      <c r="A10837" t="inlineStr">
        <is>
          <t>ibelwp</t>
        </is>
      </c>
      <c r="B10837" t="inlineStr">
        <is>
          <t>The Chemo Chat Show</t>
        </is>
      </c>
      <c r="C10837" t="inlineStr">
        <is>
          <t>Hi all, hope everyone's having a fine Monday.  
&amp;amp;#x200B;
I wanted to share with you the latest ep of the web series I made during chemotherapy.  I got comedians and celebrities to keep me company and turned it into a 'Chat Show'.  Have a watch and please share if you enjoy.
&amp;amp;#x200B;
Here's the latest: [https://www.youtube.com/watch?v=DnydpfSlwPc&amp;amp;t=3s](https://www.youtube.com/watch?v=DnydpfSlwPc&amp;amp;t=3s).  All filmed before the Covid crisis.
&amp;amp;#x200B;
Thanks so so much.
&amp;amp;#x200B;
Sarah xxxx</t>
        </is>
      </c>
      <c r="D10837" t="n">
        <v>1</v>
      </c>
      <c r="E10837" t="n">
        <v>0</v>
      </c>
      <c r="F10837">
        <f>HYPERLINK("https://www.reddit.com/r/cancer/comments/ibelwp/the_chemo_chat_show/")</f>
        <v/>
      </c>
      <c r="G10837" t="inlineStr">
        <is>
          <t>2020-08-17 06:57:23</t>
        </is>
      </c>
      <c r="H10837" t="inlineStr"/>
    </row>
    <row r="10838">
      <c r="A10838" t="inlineStr">
        <is>
          <t>ibfltb</t>
        </is>
      </c>
      <c r="B10838" t="inlineStr">
        <is>
          <t>Biopsy Appointment Questions (cervical)</t>
        </is>
      </c>
      <c r="C10838" t="inlineStr">
        <is>
          <t>So I go on Wednesday for a biopsy on my cervix and removal of a large mass on my ovary. I’m not sure what to expect for the biopsy. I’m more scared about that than the surgery ha. Has anyone goes through this and can offer some pointers?
I did read that I should take extra pads in case of bleeding afterwards. Please keep in mind I have about a two hour drive after the appointment.
Thanks in advance!</t>
        </is>
      </c>
      <c r="D10838" t="n">
        <v>1</v>
      </c>
      <c r="E10838" t="n">
        <v>4</v>
      </c>
      <c r="F10838">
        <f>HYPERLINK("https://www.reddit.com/r/cancer/comments/ibfltb/biopsy_appointment_questions_cervical/")</f>
        <v/>
      </c>
      <c r="G10838" t="inlineStr">
        <is>
          <t>2020-08-17 07:53:50</t>
        </is>
      </c>
      <c r="H10838" t="inlineStr"/>
    </row>
    <row r="10839">
      <c r="A10839" t="inlineStr">
        <is>
          <t>ibh13t</t>
        </is>
      </c>
      <c r="B10839" t="inlineStr">
        <is>
          <t>chemotherapy</t>
        </is>
      </c>
      <c r="C10839" t="inlineStr">
        <is>
          <t>Three years out. 
Yes you can live with Esophagus
cancer as a condition. 
Round#75 today 
5fu/hercepten 
. #f--k fred. 
Wife named it fred</t>
        </is>
      </c>
      <c r="D10839" t="n">
        <v>1</v>
      </c>
      <c r="E10839" t="n">
        <v>0</v>
      </c>
      <c r="F10839">
        <f>HYPERLINK("https://www.reddit.com/r/cancer/comments/ibh13t/chemotherapy/")</f>
        <v/>
      </c>
      <c r="G10839" t="inlineStr">
        <is>
          <t>2020-08-17 09:09:48</t>
        </is>
      </c>
      <c r="H10839" t="inlineStr">
        <is>
          <t xml:space="preserve">Patient </t>
        </is>
      </c>
    </row>
    <row r="10840">
      <c r="A10840" t="inlineStr">
        <is>
          <t>ibhhkd</t>
        </is>
      </c>
      <c r="B10840" t="inlineStr">
        <is>
          <t>Being Single with Cancer</t>
        </is>
      </c>
      <c r="C10840" t="inlineStr">
        <is>
          <t>I want to give a shoutout to everyone who's going through cancer while single. I see so many posts from caretakers asking how they can better support their partners, or grateful posts from people thanking their spouses, kids, partners, SOs, etc. 
I see posts talking about how hard Covid has been because their partners can't come with them to appointments or treatments, can't be with them in surgery. But that's been the reality for single people long before Covid. We were already doing that. It's hard but it's possible.
I went through cancer while single (I'm still navigating it months after active treatment). Its been hard. I relied on my parents (who live in another city) and friends (but it's not the same when you're living alone). Recovering from surgery in an empty apartment, not having someone to hug you when the side effects are too much, no one to calm you down the first day you wake up with hair all over your pillow, no one to help take care of surgical wounds, no one to rub your back when your throwing up at 2am. 
It's. So. Hard. 
But you know what? I see fewer complaints from the people doing it on their own than I do from people with partners. You know that you have to do this because you don't have someone to pick up the slack. 
I'm a few months out of treatment now. I went through 4 surgeries and chemotherapy on my own. I went to appointments alone, took notes so I wouldn't forget things, tracked my meds, recovered alone. I know so many of you out there are doing the same, and doing it with very few complaints, because you are your own support system.
If anyone is currently going through treatment on their own and they need someone to talk to, don't be afraid to reach out. You've got this. **You're so strong.**</t>
        </is>
      </c>
      <c r="D10840" t="n">
        <v>1</v>
      </c>
      <c r="E10840" t="n">
        <v>85</v>
      </c>
      <c r="F10840">
        <f>HYPERLINK("https://www.reddit.com/r/cancer/comments/ibhhkd/being_single_with_cancer/")</f>
        <v/>
      </c>
      <c r="G10840" t="inlineStr">
        <is>
          <t>2020-08-17 09:33:55</t>
        </is>
      </c>
      <c r="H10840" t="inlineStr">
        <is>
          <t xml:space="preserve">Patient </t>
        </is>
      </c>
    </row>
    <row r="10841">
      <c r="A10841" t="inlineStr">
        <is>
          <t>ibi6qh</t>
        </is>
      </c>
      <c r="B10841" t="inlineStr">
        <is>
          <t>Neuropathy/chemo pains</t>
        </is>
      </c>
      <c r="C10841" t="inlineStr">
        <is>
          <t>I’m a 31 yer old male, just finished up 6 months of ABVD last week. Had a clean scan a few months ago and am ready to get back to a somewhat normal life. I’ve had pretty bad neuropathy for the past 3 months and the chemo pains have been nonstop. Marijuana of all kind helps a lot with both of those side effects but as we all know, it never fully gets rid of the pain. I’m just curious as to how long people’s neuropathy lasted(I know some can have it forever)/when your chemo pains went away. Grateful to have made it to this point, thanks for your input!</t>
        </is>
      </c>
      <c r="D10841" t="n">
        <v>1</v>
      </c>
      <c r="E10841" t="n">
        <v>3</v>
      </c>
      <c r="F10841">
        <f>HYPERLINK("https://www.reddit.com/r/cancer/comments/ibi6qh/neuropathychemo_pains/")</f>
        <v/>
      </c>
      <c r="G10841" t="inlineStr">
        <is>
          <t>2020-08-17 10:09:20</t>
        </is>
      </c>
      <c r="H10841" t="inlineStr"/>
    </row>
    <row r="10842">
      <c r="A10842" t="inlineStr">
        <is>
          <t>ibibxz</t>
        </is>
      </c>
      <c r="B10842" t="inlineStr">
        <is>
          <t>How to manage skin discoloration after radiation therapy?</t>
        </is>
      </c>
      <c r="C10842" t="inlineStr">
        <is>
          <t>Hello. I'm 26F who was diagnosed with Nasopharynx Carcinoma Stage III in January. I went through concurrent chemo and radiotherapy. My radiotherapy ended in March and ever since then my skin discoloration has not shown any improvement. My skin tone is completely different from the neck up and is very visible.
I was wondering if any of my fellow peeps here had any advice on dealing with it and coping with the change in self-image. I am okay with losing hair, because I know it will grow back, but when I look into aftercare of radiotherapy skin discoloration, I only come across statements that say it 'might be permanent'. I'm not sure if seeing a dermatologist (during the pandemic) only to be told it 'might be permanent' is worth it. Has anyone had any luck with skincare to improve the skin discoloration?</t>
        </is>
      </c>
      <c r="D10842" t="n">
        <v>1</v>
      </c>
      <c r="E10842" t="n">
        <v>7</v>
      </c>
      <c r="F10842">
        <f>HYPERLINK("https://www.reddit.com/r/cancer/comments/ibibxz/how_to_manage_skin_discoloration_after_radiation/")</f>
        <v/>
      </c>
      <c r="G10842" t="inlineStr">
        <is>
          <t>2020-08-17 10:16:28</t>
        </is>
      </c>
      <c r="H10842" t="inlineStr"/>
    </row>
    <row r="10843">
      <c r="A10843" t="inlineStr">
        <is>
          <t>ibiy7k</t>
        </is>
      </c>
      <c r="B10843" t="inlineStr">
        <is>
          <t>psychogenic not terribly local pain</t>
        </is>
      </c>
      <c r="C10843" t="inlineStr">
        <is>
          <t>Hey y'all. It's the times of COVID, so who knows whether this is at all treatment related but, I've been having a thing and not even sure how to describe it to my docs.
It's some form of...psychogenic pain, I presume. Like it's totally linked to stress, anxiety, and depression. But it's not like...aches, it's not a pain that I know how to describe. It feels like pain, and it has some locality (it feels like pressure "in my bones") but like. it doesn't correspond to any pain I know how to relate it to.  
Does anyone else feel like that describes them? Just trying to find some better words so I can try to get my neurologist or psychiatrist to take this seriously, I'm spending time on the floor in pain some days</t>
        </is>
      </c>
      <c r="D10843" t="n">
        <v>1</v>
      </c>
      <c r="E10843" t="n">
        <v>7</v>
      </c>
      <c r="F10843">
        <f>HYPERLINK("https://www.reddit.com/r/cancer/comments/ibiy7k/psychogenic_not_terribly_local_pain/")</f>
        <v/>
      </c>
      <c r="G10843" t="inlineStr">
        <is>
          <t>2020-08-17 10:46:36</t>
        </is>
      </c>
      <c r="H10843" t="inlineStr"/>
    </row>
    <row r="10844">
      <c r="A10844" t="inlineStr">
        <is>
          <t>ibkmk7</t>
        </is>
      </c>
      <c r="B10844" t="inlineStr">
        <is>
          <t>Is cancer in young people super common?</t>
        </is>
      </c>
      <c r="C10844" t="inlineStr">
        <is>
          <t>I’m your friendly neighborhood hypochondriac, and lately I’ve been obsessing about every little thing associated with cancer. I’m only 20, but I still worry that every body ache I have is a malignant tumor?
Does anyone have any stats, personal stories, warning signs, etc? My fear is consuming my life.</t>
        </is>
      </c>
      <c r="D10844" t="n">
        <v>1</v>
      </c>
      <c r="E10844" t="n">
        <v>2</v>
      </c>
      <c r="F10844">
        <f>HYPERLINK("https://www.reddit.com/r/cancer/comments/ibkmk7/is_cancer_in_young_people_super_common/")</f>
        <v/>
      </c>
      <c r="G10844" t="inlineStr">
        <is>
          <t>2020-08-17 12:08:38</t>
        </is>
      </c>
      <c r="H10844" t="inlineStr"/>
    </row>
    <row r="10845">
      <c r="A10845" t="inlineStr">
        <is>
          <t>ibkydb</t>
        </is>
      </c>
      <c r="B10845" t="inlineStr">
        <is>
          <t>I shared my story of 10 years with melanoma on the podcast Cancer Actually F***ing Sucks.</t>
        </is>
      </c>
      <c r="C10845" t="inlineStr">
        <is>
          <t>Here’s a show for you… Rob Johnson - Melanoma Cancer Actually F***ing Sucks
https://open.spotify.com/episode/7yWlJVmhN4JFWKTOIjWL6o?si=sIuLGFJURFWWc3E7Nby3Gg</t>
        </is>
      </c>
      <c r="D10845" t="n">
        <v>1</v>
      </c>
      <c r="E10845" t="n">
        <v>0</v>
      </c>
      <c r="F10845">
        <f>HYPERLINK("https://www.reddit.com/r/cancer/comments/ibkydb/i_shared_my_story_of_10_years_with_melanoma_on/")</f>
        <v/>
      </c>
      <c r="G10845" t="inlineStr">
        <is>
          <t>2020-08-17 12:25:28</t>
        </is>
      </c>
      <c r="H10845" t="inlineStr">
        <is>
          <t xml:space="preserve">Patient </t>
        </is>
      </c>
    </row>
    <row r="10846">
      <c r="A10846" t="inlineStr">
        <is>
          <t>ibl1uo</t>
        </is>
      </c>
      <c r="B10846" t="inlineStr">
        <is>
          <t>I shared my story of 10 years with melanoma on the podcast Cancer Actually F***ing Sucks.</t>
        </is>
      </c>
      <c r="C10846" t="inlineStr">
        <is>
          <t>Here’s a show for you… Cancer Actually F***ing Sucks
https://open.spotify.com/episode/7yWlJVmhN4JFWKTOIjWL6o?si=1wPYBI35RwKnLfDIpSA4Cw</t>
        </is>
      </c>
      <c r="D10846" t="n">
        <v>1</v>
      </c>
      <c r="E10846" t="n">
        <v>0</v>
      </c>
      <c r="F10846">
        <f>HYPERLINK("https://www.reddit.com/r/cancer/comments/ibl1uo/i_shared_my_story_of_10_years_with_melanoma_on/")</f>
        <v/>
      </c>
      <c r="G10846" t="inlineStr">
        <is>
          <t>2020-08-17 12:30:44</t>
        </is>
      </c>
      <c r="H10846" t="inlineStr">
        <is>
          <t xml:space="preserve">Patient </t>
        </is>
      </c>
    </row>
    <row r="10847">
      <c r="A10847" t="inlineStr">
        <is>
          <t>ibqn9w</t>
        </is>
      </c>
      <c r="B10847" t="inlineStr">
        <is>
          <t>Liver cancer CT results - What exactly does this mean and how bad is it?</t>
        </is>
      </c>
      <c r="C10847" t="inlineStr">
        <is>
          <t>Large hypermetabolic lobulated hypodense mass measuring 5.9 x 6.4 x 8.8 cm occupying the inferior right hepatic lobe with an SUV max of 14.1 (4/142, PET axial image 129). An additional hypodense hypermetabolic mass measuring 2.0 x 1.9 cm near the right posterior hepatic dome (3/95, PET axial image 141) with SUV max of 9.5.</t>
        </is>
      </c>
      <c r="D10847" t="n">
        <v>1</v>
      </c>
      <c r="E10847" t="n">
        <v>1</v>
      </c>
      <c r="F10847">
        <f>HYPERLINK("https://www.reddit.com/r/cancer/comments/ibqn9w/liver_cancer_ct_results_what_exactly_does_this/")</f>
        <v/>
      </c>
      <c r="G10847" t="inlineStr">
        <is>
          <t>2020-08-17 17:34:13</t>
        </is>
      </c>
      <c r="H10847" t="inlineStr"/>
    </row>
    <row r="10848">
      <c r="A10848" t="inlineStr">
        <is>
          <t>ibspp6</t>
        </is>
      </c>
      <c r="B10848" t="inlineStr">
        <is>
          <t>What do you think the risk is to store owners who stand in front of Tobacco shelves all day?</t>
        </is>
      </c>
      <c r="C10848" t="inlineStr">
        <is>
          <t>Cigarettes are known to emit small amounts of radiation due to containing polonium210 and lead. 
I was wondering. If your job involves standing in front of a shelf full of cigarettes, and you do this for years, wouldn't that be dangerous long term?</t>
        </is>
      </c>
      <c r="D10848" t="n">
        <v>1</v>
      </c>
      <c r="E10848" t="n">
        <v>1</v>
      </c>
      <c r="F10848">
        <f>HYPERLINK("https://www.reddit.com/r/cancer/comments/ibspp6/what_do_you_think_the_risk_is_to_store_owners_who/")</f>
        <v/>
      </c>
      <c r="G10848" t="inlineStr">
        <is>
          <t>2020-08-17 19:42:24</t>
        </is>
      </c>
      <c r="H10848" t="inlineStr"/>
    </row>
    <row r="10849">
      <c r="A10849" t="inlineStr">
        <is>
          <t>ibtg9b</t>
        </is>
      </c>
      <c r="B10849" t="inlineStr">
        <is>
          <t>Dad feels depressed, abandoned, ready to die after dx, chemo pains and a pulmonary embolism. I don't know what I can do to help.</t>
        </is>
      </c>
      <c r="C10849" t="inlineStr">
        <is>
          <t>About two weeks ago dad (M69) was diagnosed with Stage IV esophageal cancer. Doctors gave us a 20-22 month prognosis with treatment. Following diagnosis he almost immediately started chemo and it was really hard on his body and mind but it seemed like he could get through it. Then about a week ago he had a pulmonary embolism that was fortunately detected early but put him on the ICU where he's been since. My mom was able to see him briefly a week ago but due to covid they have stopped allowing visitors.
My dads mental health has taken a horrible turn. He doesn't want to talk to anybody, not even me or my mom. He doesn't want to move or eat or anything. He is just in pain and wants to sleep all day. He says he feels like they're just torturing in the hospital and that they should just let him die.
They have started him on an antidepressant but he still refuses all other help. He's kicked doctors out of the room and spit out the food the nurses give him.
They have finally allowed me to go visit him tomorrow for a couple of hours and I am not sure what to do or if I am psicologically ready for it. Do I just lovingly nurture him and let him complain/vent? Do I talk to his doctors about hospice care in the future? Do I tell him that he can still fight and has plenty of time left that we want to spend with him? That he has to keep a positive outlook?
I don't know what my role is and what I can do to help. I want him to be comfortable and to not be in pain but I also don't know if he should "give up" so soon? Especially since my mom (66F) wants him to fight and expects him unrealistically to beat the odds and live for 5 more years.
What does one do in this situation? I'm (28F) his daughter who he has always loved unconditionally. I feel like I owe it to him to respect his wishes, even if my mom or I want him with us for longer. But I also don't know if his wishes are coming from a place of defeat and he may change his mind one he's processed all of it.</t>
        </is>
      </c>
      <c r="D10849" t="n">
        <v>1</v>
      </c>
      <c r="E10849" t="n">
        <v>7</v>
      </c>
      <c r="F10849">
        <f>HYPERLINK("https://www.reddit.com/r/cancer/comments/ibtg9b/dad_feels_depressed_abandoned_ready_to_die_after/")</f>
        <v/>
      </c>
      <c r="G10849" t="inlineStr">
        <is>
          <t>2020-08-17 20:30:28</t>
        </is>
      </c>
      <c r="H10849" t="inlineStr"/>
    </row>
    <row r="10850">
      <c r="A10850" t="inlineStr">
        <is>
          <t>ibv37p</t>
        </is>
      </c>
      <c r="B10850" t="inlineStr">
        <is>
          <t>Experience regarding motions during chemo?</t>
        </is>
      </c>
      <c r="C10850" t="inlineStr">
        <is>
          <t>My mum is undergoing post operative chemo for adenocarcinoma in the lymph nodes since June. After 3 cycles, constipation is something quite frequent. 
And since 2 days there was blood in her stools to.
Do people undergoing chemo experience internal haemorrhoids? Does the risk associated with these increase due to the chemo or is it the same as regular haemorrhoids?</t>
        </is>
      </c>
      <c r="D10850" t="n">
        <v>1</v>
      </c>
      <c r="E10850" t="n">
        <v>5</v>
      </c>
      <c r="F10850">
        <f>HYPERLINK("https://www.reddit.com/r/cancer/comments/ibv37p/experience_regarding_motions_during_chemo/")</f>
        <v/>
      </c>
      <c r="G10850" t="inlineStr">
        <is>
          <t>2020-08-17 22:28:21</t>
        </is>
      </c>
      <c r="H10850" t="inlineStr"/>
    </row>
    <row r="10851">
      <c r="A10851" t="inlineStr">
        <is>
          <t>ibvp81</t>
        </is>
      </c>
      <c r="B10851" t="inlineStr">
        <is>
          <t>Are people with non-cancer terminal diagnosis welcome here?</t>
        </is>
      </c>
      <c r="C10851" t="inlineStr">
        <is>
          <t>Hello this is skankhunt42 and I have circhosis and have been receiving outpatient treatment for eight months. Am I allowed here or nah?</t>
        </is>
      </c>
      <c r="D10851" t="n">
        <v>1</v>
      </c>
      <c r="E10851" t="n">
        <v>2</v>
      </c>
      <c r="F10851">
        <f>HYPERLINK("https://www.reddit.com/r/cancer/comments/ibvp81/are_people_with_noncancer_terminal_diagnosis/")</f>
        <v/>
      </c>
      <c r="G10851" t="inlineStr">
        <is>
          <t>2020-08-17 23:18:28</t>
        </is>
      </c>
      <c r="H10851" t="inlineStr">
        <is>
          <t xml:space="preserve">Patient </t>
        </is>
      </c>
    </row>
    <row r="10852">
      <c r="A10852" t="inlineStr">
        <is>
          <t>ibvvpc</t>
        </is>
      </c>
      <c r="B10852" t="inlineStr">
        <is>
          <t>Lung cancer from b 12?</t>
        </is>
      </c>
      <c r="C10852" t="inlineStr">
        <is>
          <t xml:space="preserve"> I myself took 1000ug of vitamin b12 for 40 days. The preparation consisted of methylcobalamin, adenosylcobalamin and hydroxocobalamin. The last intake was six weeks ago. My serum level is currently 386pg/ml. Do I have to worry that my level will continue to rise because the preparation has not yet been completely metabolized. Do I have to worry about lung cancer, or was my intake period too short? 
 [https://edition.cnn.com/2017/08/22/health/vitamin-b6-b12-lung-cancer-study/index.html](https://edition.cnn.com/2017/08/22/health/vitamin-b6-b12-lung-cancer-study/index.html)</t>
        </is>
      </c>
      <c r="D10852" t="n">
        <v>1</v>
      </c>
      <c r="E10852" t="n">
        <v>3</v>
      </c>
      <c r="F10852">
        <f>HYPERLINK("https://www.reddit.com/r/cancer/comments/ibvvpc/lung_cancer_from_b_12/")</f>
        <v/>
      </c>
      <c r="G10852" t="inlineStr">
        <is>
          <t>2020-08-17 23:33:53</t>
        </is>
      </c>
      <c r="H10852" t="inlineStr"/>
    </row>
    <row r="10853">
      <c r="A10853" t="inlineStr">
        <is>
          <t>ibzptr</t>
        </is>
      </c>
      <c r="B10853" t="inlineStr">
        <is>
          <t>Exercise &amp;amp; fitness through treatment</t>
        </is>
      </c>
      <c r="C10853" t="inlineStr">
        <is>
          <t>Hey everyone, I've recently undergone surgery for a small recurrence of a brain tumour I received treatment for a few years ago and i'm about to start on a course of follow up chemo but I'm also training towards doing Ironman UK next July. A few months back I decided to journal everything on youtube after it became apparent more treatment was needed to try make a resource for people to use if they ever found themselves in a similar position. (I wont link the channel as I'm not sure if thats allowed, but you're interested its the same as my reddit username on youtube)  
Reason I'm posting is I'm quite keen on hearing which areas people think may be best to focus on while undergoing the chemotherapy. Obviously endurance sport is very cardio based and the chemo treatment I received previously was very cytotoxic and had a pretty strong effect on my blood counts. From my experience I think concentrating on recovery and diet would likely be the most helpful but if anyone has any experience and would like to make suggestions hopefully it'll help improve the quality of the info.   
Obviously I'm aware there is a huge variation in how people respond to treatment and illness, especially with brain cancers as so much is dependant on location and type, but aside from being cathartic to log all this, its incredibly difficult to find specific information for this type of thing so if nothing else it'll be a library of how its effected me and hopefully it'll be of use to someone some day. Even finding something like a coach who has experience with this sort of thing has been incredibly difficult as so little is known and there are so many variables.  
Any advice would be gratefully appreciated</t>
        </is>
      </c>
      <c r="D10853" t="n">
        <v>1</v>
      </c>
      <c r="E10853" t="n">
        <v>5</v>
      </c>
      <c r="F10853">
        <f>HYPERLINK("https://www.reddit.com/r/cancer/comments/ibzptr/exercise_fitness_through_treatment/")</f>
        <v/>
      </c>
      <c r="G10853" t="inlineStr">
        <is>
          <t>2020-08-18 05:04:24</t>
        </is>
      </c>
      <c r="H10853" t="inlineStr"/>
    </row>
    <row r="10854">
      <c r="A10854" t="inlineStr">
        <is>
          <t>ic00dp</t>
        </is>
      </c>
      <c r="B10854" t="inlineStr">
        <is>
          <t>Covid keeps my husband and kids from being there for me</t>
        </is>
      </c>
      <c r="C10854" t="inlineStr">
        <is>
          <t>I was just diagnosed with cancer last week. It is in an extremely difficult place to biopsy so I am headed to MD Anderson next week. I have to covid test and self isolate there for 2 days prior to my consult and they have scheduled a biopsy  the next day. It could possibly be an open surgical removal instead as we know it can’t be reached safely with a needle. Not only is my family not able to be there for the consult but can’t be there for surgery or any treatment either. It makes it so much scarier like this and so much harder on my family. Any advice? WhT works for you?</t>
        </is>
      </c>
      <c r="D10854" t="n">
        <v>1</v>
      </c>
      <c r="E10854" t="n">
        <v>15</v>
      </c>
      <c r="F10854">
        <f>HYPERLINK("https://www.reddit.com/r/cancer/comments/ic00dp/covid_keeps_my_husband_and_kids_from_being_there/")</f>
        <v/>
      </c>
      <c r="G10854" t="inlineStr">
        <is>
          <t>2020-08-18 05:24:39</t>
        </is>
      </c>
      <c r="H10854" t="inlineStr"/>
    </row>
    <row r="10855">
      <c r="A10855" t="inlineStr">
        <is>
          <t>ic2k6e</t>
        </is>
      </c>
      <c r="B10855" t="inlineStr">
        <is>
          <t>Food for cancer patients</t>
        </is>
      </c>
      <c r="C10855" t="inlineStr">
        <is>
          <t>Long story short my mom has been diagnosed with stage 4 cancer of the liver and GI tract, she is eating a little here and there but I would like to find some opinions on foods that she SHOULD be eating, to help fight cancer cells. If anyone could give some tips, tricks, or any advice for me to give to her I would greatly appreciate it.  
Thanks in advance</t>
        </is>
      </c>
      <c r="D10855" t="n">
        <v>1</v>
      </c>
      <c r="E10855" t="n">
        <v>5</v>
      </c>
      <c r="F10855">
        <f>HYPERLINK("https://www.reddit.com/r/cancer/comments/ic2k6e/food_for_cancer_patients/")</f>
        <v/>
      </c>
      <c r="G10855" t="inlineStr">
        <is>
          <t>2020-08-18 07:58:30</t>
        </is>
      </c>
      <c r="H10855" t="inlineStr"/>
    </row>
    <row r="10856">
      <c r="A10856" t="inlineStr">
        <is>
          <t>ic3znx</t>
        </is>
      </c>
      <c r="B10856" t="inlineStr">
        <is>
          <t>Cancer Patient Experience Survey</t>
        </is>
      </c>
      <c r="C10856" t="inlineStr">
        <is>
          <t>[removed]
[View Poll](https://www.reddit.com/poll/ic3znx)</t>
        </is>
      </c>
      <c r="D10856" t="n">
        <v>1</v>
      </c>
      <c r="E10856" t="n">
        <v>0</v>
      </c>
      <c r="F10856">
        <f>HYPERLINK("https://www.reddit.com/r/cancer/comments/ic3znx/cancer_patient_experience_survey/")</f>
        <v/>
      </c>
      <c r="G10856" t="inlineStr">
        <is>
          <t>2020-08-18 09:13:05</t>
        </is>
      </c>
      <c r="H10856" t="inlineStr"/>
    </row>
    <row r="10857">
      <c r="A10857" t="inlineStr">
        <is>
          <t>ic5xtx</t>
        </is>
      </c>
      <c r="B10857" t="inlineStr">
        <is>
          <t>How to support my best friend who has cancer?</t>
        </is>
      </c>
      <c r="C10857" t="inlineStr">
        <is>
          <t>My (37m) best friend (37f) has cancer. Very sudden diagnosis, surgery just completed, therapy starting soon. Depending on some tests that should come in soon, she has between 15 and 50% chance of being alive past 3 years.
I want to do literally everything in my power to support her through this journey, but am at a loss for what I can do and how.
Any advice, books, resources you'd offer for me to educate myself? I'm visiting her this coming Friday, and I feel like I need to prepare for this time to be most valuable to her.
Tia!</t>
        </is>
      </c>
      <c r="D10857" t="n">
        <v>1</v>
      </c>
      <c r="E10857" t="n">
        <v>7</v>
      </c>
      <c r="F10857">
        <f>HYPERLINK("https://www.reddit.com/r/cancer/comments/ic5xtx/how_to_support_my_best_friend_who_has_cancer/")</f>
        <v/>
      </c>
      <c r="G10857" t="inlineStr">
        <is>
          <t>2020-08-18 10:52:20</t>
        </is>
      </c>
      <c r="H10857" t="inlineStr"/>
    </row>
    <row r="10858">
      <c r="A10858" t="inlineStr">
        <is>
          <t>ic6l2l</t>
        </is>
      </c>
      <c r="B10858" t="inlineStr">
        <is>
          <t>I need help With Benefits I’m eligible for Stage 4 Lung/Brain Cancer</t>
        </is>
      </c>
      <c r="C10858" t="inlineStr">
        <is>
          <t>I have been recently diagnosed with lung cancer that has spread to my brain. It does not look good for me. What type of government assistance programs at I eligible for? SS, sick pay, food stamps, etc
I also have been paying about $100 a month for a $3200 a month disability insurance which I’ll be eligible after day 31 not working. I’m at 22 now. 
Thank You I’m just burning through money not working and having all of these new expenses.</t>
        </is>
      </c>
      <c r="D10858" t="n">
        <v>1</v>
      </c>
      <c r="E10858" t="n">
        <v>4</v>
      </c>
      <c r="F10858">
        <f>HYPERLINK("https://www.reddit.com/r/cancer/comments/ic6l2l/i_need_help_with_benefits_im_eligible_for_stage_4/")</f>
        <v/>
      </c>
      <c r="G10858" t="inlineStr">
        <is>
          <t>2020-08-18 11:24:49</t>
        </is>
      </c>
      <c r="H10858" t="inlineStr"/>
    </row>
    <row r="10859">
      <c r="A10859" t="inlineStr">
        <is>
          <t>ic6ngc</t>
        </is>
      </c>
      <c r="B10859" t="inlineStr">
        <is>
          <t>clear cell ovarian cancer</t>
        </is>
      </c>
      <c r="C10859" t="inlineStr">
        <is>
          <t>Hi, i’ve never posted here but it seems like the time.. 
i’m 21 and 3 months ago the doctors found a mass on my right ovary, ( i had pelvic pain for a least one year but i was afraid to go to a OBGYN )first they told me it was endometriosis then a normal cyst, i saw at least 6 doctors and then i went to see the doctor who operated me and she told me it was a mucinous borderline tumor, i went through surgery to remove my tumor. I got to keep my left ovary as the tumor was confined to the right ovary.
 They did a first biopsy and the results said that it was a complex tumor and that they didn’t find out the type, so they sent it to another laboratory specialized in cancer ( i live in France ), but their hypothesis is that i have/had a clear cell ovarian tumor but it doesn’t mention cancer or but as they said it is only a hypothesis. I looked on the internet and it looks pretty scary..
I’m looking for people who had this type of cancer or even any type of ovarian cancer at a young age, i need hope because i’m scared..
I have lots of questions..</t>
        </is>
      </c>
      <c r="D10859" t="n">
        <v>1</v>
      </c>
      <c r="E10859" t="n">
        <v>2</v>
      </c>
      <c r="F10859">
        <f>HYPERLINK("https://www.reddit.com/r/cancer/comments/ic6ngc/clear_cell_ovarian_cancer/")</f>
        <v/>
      </c>
      <c r="G10859" t="inlineStr">
        <is>
          <t>2020-08-18 11:27:57</t>
        </is>
      </c>
      <c r="H10859" t="inlineStr"/>
    </row>
    <row r="10860">
      <c r="A10860" t="inlineStr">
        <is>
          <t>ic6qly</t>
        </is>
      </c>
      <c r="B10860" t="inlineStr">
        <is>
          <t>Hypertumors</t>
        </is>
      </c>
      <c r="C10860" t="inlineStr">
        <is>
          <t>Could humans create their own hypertumors in a lab to destroy tumors in the body without harming good cells?</t>
        </is>
      </c>
      <c r="D10860" t="n">
        <v>1</v>
      </c>
      <c r="E10860" t="n">
        <v>1</v>
      </c>
      <c r="F10860">
        <f>HYPERLINK("https://www.reddit.com/r/cancer/comments/ic6qly/hypertumors/")</f>
        <v/>
      </c>
      <c r="G10860" t="inlineStr">
        <is>
          <t>2020-08-18 11:32:24</t>
        </is>
      </c>
      <c r="H10860" t="inlineStr"/>
    </row>
    <row r="10861">
      <c r="A10861" t="inlineStr">
        <is>
          <t>ic7lt5</t>
        </is>
      </c>
      <c r="B10861" t="inlineStr">
        <is>
          <t>Fingers and feet enlarging after radiation? Is this a thing?</t>
        </is>
      </c>
      <c r="C10861" t="inlineStr">
        <is>
          <t>Anyone had the experience of having their rings and shoes no longer fit post-treatment?</t>
        </is>
      </c>
      <c r="D10861" t="n">
        <v>1</v>
      </c>
      <c r="E10861" t="n">
        <v>4</v>
      </c>
      <c r="F10861">
        <f>HYPERLINK("https://www.reddit.com/r/cancer/comments/ic7lt5/fingers_and_feet_enlarging_after_radiation_is/")</f>
        <v/>
      </c>
      <c r="G10861" t="inlineStr">
        <is>
          <t>2020-08-18 12:16:13</t>
        </is>
      </c>
      <c r="H10861" t="inlineStr"/>
    </row>
    <row r="10862">
      <c r="A10862" t="inlineStr">
        <is>
          <t>ic7vut</t>
        </is>
      </c>
      <c r="B10862" t="inlineStr">
        <is>
          <t>CT scan</t>
        </is>
      </c>
      <c r="C10862" t="inlineStr">
        <is>
          <t>Nothing major and I'm stable  said my oncologist. My ca numbers are down  which is good.  Hasn't spread to anything else,  which I was worried about. This some good news in a while.</t>
        </is>
      </c>
      <c r="D10862" t="n">
        <v>1</v>
      </c>
      <c r="E10862" t="n">
        <v>28</v>
      </c>
      <c r="F10862">
        <f>HYPERLINK("https://www.reddit.com/r/cancer/comments/ic7vut/ct_scan/")</f>
        <v/>
      </c>
      <c r="G10862" t="inlineStr">
        <is>
          <t>2020-08-18 12:30:38</t>
        </is>
      </c>
      <c r="H10862" t="inlineStr"/>
    </row>
    <row r="10863">
      <c r="A10863" t="inlineStr">
        <is>
          <t>icbxes</t>
        </is>
      </c>
      <c r="B10863" t="inlineStr">
        <is>
          <t>lol</t>
        </is>
      </c>
      <c r="C10863" t="inlineStr">
        <is>
          <t>laughter is the best medicine so I'm laughing at the cancer HAHAHAHAHAHAHA</t>
        </is>
      </c>
      <c r="D10863" t="n">
        <v>1</v>
      </c>
      <c r="E10863" t="n">
        <v>6</v>
      </c>
      <c r="F10863">
        <f>HYPERLINK("https://www.reddit.com/r/cancer/comments/icbxes/lol/")</f>
        <v/>
      </c>
      <c r="G10863" t="inlineStr">
        <is>
          <t>2020-08-18 16:06:08</t>
        </is>
      </c>
      <c r="H10863" t="inlineStr"/>
    </row>
    <row r="10864">
      <c r="A10864" t="inlineStr">
        <is>
          <t>icczvl</t>
        </is>
      </c>
      <c r="B10864" t="inlineStr">
        <is>
          <t>My father has just been diagnosed with esophagus cancer, staging results tomorrow .</t>
        </is>
      </c>
      <c r="C10864" t="inlineStr">
        <is>
          <t>I found out yesterday my father has cancer. He had a PET scan today and we get the results tomorrow. No one in my family is taking it particularly well, especially my mother. My father is a physician who runs a small family practice  which my mother also works at as a nurse practitioner. Not only does she have to deal with this, but she has to cover his patient as well as her scheduled work. My sister is also shaken up but is at medical school and cannot return. I graduated college in the spring and moved back to my hometown, but i have my own apartment as my father has been extremely concerned about covid. They want me to move back in with them, but i would have to leave my job as to not risk infecting him with covid if he undergoes chemo. I don't know if i can get out of my lease or should leave my job. He didn't give me a time frame, but he told me this is a large tumor and that this cancer is typically found late.  I do not know what to expect tomorrow when we get the staging and am worried I can't handle it no matter what the time frame is. I don't know what to expect from coming here, but thank you for listening.</t>
        </is>
      </c>
      <c r="D10864" t="n">
        <v>1</v>
      </c>
      <c r="E10864" t="n">
        <v>0</v>
      </c>
      <c r="F10864">
        <f>HYPERLINK("https://www.reddit.com/r/cancer/comments/icczvl/my_father_has_just_been_diagnosed_with_esophagus/")</f>
        <v/>
      </c>
      <c r="G10864" t="inlineStr">
        <is>
          <t>2020-08-18 17:09:33</t>
        </is>
      </c>
      <c r="H10864" t="inlineStr"/>
    </row>
    <row r="10865">
      <c r="A10865" t="inlineStr">
        <is>
          <t>icdgv3</t>
        </is>
      </c>
      <c r="B10865" t="inlineStr">
        <is>
          <t>What online service have you used to chat with an oncologist in the US, and how was your experience?</t>
        </is>
      </c>
      <c r="C10865" t="inlineStr">
        <is>
          <t>My best friend's dad is diagnosed with a rare type of cancer (periampullary carcinoma). They live in China, and my friend wants to talk to a US doctor regarding targeted therapies. I'm thinking of helping my friend through finding an online service that allows patients in China to talk to a US oncologist. How you used such services? Would you recommend such services? If so, what's the name of the online service? Thank you so much!</t>
        </is>
      </c>
      <c r="D10865" t="n">
        <v>1</v>
      </c>
      <c r="E10865" t="n">
        <v>3</v>
      </c>
      <c r="F10865">
        <f>HYPERLINK("https://www.reddit.com/r/cancer/comments/icdgv3/what_online_service_have_you_used_to_chat_with_an/")</f>
        <v/>
      </c>
      <c r="G10865" t="inlineStr">
        <is>
          <t>2020-08-18 17:39:01</t>
        </is>
      </c>
      <c r="H10865" t="inlineStr"/>
    </row>
    <row r="10866">
      <c r="A10866" t="inlineStr">
        <is>
          <t>icgsav</t>
        </is>
      </c>
      <c r="B10866" t="inlineStr">
        <is>
          <t>Diagnosed with breast cancer at 22</t>
        </is>
      </c>
      <c r="C10866" t="inlineStr">
        <is>
          <t>I’m pissed, I’m scared, I’m depressed, I’m freaked out and I do not feel “strong” or “brave” or like I can be positive or helpful to anyone or anything right now. It’s all I can do to make it through the day and not breakdown over small things. I am lucky in the sense that I (as far as I know right now) have stage 1 invasive ductal carcinoma. I am freaking out that it could be in other parts of my body or something. I have no history of breast cancer in my family, no health concerns, I never had a pain or weird symptom that made cancer cross my mind EVER. I just happened to find a lump in March before the world shut down, thought nothing of it, but it didn’t go away so come June I decided to get it checked out. An ultrasound and biopsy later, on August 4th I was given the news that I have cancer while driving to work. Talk about a bad morning. None of my doctors were concerned when I first went to get it looked at, they kept saying it was probably nothing, but “better safe than sorry” and thank god for that because I almost didn’t go to my biopsy I was so freaked out at the thought of it and so convinced it was nothing. I’m happy I caught it early, and happy its treatable, but it makes me feel like some sort of cancer imposter. But at the same time..... I’m 22 years old going through cancer 10 months after I just got my  bachelors degree, 2 weeks after moving into a new apartment with my SO, right when I’m starting my life, and all during a global pandemic. I might have to do all of my appointments and surgeries alone. I’m terrified. Why is this happening. I can’t sleep, I’m having vivid nightmares, I feel so alone and I’m trying to get my team of doctors set up and get involved with support networks but between insurance drama, COVID related bullshit, and this overwhelming feeling of no one understanding what breast cancer at 22 feels like (because yes, it is different than even a 27 or 30 year old) it just feels like it’s taking forever and I’m isolated and anxious and so, so angry.</t>
        </is>
      </c>
      <c r="D10866" t="n">
        <v>1</v>
      </c>
      <c r="E10866" t="n">
        <v>13</v>
      </c>
      <c r="F10866">
        <f>HYPERLINK("https://www.reddit.com/r/cancer/comments/icgsav/diagnosed_with_breast_cancer_at_22/")</f>
        <v/>
      </c>
      <c r="G10866" t="inlineStr">
        <is>
          <t>2020-08-18 21:15:08</t>
        </is>
      </c>
      <c r="H10866" t="inlineStr"/>
    </row>
    <row r="10867">
      <c r="A10867" t="inlineStr">
        <is>
          <t>ich947</t>
        </is>
      </c>
      <c r="B10867" t="inlineStr">
        <is>
          <t>Blender recommendation?</t>
        </is>
      </c>
      <c r="C10867" t="inlineStr">
        <is>
          <t>I burned out my old blender in no time flat with all the smoothies these days.  Figured you've all been in the same boat at some point.
I'm looking at the vita-mixes, as I've heard they are the bee's knees for smoothies, but are they really worth all the money?  Is there a cheaper lesser known blender that is just as good?</t>
        </is>
      </c>
      <c r="D10867" t="n">
        <v>1</v>
      </c>
      <c r="E10867" t="n">
        <v>12</v>
      </c>
      <c r="F10867">
        <f>HYPERLINK("https://www.reddit.com/r/cancer/comments/ich947/blender_recommendation/")</f>
        <v/>
      </c>
      <c r="G10867" t="inlineStr">
        <is>
          <t>2020-08-18 21:49:27</t>
        </is>
      </c>
      <c r="H10867" t="inlineStr">
        <is>
          <t xml:space="preserve">Patient </t>
        </is>
      </c>
    </row>
    <row r="10868">
      <c r="A10868" t="inlineStr">
        <is>
          <t>iciqx4</t>
        </is>
      </c>
      <c r="B10868" t="inlineStr">
        <is>
          <t>Progression rate from stage 3 to 4 colon cancer</t>
        </is>
      </c>
      <c r="C10868" t="inlineStr">
        <is>
          <t>My best friend just passed away from colon cancer at 41yo. He was diagnosed stage 4 not even a year ago. I know it’s not healthy, but I keep thinking that I wish we had gotten his colonoscopy done a year earlier. Maybe then it would have been caught earlier, like at stage 3. 
Does anyone know how long it takes to advance between stages? I know it’s slow developing, around how long can someone live with stage 4 before it can go undiagnosed?
Having trouble sleeping over this so any insight helps. Thanks 🙏</t>
        </is>
      </c>
      <c r="D10868" t="n">
        <v>1</v>
      </c>
      <c r="E10868" t="n">
        <v>11</v>
      </c>
      <c r="F10868">
        <f>HYPERLINK("https://www.reddit.com/r/cancer/comments/iciqx4/progression_rate_from_stage_3_to_4_colon_cancer/")</f>
        <v/>
      </c>
      <c r="G10868" t="inlineStr">
        <is>
          <t>2020-08-18 23:51:26</t>
        </is>
      </c>
      <c r="H10868" t="inlineStr"/>
    </row>
    <row r="10869">
      <c r="A10869" t="inlineStr">
        <is>
          <t>icirw0</t>
        </is>
      </c>
      <c r="B10869" t="inlineStr">
        <is>
          <t>My moms battle with cancer</t>
        </is>
      </c>
      <c r="C10869" t="inlineStr">
        <is>
          <t>My mother (f52) was diagnosed with stage 4 colon cancer roughly a month ago. The doctors had found it during a check up for a previous health issue. A little backstory: last year my mom started to notice that she was more tired quickly and experienced heart palpitations, come to find out her arteries weren't in the best shape so she ended up getting open heart surgery, double bypass in november of last year. After the procedure she was healing very well, her doctors we're very impressed. Everyday she was closer to her old self up until after the first month of of the pandemic here in the states.
She felt discomfort in her abdomen area and slowly lost her appetite but she passed it off as a possible side effect of her various heart medicines. Blood tests from one of her appointments prompted the doctors to call her in. At first they thought it was ovarian cancer but further research concluded it was colon cancer which had already seemed to spread to her abdomen. 
Considering how much the cancer had spread and her previous heart condition the team of doctors gave her 6 months to 2 years. Her heart was strong enough to receive chemo treatment, but the chemo would only be able to slow the cancer to give her a better quality life.
 It was an emotional rollercoaster, my dad, brothers, and i couldn't visit her because of COVID so the only updates were calls from her and the occasional doctor call. Im 21 and the idea of losing my mom is crippling. It all feels like one big nightmare. Weeks after her first chemo treatment she was discharged from the hospital. Her body actually didn't do all that bad with the chemo but it still made her feel miserable.We were so excited to have her back home, we knew that her time in the hospital did not help with her mood and moral, so with her being home our positive vibes would rub off on her and maybe help her feel better. 
We made accommodations to the house so that she would have access to just about anything she needed. First couple of days back home were tough. Seeing her in that state was soul crushing to say the least. But i was just glad to see her. My mother is the strongest woman i know, shes very resilient. When she had the heart surgery she overcame it like a pro. But with this cancer it feels like we just hit a wall. I can't even put it into words. 
Luckily it has been roughly a week and a half and shes been feeling better everyday, doing more, speaking more and looking more like herself. Tomorrow she goes back for another round of chemo and although shes not thrilled to go back, being back home makes her feel comfortable enough to take on anything.
 Sorry for the long post, i had to vent. I hadn't told anyone,(with the exception of my bosses at work), outside my family. I dont like to worry people and i felt like by talking more about it would remind me how hectic life is right now. For anybody who has a loved one or if you yourself experience any unusual pain or drastic change in feeling, please dont brush it off, please don't underestimate it. Please get it checked out in time so that you can catch it in time before it becomes something serious.</t>
        </is>
      </c>
      <c r="D10869" t="n">
        <v>1</v>
      </c>
      <c r="E10869" t="n">
        <v>5</v>
      </c>
      <c r="F10869">
        <f>HYPERLINK("https://www.reddit.com/r/cancer/comments/icirw0/my_moms_battle_with_cancer/")</f>
        <v/>
      </c>
      <c r="G10869" t="inlineStr">
        <is>
          <t>2020-08-18 23:53:58</t>
        </is>
      </c>
      <c r="H10869" t="inlineStr"/>
    </row>
    <row r="10870">
      <c r="A10870" t="inlineStr">
        <is>
          <t>icivxq</t>
        </is>
      </c>
      <c r="B10870" t="inlineStr">
        <is>
          <t>I need advice on how to calm my mother about her chemo treatment</t>
        </is>
      </c>
      <c r="C10870" t="inlineStr">
        <is>
          <t>Tomorrow my mom (f52) is going to get her first chemo treatment as an outpatient. Her previous experience with chemo left her dreading the next round. Shes not outright refusing to go, but is definitely not thrilled to got back. Does this dread go away overtime? Does it get better? What are some tips to boost her morale for the upcoming rounds</t>
        </is>
      </c>
      <c r="D10870" t="n">
        <v>1</v>
      </c>
      <c r="E10870" t="n">
        <v>15</v>
      </c>
      <c r="F10870">
        <f>HYPERLINK("https://www.reddit.com/r/cancer/comments/icivxq/i_need_advice_on_how_to_calm_my_mother_about_her/")</f>
        <v/>
      </c>
      <c r="G10870" t="inlineStr">
        <is>
          <t>2020-08-19 00:04:06</t>
        </is>
      </c>
      <c r="H10870" t="inlineStr"/>
    </row>
    <row r="10871">
      <c r="A10871" t="inlineStr">
        <is>
          <t>ico98s</t>
        </is>
      </c>
      <c r="B10871" t="inlineStr">
        <is>
          <t>My dad's first stable CT since the beginning</t>
        </is>
      </c>
      <c r="C10871" t="inlineStr">
        <is>
          <t>My dad was diagnosed with stage 4 esophageal at the end of February. We tried chemo #1, and then chemo #2/radiation and neither of them worked. We are on a clinical trial with chemo # 3/ drug X and this is the first CT scan where my dad's cancer has seemingly stabilized. A huge relief! Gotta keep the hope alive, even on third-line treatment &amp;lt;3.</t>
        </is>
      </c>
      <c r="D10871" t="n">
        <v>1</v>
      </c>
      <c r="E10871" t="n">
        <v>0</v>
      </c>
      <c r="F10871">
        <f>HYPERLINK("https://www.reddit.com/r/cancer/comments/ico98s/my_dads_first_stable_ct_since_the_beginning/")</f>
        <v/>
      </c>
      <c r="G10871" t="inlineStr">
        <is>
          <t>2020-08-19 07:06:00</t>
        </is>
      </c>
      <c r="H10871" t="inlineStr"/>
    </row>
    <row r="10872">
      <c r="A10872" t="inlineStr">
        <is>
          <t>icon1p</t>
        </is>
      </c>
      <c r="B10872" t="inlineStr">
        <is>
          <t>Being caregiver has become overwhelming it effecting my autistic son</t>
        </is>
      </c>
      <c r="C10872" t="inlineStr">
        <is>
          <t>Hello all I'm currently taking care of my mother in law in her terminal stages ,hospice is terrible she has a history of alcohol and narcotic addiction and mental illness and hospice keep giving her more narcotics despite the fact she's not in any pain . it's become to much and I can't give my son the attention he needs with his therapy for his autism and the challenges of at home schooling and I can't return to work and my savings is almost gone I need help please</t>
        </is>
      </c>
      <c r="D10872" t="n">
        <v>1</v>
      </c>
      <c r="E10872" t="n">
        <v>3</v>
      </c>
      <c r="F10872">
        <f>HYPERLINK("https://www.reddit.com/r/cancer/comments/icon1p/being_caregiver_has_become_overwhelming_it/")</f>
        <v/>
      </c>
      <c r="G10872" t="inlineStr">
        <is>
          <t>2020-08-19 07:27:11</t>
        </is>
      </c>
      <c r="H10872" t="inlineStr"/>
    </row>
    <row r="10873">
      <c r="A10873" t="inlineStr">
        <is>
          <t>icpnzs</t>
        </is>
      </c>
      <c r="B10873" t="inlineStr">
        <is>
          <t>M-17, Received CAR-T therapy today, AMA</t>
        </is>
      </c>
      <c r="C10873" t="inlineStr">
        <is>
          <t>Hello everyone. This is really my first post ever on Reddit, because before I’ve only ever scrolled through some subreddits looking for memes and such. I was diagnosed April 21st with PH-like B-cell Acute Lymphoblastic Leukemia, and I’ve been admitted to the hospital since, although I’ve had a few weeks where I was able to stay home for a little bit. Before June 24th, my leukemia was not responding well to chemo, and i never reached remission, although it went from high to low very quickly. For the past three marrow checks, it displayed the CD-19 protein, so they got to work on collecting the cells, and today The were infused. I remember my brother told me I should make an AMA because he saw another girl make one about this therapy, and it didn’t occur to me until today. So I guess here we are, not even sure if anyone will see this. But I at least tried, so AMA.</t>
        </is>
      </c>
      <c r="D10873" t="n">
        <v>1</v>
      </c>
      <c r="E10873" t="n">
        <v>18</v>
      </c>
      <c r="F10873">
        <f>HYPERLINK("https://www.reddit.com/r/cancer/comments/icpnzs/m17_received_cart_therapy_today_ama/")</f>
        <v/>
      </c>
      <c r="G10873" t="inlineStr">
        <is>
          <t>2020-08-19 08:21:19</t>
        </is>
      </c>
      <c r="H10873" t="inlineStr">
        <is>
          <t xml:space="preserve">Patient </t>
        </is>
      </c>
    </row>
    <row r="10874">
      <c r="A10874" t="inlineStr">
        <is>
          <t>icrjr1</t>
        </is>
      </c>
      <c r="B10874" t="inlineStr">
        <is>
          <t>I hate ruining my loved ones day/mood with bad news.</t>
        </is>
      </c>
      <c r="C10874" t="inlineStr">
        <is>
          <t>I had a nephrectomy 6 weeks ago for a 13.5cm tumor that was thought to be renal cell carcinoma. I just heard back from pathology and it turns out it was a rare soft tissue form of Ewing’s sarcoma. I went from expecting being told I was all clear and just needed monitoring to being referred to an oncologist for more scans (chest CT, PET) and likely looking at chemo. I’ve traded a relatively high 5 year survival probability for a lower (potentially much lower) one and a relatively normal return to my life for more uncertainty and hardship.
When I told my wife she just broke down crying. I know I shouldn’t feel like this is my fault but I feel so guilty right now. I’m just so tired of hurting my family.
Fucking cancer.
Sorry everyone I just needed to vent.</t>
        </is>
      </c>
      <c r="D10874" t="n">
        <v>1</v>
      </c>
      <c r="E10874" t="n">
        <v>8</v>
      </c>
      <c r="F10874">
        <f>HYPERLINK("https://www.reddit.com/r/cancer/comments/icrjr1/i_hate_ruining_my_loved_ones_daymood_with_bad_news/")</f>
        <v/>
      </c>
      <c r="G10874" t="inlineStr">
        <is>
          <t>2020-08-19 09:58:17</t>
        </is>
      </c>
      <c r="H10874" t="inlineStr">
        <is>
          <t xml:space="preserve">Patient </t>
        </is>
      </c>
    </row>
    <row r="10875">
      <c r="A10875" t="inlineStr">
        <is>
          <t>icrphv</t>
        </is>
      </c>
      <c r="B10875" t="inlineStr">
        <is>
          <t>Need Help Understanding 😢</t>
        </is>
      </c>
      <c r="C10875" t="inlineStr">
        <is>
          <t>I'm not going through cancer, but my partner is. He just barely started chemotherapy but has already decided to quit and I can't wrap my brain around this. 
So in early June he was rushed to the hospital, he had a perforated colon. Surgery removed a section of colon, he got what is supposed to be a temporary colostomy bag. It was discovered during surgery that he had colon cancer. The tumor was completely removed by the surgery. Tests showed that some stray cancer cells remained in his body, som chemo was scheduled. The plan has been to go through 12 chemo sessions, then he could have his colon reconnected and lose the colostomy bag. The oncologist has told him numerous times how lucky he was that the tumor was removed, and that the chemotherapy is to try to eradicate the trace amount of cells left over. In fact, his chemo is considered a really light chemo - minimal side effects, no expected nausea, no expected hair loss. All in all, I would think millions of cancer patients would love to be as set up for success as he is. 
He had his first session 2 weeks ago and was perfectly fine through it, absolutely no side effects. He has been really positive and upbeat about it all looking forward to breezing through and losing the colostomy bag. Today is supposed to be session 2, but his blood test yesterday showed his white blood cell count was a little too low and that they'd need to bring that back up before chemo can resume. That sent him completely into an angry rage and is calling up all the medical team saying he wants to quit. He says he isn't going to deal with any setbacks, even minor ones, and if there are factors that can cause unexpected delays, he'd rather just die from cancer than to deal with what he now considers "being jerked around". 
This is completely irrational to watch, and I don't know how to calm him down and see the big picture. His attitude literally flipped a 180 at the drop of a hat.</t>
        </is>
      </c>
      <c r="D10875" t="n">
        <v>1</v>
      </c>
      <c r="E10875" t="n">
        <v>32</v>
      </c>
      <c r="F10875">
        <f>HYPERLINK("https://www.reddit.com/r/cancer/comments/icrphv/need_help_understanding/")</f>
        <v/>
      </c>
      <c r="G10875" t="inlineStr">
        <is>
          <t>2020-08-19 10:06:07</t>
        </is>
      </c>
      <c r="H10875" t="inlineStr"/>
    </row>
    <row r="10876">
      <c r="A10876" t="inlineStr">
        <is>
          <t>icsnfb</t>
        </is>
      </c>
      <c r="B10876" t="inlineStr">
        <is>
          <t>Ways of finding good diagnosis in Turkey(breast cancer)</t>
        </is>
      </c>
      <c r="C10876" t="inlineStr">
        <is>
          <t>Hello my friends, I have come here because I don’t know where to start looking for this: my Turkish friend who I met during her Erasmus in Europe has lumps on her breast and needs a biopsy
Here is the catch, the health care system in Turkey isn’t working very well now due to the corona pandemic and a private one is too expensive 
Does anyone have any ideas of organizations that can help? Or another way to go about this?
Thank you so much for your attention and help! Stay safe!</t>
        </is>
      </c>
      <c r="D10876" t="n">
        <v>1</v>
      </c>
      <c r="E10876" t="n">
        <v>1</v>
      </c>
      <c r="F10876">
        <f>HYPERLINK("https://www.reddit.com/r/cancer/comments/icsnfb/ways_of_finding_good_diagnosis_in_turkeybreast/")</f>
        <v/>
      </c>
      <c r="G10876" t="inlineStr">
        <is>
          <t>2020-08-19 10:53:59</t>
        </is>
      </c>
      <c r="H10876" t="inlineStr"/>
    </row>
    <row r="10877">
      <c r="A10877" t="inlineStr">
        <is>
          <t>icu4nd</t>
        </is>
      </c>
      <c r="B10877" t="inlineStr">
        <is>
          <t>Drinks for those going through chemo?</t>
        </is>
      </c>
      <c r="C10877" t="inlineStr">
        <is>
          <t>Hi everyone!
I’m not sure if this belongs here but I would love input from anyone. My dad is going through chemo and has been for a while. The one thing he really misses is sodas. The carbonation causes him pain in his mouth so I wondering if anyone has suggestions for good, non-carbonated drinks. We’ve gone through the usual juices, fruit teas, and gatorade type of drinks so far. If you have any suggestions at all, please let me know!</t>
        </is>
      </c>
      <c r="D10877" t="n">
        <v>1</v>
      </c>
      <c r="E10877" t="n">
        <v>21</v>
      </c>
      <c r="F10877">
        <f>HYPERLINK("https://www.reddit.com/r/cancer/comments/icu4nd/drinks_for_those_going_through_chemo/")</f>
        <v/>
      </c>
      <c r="G10877" t="inlineStr">
        <is>
          <t>2020-08-19 12:08:38</t>
        </is>
      </c>
      <c r="H10877" t="inlineStr"/>
    </row>
    <row r="10878">
      <c r="A10878" t="inlineStr">
        <is>
          <t>icutt9</t>
        </is>
      </c>
      <c r="B10878" t="inlineStr">
        <is>
          <t>How often does a CT scan miss tumors in the head or other areas?</t>
        </is>
      </c>
      <c r="C10878" t="inlineStr">
        <is>
          <t>Sorry if this is inappropriate to post here but I’m really lost and doctors don’t seem to take me seriously. For a while I’ve been having weird sensations in my head (about a year or two) but didn’t think much of it. Around a month ago i was at my gfs and all of a sudden my arm started hurting. About 30 min after that started I felt like I was going to have a stroke/pass out and her dad rushed me to the hospital. Took an ultrasound of my arm for blood clots and was cleared. 2 days later the same thing happened went to hospital got a CT scan came out clear they told me to gtfo. This month has been really up and down for me, I’ll have 3 days go by where I feel normal, then 3 days where I feel like shit. It feels like someone is inflating a balloon in my head and from what I’ve researched it sounds like glioblastoma or some kind of brain tumor and I’ve been reading that CT scans regularly miss tumors. These past 3 days have been horrible for me and I’m getting really nervous and I don’t know what to do anymore. If anyone has gone through these kinds of cancers does this sound familiar?</t>
        </is>
      </c>
      <c r="D10878" t="n">
        <v>1</v>
      </c>
      <c r="E10878" t="n">
        <v>8</v>
      </c>
      <c r="F10878">
        <f>HYPERLINK("https://www.reddit.com/r/cancer/comments/icutt9/how_often_does_a_ct_scan_miss_tumors_in_the_head/")</f>
        <v/>
      </c>
      <c r="G10878" t="inlineStr">
        <is>
          <t>2020-08-19 12:44:05</t>
        </is>
      </c>
      <c r="H10878" t="inlineStr"/>
    </row>
    <row r="10879">
      <c r="A10879" t="inlineStr">
        <is>
          <t>icuy7x</t>
        </is>
      </c>
      <c r="B10879" t="inlineStr">
        <is>
          <t>yo advice needed</t>
        </is>
      </c>
      <c r="C10879" t="inlineStr">
        <is>
          <t>soo my condition is stable, and i have two surgeries in two weeks to remove the dead masses in my liver and chest, i don’t know much about what’s happening, just that i’m getting a whole lot better and my chemo was a breeze for me.
so the thing i need advice on is hair. my hair is beginning to grow back and i’m not sure if i’m supposed to shave it off again so it can grow fresh or just leave it be. if anyone has advice or wisdom that’ll be appreciated. thanks 🙏</t>
        </is>
      </c>
      <c r="D10879" t="n">
        <v>1</v>
      </c>
      <c r="E10879" t="n">
        <v>1</v>
      </c>
      <c r="F10879">
        <f>HYPERLINK("https://www.reddit.com/r/cancer/comments/icuy7x/yo_advice_needed/")</f>
        <v/>
      </c>
      <c r="G10879" t="inlineStr">
        <is>
          <t>2020-08-19 12:50:17</t>
        </is>
      </c>
      <c r="H10879" t="inlineStr"/>
    </row>
    <row r="10880">
      <c r="A10880" t="inlineStr">
        <is>
          <t>icvalq</t>
        </is>
      </c>
      <c r="B10880" t="inlineStr">
        <is>
          <t>Cervical Cancer</t>
        </is>
      </c>
      <c r="C10880" t="inlineStr">
        <is>
          <t>Please help. I have been bleeding between periods on and off for about two years. My GP tested me for all STDs etc and said I have nothing to worry about but will not give me a Pap smear or do further tests because I am 20. I have started having shooting pains in my back on and off and still they will do nothing. I don’t know where to go from here. Has anyone had the same experience? What did you do?</t>
        </is>
      </c>
      <c r="D10880" t="n">
        <v>1</v>
      </c>
      <c r="E10880" t="n">
        <v>8</v>
      </c>
      <c r="F10880">
        <f>HYPERLINK("https://www.reddit.com/r/cancer/comments/icvalq/cervical_cancer/")</f>
        <v/>
      </c>
      <c r="G10880" t="inlineStr">
        <is>
          <t>2020-08-19 13:07:30</t>
        </is>
      </c>
      <c r="H10880" t="inlineStr"/>
    </row>
    <row r="10881">
      <c r="A10881" t="inlineStr">
        <is>
          <t>icwhp6</t>
        </is>
      </c>
      <c r="B10881" t="inlineStr">
        <is>
          <t>My dad is dying</t>
        </is>
      </c>
      <c r="C10881" t="inlineStr">
        <is>
          <t>It’s finally happening to me, this is so devastating. I never wanted to be here. According to legend, my great-grandmother once looked up from the obituaries and said “people are dying who never died before!” I think I get what she means now.</t>
        </is>
      </c>
      <c r="D10881" t="n">
        <v>1</v>
      </c>
      <c r="E10881" t="n">
        <v>7</v>
      </c>
      <c r="F10881">
        <f>HYPERLINK("https://www.reddit.com/r/cancer/comments/icwhp6/my_dad_is_dying/")</f>
        <v/>
      </c>
      <c r="G10881" t="inlineStr">
        <is>
          <t>2020-08-19 14:08:55</t>
        </is>
      </c>
      <c r="H10881" t="inlineStr"/>
    </row>
    <row r="10882">
      <c r="A10882" t="inlineStr">
        <is>
          <t>icyg1q</t>
        </is>
      </c>
      <c r="B10882" t="inlineStr">
        <is>
          <t>My uncle is refusing radiation</t>
        </is>
      </c>
      <c r="C10882" t="inlineStr">
        <is>
          <t>Hello! So my uncle got diagnosed with prostate cancer. Then he just heard it spread. He was given 1.5 years to live. 
The thing is he’s not interested in radiation. To summarize, he isn’t a bright guy, if you get my jist. 
Anyways he has a plan to use CBD oil to kill the cancer : /
He heard a friend of a friend had a bunch of brain tumors, and she took highly concentrated cbd oil, and the tumors ‘disappeared’. 
Im not a believer. But hey, im open to new information. Anyone ever hear of anything like this?</t>
        </is>
      </c>
      <c r="D10882" t="n">
        <v>1</v>
      </c>
      <c r="E10882" t="n">
        <v>16</v>
      </c>
      <c r="F10882">
        <f>HYPERLINK("https://www.reddit.com/r/cancer/comments/icyg1q/my_uncle_is_refusing_radiation/")</f>
        <v/>
      </c>
      <c r="G10882" t="inlineStr">
        <is>
          <t>2020-08-19 15:54:28</t>
        </is>
      </c>
      <c r="H10882" t="inlineStr"/>
    </row>
    <row r="10883">
      <c r="A10883" t="inlineStr">
        <is>
          <t>icyuje</t>
        </is>
      </c>
      <c r="B10883" t="inlineStr">
        <is>
          <t>Myers Cocktail through port?</t>
        </is>
      </c>
      <c r="C10883" t="inlineStr">
        <is>
          <t>I’m curious if anyone here gets a Myers Cocktail Infusion (vitamins) through your port? My dr is saying no, because he’s concerned about minerals clogging the port? I reeeeaaaally don’t want needles in my arms. That’s why I got the port. My veins can’t do needles anymore. Any insight appreciated. Thank you 💛✌🏼</t>
        </is>
      </c>
      <c r="D10883" t="n">
        <v>1</v>
      </c>
      <c r="E10883" t="n">
        <v>8</v>
      </c>
      <c r="F10883">
        <f>HYPERLINK("https://www.reddit.com/r/cancer/comments/icyuje/myers_cocktail_through_port/")</f>
        <v/>
      </c>
      <c r="G10883" t="inlineStr">
        <is>
          <t>2020-08-19 16:17:46</t>
        </is>
      </c>
      <c r="H10883" t="inlineStr"/>
    </row>
    <row r="10884">
      <c r="A10884" t="inlineStr">
        <is>
          <t>icyvrx</t>
        </is>
      </c>
      <c r="B10884" t="inlineStr">
        <is>
          <t>A message to all</t>
        </is>
      </c>
      <c r="C10884" t="inlineStr">
        <is>
          <t>Hi, I recently lost my father to cancer. His battle was short but he put up own hell of a fight. 
I just want you all to hold on tight to those in your life, never miss a beat and spend every moment you can with them. 
When someone is diganosed it's one of the hardest things and sometimes you may stuggle to not be around them, but you need to fight though that and be by there side. 
These are there last moments and they need you as much as you need to make memories with them, read them a book, listen to music or just sit in the same room. 
To all who have cancer, I'm sending my love and thoughts, stay strong and I wish you the best.</t>
        </is>
      </c>
      <c r="D10884" t="n">
        <v>1</v>
      </c>
      <c r="E10884" t="n">
        <v>12</v>
      </c>
      <c r="F10884">
        <f>HYPERLINK("https://www.reddit.com/r/cancer/comments/icyvrx/a_message_to_all/")</f>
        <v/>
      </c>
      <c r="G10884" t="inlineStr">
        <is>
          <t>2020-08-19 16:19:50</t>
        </is>
      </c>
      <c r="H10884" t="inlineStr"/>
    </row>
    <row r="10885">
      <c r="A10885" t="inlineStr">
        <is>
          <t>iczsbv</t>
        </is>
      </c>
      <c r="B10885" t="inlineStr">
        <is>
          <t>Can certain chemo cause your hair to just be weaker but not fall out?</t>
        </is>
      </c>
      <c r="C10885" t="inlineStr">
        <is>
          <t>My hair isn’t falling out on its own, but for the past week it has seemed to be getting thinner. If I brush my hair or pull on it, I can always get a few strands, but it’s not falling out like the last time I had chemo, where after a few days it was falling out in clumps.</t>
        </is>
      </c>
      <c r="D10885" t="n">
        <v>1</v>
      </c>
      <c r="E10885" t="n">
        <v>6</v>
      </c>
      <c r="F10885">
        <f>HYPERLINK("https://www.reddit.com/r/cancer/comments/iczsbv/can_certain_chemo_cause_your_hair_to_just_be/")</f>
        <v/>
      </c>
      <c r="G10885" t="inlineStr">
        <is>
          <t>2020-08-19 17:14:03</t>
        </is>
      </c>
      <c r="H10885" t="inlineStr">
        <is>
          <t xml:space="preserve">Patient </t>
        </is>
      </c>
    </row>
    <row r="10886">
      <c r="A10886" t="inlineStr">
        <is>
          <t>id0azk</t>
        </is>
      </c>
      <c r="B10886" t="inlineStr">
        <is>
          <t>Autologous transplant experience?</t>
        </is>
      </c>
      <c r="C10886" t="inlineStr">
        <is>
          <t>Last year when I was 14, I was diagnosed with Stage 4B Hodgkins Lymphoma. I went to St Jude, and was treated with chemo until it was gone, and radiation was used to try to stop a relapse. About a year later, it came back, and since it came back so soon, my doctor wanted to do chemo and and autologous transplant to reset my immune system to try and deny and chance of it coming back. I’ve done the chemo, and it went well and the spots are gone. In about three weeks, they are going to use chemo to destroy my immune system, and then use bone marrow that they collected before I started chemo to rebuild it. I was just wondering if anyone has had this done, and if they had any bad side effects or if it went relatively well.</t>
        </is>
      </c>
      <c r="D10886" t="n">
        <v>1</v>
      </c>
      <c r="E10886" t="n">
        <v>0</v>
      </c>
      <c r="F10886">
        <f>HYPERLINK("https://www.reddit.com/r/cancer/comments/id0azk/autologous_transplant_experience/")</f>
        <v/>
      </c>
      <c r="G10886" t="inlineStr">
        <is>
          <t>2020-08-19 17:46:21</t>
        </is>
      </c>
      <c r="H10886" t="inlineStr">
        <is>
          <t xml:space="preserve">Patient </t>
        </is>
      </c>
    </row>
    <row r="10887">
      <c r="A10887" t="inlineStr">
        <is>
          <t>id19f4</t>
        </is>
      </c>
      <c r="B10887" t="inlineStr">
        <is>
          <t>How brain cancer has affected my father</t>
        </is>
      </c>
      <c r="C10887" t="inlineStr">
        <is>
          <t>My father started a video journal documenting it's affects on his brain. This was back in 1994. [Here](https://cluster17a.heavy-r.com/v/f81bd964c51c46cfe10262bc5a4490db/5f3dd4fd/vid/06/19/21/06192120e58e026.mp4) is the last video he recorded for the journal.
&amp;amp;#x200B;
I miss you pawpaw</t>
        </is>
      </c>
      <c r="D10887" t="n">
        <v>1</v>
      </c>
      <c r="E10887" t="n">
        <v>0</v>
      </c>
      <c r="F10887">
        <f>HYPERLINK("https://www.reddit.com/r/cancer/comments/id19f4/how_brain_cancer_has_affected_my_father/")</f>
        <v/>
      </c>
      <c r="G10887" t="inlineStr">
        <is>
          <t>2020-08-19 18:45:54</t>
        </is>
      </c>
      <c r="H10887" t="inlineStr"/>
    </row>
    <row r="10888">
      <c r="A10888" t="inlineStr">
        <is>
          <t>id2mxx</t>
        </is>
      </c>
      <c r="B10888" t="inlineStr">
        <is>
          <t>Mom has lung cancer</t>
        </is>
      </c>
      <c r="C10888" t="inlineStr">
        <is>
          <t>We've "known" for a few weeks now, but it was confirmed today. The surgeons were so optimistic before the biopsy (about it being early). One of the surgeons that performed the biopsy called and gave us news that the nodule was cancer, but the lymph nodes showed none. We were very happy to hear that. She hangs up the phone. Shortly after, gets another call, "sorry, actually, it is in your lymph nodes." You can imagine how that felt. 
Later, the other (head?) surgeon called and said there were two types of cancer cells found in the biopsies. I can't imagine that being a good thing... and that while originally surgery was looking like an option, in the surgeon's opinion, it probably isn't anymore due to how many lymph nodes are involved. She said most likely a combination of radiation and chemo. My mom's worst fear has been chemo, so I know that was hard for her to hear. The surgeon did briefly mention new therapies other than chemo, but that she isn't an oncologist, so she couldn't say for sure. I'm not sure if these would even be helpful in my mom's mixed-cell case.
She didn't give a stage (although the first surgeon to call said "probably stage 1," but that's been thrown out the window). I suppose we wait until we see the oncologist for that? She hasn't had a PET scan yet either, so maybe that needs to take place before they can accurately determine exactly how to proceed. 
I'm terrified, but I try to make her feel like I have this positive outlook. But I can't make myself see a light right now. I feel like this is too soon. I'm not ready for her to go and I don't think she is either. I'm going to be around to help her because I have a remote job and I'm finishing my last semester of college online.... I don't know what I'm doing. How do I do this?</t>
        </is>
      </c>
      <c r="D10888" t="n">
        <v>1</v>
      </c>
      <c r="E10888" t="n">
        <v>11</v>
      </c>
      <c r="F10888">
        <f>HYPERLINK("https://www.reddit.com/r/cancer/comments/id2mxx/mom_has_lung_cancer/")</f>
        <v/>
      </c>
      <c r="G10888" t="inlineStr">
        <is>
          <t>2020-08-19 20:14:58</t>
        </is>
      </c>
      <c r="H10888" t="inlineStr"/>
    </row>
    <row r="10889">
      <c r="A10889" t="inlineStr">
        <is>
          <t>id50wo</t>
        </is>
      </c>
      <c r="B10889" t="inlineStr">
        <is>
          <t>gall bladder polyps - need urgent advice</t>
        </is>
      </c>
      <c r="C10889" t="inlineStr">
        <is>
          <t>my  ct scan revealed that i got gall bladder polyps. Im 25, slightly over  weight at 300lb. My diet consist of purely meat and no vegetables. I  love going to my local chinese buffet every friday. Ive lived like this  since 2014 when i  started living on my own.
1. is there a way to get rid of gall bladder polyps without surgery? like by just losing weight and eat healthy?
2. what causes this condition? And is it curable?
thank you.</t>
        </is>
      </c>
      <c r="D10889" t="n">
        <v>1</v>
      </c>
      <c r="E10889" t="n">
        <v>9</v>
      </c>
      <c r="F10889">
        <f>HYPERLINK("https://www.reddit.com/r/cancer/comments/id50wo/gall_bladder_polyps_need_urgent_advice/")</f>
        <v/>
      </c>
      <c r="G10889" t="inlineStr">
        <is>
          <t>2020-08-19 23:18:05</t>
        </is>
      </c>
      <c r="H10889" t="inlineStr"/>
    </row>
    <row r="10890">
      <c r="A10890" t="inlineStr">
        <is>
          <t>id5a3t</t>
        </is>
      </c>
      <c r="B10890" t="inlineStr">
        <is>
          <t>CT scans revealed “few small nodules”</t>
        </is>
      </c>
      <c r="C10890" t="inlineStr">
        <is>
          <t>My primary doctor told me I can either get a follow up ct in a year or not at all. Im 18 so having this happen to me is so scary. I totally just feel lost and I am so young. No prior smoking history for myself or any of that in the family. I just really hope I dont have lung cancer. This scares the crap out of me. I seriously want to live a long life and have a family and everything...</t>
        </is>
      </c>
      <c r="D10890" t="n">
        <v>1</v>
      </c>
      <c r="E10890" t="n">
        <v>11</v>
      </c>
      <c r="F10890">
        <f>HYPERLINK("https://www.reddit.com/r/cancer/comments/id5a3t/ct_scans_revealed_few_small_nodules/")</f>
        <v/>
      </c>
      <c r="G10890" t="inlineStr">
        <is>
          <t>2020-08-19 23:40:40</t>
        </is>
      </c>
      <c r="H10890" t="inlineStr"/>
    </row>
    <row r="10891">
      <c r="A10891" t="inlineStr">
        <is>
          <t>id7024</t>
        </is>
      </c>
      <c r="B10891" t="inlineStr">
        <is>
          <t>R-CHOP</t>
        </is>
      </c>
      <c r="C10891" t="inlineStr">
        <is>
          <t>Anyone have any experience with this chemo, and can explain your main side affects , or any advice you have. 21(M) Diagnosed with Diffuse Large B Cell NHL about 2 months ago. I just finished my Rituxin and depending on my scan results I might be starting the CHOP portion.</t>
        </is>
      </c>
      <c r="D10891" t="n">
        <v>1</v>
      </c>
      <c r="E10891" t="n">
        <v>4</v>
      </c>
      <c r="F10891">
        <f>HYPERLINK("https://www.reddit.com/r/cancer/comments/id7024/rchop/")</f>
        <v/>
      </c>
      <c r="G10891" t="inlineStr">
        <is>
          <t>2020-08-20 02:18:38</t>
        </is>
      </c>
      <c r="H10891" t="inlineStr">
        <is>
          <t xml:space="preserve">Patient </t>
        </is>
      </c>
    </row>
    <row r="10892">
      <c r="A10892" t="inlineStr">
        <is>
          <t>ide5hn</t>
        </is>
      </c>
      <c r="B10892" t="inlineStr">
        <is>
          <t>STD &amp;amp; Social Security</t>
        </is>
      </c>
      <c r="C10892" t="inlineStr">
        <is>
          <t>Hi everyone - 
I tried searching in this cancer forum but I came out unsuccessful. I was hoping someone might be able to clear my mind on a few things. First off, I will be out on Short Term Disability (3 months) for my BMT.  I will get 75% of my paycheck. If my oncologist wishes for me to extend it to 6 months, then I would be on Long Term Disability; salary is paid by the insurance company, but in regards to benefits,  may be required to pay 100% of my premiums.
With that being said (and with a fear that I maybe out for 6 months), is it a good idea to apply for Social Security? Does applying for it when I am under 40 cause any issues in the long run?  Would my SS request be rejected because I have insurance and leave?
Thank you so much!</t>
        </is>
      </c>
      <c r="D10892" t="n">
        <v>1</v>
      </c>
      <c r="E10892" t="n">
        <v>6</v>
      </c>
      <c r="F10892">
        <f>HYPERLINK("https://www.reddit.com/r/cancer/comments/ide5hn/std_social_security/")</f>
        <v/>
      </c>
      <c r="G10892" t="inlineStr">
        <is>
          <t>2020-08-20 10:00:25</t>
        </is>
      </c>
      <c r="H10892" t="inlineStr"/>
    </row>
    <row r="10893">
      <c r="A10893" t="inlineStr">
        <is>
          <t>idexal</t>
        </is>
      </c>
      <c r="B10893" t="inlineStr">
        <is>
          <t>Pancreatic Cancer</t>
        </is>
      </c>
      <c r="C10893" t="inlineStr">
        <is>
          <t>Hi there - If anyone knows of alternative treatments for this type of cancer other than chemotherapy, please let me know. My dad is in Stage-2 currently. Much appreciated. Thank you.</t>
        </is>
      </c>
      <c r="D10893" t="n">
        <v>1</v>
      </c>
      <c r="E10893" t="n">
        <v>9</v>
      </c>
      <c r="F10893">
        <f>HYPERLINK("https://www.reddit.com/r/cancer/comments/idexal/pancreatic_cancer/")</f>
        <v/>
      </c>
      <c r="G10893" t="inlineStr">
        <is>
          <t>2020-08-20 10:40:28</t>
        </is>
      </c>
      <c r="H10893" t="inlineStr"/>
    </row>
    <row r="10894">
      <c r="A10894" t="inlineStr">
        <is>
          <t>idf2w3</t>
        </is>
      </c>
      <c r="B10894" t="inlineStr">
        <is>
          <t>My fingerprints are gone</t>
        </is>
      </c>
      <c r="C10894" t="inlineStr">
        <is>
          <t>I read somewhere that chemo can make fingerprints disappear. Is this true? If so, what can I do to make them reappear again? This is going to be such a hassle for me down the road unless I want to make a career out of bank robbing of course, so please help</t>
        </is>
      </c>
      <c r="D10894" t="n">
        <v>1</v>
      </c>
      <c r="E10894" t="n">
        <v>27</v>
      </c>
      <c r="F10894">
        <f>HYPERLINK("https://www.reddit.com/r/cancer/comments/idf2w3/my_fingerprints_are_gone/")</f>
        <v/>
      </c>
      <c r="G10894" t="inlineStr">
        <is>
          <t>2020-08-20 10:48:08</t>
        </is>
      </c>
      <c r="H10894" t="inlineStr">
        <is>
          <t xml:space="preserve">Patient </t>
        </is>
      </c>
    </row>
    <row r="10895">
      <c r="A10895" t="inlineStr">
        <is>
          <t>idfocj</t>
        </is>
      </c>
      <c r="B10895" t="inlineStr">
        <is>
          <t>Help us create a program for couples dealing with reproductive and sexual health concerns after cancer!</t>
        </is>
      </c>
      <c r="C10895" t="inlineStr">
        <is>
          <t>We are an Oregon State University Research Team developing a program to help couples cope with reproductive and sexual health concerns after breast or gynecological cancer. We are currently recruiting survivors and their partners to get their input on how this program should be developed! Get $20 for sharing your opinions during a videoconference interview. 
Find out more here: [health.oregonstate.edu/oc](https://health.oregonstate.edu/oc) 
https://preview.redd.it/e1afz0uv87i51.jpg?width=1024&amp;amp;format=pjpg&amp;amp;auto=webp&amp;amp;s=5ffafab73a7063edc82f73b704fdbf6cb833ebf4</t>
        </is>
      </c>
      <c r="D10895" t="n">
        <v>1</v>
      </c>
      <c r="E10895" t="n">
        <v>0</v>
      </c>
      <c r="F10895">
        <f>HYPERLINK("https://www.reddit.com/r/cancer/comments/idfocj/help_us_create_a_program_for_couples_dealing_with/")</f>
        <v/>
      </c>
      <c r="G10895" t="inlineStr">
        <is>
          <t>2020-08-20 11:18:59</t>
        </is>
      </c>
      <c r="H10895" t="inlineStr"/>
    </row>
    <row r="10896">
      <c r="A10896" t="inlineStr">
        <is>
          <t>idgg8h</t>
        </is>
      </c>
      <c r="B10896" t="inlineStr">
        <is>
          <t>Fuck mouth sores</t>
        </is>
      </c>
      <c r="C10896" t="inlineStr">
        <is>
          <t>I can only gargle lidocaine so many times before I start feeling weird. This is not fun.</t>
        </is>
      </c>
      <c r="D10896" t="n">
        <v>1</v>
      </c>
      <c r="E10896" t="n">
        <v>12</v>
      </c>
      <c r="F10896">
        <f>HYPERLINK("https://www.reddit.com/r/cancer/comments/idgg8h/fuck_mouth_sores/")</f>
        <v/>
      </c>
      <c r="G10896" t="inlineStr">
        <is>
          <t>2020-08-20 11:58:41</t>
        </is>
      </c>
      <c r="H10896" t="inlineStr"/>
    </row>
    <row r="10897">
      <c r="A10897" t="inlineStr">
        <is>
          <t>idhqtq</t>
        </is>
      </c>
      <c r="B10897" t="inlineStr">
        <is>
          <t>Rest in Peace Nanna, the story of my Nanna’s fight with T-Cell Lymphoma</t>
        </is>
      </c>
      <c r="C10897" t="inlineStr">
        <is>
          <t>I’ve had this in my notes for a bit of time now and didn’t know where to post it, coming across this sub has made me want to, if this story can even help one person then it’ll be worth while...
My Nanna was taken ill while holidaying in Greece in 2018, severe Anaemia, was treated in hospital with steroids for 3 months before being strong enough to fly home... doctors in the U.K. took her off steroids and noticed lumps in her neck, and after some scans she was diagnosed with T-Cell Lymphoma...
Chemotherapy started in December 2018, she managed to complete 4 of the 18 doses in the cycle, but due to being so weak and some other dangerous complications, she had to end the treatment there, another scan revealed that the disease was in remission, with little sign of the disease, we were so happy...
2019 was my Nanna’s last good year, she got a little stronger and managed to live at home for the majority of the year, making her quality of life a lot better, in January of this year (2020) she started a Thalidomide treatment, and then Coronavirus arrived, obviously extremely vulnerable, her and my grandad shielded for months, up until June...
In early June I got to see my Nanna again, we remained socially distant in her garden, she had always been weaker than she was but we enjoyed a few nice socially distant afternoons, she was due a CT scan in early July...
Unfortunately the scan revealed that her Lymphoma was back, being extremely aggressive, and had spread, I was told she needed more treatment, but didn’t know that she only had a month left...
I saw my Nanna for the last time at her house July 18th, she looked uncomfortable and her face was pained, it was like she knew it was bad but didn’t want to say anything, I got to hug her for the first time in months that day due to the relaxation of Coronavirus restrictions, and now I am glad that I did!
That week she started a round of steroid treatment, hopefully to build up her strength for a palliative type of chemotherapy treatment, with the aim of giving her another 2-3 months, the week passed and the steroids had little to no effect on my Nanna, she was admitted to hospital that same week...
Due to the aggressiveness of her Lymphoma, it was a steep slope downhill for the next few weeks, we went on holiday for a week in England  on the 31st July, my dad had been to see her in hospital a few days prior, my dad said she was drifting in and out of sleep but still able to have a conversation with him...
On the evening of the 3rd August he got a call that no one wants to get, my Nanna was given 24-48 hours, my dad rushed home to see her at 6pm that night, leaving my mum and sister with me at the holiday house, he pulled up at home at 9pm and was greeted with a text from my Grandad that my Nanna had passed...
My Nanna passed away on evening of the 3rd August at the age of 73, leaving behind my 72 year old grandad. Her funeral was a few days ago, and it still doesn’t feel real, I’m really close to my Nanna and Grandad, and it’s so sad to lose someone when you thought they would be around for another 10-15 years in good health, it upsets me that she won’t get to see my graduate from university...
I’m looking forward to spending more quality time with my Grandad who has been her carer for the last couple of years, having him around is a huge part of helping me get over this loss :)
I can’t help but think Coronavirus may have contributed to the speed as which the disease progressed in those last few months, as so many other cancer patients have also been effected with the delays in diagnosis, scans, and treatment, I’m sorry if you know someone who this has happened to, or if it has happened to you...
I’m just glad that my Nanna died without pain, and that she was comfortable the whole time, she was kept on the ward she was originally treated on, where she knew all the nurses... she was the nervous type, didn’t like to talk about death and never actually asked if she was dying, I know her just about as well as anybody and that news would have destroyed her, I know people have differing views about knowing how long they have left, but knowing my Nanna as well as anyone we did what was right for her...
Thanks for reading if you got this far, Rest in Peace Nanna ❤️</t>
        </is>
      </c>
      <c r="D10897" t="n">
        <v>1</v>
      </c>
      <c r="E10897" t="n">
        <v>4</v>
      </c>
      <c r="F10897">
        <f>HYPERLINK("https://www.reddit.com/r/cancer/comments/idhqtq/rest_in_peace_nanna_the_story_of_my_nannas_fight/")</f>
        <v/>
      </c>
      <c r="G10897" t="inlineStr">
        <is>
          <t>2020-08-20 13:05:24</t>
        </is>
      </c>
      <c r="H10897" t="inlineStr"/>
    </row>
    <row r="10898">
      <c r="A10898" t="inlineStr">
        <is>
          <t>idhwps</t>
        </is>
      </c>
      <c r="B10898" t="inlineStr">
        <is>
          <t>Just found out my sister has cancer</t>
        </is>
      </c>
      <c r="C10898" t="inlineStr">
        <is>
          <t>My sister told me about two hours ago that she has stage 4 gynecologic cancer. I’m having a hard time coping and am looking for advice and what to expect from others who have had to deal with such a shitty situation. 
I’m not sure of her prognosis yet, but I’m aware that it has spread to her stomach and bones. I’ve never had to deal with anything like this before and I’m so scared for her, my parents, and her kid.</t>
        </is>
      </c>
      <c r="D10898" t="n">
        <v>1</v>
      </c>
      <c r="E10898" t="n">
        <v>10</v>
      </c>
      <c r="F10898">
        <f>HYPERLINK("https://www.reddit.com/r/cancer/comments/idhwps/just_found_out_my_sister_has_cancer/")</f>
        <v/>
      </c>
      <c r="G10898" t="inlineStr">
        <is>
          <t>2020-08-20 13:13:40</t>
        </is>
      </c>
      <c r="H10898" t="inlineStr"/>
    </row>
    <row r="10899">
      <c r="A10899" t="inlineStr">
        <is>
          <t>idhwtr</t>
        </is>
      </c>
      <c r="B10899" t="inlineStr">
        <is>
          <t>Stagnation with pembrolizumab - experiences? :(</t>
        </is>
      </c>
      <c r="C10899" t="inlineStr">
        <is>
          <t>Hi  guys, my NSCLC dad on pembrolizumab with PD-L1 over 50 has been worried  lately. The last CT scan showed no change in his tumor size in the last  three months, when in the scan before, he had a visible, big  reduction (yay!). Now he's worried what the meaning of keytruda therapy  "stagnating" is. I haven't been able to find anything in articles,  because all I find is that this therapy has ended the decades-long stagnation in NSCLC therapy...! Wich is great,  of course, but not helpful in this instance.
I  know there's several on here in similar situations, what's your experiences? Did pembro therapy stagnate for you/your loved ones, and what did it mean afterwards? I just wanna be able to tell  him "this happened to a random person on the internet too, and their  therapy continued to show improvements afterwards again", haha.</t>
        </is>
      </c>
      <c r="D10899" t="n">
        <v>1</v>
      </c>
      <c r="E10899" t="n">
        <v>2</v>
      </c>
      <c r="F10899">
        <f>HYPERLINK("https://www.reddit.com/r/cancer/comments/idhwtr/stagnation_with_pembrolizumab_experiences/")</f>
        <v/>
      </c>
      <c r="G10899" t="inlineStr">
        <is>
          <t>2020-08-20 13:13:50</t>
        </is>
      </c>
      <c r="H10899" t="inlineStr"/>
    </row>
    <row r="10900">
      <c r="A10900" t="inlineStr">
        <is>
          <t>idi3fi</t>
        </is>
      </c>
      <c r="B10900" t="inlineStr">
        <is>
          <t>Does this look like cancer growing on my nipple? HELP!! (One month post breast explant)</t>
        </is>
      </c>
      <c r="C10900" t="inlineStr">
        <is>
          <t>https://ibb.co/t8w9TCQ
I also was pregnant and had an abortion 4 months ago so they really stretched.  I really would like some good helpful answers. Thank you!</t>
        </is>
      </c>
      <c r="D10900" t="n">
        <v>1</v>
      </c>
      <c r="E10900" t="n">
        <v>1</v>
      </c>
      <c r="F10900">
        <f>HYPERLINK("https://www.reddit.com/r/cancer/comments/idi3fi/does_this_look_like_cancer_growing_on_my_nipple/")</f>
        <v/>
      </c>
      <c r="G10900" t="inlineStr">
        <is>
          <t>2020-08-20 13:23:18</t>
        </is>
      </c>
      <c r="H10900" t="inlineStr"/>
    </row>
    <row r="10901">
      <c r="A10901" t="inlineStr">
        <is>
          <t>idjvp3</t>
        </is>
      </c>
      <c r="B10901" t="inlineStr">
        <is>
          <t>Grandmother with metal clip, ct scan or pet scan</t>
        </is>
      </c>
      <c r="C10901" t="inlineStr">
        <is>
          <t>Hi I have a pretty simple question, my grandmother was recently diagnosed with breast cancer, 2b stage I think, invasive. She had the cancer removed through surgery, though they now think there may be more cancer. She has been recommended to undergo a MRI but she has a metal clip in her brain and cannot have an mri, would it be suggested to have a ct or pet scan to diagnose more cancer.</t>
        </is>
      </c>
      <c r="D10901" t="n">
        <v>1</v>
      </c>
      <c r="E10901" t="n">
        <v>4</v>
      </c>
      <c r="F10901">
        <f>HYPERLINK("https://www.reddit.com/r/cancer/comments/idjvp3/grandmother_with_metal_clip_ct_scan_or_pet_scan/")</f>
        <v/>
      </c>
      <c r="G10901" t="inlineStr">
        <is>
          <t>2020-08-20 14:59:33</t>
        </is>
      </c>
      <c r="H10901" t="inlineStr"/>
    </row>
    <row r="10902">
      <c r="A10902" t="inlineStr">
        <is>
          <t>idklqe</t>
        </is>
      </c>
      <c r="B10902" t="inlineStr">
        <is>
          <t>My drs have never given me a time left to live. Never once. Today I found I have “12 month left” in my MYChart online and feel sick.</t>
        </is>
      </c>
      <c r="C10902" t="inlineStr">
        <is>
          <t>My norm onc has NEVER said that this tumor was going to kill me. Not once. I have asked her every appt and she says no your not dying we’re going to just have to live with this but we have options. 
YESTERDAY I went to. A new dr for a consult and everything went well and we’re getting a new game plan. Left feeling pretty good
TODAY I FOUND MY MYCHART AND THE NEW DOCTOR WROTE IN THERE HE THINKS I ONLY HAVE TWELVE MONTHE LEFT TO LIVE. wtf. How is that even okay to put in there for me to find when he didn’t tell me in person. I feel sick. I know there’s no way to know for sure but this really knocked me down.  I’m not dying</t>
        </is>
      </c>
      <c r="D10902" t="n">
        <v>1</v>
      </c>
      <c r="E10902" t="n">
        <v>96</v>
      </c>
      <c r="F10902">
        <f>HYPERLINK("https://www.reddit.com/r/cancer/comments/idklqe/my_drs_have_never_given_me_a_time_left_to_live/")</f>
        <v/>
      </c>
      <c r="G10902" t="inlineStr">
        <is>
          <t>2020-08-20 15:39:29</t>
        </is>
      </c>
      <c r="H10902" t="inlineStr"/>
    </row>
    <row r="10903">
      <c r="A10903" t="inlineStr">
        <is>
          <t>idkw2m</t>
        </is>
      </c>
      <c r="B10903" t="inlineStr">
        <is>
          <t>Words of Encouragement From One Cancer Patient to Another</t>
        </is>
      </c>
      <c r="C10903" t="inlineStr">
        <is>
          <t>I am currently waiting on my scan results so I am a little stressed. To relax, I try and write to encourage others. A little long but I hope you enjoy.        
                                                                            “Get busy living or get busy dying!”
My diagnosis of Follicular Grade 3 Non-Hodgkin’s Lymphoma five years ago at the age of 42 came as a complete shock. Much like the character Andy Dufresne in the movie Shawshank Redemption, this unforeseen event occurred, and it turned my life upside down. Instead of the cold, gray concrete walls of a prison, I endured the sterile, white, mind-numbing walls of a hospital. My beatings never came at the hand of prisoners or guards, but from constant needles, steroids and chemo that infiltrated my body. Leaving me, much like Andy, feeling beat down and dejected. Eventually, I would find myself too tired to move or eat. My bed became my haven as I sunk into a substantial depression.
Inevitably, the why me? question would circle around and around my mind like a moth around a porch light during an August summer night. Andy pondered this same question, too, and lamented to Red “Bad luck, I guess. It floats around. It's got to land on somebody. It was my turn, that's all. I was in the path of the tornado. I just didn't expect the storm would last as long as it has.”
And last long it has. Nearly five years now. My treatments have included R-CHOP, SCT, and most recently CAR-T Cell Immunotherapy. After each treatment came a trying, emotional waiting period until my next scan. It felt very much like when Red had the daunting task of waiting each excruciatingly long year seeking his freedom from the parole board. In my mind, getting a clean scan was my own quest for freedom. I savored every anxiety-filled moment, because it meant I was still alive.
My greatest appreciation about Shawshank Redemption is that Andy never lost hope. As a former prisoner to cancer, I struggled to find that hope for many years. Andy called hope “a good thing, maybe the best of things, and no good thing ever dies.” Year after year, day after day, he worked toward for his freedom. I think Red said it best for both Andy and survivors like me when he said “Andy Dufresne - who crawled through a river of shit - came out clean on the other side.”
My fellow cancer warriors: I have much admiration and love for you all. I encourage you to live every day as if it were your last - no matter how good or challenging the day may seem. As for me I am going to take Andy’s advice “Get busy living or get busy dying.”
I am choosing to live!
Brian Baker
DLBCNHL
Currently in remission</t>
        </is>
      </c>
      <c r="D10903" t="n">
        <v>1</v>
      </c>
      <c r="E10903" t="n">
        <v>1</v>
      </c>
      <c r="F10903">
        <f>HYPERLINK("https://www.reddit.com/r/cancer/comments/idkw2m/words_of_encouragement_from_one_cancer_patient_to/")</f>
        <v/>
      </c>
      <c r="G10903" t="inlineStr">
        <is>
          <t>2020-08-20 15:55:40</t>
        </is>
      </c>
      <c r="H10903" t="inlineStr">
        <is>
          <t xml:space="preserve">Patient </t>
        </is>
      </c>
    </row>
    <row r="10904">
      <c r="A10904" t="inlineStr">
        <is>
          <t>idlb3l</t>
        </is>
      </c>
      <c r="B10904" t="inlineStr">
        <is>
          <t>Cancer Does Not End When Treatment Ends</t>
        </is>
      </c>
      <c r="C10904" t="inlineStr">
        <is>
          <t>**"One of the biggest things I have learnt through my cancer journey is that the cancer journey does not simply end after the completion of treatment or going into remission, the journey of cancer lasts a lifetime!"**
[https://www.cancertalkfoundation.org/post/cancer-does-not-end-when-treatment-ends](https://www.cancertalkfoundation.org/post/cancer-does-not-end-when-treatment-ends)</t>
        </is>
      </c>
      <c r="D10904" t="n">
        <v>1</v>
      </c>
      <c r="E10904" t="n">
        <v>0</v>
      </c>
      <c r="F10904">
        <f>HYPERLINK("https://www.reddit.com/r/cancer/comments/idlb3l/cancer_does_not_end_when_treatment_ends/")</f>
        <v/>
      </c>
      <c r="G10904" t="inlineStr">
        <is>
          <t>2020-08-20 16:20:00</t>
        </is>
      </c>
      <c r="H10904" t="inlineStr"/>
    </row>
    <row r="10905">
      <c r="A10905" t="inlineStr">
        <is>
          <t>idq203</t>
        </is>
      </c>
      <c r="B10905" t="inlineStr">
        <is>
          <t>Mom has pancreatic cancer. What should I do?</t>
        </is>
      </c>
      <c r="C10905" t="inlineStr">
        <is>
          <t>Title about says it all.
Got the diagnosis from gastroenterologist today. Haven't seen oncologist yet. Given what I know about PC, she's likely Stage III, if not Stage IV.
I'm already planning on basically doing a quiet "palliative care" plan between her and I. Lots of time together, lots of treats, lots of fun. Movies, games, etc. Pictures, videos.
What else would you guys recommend? Weed is legal in my state. Would CBD help? Any specific foods that help (Ensure, Gatorade, etc.?) A bucket list? What do you think?</t>
        </is>
      </c>
      <c r="D10905" t="n">
        <v>1</v>
      </c>
      <c r="E10905" t="n">
        <v>4</v>
      </c>
      <c r="F10905">
        <f>HYPERLINK("https://www.reddit.com/r/cancer/comments/idq203/mom_has_pancreatic_cancer_what_should_i_do/")</f>
        <v/>
      </c>
      <c r="G10905" t="inlineStr">
        <is>
          <t>2020-08-20 21:27:18</t>
        </is>
      </c>
      <c r="H10905" t="inlineStr"/>
    </row>
    <row r="10906">
      <c r="A10906" t="inlineStr">
        <is>
          <t>idt19f</t>
        </is>
      </c>
      <c r="B10906" t="inlineStr">
        <is>
          <t>FOLFOX night sweats?</t>
        </is>
      </c>
      <c r="C10906" t="inlineStr">
        <is>
          <t>I've just dobe round 1 of 12 of FOLFOX for stage 4 bowel cancer. I have had intense night sweats every night since they disconnected the pump.
Has anyone else noticed this on FOLFOX?</t>
        </is>
      </c>
      <c r="D10906" t="n">
        <v>1</v>
      </c>
      <c r="E10906" t="n">
        <v>12</v>
      </c>
      <c r="F10906">
        <f>HYPERLINK("https://www.reddit.com/r/cancer/comments/idt19f/folfox_night_sweats/")</f>
        <v/>
      </c>
      <c r="G10906" t="inlineStr">
        <is>
          <t>2020-08-21 01:35:21</t>
        </is>
      </c>
      <c r="H10906" t="inlineStr"/>
    </row>
    <row r="10907">
      <c r="A10907" t="inlineStr">
        <is>
          <t>idv775</t>
        </is>
      </c>
      <c r="B10907" t="inlineStr">
        <is>
          <t>Disease Status: Uncertain</t>
        </is>
      </c>
      <c r="C10907" t="inlineStr">
        <is>
          <t>My MRI yesterday showed a spot on my liver where my tumor used to be that “looks odd”.
Today I’ll have a biopsy. Next week I’ll have the results. My onc said it could be scar tissue, so fingers crossed that’s what it is.
This is not how I wanted to spend my Friday :/</t>
        </is>
      </c>
      <c r="D10907" t="n">
        <v>1</v>
      </c>
      <c r="E10907" t="n">
        <v>2</v>
      </c>
      <c r="F10907">
        <f>HYPERLINK("https://www.reddit.com/r/cancer/comments/idv775/disease_status_uncertain/")</f>
        <v/>
      </c>
      <c r="G10907" t="inlineStr">
        <is>
          <t>2020-08-21 04:45:30</t>
        </is>
      </c>
      <c r="H10907" t="inlineStr">
        <is>
          <t xml:space="preserve">Patient </t>
        </is>
      </c>
    </row>
    <row r="10908">
      <c r="A10908" t="inlineStr">
        <is>
          <t>idw2dn</t>
        </is>
      </c>
      <c r="B10908" t="inlineStr">
        <is>
          <t>There's your problem doing the job we assigned you right out of stage 3 cancer! Your Neuropathy!</t>
        </is>
      </c>
      <c r="C10908" t="inlineStr">
        <is>
          <t>Feeling very frustrated and angry and defeated and unseen, unheard, and unimportant.</t>
        </is>
      </c>
      <c r="D10908" t="n">
        <v>1</v>
      </c>
      <c r="E10908" t="n">
        <v>6</v>
      </c>
      <c r="F10908">
        <f>HYPERLINK("https://www.reddit.com/r/cancer/comments/idw2dn/theres_your_problem_doing_the_job_we_assigned_you/")</f>
        <v/>
      </c>
      <c r="G10908" t="inlineStr">
        <is>
          <t>2020-08-21 05:47:21</t>
        </is>
      </c>
      <c r="H10908" t="inlineStr">
        <is>
          <t xml:space="preserve">Patient </t>
        </is>
      </c>
    </row>
    <row r="10909">
      <c r="A10909" t="inlineStr">
        <is>
          <t>idxio7</t>
        </is>
      </c>
      <c r="B10909" t="inlineStr">
        <is>
          <t>Immunotherapy mixed response</t>
        </is>
      </c>
      <c r="C10909" t="inlineStr">
        <is>
          <t>Stage 4 melanoma, 4 rounds of ipi/yervoy last April, been on ipi alone since last September. I just can't seem to kick this. Last scan showed 3 spots resolved entirely, but 2 have doubled in SUV. She wants a CT in 6 weeks for a different look. I just feel like it's failing me, I see so many stories of immuno working right away and I just keep plugging along. The masses are in my mediastinum so even though they've shrunk they can't be resected and she does not want to do radiation there. Has anyone else had this with immuno and still had a good outcome or an I just in a slow decline?</t>
        </is>
      </c>
      <c r="D10909" t="n">
        <v>1</v>
      </c>
      <c r="E10909" t="n">
        <v>3</v>
      </c>
      <c r="F10909">
        <f>HYPERLINK("https://www.reddit.com/r/cancer/comments/idxio7/immunotherapy_mixed_response/")</f>
        <v/>
      </c>
      <c r="G10909" t="inlineStr">
        <is>
          <t>2020-08-21 07:15:43</t>
        </is>
      </c>
      <c r="H10909" t="inlineStr"/>
    </row>
    <row r="10910">
      <c r="A10910" t="inlineStr">
        <is>
          <t>idxpo6</t>
        </is>
      </c>
      <c r="B10910" t="inlineStr">
        <is>
          <t>Submandibular region node</t>
        </is>
      </c>
      <c r="C10910" t="inlineStr">
        <is>
          <t xml:space="preserve">
Had an incidental left submandibular lymph node 1.5 cm (nodule) found under left jaw - after ultrasound ENT  doctor says it’s palpable though. I originally saw ENT for a boil abscess on right mandible rear section of lower jaw as it wasn’t clearing we believe this was where the novacaine was injected and like a leaky roof bacteria went back there ( I am going through dental implant surgery ) - some implants didn’t take and therefore removed and more bone put in - therefore ultrasound - but it didn’t even show up - dentist prescribed levoquin week later for 10 days and it’s doing fine now cleared almost gone. Can all this dental work cause the enlarged lymph node? - radiologist report says he is not sure if in fact it is just an enlarged lymph node therefore going for biopsy in two weeks.  Thoughts?
0 likes, 0 replies</t>
        </is>
      </c>
      <c r="D10910" t="n">
        <v>1</v>
      </c>
      <c r="E10910" t="n">
        <v>4</v>
      </c>
      <c r="F10910">
        <f>HYPERLINK("https://www.reddit.com/r/cancer/comments/idxpo6/submandibular_region_node/")</f>
        <v/>
      </c>
      <c r="G10910" t="inlineStr">
        <is>
          <t>2020-08-21 07:26:31</t>
        </is>
      </c>
      <c r="H10910" t="inlineStr"/>
    </row>
    <row r="10911">
      <c r="A10911" t="inlineStr">
        <is>
          <t>idyqv8</t>
        </is>
      </c>
      <c r="B10911" t="inlineStr">
        <is>
          <t>Wife had surgery to remove a quickly growing lump in her neck.</t>
        </is>
      </c>
      <c r="C10911" t="inlineStr">
        <is>
          <t>I've posted here a few weeks ago (or maybe a month or so).  Since then the tumor had grown quickly.  We had a biopsy that was inconclusive, but because of its fast progress the doc decided to take it out rather than wait for another, and I think we're all glad he did.  She's still lost a couple nerves for her tongue/bottom lip on the one side, as well as a salivary gland and some other lymph nodes, but it could've gotten so much worse if left to fester for too long.
The thing is I know almost nothing about the various types of cancers.  Since extracting it he said it was a very aggressive carcinoma.  Would that be the actual type, or is that more like a category of cancers?  I'm still a bit unclear on if they're still trying to get a proper diagnosis or if that is now the whole diagnosis.
Also he seemed confident that he "got 99% of it out, and anything else would be microscopic", and he has a reputation for being one of the best surgeons in the area for this kind of cancer so I trust his word on that.  He went on to suggest radiation may be a next step, but it's way too soon to know for sure.  For the time being she's doing incredibly well for what she's just been through so I'm keeping my hopes high for now.
Anyone who's been through something similar, or known someone who has, with any advice, insight, or thoughts would be very much appreciated.</t>
        </is>
      </c>
      <c r="D10911" t="n">
        <v>1</v>
      </c>
      <c r="E10911" t="n">
        <v>15</v>
      </c>
      <c r="F10911">
        <f>HYPERLINK("https://www.reddit.com/r/cancer/comments/idyqv8/wife_had_surgery_to_remove_a_quickly_growing_lump/")</f>
        <v/>
      </c>
      <c r="G10911" t="inlineStr">
        <is>
          <t>2020-08-21 08:24:09</t>
        </is>
      </c>
      <c r="H10911" t="inlineStr"/>
    </row>
    <row r="10912">
      <c r="A10912" t="inlineStr">
        <is>
          <t>ie32v7</t>
        </is>
      </c>
      <c r="B10912" t="inlineStr">
        <is>
          <t>Update to boyfriend's treatment for Stage 4 colorectal and liver cancer. Surgery(s) coming up.</t>
        </is>
      </c>
      <c r="C10912" t="inlineStr">
        <is>
          <t>Ok so I guess I'm posting because I don't know how to feel about the update and what we're facing in the next 4ish (?) months.
If you look back at my post history I have detailed updates on his diagnosis and treatments so far but the short of it is he was diagnosed in March with Stage 4 colorectal and liver cancer with multiple tumors on both colon and liver, has been through 8 rounds of chemo infusion and chemo pills every two weeks up until 8/30 after which they did a scan and said the tumors have shrunk enough that they want to do surgery. So now he's on a break from chemo. Surgery was a 30% possibility before treatment so this of course is amazing news but also scary. 
The plan now is to do surgery on the liver on 9/15 with 4-6 weeks of recovery and then surgery on the colon with another 4-6 weeks recovery and then 3 more rounds (6 weeks) of chemo. They also said they're going to remove his gallbladder (that came out of nowhere) and 1/3 of his liver. Then they told him his life expectancy is 3-5 years if this is not successful. UGHHHHHHH
I just got this news about an hour ago and I honestly just feel anxious. I'm anxious/excited that he gets to have surgery. I'm overwhelmed by all the different aspects of this. I just want to hear from you guys what your perspective is on this I guess. Does this look good?!
Thank you. I truly have so much love for you all. I'm trying not to cry at work; thank god no one came to my video group and I had to cancel! So here I am.</t>
        </is>
      </c>
      <c r="D10912" t="n">
        <v>1</v>
      </c>
      <c r="E10912" t="n">
        <v>23</v>
      </c>
      <c r="F10912">
        <f>HYPERLINK("https://www.reddit.com/r/cancer/comments/ie32v7/update_to_boyfriends_treatment_for_stage_4/")</f>
        <v/>
      </c>
      <c r="G10912" t="inlineStr">
        <is>
          <t>2020-08-21 12:07:44</t>
        </is>
      </c>
      <c r="H10912" t="inlineStr"/>
    </row>
    <row r="10913">
      <c r="A10913" t="inlineStr">
        <is>
          <t>ie55r5</t>
        </is>
      </c>
      <c r="B10913" t="inlineStr">
        <is>
          <t>Chemo Side effects 18 months later</t>
        </is>
      </c>
      <c r="C10913" t="inlineStr">
        <is>
          <t>So, quick backstory to catch people up on where i am. Diagnosed with Stage 4 Lymphoma 2 years ago. did 6 rounds of RCHOP, been in remission since Jan 2019. Ontop of that, I have Cystic Fibrosis and had a double lung transplant 10 years ago.  
I just want to know what, if any, side effects other people have after your chemo treatments. For me, I've been having a few that started once I got my first round of chemo and have only been getting worse as time goes by. With the pandemic, I can't really get my doctors to show much concern since, currently, its not killing me. But the side effects are this.  
Atleast once a for the first year, my right or left foot muscle would lock up. Like, the muscle that connects the Heel to the large toe would tighten so hard it would feel like bone. I  would be unable to move my foot or toes. The pain would be so intense it would send me into tears. It would last anywhere from 1-5 minutes. About 6 months ago, it started to move up my leg, first with my lower leg muscle, and is now in my inner thigh muscle. Its also moved into my arms, starting with my lower fore arms and moved into my hands. The hands have actually gotten so bad, that when they lock up, they've stayed like that for upwards of 10+ minutes. I've actually had to have my wife try to pry my hands open to help lessen the pain.  
Ontop of that with the hands, I've also lost about 30% control of my hands and fingers. I will constantly drop stuff or my hands open so fast, that I basically toss whatever I'm holding. I've broken many a phone, glasses, plates, etc, because of this. that 30% seems to be going up aswell. A real big expensive pain in the ass thing that happened because of this was that I ended up basically tossing a brand new Ipad across the room, smashing it.  
And then the scariest side effect of all. What started out happening maybe once every 60 days, then 30, then every 2 weeks, now happens atleast once a day, if not more. My heart randomly skips a beat. Doesn't matter what I'm doing, same goes for the muscle thing too. I could be sitting, shitting, walking, lying down, doesn't matter. Now, I don't know if you've ever had your heart skip a beat but it fucking hurts. It feels like you get punched in the heart and then it takes like 10-50 seconds for me to catch my breath. I just begin panting, horribly.  
All of these I've mentioned to my cancer docs, the most they've done is an EKG for the heart issue even though I told them that  it most likely wouldn't show anything unless an attack happened in the middle of it. No attack happened during the EKG and thus have brushed any concern about that off.  
I'm just wondering if any other people who've gone through chemo, or atleast RCHOP has experienced similar side effects and maybe know a way to slow them down or negate them altogether?</t>
        </is>
      </c>
      <c r="D10913" t="n">
        <v>1</v>
      </c>
      <c r="E10913" t="n">
        <v>1</v>
      </c>
      <c r="F10913">
        <f>HYPERLINK("https://www.reddit.com/r/cancer/comments/ie55r5/chemo_side_effects_18_months_later/")</f>
        <v/>
      </c>
      <c r="G10913" t="inlineStr">
        <is>
          <t>2020-08-21 13:56:56</t>
        </is>
      </c>
      <c r="H10913" t="inlineStr"/>
    </row>
    <row r="10914">
      <c r="A10914" t="inlineStr">
        <is>
          <t>ie5652</t>
        </is>
      </c>
      <c r="B10914" t="inlineStr">
        <is>
          <t>Psilocybin Therapy for End-of-Life Distress/Palliative Care Patients - First Legal Treatment in Canada - Webinar Video</t>
        </is>
      </c>
      <c r="C10914" t="inlineStr">
        <is>
          <t>Thomas Hartle was diagnosed with terminal Cancer and has been struggling with end of life distress and extreme anxiety.
On August 4th Thomas Hartle was one of four Canadians experiencing end-of-life distress, due to life-threatening cancer, that received an exemption to possess and use psilocybin for medical purposes. 
Yesterday he shared his experience as the first Canadian to legally undergo Psilocybin Therapy.
[Watch the First Legal Psilocybin Therapy Treatment in Canada - Webinar](https://youtu.be/1CGcrSzLWPY)</t>
        </is>
      </c>
      <c r="D10914" t="n">
        <v>1</v>
      </c>
      <c r="E10914" t="n">
        <v>1</v>
      </c>
      <c r="F10914">
        <f>HYPERLINK("https://www.reddit.com/r/cancer/comments/ie5652/psilocybin_therapy_for_endoflife/")</f>
        <v/>
      </c>
      <c r="G10914" t="inlineStr">
        <is>
          <t>2020-08-21 13:57:30</t>
        </is>
      </c>
      <c r="H10914" t="inlineStr"/>
    </row>
    <row r="10915">
      <c r="A10915" t="inlineStr">
        <is>
          <t>ie5c0s</t>
        </is>
      </c>
      <c r="B10915" t="inlineStr">
        <is>
          <t>lung cancer patient with cold</t>
        </is>
      </c>
      <c r="C10915" t="inlineStr">
        <is>
          <t>Hi all. My dad is a lung cancer patient. One lung left. He has a super rare form, endocrinological tumor.(spelling).
All in all, he is stronger than the rest of the family. He never gets sick. During the flu pandemic in the 50s, he was the only one who didnt get sick from his village. And he never had the flu etc. He did get cancer though.
My question is this, for the past 10 days he's facing a bad case of coughing yellow and white phlegm, he can barely fall asleep due to coughing, shortness of breath, tired etc. The doc asked him to do some lung physiotherapy didnt work, and today he got antibiotics. Im worried. 
Does the chemo surpress the immune system that microbes already living in him, get worse and cause this flu/pneumonia like symptoms? Could a very simple microbe/virus case this horrible illness to him? (because of cancer and chemo). Is it common for cancer patients to experience worst symptoms cos of microbes?</t>
        </is>
      </c>
      <c r="D10915" t="n">
        <v>1</v>
      </c>
      <c r="E10915" t="n">
        <v>2</v>
      </c>
      <c r="F10915">
        <f>HYPERLINK("https://www.reddit.com/r/cancer/comments/ie5c0s/lung_cancer_patient_with_cold/")</f>
        <v/>
      </c>
      <c r="G10915" t="inlineStr">
        <is>
          <t>2020-08-21 14:06:14</t>
        </is>
      </c>
      <c r="H10915" t="inlineStr"/>
    </row>
    <row r="10916">
      <c r="A10916" t="inlineStr">
        <is>
          <t>ie5uc9</t>
        </is>
      </c>
      <c r="B10916" t="inlineStr">
        <is>
          <t>Stupid lymph nodes</t>
        </is>
      </c>
      <c r="C10916" t="inlineStr">
        <is>
          <t>Well I’ve posted here before telling my cancer story (kidney cancer) and that my last scan came back all clear. And the last year has been great. Health improving, major job promotion. Life’s been great outside this whole carona crap. Well about 6 months ago I started getting bad headaches, and when I get them there’s always a lymph node that swells up located at the base of my skull on the back of my neck. Well my wife got worried enough that she made me go to the doctor for it. (She’s a nurse). Well the didn’t like what the saw and now I got to go see a surgeon, and have them look at it. Now I know that lymph nodes can swell for any number of reasons. So I have t been to worried about it, but I can’t help but feel that same feeling when I found out about my cancer before. A huge part of me doesn’t believe that’s what this is, but that tiny part that knows there’s always a chance has kept popping back up In my head. I’m just ready to figure it out and move on.</t>
        </is>
      </c>
      <c r="D10916" t="n">
        <v>1</v>
      </c>
      <c r="E10916" t="n">
        <v>1</v>
      </c>
      <c r="F10916">
        <f>HYPERLINK("https://www.reddit.com/r/cancer/comments/ie5uc9/stupid_lymph_nodes/")</f>
        <v/>
      </c>
      <c r="G10916" t="inlineStr">
        <is>
          <t>2020-08-21 14:34:18</t>
        </is>
      </c>
      <c r="H10916" t="inlineStr"/>
    </row>
    <row r="10917">
      <c r="A10917" t="inlineStr">
        <is>
          <t>ie77n9</t>
        </is>
      </c>
      <c r="B10917" t="inlineStr">
        <is>
          <t>The guilt of what it’s doing to my family is worse than the cancer</t>
        </is>
      </c>
      <c r="C10917" t="inlineStr">
        <is>
          <t>Sorry to be back so soon. I am 1 week into my cancer diagnosis and head for MD Anderson Tuesday....as the hurricane rolls in uggh. I have done pretty good at only having my momentary breakdowns away from my husband. My kids live elsewhere and haven’t come this way yet du et9 COVID but it’s killing them right now. My husband...I have seen him cry for the first time ever. I admit that I am scared as hell right now. But I know that this is the card that God dealt me. But know what I am putting my kids and my husband through hurts. I feel so bad. They are my heart and soul, my purpose in this life.What can I do to help them through this??</t>
        </is>
      </c>
      <c r="D10917" t="n">
        <v>1</v>
      </c>
      <c r="E10917" t="n">
        <v>3</v>
      </c>
      <c r="F10917">
        <f>HYPERLINK("https://www.reddit.com/r/cancer/comments/ie77n9/the_guilt_of_what_its_doing_to_my_family_is_worse/")</f>
        <v/>
      </c>
      <c r="G10917" t="inlineStr">
        <is>
          <t>2020-08-21 15:52:30</t>
        </is>
      </c>
      <c r="H10917" t="inlineStr"/>
    </row>
    <row r="10918">
      <c r="A10918" t="inlineStr">
        <is>
          <t>ie86h5</t>
        </is>
      </c>
      <c r="B10918" t="inlineStr">
        <is>
          <t>My girlfriend has osteosarcoma</t>
        </is>
      </c>
      <c r="C10918" t="inlineStr">
        <is>
          <t>It breaks my heart to have to reach out on reddit but i need help. I met my girlfriend four months ago. It's worth saying that she's 20 and im 22, we're still quite young. It took some time for her to tell me but just before we became official she revealed to me that she was in recovery from treatment (radiotherapy) . She had a rare form of bone cancer, osteosarcoma in one of her legs. I told her then that no matter what id take care of her and take her to any appointments as she chose to keep specifics hidden from her family.  Tonight she rings me absolutely distraught after hearing from the hospital . The cancer that we had thought was shrinking has now spread to the other leg and her left side. 
She's so scared, and i feel so unequipped with the limited knowledge I have of the cancer that all i could tell her is that we'd work through this and find a way. She's been told that the radiotherapy has not worked and that its unlikely that it will work on the newly spread areas either. All they are suggesting so far is upping her pain medication but i refuse to believe nothing can be done. She's been told today that if she can't be treated she has 11 months to live.
Im really really begging for anyone who's experienced or knows someone who knows anything about osteosarcoma or a related bone cancer to come forward because we're both terrified. I love her, so i felt the need to post this... and i hope this post shines some light on something we've missed.</t>
        </is>
      </c>
      <c r="D10918" t="n">
        <v>1</v>
      </c>
      <c r="E10918" t="n">
        <v>2</v>
      </c>
      <c r="F10918">
        <f>HYPERLINK("https://www.reddit.com/r/cancer/comments/ie86h5/my_girlfriend_has_osteosarcoma/")</f>
        <v/>
      </c>
      <c r="G10918" t="inlineStr">
        <is>
          <t>2020-08-21 16:51:19</t>
        </is>
      </c>
      <c r="H10918" t="inlineStr"/>
    </row>
    <row r="10919">
      <c r="A10919" t="inlineStr">
        <is>
          <t>ie8m0y</t>
        </is>
      </c>
      <c r="B10919" t="inlineStr">
        <is>
          <t>Boyfriend died from cancer</t>
        </is>
      </c>
      <c r="C10919" t="inlineStr">
        <is>
          <t>The love of my life died from colon cancer in April 30 and there are no words to describe the sadness. He was so young. He was so special. The world doesn’t make sense, it’s simply not fair. 
I don’t want to live on this earth without him, I just want to die because it’s the only chance I’ll be reunited with him. Living in a world without him is absolute torture. 
After someone dies of cancer people often say “at least they’re not suffering anymore.” Well, I’m suffering, and dying would be a relief.
I just found out his memorial service will be In September and I’m shaking from the sadness. I don’t know if I can go. I was there for him up until his final day with unconditional love and support, but the memorial service seems too hard. It requires facing the reality of the death. And who is it for? He’s already dead. I don’t think it will help me heal. How could it? The only way to feel better is to see him again, look at him in the eyes again, hear his voice, and hug him. 
💔</t>
        </is>
      </c>
      <c r="D10919" t="n">
        <v>1</v>
      </c>
      <c r="E10919" t="n">
        <v>10</v>
      </c>
      <c r="F10919">
        <f>HYPERLINK("https://www.reddit.com/r/cancer/comments/ie8m0y/boyfriend_died_from_cancer/")</f>
        <v/>
      </c>
      <c r="G10919" t="inlineStr">
        <is>
          <t>2020-08-21 17:18:58</t>
        </is>
      </c>
      <c r="H10919" t="inlineStr"/>
    </row>
    <row r="10920">
      <c r="A10920" t="inlineStr">
        <is>
          <t>iea3f9</t>
        </is>
      </c>
      <c r="B10920" t="inlineStr">
        <is>
          <t>I have a couple a question about liver Mets.</t>
        </is>
      </c>
      <c r="C10920" t="inlineStr">
        <is>
          <t>Not really a lot of questions I just want to know how it presents it’s self. Is it something that just happens and you wake up the next day with the effects or is do you get sick first.</t>
        </is>
      </c>
      <c r="D10920" t="n">
        <v>1</v>
      </c>
      <c r="E10920" t="n">
        <v>17</v>
      </c>
      <c r="F10920">
        <f>HYPERLINK("https://www.reddit.com/r/cancer/comments/iea3f9/i_have_a_couple_a_question_about_liver_mets/")</f>
        <v/>
      </c>
      <c r="G10920" t="inlineStr">
        <is>
          <t>2020-08-21 18:58:29</t>
        </is>
      </c>
      <c r="H10920" t="inlineStr"/>
    </row>
    <row r="10921">
      <c r="A10921" t="inlineStr">
        <is>
          <t>ieaczr</t>
        </is>
      </c>
      <c r="B10921" t="inlineStr">
        <is>
          <t>Weight and Weight Gain while Fighting Leukemia</t>
        </is>
      </c>
      <c r="C10921" t="inlineStr">
        <is>
          <t>Hey Everyone,
My significant other was diagnosed with Leukemia just a few days ago. She has lost a lot of weight (approx. 20 lbs) from what we would consider her normal weight.  I was able to briefly ask the doctor if it's alright if we try to make her gain weight and the doctor agreed that it would be OK. I was afraid of feeding the disease, but I was happy to hear that getting her back up to weight would be a good thing.
So! My question is - does anyone here have experience with gaining weight while fighting cancer? Did your doctors and nutritionists agree that weight gain is a good option? I think I am going to get her some weight gainer powder (we love making smoothies) or maybe some Ensure shakes, or a similar brand.  Boost Very High Calorie looks like a good option. What do you all think? Could you share your insights and experiences?
Thanks.
PS - I am going to post this in two other relevant sub-reddits. I hope that is alright :)</t>
        </is>
      </c>
      <c r="D10921" t="n">
        <v>1</v>
      </c>
      <c r="E10921" t="n">
        <v>2</v>
      </c>
      <c r="F10921">
        <f>HYPERLINK("https://www.reddit.com/r/cancer/comments/ieaczr/weight_and_weight_gain_while_fighting_leukemia/")</f>
        <v/>
      </c>
      <c r="G10921" t="inlineStr">
        <is>
          <t>2020-08-21 19:16:41</t>
        </is>
      </c>
      <c r="H10921" t="inlineStr"/>
    </row>
    <row r="10922">
      <c r="A10922" t="inlineStr">
        <is>
          <t>iealcf</t>
        </is>
      </c>
      <c r="B10922" t="inlineStr">
        <is>
          <t>Wife has a 5 pound mass near her lung pushing it over in her other organs</t>
        </is>
      </c>
      <c r="C10922" t="inlineStr">
        <is>
          <t>Finally went to the hospital earlier this week for my wife who is 35 who cannot barely walk and could not lay down. The doctors today told me they could not surgically remove it and they are draining the fluid between the mass and the lung so far 14 ounces worth. Biopsy will not be done until maybe one day but the doctors are already talking about chemotherapy or radiation I don’t know anything about this and we are all alone together in the city she’s only other person I have to talk to you I left the hospital tonight and she was sleeping maybe she will be away tomorrow and I can talk to her. I guess what I’m trying to get at is will I at least be able to spend another week with her. At least talk to her a little more? thank you.</t>
        </is>
      </c>
      <c r="D10922" t="n">
        <v>1</v>
      </c>
      <c r="E10922" t="n">
        <v>5</v>
      </c>
      <c r="F10922">
        <f>HYPERLINK("https://www.reddit.com/r/cancer/comments/iealcf/wife_has_a_5_pound_mass_near_her_lung_pushing_it/")</f>
        <v/>
      </c>
      <c r="G10922" t="inlineStr">
        <is>
          <t>2020-08-21 19:32:35</t>
        </is>
      </c>
      <c r="H10922" t="inlineStr"/>
    </row>
    <row r="10923">
      <c r="A10923" t="inlineStr">
        <is>
          <t>iebfjr</t>
        </is>
      </c>
      <c r="B10923" t="inlineStr">
        <is>
          <t>My Sister's Story</t>
        </is>
      </c>
      <c r="C10923" t="inlineStr">
        <is>
          <t>I (f17) recently joined this community and let me just say that I appreciate the people on here that are the warriors or the fleets of support. I want to share my sister's story with you, 1. So that anyone who needs a pick-me-up story can get one, 2. Because I've never been able to tell anyone the whole story because my parents did (not upset, I just need to verbalize)
When my sister, (A), was 6, she went ice skating with her class at the local arena. (December 2018) She fell and hit her head, and so she sat out for the rest of the activity. The next week or so comprised of her consistently loosing her balance while she walked, throwing up food, not eating things she loved, and pushing people away. For an active, gregarious kid, this was very concerning. We took her to the local doctor, (we live in a small town, the hospital is 45 minues away, with an ambulance). They said it was a concussion, but to measure her head circumference in case. My parents took her to the hospital after being on the phone, as her head circumference had increased drastically. At the hospital, they wanted to send her away with the diagnosis of a concussion. My mom was not having it and gt the charge nurse to help her. The dr. Heard and ordered a scan right away. My sister had extreme pressure in her brain from a tumor that was pressing down on her cerebellum. We later learned it was stage 3 Medullablastoma. If they had waited longer to do a surgery, my sister could have gone blind, had a seizure, or died. The surgery went well, and the entire tumour was removed. The next few weeks went surprisingly fast though. In two weeks, my sister had learned to swallow, eat, sit up straight, and even walk, (assisted then unassisted). We were so proud of her. We then found out that she would be heading to Jacksonville, Florida for proton radiation therapy for 8 weeks. She has a twin, two younger brothers, me, and our parents. Only one parent could go. So in February this year, we said goodbye for a while. She was a trooper. She managed to stay still for radiation, which had been recorded as difficult for adults without sedation. She did it though, face down in the mask that they had painted with a unicorn for her. On her birthday, she got to turn onto her back for radiation, which was much more comfortable, until she threw up in it. The last 2 weeks of her therapy, my family was able to go see her. We made a ton of memories together there. When we came back home, we tried to take it easy. In a month she started her year long cycle of chemotherapy, she also had surgery to have her port put in. The first few were the toughest. She cried, slept, cut her hair, then shaved her head, had changes in diet and hated her medicine.  We found solutions for her meds as we went on, after talking to doctors. (We were allowed to add grenadine syrup to the worst tasting one).  There were multiple fundraisers and a lot of support from family, friends, our church and our community, as well as the Kids With Cancer Society we have here. 
Well, the year has come and gone. After the disappointment of the Make A Wish foundation being unable to carry out my sister's wish immediately because of the pandemic, (that also ruined her 8th  birthday and when she was supposed to have her baptism), her chemotherapy is done. She passed her NED day. (No evidence of disease). Her port is removed. Her hair is growing back. Her scars have healed wonderfully. Now we are just working on making her life as easy and memorable and enjoyable as possible. (Unfortunately she broke her leg last week while riding her bike, but she's trooping on)
I couldn't be happier. My family is healthy. When this started, my dad wasn't getting paid, but he has a stable job now. My mom was depressed, but she's getting better everyday. My siblings are happy, all of them, and we barely argue or have conflict with each other. I'm turning 18 next month and starting a fulltime job and part time classes for a certificate. Yeah, there's a pandemic. But we're doing well.
If you read this, thank you. Please remember that you are important, special, and you are loved. Cancer doesn't define you. It may change your appearance. It may change your outlook. But it is not you. You are still capable of so much, and I'm proud of you. Never give up. I love you.</t>
        </is>
      </c>
      <c r="D10923" t="n">
        <v>1</v>
      </c>
      <c r="E10923" t="n">
        <v>7</v>
      </c>
      <c r="F10923">
        <f>HYPERLINK("https://www.reddit.com/r/cancer/comments/iebfjr/my_sisters_story/")</f>
        <v/>
      </c>
      <c r="G10923" t="inlineStr">
        <is>
          <t>2020-08-21 20:33:05</t>
        </is>
      </c>
      <c r="H10923" t="inlineStr"/>
    </row>
    <row r="10924">
      <c r="A10924" t="inlineStr">
        <is>
          <t>iebpx4</t>
        </is>
      </c>
      <c r="B10924" t="inlineStr">
        <is>
          <t>Existential dread</t>
        </is>
      </c>
      <c r="C10924" t="inlineStr">
        <is>
          <t>Hey everyone- I’m (26M) a Burkitt’s Lymphoma survivor. I was diagnosed at 21 years old, and although my treatment was only about 8 months long, I spent roughly a third of that time in inpatient care. I’m not considered cured yet, but things are looking fine for me cancer-wise. 
What has been hard for me is that I have near constant existential dread. I am on an antidepressant which helps with the overall depression, but I simply cannot shake the feeling that I shouldn’t be alive. I don’t want to die and I’m not in danger of killing myself- it just feels incredibly like I shouldn’t be here. It hinders me daily because it saps all of my motivation. Even fun activities like watching a lighthearted show or playing a video game, I lose all motivation. It’s getting in the way of my relationships, particularly with my Fiancée, who was my sole caretaker (and a good one at that) when I was going through treatment, and is now very sick herself (not cancer). If anyone has any helpful ideas or relevant encouragement, I feel like I’ve been drowning in slow motion...</t>
        </is>
      </c>
      <c r="D10924" t="n">
        <v>1</v>
      </c>
      <c r="E10924" t="n">
        <v>4</v>
      </c>
      <c r="F10924">
        <f>HYPERLINK("https://www.reddit.com/r/cancer/comments/iebpx4/existential_dread/")</f>
        <v/>
      </c>
      <c r="G10924" t="inlineStr">
        <is>
          <t>2020-08-21 20:54:07</t>
        </is>
      </c>
      <c r="H10924" t="inlineStr"/>
    </row>
    <row r="10925">
      <c r="A10925" t="inlineStr">
        <is>
          <t>iecath</t>
        </is>
      </c>
      <c r="B10925" t="inlineStr">
        <is>
          <t>My dad is angry all the time.</t>
        </is>
      </c>
      <c r="C10925" t="inlineStr">
        <is>
          <t>My dad has stage 4 lung cancer that has spread to his bones/spine rapidly. His oncologist said he has about 3-6 months to live. His mobility is horrible because his hips/legs are falling apart from the cancer. 
He has always been verbally and sometimes physically abusive. I moved in with him and to take care of him, but all he does is scream at me and make fun of me. Would it be wrong of me to ask someone else to take care of him maybe 1-2 days a week if they can, so I can leave the house and get some relief?</t>
        </is>
      </c>
      <c r="D10925" t="n">
        <v>1</v>
      </c>
      <c r="E10925" t="n">
        <v>4</v>
      </c>
      <c r="F10925">
        <f>HYPERLINK("https://www.reddit.com/r/cancer/comments/iecath/my_dad_is_angry_all_the_time/")</f>
        <v/>
      </c>
      <c r="G10925" t="inlineStr">
        <is>
          <t>2020-08-21 21:37:30</t>
        </is>
      </c>
      <c r="H10925" t="inlineStr"/>
    </row>
    <row r="10926">
      <c r="A10926" t="inlineStr">
        <is>
          <t>ieg5gy</t>
        </is>
      </c>
      <c r="B10926" t="inlineStr">
        <is>
          <t>How can I help my mom deal with her cancer?</t>
        </is>
      </c>
      <c r="C10926" t="inlineStr">
        <is>
          <t>Hello, everyone. I'm looking for advice.
My mom has leukemia, she spent half of the year in the hospital to receive all the treatments she needed (chemio, transplant, surgery). She was finally able to come home few months ago, and currently needs to rest a lot and take a ton of medicines.
However, she is constantly worrying, she always wants to move and do things because she wants to "heal fast", to the point that she wores herself out and badly injures herself. She actually broke her leg falling, so now she has to stay home and not move at all. This resulted in her feeling bad all the time, as she feels "useless", and "a burden for the family". I keep repeating that that's absolutely not true, that I'm not forced to do anything, but I genuinely want to help her because I want her to be well. Beside, she's not even a "burden" to us: I always tell her that she should say clearly what she needs or when something's not done right, and that she shouldn't fear to inconvenience us, but she doesn't listen. 
She spends all the time in bed, doing nothing and feeling bad about it. I tried to encourage her to pick up some interests, just to pass the time, but she doesn't want to. I usually spend a lot of time with her just to distract her, but right now I have exams at uni coming up, so I'm not able to stay with her a lot of time, so she ends up spending most of the day alone . She also tends to overthink a lot, but her thoughts are becoming worryingly bad. 
I can't understand how she feels, of course, I have no experience with situations like this, I feel like I can never say the right thing, and I honestly don't know what I should do to make things better for her, so I'm trying to educate myself. I love her so much, it absolutely pains me to hear that she thinks such things of herself. 
So please, has anyone got any advice for her on how to deal with her condition, and also for me to help her in the best way possible?
Thank you to everyone who will read this. I also apologize for my not-really-good English.</t>
        </is>
      </c>
      <c r="D10926" t="n">
        <v>1</v>
      </c>
      <c r="E10926" t="n">
        <v>0</v>
      </c>
      <c r="F10926">
        <f>HYPERLINK("https://www.reddit.com/r/cancer/comments/ieg5gy/how_can_i_help_my_mom_deal_with_her_cancer/")</f>
        <v/>
      </c>
      <c r="G10926" t="inlineStr">
        <is>
          <t>2020-08-22 03:27:18</t>
        </is>
      </c>
      <c r="H10926" t="inlineStr"/>
    </row>
    <row r="10927">
      <c r="A10927" t="inlineStr">
        <is>
          <t>ieg5oc</t>
        </is>
      </c>
      <c r="B10927" t="inlineStr">
        <is>
          <t>Question about Chemo port</t>
        </is>
      </c>
      <c r="C10927" t="inlineStr">
        <is>
          <t>My father had an esophagectomy for SRCC esophagal adenocarcinoma in March 2019 followed by 12 rounds of adjuvant chemo (FOLFOX) until September '19
He was staged at T2 N1M0 with clear margins.
He's been NED so far and the oncologist gave us an option to remove the port now or in December (In the hope that the covid thing settles a bit by then)
Im curious as to how long other folks had their ports left in and is it usual to have it removed so early (1.5 years) 
Of course im taking it as a good sign but a part of me is a bit worried too as his cancer is know to be a very aggressive one and so we wouldnt want to remove the port and have to put it back in again in case of a recurrence.
Thanks for reading!</t>
        </is>
      </c>
      <c r="D10927" t="n">
        <v>1</v>
      </c>
      <c r="E10927" t="n">
        <v>9</v>
      </c>
      <c r="F10927">
        <f>HYPERLINK("https://www.reddit.com/r/cancer/comments/ieg5oc/question_about_chemo_port/")</f>
        <v/>
      </c>
      <c r="G10927" t="inlineStr">
        <is>
          <t>2020-08-22 03:27:47</t>
        </is>
      </c>
      <c r="H10927" t="inlineStr"/>
    </row>
    <row r="10928">
      <c r="A10928" t="inlineStr">
        <is>
          <t>iekh83</t>
        </is>
      </c>
      <c r="B10928" t="inlineStr">
        <is>
          <t>Am I allowed to be annoyed and get angry at my mom even though she has cancer and will likely die within the next years?</t>
        </is>
      </c>
      <c r="C10928" t="inlineStr">
        <is>
          <t>I'm almost 26 and my parents are both 56. My mom has been diagnosed with ovarian cancer in Feb 2016. It's a very aggressive form of cancer and not curable. The doctors say she'll be able to live kinda okay-ish with it though, because with regular check ups and therefore early detection of relapse (I'm meaning whenever something starts to grow again, sorry, English is not my first language) they can always start chemo again or do another surgery. They said they have patients with the 9th relapse that are doing okay. But still, my mom of course is keeping it realistic and doesn't expect to reach her sixties because let's be honest, at some point chemotherapy won't help anymore, either because her body can't handle it or the tumor cells grow a resistance and it's just a gamble of finding a working drug cocktail within the time (she already had her second relapse).
Anyway, because of this whenever I get annoyed or angry or whatever, I feel like such a bad person because, you know, it's my freaking mom and I don't know how long I have with her. But she can be super overbearing and for example sometimes she's using her sickness as an excuse for being lazy and other small stuff.. And well, just in general I guess it's normal to have "disagreements" and be annoyed. But then I remember about her situation and the "small" thing that upset me and i feel so bad and it just gets too much. I feel like she doesn't deserve me being upset but then again, don't I deserve to have these feelings as any other normal person would with a healthy parent? How much do I need to take the cancer into consideration while validating my feelings? I just feel so bad complaining and being upset about small stuff while she is fucking fighting for her life. Any opinions?</t>
        </is>
      </c>
      <c r="D10928" t="n">
        <v>1</v>
      </c>
      <c r="E10928" t="n">
        <v>8</v>
      </c>
      <c r="F10928">
        <f>HYPERLINK("https://www.reddit.com/r/cancer/comments/iekh83/am_i_allowed_to_be_annoyed_and_get_angry_at_my/")</f>
        <v/>
      </c>
      <c r="G10928" t="inlineStr">
        <is>
          <t>2020-08-22 08:32:35</t>
        </is>
      </c>
      <c r="H10928" t="inlineStr"/>
    </row>
    <row r="10929">
      <c r="A10929" t="inlineStr">
        <is>
          <t>iekkgl</t>
        </is>
      </c>
      <c r="B10929" t="inlineStr">
        <is>
          <t>Genuine question for the sub and mods</t>
        </is>
      </c>
      <c r="C10929" t="inlineStr">
        <is>
          <t>Why is alternative healing banned from the "cancer" subreddit? Seems kind of odd In my opinion</t>
        </is>
      </c>
      <c r="D10929" t="n">
        <v>1</v>
      </c>
      <c r="E10929" t="n">
        <v>9</v>
      </c>
      <c r="F10929">
        <f>HYPERLINK("https://www.reddit.com/r/cancer/comments/iekkgl/genuine_question_for_the_sub_and_mods/")</f>
        <v/>
      </c>
      <c r="G10929" t="inlineStr">
        <is>
          <t>2020-08-22 08:37:36</t>
        </is>
      </c>
      <c r="H10929" t="inlineStr"/>
    </row>
    <row r="10930">
      <c r="A10930" t="inlineStr">
        <is>
          <t>iekriw</t>
        </is>
      </c>
      <c r="B10930" t="inlineStr">
        <is>
          <t>Looking for the tiniest bit of hope</t>
        </is>
      </c>
      <c r="C10930" t="inlineStr">
        <is>
          <t>I'm new to this sub after looking for one with people that can can relate. I wanted to ask, do you know anyone that lived long (not cured, mind you) with stage four prostate cancer? If so, 1. How did they do it? 2. Did a certain diet play any part? I'm asking because it's been four years since my dad was diagnosed, and Googling survival rates and seeing how long he may have leaves me scared to death. I will appreciate any response that might give is a little hope.</t>
        </is>
      </c>
      <c r="D10930" t="n">
        <v>1</v>
      </c>
      <c r="E10930" t="n">
        <v>5</v>
      </c>
      <c r="F10930">
        <f>HYPERLINK("https://www.reddit.com/r/cancer/comments/iekriw/looking_for_the_tiniest_bit_of_hope/")</f>
        <v/>
      </c>
      <c r="G10930" t="inlineStr">
        <is>
          <t>2020-08-22 08:48:34</t>
        </is>
      </c>
      <c r="H10930" t="inlineStr"/>
    </row>
    <row r="10931">
      <c r="A10931" t="inlineStr">
        <is>
          <t>iemrxm</t>
        </is>
      </c>
      <c r="B10931" t="inlineStr">
        <is>
          <t>Waiting on ultrasound results after finding lumps on my throat and constantly swollen nodes. I’m feeling very down and depressed.</t>
        </is>
      </c>
      <c r="C10931" t="inlineStr">
        <is>
          <t>The last couple of months I’ve been feeling awful, so fatigued all of the time and I’ve had a constant ache on the left side of my throat. Thought nothing of it... But I never noticed the lump until I was editing a video and saw it. It sticks out so much that I’ve been feeling self conscious about it. It started growing pretty quickly (or maybe that’s just because I knew it was there) and so I shut it out of my mind the best that I could and met with my doctor immediately. 
My mom has parathyroid cancer. Her grandmother had (non?)hodkins lymphoma. So I figured I had to get it checked. My appointment was the day before my 27th birthday, ha. 
Upon feeling it he said he feels an abnormality and so he ordered me an ultrasound and let me know if that doesn’t look good what a fine needle biopsy is but to try and not worry too much. He took my blood which came back normal. So that’s something. It took a week for me to be able to get in for my ultrasound because the hospital is swamped, but yesterday I finally got it. Yay for Friday. After that though, I notice there is another lump, which is under my left ear and kind of behind my jaw. It’s huge. And hard. And so that’s just another thing I have to wait on. 
I’m trying to clear my mind but like I said. I am having extreme difficulty with that. 
I’ve been avoiding people. I’m feeling really down and having trouble focusing on anything. I don’t really have anyone to talk to about it. Or to vent to. And I don’t want to bog anyone down (I didn’t want to post here either but I’m upset. I didn’t know where else to post this). I know I don’t even have results yet and I probably won’t for like a week... and I just have to go along with it. It feels like it just kind of came out of nowhere and I feel whiplash, if that makes sense. Like... I’m fine, but then I’m not. I don’t know how to feel right now. And there’s still that constant ache in my throat. Not really asking for advice, i just needed to let it out</t>
        </is>
      </c>
      <c r="D10931" t="n">
        <v>1</v>
      </c>
      <c r="E10931" t="n">
        <v>6</v>
      </c>
      <c r="F10931">
        <f>HYPERLINK("https://www.reddit.com/r/cancer/comments/iemrxm/waiting_on_ultrasound_results_after_finding_lumps/")</f>
        <v/>
      </c>
      <c r="G10931" t="inlineStr">
        <is>
          <t>2020-08-22 10:39:54</t>
        </is>
      </c>
      <c r="H10931" t="inlineStr"/>
    </row>
    <row r="10932">
      <c r="A10932" t="inlineStr">
        <is>
          <t>ien6d9</t>
        </is>
      </c>
      <c r="B10932" t="inlineStr">
        <is>
          <t>Living As A Cancer Survivor: Oh, How I Hate COVID-19 - Part 1</t>
        </is>
      </c>
      <c r="C10932" t="inlineStr">
        <is>
          <t>My personal thoughts about COVID-19 in the latest two entries of my blog "Living As A Cancer Survivor." My heart goes out to all those suffering due to missing treatments, tests, appointments. 
I STARTED THIS BLOG TO DRAW ATTENTION &amp;amp; HELP SURVIVORS SUFFERING LTD DUE TO TREATMENT
If you suffer long-term damage from radiation, chemotherapy or any other treatment, please let me know. I hope to build a network of people to help build resources, especially in reaching out to sponsors and businesses interested in supporting those trying to use whatever talents they have to overcome the damage done by poisons running through our bodies. We need a way to provide for ourselves and family after surviving treatment.</t>
        </is>
      </c>
      <c r="D10932" t="n">
        <v>1</v>
      </c>
      <c r="E10932" t="n">
        <v>0</v>
      </c>
      <c r="F10932">
        <f>HYPERLINK("https://www.reddit.com/r/cancer/comments/ien6d9/living_as_a_cancer_survivor_oh_how_i_hate_covid19/")</f>
        <v/>
      </c>
      <c r="G10932" t="inlineStr">
        <is>
          <t>2020-08-22 11:01:23</t>
        </is>
      </c>
      <c r="H10932" t="inlineStr"/>
    </row>
    <row r="10933">
      <c r="A10933" t="inlineStr">
        <is>
          <t>ieo1a6</t>
        </is>
      </c>
      <c r="B10933" t="inlineStr">
        <is>
          <t>Odor from chemo...</t>
        </is>
      </c>
      <c r="C10933" t="inlineStr">
        <is>
          <t>I’m on cisplatin and gemcitabine. I feel like since I’ve started, I give off a strong odor. My wife says it seems “metallic”, which makes sense. The problem is that the smell makes me wretch. It’s constant and pervasive. The anti-nausea meds help, but has anyone else experienced this? I literally can’t sit with myself without feeling like I’m befouled.</t>
        </is>
      </c>
      <c r="D10933" t="n">
        <v>1</v>
      </c>
      <c r="E10933" t="n">
        <v>14</v>
      </c>
      <c r="F10933">
        <f>HYPERLINK("https://www.reddit.com/r/cancer/comments/ieo1a6/odor_from_chemo/")</f>
        <v/>
      </c>
      <c r="G10933" t="inlineStr">
        <is>
          <t>2020-08-22 11:48:36</t>
        </is>
      </c>
      <c r="H10933" t="inlineStr"/>
    </row>
    <row r="10934">
      <c r="A10934" t="inlineStr">
        <is>
          <t>iep2rs</t>
        </is>
      </c>
      <c r="B10934" t="inlineStr">
        <is>
          <t>Crying triggers?</t>
        </is>
      </c>
      <c r="C10934" t="inlineStr">
        <is>
          <t>Do you guys have something that makes you just start weeping uncontrollably like a baby?  When I was in my stem cell transplant last year and when I was recovering at home after the raptors were doing their thing in the playoffs and finals and now whenever I see nick nurse in an interview I just start bawling lol.</t>
        </is>
      </c>
      <c r="D10934" t="n">
        <v>1</v>
      </c>
      <c r="E10934" t="n">
        <v>1</v>
      </c>
      <c r="F10934">
        <f>HYPERLINK("https://www.reddit.com/r/cancer/comments/iep2rs/crying_triggers/")</f>
        <v/>
      </c>
      <c r="G10934" t="inlineStr">
        <is>
          <t>2020-08-22 12:46:34</t>
        </is>
      </c>
      <c r="H10934" t="inlineStr"/>
    </row>
    <row r="10935">
      <c r="A10935" t="inlineStr">
        <is>
          <t>iettlp</t>
        </is>
      </c>
      <c r="B10935" t="inlineStr">
        <is>
          <t>I am all alone!!</t>
        </is>
      </c>
      <c r="C10935" t="inlineStr">
        <is>
          <t>I am a 27 year old male living with my elder sister and brother in law for almost a year now. I was diagnosed with cancer (ALL) last year and because of chemo and everything I was just too weak and needed support. My parents dont live in the same country so I really have no one to fall back on but my elder sister. Unfortunately cancer has not gone and I am still under treatment. The new treatment is mild(Blincyto) as compared to chemo and normally I do feel healthy. I have always been very active and athletic so this just adds to that.
Recently my sister has started to become very abusive towards me. A few nights ago she flat out said that if you want further treatment to be done, look for another place. I don't understand I never asked her for any favor. I am very independent and can normally go by without her help. But I feel like she thinks I am a burden. I have been crying since yesterday. How can a sister say that to her own little brother, who is already going through so much. My parents live in another country and they feel helpless towards me! My brother in law on the other hand is an angel. If it weren’t up to him, my sister would have kicked me out a year ago. I used to have a good job but I have been on disability since my diagnosis. I do get money from disability but I live in newyork and it is expensive. 
I want to move out because I dont want more insults and I would be in a better state of mind. My parents although feel like I should be with someone and they feel safe that way. I had a few cases of passing out during my initial days of treatment and since then my parents have always been very scared that I might pass out with no one around. I have tried to give my sister some rent but she refuses, saying that if you want to give rent, rent out a place. I am scared, I feel like she will kick me out any day for nowhere for me to go. I am still under treatment and nurse comes home every week, so that just adds to my fear.
I feel sad, I see alot of post by people here saying how they want to help their family member/ partner go through this and support in everyway. Here I am completely alone! My parents tell me not to worry about and as long as they are alive they will help me in everyway. They are trying to apply for visa, they say that we will move out, the three of us and live happily. I feel terrible about it though not only will I suffer this way but my parents will too. They dont know how life is here, also I don't know how we will manage financially. My life is already done and ruined why drag them along with me. This disease has literally taken everything from me, my job, my health, my chances of ever finding love and now also my family. I don't know the point of writing all this, I guess I just wanted to let it out.
P.S. sorry if there are any grammar mistakes, I’ve been in a very bad state of mind since yesterday!</t>
        </is>
      </c>
      <c r="D10935" t="n">
        <v>1</v>
      </c>
      <c r="E10935" t="n">
        <v>19</v>
      </c>
      <c r="F10935">
        <f>HYPERLINK("https://www.reddit.com/r/cancer/comments/iettlp/i_am_all_alone/")</f>
        <v/>
      </c>
      <c r="G10935" t="inlineStr">
        <is>
          <t>2020-08-22 17:32:24</t>
        </is>
      </c>
      <c r="H10935" t="inlineStr">
        <is>
          <t xml:space="preserve">Patient </t>
        </is>
      </c>
    </row>
    <row r="10936">
      <c r="A10936" t="inlineStr">
        <is>
          <t>iev40m</t>
        </is>
      </c>
      <c r="B10936" t="inlineStr">
        <is>
          <t>Perjeta poops - diet help needed!</t>
        </is>
      </c>
      <c r="C10936" t="inlineStr">
        <is>
          <t>I’m on perjeta for HER2+ breast cancer and it is causing me to shit my brains out.  I’m taking lomotil(??) for diarrhea 3x per day, but to no avail.  
Obviously, it gets worse when I eat, but I’m struggling to find something that won’t trigger it too badly while still providing enough protein.  My system seems to disagree with most forms of protein but ESPECIALLY whey and soy based.  Any ideas what I should try?  I’m making an appointment with my oncology clinic’s dietician next week.</t>
        </is>
      </c>
      <c r="D10936" t="n">
        <v>1</v>
      </c>
      <c r="E10936" t="n">
        <v>10</v>
      </c>
      <c r="F10936">
        <f>HYPERLINK("https://www.reddit.com/r/cancer/comments/iev40m/perjeta_poops_diet_help_needed/")</f>
        <v/>
      </c>
      <c r="G10936" t="inlineStr">
        <is>
          <t>2020-08-22 19:02:44</t>
        </is>
      </c>
      <c r="H10936" t="inlineStr"/>
    </row>
    <row r="10937">
      <c r="A10937" t="inlineStr">
        <is>
          <t>iext31</t>
        </is>
      </c>
      <c r="B10937" t="inlineStr">
        <is>
          <t>Hodgkins Lymphoma Recurrence 6 MONTHS AFTER REMISSION!!!</t>
        </is>
      </c>
      <c r="C10937" t="inlineStr">
        <is>
          <t>Hello Friends,
I was declared in remission in February 2020 after going through treatment for Stage IV Classical Hodgkins Lymphoma. I had my 6 month scan in July and they discovered activity. After a thoracic mediastinal lymph node biopsy last week it was determined that the cancer had returned. I have a resistant clone of the cancer, which basically means there were cancer cells that were mutations that resisted ABVD treatment.
I am pretty devastated as I only had 6 months of peace. The good news is that I have been accepted into a groundbreaking study at City of Hope that is using immunotherapy, chemotherapy and stem cell transplants. It has had 100% success with the 50 patients who have gone through it thus far. But I am struggling mentally. Is there anyone else on here with a similar experience? How did you cope with the setback?</t>
        </is>
      </c>
      <c r="D10937" t="n">
        <v>1</v>
      </c>
      <c r="E10937" t="n">
        <v>7</v>
      </c>
      <c r="F10937">
        <f>HYPERLINK("https://www.reddit.com/r/cancer/comments/iext31/hodgkins_lymphoma_recurrence_6_months_after/")</f>
        <v/>
      </c>
      <c r="G10937" t="inlineStr">
        <is>
          <t>2020-08-22 22:30:05</t>
        </is>
      </c>
      <c r="H10937" t="inlineStr"/>
    </row>
    <row r="10938">
      <c r="A10938" t="inlineStr">
        <is>
          <t>iezg25</t>
        </is>
      </c>
      <c r="B10938" t="inlineStr">
        <is>
          <t>Lung cancer coughing</t>
        </is>
      </c>
      <c r="C10938" t="inlineStr">
        <is>
          <t>My mom was diagnosed with stage 4 squamous cell carcinoma in the lung a few months back. It has not metastasized anywhere but it came from her cervical cancer that she had 3 years ago. 
She’s been coughing up blood quite frequently for a full year now, some days she coughs without any blood and other days there is blood, but she coughs everyday and on a good day she coughs maybe around 5 times in total with no blood. 
She has 6 rounds of chemo scheduled and she’s completed 4 rounds so far. The coughing hasn’t really lessened, some days she coughs less but today she’s been coughing a lot, like almost every 2 minutes, and there’s blood every time. She’s also clearing her throat a lot and says it feels itchy, and there’s a lot of phlegm. I’m not sure what to make of this. After 4/6 rounds of chemo, should her coughing have lessened a bit? Is it a bad sign that she’s still coughing and some days she’s coughing even more than usual? The doctors said they can’t run any tests yet to see if the chemo is working until after the 6th round.</t>
        </is>
      </c>
      <c r="D10938" t="n">
        <v>1</v>
      </c>
      <c r="E10938" t="n">
        <v>4</v>
      </c>
      <c r="F10938">
        <f>HYPERLINK("https://www.reddit.com/r/cancer/comments/iezg25/lung_cancer_coughing/")</f>
        <v/>
      </c>
      <c r="G10938" t="inlineStr">
        <is>
          <t>2020-08-23 01:02:14</t>
        </is>
      </c>
      <c r="H10938" t="inlineStr"/>
    </row>
    <row r="10939">
      <c r="A10939" t="inlineStr">
        <is>
          <t>if0tb8</t>
        </is>
      </c>
      <c r="B10939" t="inlineStr">
        <is>
          <t>My dad is dying of cancer on the other side of the country. What can I do?</t>
        </is>
      </c>
      <c r="C10939" t="inlineStr">
        <is>
          <t>My dad was just diagnosed with stage 4 esophageal cancer. I am active duty military and stationed on the west coast (US) while my dad lives on the east. I only have a few days saved up to go see him, and leave for deployment early next year. It is unlikely he will survive to see me come back.
My question is, during the time I cannot be there with him what can i do? I've been face timing frequently with him and my mom but it isn't the same. I just want to go home to them and be there but my job won't let me. Im barely legally allowed to drink im not ready to bury my dad. 
What are some things I can do to let him know I'm still here for him? Is there really anything I can do?</t>
        </is>
      </c>
      <c r="D10939" t="n">
        <v>1</v>
      </c>
      <c r="E10939" t="n">
        <v>4</v>
      </c>
      <c r="F10939">
        <f>HYPERLINK("https://www.reddit.com/r/cancer/comments/if0tb8/my_dad_is_dying_of_cancer_on_the_other_side_of/")</f>
        <v/>
      </c>
      <c r="G10939" t="inlineStr">
        <is>
          <t>2020-08-23 03:14:13</t>
        </is>
      </c>
      <c r="H10939" t="inlineStr"/>
    </row>
    <row r="10940">
      <c r="A10940" t="inlineStr">
        <is>
          <t>if1198</t>
        </is>
      </c>
      <c r="B10940" t="inlineStr">
        <is>
          <t>I'm pretty sure I have cancer. 😔</t>
        </is>
      </c>
      <c r="C10940" t="inlineStr">
        <is>
          <t>Good morning everyone. So in the last 2 months I'm gone from perfectly fine. To (here comes the list).
Back pain, stomach pain, headache every now and then. Feels odd to swollow.Wrist in right hand bones hurts, I had to go to hospital the other day became my right leg had swollen up. They think it's a bloody clot. I'm currently on blood thinners. I'm having a ultra scan done on my leg to see if it is a blood clot tomorrow. Tomorrow I'm going to pretty much beg them to do a scan to see what's going on. I'm like 99% sure I've got cancer. 😔.
They did a blood test and extra blood tests all came bk negative they even did a ECG. And that was fine, uren sample came bk fine as well. (this was all done the other day). They checked my kidneys they r working and nothing worrying found. I'm worried about my spine and lungs atm. I'm 30 nearly 31 non-smoker.</t>
        </is>
      </c>
      <c r="D10940" t="n">
        <v>1</v>
      </c>
      <c r="E10940" t="n">
        <v>2</v>
      </c>
      <c r="F10940">
        <f>HYPERLINK("https://www.reddit.com/r/cancer/comments/if1198/im_pretty_sure_i_have_cancer/")</f>
        <v/>
      </c>
      <c r="G10940" t="inlineStr">
        <is>
          <t>2020-08-23 03:34:59</t>
        </is>
      </c>
      <c r="H10940" t="inlineStr"/>
    </row>
    <row r="10941">
      <c r="A10941" t="inlineStr">
        <is>
          <t>if37u3</t>
        </is>
      </c>
      <c r="B10941" t="inlineStr">
        <is>
          <t>Supporting family.</t>
        </is>
      </c>
      <c r="C10941" t="inlineStr">
        <is>
          <t>Hi.
Sorry, new here. Pleasure to meet you all, and I hope you're all doing well.
I'll try to keep this relatively brief, I'm a rambler by nature.
My step-father (sort of, it's a complicated family history) has been diagnosed with prostate cancer which has spread to lymph nodes. He also has some "nodules" another organs that are unidentified, biopsies have been sent off to a specialist team to examine.
He is, by all accounts, in good spirits and pretty confident he'll be fine. He need to undergo chemo, radiotherapy and...something else. But he's confident.
How can I best support him and my mum?
They know I'm always here to listen or to explain any medical jargon they dont get (I'm very interested in biology in general and have a particular interest in medicine) and for any tips with handling the NHS or DWP they may have, since I've been there before with my disabled husband.
My concern is for Step-dad first, then my mum, then my 4 year old daughter who worships him. (For now she is being kept largely in the dark, we will explain more as we know how things are going)
What else can I do? Visiting directly is tough, they live some distance from us and we dont have a car, but they regularly have visits from our daughter.
Also, are there any tips I can pass on for someone undergoing these treatments and the side effects?
Thank you for taking the time to read this jumbled mess. This is all very new and a little unsettling, my bio dad passed of pancreatic cancer so it's all a bit...you know.</t>
        </is>
      </c>
      <c r="D10941" t="n">
        <v>1</v>
      </c>
      <c r="E10941" t="n">
        <v>0</v>
      </c>
      <c r="F10941">
        <f>HYPERLINK("https://www.reddit.com/r/cancer/comments/if37u3/supporting_family/")</f>
        <v/>
      </c>
      <c r="G10941" t="inlineStr">
        <is>
          <t>2020-08-23 06:30:54</t>
        </is>
      </c>
      <c r="H10941" t="inlineStr"/>
    </row>
    <row r="10942">
      <c r="A10942" t="inlineStr">
        <is>
          <t>if3tk0</t>
        </is>
      </c>
      <c r="B10942" t="inlineStr">
        <is>
          <t>FACIAL HAIR AND EYEBROWS GROWING BACK!!!!!</t>
        </is>
      </c>
      <c r="C10942" t="inlineStr">
        <is>
          <t>That's all. Just super hyped and had to tell the community that would understand the hype.</t>
        </is>
      </c>
      <c r="D10942" t="n">
        <v>1</v>
      </c>
      <c r="E10942" t="n">
        <v>24</v>
      </c>
      <c r="F10942">
        <f>HYPERLINK("https://www.reddit.com/r/cancer/comments/if3tk0/facial_hair_and_eyebrows_growing_back/")</f>
        <v/>
      </c>
      <c r="G10942" t="inlineStr">
        <is>
          <t>2020-08-23 07:10:14</t>
        </is>
      </c>
      <c r="H10942" t="inlineStr"/>
    </row>
    <row r="10943">
      <c r="A10943" t="inlineStr">
        <is>
          <t>if51s0</t>
        </is>
      </c>
      <c r="B10943" t="inlineStr">
        <is>
          <t>Need information about Small Cell Carcinoma</t>
        </is>
      </c>
      <c r="C10943" t="inlineStr">
        <is>
          <t>Hello, my (21f) amazing momma (40f) was diagnosed with small cell carcinoma two days ago. It hasnt spread but I was wondering if anyone could share their experiences with dealing with it or give me information about what I will be experiencing as her care giver in the upcoming months.</t>
        </is>
      </c>
      <c r="D10943" t="n">
        <v>1</v>
      </c>
      <c r="E10943" t="n">
        <v>9</v>
      </c>
      <c r="F10943">
        <f>HYPERLINK("https://www.reddit.com/r/cancer/comments/if51s0/need_information_about_small_cell_carcinoma/")</f>
        <v/>
      </c>
      <c r="G10943" t="inlineStr">
        <is>
          <t>2020-08-23 08:24:39</t>
        </is>
      </c>
      <c r="H10943" t="inlineStr"/>
    </row>
    <row r="10944">
      <c r="A10944" t="inlineStr">
        <is>
          <t>if57nb</t>
        </is>
      </c>
      <c r="B10944" t="inlineStr">
        <is>
          <t>So much anger and can’t stop crying</t>
        </is>
      </c>
      <c r="C10944" t="inlineStr">
        <is>
          <t>My dad was just diagnosed with stage 4 cancer two days ago. He has dozens of tumors throughout his chest and abdomen. They have no idea where it started so we don’t have a prognosis or plan. I’m just so angry and if I’m not distracted I can’t stop crying. My son is five months old and I can’t stop feeling angry that he probably won’t get a chance to know my dad. We lost my SIL just under a year ago and it all just seems so unfair to my son and my dad. I’m just so angry with myself that I waited so long to have my second baby. We are supposed to see him this afternoon but I have no idea how I’m going to keep myself under control.</t>
        </is>
      </c>
      <c r="D10944" t="n">
        <v>1</v>
      </c>
      <c r="E10944" t="n">
        <v>3</v>
      </c>
      <c r="F10944">
        <f>HYPERLINK("https://www.reddit.com/r/cancer/comments/if57nb/so_much_anger_and_cant_stop_crying/")</f>
        <v/>
      </c>
      <c r="G10944" t="inlineStr">
        <is>
          <t>2020-08-23 08:34:02</t>
        </is>
      </c>
      <c r="H10944" t="inlineStr"/>
    </row>
    <row r="10945">
      <c r="A10945" t="inlineStr">
        <is>
          <t>if7jrg</t>
        </is>
      </c>
      <c r="B10945" t="inlineStr">
        <is>
          <t>Women no period after chemo?</t>
        </is>
      </c>
      <c r="C10945" t="inlineStr">
        <is>
          <t>I finished RCHOP chemo for lymphoma in early April. My PET scan was clear and I am in remission. But i still feel like my body hasn't fulled healed from the chemo despite it being nearly 5 months since my last chemo. 
My period stopped once I started chemo in January. I literally have not had a period since last December. It still hasn't returned. Have any women had this happen and did your cycle eventually return to normal??
I also get labs done every month and I am consistently anemic. The doctors don't seem concerned. But I still have a lot of fatigue, rapid heart rate, and difficulty exercising. I am seeing a personal trainer twice a week and exercise every day but it's like my body is not cooperating and I get so fatigued after just 20 minutes of working out.</t>
        </is>
      </c>
      <c r="D10945" t="n">
        <v>1</v>
      </c>
      <c r="E10945" t="n">
        <v>7</v>
      </c>
      <c r="F10945">
        <f>HYPERLINK("https://www.reddit.com/r/cancer/comments/if7jrg/women_no_period_after_chemo/")</f>
        <v/>
      </c>
      <c r="G10945" t="inlineStr">
        <is>
          <t>2020-08-23 10:45:25</t>
        </is>
      </c>
      <c r="H10945" t="inlineStr"/>
    </row>
    <row r="10946">
      <c r="A10946" t="inlineStr">
        <is>
          <t>if9euo</t>
        </is>
      </c>
      <c r="B10946" t="inlineStr">
        <is>
          <t>Really scared I might have lymphoma. How to manage fear/stress</t>
        </is>
      </c>
      <c r="C10946" t="inlineStr">
        <is>
          <t>So I have a swollen lymph node on my neck, and I’m pretty sure it’s lymphoma. I have no other signs of infection, it’s been here for a month or two now without going away, and I also recently found out I have gout (which doc said was weird as I’m only 25 and no fam history. Turns out it can be caused by lymphoma).
I know y’all can’t diagnose me but I’m worried sick. I’ve lost my appetite, I’m having trouble sleeping. When I had problems with gout I was worried it was cancer but my blood work came back fine.. and now I’m back to being scared again. Except this time it’s worse because I’m almost sure. I’m trying to get a doctors appointment but I can’t do anything until tomorrow because it’s the weekend. And even then my doc seems booked up for a month unless someone cancels. I know it’s not a certainty that it’s cancer but the evidence seems to be in cancers favor, and it’s all I can think about. And what’s worse is that I know if it turns out I do have cancer I’m going to be devastated regardless of how miserable I am before I find out- so feeling like this is pointless.
Where you guys almost sure you had cancer before you got diagnosed? 
How do you guys distract yourselves? How do I stop feeling like this?</t>
        </is>
      </c>
      <c r="D10946" t="n">
        <v>1</v>
      </c>
      <c r="E10946" t="n">
        <v>6</v>
      </c>
      <c r="F10946">
        <f>HYPERLINK("https://www.reddit.com/r/cancer/comments/if9euo/really_scared_i_might_have_lymphoma_how_to_manage/")</f>
        <v/>
      </c>
      <c r="G10946" t="inlineStr">
        <is>
          <t>2020-08-23 12:24:30</t>
        </is>
      </c>
      <c r="H10946" t="inlineStr"/>
    </row>
    <row r="10947">
      <c r="A10947" t="inlineStr">
        <is>
          <t>if9lp8</t>
        </is>
      </c>
      <c r="B10947" t="inlineStr">
        <is>
          <t>I have had over 12 Head CT Scans. Most of them occurred when I was 20 due to headaches, anxiety, and bumping my head. Given the cumulative effect of all of this ionizing radiation at the young age of 20, by how much is my risk of brain cancer or a brain disease elevated by</t>
        </is>
      </c>
      <c r="C10947" t="inlineStr">
        <is>
          <t>And also, what can I do now to lower the risk now post- radiation?</t>
        </is>
      </c>
      <c r="D10947" t="n">
        <v>1</v>
      </c>
      <c r="E10947" t="n">
        <v>2</v>
      </c>
      <c r="F10947">
        <f>HYPERLINK("https://www.reddit.com/r/cancer/comments/if9lp8/i_have_had_over_12_head_ct_scans_most_of_them/")</f>
        <v/>
      </c>
      <c r="G10947" t="inlineStr">
        <is>
          <t>2020-08-23 12:35:09</t>
        </is>
      </c>
      <c r="H10947" t="inlineStr"/>
    </row>
    <row r="10948">
      <c r="A10948" t="inlineStr">
        <is>
          <t>ifacyx</t>
        </is>
      </c>
      <c r="B10948" t="inlineStr">
        <is>
          <t>Diagnosed again</t>
        </is>
      </c>
      <c r="C10948" t="inlineStr">
        <is>
          <t>Hey my name is Nicola, this is my first ever post, on Thursday I was diagnosed with cancer for the 4th time. I was first diagnosed with cervical cancer stage 2b in Sept 2015. I received chemotherapy 1 day a week for 5 weeks, radiotherapy 5 days and week for 5 weeks, and I got brachytherapy. In 2017 I was diagnosed with cancer but this time it was in my lymph nodes in my stomach area, I received an operation were they removed 14 lymph nodes and 6 were cancerous, I was supposed to start radiotherapy in Feb of 2018 but they realised it was too close to where I got it the first time, so we were just to wait, I got a scan in March of the same year and everything looked ok, then I got another scan in June 2018 and the cancer was back, the lymph nodes again but this time it was further up, I got radiotherapy 5 days a week for 5 weeks. I struggled a lot and went into a deep dark depression, then COVID happened and I decided to push myself and go walking, all the treatments I had, really affected me physically. I couldn’t walk very far without it tiring me out. Before lockdown happened, I would lock myself away and very rarely leave the house. I was paid off from my job and decided I was going to apply for college, I got accepted and will be starting at the end of the month(it’s online for now) I went out walking everyday and became stronger, I walk up to 12km a day, my mental health improved drastically along with my physical health. I had a routine CT scan and they found a swollen lymph node at the bottom of my neck, I then had to get biopsies done and yeah the news is that the cancer is back again. I don’t know what the plan of action is for my treatment as I’m waiting to get a PET scan. I have cried once since being told, I don’t know if I’m numb and it’s not sunk in or I’m just getting used to it. I am glad that it came when my mental health is the best it’s been in years as I feel that’s helping me to cope. I have an amazing support system, I don’t tend to show how I feel as I don’t like worrying them. I think I’m more worried about my daughter, mum and brother than i am about me, it helps me keep it together if I worry about others. Anyway I just wanted to share my story and introduce myself</t>
        </is>
      </c>
      <c r="D10948" t="n">
        <v>1</v>
      </c>
      <c r="E10948" t="n">
        <v>7</v>
      </c>
      <c r="F10948">
        <f>HYPERLINK("https://www.reddit.com/r/cancer/comments/ifacyx/diagnosed_again/")</f>
        <v/>
      </c>
      <c r="G10948" t="inlineStr">
        <is>
          <t>2020-08-23 13:15:56</t>
        </is>
      </c>
      <c r="H10948" t="inlineStr"/>
    </row>
    <row r="10949">
      <c r="A10949" t="inlineStr">
        <is>
          <t>ifdk69</t>
        </is>
      </c>
      <c r="B10949" t="inlineStr">
        <is>
          <t>Radiation Question</t>
        </is>
      </c>
      <c r="C10949" t="inlineStr">
        <is>
          <t>I am getting radiation done on a large tumor in my upper right leg. How quickly does radiation work? This tumor is huge and uncomfortable and I would like it to start getting better. Previously had chemo that made it feel a lot better, made the tumor squishy, less painful, but it actually got bigger between the start and end of chemo. So now this is supposed to shrink it so they can do surgery. Is there a typical time I can expect to see results from the radiation? When did you see results if you did it?</t>
        </is>
      </c>
      <c r="D10949" t="n">
        <v>1</v>
      </c>
      <c r="E10949" t="n">
        <v>3</v>
      </c>
      <c r="F10949">
        <f>HYPERLINK("https://www.reddit.com/r/cancer/comments/ifdk69/radiation_question/")</f>
        <v/>
      </c>
      <c r="G10949" t="inlineStr">
        <is>
          <t>2020-08-23 16:15:36</t>
        </is>
      </c>
      <c r="H10949" t="inlineStr"/>
    </row>
    <row r="10950">
      <c r="A10950" t="inlineStr">
        <is>
          <t>iff5j1</t>
        </is>
      </c>
      <c r="B10950" t="inlineStr">
        <is>
          <t>My mum has cancer</t>
        </is>
      </c>
      <c r="C10950" t="inlineStr">
        <is>
          <t>My mother had had confirmed. Cancer on her pancreas. They’ve also found something on one of her greats and she’s seeing a specialist toaster in the weeek to figure that out.
She tells me she’s people around her to stay positive and strong. I can respect that, I want to be strong for her if she feels it helps but I’m terrified the cancer has already spread if there’s cancer in her pancreas and something on her breast.
I have to hide my fear and show positivity for her benefit, I also Ned an outlet for my pain and fear.</t>
        </is>
      </c>
      <c r="D10950" t="n">
        <v>1</v>
      </c>
      <c r="E10950" t="n">
        <v>9</v>
      </c>
      <c r="F10950">
        <f>HYPERLINK("https://www.reddit.com/r/cancer/comments/iff5j1/my_mum_has_cancer/")</f>
        <v/>
      </c>
      <c r="G10950" t="inlineStr">
        <is>
          <t>2020-08-23 17:55:21</t>
        </is>
      </c>
      <c r="H10950" t="inlineStr"/>
    </row>
    <row r="10951">
      <c r="A10951" t="inlineStr">
        <is>
          <t>iflwim</t>
        </is>
      </c>
      <c r="B10951" t="inlineStr">
        <is>
          <t>Lost mother in law to ovarian cancer.</t>
        </is>
      </c>
      <c r="C10951" t="inlineStr">
        <is>
          <t>My mother in law complained of lower abdominal heaviness and a little bit of abdominal distension 28 days back and hopped on the car and went for a checkup.
Yesterday morning her body was placed in the mortuary.
She was diagnosed with Stage IVB Ovarian cancer with multiple metastases and malignant ascites and a rapidly deteriorating condition.
She had refused chemo as she had seen women in her family weakened and in pain after chemo.
The doctors have her three months at best.
She lasted less than four weeks.
Her only symptom before the heaviness was one episode of bleeding four months back, which we weren't aware of.
Our cultural norms make it embarrassing for women to talk about reproductive health and issues like that.
Adding to all this is the fact that me and my wife are stuck abroad unable to travel either during her last days or for her funeral due to covid restrictions and quarantine.
I had lost my own dad fifteen years earlier to glioblastoma.
Cancer is truly a terrible, terrible disease.</t>
        </is>
      </c>
      <c r="D10951" t="n">
        <v>1</v>
      </c>
      <c r="E10951" t="n">
        <v>3</v>
      </c>
      <c r="F10951">
        <f>HYPERLINK("https://www.reddit.com/r/cancer/comments/iflwim/lost_mother_in_law_to_ovarian_cancer/")</f>
        <v/>
      </c>
      <c r="G10951" t="inlineStr">
        <is>
          <t>2020-08-24 02:38:18</t>
        </is>
      </c>
      <c r="H10951" t="inlineStr"/>
    </row>
    <row r="10952">
      <c r="A10952" t="inlineStr">
        <is>
          <t>ifnp19</t>
        </is>
      </c>
      <c r="B10952" t="inlineStr">
        <is>
          <t>Anyone have any experience with swelling due to fluid retention from surgery/no protein?</t>
        </is>
      </c>
      <c r="C10952" t="inlineStr">
        <is>
          <t>Stage 4 cancer, had to get emergency surgery, protein levels in toilet and body swelling up with water. I was thin prior to this and I struggle to lift my legs because of how heavy they are, plus I feel disgusting. Had a shitty doc who wasn’t clear about just how bad my protein situation is but they warned me that this could be unfixable. So i’d die immobilised in a fat body too heavy to move. Today sucks.
I’m just wondering if anyone’s had any experience with this kind of swelling due to protein being in the toilet.</t>
        </is>
      </c>
      <c r="D10952" t="n">
        <v>1</v>
      </c>
      <c r="E10952" t="n">
        <v>7</v>
      </c>
      <c r="F10952">
        <f>HYPERLINK("https://www.reddit.com/r/cancer/comments/ifnp19/anyone_have_any_experience_with_swelling_due_to/")</f>
        <v/>
      </c>
      <c r="G10952" t="inlineStr">
        <is>
          <t>2020-08-24 05:06:14</t>
        </is>
      </c>
      <c r="H10952" t="inlineStr">
        <is>
          <t xml:space="preserve">Patient </t>
        </is>
      </c>
    </row>
    <row r="10953">
      <c r="A10953" t="inlineStr">
        <is>
          <t>ifnqhz</t>
        </is>
      </c>
      <c r="B10953" t="inlineStr">
        <is>
          <t>Partner is leaving me. How to cope?</t>
        </is>
      </c>
      <c r="C10953" t="inlineStr">
        <is>
          <t>Hey everyone. 
I saw a topic about being single with cancer and it spoke to me a lot, because i am in a very difficult situation.
Me and my partner are 29 and 27 and living together since 7 years. I am being treated for cancer for the second time in the past 2 years and it has been pretty rough. I am on a lot of meds (pregabalin, oxycodone) which make me not always very pleasant to be with. I am emotional, sometimes needy and anxious.
Just after my diagnosis he told me we are in this together 100%. During my treatment he told me he can't deal with it anymore and he is 'too young' to have to deal with a partner with cancer. He just started a new job and a new study and is getting more succesful in what he does. And suddenly i am thrown aside.
We have been together for so long and we built up a life together. We have a lot of mutual friends, and more than half of them are sticking with him because they are  in a big friend group since years. It feels like such a big loss to lose my partner and more than half of my friends.
We rent a very nice house together (which i found) and most of the furniture is mine. I planned to go abroad for 6 months for work, but now he is moving out i can't pay the rent on my while being abroad. I don't want him to live here while i'm abroad because i don't think he deserves that after dumping me like this. 
I'm heartbroken and angry. When i was healthy and successful he seemed to be happy with our relationship but as soon as my health goes down, he is too good for me? 
I am almost 30, and partly disabled because of my spinal cord injury from the cancer. I feel so ugly and unwanted. I have been together with him during my 20's, my best years. He seemed so committed and now he turns around and tells me he needs to be single. Why did i waste my time on him..
I feel lost. Alone. My life is too uncertain. This causes me so much stress. I don't know what to do. 
Anyone went through this? I am so tired.</t>
        </is>
      </c>
      <c r="D10953" t="n">
        <v>1</v>
      </c>
      <c r="E10953" t="n">
        <v>83</v>
      </c>
      <c r="F10953">
        <f>HYPERLINK("https://www.reddit.com/r/cancer/comments/ifnqhz/partner_is_leaving_me_how_to_cope/")</f>
        <v/>
      </c>
      <c r="G10953" t="inlineStr">
        <is>
          <t>2020-08-24 05:08:51</t>
        </is>
      </c>
      <c r="H10953" t="inlineStr">
        <is>
          <t xml:space="preserve">Patient </t>
        </is>
      </c>
    </row>
    <row r="10954">
      <c r="A10954" t="inlineStr">
        <is>
          <t>ifpe1l</t>
        </is>
      </c>
      <c r="B10954" t="inlineStr">
        <is>
          <t>What type of hobby are great for doing or recovering from treatment</t>
        </is>
      </c>
      <c r="C10954" t="inlineStr">
        <is>
          <t>I finished chemo about 3 months ago and always spent my spare time studying, painting and gaming as I was always fatigue.
But I’m curious to know what hobbies you found fulfilling during your treatment?</t>
        </is>
      </c>
      <c r="D10954" t="n">
        <v>1</v>
      </c>
      <c r="E10954" t="n">
        <v>8</v>
      </c>
      <c r="F10954">
        <f>HYPERLINK("https://www.reddit.com/r/cancer/comments/ifpe1l/what_type_of_hobby_are_great_for_doing_or/")</f>
        <v/>
      </c>
      <c r="G10954" t="inlineStr">
        <is>
          <t>2020-08-24 06:52:37</t>
        </is>
      </c>
      <c r="H10954" t="inlineStr">
        <is>
          <t xml:space="preserve">Patient </t>
        </is>
      </c>
    </row>
    <row r="10955">
      <c r="A10955" t="inlineStr">
        <is>
          <t>ifqsyx</t>
        </is>
      </c>
      <c r="B10955" t="inlineStr">
        <is>
          <t>Zoom groups For family?</t>
        </is>
      </c>
      <c r="C10955" t="inlineStr">
        <is>
          <t>Looking for zoom groups for family members who are learning to cope or deal with family members who are suffering? Any ideas or groups you have are appreciated, love and price to all</t>
        </is>
      </c>
      <c r="D10955" t="n">
        <v>1</v>
      </c>
      <c r="E10955" t="n">
        <v>0</v>
      </c>
      <c r="F10955">
        <f>HYPERLINK("https://www.reddit.com/r/cancer/comments/ifqsyx/zoom_groups_for_family/")</f>
        <v/>
      </c>
      <c r="G10955" t="inlineStr">
        <is>
          <t>2020-08-24 08:10:53</t>
        </is>
      </c>
      <c r="H10955" t="inlineStr"/>
    </row>
    <row r="10956">
      <c r="A10956" t="inlineStr">
        <is>
          <t>ifsuuc</t>
        </is>
      </c>
      <c r="B10956" t="inlineStr">
        <is>
          <t>Shrinking tumors</t>
        </is>
      </c>
      <c r="C10956" t="inlineStr">
        <is>
          <t>I did a week of high dose steroids, and while this is not chemo, my tumors responded positively. They started to decrease in size. I did this all with a complete vegan diet except for honey, also only about 5 things I consumed in total was processed. I also exercised as much as I could. It really takes your mind of the process. The doctor has since recommended, I take animal protein to help protect the stomach from the harshness of the steroids. So its farm raised chicken and wild caught fish. I highly recommend lots a papaya and warm teas. I have another around of steroids and antibiotics this week then a break. I am still waiting on test results to start chemo. Hopefully, radiation will be underway soon. We have to keep pushing, no giving up, we can stop and rest and feel the gravity of it all, do the tears (I highly recommend this) but after get up and keep fighting.</t>
        </is>
      </c>
      <c r="D10956" t="n">
        <v>1</v>
      </c>
      <c r="E10956" t="n">
        <v>4</v>
      </c>
      <c r="F10956">
        <f>HYPERLINK("https://www.reddit.com/r/cancer/comments/ifsuuc/shrinking_tumors/")</f>
        <v/>
      </c>
      <c r="G10956" t="inlineStr">
        <is>
          <t>2020-08-24 09:56:45</t>
        </is>
      </c>
      <c r="H10956" t="inlineStr"/>
    </row>
    <row r="10957">
      <c r="A10957" t="inlineStr">
        <is>
          <t>iftigx</t>
        </is>
      </c>
      <c r="B10957" t="inlineStr">
        <is>
          <t>5cm liver lesion? Could it be benign?</t>
        </is>
      </c>
      <c r="C10957" t="inlineStr">
        <is>
          <t>My granddad has gotten results from his ct scan and there is a 5x4cm isodensic lesion on his liver. He has no symptoms. He had stage 3 colon cancer ,had surgery, then it appeared on his liver and now he had suregry again. Whats the chance that this lesion is benign?</t>
        </is>
      </c>
      <c r="D10957" t="n">
        <v>1</v>
      </c>
      <c r="E10957" t="n">
        <v>4</v>
      </c>
      <c r="F10957">
        <f>HYPERLINK("https://www.reddit.com/r/cancer/comments/iftigx/5cm_liver_lesion_could_it_be_benign/")</f>
        <v/>
      </c>
      <c r="G10957" t="inlineStr">
        <is>
          <t>2020-08-24 10:29:39</t>
        </is>
      </c>
      <c r="H10957" t="inlineStr"/>
    </row>
    <row r="10958">
      <c r="A10958" t="inlineStr">
        <is>
          <t>ifuefj</t>
        </is>
      </c>
      <c r="B10958" t="inlineStr">
        <is>
          <t>My grandmother is on hospice from acute myeloid leukemia. I don't know how to cope with this.</t>
        </is>
      </c>
      <c r="C10958" t="inlineStr">
        <is>
          <t>Hello. I never thought that I would find myself posting on this reddit community. Although it pains me to write this, I am here to share my grandmother's story and ask for any sort of advice of how to get through these difficult times.
My grandmother raised me. She has lived with my family for 19 years. She always cooked meals for me, cleaned up after me, and watched television with me. She was a very healthy lady. She barely had any underlying health problems and she had the strength to go everywhere with my family. One of my regrets is not making more quality time for me to spend with her. I was so busy with school and extracurriculars that I simply took her for granted. So, if you're reading this... spend time with those you love because you never know what's going to happen.
Anyways, she was feeling very tired and had a lot of stomach aches starting from the beginning of August. My family thought she was just getting old and her digestive problems were just escalating. We agreed that she would just need to take her medicine and we fed her soups and porridges. She started to cough a lot as well. By August 10th we set up an appointment with her doctor but they said she would need to take a COVID test before arriving... So we had to wait 5 days for that but her condition just got worse and worse. So, we took her to the emergency room and she had pneumonia. She took her medicine and eventually got a lot better. But when she finished her prescription, she got even worse than before. She went to her primary care doctor after being tested negative and she had a very high white blood cell count. We just admitted her to the emergency room to relieve some pain while we search for an oncologist. She stayed there alone for 6 days due to COVID. She was diagnosed with acute myeloid leukemia and was given weeks to live. She cannot have treatment since she's too weak and already 85 years old. 
She's now in hospice with my aunt. She has very loving people around her. Her grandchildren visit every weekend, her 5 children come take care of her daily, and her friends have sent gifts. However, it pains me to see her. The grandmother I saw who would take walks with me and go shopping with me is now lying in bed, unable to even stand up, sleeping for 20 hours of the day, refusing to eat, incapable of speaking. I know she would eventually have to go... But this was so sudden. Last month, everything was fine. Everything was normal. It just hurts everyday. I can't concentrate at school. I can't sleep properly at night. I feel so guilty for not spending more time with her. For not treating her better. For pushing her away every time I was so exhausted. For never showing her how much I love her with my actions. 
I can only visit her every weekend. But every time I do she's only awake for 30 minutes or so... I just hold her hand and silently cry. I cry because I'm sad to see her go but I'm more frustrated with myself. I don't know how to cope with this... I've scared to death for the day I receive a call that she has passed away.</t>
        </is>
      </c>
      <c r="D10958" t="n">
        <v>1</v>
      </c>
      <c r="E10958" t="n">
        <v>1</v>
      </c>
      <c r="F10958">
        <f>HYPERLINK("https://www.reddit.com/r/cancer/comments/ifuefj/my_grandmother_is_on_hospice_from_acute_myeloid/")</f>
        <v/>
      </c>
      <c r="G10958" t="inlineStr">
        <is>
          <t>2020-08-24 11:13:04</t>
        </is>
      </c>
      <c r="H10958" t="inlineStr"/>
    </row>
    <row r="10959">
      <c r="A10959" t="inlineStr">
        <is>
          <t>ifx1mq</t>
        </is>
      </c>
      <c r="B10959" t="inlineStr">
        <is>
          <t>Is this the end?</t>
        </is>
      </c>
      <c r="C10959" t="inlineStr">
        <is>
          <t>Hi all, my dad stopped normal treatment after finding out his non small cell lung cancer has grown and spread to his stomach/bowels, which has rendered traditional chemo ineffective and that was his last option. He will be starting clinical trials Friday for a non FDA approved aggressive form of chemo. His right lung is collapsed due to air in his chest, and after being released from the hospital last Friday, he seems to have deteriorated so fast since coming home. They put him on oxygen but he hasn't been eating hardly anything, saying he feels full from fluid in his stomach (they haven't drained for some reason) and he is on a very small amount of oxycodone. He can barely walk two steps now without feeling like he's suffocating, cannot do anything himself now due to weakness and his cough is absolutely debilitating although taking every possible cough suppressant. Anyone else see such a rapid decline in just a few days? Will he bounce back after getting the new chemo or is this what happens close to the end? We are so scared he won't make it to Friday and hate seeing him suffering.</t>
        </is>
      </c>
      <c r="D10959" t="n">
        <v>1</v>
      </c>
      <c r="E10959" t="n">
        <v>6</v>
      </c>
      <c r="F10959">
        <f>HYPERLINK("https://www.reddit.com/r/cancer/comments/ifx1mq/is_this_the_end/")</f>
        <v/>
      </c>
      <c r="G10959" t="inlineStr">
        <is>
          <t>2020-08-24 13:24:57</t>
        </is>
      </c>
      <c r="H10959" t="inlineStr"/>
    </row>
    <row r="10960">
      <c r="A10960" t="inlineStr">
        <is>
          <t>ifyt93</t>
        </is>
      </c>
      <c r="B10960" t="inlineStr">
        <is>
          <t>Bleomycin infection</t>
        </is>
      </c>
      <c r="C10960" t="inlineStr">
        <is>
          <t>My brother is going through chemo right now and had bleomycin today, he got bleomycin on his first day last week and took cisplatin the rest of the days last week till Friday (Monday bleomycin, cisplatin thurs-Friday) today he’s been feeling a lot of fatigue and has a temperature of 100.4 which they told him to call his doctor if he had that temp, we called but they said they would get back to him maybe tomorrow because they’re closing. I don’t know what to make of it, should he be taken to the ER? The nurse who we talked to did not give us any information on what to do, and the papers just say call.</t>
        </is>
      </c>
      <c r="D10960" t="n">
        <v>1</v>
      </c>
      <c r="E10960" t="n">
        <v>2</v>
      </c>
      <c r="F10960">
        <f>HYPERLINK("https://www.reddit.com/r/cancer/comments/ifyt93/bleomycin_infection/")</f>
        <v/>
      </c>
      <c r="G10960" t="inlineStr">
        <is>
          <t>2020-08-24 14:52:57</t>
        </is>
      </c>
      <c r="H10960" t="inlineStr"/>
    </row>
    <row r="10961">
      <c r="A10961" t="inlineStr">
        <is>
          <t>ifyzh4</t>
        </is>
      </c>
      <c r="B10961" t="inlineStr">
        <is>
          <t>The monster is back...</t>
        </is>
      </c>
      <c r="C10961" t="inlineStr">
        <is>
          <t>M/34.. Looks like my cancer has shown itself again. MRI and CT shows potato sized mass pushing on the bottom of left lung and diaphragm. This will be the sixth or seventh time since I was originally diagnosed with Synovial Sarcoma at the age of 13. It started in my right armpit, but metastasized in my lungs about a year after my first round of radiation treatments ended. I had to stop working and now have to apply for disability. I'm just feeling overwhelmed and don't even know what to say to friends and family anymore.</t>
        </is>
      </c>
      <c r="D10961" t="n">
        <v>1</v>
      </c>
      <c r="E10961" t="n">
        <v>20</v>
      </c>
      <c r="F10961">
        <f>HYPERLINK("https://www.reddit.com/r/cancer/comments/ifyzh4/the_monster_is_back/")</f>
        <v/>
      </c>
      <c r="G10961" t="inlineStr">
        <is>
          <t>2020-08-24 15:02:00</t>
        </is>
      </c>
      <c r="H10961" t="inlineStr">
        <is>
          <t xml:space="preserve">Patient </t>
        </is>
      </c>
    </row>
    <row r="10962">
      <c r="A10962" t="inlineStr">
        <is>
          <t>ig0vzu</t>
        </is>
      </c>
      <c r="B10962" t="inlineStr">
        <is>
          <t>Ginseng for cancer fatigue</t>
        </is>
      </c>
      <c r="C10962" t="inlineStr">
        <is>
          <t>I was wondering if anyone has tried this and what sort of luck you've had with it.  My NHL and Rituxan therapy is just grinding me down and this morning I found it very difficult to get out of bed.  It's a totally different type of fatigue and rest and exercise don't seem to help.  I've been looking for something to try for quite some time and a specific form of ginseng seems to be the only thing that might have some science behind it, a Mayo clinic study.  Thanks for any input or suggestions.</t>
        </is>
      </c>
      <c r="D10962" t="n">
        <v>1</v>
      </c>
      <c r="E10962" t="n">
        <v>0</v>
      </c>
      <c r="F10962">
        <f>HYPERLINK("https://www.reddit.com/r/cancer/comments/ig0vzu/ginseng_for_cancer_fatigue/")</f>
        <v/>
      </c>
      <c r="G10962" t="inlineStr">
        <is>
          <t>2020-08-24 16:49:39</t>
        </is>
      </c>
      <c r="H10962" t="inlineStr"/>
    </row>
    <row r="10963">
      <c r="A10963" t="inlineStr">
        <is>
          <t>ig1j45</t>
        </is>
      </c>
      <c r="B10963" t="inlineStr">
        <is>
          <t>My Mom is having Whipple surgery tomorrow.</t>
        </is>
      </c>
      <c r="C10963" t="inlineStr">
        <is>
          <t>She (82 yrs old} was diagnosed with a 2.3 cm tumor in the head of her pancreas last week and she is going in for surgery tomorrow.
Can someone with experience give me a heads up for what is coming. She is a strong woman but she has been worn to the nub dealing with my step dad's terminal lung cancer.</t>
        </is>
      </c>
      <c r="D10963" t="n">
        <v>1</v>
      </c>
      <c r="E10963" t="n">
        <v>2</v>
      </c>
      <c r="F10963">
        <f>HYPERLINK("https://www.reddit.com/r/cancer/comments/ig1j45/my_mom_is_having_whipple_surgery_tomorrow/")</f>
        <v/>
      </c>
      <c r="G10963" t="inlineStr">
        <is>
          <t>2020-08-24 17:27:59</t>
        </is>
      </c>
      <c r="H10963" t="inlineStr"/>
    </row>
    <row r="10964">
      <c r="A10964" t="inlineStr">
        <is>
          <t>ig1rln</t>
        </is>
      </c>
      <c r="B10964" t="inlineStr">
        <is>
          <t>i know smokings bad, im 15 and smoke 1 cigarette every week or two. if i continue this will i end up risking cancer?</t>
        </is>
      </c>
      <c r="C10964" t="inlineStr">
        <is>
          <t>i enjoy smoking with friends but don't want to risk taking years off my life</t>
        </is>
      </c>
      <c r="D10964" t="n">
        <v>1</v>
      </c>
      <c r="E10964" t="n">
        <v>6</v>
      </c>
      <c r="F10964">
        <f>HYPERLINK("https://www.reddit.com/r/cancer/comments/ig1rln/i_know_smokings_bad_im_15_and_smoke_1_cigarette/")</f>
        <v/>
      </c>
      <c r="G10964" t="inlineStr">
        <is>
          <t>2020-08-24 17:42:04</t>
        </is>
      </c>
      <c r="H10964" t="inlineStr"/>
    </row>
    <row r="10965">
      <c r="A10965" t="inlineStr">
        <is>
          <t>ig3dfp</t>
        </is>
      </c>
      <c r="B10965" t="inlineStr">
        <is>
          <t>How do I tell my dad that the doctors are giving up hope?</t>
        </is>
      </c>
      <c r="C10965" t="inlineStr">
        <is>
          <t>My dad has stage 4 thymus/lung cancer. It's spread to both lungs, and my dad is having difficulties breathing. He can still walk, and still has somewhat of an appetite. English isn't his first language, and I normally go to doctor visits with him.
He was diagnosed last year in April, and since then he's had countless chemo, and radiation treatments. He had brain surgery last year in December, and the doctors were surprised with how fast he recovered. Things were looking up for a bit. He had hopw. Then he was put on immunotherapy, which didn't work.
 From July of this year, he's gotten progressively worse. Yesterday was the first time  visiting palliative care dr. The thing is, he doesn't understand that its the end of the road treatment. I think that both him and my mum know that the cancer is incurable, but they still hold onto the hope. They think that palliative care is just another treatment to help decrease the size of cancer. When they asked me, I said it was just a doctor who prescribed medicine. I can't bring myself to tell them.
My dad's still undergoing chemo as a last ditch effort to decrease the rate the tumours are growing. How do I tell him that the doctors are nearly giving up? I tried to suggest him get his affairs in order. Write a will maybe. He just said that he wants to wait until he gets better. I'm not sure if he'll get better than this.
He wants to fight, and I want to see him fight.. but it's a loosing battle. I don't know what he would do if I told him this .</t>
        </is>
      </c>
      <c r="D10965" t="n">
        <v>1</v>
      </c>
      <c r="E10965" t="n">
        <v>12</v>
      </c>
      <c r="F10965">
        <f>HYPERLINK("https://www.reddit.com/r/cancer/comments/ig3dfp/how_do_i_tell_my_dad_that_the_doctors_are_giving/")</f>
        <v/>
      </c>
      <c r="G10965" t="inlineStr">
        <is>
          <t>2020-08-24 19:22:31</t>
        </is>
      </c>
      <c r="H10965" t="inlineStr"/>
    </row>
    <row r="10966">
      <c r="A10966" t="inlineStr">
        <is>
          <t>ig4ur2</t>
        </is>
      </c>
      <c r="B10966" t="inlineStr">
        <is>
          <t>My grandmothers dying</t>
        </is>
      </c>
      <c r="C10966" t="inlineStr">
        <is>
          <t>My grandmother is expected to pass away in October as declared by her doctors, when I was first diagnosed with cancer myself she told me we’d fight this together and when we’d get better she would come see me.
I don’t know how to deal with this, 
how should I treat her, I know she wouldn’t want me to be sad but Its really hard to think of her in so much pain waiting for her death. 
How do I say my final goodbye?</t>
        </is>
      </c>
      <c r="D10966" t="n">
        <v>1</v>
      </c>
      <c r="E10966" t="n">
        <v>2</v>
      </c>
      <c r="F10966">
        <f>HYPERLINK("https://www.reddit.com/r/cancer/comments/ig4ur2/my_grandmothers_dying/")</f>
        <v/>
      </c>
      <c r="G10966" t="inlineStr">
        <is>
          <t>2020-08-24 20:57:09</t>
        </is>
      </c>
      <c r="H10966" t="inlineStr"/>
    </row>
    <row r="10967">
      <c r="A10967" t="inlineStr">
        <is>
          <t>ig6rlh</t>
        </is>
      </c>
      <c r="B10967" t="inlineStr">
        <is>
          <t>My grandma died 9 days after her diagnosis</t>
        </is>
      </c>
      <c r="C10967" t="inlineStr">
        <is>
          <t>Hi all I lost my grandma on August 6th. I still can’t believe it. Mostly because it happened so quickly.
My grandpa also died of cancer in 2017, but he had lived with it for almost 2 years after being diagnosed. So we kinda knew it was gonna happen sooner or later, and he was 80.
My grandma on the other hand was 74 and nobody expected she had cancer.
Let me explain. She was always a hypochondriac and she suffered from different deseases: diabetes, osteoporosis, neurosis. She had various surgeries too, related to orthopedics (wrist) and intestinal which was very serious (sorry I don’t know specifics about those, I was a kid when those surgeries happened).
Anyway, she was always under doctor’s supervision and as I said, hypochondriac. My mom said she experienced more severe pain since February this year. Her primary care doctor just prescribed her more pain medication (not opioids though). From what I heard he wasn’t a good doctor. We’re from an Eastern European country and primary care is free, but not always good, I think. Then COVID happened so the doctor didn’t even see her. My grandma would just called him by phone and he never wanted to order any lab or screening for her. But she kept calling him every month or so because she was in pain.
We didn’t do much about it (I’m so sad and mad at myself and my family that we didn’t do anything to help), but we thought the doctors knew what they were doing, plus the COVID situation, plus the fact that she was hypochondriac.
Finally in the end of July the doctor gave up I guess and ordered a CT screening for her. It revealed a lot of metastases in her liver. They gave her a morphine injection right away and she was gonna have a full screening a week after to find out where exactly is the cancer (again, public health care, so a week is fast - my cousin has some connections in a hospital). She went home, they prescribed her some morphine. I called her on Wednesday (I live abroad and couldn’t travel). She seemed fine. The painkillers were working. She wasn’t that much in pain anymore. We talked normally. Then I called on Saturday and she was just laying in bed. Mostly sleeping. She didn’t talk very much. Didn’t eat at all. The pain came back so she was given more morphine... She died next Thursday morning... I mean, we knew it was gonna happen. But so soon? Is that normal? I suspect that she got sick much earlier and the doctors failed to help her. And we too... we should’ve done more. I’m so so so sad...</t>
        </is>
      </c>
      <c r="D10967" t="n">
        <v>1</v>
      </c>
      <c r="E10967" t="n">
        <v>4</v>
      </c>
      <c r="F10967">
        <f>HYPERLINK("https://www.reddit.com/r/cancer/comments/ig6rlh/my_grandma_died_9_days_after_her_diagnosis/")</f>
        <v/>
      </c>
      <c r="G10967" t="inlineStr">
        <is>
          <t>2020-08-24 23:24:48</t>
        </is>
      </c>
      <c r="H10967" t="inlineStr"/>
    </row>
    <row r="10968">
      <c r="A10968" t="inlineStr">
        <is>
          <t>ig76so</t>
        </is>
      </c>
      <c r="B10968" t="inlineStr">
        <is>
          <t>Is it selfish to have kids</t>
        </is>
      </c>
      <c r="C10968" t="inlineStr">
        <is>
          <t>(21M) I cant stop going over this topic in my head. My family has history of cancer with my Grandma dying of Breast cancer 10 years back, and my sister (27) was diagnosed with thyroid cancer about 6 months ago. For myself I was diagnosed with Diffuse Large BCell NHL about 3 months. I know a history of cancer doesn’t always lead to more cancer down the family tree but the issue im having is I also was diagnosed with an auto immune disease (IGA Nephropathy) when I was 16 which resulted in me having a kidney transplant about a year ago. With this much disease I’m really wrenched with the feeling that procreating would be selfish since my child/children would be born having a good chance of being stricken with health issues early. I can also see this conflict being a problem when it comes to relationships as I enter my adult life. Just something I needed to get off my chest and also interested in opinions. Thank you</t>
        </is>
      </c>
      <c r="D10968" t="n">
        <v>1</v>
      </c>
      <c r="E10968" t="n">
        <v>5</v>
      </c>
      <c r="F10968">
        <f>HYPERLINK("https://www.reddit.com/r/cancer/comments/ig76so/is_it_selfish_to_have_kids/")</f>
        <v/>
      </c>
      <c r="G10968" t="inlineStr">
        <is>
          <t>2020-08-25 00:01:30</t>
        </is>
      </c>
      <c r="H10968" t="inlineStr">
        <is>
          <t xml:space="preserve">Patient </t>
        </is>
      </c>
    </row>
    <row r="10969">
      <c r="A10969" t="inlineStr">
        <is>
          <t>ig8xle</t>
        </is>
      </c>
      <c r="B10969" t="inlineStr">
        <is>
          <t>Leaving the subreddit</t>
        </is>
      </c>
      <c r="C10969" t="inlineStr">
        <is>
          <t>Hello I am aware nobody here knows me but I have recently beaten Cancer. Today I am celebrating my victory by leaving the subreddit. I wish you all the best luck. Goodbye everyone!🎉🎊🎈</t>
        </is>
      </c>
      <c r="D10969" t="n">
        <v>1</v>
      </c>
      <c r="E10969" t="n">
        <v>32</v>
      </c>
      <c r="F10969">
        <f>HYPERLINK("https://www.reddit.com/r/cancer/comments/ig8xle/leaving_the_subreddit/")</f>
        <v/>
      </c>
      <c r="G10969" t="inlineStr">
        <is>
          <t>2020-08-25 02:37:41</t>
        </is>
      </c>
      <c r="H10969" t="inlineStr"/>
    </row>
    <row r="10970">
      <c r="A10970" t="inlineStr">
        <is>
          <t>igagp0</t>
        </is>
      </c>
      <c r="B10970" t="inlineStr">
        <is>
          <t>What happens if brain cancer reoccurs?</t>
        </is>
      </c>
      <c r="C10970" t="inlineStr">
        <is>
          <t>I got treatment for brain cancer with chemo(the tinnitus and hearing loss is so bad) and radiation. I was wondering if it reoccurs will they use radiation? Because won't it increase the risk of cancer again?</t>
        </is>
      </c>
      <c r="D10970" t="n">
        <v>1</v>
      </c>
      <c r="E10970" t="n">
        <v>5</v>
      </c>
      <c r="F10970">
        <f>HYPERLINK("https://www.reddit.com/r/cancer/comments/igagp0/what_happens_if_brain_cancer_reoccurs/")</f>
        <v/>
      </c>
      <c r="G10970" t="inlineStr">
        <is>
          <t>2020-08-25 04:41:08</t>
        </is>
      </c>
      <c r="H10970" t="inlineStr"/>
    </row>
    <row r="10971">
      <c r="A10971" t="inlineStr">
        <is>
          <t>igchlk</t>
        </is>
      </c>
      <c r="B10971" t="inlineStr">
        <is>
          <t>How to continue normally?</t>
        </is>
      </c>
      <c r="C10971" t="inlineStr">
        <is>
          <t>My boyfriend was diagonsed with Nodular Lympocrate-Predominant Hodgkin’s Lymphoma on June 29, 2020. I wrote a post about it before too. At that time, it was Stage 2B and now it is Stage 3. 
The past 2 months of my life have been the toughest I have ever had to go through. From knowing that it is Stage 1B and favorable condition, in 2 months time it has gone to Stage 3. I have never been this scared of losing someone in my entire life. I don’t know how to deal with these feelings and how to be there for him.
On top of all of that, I’m a budding pastry chef in making. My academy has been closed for the past 6 months due to coronavirus and it might soon reopen. But I do not have the focus or the attention needed to learn. On one hand I know it would provide me with good distraction but on the other hand, I jist have breakdowns in the middle of my day and my anxiety is at an all time high. 
For the past 2 months, I did not have to worry about the academy or anything bit I could just focus on my boyfriend, since no one else knows what he’s going through and I can’t be there with him in the hospital because of coronavirus. But now, the very thought of going back to school terrifies my every fiber of being. I don’t know how to do it again. All of this also includes the fear of bringing back the virus at my house, where my dad is 60 years old and my brother has asthma. And I know for a fact that I definitely won’t be able to meet my boyfriend for a long time once I start going to the academy. I have roughly 4-6 weeks of classes left. 
I don’t know how to deal with everything I’m feeling. I’m absolutely terrified with the fact that the cancer which was suppose to be slow growing is growing so fast and the possibility of losing my boyfriend forever becomes more and more real each day.</t>
        </is>
      </c>
      <c r="D10971" t="n">
        <v>1</v>
      </c>
      <c r="E10971" t="n">
        <v>7</v>
      </c>
      <c r="F10971">
        <f>HYPERLINK("https://www.reddit.com/r/cancer/comments/igchlk/how_to_continue_normally/")</f>
        <v/>
      </c>
      <c r="G10971" t="inlineStr">
        <is>
          <t>2020-08-25 06:45:39</t>
        </is>
      </c>
      <c r="H10971" t="inlineStr"/>
    </row>
    <row r="10972">
      <c r="A10972" t="inlineStr">
        <is>
          <t>igdyai</t>
        </is>
      </c>
      <c r="B10972" t="inlineStr">
        <is>
          <t>Just met my oncologist</t>
        </is>
      </c>
      <c r="C10972" t="inlineStr">
        <is>
          <t>Looks like I’ll be doing a year of chemo. One week on three weeks off. I’ll be doing two different regimens on alternating months one of which will require a 5 day stay in the hospital.  This seems like I’m going to be miserable but can manage it. 
Any tips for managing long term treatment from seasoned veterans?</t>
        </is>
      </c>
      <c r="D10972" t="n">
        <v>1</v>
      </c>
      <c r="E10972" t="n">
        <v>22</v>
      </c>
      <c r="F10972">
        <f>HYPERLINK("https://www.reddit.com/r/cancer/comments/igdyai/just_met_my_oncologist/")</f>
        <v/>
      </c>
      <c r="G10972" t="inlineStr">
        <is>
          <t>2020-08-25 08:07:14</t>
        </is>
      </c>
      <c r="H10972" t="inlineStr">
        <is>
          <t xml:space="preserve">Patient </t>
        </is>
      </c>
    </row>
    <row r="10973">
      <c r="A10973" t="inlineStr">
        <is>
          <t>igea3n</t>
        </is>
      </c>
      <c r="B10973" t="inlineStr">
        <is>
          <t>My father went from running out of breath in April to being bedridden in early August</t>
        </is>
      </c>
      <c r="C10973" t="inlineStr">
        <is>
          <t xml:space="preserve"> It was really bad when he was running out of breath while going up the stairs, he(62) normally would go up to the 5th floor really fast without running out of breath, this happened all of the sudden one day to the other, me, my mother, my father and the rest of the family immediately thought there was something with his lungs, he needed to go to a doctor, we did not know if it was Covid 19 or something else.
 It turns out he had a pneumonia but the doctor wanted to do further tests and they ended up finding out more at the end of May, a 4cm by a 2cm tumor located in his left lung, his lympathic system around the lungs was damaged, he had 2 of his discs somewhat out of a place and signs pointed towards metastasis.
The Covid 19 situation made the whole process go slower, he could have been diagnosed sooner but he had to perform the test several times before doing his exams.
He started coughing blood almost every day afterwards, July was extremely complicated, that is when his mobility started becoming much worst, early on in that month he struggled to go down the stairs from our apartment, however despite the struggles he was still able to go do down stairs and walk a bit to get to the taxi, so me or my mother could take him to the hospital.
Late July it was confirmed that he had 2 metastic tumors in his brain, one larger, another one smaller
Every trip he had to do to the hospital in the first 2 weeks showcased him getting worst and worst moving around, fast forward to the end of July and he starts having a lot of difficulty getting up from bed due to the pain, before he had pain but after preparing himself mentally for a couple of minutes he would be able to sit on the bed and then grab unto objects around the house to move around, every step that he took would mean more pain but staying in the bed was not the best option either.
He started taking high doses of morphine as he got worst, 10-12 types of different medication per day, he only took medication to control his blood coagulation before.
Early August he could no longer sit on his bed, the 2 nurses that came in to take him to the hospital noticed how badly he got, 2 days apart from another and he went to be able to at least sit on the bed to not being able to do it anymore, every need that he had, we had to help him ourselves(food,peeing,washing,etc, all on the bed), on the 7th he was finally admitted to the Hospital, we haven't been able to see him since that time, he has done some sessions of radiotherapy and he has been treated well but from the conversations we had over the phone he seems like he is getting more confused and struggling with his conversation as time goes on.
My mother is going to be able to visit him tomorrow, I am going with her to support her, I will only be able to see him at a later date</t>
        </is>
      </c>
      <c r="D10973" t="n">
        <v>1</v>
      </c>
      <c r="E10973" t="n">
        <v>4</v>
      </c>
      <c r="F10973">
        <f>HYPERLINK("https://www.reddit.com/r/cancer/comments/igea3n/my_father_went_from_running_out_of_breath_in/")</f>
        <v/>
      </c>
      <c r="G10973" t="inlineStr">
        <is>
          <t>2020-08-25 08:24:49</t>
        </is>
      </c>
      <c r="H10973" t="inlineStr">
        <is>
          <t xml:space="preserve">Patient </t>
        </is>
      </c>
    </row>
    <row r="10974">
      <c r="A10974" t="inlineStr">
        <is>
          <t>igfk0s</t>
        </is>
      </c>
      <c r="B10974" t="inlineStr">
        <is>
          <t>Prostate PSA influence after spread...?</t>
        </is>
      </c>
      <c r="C10974" t="inlineStr">
        <is>
          <t>Hi folks,
Curious if anyone can help me clarify a little something I’m getting from my parents that ‘the doctor said’.
Elevated PSA was the trigger point for my fathers prostate cancer the other year. Prostate was removed and radiation/chemo ensured. Fast forward, every year, solid cancers have returned and been treated with radiation or chemo depending. It’s spread almost everywhere over the years... with the PSA fluctuating and now not being affected by the treatments.
Question: does PSA still indicate cancer progression/risk after he prostate cancer has been dealt with? Does it indicate progression throughout the rest of the body?
Thanks in advance!</t>
        </is>
      </c>
      <c r="D10974" t="n">
        <v>1</v>
      </c>
      <c r="E10974" t="n">
        <v>5</v>
      </c>
      <c r="F10974">
        <f>HYPERLINK("https://www.reddit.com/r/cancer/comments/igfk0s/prostate_psa_influence_after_spread/")</f>
        <v/>
      </c>
      <c r="G10974" t="inlineStr">
        <is>
          <t>2020-08-25 09:30:46</t>
        </is>
      </c>
      <c r="H10974" t="inlineStr"/>
    </row>
    <row r="10975">
      <c r="A10975" t="inlineStr">
        <is>
          <t>igh7xj</t>
        </is>
      </c>
      <c r="B10975" t="inlineStr">
        <is>
          <t>What now?</t>
        </is>
      </c>
      <c r="C10975" t="inlineStr">
        <is>
          <t>I was diagnosed with stage 3B testicular cancer late 2019.  After chemotherapy and surgery I was declared no evidence of disease two weeks ago.  The experience took over my life, took all of my focus, energy, etc.  Being immunocompromised by chemo and stuck inside during a pandemic has been quite the experience.  I am genuinely at a loss now, all of my relationships suffered severely because I couldn’t see anyone.  How do/did you find a new normal during surveillance?</t>
        </is>
      </c>
      <c r="D10975" t="n">
        <v>1</v>
      </c>
      <c r="E10975" t="n">
        <v>3</v>
      </c>
      <c r="F10975">
        <f>HYPERLINK("https://www.reddit.com/r/cancer/comments/igh7xj/what_now/")</f>
        <v/>
      </c>
      <c r="G10975" t="inlineStr">
        <is>
          <t>2020-08-25 10:51:22</t>
        </is>
      </c>
      <c r="H10975" t="inlineStr"/>
    </row>
    <row r="10976">
      <c r="A10976" t="inlineStr">
        <is>
          <t>igiwxd</t>
        </is>
      </c>
      <c r="B10976" t="inlineStr">
        <is>
          <t>What is the radiation dose to the body when undergoing a PET scan of the head?</t>
        </is>
      </c>
      <c r="C10976" t="inlineStr">
        <is>
          <t>What is the dose of radiation received?</t>
        </is>
      </c>
      <c r="D10976" t="n">
        <v>1</v>
      </c>
      <c r="E10976" t="n">
        <v>4</v>
      </c>
      <c r="F10976">
        <f>HYPERLINK("https://www.reddit.com/r/cancer/comments/igiwxd/what_is_the_radiation_dose_to_the_body_when/")</f>
        <v/>
      </c>
      <c r="G10976" t="inlineStr">
        <is>
          <t>2020-08-25 12:14:20</t>
        </is>
      </c>
      <c r="H10976" t="inlineStr"/>
    </row>
    <row r="10977">
      <c r="A10977" t="inlineStr">
        <is>
          <t>igoqa0</t>
        </is>
      </c>
      <c r="B10977" t="inlineStr">
        <is>
          <t>MassiveBio - any experience with this service/organization?</t>
        </is>
      </c>
      <c r="C10977" t="inlineStr">
        <is>
          <t>[https://massivebio.com/](https://massivebio.com/)
Any experience finding clinical trials with this service?  My parents are considering paying them and I am slightly skeptical.  They already have a great oncologist.  Don't they already know all the applicable clinical trials?</t>
        </is>
      </c>
      <c r="D10977" t="n">
        <v>1</v>
      </c>
      <c r="E10977" t="n">
        <v>4</v>
      </c>
      <c r="F10977">
        <f>HYPERLINK("https://www.reddit.com/r/cancer/comments/igoqa0/massivebio_any_experience_with_this/")</f>
        <v/>
      </c>
      <c r="G10977" t="inlineStr">
        <is>
          <t>2020-08-25 17:35:11</t>
        </is>
      </c>
      <c r="H10977" t="inlineStr"/>
    </row>
    <row r="10978">
      <c r="A10978" t="inlineStr">
        <is>
          <t>igpcpb</t>
        </is>
      </c>
      <c r="B10978" t="inlineStr">
        <is>
          <t>Has anyone had a CT guided biopsy?</t>
        </is>
      </c>
      <c r="C10978" t="inlineStr">
        <is>
          <t>I am currently at MD Anderson (covid test today and intake 7 am Thursday). I have large, glowing subpectoral nodes. The surgeon says going after them surgically risks nerve damage, the interventional radiologist said an FNA or ultrasound guided biopsy is out as they are too deep and an FNA won’t be enough tissue. He also feels it is very likely they will collapse a lung and/or cause a hematoma. It looks like Friday they are going to do CT guided core biopsy and I am a little scared after hearing the other doctors take. Do they sedate? Is it painful?</t>
        </is>
      </c>
      <c r="D10978" t="n">
        <v>1</v>
      </c>
      <c r="E10978" t="n">
        <v>11</v>
      </c>
      <c r="F10978">
        <f>HYPERLINK("https://www.reddit.com/r/cancer/comments/igpcpb/has_anyone_had_a_ct_guided_biopsy/")</f>
        <v/>
      </c>
      <c r="G10978" t="inlineStr">
        <is>
          <t>2020-08-25 18:14:49</t>
        </is>
      </c>
      <c r="H10978" t="inlineStr">
        <is>
          <t xml:space="preserve">Patient </t>
        </is>
      </c>
    </row>
    <row r="10979">
      <c r="A10979" t="inlineStr">
        <is>
          <t>igqomm</t>
        </is>
      </c>
      <c r="B10979" t="inlineStr">
        <is>
          <t>Looking for fellow melanoma-owners who have had immunotherapy</t>
        </is>
      </c>
      <c r="C10979" t="inlineStr">
        <is>
          <t>Greetings,
I had a malignant melanoma removed 18 months ago, and last month some lumps showed up near the site. Biopsy 2 weeks ago confirmed recurrence of the melanoma, MRI and PET scan showed it had not spread to brain or organs. Surgeon consults upcoming but anticipate surgery, maybe radiation, definitely immunotherapy (Keytruda and Opdivo have been mentioned as possibilities).
Would like to converse with others who have done immunotherapy to discuss what to expect in terms of side effects, effectiveness, etc., including anyone for whom immunotherapy didn't work and what Plan B was. I'm a 53yo guy if that's significant, but am pleased to hear from anyone.
Thanks! We are going to get through this!
Eric</t>
        </is>
      </c>
      <c r="D10979" t="n">
        <v>1</v>
      </c>
      <c r="E10979" t="n">
        <v>17</v>
      </c>
      <c r="F10979">
        <f>HYPERLINK("https://www.reddit.com/r/cancer/comments/igqomm/looking_for_fellow_melanomaowners_who_have_had/")</f>
        <v/>
      </c>
      <c r="G10979" t="inlineStr">
        <is>
          <t>2020-08-25 19:39:52</t>
        </is>
      </c>
      <c r="H10979" t="inlineStr"/>
    </row>
    <row r="10980">
      <c r="A10980" t="inlineStr">
        <is>
          <t>igra95</t>
        </is>
      </c>
      <c r="B10980" t="inlineStr">
        <is>
          <t>Radiation therapy starts in 2days!</t>
        </is>
      </c>
      <c r="C10980" t="inlineStr">
        <is>
          <t>In June I was diagnosed with carcinoma and endometrial cancer. Basically cancer in my uterus and cervix. On July 23rd I had an abdominal radical hysterectomy. I'm finally getting my energy back and feeling better. I was told today from my cancer doctor that radiation will be needed to make sure there are no more cancer cells and to make sure it wont reoccur. I was to believe the surgery would be all that is needed but here we are....
Has anyone else been through radiation?
What can I expect? Or how can I prepare?
What should I wear?
Are the side effects to be aware of?
What questions should I be asking my doctor? 
Any pros and cons of radiation therapy?
I do homeschool my kids and worried I wont be able to keep up with them. I'm trying to stay strong but really just worried. I haven't been focused at all today just trying to process this all. Any advice and or support would be greatly appreciated.</t>
        </is>
      </c>
      <c r="D10980" t="n">
        <v>1</v>
      </c>
      <c r="E10980" t="n">
        <v>8</v>
      </c>
      <c r="F10980">
        <f>HYPERLINK("https://www.reddit.com/r/cancer/comments/igra95/radiation_therapy_starts_in_2days/")</f>
        <v/>
      </c>
      <c r="G10980" t="inlineStr">
        <is>
          <t>2020-08-25 20:18:52</t>
        </is>
      </c>
      <c r="H10980" t="inlineStr"/>
    </row>
    <row r="10981">
      <c r="A10981" t="inlineStr">
        <is>
          <t>igsxqp</t>
        </is>
      </c>
      <c r="B10981" t="inlineStr">
        <is>
          <t>painful neuropathy in feet from chemo</t>
        </is>
      </c>
      <c r="C10981" t="inlineStr">
        <is>
          <t>hey everyone. hope all is well and everyone is thriving in these uncertain times. i just beat stage 2b hodgkin’s lymphoma back in May. I have terrible foot neuropathy and have tried almost every solution. CBD creams, marijuana, ive been prescribed pain meds but quickly got addicted and took myself off of them when it became a problem, my fiancé massages my feet every night for about 10 minutes, i try walking for about 30 minutes at least 3 times a week, i take cymbalta, kolonopin, b12 and hair skin and nail vitamins, i eat pretty healthy and i don’t drink much alcohol. when does this go away? i feel like it’s gotten worse even after chemo being over for 3 almost 4 months. my doctors are putting my
on the back burner because obviously i’m not a priority and that’s fine. i need help very badly and would like to hear some experiences you’ve had in the past</t>
        </is>
      </c>
      <c r="D10981" t="n">
        <v>1</v>
      </c>
      <c r="E10981" t="n">
        <v>11</v>
      </c>
      <c r="F10981">
        <f>HYPERLINK("https://www.reddit.com/r/cancer/comments/igsxqp/painful_neuropathy_in_feet_from_chemo/")</f>
        <v/>
      </c>
      <c r="G10981" t="inlineStr">
        <is>
          <t>2020-08-25 22:18:53</t>
        </is>
      </c>
      <c r="H10981" t="inlineStr"/>
    </row>
    <row r="10982">
      <c r="A10982" t="inlineStr">
        <is>
          <t>igt53r</t>
        </is>
      </c>
      <c r="B10982" t="inlineStr">
        <is>
          <t>3 years of extreme pollution</t>
        </is>
      </c>
      <c r="C10982" t="inlineStr">
        <is>
          <t>When I was an infant, I was exposed to 3 years of pollution from linfen (one of the worlds WORST polluted cities). Since then, I lived in Canada (clean air) will my lungs be okay? Or will I have an increased chance of lung cancer still. 
Side note: I’m scared if i have a chance of getting mesothelioma. I doubt I have encountered much asbestos in linfen, does anyone know if there are asbestos mines?</t>
        </is>
      </c>
      <c r="D10982" t="n">
        <v>1</v>
      </c>
      <c r="E10982" t="n">
        <v>0</v>
      </c>
      <c r="F10982">
        <f>HYPERLINK("https://www.reddit.com/r/cancer/comments/igt53r/3_years_of_extreme_pollution/")</f>
        <v/>
      </c>
      <c r="G10982" t="inlineStr">
        <is>
          <t>2020-08-25 22:35:34</t>
        </is>
      </c>
      <c r="H10982" t="inlineStr"/>
    </row>
    <row r="10983">
      <c r="A10983" t="inlineStr">
        <is>
          <t>iguw5j</t>
        </is>
      </c>
      <c r="B10983" t="inlineStr">
        <is>
          <t>My dad has cancer</t>
        </is>
      </c>
      <c r="C10983" t="inlineStr">
        <is>
          <t>Hello, I'm so sorry in advance if this isn't the right place for me but I feel totally lost right now.
As a background - My dad has been chronically ill literally my entire life with ulcerative colitis, then also made more ill by all the side effects that come from the steroids and medications he's used over the years to manage his condition. He got this persistent cough back in May that just wouldn't go, alongside a bunch of other symptoms. We thought it could be anything - allergies, a reaction to the wood he was cutting while working on our house extension, side effects of his meds. So he tried to self medicate (as he was scared of the doctors treating him like a COVID patient rather than listen to his actual issues) and while it did improve it still never went. 
Cut to now, he went downhill suddenly since Thursday last week, and come this Monday morning the paramedics are in the house taking him away for chest pain, breathlessness, inability to function, he had to stop several times being walked out to the ambulance. Hospital X-rayed him and found blood clots all through his lungs.Then the CT scan showed his bowel area and part of one lung lit up like a Christmas tree. Stage four bowel cancer that's spread to the lungs.
Our outlook is not good at all. Chemo and other therapies is an option available, but he's opting for palliative care. He's having a biopsy done today so we can get a more accurate timescale but nothing I've been googling to try and prepare myself is optimistic. We've had previous experience of cancer with my grandad back in 2012-2014, all the medical staff are acting the exact same ways as back then when his outlook was poor. I haven't been able to see my dad in the hospital due to COVID restrictions, and I'm terrified to see him as is once he's home. My mum said he wants to hear from me (via text) but what can I say to him? My mind is a total blank.
I'm only 21, he's 54. My mum and I are devastated. I have no idea what I'm supposed to do anymore. We know to sort out the finances, his affairs and wishes and everything, that's not the problem. It's emotional. I feel lost and scared. I can't believe this has happened. I won't have a dad likely within the next couple of years and my life hasn't even begun yet. 
I know we have to keep on going on keep moving forward and we will! He has so many things he wants to do and experience with us while / if he can! But I just feel so so empty and sad and hopeless. I feel like I've turned into a little kid again. 
How did you do it? How do you cope with this? We're based in the UK, so what resources should we be looking at for support?
Thank you so much for your time</t>
        </is>
      </c>
      <c r="D10983" t="n">
        <v>1</v>
      </c>
      <c r="E10983" t="n">
        <v>5</v>
      </c>
      <c r="F10983">
        <f>HYPERLINK("https://www.reddit.com/r/cancer/comments/iguw5j/my_dad_has_cancer/")</f>
        <v/>
      </c>
      <c r="G10983" t="inlineStr">
        <is>
          <t>2020-08-26 01:07:08</t>
        </is>
      </c>
      <c r="H10983" t="inlineStr"/>
    </row>
    <row r="10984">
      <c r="A10984" t="inlineStr">
        <is>
          <t>igveyd</t>
        </is>
      </c>
      <c r="B10984" t="inlineStr">
        <is>
          <t>Will have to undergo radiotherapy again</t>
        </is>
      </c>
      <c r="C10984" t="inlineStr">
        <is>
          <t>When I was 14, I was diagnosed with a benign Epithelioid Haemangioendothelioma of the brain and had radiotherapy. Had 2 VP shunts put in and a reservoir placed for a cyst.
Now, 11 years later, I have been diagnosed with a low grade Mucoepidermoid Carcinoma of the salivary glands and will have to undergo proton beam therapy. This therapy has been chosen due to the fact that they don't want to give more radiation to my head, so they are limiting the exposure.
Anyone else had PBT?</t>
        </is>
      </c>
      <c r="D10984" t="n">
        <v>1</v>
      </c>
      <c r="E10984" t="n">
        <v>2</v>
      </c>
      <c r="F10984">
        <f>HYPERLINK("https://www.reddit.com/r/cancer/comments/igveyd/will_have_to_undergo_radiotherapy_again/")</f>
        <v/>
      </c>
      <c r="G10984" t="inlineStr">
        <is>
          <t>2020-08-26 01:57:36</t>
        </is>
      </c>
      <c r="H10984" t="inlineStr"/>
    </row>
    <row r="10985">
      <c r="A10985" t="inlineStr">
        <is>
          <t>igx1ow</t>
        </is>
      </c>
      <c r="B10985" t="inlineStr">
        <is>
          <t>Adrenal Adenoma</t>
        </is>
      </c>
      <c r="C10985" t="inlineStr">
        <is>
          <t>Hi guys, I was just wondering if anyone has had any experience with an Adenoma? I've been told it has to be treated as "pre-cancerous" but that's all the information my doctor has given me, other than I've got to wait for an appointment to come through from the hospital but I don't even know what the appointment is for! Any help/ advice would be greatly appreciated. I want to refrain from looking it up online but I'm not sure what else to do at this point.
Thank you</t>
        </is>
      </c>
      <c r="D10985" t="n">
        <v>1</v>
      </c>
      <c r="E10985" t="n">
        <v>0</v>
      </c>
      <c r="F10985">
        <f>HYPERLINK("https://www.reddit.com/r/cancer/comments/igx1ow/adrenal_adenoma/")</f>
        <v/>
      </c>
      <c r="G10985" t="inlineStr">
        <is>
          <t>2020-08-26 04:22:58</t>
        </is>
      </c>
      <c r="H10985" t="inlineStr"/>
    </row>
    <row r="10986">
      <c r="A10986" t="inlineStr">
        <is>
          <t>igxt72</t>
        </is>
      </c>
      <c r="B10986" t="inlineStr">
        <is>
          <t>Is there a method for preventing cancer on the early stage</t>
        </is>
      </c>
      <c r="C10986" t="inlineStr">
        <is>
          <t>There a lot of stories, when people were late with checking cancer - and they quickly died. But look for my proofs which get me into frustration.
&amp;amp;#x200B;
Cancer can be anywhere in your body: brain, all your organs, blood, bones, skin. Also, I researched studies, that just tumour markers in your blood aren't as effective as checking a particular organ. But during life I feel light pain somewhere almost every day, I think everyone feels that, and in most cases, it's not something critical and not cancer.
&amp;amp;#x200B;
As other proof, the early stage of cancer can do nothing to your feeling, and you can feel good. But at the same time, you can have cancer. And when you feel bad, e.g. you're losing weight, saw blood while vomiting - probably it's too late, and you gonna die.
&amp;amp;#x200B;
So how to treat that? It's also not okay to check all organs with not enjoyable procedures such as endoscopy, and colonoscopy. So what the way to do with that? Just be afraid of fast dying?</t>
        </is>
      </c>
      <c r="D10986" t="n">
        <v>1</v>
      </c>
      <c r="E10986" t="n">
        <v>9</v>
      </c>
      <c r="F10986">
        <f>HYPERLINK("https://www.reddit.com/r/cancer/comments/igxt72/is_there_a_method_for_preventing_cancer_on_the/")</f>
        <v/>
      </c>
      <c r="G10986" t="inlineStr">
        <is>
          <t>2020-08-26 05:21:56</t>
        </is>
      </c>
      <c r="H10986" t="inlineStr"/>
    </row>
    <row r="10987">
      <c r="A10987" t="inlineStr">
        <is>
          <t>igzaec</t>
        </is>
      </c>
      <c r="B10987" t="inlineStr">
        <is>
          <t>delta 8 thc for chemo relief?</t>
        </is>
      </c>
      <c r="C10987" t="inlineStr">
        <is>
          <t>has anyone tried or had any success with this?</t>
        </is>
      </c>
      <c r="D10987" t="n">
        <v>1</v>
      </c>
      <c r="E10987" t="n">
        <v>4</v>
      </c>
      <c r="F10987">
        <f>HYPERLINK("https://www.reddit.com/r/cancer/comments/igzaec/delta_8_thc_for_chemo_relief/")</f>
        <v/>
      </c>
      <c r="G10987" t="inlineStr">
        <is>
          <t>2020-08-26 06:57:01</t>
        </is>
      </c>
      <c r="H10987" t="inlineStr"/>
    </row>
    <row r="10988">
      <c r="A10988" t="inlineStr">
        <is>
          <t>ih0c1w</t>
        </is>
      </c>
      <c r="B10988" t="inlineStr">
        <is>
          <t>Question about wigs</t>
        </is>
      </c>
      <c r="C10988" t="inlineStr">
        <is>
          <t>Do most people with cancer really appreciate wigs? I'd like to cut my hair, but I'm not sure whether I should do it really short so I can donate it or not (I don't have cancer, or anyone close to me with cancer). From my point of view, wearing someone else's hair is kind of creepy. Please give your opinion, I'd love to hear.</t>
        </is>
      </c>
      <c r="D10988" t="n">
        <v>1</v>
      </c>
      <c r="E10988" t="n">
        <v>9</v>
      </c>
      <c r="F10988">
        <f>HYPERLINK("https://www.reddit.com/r/cancer/comments/ih0c1w/question_about_wigs/")</f>
        <v/>
      </c>
      <c r="G10988" t="inlineStr">
        <is>
          <t>2020-08-26 07:57:06</t>
        </is>
      </c>
      <c r="H10988" t="inlineStr"/>
    </row>
    <row r="10989">
      <c r="A10989" t="inlineStr">
        <is>
          <t>ih22zy</t>
        </is>
      </c>
      <c r="B10989" t="inlineStr">
        <is>
          <t>Last year I donated peripheral stem cells through the One Match program to help save a life - AMA</t>
        </is>
      </c>
      <c r="C10989" t="inlineStr">
        <is>
          <t>In 2019 I was contacted by the One Match program through Canadian Blood Services to donate stem cells for someone in need. My year long NDA is up. AMA</t>
        </is>
      </c>
      <c r="D10989" t="n">
        <v>1</v>
      </c>
      <c r="E10989" t="n">
        <v>5</v>
      </c>
      <c r="F10989">
        <f>HYPERLINK("https://www.reddit.com/r/cancer/comments/ih22zy/last_year_i_donated_peripheral_stem_cells_through/")</f>
        <v/>
      </c>
      <c r="G10989" t="inlineStr">
        <is>
          <t>2020-08-26 09:28:37</t>
        </is>
      </c>
      <c r="H10989" t="inlineStr"/>
    </row>
    <row r="10990">
      <c r="A10990" t="inlineStr">
        <is>
          <t>ih2mx1</t>
        </is>
      </c>
      <c r="B10990" t="inlineStr">
        <is>
          <t>Does anyone have experience with incidental pulmonary nodules?</t>
        </is>
      </c>
      <c r="C10990" t="inlineStr">
        <is>
          <t>On May 12th, my mother went into the hospital, and upon a CT scan done, the doctors found three incidental lung nodules.
A nodule measuring 8.5mm was found on the right superior lobe, a nodule of 5mm was located in the middle lobe and one of 4mm in the lingula ( sorry if this makes no sense as im translating a french document).
Her hilar lymph node was also 1cm. Blood work was good, so anyhow the radiologist ordered a three month CT scan which she completed on August 4th, and the CT scan included her stomach area and today the doctor called and said that the nodules had not really changed size but did not specify so will see the report on September 4th for more details and that the radiologist had recommended she see nuclear medicine for supplemental testing to know/ensure they are benign and then a pulmonologist to discuss the results. 
Of course, im still freaking out and would appreciate any insight as we await the call for the supplementary testing and all in the upcoming weeks. 
Thanks for your insight !!
&amp;amp;#x200B;
Demographic information as following:
Female-62 years old- African- weight 172- height 5ft four and non-smoker- and no underlining health conditions and no other symptoms.</t>
        </is>
      </c>
      <c r="D10990" t="n">
        <v>1</v>
      </c>
      <c r="E10990" t="n">
        <v>0</v>
      </c>
      <c r="F10990">
        <f>HYPERLINK("https://www.reddit.com/r/cancer/comments/ih2mx1/does_anyone_have_experience_with_incidental/")</f>
        <v/>
      </c>
      <c r="G10990" t="inlineStr">
        <is>
          <t>2020-08-26 09:58:24</t>
        </is>
      </c>
      <c r="H10990" t="inlineStr"/>
    </row>
    <row r="10991">
      <c r="A10991" t="inlineStr">
        <is>
          <t>ih35t8</t>
        </is>
      </c>
      <c r="B10991" t="inlineStr">
        <is>
          <t>Support for a friend?</t>
        </is>
      </c>
      <c r="C10991" t="inlineStr">
        <is>
          <t>I'm sorry if this isn't the right place to post, but hoping you might have some recommendations. 
I have a friend who I've only know about a year, but we work together and have become pretty close. She just learned on Friday that her mom has been diagnosed with Stage IV colon cancer that has metastasized to the liver. Her mom lives with her and her husband and her brother will be moving in to help be a caretaker. 
Are there ways I can tangibly help support her family during this? I'm checking in and making sure she knows I'm thinking of her, but any other ideas of what I could offer? Send a gift card for a meal kit delivery for a few weeks? Other thoughts? Any feedback would be much appreciated.</t>
        </is>
      </c>
      <c r="D10991" t="n">
        <v>1</v>
      </c>
      <c r="E10991" t="n">
        <v>5</v>
      </c>
      <c r="F10991">
        <f>HYPERLINK("https://www.reddit.com/r/cancer/comments/ih35t8/support_for_a_friend/")</f>
        <v/>
      </c>
      <c r="G10991" t="inlineStr">
        <is>
          <t>2020-08-26 10:25:33</t>
        </is>
      </c>
      <c r="H10991" t="inlineStr"/>
    </row>
    <row r="10992">
      <c r="A10992" t="inlineStr">
        <is>
          <t>ih5vtb</t>
        </is>
      </c>
      <c r="B10992" t="inlineStr">
        <is>
          <t>Testicular cancer?</t>
        </is>
      </c>
      <c r="C10992" t="inlineStr">
        <is>
          <t>I'm 15 years old and today I saw an awhoch mentioned testicular cancer. In the ad there was a 60 sec self survey for testicular cancer. The survey was searching my testicels for bunps or lumps.
After a few seconds I noticed that a had 2 hard dots/lumps on both the top and bottom of my right testicel. Cancer runs in my family and both of my father's parents have had it. 
I'm really worried that it's serious but I found alot of sources that suggest it can just be a temporary cryst.
I know I probably should talk to my parents or doctor but that's kind of awkward. So I'm asking you guys first.</t>
        </is>
      </c>
      <c r="D10992" t="n">
        <v>1</v>
      </c>
      <c r="E10992" t="n">
        <v>8</v>
      </c>
      <c r="F10992">
        <f>HYPERLINK("https://www.reddit.com/r/cancer/comments/ih5vtb/testicular_cancer/")</f>
        <v/>
      </c>
      <c r="G10992" t="inlineStr">
        <is>
          <t>2020-08-26 12:43:56</t>
        </is>
      </c>
      <c r="H10992" t="inlineStr"/>
    </row>
    <row r="10993">
      <c r="A10993" t="inlineStr">
        <is>
          <t>ih6gnw</t>
        </is>
      </c>
      <c r="B10993" t="inlineStr">
        <is>
          <t>I'm scared I have cancer and doctors aren't taking me serious</t>
        </is>
      </c>
      <c r="C10993" t="inlineStr">
        <is>
          <t>21F all the doctors say is that "I'm too young." Last year I had a pap smear and my gyn told me that I have abnormal cells on my cervix. I asked my gyn if it was cancer and he said "No. Don't worry. It's nothing. This happens often. It should be back to normal." Now a year later I'm having all these symptoms. I keep having stabbing abdominal pains, back pain and have now lost my appetite completely and when I do force myself to eat I get full quickly which is not normal for me cause I used to eat a lot. And I'm not having bowel movements regularly as well. I need to drink a laxative in order to have one...which is weird because my bowel movements were good but now they aren't. I don't know what to do. Male doctors don't take female issues seriously.</t>
        </is>
      </c>
      <c r="D10993" t="n">
        <v>1</v>
      </c>
      <c r="E10993" t="n">
        <v>10</v>
      </c>
      <c r="F10993">
        <f>HYPERLINK("https://www.reddit.com/r/cancer/comments/ih6gnw/im_scared_i_have_cancer_and_doctors_arent_taking/")</f>
        <v/>
      </c>
      <c r="G10993" t="inlineStr">
        <is>
          <t>2020-08-26 13:13:49</t>
        </is>
      </c>
      <c r="H10993" t="inlineStr"/>
    </row>
    <row r="10994">
      <c r="A10994" t="inlineStr">
        <is>
          <t>ih6k3t</t>
        </is>
      </c>
      <c r="B10994" t="inlineStr">
        <is>
          <t>Want to save a life?</t>
        </is>
      </c>
      <c r="C10994" t="inlineStr">
        <is>
          <t>I everyone. I hope y’all are okay. I am a cancer survivor myself and have been for 12 years this summer. I am now working with gift of life which helps find people who are suffering from blood cancers and are in need of a stem cell or bone marrow transplant. If you want to help out at all or are interested please click the link below.
https://www.giftoflife.org/dc/Savannah3</t>
        </is>
      </c>
      <c r="D10994" t="n">
        <v>1</v>
      </c>
      <c r="E10994" t="n">
        <v>2</v>
      </c>
      <c r="F10994">
        <f>HYPERLINK("https://www.reddit.com/r/cancer/comments/ih6k3t/want_to_save_a_life/")</f>
        <v/>
      </c>
      <c r="G10994" t="inlineStr">
        <is>
          <t>2020-08-26 13:19:00</t>
        </is>
      </c>
      <c r="H10994" t="inlineStr"/>
    </row>
    <row r="10995">
      <c r="A10995" t="inlineStr">
        <is>
          <t>ih6nv7</t>
        </is>
      </c>
      <c r="B10995" t="inlineStr">
        <is>
          <t>Becoming a bone marrow donor is a relatively painless process that can save the life of a cancer patient</t>
        </is>
      </c>
      <c r="C10995" t="inlineStr">
        <is>
          <t>Blood cancer is a difficult diagnosis for anyone affected by it, as I have personal experience with a relative who was diagnosed with it and required a bone marrow transplant. But becoming a donor is extremely easy! All you have to do is go online, fill out a short health questionnaire, and a swab kit will be sent to you. The entire process takes less than 15 minutes altogether. If you are in the US you can swab here:[Gift of Life](https://www.giftoflife.org/dc/LakshmiM)
Donating Bone Marrow isn’t like what you see on Grey’s Anatomy. There are a lot of myths about bone marrow donation. 80% of donors are asked to give peripheral blood stem cells, which is very similar to that of a platelet donation or blood drawing process. The remaining 20% donate bone marrow cells which are taken straight from the donor’s hip, but this is done under sedation and is relatively painless except for some soreness/achiness that may last for a little while. This procedure is mostly asked for younger patients/children.
Why you should care:
\-Every 3 minutes a child or adult is diagnosed with blood cancer. It can affect anyone, from children, to healthy adults, to grandparents. A bone marrow or stem cell transplant is the only hope for survival for many of those diagnosed, and can be a CURE for some.
\-Over 70% of those in need do not have a match within their family and need to find a donor on the registry.
\-Recipients that are part of a minority group have the hardest time finding a donor on the registry. Only 25% of black or multi-racial patients will have a donor on the registry, 40% of Asian-American, and 45% of Hispanic/Latinx. Their best chance is finding someone with a similar ethnic background. We need more diversity on these registries!
\-There is a 1 in 200 chance that you will need a bone marrow or stem cell transplant in your life time.
\-Stem Cell/Bone Marrow Transplants can be used to treat/cure many blood cancers as well as immune and blood disorders.
\-There is a 1 in 200 chance you will be called as a potential match and 1 in 5 potential matches will be asked to donate.
&amp;amp;#x200B;
Becoming a bone marrow donor can lead you to saving someone else's life, who is going through unbelievably tough times and will save their family/friends as well.</t>
        </is>
      </c>
      <c r="D10995" t="n">
        <v>1</v>
      </c>
      <c r="E10995" t="n">
        <v>13</v>
      </c>
      <c r="F10995">
        <f>HYPERLINK("https://www.reddit.com/r/cancer/comments/ih6nv7/becoming_a_bone_marrow_donor_is_a_relatively/")</f>
        <v/>
      </c>
      <c r="G10995" t="inlineStr">
        <is>
          <t>2020-08-26 13:24:19</t>
        </is>
      </c>
      <c r="H10995" t="inlineStr"/>
    </row>
    <row r="10996">
      <c r="A10996" t="inlineStr">
        <is>
          <t>ih7oko</t>
        </is>
      </c>
      <c r="B10996" t="inlineStr">
        <is>
          <t>I thought this would be my last week with no stress, it has become the most stressful week of my life</t>
        </is>
      </c>
      <c r="C10996" t="inlineStr">
        <is>
          <t>Hello people, I am new here. I’m a medical student and about to enter the second year of my course. This is the last week before uni starts. Monday I travelled home from visiting my long distance BF in the UK. His aunt was ill, oesaphagal cancer, and was doing increasingly worse whilst I visited. As I arrived at the airport and got through security, I received a text message from my bf that his aunt had died. The entire flight I thought of him and his family. 
I arrived in the Netherlands, where I live. I decided to drop in at my parents house first, as it is closer than my own student flat. My mum was at the hospital. She has been having belly aches and wotnot for ages and decided it was time for a coloscopy. I was kinda afraid for it to be colon cancer before she went, but passed it off as me being an overly worried med student. 
Basically, my mum has colon cancer. Tomorrow we hear if there is metastasis going on. I am so stressed and am basically venting here because I can’t sleep. By the sounds of it, the tumor is quite big and we also know it is malignant. My medical instinct says I should except bad news tomorrow.</t>
        </is>
      </c>
      <c r="D10996" t="n">
        <v>1</v>
      </c>
      <c r="E10996" t="n">
        <v>5</v>
      </c>
      <c r="F10996">
        <f>HYPERLINK("https://www.reddit.com/r/cancer/comments/ih7oko/i_thought_this_would_be_my_last_week_with_no/")</f>
        <v/>
      </c>
      <c r="G10996" t="inlineStr">
        <is>
          <t>2020-08-26 14:17:30</t>
        </is>
      </c>
      <c r="H10996" t="inlineStr"/>
    </row>
    <row r="10997">
      <c r="A10997" t="inlineStr">
        <is>
          <t>ih84vk</t>
        </is>
      </c>
      <c r="B10997" t="inlineStr">
        <is>
          <t>Advice on how to make the most of my time with my dad?</t>
        </is>
      </c>
      <c r="C10997" t="inlineStr">
        <is>
          <t>They gave him a couple weeks... I don’t know how to feel. Any advice on what we should do together? What questions I should ask him? Anything so I can make the most of it and not regret the last of my time with him.</t>
        </is>
      </c>
      <c r="D10997" t="n">
        <v>1</v>
      </c>
      <c r="E10997" t="n">
        <v>4</v>
      </c>
      <c r="F10997">
        <f>HYPERLINK("https://www.reddit.com/r/cancer/comments/ih84vk/advice_on_how_to_make_the_most_of_my_time_with_my/")</f>
        <v/>
      </c>
      <c r="G10997" t="inlineStr">
        <is>
          <t>2020-08-26 14:41:38</t>
        </is>
      </c>
      <c r="H10997" t="inlineStr"/>
    </row>
    <row r="10998">
      <c r="A10998" t="inlineStr">
        <is>
          <t>ih8bu6</t>
        </is>
      </c>
      <c r="B10998" t="inlineStr">
        <is>
          <t>A crumbled life</t>
        </is>
      </c>
      <c r="C10998" t="inlineStr">
        <is>
          <t>I feel so hopeless. Stage 3 cervical cancer. Diagnosed 3weeks ago. Now my bf, who is my best friend and the love of my life wants to break up. Im devastated. I'm losing everything that matters. Im too sick to see my son, and i miss him desperately. I cant stand the thought of telling him whats Happening. Hes only 8. Hes autistic. He loves my boyfriend, i do too. Im so sad, I'm so lonely.</t>
        </is>
      </c>
      <c r="D10998" t="n">
        <v>1</v>
      </c>
      <c r="E10998" t="n">
        <v>24</v>
      </c>
      <c r="F10998">
        <f>HYPERLINK("https://www.reddit.com/r/cancer/comments/ih8bu6/a_crumbled_life/")</f>
        <v/>
      </c>
      <c r="G10998" t="inlineStr">
        <is>
          <t>2020-08-26 14:52:04</t>
        </is>
      </c>
      <c r="H10998" t="inlineStr">
        <is>
          <t xml:space="preserve">Patient </t>
        </is>
      </c>
    </row>
    <row r="10999">
      <c r="A10999" t="inlineStr">
        <is>
          <t>ih9736</t>
        </is>
      </c>
      <c r="B10999" t="inlineStr">
        <is>
          <t>Power port or Regular port?</t>
        </is>
      </c>
      <c r="C10999" t="inlineStr">
        <is>
          <t>I need to have a port placed next week for chemo infusions. Does anyone have thoughts on whether it is better to get a power port or a regular port? I used to have a regular port-a-cath for 3+ years, but had to get it removed when a blood clot formed. During that time, radiology techs often asked me if my port was a power port for IV contrast. Seems like I should go for the power port this time so I don't need to get my arm poked for CT scan contrast every 3 months, but I don't know if there are any risks/problems to having the power port versus the regular port. I'd appreciate any input. Thanks.</t>
        </is>
      </c>
      <c r="D10999" t="n">
        <v>1</v>
      </c>
      <c r="E10999" t="n">
        <v>13</v>
      </c>
      <c r="F10999">
        <f>HYPERLINK("https://www.reddit.com/r/cancer/comments/ih9736/power_port_or_regular_port/")</f>
        <v/>
      </c>
      <c r="G10999" t="inlineStr">
        <is>
          <t>2020-08-26 15:40:35</t>
        </is>
      </c>
      <c r="H10999" t="inlineStr">
        <is>
          <t xml:space="preserve">Patient </t>
        </is>
      </c>
    </row>
    <row r="11000">
      <c r="A11000" t="inlineStr">
        <is>
          <t>ihbhf9</t>
        </is>
      </c>
      <c r="B11000" t="inlineStr">
        <is>
          <t>Should I (31m) quit my job to take care of my mom (67f) who has cancer?</t>
        </is>
      </c>
      <c r="C11000" t="inlineStr">
        <is>
          <t>My mom (67f) was diagnosed with bone marrow cancer in February just before the epidemic hit. I haven’t seen her since shortly before her diagnosis. Over the last months, she has been undergoing treatment, including aggressive chemo and a stem cell transplant which pretty much eliminated her immune system. We hope she will beat the cancer but it’s not certain and it’s all very scary. I should add that she has not really communicated with me or my sister about the severity of the diagnosis but keeps on telling us that everything will be fine. I suspect it’s not, she has a tendency to downplay health issues in the past.
I live in another city and I am an essential worker who has been going to work everyday where I am exposed to other people. Therefore, I cannot risk to go and see her (I would have to isolate for two weeks before, even a cold could be deadly for her at this stage but I can’t get time off for that). It’s been really, really hard on me as I am not able to be there for her when she needs me. We speak on the phone but it’s not the same.
Currently, my uncle (69m) and my sister (34f) have been taking care of her but they have been struggling with the situation, being quite overwhelmed. My uncle is not very healthy himself and it’s taking a strain on him, same goes for my sister who is very fragile. My father passed away a few years ago and I am still dealing with the guilt of not having helped more when he was bed-bound because I wasn’t able to get much time off work.
I have put away a bit of savings and would be able to not work for about a year or so (my gf would help cover the rent). It’s not ideal but I have been thinking about quitting my job to move in with my mom to help out. She has never asked me to and my uncle and sister think it’s a bad idea (given that I wouldn’t know how long I would be unemployed for and that I shouldn’t put my life on hold). But I feel like I am letting my mom down, especially as I don’t know how much time I will get to spend with her again. I am not particularly happy in my job either, so it’s not like I am leaving something behind which I would miss. Also, if I quit my job I could see her again in person and I miss her a lot. I am really torn and don’t know if quitting is the right choice but I don’t want to beat myself up for having chosen a job over my mom. I need advice, should I quit my job? I don’t want any more regrets in my life...</t>
        </is>
      </c>
      <c r="D11000" t="n">
        <v>1</v>
      </c>
      <c r="E11000" t="n">
        <v>6</v>
      </c>
      <c r="F11000">
        <f>HYPERLINK("https://www.reddit.com/r/cancer/comments/ihbhf9/should_i_31m_quit_my_job_to_take_care_of_my_mom/")</f>
        <v/>
      </c>
      <c r="G11000" t="inlineStr">
        <is>
          <t>2020-08-26 18:02:13</t>
        </is>
      </c>
      <c r="H11000" t="inlineStr"/>
    </row>
    <row r="11001">
      <c r="A11001" t="inlineStr">
        <is>
          <t>ihdfgo</t>
        </is>
      </c>
      <c r="B11001" t="inlineStr">
        <is>
          <t>Gallbladder Cancer T1b</t>
        </is>
      </c>
      <c r="C11001" t="inlineStr">
        <is>
          <t>My mother in law was just diagnosed with GB cancer stage T1b. She was doing a full body check and the doctor discovered the tumor in her gallbladder. She immediately proceeded to do a simple Cholecystectomy. After confirming the cancer the doctor is recommending an extend Cholecystectomy.
We are grateful this was discover at a relatively early stage, however, we also know this is one of the most aggressive cancers. Just wanted to get anyone’s thought and experience on this.
What we are really concerned about the survival rate of this when discovered at T1b stage. Anyways appreciate any comments and suggestions. Thank you!</t>
        </is>
      </c>
      <c r="D11001" t="n">
        <v>1</v>
      </c>
      <c r="E11001" t="n">
        <v>1</v>
      </c>
      <c r="F11001">
        <f>HYPERLINK("https://www.reddit.com/r/cancer/comments/ihdfgo/gallbladder_cancer_t1b/")</f>
        <v/>
      </c>
      <c r="G11001" t="inlineStr">
        <is>
          <t>2020-08-26 20:09:50</t>
        </is>
      </c>
      <c r="H11001" t="inlineStr"/>
    </row>
    <row r="11002">
      <c r="A11002" t="inlineStr">
        <is>
          <t>ihepxx</t>
        </is>
      </c>
      <c r="B11002" t="inlineStr">
        <is>
          <t>How do you deal with existential dread?</t>
        </is>
      </c>
      <c r="C11002" t="inlineStr">
        <is>
          <t>I'm currently in the middle of treatment for stage 3 breast cancer and things are looking good and I've been pretty positive throughout this whole thing but... Lately, specifically when I'm trying to fall asleep at night, I get hit with this wave of horrible existential dread / terror. I haven't told anyone I know about this. I was just wondering if anyone here can relationship l relate or has any tips for dealing with these thoughts because it really freaking sucks and I'm honestly generally really positive.</t>
        </is>
      </c>
      <c r="D11002" t="n">
        <v>1</v>
      </c>
      <c r="E11002" t="n">
        <v>16</v>
      </c>
      <c r="F11002">
        <f>HYPERLINK("https://www.reddit.com/r/cancer/comments/ihepxx/how_do_you_deal_with_existential_dread/")</f>
        <v/>
      </c>
      <c r="G11002" t="inlineStr">
        <is>
          <t>2020-08-26 21:42:51</t>
        </is>
      </c>
      <c r="H11002" t="inlineStr"/>
    </row>
    <row r="11003">
      <c r="A11003" t="inlineStr">
        <is>
          <t>ihfjc5</t>
        </is>
      </c>
      <c r="B11003" t="inlineStr">
        <is>
          <t>Anyone know any good cancer books?</t>
        </is>
      </c>
      <c r="C11003" t="inlineStr">
        <is>
          <t>While being diagnosed with cancer and even after treatment I never really got to meet anyone around my age to relate about cancer with (I’m 16f) 
Y’all know any good cancer books to read?</t>
        </is>
      </c>
      <c r="D11003" t="n">
        <v>1</v>
      </c>
      <c r="E11003" t="n">
        <v>5</v>
      </c>
      <c r="F11003">
        <f>HYPERLINK("https://www.reddit.com/r/cancer/comments/ihfjc5/anyone_know_any_good_cancer_books/")</f>
        <v/>
      </c>
      <c r="G11003" t="inlineStr">
        <is>
          <t>2020-08-26 22:47:58</t>
        </is>
      </c>
      <c r="H11003" t="inlineStr"/>
    </row>
    <row r="11004">
      <c r="A11004" t="inlineStr">
        <is>
          <t>ihgi18</t>
        </is>
      </c>
      <c r="B11004" t="inlineStr">
        <is>
          <t>Cancer and Diet – What’s the Connection?</t>
        </is>
      </c>
      <c r="C11004" t="inlineStr">
        <is>
          <t>Know the connection between what you eat and how it can affect your odds of getting cancer and even your health while you undergo cancer treatment. 
Read:  [http://www.drvijayanandreddy.com/cancencer-and-diet](http://www.drvijayanandreddy.com/cancencer-and-diet)</t>
        </is>
      </c>
      <c r="D11004" t="n">
        <v>1</v>
      </c>
      <c r="E11004" t="n">
        <v>0</v>
      </c>
      <c r="F11004">
        <f>HYPERLINK("https://www.reddit.com/r/cancer/comments/ihgi18/cancer_and_diet_whats_the_connection/")</f>
        <v/>
      </c>
      <c r="G11004" t="inlineStr">
        <is>
          <t>2020-08-27 00:12:30</t>
        </is>
      </c>
      <c r="H11004" t="inlineStr"/>
    </row>
    <row r="11005">
      <c r="A11005" t="inlineStr">
        <is>
          <t>ihgypz</t>
        </is>
      </c>
      <c r="B11005" t="inlineStr">
        <is>
          <t>My friend has cancer</t>
        </is>
      </c>
      <c r="C11005" t="inlineStr">
        <is>
          <t>She's older than me. She just told us that she has 3rd ovarian cancer and that she has stopped the treatment and has no health insurance 
Isn't there something I can do? 
How can I help her and how do I help her</t>
        </is>
      </c>
      <c r="D11005" t="n">
        <v>1</v>
      </c>
      <c r="E11005" t="n">
        <v>5</v>
      </c>
      <c r="F11005">
        <f>HYPERLINK("https://www.reddit.com/r/cancer/comments/ihgypz/my_friend_has_cancer/")</f>
        <v/>
      </c>
      <c r="G11005" t="inlineStr">
        <is>
          <t>2020-08-27 00:54:23</t>
        </is>
      </c>
      <c r="H11005" t="inlineStr"/>
    </row>
    <row r="11006">
      <c r="A11006" t="inlineStr">
        <is>
          <t>ihindy</t>
        </is>
      </c>
      <c r="B11006" t="inlineStr">
        <is>
          <t>Just got a preliminary diagnosis</t>
        </is>
      </c>
      <c r="C11006" t="inlineStr">
        <is>
          <t>Hello,  I just received this week news of a malignant tumor.  Needless to say it has been a rough couple of weeks.  I don't have the final pathology back but I definitely have a malignancy.  
The hardest part for me right now is that I live alone.  I am mid-40s and single and have always been very independent.  I have only told my immediate family about this so far.  The stress I have right now is that I live in a smallish city and am considering moving to be closer to family for treatment.  Unfortunately none of my family have housing situations where I would feel comfortable staying for long-term treatment (No big peaceful farm compound).  Everyone wants to drop everything and come to my town to offer support and with COVID I do not at all want them to risk exposure.  There is a part of me that just wants to be alone to process it all right now, and to just reach out to family via phone or Zoom when I have days I feel like talking about it.  Is that normal?  I just want to remain alone right now. My mother so wants to help but she is mid-70s with her own health issues to deal with.  
My biggest fear is how much independence can I maintain during treatment: Things like driving to appointments, cooking, cleaning, etc... ?  I have looked into things like Meals on Wheels and in home nurse, which seem to be available in my community.  The good thing about where I am is my local hospital is part of the greater Seattle Cancer Care Alliance so I believe I can get that same care here, without having to go to Seattle for most of it.  At this point I don't know what my treatment is going to be, but I am pretty sure I am facing a pretty major surgery (that I will have to travel to Seattle for) and then radiation/chemo is my guess. The loss of independent ability to live through all of this is my biggest fear and probably would be the driver of me going through the stress of trying to move right now out of my city and figure out how to make that work nearer to family.  
I am scared and just wanted to reach out to start getting some support. I am going to look for support groups at my hospital too. I have an appt with oncology and social worker next week so I hope to have some more to work with.  And on top of all of this, I cannot believe it is happening during the pandemic....Life</t>
        </is>
      </c>
      <c r="D11006" t="n">
        <v>1</v>
      </c>
      <c r="E11006" t="n">
        <v>14</v>
      </c>
      <c r="F11006">
        <f>HYPERLINK("https://www.reddit.com/r/cancer/comments/ihindy/just_got_a_preliminary_diagnosis/")</f>
        <v/>
      </c>
      <c r="G11006" t="inlineStr">
        <is>
          <t>2020-08-27 03:33:05</t>
        </is>
      </c>
      <c r="H11006" t="inlineStr"/>
    </row>
    <row r="11007">
      <c r="A11007" t="inlineStr">
        <is>
          <t>ihk1i6</t>
        </is>
      </c>
      <c r="B11007" t="inlineStr">
        <is>
          <t>I need advice</t>
        </is>
      </c>
      <c r="C11007" t="inlineStr">
        <is>
          <t>Ok so im a 40m with alot of medical problems. My question is ive been tired losing weight and sleeping and i have a pretty large lump under my right rib cage. Any idea what all this means?</t>
        </is>
      </c>
      <c r="D11007" t="n">
        <v>1</v>
      </c>
      <c r="E11007" t="n">
        <v>6</v>
      </c>
      <c r="F11007">
        <f>HYPERLINK("https://www.reddit.com/r/cancer/comments/ihk1i6/i_need_advice/")</f>
        <v/>
      </c>
      <c r="G11007" t="inlineStr">
        <is>
          <t>2020-08-27 05:22:37</t>
        </is>
      </c>
      <c r="H11007" t="inlineStr"/>
    </row>
    <row r="11008">
      <c r="A11008" t="inlineStr">
        <is>
          <t>ihlh80</t>
        </is>
      </c>
      <c r="B11008" t="inlineStr">
        <is>
          <t>My dad passed</t>
        </is>
      </c>
      <c r="C11008" t="inlineStr">
        <is>
          <t>After 15 long months fighting stage 4 esophagus cancer, he finally succumbed last week. I thought I was ready, but turns out you can never be ready. I miss him. 
I don't know when the pain will pass. I miss him.</t>
        </is>
      </c>
      <c r="D11008" t="n">
        <v>1</v>
      </c>
      <c r="E11008" t="n">
        <v>27</v>
      </c>
      <c r="F11008">
        <f>HYPERLINK("https://www.reddit.com/r/cancer/comments/ihlh80/my_dad_passed/")</f>
        <v/>
      </c>
      <c r="G11008" t="inlineStr">
        <is>
          <t>2020-08-27 06:57:04</t>
        </is>
      </c>
      <c r="H11008" t="inlineStr"/>
    </row>
    <row r="11009">
      <c r="A11009" t="inlineStr">
        <is>
          <t>ihpu59</t>
        </is>
      </c>
      <c r="B11009" t="inlineStr">
        <is>
          <t>Hurting For My Dad</t>
        </is>
      </c>
      <c r="C11009" t="inlineStr">
        <is>
          <t>Dad got the call after radiation today. Had to go back to the hospital and was told he has less than three months. He was diagnosed in June for a spot on his lung. He finished chemo and radiation which worked on the spot but then started having back pain. Thought it was a bulging disc found out a week later the cancer spread to his spine and liver. 
My dad is in so much pain but I have no idea what my sisters, mom, and I will do without him. I have no idea what my dad is thinking. I feel so bad for him. I'm so worried I'll forget his voice or scent. My heart is broken and nothings seems worth it. I can't picture life without him. My parents are really my best friends. I'm thinking back to all of our outings last fall and I just never thought that'd be the last time I'd see them dance together.</t>
        </is>
      </c>
      <c r="D11009" t="n">
        <v>1</v>
      </c>
      <c r="E11009" t="n">
        <v>5</v>
      </c>
      <c r="F11009">
        <f>HYPERLINK("https://www.reddit.com/r/cancer/comments/ihpu59/hurting_for_my_dad/")</f>
        <v/>
      </c>
      <c r="G11009" t="inlineStr">
        <is>
          <t>2020-08-27 10:53:44</t>
        </is>
      </c>
      <c r="H11009" t="inlineStr"/>
    </row>
    <row r="11010">
      <c r="A11010" t="inlineStr">
        <is>
          <t>ihqb1k</t>
        </is>
      </c>
      <c r="B11010" t="inlineStr">
        <is>
          <t>How to get uncle to go for further treatments?</t>
        </is>
      </c>
      <c r="C11010" t="inlineStr">
        <is>
          <t>My uncle has an incurable form of cancer (mycosis fungoides). He has tried many chemo regimes over the years with the last one being Romidepsin. This last one has severe side effects on him - could not eat, nausea and as a result he can no longer walk, bathe, eat or brush teeth by himself (extremely weak).
The doctors have encouraged him to try Keytruda but he said he is no longer interested. The doctor told me to have a word with him when he is more calm and maybe things can happen from there.
I am his part time caregiver.
Anything I should know or prepare prior to having this conversation with him? Or how should I approach the topic?
Thks.</t>
        </is>
      </c>
      <c r="D11010" t="n">
        <v>1</v>
      </c>
      <c r="E11010" t="n">
        <v>7</v>
      </c>
      <c r="F11010">
        <f>HYPERLINK("https://www.reddit.com/r/cancer/comments/ihqb1k/how_to_get_uncle_to_go_for_further_treatments/")</f>
        <v/>
      </c>
      <c r="G11010" t="inlineStr">
        <is>
          <t>2020-08-27 11:17:43</t>
        </is>
      </c>
      <c r="H11010" t="inlineStr"/>
    </row>
    <row r="11011">
      <c r="A11011" t="inlineStr">
        <is>
          <t>ihqz2a</t>
        </is>
      </c>
      <c r="B11011" t="inlineStr">
        <is>
          <t>Need IMMEDIATE HELP please!!!</t>
        </is>
      </c>
      <c r="C11011" t="inlineStr">
        <is>
          <t>First I’m sorry if I’m posting in the wrong place! If so please tell me where to go.
My nephew is 10 years old he lives in El Salvador where the healthcare system just sucks. He was diagnosed with cancer in his knee Osteosarcoma today and we’ve been told they have to amputate his from knee down to prevent spreading of the cancer. I’ve contacted St Judes and they won’t accept new patients right now due to COVID I live in NY and don’t even know where to start looking. They have contacted the US Embassy over at El Salvador and will be given an appointment to obtain a medical emergency visa to travel to the US. So please! Someone help me tell me where can I bring this child keep in mind he is not a US Citizen doesn’t have health insurance, so I’m hoping there is a place like St Judes where he can be treated and his leg can be saved. I really appreciate it.</t>
        </is>
      </c>
      <c r="D11011" t="n">
        <v>1</v>
      </c>
      <c r="E11011" t="n">
        <v>0</v>
      </c>
      <c r="F11011">
        <f>HYPERLINK("https://www.reddit.com/r/cancer/comments/ihqz2a/need_immediate_help_please/")</f>
        <v/>
      </c>
      <c r="G11011" t="inlineStr">
        <is>
          <t>2020-08-27 11:52:17</t>
        </is>
      </c>
      <c r="H11011" t="inlineStr">
        <is>
          <t xml:space="preserve">Patient </t>
        </is>
      </c>
    </row>
    <row r="11012">
      <c r="A11012" t="inlineStr">
        <is>
          <t>ihrtiz</t>
        </is>
      </c>
      <c r="B11012" t="inlineStr">
        <is>
          <t>Experience with PRP post treatment?</t>
        </is>
      </c>
      <c r="C11012" t="inlineStr">
        <is>
          <t>Hello,
I am a 19 year old male, 1 year and a few months off of VDC/IE Chemo for Ewing’s Sarcoma. My hair is very thin and a different color even so far removed from treatment. The hair all over my body is also thinner. I recently went to a dermatologist and she believes that my hair recovery is just very prolonged, and she is requesting that I get labs done to see if i have any vitamin deficiencies. She said there is also the option of PRP, but she said it’s extremely costly and she does not know if it will help my situation, but it is possible. Here i am, asking if any of you have any success with PRP. It is extremely expensive, but my hair is very important to me. Thanks</t>
        </is>
      </c>
      <c r="D11012" t="n">
        <v>1</v>
      </c>
      <c r="E11012" t="n">
        <v>3</v>
      </c>
      <c r="F11012">
        <f>HYPERLINK("https://www.reddit.com/r/cancer/comments/ihrtiz/experience_with_prp_post_treatment/")</f>
        <v/>
      </c>
      <c r="G11012" t="inlineStr">
        <is>
          <t>2020-08-27 12:34:05</t>
        </is>
      </c>
      <c r="H11012" t="inlineStr"/>
    </row>
    <row r="11013">
      <c r="A11013" t="inlineStr">
        <is>
          <t>ihrtzm</t>
        </is>
      </c>
      <c r="B11013" t="inlineStr">
        <is>
          <t>My mom just beat breast cancer</t>
        </is>
      </c>
      <c r="C11013" t="inlineStr">
        <is>
          <t>My mom was diagnosed with breast cancer in February of this year and after several months of chemo, finally got the results that there's no trace of the disease in her body. This has been weighing heavily on me ever since I found out, especially because of COVID, and I couldn't be happier that she is now cancer free. Her doctor caught it early so we were lucky, but it could have been a very different outcome. I'm wondering what I can do to help her celebrate beating cancer. Should I get her flowers and a card maybe? Would appreciate any suggestions!</t>
        </is>
      </c>
      <c r="D11013" t="n">
        <v>1</v>
      </c>
      <c r="E11013" t="n">
        <v>15</v>
      </c>
      <c r="F11013">
        <f>HYPERLINK("https://www.reddit.com/r/cancer/comments/ihrtzm/my_mom_just_beat_breast_cancer/")</f>
        <v/>
      </c>
      <c r="G11013" t="inlineStr">
        <is>
          <t>2020-08-27 12:34:43</t>
        </is>
      </c>
      <c r="H11013" t="inlineStr"/>
    </row>
    <row r="11014">
      <c r="A11014" t="inlineStr">
        <is>
          <t>ihw6ju</t>
        </is>
      </c>
      <c r="B11014" t="inlineStr">
        <is>
          <t>Question: Stage 4 cancer of the spine</t>
        </is>
      </c>
      <c r="C11014" t="inlineStr">
        <is>
          <t>A family member of mine was just diagnosed with stage 4 spinal cancer, and there seems to be very little information on this specific sort. Does anyone know where I can learn more about this?
I’m particularly looking for complications, treatment and life expectancy. Thank you for your time</t>
        </is>
      </c>
      <c r="D11014" t="n">
        <v>1</v>
      </c>
      <c r="E11014" t="n">
        <v>4</v>
      </c>
      <c r="F11014">
        <f>HYPERLINK("https://www.reddit.com/r/cancer/comments/ihw6ju/question_stage_4_cancer_of_the_spine/")</f>
        <v/>
      </c>
      <c r="G11014" t="inlineStr">
        <is>
          <t>2020-08-27 16:35:19</t>
        </is>
      </c>
      <c r="H11014" t="inlineStr"/>
    </row>
    <row r="11015">
      <c r="A11015" t="inlineStr">
        <is>
          <t>ihyhsq</t>
        </is>
      </c>
      <c r="B11015" t="inlineStr">
        <is>
          <t>It’s been a rough week</t>
        </is>
      </c>
      <c r="C11015" t="inlineStr">
        <is>
          <t>My biopsy results indicated my cancer is back after I dreamt about it being back earlier this month. That’s a little weird, although, I was also having stress dreams and night sweats that entire week.
The prolonged night sweats made me suspicious and worried. I even reached out to a friend wondering if I should move up my scan, but it was within a few weeks of that anyway. 
I feel so defeated and I keep talking the ears off one of my friends who’s nice enough to hear me out and let me rant. I feel guilty for doing it though and try to change the subject when I realize what I’m doing. We go to the gym together and that helps me deal. 
I want to be able to talk to my parents about this and let them care for me, but they keep steering the conversation to how they’re not handling this well. My dad even told me “I think I’ve already lost 5 pounds just sitting here”. How the fuck do they think I’m handling it? 
My mom starts going on about “I should’ve spent more time with you. I should’ve visited you in college. I tried to let you be your own person”. I think my stepmom is the only parent who hasn’t done this. Maybe I should just call her more often. 
I’m tired, sad, angry, and scared to name a few. I’m not looking forward to going through another surgery. Another hospital stay. Another leave from work. Another grueling recovery.
I knew the recurrence rates for my type were bad, but I hoped it wouldn’t come back this soon. 
Thanks for coming to my ted talk.</t>
        </is>
      </c>
      <c r="D11015" t="n">
        <v>1</v>
      </c>
      <c r="E11015" t="n">
        <v>4</v>
      </c>
      <c r="F11015">
        <f>HYPERLINK("https://www.reddit.com/r/cancer/comments/ihyhsq/its_been_a_rough_week/")</f>
        <v/>
      </c>
      <c r="G11015" t="inlineStr">
        <is>
          <t>2020-08-27 19:04:20</t>
        </is>
      </c>
      <c r="H11015" t="inlineStr">
        <is>
          <t xml:space="preserve">Patient </t>
        </is>
      </c>
    </row>
    <row r="11016">
      <c r="A11016" t="inlineStr">
        <is>
          <t>ii1mlb</t>
        </is>
      </c>
      <c r="B11016" t="inlineStr">
        <is>
          <t>Sister has Glioblastoma - End of Life</t>
        </is>
      </c>
      <c r="C11016" t="inlineStr">
        <is>
          <t>My 40 year old sister is in the end stage of glioblastoma. She is a strong, optimistic women and actually has been fighting it, with long stretches of being cancer free, for 8 years now. About 4 weeks ago she stopped have feeling in her legs. Two weeks ago she lost feeling from her neck down. She is in pain now. The doctors say there is no more treatment available and it's now about quality of life. I am really struggling and just was hoping to speak to others about this stage. How long does this stage last? How much time does she likely have left? How can I comfort her and my brother in law? Why is this so awful? I had never experienced true sorrow before I heard the news that this is the end and there is no hope. Hug your loved ones.</t>
        </is>
      </c>
      <c r="D11016" t="n">
        <v>1</v>
      </c>
      <c r="E11016" t="n">
        <v>14</v>
      </c>
      <c r="F11016">
        <f>HYPERLINK("https://www.reddit.com/r/cancer/comments/ii1mlb/sister_has_glioblastoma_end_of_life/")</f>
        <v/>
      </c>
      <c r="G11016" t="inlineStr">
        <is>
          <t>2020-08-27 22:54:06</t>
        </is>
      </c>
      <c r="H11016" t="inlineStr"/>
    </row>
    <row r="11017">
      <c r="A11017" t="inlineStr">
        <is>
          <t>ii2nzv</t>
        </is>
      </c>
      <c r="B11017" t="inlineStr">
        <is>
          <t>Biopsy site started flat and is growing</t>
        </is>
      </c>
      <c r="C11017" t="inlineStr">
        <is>
          <t>This is all very new to me so I apologise if I am in the wrong area, if I am please just point me in the right direction.
My Dad, 50, started out having an unusual growth just below his breast on his chest - looked like a pimple or cystic acne getting ready to come to a head. Eventually it got to the point where we were all concerned and after a dermatogolost visit we found out he has stage 4 adenocarcinoma, 15 centimeter mass on the kidney, spots on the lungs and lymph node.
At the dermatologist they did a biopsy of the pimple looking red bump on the skin. It wasn't big at all, more or less pea sized.
Now about four weeks later while we are waiting on insurance - the site where they did the biopsy at the dermatologist is just absolutely huge. What I'm assuming is the cancerous tumor has grown to be the size of a big pink eraser or a hot wheels car. It's protruding from the skin and is causing him pain.
**My question is:** has anybody has experience with this? Or more importantly, does anybody have advice on how to ease the pain or to care for something like this?
We seen a urologist for the kidney mass about two weeks ago, he wasn't concerned about the skin/breast tumor and was very worried about doing surgery for the kidney. Another televisit doctor suggested immunotherapy for the spots on all the chest and lungs. The only biopsy done so far was the dermatologist and that came back with Claudin 4 and Pax-8 being positive. I don't even know what that all means but that's basically all I have to report. I just wish I could offer him something better that neosporin and gauze.</t>
        </is>
      </c>
      <c r="D11017" t="n">
        <v>1</v>
      </c>
      <c r="E11017" t="n">
        <v>3</v>
      </c>
      <c r="F11017">
        <f>HYPERLINK("https://www.reddit.com/r/cancer/comments/ii2nzv/biopsy_site_started_flat_and_is_growing/")</f>
        <v/>
      </c>
      <c r="G11017" t="inlineStr">
        <is>
          <t>2020-08-28 00:22:22</t>
        </is>
      </c>
      <c r="H11017" t="inlineStr"/>
    </row>
    <row r="11018">
      <c r="A11018" t="inlineStr">
        <is>
          <t>ii7iuz</t>
        </is>
      </c>
      <c r="B11018" t="inlineStr">
        <is>
          <t>Stage 4-Grade A1 high grade serous carcinoma</t>
        </is>
      </c>
      <c r="C11018" t="inlineStr">
        <is>
          <t>My mother who is 77 is healing from her hysterectomy. She lives with me and i am her primary caregiver and we have a very close relationship. A biopsy showed high grade serious carcinoma in the uterus. Pathology reports stated that lymph nodes were negative for malignant cells, as was the omentum, and essentially anywhere else other than the spot on the uterus. Her C-125 score was 29. The doctor explained that the cancer was in a polyp in the uterine wall where the biopsy was performed. 
They are suggesting to do 6 round of chemo and vaginal radiation. Mom is in good health otherwise. She does have psoriatic rheumatoid arthritis, is pre-diabetic, high blood pressure, and high cholesterol. 
Mom is leaning on not having treatment. (I will support whatever decision she makes.) The doctor said because of how aggressive this cancer is, treatment needs to be equally as aggressive. As with anything in medicine, she could not guarantee this would “cure” the cancer but made it sound like no matter if it’s done now or not, this is going to aggressively come back into her abdomen, and at that point, they can only treat it and not prevent it. 
I’m having a hard time finding anything on the internet why someone would go through treatment, especially with COVID around, with her pathology results. When I asked the doctor this question, she stated the treatment was essentially an insurance plan with no guarantee. The one thing I did find (https://www.ncbi.nlm.nih.gov/pmc/articles/PMC6267614/) essentially supports my line of thinking that “Many studies have reported significant toxicity rates in an attempt to treat stage IA patients aggressively with chemotherapy and radiotherapy”  
So let me get this straight, we’re going to poison you in the hopes this doesn’t come back and going to put you through chemo with all the risks? Even though every study we’ve done leans towards this type of cancer has low survival rates anyway? Am I missing something? 
I feel like my head is spinning and I can’t process any of this information. Mom is having a great attitude with this - mainly “I’m 77 years old, I don’t want my last years to be miserable if this is going to come back anyway.” Mom requested that we find a second opinion doctor but I’m sure they’ll be saying the same thing. 
I was just wondering if anyone has any experience with this type of cancer as far as if treatment was worth it.</t>
        </is>
      </c>
      <c r="D11018" t="n">
        <v>1</v>
      </c>
      <c r="E11018" t="n">
        <v>6</v>
      </c>
      <c r="F11018">
        <f>HYPERLINK("https://www.reddit.com/r/cancer/comments/ii7iuz/stage_4grade_a1_high_grade_serous_carcinoma/")</f>
        <v/>
      </c>
      <c r="G11018" t="inlineStr">
        <is>
          <t>2020-08-28 07:00:06</t>
        </is>
      </c>
      <c r="H11018" t="inlineStr"/>
    </row>
    <row r="11019">
      <c r="A11019" t="inlineStr">
        <is>
          <t>ii8enl</t>
        </is>
      </c>
      <c r="B11019" t="inlineStr">
        <is>
          <t>HELP ME</t>
        </is>
      </c>
      <c r="C11019" t="inlineStr">
        <is>
          <t>I just noticed a tiny hard lump on roof of my mouth(hard pallate) , the area around it feels rough,what to do? Is it alarming for cancer? 
(I've been smoking for a year and I'm a light smoker )</t>
        </is>
      </c>
      <c r="D11019" t="n">
        <v>1</v>
      </c>
      <c r="E11019" t="n">
        <v>1</v>
      </c>
      <c r="F11019">
        <f>HYPERLINK("https://www.reddit.com/r/cancer/comments/ii8enl/help_me/")</f>
        <v/>
      </c>
      <c r="G11019" t="inlineStr">
        <is>
          <t>2020-08-28 07:49:37</t>
        </is>
      </c>
      <c r="H11019" t="inlineStr"/>
    </row>
    <row r="11020">
      <c r="A11020" t="inlineStr">
        <is>
          <t>ii8jca</t>
        </is>
      </c>
      <c r="B11020" t="inlineStr">
        <is>
          <t>What am I supposed to do after my grandma asked for assisted suicide while fighting leukemia untreated?</t>
        </is>
      </c>
      <c r="C11020" t="inlineStr">
        <is>
          <t>I love my grandmother dearly. She lived under the same roof as me and raised me for 21 years. Two weeks ago, she was diagnosed with acute myeloid leukemia but was not given any sort of treatment. She's 84 years old. She was too weak for chemotherapy. She's now fighting AML untreated which is undoubtedly very painful and torturous. She's been in hospice for a week now. Yesterday night, she asked my father to look into assisted suicide. 
I'm just her granddaughter. There's not much I could do. I'm just very shocked about her request. I don't know how to act or what to do.</t>
        </is>
      </c>
      <c r="D11020" t="n">
        <v>1</v>
      </c>
      <c r="E11020" t="n">
        <v>12</v>
      </c>
      <c r="F11020">
        <f>HYPERLINK("https://www.reddit.com/r/cancer/comments/ii8jca/what_am_i_supposed_to_do_after_my_grandma_asked/")</f>
        <v/>
      </c>
      <c r="G11020" t="inlineStr">
        <is>
          <t>2020-08-28 07:57:03</t>
        </is>
      </c>
      <c r="H11020" t="inlineStr"/>
    </row>
    <row r="11021">
      <c r="A11021" t="inlineStr">
        <is>
          <t>ii9e2r</t>
        </is>
      </c>
      <c r="B11021" t="inlineStr">
        <is>
          <t>How long until i should worry. Im scared im going to die</t>
        </is>
      </c>
      <c r="C11021" t="inlineStr">
        <is>
          <t>Im worried about having cancer in my left breast. I have been having non stop pain there for almost a week now, it will be a week tomorrow. My boyfriend says im fine and an just freaking out, but this is a pain I have never felt before. Its a very odd pain and it radiates to my armpit and down my arm as well as up my neck. 
I have had a low appetite for the past few days, i rarely feel hungry but i eat because i need to, but i dont ever feel like doing it. I dont have any changes to my breast other than the pain i think this breast is a little swollen and my armpit swollen as well. I thought this was pms pain, but that pain has come and gone and this is still here 5 days later. 
Im out of state and none of the doctors in this state accept my insurance plan so i would need to get a flight back home very soon in order to visit a doctor that isn't an emergency room, and i dont think i need one of those.</t>
        </is>
      </c>
      <c r="D11021" t="n">
        <v>1</v>
      </c>
      <c r="E11021" t="n">
        <v>6</v>
      </c>
      <c r="F11021">
        <f>HYPERLINK("https://www.reddit.com/r/cancer/comments/ii9e2r/how_long_until_i_should_worry_im_scared_im_going/")</f>
        <v/>
      </c>
      <c r="G11021" t="inlineStr">
        <is>
          <t>2020-08-28 08:42:46</t>
        </is>
      </c>
      <c r="H11021" t="inlineStr"/>
    </row>
    <row r="11022">
      <c r="A11022" t="inlineStr">
        <is>
          <t>iib4j8</t>
        </is>
      </c>
      <c r="B11022" t="inlineStr">
        <is>
          <t>FLOT nausea help</t>
        </is>
      </c>
      <c r="C11022" t="inlineStr">
        <is>
          <t>Not sure if anyone else had really bad nausea from FLOT chemo, but this is my (f/27) bf's (m/29) first round of it (second round of chemo in general) and last night was really hard. They've given Zofrane and Compazine to take for the nausea and I've given him ginger and peppermint water to sip on. Any other tips to help? His main focus today is retaining fluids so I've prepared protein shakes and a blended vegetable soup. Also homemade sourdough to dunk into chicken broth. Any help would be appreciated!</t>
        </is>
      </c>
      <c r="D11022" t="n">
        <v>1</v>
      </c>
      <c r="E11022" t="n">
        <v>12</v>
      </c>
      <c r="F11022">
        <f>HYPERLINK("https://www.reddit.com/r/cancer/comments/iib4j8/flot_nausea_help/")</f>
        <v/>
      </c>
      <c r="G11022" t="inlineStr">
        <is>
          <t>2020-08-28 10:13:41</t>
        </is>
      </c>
      <c r="H11022" t="inlineStr"/>
    </row>
    <row r="11023">
      <c r="A11023" t="inlineStr">
        <is>
          <t>iicavv</t>
        </is>
      </c>
      <c r="B11023" t="inlineStr">
        <is>
          <t>the aftermath of cancer?</t>
        </is>
      </c>
      <c r="C11023" t="inlineStr">
        <is>
          <t>hello all,
My dad has stage 4 Nsclc, he was wheezing for years before he was diagnosed. since then the wheezing have gotten worse but he tells me he isn't tired and that it's just noises. his tumor has shrunk 3/4 of the size and he is still on keytruda until further notice
My question is, will his breathing ever return to pre diagnosed or have the cancer damaged the lungs and so the wheezing will stay, even though the cancer mass has shrunk so much?</t>
        </is>
      </c>
      <c r="D11023" t="n">
        <v>1</v>
      </c>
      <c r="E11023" t="n">
        <v>1</v>
      </c>
      <c r="F11023">
        <f>HYPERLINK("https://www.reddit.com/r/cancer/comments/iicavv/the_aftermath_of_cancer/")</f>
        <v/>
      </c>
      <c r="G11023" t="inlineStr">
        <is>
          <t>2020-08-28 11:14:12</t>
        </is>
      </c>
      <c r="H11023" t="inlineStr"/>
    </row>
    <row r="11024">
      <c r="A11024" t="inlineStr">
        <is>
          <t>iichp5</t>
        </is>
      </c>
      <c r="B11024" t="inlineStr">
        <is>
          <t>Immunotherapy?</t>
        </is>
      </c>
      <c r="C11024" t="inlineStr">
        <is>
          <t>My mom has been battling ovarian cancer for the past year. She had success with Carbo/Taxil combo but had the cancer come back 2 months later. She was started on Doxil and Avastin but now we’re being told that the growing tumors are the cause of her partial small bowel obstruction. They’re recommendation is a PEG tube placement because she can not tolerate food and immunotherapy. Does anyone have any experience with that? We’ve been debating seeking a second opinion but we’ve like her doctor. Just a little apprehensive about the next step. She’s declined so much in the past month and we’re feeling a little hopeless.</t>
        </is>
      </c>
      <c r="D11024" t="n">
        <v>1</v>
      </c>
      <c r="E11024" t="n">
        <v>5</v>
      </c>
      <c r="F11024">
        <f>HYPERLINK("https://www.reddit.com/r/cancer/comments/iichp5/immunotherapy/")</f>
        <v/>
      </c>
      <c r="G11024" t="inlineStr">
        <is>
          <t>2020-08-28 11:23:57</t>
        </is>
      </c>
      <c r="H11024" t="inlineStr"/>
    </row>
    <row r="11025">
      <c r="A11025" t="inlineStr">
        <is>
          <t>iifvb6</t>
        </is>
      </c>
      <c r="B11025" t="inlineStr">
        <is>
          <t>stage IV liver cancer</t>
        </is>
      </c>
      <c r="C11025" t="inlineStr">
        <is>
          <t>my husband has liver cancer....he was diagnosed in June and started chemo june 15..he has lost too much weight and is also losing hope..he has days when he can eat fairly enough and days like today he had a little pudding..i don't know what to do to help him gain weight...
the problem is that most food he can't stomach,and it makes him sick..he takes meds for the nausea,but still most food tastes terrible to him,any suggestions on what i can do?
also would appreciate anyone who has the same condition to tell me what they are experincing....</t>
        </is>
      </c>
      <c r="D11025" t="n">
        <v>1</v>
      </c>
      <c r="E11025" t="n">
        <v>40</v>
      </c>
      <c r="F11025">
        <f>HYPERLINK("https://www.reddit.com/r/cancer/comments/iifvb6/stage_iv_liver_cancer/")</f>
        <v/>
      </c>
      <c r="G11025" t="inlineStr">
        <is>
          <t>2020-08-28 14:23:33</t>
        </is>
      </c>
      <c r="H11025" t="inlineStr"/>
    </row>
    <row r="11026">
      <c r="A11026" t="inlineStr">
        <is>
          <t>iiig6b</t>
        </is>
      </c>
      <c r="B11026" t="inlineStr">
        <is>
          <t>Question on a feeling of "rushing through feet"</t>
        </is>
      </c>
      <c r="C11026" t="inlineStr">
        <is>
          <t>I am asking this question for my boyfriend who has cancer and has been going through chemo. About 4 rounds in he started getting this symptom where when he moves his head down quickly (like a nod down) he feels a rush through his feet. He says it's not numbness or painful but it really bothers him. When he asked his doctor about it the doctor didn't have much to say except "keep an eye on it." Super helpful... I know it doesn't sound that bad but it really bothers him and we're wondering if anyone has experienced this and if so, is it permanent? 
I myself have neuropathy so I know what that feels like and it's not affected by movements like that so I can't say for sure if that's what it is. He also takes gabapentin so if it was neuropathy I think it would lessen when he's on it but he says it's always there.
Thank you in advance for the feedback. Love you all.</t>
        </is>
      </c>
      <c r="D11026" t="n">
        <v>1</v>
      </c>
      <c r="E11026" t="n">
        <v>11</v>
      </c>
      <c r="F11026">
        <f>HYPERLINK("https://www.reddit.com/r/cancer/comments/iiig6b/question_on_a_feeling_of_rushing_through_feet/")</f>
        <v/>
      </c>
      <c r="G11026" t="inlineStr">
        <is>
          <t>2020-08-28 16:56:55</t>
        </is>
      </c>
      <c r="H11026" t="inlineStr"/>
    </row>
    <row r="11027">
      <c r="A11027" t="inlineStr">
        <is>
          <t>iikne3</t>
        </is>
      </c>
      <c r="B11027" t="inlineStr">
        <is>
          <t>When I get cancer, I'm standing down. Here's why.</t>
        </is>
      </c>
      <c r="C11027" t="inlineStr">
        <is>
          <t>Right now with cancer there are two options.
1: Spend lord knows how long undergoing chemo or other treatments with no idea of if they'll work. Oh and I live in the US so I get to end up in debt for what again?
2: Do nothing and peacefully die. Which means not having to deal with the bullshit of life. No money, no work, no hatred, no misfortune. We all die, why spend money and energy to stall the inevitable?
2020 has made me envy the dead. They don't have to worry about pandemics or racism or police shootings or pain or politics or economic struggles. Cancer would provide me an out from all this yet my body fucking hates me and is punishing me with life. I think of my lungs, my pancreas, my colon, my liver, all of my organs and wonder why they are healthy. Why be healthy on a shitty world?
Why live? We all die, why deal with years more of bullshit. Dying people sure are lucky for getting an out. Just ask John Lewis and Chadwick Boseman, they got lucky to get out of life while we all suffer.</t>
        </is>
      </c>
      <c r="D11027" t="n">
        <v>1</v>
      </c>
      <c r="E11027" t="n">
        <v>9</v>
      </c>
      <c r="F11027">
        <f>HYPERLINK("https://www.reddit.com/r/cancer/comments/iikne3/when_i_get_cancer_im_standing_down_heres_why/")</f>
        <v/>
      </c>
      <c r="G11027" t="inlineStr">
        <is>
          <t>2020-08-28 19:27:18</t>
        </is>
      </c>
      <c r="H11027" t="inlineStr"/>
    </row>
    <row r="11028">
      <c r="A11028" t="inlineStr">
        <is>
          <t>iil7dr</t>
        </is>
      </c>
      <c r="B11028" t="inlineStr">
        <is>
          <t>(Question) Breast Cyst into Breast Cancer?</t>
        </is>
      </c>
      <c r="C11028" t="inlineStr">
        <is>
          <t>Hello I hope all is well. I was wondering if anyone who has experience with breast cancer can help answer a question I have. 
Last year my mother was involved in a car collision and the steering wheel  hit her badly in the breast. Since then she has developed 3 bumps on her breast, 2 small ones that don't hurt and 1 larger one that does hurt. She has been consulting doctors and following up but they keep on saying that it isn't a big deal. I don't want this to develop into breast cancer. 
We tragically lost our father to cancer 10 days ago and I don't want to lose my mom either. What do you think I should do? Should we push to opperate and remove the cysts or should we wait it out like the docors said?</t>
        </is>
      </c>
      <c r="D11028" t="n">
        <v>1</v>
      </c>
      <c r="E11028" t="n">
        <v>2</v>
      </c>
      <c r="F11028">
        <f>HYPERLINK("https://www.reddit.com/r/cancer/comments/iil7dr/question_breast_cyst_into_breast_cancer/")</f>
        <v/>
      </c>
      <c r="G11028" t="inlineStr">
        <is>
          <t>2020-08-28 20:05:57</t>
        </is>
      </c>
      <c r="H11028" t="inlineStr"/>
    </row>
    <row r="11029">
      <c r="A11029" t="inlineStr">
        <is>
          <t>iild3b</t>
        </is>
      </c>
      <c r="B11029" t="inlineStr">
        <is>
          <t>Chadwick boseman Colon cancer</t>
        </is>
      </c>
      <c r="C11029" t="inlineStr">
        <is>
          <t>Hey I just wanted to ask if any of you know if chadwick boseman knew when he was going to die , because I always hear of cancer patients given a specific amount of months to live</t>
        </is>
      </c>
      <c r="D11029" t="n">
        <v>1</v>
      </c>
      <c r="E11029" t="n">
        <v>8</v>
      </c>
      <c r="F11029">
        <f>HYPERLINK("https://www.reddit.com/r/cancer/comments/iild3b/chadwick_boseman_colon_cancer/")</f>
        <v/>
      </c>
      <c r="G11029" t="inlineStr">
        <is>
          <t>2020-08-28 20:17:15</t>
        </is>
      </c>
      <c r="H11029" t="inlineStr"/>
    </row>
    <row r="11030">
      <c r="A11030" t="inlineStr">
        <is>
          <t>iild8w</t>
        </is>
      </c>
      <c r="B11030" t="inlineStr">
        <is>
          <t>How do the stages of cancer work?</t>
        </is>
      </c>
      <c r="C11030" t="inlineStr">
        <is>
          <t>I heard of the recent passing of Chadwick boseman and heard he died of cancer. That got me thinking, how do the stages of cancer work exactly? What makes something stage 1 or stage 5?</t>
        </is>
      </c>
      <c r="D11030" t="n">
        <v>1</v>
      </c>
      <c r="E11030" t="n">
        <v>6</v>
      </c>
      <c r="F11030">
        <f>HYPERLINK("https://www.reddit.com/r/cancer/comments/iild8w/how_do_the_stages_of_cancer_work/")</f>
        <v/>
      </c>
      <c r="G11030" t="inlineStr">
        <is>
          <t>2020-08-28 20:17:33</t>
        </is>
      </c>
      <c r="H11030" t="inlineStr"/>
    </row>
    <row r="11031">
      <c r="A11031" t="inlineStr">
        <is>
          <t>iilhkw</t>
        </is>
      </c>
      <c r="B11031" t="inlineStr">
        <is>
          <t>How would I know if I had colon cancer?</t>
        </is>
      </c>
      <c r="C11031" t="inlineStr">
        <is>
          <t>Since people are going to be hyper aware of it now, what are some telltale warning signs? Is it possible to have it and not know?</t>
        </is>
      </c>
      <c r="D11031" t="n">
        <v>1</v>
      </c>
      <c r="E11031" t="n">
        <v>7</v>
      </c>
      <c r="F11031">
        <f>HYPERLINK("https://www.reddit.com/r/cancer/comments/iilhkw/how_would_i_know_if_i_had_colon_cancer/")</f>
        <v/>
      </c>
      <c r="G11031" t="inlineStr">
        <is>
          <t>2020-08-28 20:26:04</t>
        </is>
      </c>
      <c r="H11031" t="inlineStr"/>
    </row>
    <row r="11032">
      <c r="A11032" t="inlineStr">
        <is>
          <t>iiluj8</t>
        </is>
      </c>
      <c r="B11032" t="inlineStr">
        <is>
          <t>Mom is gone and I feel numb</t>
        </is>
      </c>
      <c r="C11032" t="inlineStr">
        <is>
          <t>My mom lost her almost 2 year battle with small cell lung cancer on Monday. It sounds stupid (considering the diagnosis,) but the end seemed really sudden. 
It wasn’t the cancer directly but an infection that turned into sepsis. She was as fine as she had been recently Saturday, Sunday I got to her house and she was on the floor and didn’t remember how she got there and how long she had been there. Sunday got worse and worse and she got less and less coherent. My dad and I called for her to be taken to the hospital. I called my husband to come because I thought Monday we were going to talk about how the treatment she was getting wasn’t working and it was time to talk about hospice. Monday at about 4:30 AM she was gone. 
And I am numb. I’m frustrated because I wish I should have seen better that it was coming. She had gotten worse. I’m also frustrated because my dad didn’t tell me until yesterday her doctor suggested hospice about a month ago and she decided she wanted more chemo. I’m sad because every now and then it hits me that she is gone. But it still doesn’t feel real. I don’t know what to do to make it feel real and I don’t know that I want it to feel real. 
On the other hand I also feel so relieved. I spent the last almost two years constantly terrified of getting the “you need to come home” or the “she’s gone” call. I was there and it was terrible. It wasn’t peaceful. She was in terrible pain and gasping for breath until the the last one. I close my eyes and it is all I can see. 
I feel so guilty for feeling relieved. For not having to worry about that call. 
I guess numb isn’t it. I’m just so worried of what my world looks like once it sets in.</t>
        </is>
      </c>
      <c r="D11032" t="n">
        <v>1</v>
      </c>
      <c r="E11032" t="n">
        <v>6</v>
      </c>
      <c r="F11032">
        <f>HYPERLINK("https://www.reddit.com/r/cancer/comments/iiluj8/mom_is_gone_and_i_feel_numb/")</f>
        <v/>
      </c>
      <c r="G11032" t="inlineStr">
        <is>
          <t>2020-08-28 20:52:34</t>
        </is>
      </c>
      <c r="H11032" t="inlineStr"/>
    </row>
    <row r="11033">
      <c r="A11033" t="inlineStr">
        <is>
          <t>iilxmq</t>
        </is>
      </c>
      <c r="B11033" t="inlineStr">
        <is>
          <t>If you are here because of Chadwick Boseman's tragic death, please read before posting</t>
        </is>
      </c>
      <c r="C11033" t="inlineStr">
        <is>
          <t>I am a cancer patient currently in treatment who frequents this sub regularly. I'm not a mod or anything, but I thought someone should say this. So far I have already seen several posts from people who came here after hearing the news of Chadwick Boseman's tragic and early death. I am just as shocked and upset as everyone else is, given how young he was and the fact that no one knew he was sick. An untimely death from cancer is a very real and present fear for many of us who post here. My heart goes out to his family and loved ones.
I do want to remind the readers and newcomers here that this sub is a support sub for cancer patients, caregivers, and family. We are not able to diagnose anyone. We are all going through, or have been through, significant hardship. Please remember the rules of this forum, and please refrain from posting just regarding news of his death, questions about colon cancer, and asking if you could have cancer, having learned of his death.
Here are a couple of resources you can look at if you are concerned about colon cancer, any cancer, or want to know more. These resources are way more extensive and accurate than what the posters here can offer. Thanks for reading.
[https://www.cancer.org/cancer/colon-rectal-cancer.html](https://www.cancer.org/cancer/colon-rectal-cancer.html)
[https://www.cancer.net/cancer-types/colorectal-cancer](https://www.cancer.net/cancer-types/colorectal-cancer)
[https://www.cancer.gov/about-cancer](https://www.cancer.gov/about-cancer)</t>
        </is>
      </c>
      <c r="D11033" t="n">
        <v>1</v>
      </c>
      <c r="E11033" t="n">
        <v>43</v>
      </c>
      <c r="F11033">
        <f>HYPERLINK("https://www.reddit.com/r/cancer/comments/iilxmq/if_you_are_here_because_of_chadwick_bosemans/")</f>
        <v/>
      </c>
      <c r="G11033" t="inlineStr">
        <is>
          <t>2020-08-28 20:59:08</t>
        </is>
      </c>
      <c r="H11033" t="inlineStr"/>
    </row>
    <row r="11034">
      <c r="A11034" t="inlineStr">
        <is>
          <t>iimd9p</t>
        </is>
      </c>
      <c r="B11034" t="inlineStr">
        <is>
          <t>The Dream</t>
        </is>
      </c>
      <c r="C11034" t="inlineStr">
        <is>
          <t>Former cancer caregiver here.
Do any of you have the dream? The dream where you’re declared cancer free or “oops! It was a false alarm” dream?
My mom passed away a few months ago to stage IV colon cancer. From the minute she was diagnosed, I would day dream about walking into the oncologist’s office and he would say, in his broken Spanish, that my mom was cancer free.
The dream would follow a huge celebratory party with family and my mom and I getting rid of her cancer things. I would dream about her getting clear check ups. It’s been months and I still have that dream.
Sometimes it would be that the ER doctor got the scans confused and my mom just had a really nasty stomach bug. Sometimes it would be my mom’s cancer being stable and being able to live her life semi-normally.
I hope my dreams are a reality for someone else.  
To everyone here, I wish you much love and strength. ❤️</t>
        </is>
      </c>
      <c r="D11034" t="n">
        <v>1</v>
      </c>
      <c r="E11034" t="n">
        <v>5</v>
      </c>
      <c r="F11034">
        <f>HYPERLINK("https://www.reddit.com/r/cancer/comments/iimd9p/the_dream/")</f>
        <v/>
      </c>
      <c r="G11034" t="inlineStr">
        <is>
          <t>2020-08-28 21:32:49</t>
        </is>
      </c>
      <c r="H11034" t="inlineStr"/>
    </row>
    <row r="11035">
      <c r="A11035" t="inlineStr">
        <is>
          <t>iimjk5</t>
        </is>
      </c>
      <c r="B11035" t="inlineStr">
        <is>
          <t>Survivors Guilt</t>
        </is>
      </c>
      <c r="C11035" t="inlineStr">
        <is>
          <t>Anyone have tips on dealing with survivors guilt?  I was first diagnosed with colon cancer 3 years ago at age 28, and although I’m currently NED, I get survivors guilt on and off- especially when hearing of an acquaintance who is diagnosed with cancer (or in this case, the passing of Chadwick Boseman). 
I’ve gotten better about not dwelling on it but the feelings still rush back when I hear of other people who have been diagnosed or lost their battle. Appreciate any advice on coping with this!</t>
        </is>
      </c>
      <c r="D11035" t="n">
        <v>1</v>
      </c>
      <c r="E11035" t="n">
        <v>11</v>
      </c>
      <c r="F11035">
        <f>HYPERLINK("https://www.reddit.com/r/cancer/comments/iimjk5/survivors_guilt/")</f>
        <v/>
      </c>
      <c r="G11035" t="inlineStr">
        <is>
          <t>2020-08-28 21:46:28</t>
        </is>
      </c>
      <c r="H11035" t="inlineStr">
        <is>
          <t xml:space="preserve">Patient </t>
        </is>
      </c>
    </row>
    <row r="11036">
      <c r="A11036" t="inlineStr">
        <is>
          <t>iimnax</t>
        </is>
      </c>
      <c r="B11036" t="inlineStr">
        <is>
          <t>25 years old with stomach cancer?</t>
        </is>
      </c>
      <c r="C11036" t="inlineStr">
        <is>
          <t>I haven't been hungry since March. I'm 24, going to be 25 soon. I'm slim, pretty lightweight (119lbs), my grandfather had stomach cancer.
I know stomach cancer is extremely rare for people my age, but I can't think of any other explanation. My doctor thinks it's a stomach acid issue and has prescribed Omezaprole, but it doesn't help. I feel like I'm losing more weight.
I also know stomach cancer is often diagnosed in it's late stages, and if I do have cancer I want to catch it ASAP. Am I just overthinking? Should I be worried?</t>
        </is>
      </c>
      <c r="D11036" t="n">
        <v>1</v>
      </c>
      <c r="E11036" t="n">
        <v>5</v>
      </c>
      <c r="F11036">
        <f>HYPERLINK("https://www.reddit.com/r/cancer/comments/iimnax/25_years_old_with_stomach_cancer/")</f>
        <v/>
      </c>
      <c r="G11036" t="inlineStr">
        <is>
          <t>2020-08-28 21:54:45</t>
        </is>
      </c>
      <c r="H11036" t="inlineStr">
        <is>
          <t xml:space="preserve">Patient </t>
        </is>
      </c>
    </row>
    <row r="11037">
      <c r="A11037" t="inlineStr">
        <is>
          <t>iimu8l</t>
        </is>
      </c>
      <c r="B11037" t="inlineStr">
        <is>
          <t>What a year..Almost Half way there!</t>
        </is>
      </c>
      <c r="C11037" t="inlineStr">
        <is>
          <t>Bit of a read. Just need to get it out there as it’s been a hard rough week for my husband and myself. As we remember the first week our son was diagnosed. And his year journey. 
Aug 28th 2019 -one year ago- our then 2 year old was officially diagnosed with stage 3 acute T-Cell lymphoblastic lymphoma. It was a rough, rough diagnoses we had been told he had asthma and pneumonia over the month. He awoke the morning aug 27, 2019 coughing. Struggling to breath. I had never seen someone turn blue but yes you really turn blue. While driving to the hospital (2 blocks away- way quicker than calling) he stopped breathing in my arms. We ran him in. They were able to get his pulse back and on a tube. We were transferred to Children’s hospital Milwaukee where they biopsied the mass in his chest- they estimated it to be 5 lbs. We honestly don’t know how our doctors missed such a huge mass on his X-rays..- they thankfully started him on steroids which loves to eat lymphoma right away. The next day -today a year ago- they told us what it was and immediately started chemo. Our world crashed. 
He was intubated for 2 weeks before the mass on his lungs and heart was small enough to be taken off. Weaning him off those drugs was rough. He could barely move and most of his left side was very weak -most likely from the cardiac arrest- his left vocal cord was paralyzed as well and he struggled to learn to talk again and eat so he was on a feeding tube. While doing induction he learned how to whisper and could hold his own weight -but couldn’t walk- he was getting chemo often and steroids everyday. Daunorubicin made his hair fall out. We also struggled with his kidneys, sodium, some protein thing (I don’t remember that one. Albumin levels?) and few other things caused by his cardiac arrest. We thought the worst. He’d never walk right. Never talk.
We were supposed to leave at the end of his PIC line life so he could have his port put in at the hospital he’d be getting chemo -not sure why they were so weird about it- but a fever caused by chemo extended or stay. They had to take his line out as it was 6 cm too far into his heart -huge mass was shrinking causing the line to move- was also possibly causing some odd heart beats which went to normal after it was removed. After 2 days of him being constantly poked cause he had a slight fever and they wanted to culture it every damn time. We told them enough and they had to put the port in if they were going to keep us for a 99.2 temp. He got his port and we finally left Children’s 2 days later in October to continue chemo closer to home. When we all got home and he saw where we were he turned to me and started crying. I will never ever forget his face in that moment. The pure joy and happiness made him well up. 
He started to recover so fast once he was home. He was trying to walk again. Whispers turned into actual talking “yes” and “no”. He wanted to eat more than just pudding. He was thriving. 
He went through some heavy chemo, long nights, and I’m pretty proud -I got real good at catching puke. There was one chemo that he was very much allergic to and caused anaphylactic shock -something else I’ve never seen. You blow up like a ballon and quick. It was bad- we even tried to desensitize him.. unsuccessfully. Thankfully there is a sister drug for peg; however, Erwinaze is super expensive so so so thankful we have insurance. (Little back on it. You need 6 infusions to replace 1 peg treatment. Each erwinaze is $10-20k so like $60-120k each full treatment) and it’s rare/hard to get. We had no issues getting it as where he was in treatment he was high priority BUT when covid came around we didn’t get any. Which a missed treatment made us anxious but what do you do. We’ve been able to get everything else thankfully. 
Days before Halloween we were able to get his feeding tube removed! He struggled eating and especially drinking water. We had a follow up with his ENT vocal specialist and saw his left vocal flap did not close completely but was better than in September. 
In December he had a disease Re-evaluation. The CT scan showed a golf ball sized mass on the edge of his heart but the dye showed little to no blood flow so they believe that it is highly unlikely it is an active tumor anymore! Yay! They told us he had no sign of disease as they felt it was scar tissue that will more than likely never go away. What a relief. 
Not too much has happened in late winter/spring. Delayed intensification was hard on him. He was pale constantly and we hated when he had to get blood as he didn’t smell right. But we kept with the one day at a time for him. His hair had started to grow back and he was so excited. Finally able to talk-ish again and walking better. Unfortunately he had to get Doxorubicin which made his hair fall out again and made him depressed. 
In June 2020 his hair had started coming back in! We were told he doesn’t get daunorubicin or Doxorubicin again so he should keep it!  Just a week before his 3rd birthday he was officially in maintenance. We were given an end date of December 2021! Just days before Christmas. We started daily oral chemo and once a week oral methotrexate. And since the beginning he has to take sulfatrim every weekend. Every 3 months he’ll get a spinal tap of methotrexate instead of every month. A week of nelarabine every two? Or four months. We will continue this until Dec 2021.
He is always on the move now -makes those 60 lbs my husband and I both gained during all of this pretty hard to keep up with him- Being a sassy 3 year old. Doing PT, OT and vocal therapy has helped him improve so much. They believe he’ll always have trouble with his voice -he can’t do high pitches noises unless he turns his head to the left which helps the vocal flap close. And he has fun with making his voice all gravely- There is a possibility during puberty it could fix itself and there’s always surgery if he wishes it when he’s older. But for now we can’t do much until after chemo. 
We are remaining cautiously hopeful as he does have a chance to be cured but there is a high relapse rate. For now. We’re staying with one day at a time. Doing the things we missed out on last year within possibilities -damn you covid!- lots of hiking, berry picking and sooo excited for apple picking. I’m so glad I have a baby carrier -his legs get tired quick and neuropathy is a pain-  what a year it has been. What a horribly wonderful year. We have such a fighter.
Keep fighting everyone.</t>
        </is>
      </c>
      <c r="D11037" t="n">
        <v>1</v>
      </c>
      <c r="E11037" t="n">
        <v>2</v>
      </c>
      <c r="F11037">
        <f>HYPERLINK("https://www.reddit.com/r/cancer/comments/iimu8l/what_a_yearalmost_half_way_there/")</f>
        <v/>
      </c>
      <c r="G11037" t="inlineStr">
        <is>
          <t>2020-08-28 22:10:45</t>
        </is>
      </c>
      <c r="H11037" t="inlineStr"/>
    </row>
    <row r="11038">
      <c r="A11038" t="inlineStr">
        <is>
          <t>iinwwx</t>
        </is>
      </c>
      <c r="B11038" t="inlineStr">
        <is>
          <t>I don’t know where to go from here</t>
        </is>
      </c>
      <c r="C11038" t="inlineStr">
        <is>
          <t>Just a few months ago my fiancé suffered a head injury and was given a cat scan where they found a tumor in her brain. They went through the normal procedures of sending her to a neurologist and scheduled a biopsy and whatnot. Just last month we got the news that it was indeed cancer and due to the location, it was inoperable as it would most likely kill her during surgery and was given 12-18 months to live. Jumping to 2 days ago, she had a follow up scan and they discovered that it has become extremely aggressive and is rapidly spreading and her prognosis is now 5-6 months. Treating it with aggressive radiation and chemo could possibly gain her another month if we are lucky. I love her with all of my heart and soul and I respect her decisions regarding everything and I support her unconditionally. She has decided to not do the treatment and just take every day as it comes and make the most of the time she has left and make as many memories for her son as she can. The last time that I’ve dealt with the loss of anyone that I care about was when my father passed when I was 3. Since then, I have never shown emotion. I don’t show pain (physical or emotional), I don’t show happiness, I just don’t show any emotion. I’m always, for lack of a better word, stoic. Even after hearing the news, at least when I’m around anyone (especially her), I remain stoic. However, the moment that I’m alone, I break down and cry like a baby. I haven’t cried since my father passed and that was over 30 years ago. I feel so lost. I’m constantly in a fog. I’m frustrated. I’m angry. I’m devastated. I have so many emotions that I’ve never felt and I just don’t know how to handle them. I’m about to lose my best friend and soulmate and there is NOTHING that I can do about it.  
I’m not posting this to look for sympathy, but rather because I don’t let people get close to me...she was the only person to ever get through my walls...and I have no one to talk to and just needed to get it off my chest. This is the first I’ve spoken to anyone about it since we got the news. 
Also, I apologize if this is all over the place, I haven’t been able to think straight for days.</t>
        </is>
      </c>
      <c r="D11038" t="n">
        <v>1</v>
      </c>
      <c r="E11038" t="n">
        <v>5</v>
      </c>
      <c r="F11038">
        <f>HYPERLINK("https://www.reddit.com/r/cancer/comments/iinwwx/i_dont_know_where_to_go_from_here/")</f>
        <v/>
      </c>
      <c r="G11038" t="inlineStr">
        <is>
          <t>2020-08-28 23:43:43</t>
        </is>
      </c>
      <c r="H11038" t="inlineStr"/>
    </row>
    <row r="11039">
      <c r="A11039" t="inlineStr">
        <is>
          <t>iiojhu</t>
        </is>
      </c>
      <c r="B11039" t="inlineStr">
        <is>
          <t>I'm probably going to get cancer and I need some advice</t>
        </is>
      </c>
      <c r="C11039" t="inlineStr">
        <is>
          <t>Quite literally everyone in my family has gotten cancer after their 30th birthday. The ones that spend a lot of time outside get skin cancer, the homebody women get breast cancer, the homebody men get testicular cancer. That's just the way she goes. They've all had enough money to get an early diagnosis but I've been estranged and don't have that kind of safety net anymore. Once I get it it's probably going to take me. And I just wanted to know if there was anything ya'll would have told your pre-cancer selves or loved ones in order to make the diagnosis easier? I'm sorry if this doesn't fit or if it's disrespectful. I'll delete it if it is.</t>
        </is>
      </c>
      <c r="D11039" t="n">
        <v>1</v>
      </c>
      <c r="E11039" t="n">
        <v>0</v>
      </c>
      <c r="F11039">
        <f>HYPERLINK("https://www.reddit.com/r/cancer/comments/iiojhu/im_probably_going_to_get_cancer_and_i_need_some/")</f>
        <v/>
      </c>
      <c r="G11039" t="inlineStr">
        <is>
          <t>2020-08-29 00:40:50</t>
        </is>
      </c>
      <c r="H11039" t="inlineStr"/>
    </row>
    <row r="11040">
      <c r="A11040" t="inlineStr">
        <is>
          <t>iis4dm</t>
        </is>
      </c>
      <c r="B11040" t="inlineStr">
        <is>
          <t>My sister was diagnosed today with lymphoma. What advise can you give me? Thank you.</t>
        </is>
      </c>
      <c r="C11040" t="inlineStr">
        <is>
          <t>Title!</t>
        </is>
      </c>
      <c r="D11040" t="n">
        <v>1</v>
      </c>
      <c r="E11040" t="n">
        <v>10</v>
      </c>
      <c r="F11040">
        <f>HYPERLINK("https://www.reddit.com/r/cancer/comments/iis4dm/my_sister_was_diagnosed_today_with_lymphoma_what/")</f>
        <v/>
      </c>
      <c r="G11040" t="inlineStr">
        <is>
          <t>2020-08-29 06:10:12</t>
        </is>
      </c>
      <c r="H11040" t="inlineStr"/>
    </row>
    <row r="11041">
      <c r="A11041" t="inlineStr">
        <is>
          <t>iitxrn</t>
        </is>
      </c>
      <c r="B11041" t="inlineStr">
        <is>
          <t>Neuropathy is bullshit</t>
        </is>
      </c>
      <c r="C11041" t="inlineStr">
        <is>
          <t>I feel so dang clumsy. Constantly dropping things or slamming them down too hard. Fingers feeling puffy, feet dumb stumps. What a pain in the ass.</t>
        </is>
      </c>
      <c r="D11041" t="n">
        <v>1</v>
      </c>
      <c r="E11041" t="n">
        <v>21</v>
      </c>
      <c r="F11041">
        <f>HYPERLINK("https://www.reddit.com/r/cancer/comments/iitxrn/neuropathy_is_bullshit/")</f>
        <v/>
      </c>
      <c r="G11041" t="inlineStr">
        <is>
          <t>2020-08-29 08:08:57</t>
        </is>
      </c>
      <c r="H11041" t="inlineStr"/>
    </row>
    <row r="11042">
      <c r="A11042" t="inlineStr">
        <is>
          <t>iiwogp</t>
        </is>
      </c>
      <c r="B11042" t="inlineStr">
        <is>
          <t>Bruising and chemo question.</t>
        </is>
      </c>
      <c r="C11042" t="inlineStr">
        <is>
          <t>Anybody who has undergone chemo have any experience with bruising? It’s something my oncologist has warned me about. I can’t seem to find if it dangerous to get a bruise and I need to avoid it or is he just warning me to not be freaked out if I get bruises easily. The reason I ask is that I enjoy skeet and sporting clay shooting. I have no plans for doing 100 shot sporting clay days but a trip out to the range for some skeet would be nice for me and my friends to do sometime if I was up to it.  The only issue being bruising. Even target load 12 gauge can leave a small bruise on your shoulder normally if you aren’t set properly and it happens from time to time.</t>
        </is>
      </c>
      <c r="D11042" t="n">
        <v>1</v>
      </c>
      <c r="E11042" t="n">
        <v>6</v>
      </c>
      <c r="F11042">
        <f>HYPERLINK("https://www.reddit.com/r/cancer/comments/iiwogp/bruising_and_chemo_question/")</f>
        <v/>
      </c>
      <c r="G11042" t="inlineStr">
        <is>
          <t>2020-08-29 10:43:03</t>
        </is>
      </c>
      <c r="H11042" t="inlineStr">
        <is>
          <t xml:space="preserve">Patient </t>
        </is>
      </c>
    </row>
    <row r="11043">
      <c r="A11043" t="inlineStr">
        <is>
          <t>iixwso</t>
        </is>
      </c>
      <c r="B11043" t="inlineStr">
        <is>
          <t>I'm worried that the treatment I'm on doesn't actually work and I don't know what to do.</t>
        </is>
      </c>
      <c r="C11043" t="inlineStr">
        <is>
          <t>I'm 20 years old and have MTC and am taking cabozantinib for it. However, I just finished reading this article a few minutes ago
https://web.archive.org/web/20170420190158/http://www.medscape.com/viewarticle/872606#vp_1
I am in hundreds of thousands of dollars in debt because of cabozantinib. And it seriously freaks me out thinking that it was useless. My cancer is still getting worse on C (cabozantinib is too long), but it's very slow. I don't know how it would compare to being on nothing at all because I started it straight after getting a lung surgery and radiation.
It has significantly hurt my quality of life though. I hate the side effects. And it really hurts to think I ruined my life and my financial future over nothing. 
And if C doesn't work... then what are my other options? Vandetanib? I have no idea if that is any different from C.
I'm terrified. I don't know what to think or what to do. 
My doctor suggested chemo as another option but made it clear that it practically never works for MTC. 
And I have no idea if my doctor is aware of these studies on C or other targeted therapy drugs.
I'm just scared. What do I do? I was already having a bad week before this but now I'm so much worse.</t>
        </is>
      </c>
      <c r="D11043" t="n">
        <v>1</v>
      </c>
      <c r="E11043" t="n">
        <v>15</v>
      </c>
      <c r="F11043">
        <f>HYPERLINK("https://www.reddit.com/r/cancer/comments/iixwso/im_worried_that_the_treatment_im_on_doesnt/")</f>
        <v/>
      </c>
      <c r="G11043" t="inlineStr">
        <is>
          <t>2020-08-29 11:51:47</t>
        </is>
      </c>
      <c r="H11043" t="inlineStr"/>
    </row>
    <row r="11044">
      <c r="A11044" t="inlineStr">
        <is>
          <t>iiyjfy</t>
        </is>
      </c>
      <c r="B11044" t="inlineStr">
        <is>
          <t>BRAFTOVI + MEKTOVI experiences.</t>
        </is>
      </c>
      <c r="C11044" t="inlineStr">
        <is>
          <t>Hi all, I'm hoping to hear experiences related to these medications. Specifically related to caused pain and what localized area. But also success and failures related to it over all. I've read every report I could find but nothing really compares to hearing it via real world experience. A family member tried this medication for a few days but we think it was responsible for elevated levels of pain(10) they were experiencing while on it. It is possible it was something else and I'm trying to find relatable information to consume. The dosage was cut in half with the same results.</t>
        </is>
      </c>
      <c r="D11044" t="n">
        <v>1</v>
      </c>
      <c r="E11044" t="n">
        <v>0</v>
      </c>
      <c r="F11044">
        <f>HYPERLINK("https://www.reddit.com/r/cancer/comments/iiyjfy/braftovi_mektovi_experiences/")</f>
        <v/>
      </c>
      <c r="G11044" t="inlineStr">
        <is>
          <t>2020-08-29 12:27:23</t>
        </is>
      </c>
      <c r="H11044" t="inlineStr"/>
    </row>
    <row r="11045">
      <c r="A11045" t="inlineStr">
        <is>
          <t>iizrpt</t>
        </is>
      </c>
      <c r="B11045" t="inlineStr">
        <is>
          <t>Guilt over deaths</t>
        </is>
      </c>
      <c r="C11045" t="inlineStr">
        <is>
          <t>Hey,
Apologies if I’m posting in the wrong place or this isn’t allowed here.
Two years ago, my grandmother (who mostly raised me and was more like a mother to me) was diagnosed with terminal brain cancer and she passed shortly after her diagnosis.
I have suffered with mental health issues for several years during with time I have been largely unconcerned if I was to live or die. I attempt suicide around 18 months ago, obviously unsuccessfully.
Since my attempt, I have been consumed by guilt. I know my grandmother would have given anything to continue living and I am largely throwing my life away with my suicide attempt and general reckless behaviours. Each time I hear of someone passing or people becoming ill such as Chadwick Boseman or Sarah Harding, this guilt comes to the forefront and I am again consumed with terrible guilt.
I’m not entirely sure why I am posting here. Perhaps hoping for advice or someone to give magical answer that will make everything ok.</t>
        </is>
      </c>
      <c r="D11045" t="n">
        <v>1</v>
      </c>
      <c r="E11045" t="n">
        <v>1</v>
      </c>
      <c r="F11045">
        <f>HYPERLINK("https://www.reddit.com/r/cancer/comments/iizrpt/guilt_over_deaths/")</f>
        <v/>
      </c>
      <c r="G11045" t="inlineStr">
        <is>
          <t>2020-08-29 13:40:11</t>
        </is>
      </c>
      <c r="H11045" t="inlineStr"/>
    </row>
    <row r="11046">
      <c r="A11046" t="inlineStr">
        <is>
          <t>ij09z4</t>
        </is>
      </c>
      <c r="B11046" t="inlineStr">
        <is>
          <t>A song i wrote to relieve the pain of losing a grandfather to this monster.</t>
        </is>
      </c>
      <c r="C11046" t="inlineStr">
        <is>
          <t>[https://soundcloud.com/user-502781990/cellular-attack-trigger-warning](https://soundcloud.com/user-502781990/cellular-attack-trigger-warning) I wrote this song to try and resemble the 8 stages my grandfather went through during the process of being eaten up by this monster we call cancer. After my grandfather died, I felt numb. I wanted to cry - but I couldnt. For almost a year now I felt like life couldnt go on anymore, then I realised music was a way out. I wrote this song to try and bring awareness to an already known subject, and also put my own interpretation in the monster.</t>
        </is>
      </c>
      <c r="D11046" t="n">
        <v>1</v>
      </c>
      <c r="E11046" t="n">
        <v>1</v>
      </c>
      <c r="F11046">
        <f>HYPERLINK("https://www.reddit.com/r/cancer/comments/ij09z4/a_song_i_wrote_to_relieve_the_pain_of_losing_a/")</f>
        <v/>
      </c>
      <c r="G11046" t="inlineStr">
        <is>
          <t>2020-08-29 14:10:10</t>
        </is>
      </c>
      <c r="H11046" t="inlineStr"/>
    </row>
    <row r="11047">
      <c r="A11047" t="inlineStr">
        <is>
          <t>ij1669</t>
        </is>
      </c>
      <c r="B11047" t="inlineStr">
        <is>
          <t>6 Warning Signs of Breast Cancer Ignored by 90% of Women</t>
        </is>
      </c>
      <c r="C11047" t="inlineStr">
        <is>
          <t>FIND OUT 👉 [6 Warning Signs of Breast Cancer Ignored by 90% of Women](https://selfbuildr.com/6-warning-signs-of-breast-cancer-ignored-by-90-of-women/) 🚨 🚨
*Processing img 3k75ik5qk0k51...*</t>
        </is>
      </c>
      <c r="D11047" t="n">
        <v>1</v>
      </c>
      <c r="E11047" t="n">
        <v>0</v>
      </c>
      <c r="F11047">
        <f>HYPERLINK("https://www.reddit.com/r/cancer/comments/ij1669/6_warning_signs_of_breast_cancer_ignored_by_90_of/")</f>
        <v/>
      </c>
      <c r="G11047" t="inlineStr">
        <is>
          <t>2020-08-29 15:02:49</t>
        </is>
      </c>
      <c r="H11047" t="inlineStr"/>
    </row>
    <row r="11048">
      <c r="A11048" t="inlineStr">
        <is>
          <t>ij1ao6</t>
        </is>
      </c>
      <c r="B11048" t="inlineStr">
        <is>
          <t>Newly diagnosed</t>
        </is>
      </c>
      <c r="C11048" t="inlineStr">
        <is>
          <t>Hello All, 
It has been a rough couple of weeks for sure. I was just diagnosed yesterday with a pretty aggressive cancer(full diagnosis on Monday with Oncologist).  
I am trying to come into this from a place of peace and clarity.  Life is hard.  Shi\* happens sometimes in live that you cannot control.  I am wondering if anyone can recommend any good books from a more eastern philosophy on dealing with cancer, dealing with having to potentially face death, and for sure the pain and life alteration I am about to face. I will fight this with everything I have got but I want to be centered and coming from a good space while I am doing it.
I am scared for sure; I live alone in a city with no friends so it has been hard to process it all.  I am talking a lot with my immediate family about things and trying to prepare for it all. I have not told anyone else and am waiting to tell close friends until I have a path of treatment.  But wow...what a gut punch, and right in the middle of the freakin pandemic..... 
Be safe out there.</t>
        </is>
      </c>
      <c r="D11048" t="n">
        <v>1</v>
      </c>
      <c r="E11048" t="n">
        <v>25</v>
      </c>
      <c r="F11048">
        <f>HYPERLINK("https://www.reddit.com/r/cancer/comments/ij1ao6/newly_diagnosed/")</f>
        <v/>
      </c>
      <c r="G11048" t="inlineStr">
        <is>
          <t>2020-08-29 15:10:28</t>
        </is>
      </c>
      <c r="H11048" t="inlineStr"/>
    </row>
    <row r="11049">
      <c r="A11049" t="inlineStr">
        <is>
          <t>ij2ywj</t>
        </is>
      </c>
      <c r="B11049" t="inlineStr">
        <is>
          <t>My mom passed away this morning.</t>
        </is>
      </c>
      <c r="C11049" t="inlineStr">
        <is>
          <t>All of this has happened so quickly. 22 days ago I posted about her possibly having cancer... we didn’t even get her diagnosis until 2 days ago. Small cell lung cancer that had spread to her liver. She was sent home Thursday night, and this morning she passed away. I did get to go visit her one last time and I’m so thankful for that trip. She was really out of it and didn’t remember much of me being there, but I got to buy her donuts and enjoy a few laughs with her. I’m so fucking heartbroken. It doesn’t feel real at all.</t>
        </is>
      </c>
      <c r="D11049" t="n">
        <v>1</v>
      </c>
      <c r="E11049" t="n">
        <v>25</v>
      </c>
      <c r="F11049">
        <f>HYPERLINK("https://www.reddit.com/r/cancer/comments/ij2ywj/my_mom_passed_away_this_morning/")</f>
        <v/>
      </c>
      <c r="G11049" t="inlineStr">
        <is>
          <t>2020-08-29 16:56:03</t>
        </is>
      </c>
      <c r="H11049" t="inlineStr"/>
    </row>
    <row r="11050">
      <c r="A11050" t="inlineStr">
        <is>
          <t>ij3ix0</t>
        </is>
      </c>
      <c r="B11050" t="inlineStr">
        <is>
          <t>Immunotherapy and the Pituitary Gland</t>
        </is>
      </c>
      <c r="C11050" t="inlineStr">
        <is>
          <t>At the end of July I finished my 4th and final combo round of Nivolumab and Ipilimumab for Stage 4 Melanoma. I did all of my scans and bloodwork and waited until I started treatments of only Nivolumab. My oncologist called and said that the MRI showed that my pituitary gland is swollen and my thyroid is out. She wants me to meet with a hormone specialist and until that happens we need to postpone treatment. Luckily all of the tumours have shrunk to the point where she is alright with postponing. 
Apparently I am producing *just enough* hormones but she’s concerned about the stress hormone dropping. 
I really just want to be continuing with treatment. But now I have to wait for who knows how long to find out if it is even safe to do so. 
It’s been a rough few days emotionally......</t>
        </is>
      </c>
      <c r="D11050" t="n">
        <v>1</v>
      </c>
      <c r="E11050" t="n">
        <v>6</v>
      </c>
      <c r="F11050">
        <f>HYPERLINK("https://www.reddit.com/r/cancer/comments/ij3ix0/immunotherapy_and_the_pituitary_gland/")</f>
        <v/>
      </c>
      <c r="G11050" t="inlineStr">
        <is>
          <t>2020-08-29 17:32:44</t>
        </is>
      </c>
      <c r="H11050" t="inlineStr"/>
    </row>
    <row r="11051">
      <c r="A11051" t="inlineStr">
        <is>
          <t>ij5jb7</t>
        </is>
      </c>
      <c r="B11051" t="inlineStr">
        <is>
          <t>both parents with cancer</t>
        </is>
      </c>
      <c r="C11051" t="inlineStr">
        <is>
          <t>my mom just told me she has lung cancer today, my dads has had cancer on and off for 5 years due to the 9/11 clean up. i’m not shocked and i kinda figured she had it but god fuck. i just don’t know who to talk to and how to cope, both my parents have cancer now and it doesn’t directly effect me but it’s still going to be present in my mind a lot. kind words are appreciated just needed to get this out ♥️</t>
        </is>
      </c>
      <c r="D11051" t="n">
        <v>1</v>
      </c>
      <c r="E11051" t="n">
        <v>4</v>
      </c>
      <c r="F11051">
        <f>HYPERLINK("https://www.reddit.com/r/cancer/comments/ij5jb7/both_parents_with_cancer/")</f>
        <v/>
      </c>
      <c r="G11051" t="inlineStr">
        <is>
          <t>2020-08-29 19:56:05</t>
        </is>
      </c>
      <c r="H11051" t="inlineStr"/>
    </row>
    <row r="11052">
      <c r="A11052" t="inlineStr">
        <is>
          <t>ij62oy</t>
        </is>
      </c>
      <c r="B11052" t="inlineStr">
        <is>
          <t>I felt a lump and I'm scared</t>
        </is>
      </c>
      <c r="C11052" t="inlineStr">
        <is>
          <t>Hey all, I'm in a bit of a scary place I've never been before. I was giving myself the ol self-check one day on my boys and I felt a lump on one of them. It's a hard lump and I read up more on it and the more I read, the more I'm convinced it's cancerous. I'm not asking for a medical diagnosis (I've already contacted my doctor regarding it.) I'm more curious about how one goes about dealing with a cancer diagnosis, should I get one. How to tell my family, friends, and how to deal with it myself. Granted, testicular cancer is generally easily removable and usually doesn't spread, but the possibility is still there. How did you cope with your diagnosis? (or a diagnosis of a family member/friend?)
Much appreciated!</t>
        </is>
      </c>
      <c r="D11052" t="n">
        <v>1</v>
      </c>
      <c r="E11052" t="n">
        <v>7</v>
      </c>
      <c r="F11052">
        <f>HYPERLINK("https://www.reddit.com/r/cancer/comments/ij62oy/i_felt_a_lump_and_im_scared/")</f>
        <v/>
      </c>
      <c r="G11052" t="inlineStr">
        <is>
          <t>2020-08-29 20:31:51</t>
        </is>
      </c>
      <c r="H11052" t="inlineStr"/>
    </row>
    <row r="11053">
      <c r="A11053" t="inlineStr">
        <is>
          <t>ij7l3f</t>
        </is>
      </c>
      <c r="B11053" t="inlineStr">
        <is>
          <t>Doing Better</t>
        </is>
      </c>
      <c r="C11053" t="inlineStr">
        <is>
          <t>Hey guys,
A few months ago I posted about being diagnosed with stage iv colon cancer. No family history or genetic mutations-guess I just got unlucky. I’m only 21, and so my life pretty much collapsed around me. 
Still, I wanted to share that I’ve been doing so well. I was able to graduate and land a position at my favorite museum (I’m going to brag and say that it’s a prestigious museum, hehe). I studied anthropology in case anyone was wondering!
I haven’t posted since my diagnosis, but I want to let you know that would read all of your posts religiously, and I cried with you, empathized with you, and celebrated with you. 
So even though I haven’t been super active, I feel close enough to you all that I want to share some other news that’s made me really happy. My initial CEA(tumor marker) levels were at 4000; they have gone down to 26! I know that they’re still high, but it still feels like an accomplishment :)
I still have three rounds of chemo left, and apart from losing my hair, I’ve been so fortunate to have had a great quality of life thus far. 
I guess I just want to say thank you to all of you- this subreddit has made a world of a difference to me</t>
        </is>
      </c>
      <c r="D11053" t="n">
        <v>1</v>
      </c>
      <c r="E11053" t="n">
        <v>46</v>
      </c>
      <c r="F11053">
        <f>HYPERLINK("https://www.reddit.com/r/cancer/comments/ij7l3f/doing_better/")</f>
        <v/>
      </c>
      <c r="G11053" t="inlineStr">
        <is>
          <t>2020-08-29 22:32:20</t>
        </is>
      </c>
      <c r="H11053" t="inlineStr">
        <is>
          <t xml:space="preserve">Patient </t>
        </is>
      </c>
    </row>
    <row r="11054">
      <c r="A11054" t="inlineStr">
        <is>
          <t>ij8a2r</t>
        </is>
      </c>
      <c r="B11054" t="inlineStr">
        <is>
          <t>I’m so scared all the time.</t>
        </is>
      </c>
      <c r="C11054" t="inlineStr">
        <is>
          <t>Last November I (25F) went in to the hospital and was told I had a tumor growing on the edge of my liver. This year it was complete removed and they eventually told me it was cancerous. I think they said it was liver carcinoma. It was just a rare type that only happens to young people. I don’t completely understand if they are just lying to me but I had such a rare cancer they don’t completely understand it or why it happen. So they told me they removed the cancerous tumor and I was fine now. I’ll be fine and I just have to go in for a scan every few months. I’m in constant fear it’s going to come back or the cancer is still there. No one in my family has cancer. So why did it grow in the first place. Just cause they took it out what makes me think it’s not gonna grow right back? I’m scare everytime I slightly get sick because what If these are signs it’s back. What if it comes back any day. I’m constantly scared of this. I can’t talk to my mom because she gets mad when I talk like that and makes me drop it. I don’t want to talk to my friends cause I can tell it makes then very uncomfortable. This is just all I think about and I don’t have any one to talk to. What am I suppose to do? This has made my depression so bad. I constantly cry at night because I’m so scared and I feel so alone. Every time I get a scan I’m scared this is it. They are gonna find something again. I just hate this. Does it ever stop?
I’m sorry if this isn’t the subreddit to put this under.</t>
        </is>
      </c>
      <c r="D11054" t="n">
        <v>1</v>
      </c>
      <c r="E11054" t="n">
        <v>14</v>
      </c>
      <c r="F11054">
        <f>HYPERLINK("https://www.reddit.com/r/cancer/comments/ij8a2r/im_so_scared_all_the_time/")</f>
        <v/>
      </c>
      <c r="G11054" t="inlineStr">
        <is>
          <t>2020-08-29 23:34:34</t>
        </is>
      </c>
      <c r="H11054" t="inlineStr"/>
    </row>
    <row r="11055">
      <c r="A11055" t="inlineStr">
        <is>
          <t>ij8ifu</t>
        </is>
      </c>
      <c r="B11055" t="inlineStr">
        <is>
          <t>Is it too late to Cure when Bowels are obstructed?</t>
        </is>
      </c>
      <c r="C11055" t="inlineStr">
        <is>
          <t>For 2 years I have had pencil like stools and I am reading up and it appears that would indicate that my bowel is obstructed. I've read this means that the cancer would be at an advanced stage.
Does this mean that I cannot cure it? It is too late?</t>
        </is>
      </c>
      <c r="D11055" t="n">
        <v>1</v>
      </c>
      <c r="E11055" t="n">
        <v>10</v>
      </c>
      <c r="F11055">
        <f>HYPERLINK("https://www.reddit.com/r/cancer/comments/ij8ifu/is_it_too_late_to_cure_when_bowels_are_obstructed/")</f>
        <v/>
      </c>
      <c r="G11055" t="inlineStr">
        <is>
          <t>2020-08-29 23:55:33</t>
        </is>
      </c>
      <c r="H11055" t="inlineStr"/>
    </row>
    <row r="11056">
      <c r="A11056" t="inlineStr">
        <is>
          <t>ij8xq0</t>
        </is>
      </c>
      <c r="B11056" t="inlineStr">
        <is>
          <t>I want it all to end</t>
        </is>
      </c>
      <c r="C11056" t="inlineStr">
        <is>
          <t>I feel lost.
The pain is getting worse by the day. I can't keep much food inside my stomach. I am basically bedridden and my head can't get some rest.
I have to wait 2 more months to hear if the cancer growth calmed down or i need more treatment. i have spinal cord injury which is worsening and gives so much nerve pain, i just don't know yet how bad it will be. 
My partner of 7 years left me last week because he couldn't handle it all together: his study, his work and caring for me. He just needed to continue his life without an relationship. It hurts tremendously because he was my best friend and always there for me. His stuff is still in the house and i can't pay the rent on my own.
I can't sleep. I can barely eat. I am anxious and very often feelings of panic and despair come over me. I just don't know what to do anymore. 
Sometimes i think about taking an high dose of my pain killers (oxycodone) and my sleeping meds (temazepam), i read some people take that to euthanise and it works well. It would hurt my parents so much, but I just can't do this anymore. I am in constant physical and emotional pain.</t>
        </is>
      </c>
      <c r="D11056" t="n">
        <v>1</v>
      </c>
      <c r="E11056" t="n">
        <v>14</v>
      </c>
      <c r="F11056">
        <f>HYPERLINK("https://www.reddit.com/r/cancer/comments/ij8xq0/i_want_it_all_to_end/")</f>
        <v/>
      </c>
      <c r="G11056" t="inlineStr">
        <is>
          <t>2020-08-30 00:34:19</t>
        </is>
      </c>
      <c r="H11056" t="inlineStr">
        <is>
          <t xml:space="preserve">Patient </t>
        </is>
      </c>
    </row>
    <row r="11057">
      <c r="A11057" t="inlineStr">
        <is>
          <t>ij97sb</t>
        </is>
      </c>
      <c r="B11057" t="inlineStr">
        <is>
          <t>So many sad anniversaries, anyone feel me?</t>
        </is>
      </c>
      <c r="C11057" t="inlineStr">
        <is>
          <t>Yesterday was the one year anniversary of my dad's decision to stop his chemotherapy. 
He died three weeks later. 
I alternate between feeling all the feelings and feeling absolutely nothing. It's either hysteria or pure indifference, sometimes I'm not sure which hurts more. I guess I'm just reaching into the universe looking for some empathy...I feel like the people around me get tired of my grief, but the next few weeks are going to be so hard. 
Do you ever stop remembering the anniversaries? 
I remember even the first time it snowed after my dad died. I'm not sure if it'll feel worse or better when I stop remembering the 'firsts' after my dad's death.
Thank you for listening.</t>
        </is>
      </c>
      <c r="D11057" t="n">
        <v>1</v>
      </c>
      <c r="E11057" t="n">
        <v>2</v>
      </c>
      <c r="F11057">
        <f>HYPERLINK("https://www.reddit.com/r/cancer/comments/ij97sb/so_many_sad_anniversaries_anyone_feel_me/")</f>
        <v/>
      </c>
      <c r="G11057" t="inlineStr">
        <is>
          <t>2020-08-30 01:01:56</t>
        </is>
      </c>
      <c r="H11057" t="inlineStr"/>
    </row>
    <row r="11058">
      <c r="A11058" t="inlineStr">
        <is>
          <t>ijf6yo</t>
        </is>
      </c>
      <c r="B11058" t="inlineStr">
        <is>
          <t>I think my wife is in her final stages of brain cancer. What should I expect?</t>
        </is>
      </c>
      <c r="C11058" t="inlineStr">
        <is>
          <t>It’s been a tough 20 months. My (35M) wife (33F) was first diagnosed with glioblastoma in January 2019, and after periods of relative stability and gradual decline, in the past month or so she’s experienced a cascade of pretty awful symptoms - near total loss of short term memory, increasing difficulty walking, increased difficulty finding the right words, confusion, vision changes, lots of nausea, and pain. We try our best to manage symptoms, and we’re still pursuing treatment options, but this is feeling very much like the end stage - I just don’t know how long the end stage lasts. Hospice is not yet involved. 
Has anyone here gone through this with a loved one? Does it just get more and more terrible, until it finally ends? I’ve read so many stories of people “passing peacefully,” but this is not peaceful. I know if we’re not at the hospice stage yet, we soon will be, but she’s so afraid of “giving up,” and I can’t (or can’t yet) make that call for her. If I ultimately need to, I am her medical proxy.</t>
        </is>
      </c>
      <c r="D11058" t="n">
        <v>1</v>
      </c>
      <c r="E11058" t="n">
        <v>32</v>
      </c>
      <c r="F11058">
        <f>HYPERLINK("https://www.reddit.com/r/cancer/comments/ijf6yo/i_think_my_wife_is_in_her_final_stages_of_brain/")</f>
        <v/>
      </c>
      <c r="G11058" t="inlineStr">
        <is>
          <t>2020-08-30 09:10:30</t>
        </is>
      </c>
      <c r="H11058" t="inlineStr"/>
    </row>
    <row r="11059">
      <c r="A11059" t="inlineStr">
        <is>
          <t>ijf9mf</t>
        </is>
      </c>
      <c r="B11059" t="inlineStr">
        <is>
          <t>Chadwick Boseman</t>
        </is>
      </c>
      <c r="C11059" t="inlineStr">
        <is>
          <t>Hi there, i hope this is the right place:
I am a big fan of Chadwick Boseman and like many others, was extremely shocked to find out he was battling stage 3 colon cancer while filming BP, and doing all the crazy amount of press for it.
I was just wondering, if anyone is facing the same issues or know someone who is, what kind of day to day would he have been going through while putting in the gym work , long hours on set and press tours? Not to mention the other movies he filmed right after. 
How, (no disrespect intended) "difficult" would it have been in that situation to do 
all those things while battling stage 3, then later 4 colon cancer?
Thank you</t>
        </is>
      </c>
      <c r="D11059" t="n">
        <v>1</v>
      </c>
      <c r="E11059" t="n">
        <v>5</v>
      </c>
      <c r="F11059">
        <f>HYPERLINK("https://www.reddit.com/r/cancer/comments/ijf9mf/chadwick_boseman/")</f>
        <v/>
      </c>
      <c r="G11059" t="inlineStr">
        <is>
          <t>2020-08-30 09:14:36</t>
        </is>
      </c>
      <c r="H11059" t="inlineStr"/>
    </row>
    <row r="11060">
      <c r="A11060" t="inlineStr">
        <is>
          <t>ijfgik</t>
        </is>
      </c>
      <c r="B11060" t="inlineStr">
        <is>
          <t>Visiting hours on a young person's cancer ward.</t>
        </is>
      </c>
      <c r="C11060" t="inlineStr">
        <is>
          <t>[Tinsy winsy rant. I'm not upset but I want to direct this at someone and patient's parents have already gone and I am not about to take this out on somebody going through a rough time.]
I was very sick a few weeks back and not feeling at all great, had to be in hospital for the first time in forever. Limited visiting hours were very hard on me at the start (love to everyone currently dealing with this bs) because I just wanted family there at all times but we got through it and were also able to make some compromises with the staff based on our specific personal situation. Got the 1 person limit extended to 2 (since we are in same household, everyone shielding) got to stay a little bit longer when I was very ill and later got the two hour visiting period shifted about so family could see me in evening. We worked with them, in other words, and crucially we did nothing that would risk introducing covid to me or to other sick people on the ward. We got wiggle room but shit was fucking sensible. *Everything* was cleared with a nurse or doctor before it happened and if they said no we didn't fight them.
Anyway I write to say that the other day someone apparently snuck 9 people into their shared room. 9 people who do not all live in the same household, 9 people who are not all shielding. And I'm not angry at this mystery patient, I do not know their shit and I do so intensely relate to needing people around when I'm feeling crappy, I hope they're okay, but fuck these other people in general. Because if I have the correct information here - 9 extra people on a fucking cancer ward??? Not even socially distancing either?? These covid restrictions suck but they exist for a reason. I told my friend not to see me because I know she's being going out to restaurants and I don't want her to bring anything into this ward which could kill me or someone else. Meanwhile these 9 people aren't taking it seriously and they're risking their loved one and also EVERYBODY ELSE on the ward? Wtf???
Ugh LIKE I GET IT. You want visitors. You want more people. A lot of these restrictions are confusing. But you work with the staff. If you're trying to get wiggle room you work with the professionals who are following guidelines in place designed to keep you and everyone else safe and you don't. Take. The. Piss. 
On the one hand I am selfishly concerned that the wiggle room me and my doctor agreed on will go away because allowing 9 extra guests on is a big fuck up and matron might v well go down hard on the nurses. So if I have a procedure or something else happens between 2-4 then instead of rescheduling to see family later then I just won't see them that day. On the other hand I'm just pissed that they didn't take covid seriously. Not for their loved one. But also apparently fuck all the other patients here.</t>
        </is>
      </c>
      <c r="D11060" t="n">
        <v>1</v>
      </c>
      <c r="E11060" t="n">
        <v>0</v>
      </c>
      <c r="F11060">
        <f>HYPERLINK("https://www.reddit.com/r/cancer/comments/ijfgik/visiting_hours_on_a_young_persons_cancer_ward/")</f>
        <v/>
      </c>
      <c r="G11060" t="inlineStr">
        <is>
          <t>2020-08-30 09:26:01</t>
        </is>
      </c>
      <c r="H11060" t="inlineStr">
        <is>
          <t xml:space="preserve">Patient </t>
        </is>
      </c>
    </row>
    <row r="11061">
      <c r="A11061" t="inlineStr">
        <is>
          <t>ijhued</t>
        </is>
      </c>
      <c r="B11061" t="inlineStr">
        <is>
          <t>How to measure radiation dosage from dental x-ray</t>
        </is>
      </c>
      <c r="C11061" t="inlineStr">
        <is>
          <t>I have a history of thyroid cancer (benign), but also need to get a root canal from my dentist in the coming weeks. The dentist is saying that I need a full panoramic X-ray, which they say is "only" 27 microsieverts, and that this is "only a few bananas" worth of radiation. I've called around the other dentists and they all require the same panoramic X-Ray. Is this something I just need to suck up and do, or is this actually a dangerous radiation dose? Also, not sure if this is the right forum for this, so let me know if a different sub is better. thanks in advance for your help.</t>
        </is>
      </c>
      <c r="D11061" t="n">
        <v>1</v>
      </c>
      <c r="E11061" t="n">
        <v>7</v>
      </c>
      <c r="F11061">
        <f>HYPERLINK("https://www.reddit.com/r/cancer/comments/ijhued/how_to_measure_radiation_dosage_from_dental_xray/")</f>
        <v/>
      </c>
      <c r="G11061" t="inlineStr">
        <is>
          <t>2020-08-30 11:37:06</t>
        </is>
      </c>
      <c r="H11061" t="inlineStr"/>
    </row>
    <row r="11062">
      <c r="A11062" t="inlineStr">
        <is>
          <t>ijj3tr</t>
        </is>
      </c>
      <c r="B11062" t="inlineStr">
        <is>
          <t>Patient can barely urinate days after biopsy</t>
        </is>
      </c>
      <c r="C11062" t="inlineStr">
        <is>
          <t>Starting this morning patient can only urinate a few drops each time. Painful. 
Patient currently refuses to go to ER, because he doesn't want penis cathater again. (He had catheter put on him a month ago)
How many hours will renal failure happen at current rate? He's refusing to eat or drink
Had prostate biopsy five days ago for possible cancer prognosis. PSA at 190.</t>
        </is>
      </c>
      <c r="D11062" t="n">
        <v>1</v>
      </c>
      <c r="E11062" t="n">
        <v>13</v>
      </c>
      <c r="F11062">
        <f>HYPERLINK("https://www.reddit.com/r/cancer/comments/ijj3tr/patient_can_barely_urinate_days_after_biopsy/")</f>
        <v/>
      </c>
      <c r="G11062" t="inlineStr">
        <is>
          <t>2020-08-30 12:46:10</t>
        </is>
      </c>
      <c r="H11062" t="inlineStr">
        <is>
          <t xml:space="preserve">Patient </t>
        </is>
      </c>
    </row>
    <row r="11063">
      <c r="A11063" t="inlineStr">
        <is>
          <t>ijj913</t>
        </is>
      </c>
      <c r="B11063" t="inlineStr">
        <is>
          <t>Struggling with feeling like a failure</t>
        </is>
      </c>
      <c r="C11063" t="inlineStr">
        <is>
          <t>Since the very sad news of Chadwick Boseman’s death, I’ve gotten an onslaught of messages from people in my cancer support group who are now struggling with feelings of bring “weak” or a “failure” as they struggle to get through their daily lives, now with the world thinking “why can’t you do this? Why are you so tired? ...Chadwick filmed 4 movies with stage 4 cancer.”
I first got an email yesterday from an old friend from a previous support group. Then I got a bunch of personal messages on my current online support group. And some more emails. Friends already worried about how they’re viewed at work, how their colleagues, family or other people are skeptical that they’re “milking it” and taking too much time off, not getting back to “normal” life fast enough, etcetera. It seems many, many people are feeling this way after hearing this news. Just wondering how others are doing and if anyone is facing these sand feelings of know anyone who is.</t>
        </is>
      </c>
      <c r="D11063" t="n">
        <v>1</v>
      </c>
      <c r="E11063" t="n">
        <v>13</v>
      </c>
      <c r="F11063">
        <f>HYPERLINK("https://www.reddit.com/r/cancer/comments/ijj913/struggling_with_feeling_like_a_failure/")</f>
        <v/>
      </c>
      <c r="G11063" t="inlineStr">
        <is>
          <t>2020-08-30 12:54:31</t>
        </is>
      </c>
      <c r="H11063" t="inlineStr">
        <is>
          <t xml:space="preserve">Patient </t>
        </is>
      </c>
    </row>
    <row r="11064">
      <c r="A11064" t="inlineStr">
        <is>
          <t>ijk0mm</t>
        </is>
      </c>
      <c r="B11064" t="inlineStr">
        <is>
          <t>Actually excited to start chemo</t>
        </is>
      </c>
      <c r="C11064" t="inlineStr">
        <is>
          <t>Hello all,
I (26f) just got diagnosed with (at least stage 3, possibly stage 4 depending on my bone marrow biopsy this Wednesday) diffuse large B cell non Hodgkin’s lymphoma. It’s been almost 2 months from my initial appointment to my pcp to my official diagnosis and honestly things have gone down hill quick. My cancer is a very aggressive type, which I suppose is a double edge sword, because with this blood cancer the more aggressive kinda respond better to chemo then slow progressing ones. When my diagnosis journey first started, I went running 3 miles the morning of my first ultrasound. Now I feel like I can hardly function doing day to day chores without feeling completely sick and run down. It’s so scary to feel yourself go down hill, especially so fast. I was never the one to be sick, I’ve always been active and taken care of myself, so both physically and mentally this downfall has been difficult. That being said I am tentatively planned to start chemo this Friday! I know chemo is no cakewalk but neither is this. Chemo is pain with purpose. I just want to start feeling better soon. I wish everyone their best on their journey. Cancer is something I wish no one had to go through.</t>
        </is>
      </c>
      <c r="D11064" t="n">
        <v>1</v>
      </c>
      <c r="E11064" t="n">
        <v>26</v>
      </c>
      <c r="F11064">
        <f>HYPERLINK("https://www.reddit.com/r/cancer/comments/ijk0mm/actually_excited_to_start_chemo/")</f>
        <v/>
      </c>
      <c r="G11064" t="inlineStr">
        <is>
          <t>2020-08-30 13:38:19</t>
        </is>
      </c>
      <c r="H11064" t="inlineStr"/>
    </row>
    <row r="11065">
      <c r="A11065" t="inlineStr">
        <is>
          <t>ijll1f</t>
        </is>
      </c>
      <c r="B11065" t="inlineStr">
        <is>
          <t>Why didn't they restart my moms heart .</t>
        </is>
      </c>
      <c r="C11065" t="inlineStr">
        <is>
          <t>hello ,
my mom passed away 10 months ago from pancreatic cancer , after we found out that the tumor has metastasized to the liver and other organs , her liver started deteriorating  which caused hepatic encephalopathy within a few days she became forgetful and more and more confused and eventually she went into a coma , her blood pressure kept going down until it was not measurable by the the monitor  , her fingers  became blue and they gave her dopamine to help with her blood pressure , the next morning me and my sister went out of the ICU  for a bout 10 minutes , and when we came back we found that she had died .  
i don't think they restarted her heart because i would have noticed or heard anything . her heart apparently stopped and that was that .  
my question is why is that ? i know there was no point but am i wrong ?  did the restart her heart ? or in some cases they just don't ? or was it more peaceful to just let her  go ?</t>
        </is>
      </c>
      <c r="D11065" t="n">
        <v>1</v>
      </c>
      <c r="E11065" t="n">
        <v>8</v>
      </c>
      <c r="F11065">
        <f>HYPERLINK("https://www.reddit.com/r/cancer/comments/ijll1f/why_didnt_they_restart_my_moms_heart/")</f>
        <v/>
      </c>
      <c r="G11065" t="inlineStr">
        <is>
          <t>2020-08-30 15:02:00</t>
        </is>
      </c>
      <c r="H11065" t="inlineStr"/>
    </row>
    <row r="11066">
      <c r="A11066" t="inlineStr">
        <is>
          <t>ijm3i2</t>
        </is>
      </c>
      <c r="B11066" t="inlineStr">
        <is>
          <t>Cancer survival stories please?</t>
        </is>
      </c>
      <c r="C11066" t="inlineStr">
        <is>
          <t>Someone I hold really close to my heart has been diagnosed with stage 3c cancer, I am heartbroken and  obviously very anxious. I’d love to read cancer survival stories to offer hope and light during this time. I’d really appreciate it, thank you.</t>
        </is>
      </c>
      <c r="D11066" t="n">
        <v>1</v>
      </c>
      <c r="E11066" t="n">
        <v>18</v>
      </c>
      <c r="F11066">
        <f>HYPERLINK("https://www.reddit.com/r/cancer/comments/ijm3i2/cancer_survival_stories_please/")</f>
        <v/>
      </c>
      <c r="G11066" t="inlineStr">
        <is>
          <t>2020-08-30 15:29:56</t>
        </is>
      </c>
      <c r="H11066" t="inlineStr"/>
    </row>
    <row r="11067">
      <c r="A11067" t="inlineStr">
        <is>
          <t>ijn7pq</t>
        </is>
      </c>
      <c r="B11067" t="inlineStr">
        <is>
          <t>To make your cancer diagnosis public or not?</t>
        </is>
      </c>
      <c r="C11067" t="inlineStr">
        <is>
          <t>I was diagnosed last year and have been through a year of treatment, nearly on the other side and hoping to stay in remission. I was just wondering what other people think about revealing their diagnosis? I've been thinking about it a lot since celebrities like Kelly Preston and Chadwick Boseman kept it so private. I can't get this line by Ryan Coogler out of my head - "Because he was a caretaker, a leader, and a man of faith, dignity and pride, he shielded his collaborators from his suffering". Interested what others think.</t>
        </is>
      </c>
      <c r="D11067" t="n">
        <v>1</v>
      </c>
      <c r="E11067" t="n">
        <v>15</v>
      </c>
      <c r="F11067">
        <f>HYPERLINK("https://www.reddit.com/r/cancer/comments/ijn7pq/to_make_your_cancer_diagnosis_public_or_not/")</f>
        <v/>
      </c>
      <c r="G11067" t="inlineStr">
        <is>
          <t>2020-08-30 16:38:43</t>
        </is>
      </c>
      <c r="H11067" t="inlineStr"/>
    </row>
    <row r="11068">
      <c r="A11068" t="inlineStr">
        <is>
          <t>ijnl7q</t>
        </is>
      </c>
      <c r="B11068" t="inlineStr">
        <is>
          <t>Design Project - I'm working on designing a patient portal and am looking for people who can provide me with feedback.</t>
        </is>
      </c>
      <c r="C11068" t="inlineStr">
        <is>
          <t>Hey there! 
I'm a recent graduate student from Carnegie Mellon University who studied user experience and design. When I was enrolled in my masters program last year I was diagnosed with breast cancer. Throughout my patient journey, I found the app from my hospital to manage my care incredibly frustrating. As a result, I'm now working on a project to design a more user-friendly patient portal. 
I'm curious if anyone would be interested in participating in any research activities? I'm mainly interested in understanding how other patients communicate with their medical team, manage their health, or seek hospital services. I won't ask for or collect any information about your personal health. Additionally, any information I do collect will be completely confidential and won't be used for any other purposes. 
Right now I'm working on brainstorming concepts for how I would organize information in my design. The activity I'm running would ask you to create categories of services or information you might need to access as a patient (and I expect it to take less than 30 minutes). In the upcoming weeks, I'm hoping to have prototypes to user test, so there will likely be multiple opportunities to participate, but all activities would be voluntary. You could also opt out at any time. 
I will be using the final design and my write up of the design process on my portfolio (I'm hoping to get a job in healthcare). 
If you'd be interested [I have a link to a survey here](https://forms.gle/c3yzRVMA8yXPJK8K8). It asks a few basic questions about what type of activities you would be willing to do, the best way for me to contact you, and some information about how you access healthcare. It should take no more than five minutes to complete. Thanks!</t>
        </is>
      </c>
      <c r="D11068" t="n">
        <v>1</v>
      </c>
      <c r="E11068" t="n">
        <v>0</v>
      </c>
      <c r="F11068">
        <f>HYPERLINK("https://www.reddit.com/r/cancer/comments/ijnl7q/design_project_im_working_on_designing_a_patient/")</f>
        <v/>
      </c>
      <c r="G11068" t="inlineStr">
        <is>
          <t>2020-08-30 17:03:28</t>
        </is>
      </c>
      <c r="H11068" t="inlineStr"/>
    </row>
    <row r="11069">
      <c r="A11069" t="inlineStr">
        <is>
          <t>ijo83h</t>
        </is>
      </c>
      <c r="B11069" t="inlineStr">
        <is>
          <t>I don't know what I'm doing</t>
        </is>
      </c>
      <c r="C11069" t="inlineStr">
        <is>
          <t>My partner recently found out their sibling has been diagnosed with breast cancer (they are quite close). Although we don't know to what extent it will affect her, he is still extremely upset. Generally, he's an empath, which may/will affect how he copes with today's news and everything going forward.
Unfortunately, I am currently residing/working in a different province and am unable to physically be there for him. But I also handle bad news differently and don't deal well with the empathy of others, but I want to be supportive - the "there, there" concept is slightly foreign to me as my family wasn't like that.
I'm just wondering if anybody has any advice on how to help one's partner during this difficult time?</t>
        </is>
      </c>
      <c r="D11069" t="n">
        <v>1</v>
      </c>
      <c r="E11069" t="n">
        <v>6</v>
      </c>
      <c r="F11069">
        <f>HYPERLINK("https://www.reddit.com/r/cancer/comments/ijo83h/i_dont_know_what_im_doing/")</f>
        <v/>
      </c>
      <c r="G11069" t="inlineStr">
        <is>
          <t>2020-08-30 17:44:42</t>
        </is>
      </c>
      <c r="H11069" t="inlineStr"/>
    </row>
    <row r="11070">
      <c r="A11070" t="inlineStr">
        <is>
          <t>ijpdf2</t>
        </is>
      </c>
      <c r="B11070" t="inlineStr">
        <is>
          <t>My mom is starting chemo, what do I do?</t>
        </is>
      </c>
      <c r="C11070" t="inlineStr">
        <is>
          <t>My (19F) mom (61F) has chronic lymphocytic leukemia. She was diagnosed a few years ago, but it only got bad enough to treat in the past month or so. She's supposed to have one round of chemo every month for 6 months, starting in September. What do I do? She likes tie-dye, any suggestions on websites to buy headscarves from? I just want my mom to be better, and I'm so afraid she's just going to give up or die on me. I feel like I can't talk to anyone, my friends don't understand and I want to be strong for my older sister.</t>
        </is>
      </c>
      <c r="D11070" t="n">
        <v>1</v>
      </c>
      <c r="E11070" t="n">
        <v>5</v>
      </c>
      <c r="F11070">
        <f>HYPERLINK("https://www.reddit.com/r/cancer/comments/ijpdf2/my_mom_is_starting_chemo_what_do_i_do/")</f>
        <v/>
      </c>
      <c r="G11070" t="inlineStr">
        <is>
          <t>2020-08-30 19:02:19</t>
        </is>
      </c>
      <c r="H11070" t="inlineStr"/>
    </row>
    <row r="11071">
      <c r="A11071" t="inlineStr">
        <is>
          <t>ijqj6n</t>
        </is>
      </c>
      <c r="B11071" t="inlineStr">
        <is>
          <t>Colon or Liver Cancer?</t>
        </is>
      </c>
      <c r="C11071" t="inlineStr">
        <is>
          <t>What were your first signs of colon or liver cancer? What was your pain like and where was it located? How were you diagnosed?</t>
        </is>
      </c>
      <c r="D11071" t="n">
        <v>1</v>
      </c>
      <c r="E11071" t="n">
        <v>1</v>
      </c>
      <c r="F11071">
        <f>HYPERLINK("https://www.reddit.com/r/cancer/comments/ijqj6n/colon_or_liver_cancer/")</f>
        <v/>
      </c>
      <c r="G11071" t="inlineStr">
        <is>
          <t>2020-08-30 20:19:42</t>
        </is>
      </c>
      <c r="H11071" t="inlineStr"/>
    </row>
    <row r="11072">
      <c r="A11072" t="inlineStr">
        <is>
          <t>ijqqzk</t>
        </is>
      </c>
      <c r="B11072" t="inlineStr">
        <is>
          <t>How Can We Help Newly Diagnosed Cancer Patients?</t>
        </is>
      </c>
      <c r="C11072" t="inlineStr">
        <is>
          <t>A cancer diagnosis not only affects the patient, but it affects their families as well. How will patients manage the cost? What type of treatment should be done? Can family members be around the person with cancer while they are undergoing treatment? 
 [https://blog.mednosis.com/2020/08/31/how-can-we-help-newly-diagnosed-cancer-patients/](https://blog.mednosis.com/2020/08/31/how-can-we-help-newly-diagnosed-cancer-patients/)</t>
        </is>
      </c>
      <c r="D11072" t="n">
        <v>1</v>
      </c>
      <c r="E11072" t="n">
        <v>0</v>
      </c>
      <c r="F11072">
        <f>HYPERLINK("https://www.reddit.com/r/cancer/comments/ijqqzk/how_can_we_help_newly_diagnosed_cancer_patients/")</f>
        <v/>
      </c>
      <c r="G11072" t="inlineStr">
        <is>
          <t>2020-08-30 20:34:47</t>
        </is>
      </c>
      <c r="H11072" t="inlineStr"/>
    </row>
    <row r="11073">
      <c r="A11073" t="inlineStr">
        <is>
          <t>ijqyqz</t>
        </is>
      </c>
      <c r="B11073" t="inlineStr">
        <is>
          <t>Home hospice</t>
        </is>
      </c>
      <c r="C11073" t="inlineStr">
        <is>
          <t>We are bringing my dad home from the hospital to in-home hospice so he can comfortably pass in his home. I'm only 28 and will be caring for him around the clock along with my slightly older siblings. What should I expect? I'm scared as I know he only has a few days left.</t>
        </is>
      </c>
      <c r="D11073" t="n">
        <v>1</v>
      </c>
      <c r="E11073" t="n">
        <v>3</v>
      </c>
      <c r="F11073">
        <f>HYPERLINK("https://www.reddit.com/r/cancer/comments/ijqyqz/home_hospice/")</f>
        <v/>
      </c>
      <c r="G11073" t="inlineStr">
        <is>
          <t>2020-08-30 20:49:47</t>
        </is>
      </c>
      <c r="H11073" t="inlineStr"/>
    </row>
    <row r="11074">
      <c r="A11074" t="inlineStr">
        <is>
          <t>ijruzk</t>
        </is>
      </c>
      <c r="B11074" t="inlineStr">
        <is>
          <t>Hi. I've been crying every night and I honestly feel so lost.</t>
        </is>
      </c>
      <c r="C11074" t="inlineStr">
        <is>
          <t>My (f15) mom (f47) mom has Cholangiocarcinoma stage 4. Two weeks left. The doctor just called this morning and told us the surgery didn't work and her life span is shortened from originally 2-3 months to 2 weeks. I don't dare to tell anyone how sad I feel rn cuz I'm afraid it'll just further burden my family. I really need help. I don't know what to do.</t>
        </is>
      </c>
      <c r="D11074" t="n">
        <v>1</v>
      </c>
      <c r="E11074" t="n">
        <v>12</v>
      </c>
      <c r="F11074">
        <f>HYPERLINK("https://www.reddit.com/r/cancer/comments/ijruzk/hi_ive_been_crying_every_night_and_i_honestly/")</f>
        <v/>
      </c>
      <c r="G11074" t="inlineStr">
        <is>
          <t>2020-08-30 21:55:10</t>
        </is>
      </c>
      <c r="H11074" t="inlineStr"/>
    </row>
    <row r="11075">
      <c r="A11075" t="inlineStr">
        <is>
          <t>ijuf5g</t>
        </is>
      </c>
      <c r="B11075" t="inlineStr">
        <is>
          <t>Music.</t>
        </is>
      </c>
      <c r="C11075" t="inlineStr">
        <is>
          <t>Listening to music can be hard sometimes. A certain song may come on that makes you wanna cry, that reminds you of other times.
Today I was listening Lukas Graham when one of his newest songs came on and I just had to stop what I was doing, take a seat and listen, my dad use to love him, listening to his music makes me feel connected in all kinds of ways. 
And yes it's completely okay to cry to a happy song. To have tears fill your eyes when listening to something basic because it reminds you of someone. 
But just try when you hear a song, read a poem or see something that reminds you of them, take a minute, look and just remember them for who they where and the battle they lost to.</t>
        </is>
      </c>
      <c r="D11075" t="n">
        <v>1</v>
      </c>
      <c r="E11075" t="n">
        <v>12</v>
      </c>
      <c r="F11075">
        <f>HYPERLINK("https://www.reddit.com/r/cancer/comments/ijuf5g/music/")</f>
        <v/>
      </c>
      <c r="G11075" t="inlineStr">
        <is>
          <t>2020-08-31 01:42:42</t>
        </is>
      </c>
      <c r="H11075" t="inlineStr"/>
    </row>
    <row r="11076">
      <c r="A11076" t="inlineStr">
        <is>
          <t>ijw8pl</t>
        </is>
      </c>
      <c r="B11076" t="inlineStr">
        <is>
          <t>Am i a weak person for feeling like my ex is ruining these months of treatment and recovery because he just left me?? Am i in a victim role?</t>
        </is>
      </c>
      <c r="C11076" t="inlineStr">
        <is>
          <t>Hey peeps.
I am in not such a good place emotionally at the moment.
I usually don't put myself in the victim role and i really wonder if that's what i am doing now. I Normally am an independent person. I am emotionally available, have been a bit more needy towards my partner (ex) and he is distant/avoidant.
These months have been rough. The treatment is not too easy on me and i feel like crap. My future is uncertain because i am getting spinal cord injury but just have to wait how bad it will be. Chsnces are that I's real bad. However i am not in life danger. That would make it easier. is the cancer is on a remission? Idk. There could be more metastases in my spine or brain.
I have to wait months before i know something. After that it is somewhat more clear but still unsure. I was handling it pretty well and quite positively but it has been eating at me for months now. And everything is failing.
My partner decided it was too much and decided he had to leave. We had arguments daily while he had to work 60h a week so he felt like there was no other choice then to leave. He still loves me but can't handle me and my need of help, emotional support, the arguments. He is simply NOT able to do his work properly after we had a fight. He works long nights and literally screwed up a few times at work because we just had an argument. I wish it could be difficult but i am not in a place to put myself aside all the time. 
He was a huge form of support for me. We lived together and he simply moves out, leaving me with household chores i physically cannot do. So i have to get into my savings account to pay for a maid. I have to order food in, which is not healthy and expensive. My savings are also going to paying the rent on my own untill i found a roommate. I have to do this within 6 weeks or so or i'm broke. 
I am at a low point but need someone to rationalize this for me. I feel my ex is ruining my life right now. I wanted to save my savings to go abroad to volunteer after my recovery. My future plans are ruined. I know he wish it could be different but still i feel screwed up because he committed to me and changed his mind suddenly.
I feel like i am going crazy and i have no idea how unreasonable i am. I don't want to play a victim but my situation feels impossible to deal with. I can't explain this to any doc or therapist. Please help.</t>
        </is>
      </c>
      <c r="D11076" t="n">
        <v>1</v>
      </c>
      <c r="E11076" t="n">
        <v>7</v>
      </c>
      <c r="F11076">
        <f>HYPERLINK("https://www.reddit.com/r/cancer/comments/ijw8pl/am_i_a_weak_person_for_feeling_like_my_ex_is/")</f>
        <v/>
      </c>
      <c r="G11076" t="inlineStr">
        <is>
          <t>2020-08-31 04:28:52</t>
        </is>
      </c>
      <c r="H11076" t="inlineStr"/>
    </row>
    <row r="11077">
      <c r="A11077" t="inlineStr">
        <is>
          <t>ijxg7s</t>
        </is>
      </c>
      <c r="B11077" t="inlineStr">
        <is>
          <t>NG tube advice needed</t>
        </is>
      </c>
      <c r="C11077" t="inlineStr">
        <is>
          <t>3 yo has an NG tube. When in hospital the dry air because of the AC causes him a lot of dryness and discomfort inside his nostril. Any suggestions on how to help him?</t>
        </is>
      </c>
      <c r="D11077" t="n">
        <v>1</v>
      </c>
      <c r="E11077" t="n">
        <v>5</v>
      </c>
      <c r="F11077">
        <f>HYPERLINK("https://www.reddit.com/r/cancer/comments/ijxg7s/ng_tube_advice_needed/")</f>
        <v/>
      </c>
      <c r="G11077" t="inlineStr">
        <is>
          <t>2020-08-31 05:55:25</t>
        </is>
      </c>
      <c r="H11077" t="inlineStr"/>
    </row>
    <row r="11078">
      <c r="A11078" t="inlineStr">
        <is>
          <t>ijyd11</t>
        </is>
      </c>
      <c r="B11078" t="inlineStr">
        <is>
          <t>What can I do for a coworker?</t>
        </is>
      </c>
      <c r="C11078" t="inlineStr">
        <is>
          <t>Hi guys. I hope this kind of post is allowed but if not, I'll understand if it gets taken down.
I was just informed that a coworker of mine is having a really hard time because his wife is battling cancer. I don't know this person very well, but he's a very nice guy and we've had pleasant conversations. Is there something that you guys could recommend I do, any sort of nice gesture? 
I know nothing will help. I also don't want to overstep. And maybe the kind thing to do is absolutely nothing, treat him nicely and normally so that he has some semblance of normalcy at least while he's at work. 
Part of me is worried I'm just virtue signaling. I hope I'm not. And this question is also probably way too vague, I'm sure it entirely depends on the person. I dunno. I just want to help.</t>
        </is>
      </c>
      <c r="D11078" t="n">
        <v>1</v>
      </c>
      <c r="E11078" t="n">
        <v>6</v>
      </c>
      <c r="F11078">
        <f>HYPERLINK("https://www.reddit.com/r/cancer/comments/ijyd11/what_can_i_do_for_a_coworker/")</f>
        <v/>
      </c>
      <c r="G11078" t="inlineStr">
        <is>
          <t>2020-08-31 06:52:20</t>
        </is>
      </c>
      <c r="H11078" t="inlineStr"/>
    </row>
    <row r="11079">
      <c r="A11079" t="inlineStr">
        <is>
          <t>ik1ipp</t>
        </is>
      </c>
      <c r="B11079" t="inlineStr">
        <is>
          <t>What to expect after cytoreduction and hipec surgery for ovarian cancer?</t>
        </is>
      </c>
      <c r="C11079" t="inlineStr">
        <is>
          <t>Hi Everyone,
My mom was diagnosed with stage 3c ovarian cancer at the start of June. She was feeling discomfort in her abdomen area and her abdomen had become roxk hard with in matter of few days.
Later it was found that she had fluid because of cancer tumors.
We went through 3 roubds of NACT ( chemo). Between that she got covid and has now recovered. 
She undergoing surgery on 4th sep which will include cytoreduction and Hipec.
I am not 100% sure what to expect out of it. I am scared as hell as doctor mentioned it is very big surgery and will take around 10-12 hours.
For brief background, she doesnot have any other pre-existing conditions, and is able to go for 30 mins walk, go up and down 1 floor through stairs with me everyday. She is also doing breathing excercises as suggested by doctors so physically she is doing ok.
Any idea what to expect as risks and how can i help her after surgery will be great. Thank you.</t>
        </is>
      </c>
      <c r="D11079" t="n">
        <v>1</v>
      </c>
      <c r="E11079" t="n">
        <v>2</v>
      </c>
      <c r="F11079">
        <f>HYPERLINK("https://www.reddit.com/r/cancer/comments/ik1ipp/what_to_expect_after_cytoreduction_and_hipec/")</f>
        <v/>
      </c>
      <c r="G11079" t="inlineStr">
        <is>
          <t>2020-08-31 09:44:26</t>
        </is>
      </c>
      <c r="H11079" t="inlineStr"/>
    </row>
    <row r="11080">
      <c r="A11080" t="inlineStr">
        <is>
          <t>ik1ndx</t>
        </is>
      </c>
      <c r="B11080" t="inlineStr">
        <is>
          <t>How do I help my newly widowed father?</t>
        </is>
      </c>
      <c r="C11080" t="inlineStr">
        <is>
          <t>My (32) mom (62) passed away from bile duct cancer 3 weeks ago, 9 months after diagnosis. I wasn’t aware how bad it was because my parents were VERY positive about the treatment plan and had told me that she could live for years with maintenance chemo treatments. I am not sure if this is what they were hearing from their oncologist or if they were just trying to protect me,  but no one in the family was prepared for her death and my dad is not handling it well.
My brother lives in another state and has been living with my dad for the last 4 weeks,  but is flying home this Sunday. I am really nervous about him being alone, but I don’t have the bandwidth to see him all the time since I work 30 mins south of where I live, and he lives 30 minutes north of where I live. It’s just not feasible for me to see him more than maybe twice a week. 
I guess I’m just looking for advice on how my brother and I can support him remotely or for ways he can keep himself busy? How have others supported their parents or kept positive after losing a partner? He turns 65 this November and I’m pushing for him to not retire yet, and also to get into some hobbies (indoor cycling or picking up his guitar again),  but he just doesn’t have the motivation right now (I am hoping that changes over time). I’m so nervous that he will not stay physically and mentally healthy for my brother and I,  my mom was his everything and he gives me vibes that he doesn’t think he can go on without her. I realize it hasn’t even been a month since her death but I’m worried he won’t recover from this state of mind he is currently in. I have talked with him about seeing a therapist but he doesn’t seem interested and I don’t want to push too hard. Thanks for listening.</t>
        </is>
      </c>
      <c r="D11080" t="n">
        <v>1</v>
      </c>
      <c r="E11080" t="n">
        <v>2</v>
      </c>
      <c r="F11080">
        <f>HYPERLINK("https://www.reddit.com/r/cancer/comments/ik1ndx/how_do_i_help_my_newly_widowed_father/")</f>
        <v/>
      </c>
      <c r="G11080" t="inlineStr">
        <is>
          <t>2020-08-31 09:50:36</t>
        </is>
      </c>
      <c r="H11080" t="inlineStr"/>
    </row>
    <row r="11081">
      <c r="A11081" t="inlineStr">
        <is>
          <t>ik2lfl</t>
        </is>
      </c>
      <c r="B11081" t="inlineStr">
        <is>
          <t>Alive and kicking 30 months on.</t>
        </is>
      </c>
      <c r="C11081" t="inlineStr">
        <is>
          <t>30 months since I stumbled into the ER with what I had spent the last year thinking was severe allergies or flu and in agony from pinched nerves/sciatica/a slipped disc and got told I had 4th stage lung cancer (later confirmed to be ALK-related) and that I had 3-6 months to live.
Thanks to my oncologist, to Alectinib, and to my best friend morphine I've made it five to ten times longer than that. I'm also pleased to learn that they're developing new drugs for my condition all the time, so when this one stops working entirely, I can still cling mercilessly to the remnants of my life.
I don't know if I deserve to live as long as this, considering people who've accomplished more than I ever will are worse off than me, but I'm greedy for every second I can get.
PS - Not sure anyone mentioned it, but the tab for adding posts says "Submit to cancer". Uh...nah.</t>
        </is>
      </c>
      <c r="D11081" t="n">
        <v>1</v>
      </c>
      <c r="E11081" t="n">
        <v>55</v>
      </c>
      <c r="F11081">
        <f>HYPERLINK("https://www.reddit.com/r/cancer/comments/ik2lfl/alive_and_kicking_30_months_on/")</f>
        <v/>
      </c>
      <c r="G11081" t="inlineStr">
        <is>
          <t>2020-08-31 10:38:50</t>
        </is>
      </c>
      <c r="H11081" t="inlineStr"/>
    </row>
    <row r="11082">
      <c r="A11082" t="inlineStr">
        <is>
          <t>ik3wqw</t>
        </is>
      </c>
      <c r="B11082" t="inlineStr">
        <is>
          <t>parents hid my moms colon cancer for 4 years</t>
        </is>
      </c>
      <c r="C11082" t="inlineStr">
        <is>
          <t>i just found out today that my mom has colon cancer for 4 years and my parents didn't want me and my sisters to worry so they didn't tell us. I dont know how to feel i cant focus on my school work anymore. Im not sure what stage she has but she needs to go for a check up soon. I dont know what to do i dont want to tell anyone im coming to reddit because i can just stay anonymous here. i just dont know what to do can anyone give my advice</t>
        </is>
      </c>
      <c r="D11082" t="n">
        <v>1</v>
      </c>
      <c r="E11082" t="n">
        <v>3</v>
      </c>
      <c r="F11082">
        <f>HYPERLINK("https://www.reddit.com/r/cancer/comments/ik3wqw/parents_hid_my_moms_colon_cancer_for_4_years/")</f>
        <v/>
      </c>
      <c r="G11082" t="inlineStr">
        <is>
          <t>2020-08-31 11:45:26</t>
        </is>
      </c>
      <c r="H11082" t="inlineStr"/>
    </row>
    <row r="11083">
      <c r="A11083" t="inlineStr">
        <is>
          <t>ik3y7g</t>
        </is>
      </c>
      <c r="B11083" t="inlineStr">
        <is>
          <t>Best ways to support someone going through R-CHOP?</t>
        </is>
      </c>
      <c r="C11083" t="inlineStr">
        <is>
          <t>Hello nice strangers on the internet:
My dear father-in-law (in his late 70s) is starting R-CHOP chemo for his diffuse large B-cell lymphoma (early stage) this Friday. He is bad at stating his needs for things, and my mother-in-law is anxious beyond belief (as one would expect), so my wife and I are trying to figure out ways we can best support him. 
We have already sent him a custom blanket with pics of our kids on it, as I know chemo can make people feel cold. (I also thought it would help give the nurses something nice to comment on, since my mother-in-law won't be able to be with him during the treatments.)
For those who've been through R-CHOP or similar, I would deeply appreciate any advice about:
* Stuff/products that helped you 
* Food/drink stuff that you wish you'd known about ahead of time
Thanks so much for any help you can give.</t>
        </is>
      </c>
      <c r="D11083" t="n">
        <v>1</v>
      </c>
      <c r="E11083" t="n">
        <v>2</v>
      </c>
      <c r="F11083">
        <f>HYPERLINK("https://www.reddit.com/r/cancer/comments/ik3y7g/best_ways_to_support_someone_going_through_rchop/")</f>
        <v/>
      </c>
      <c r="G11083" t="inlineStr">
        <is>
          <t>2020-08-31 11:47:34</t>
        </is>
      </c>
      <c r="H11083" t="inlineStr"/>
    </row>
    <row r="11084">
      <c r="A11084" t="inlineStr">
        <is>
          <t>ik5h4g</t>
        </is>
      </c>
      <c r="B11084" t="inlineStr">
        <is>
          <t>I'm currently 5 minutes away to getting my last planned chemo infusion!</t>
        </is>
      </c>
      <c r="C11084" t="inlineStr">
        <is>
          <t>(M/15) Man these last few months have been the of my life. I got diagnosed with stage 2 Hodgkin's Lymphoma and I'm about to get my 4th cycle outpatient chemo. I can't wait to be done with this. I always had respect for people fighting cancer but damn, once it was me who was the fighter, I realized how much it affects a person</t>
        </is>
      </c>
      <c r="D11084" t="n">
        <v>1</v>
      </c>
      <c r="E11084" t="n">
        <v>15</v>
      </c>
      <c r="F11084">
        <f>HYPERLINK("https://www.reddit.com/r/cancer/comments/ik5h4g/im_currently_5_minutes_away_to_getting_my_last/")</f>
        <v/>
      </c>
      <c r="G11084" t="inlineStr">
        <is>
          <t>2020-08-31 13:06:23</t>
        </is>
      </c>
      <c r="H11084" t="inlineStr">
        <is>
          <t xml:space="preserve">Patient </t>
        </is>
      </c>
    </row>
    <row r="11085">
      <c r="A11085" t="inlineStr">
        <is>
          <t>ik5yzq</t>
        </is>
      </c>
      <c r="B11085" t="inlineStr">
        <is>
          <t>Quick Question</t>
        </is>
      </c>
      <c r="C11085" t="inlineStr">
        <is>
          <t>I sometimes see double vision when looking at screens. It is worse when reading white words on a black background. My eyes have been checked and are fine. Do you think that this is a neurological problem or just the light? Thanks and everyone in the sub is doing okay</t>
        </is>
      </c>
      <c r="D11085" t="n">
        <v>1</v>
      </c>
      <c r="E11085" t="n">
        <v>1</v>
      </c>
      <c r="F11085">
        <f>HYPERLINK("https://www.reddit.com/r/cancer/comments/ik5yzq/quick_question/")</f>
        <v/>
      </c>
      <c r="G11085" t="inlineStr">
        <is>
          <t>2020-08-31 13:32:53</t>
        </is>
      </c>
      <c r="H11085" t="inlineStr"/>
    </row>
    <row r="11086">
      <c r="A11086" t="inlineStr">
        <is>
          <t>ik66ox</t>
        </is>
      </c>
      <c r="B11086" t="inlineStr">
        <is>
          <t>Facts about lymphoma</t>
        </is>
      </c>
      <c r="C11086" t="inlineStr">
        <is>
          <t>My (25) brother (18) may have cancer, lymphoma is the guess of a hematologist he just saw. He will be doing a blood biopsy and a PET scan. I am wondering if after these results will we know if it's cancer or not? I am asking you all because some of you may have more knowledge than me and my cursory info gathering.</t>
        </is>
      </c>
      <c r="D11086" t="n">
        <v>1</v>
      </c>
      <c r="E11086" t="n">
        <v>5</v>
      </c>
      <c r="F11086">
        <f>HYPERLINK("https://www.reddit.com/r/cancer/comments/ik66ox/facts_about_lymphoma/")</f>
        <v/>
      </c>
      <c r="G11086" t="inlineStr">
        <is>
          <t>2020-08-31 13:44:01</t>
        </is>
      </c>
      <c r="H11086" t="inlineStr"/>
    </row>
  </sheetData>
  <pageMargins bottom="1" footer="0.5" header="0.5" left="0.75" right="0.75" top="1"/>
</worksheet>
</file>

<file path=docProps/app.xml><?xml version="1.0" encoding="utf-8"?>
<Properties xmlns="http://schemas.openxmlformats.org/officeDocument/2006/extended-properties">
  <Application>Microsoft Excel</Application>
  <AppVersion>3.0</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2020-09-05T12:22:09Z</dcterms:created>
  <dcterms:modified xsi:type="dcterms:W3CDTF">2020-09-05T12:22:09Z</dcterms:modified>
</cp:coreProperties>
</file>